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22 ARR 2025-26\3 NPDCL ARR &amp; FPT 2025-26 Filed\"/>
    </mc:Choice>
  </mc:AlternateContent>
  <bookViews>
    <workbookView xWindow="0" yWindow="0" windowWidth="15348" windowHeight="4488" tabRatio="926" activeTab="1"/>
  </bookViews>
  <sheets>
    <sheet name="Title" sheetId="112" r:id="rId1"/>
    <sheet name="Checklist" sheetId="57" r:id="rId2"/>
    <sheet name="F1" sheetId="58" r:id="rId3"/>
    <sheet name="F2" sheetId="202" r:id="rId4"/>
    <sheet name="F3" sheetId="203" r:id="rId5"/>
    <sheet name="F4" sheetId="204" r:id="rId6"/>
    <sheet name="F4A" sheetId="205" r:id="rId7"/>
    <sheet name="F4B" sheetId="206" r:id="rId8"/>
    <sheet name="F5" sheetId="71" r:id="rId9"/>
    <sheet name="F6" sheetId="242" r:id="rId10"/>
    <sheet name="F7" sheetId="243" r:id="rId11"/>
    <sheet name="F8" sheetId="124" r:id="rId12"/>
    <sheet name="F9-Year(n-1)" sheetId="125" state="hidden" r:id="rId13"/>
    <sheet name="F9-Year(n)" sheetId="131" state="hidden" r:id="rId14"/>
    <sheet name="F9-Year(n+2)" sheetId="132" r:id="rId15"/>
    <sheet name="F9-Year(n+3)" sheetId="134" state="hidden" r:id="rId16"/>
    <sheet name="F9-Year(n+4)" sheetId="135" state="hidden" r:id="rId17"/>
    <sheet name="F9-Year(n+5)" sheetId="136" state="hidden" r:id="rId18"/>
    <sheet name="F10" sheetId="226" r:id="rId19"/>
    <sheet name="F11-Year(n-1)" sheetId="227" state="hidden" r:id="rId20"/>
    <sheet name="F11-Year(n)" sheetId="228" state="hidden" r:id="rId21"/>
    <sheet name="F11-Year(n+2)" sheetId="229" r:id="rId22"/>
    <sheet name="F11-Year(n+3) " sheetId="231" state="hidden" r:id="rId23"/>
    <sheet name="F11-Year(n+4)" sheetId="232" state="hidden" r:id="rId24"/>
    <sheet name="F11-Year(n+5)" sheetId="233" state="hidden" r:id="rId25"/>
    <sheet name="F12" sheetId="234" r:id="rId26"/>
    <sheet name="F13-Year(n-1)" sheetId="235" state="hidden" r:id="rId27"/>
    <sheet name="F13-Year(n)" sheetId="236" state="hidden" r:id="rId28"/>
    <sheet name="F13-Year(n+2)" sheetId="237" r:id="rId29"/>
    <sheet name="F13-Year(n+3)" sheetId="239" state="hidden" r:id="rId30"/>
    <sheet name="F13-Year(n+4)" sheetId="240" state="hidden" r:id="rId31"/>
    <sheet name="F13-Year(n+5)" sheetId="241" state="hidden" r:id="rId32"/>
    <sheet name="F14" sheetId="158" r:id="rId33"/>
    <sheet name="F15" sheetId="260" state="hidden" r:id="rId34"/>
    <sheet name="F15.1" sheetId="261" state="hidden" r:id="rId35"/>
    <sheet name="F15.2" sheetId="262" state="hidden" r:id="rId36"/>
    <sheet name="F15.3" sheetId="263" state="hidden" r:id="rId37"/>
    <sheet name="F16" sheetId="264" state="hidden" r:id="rId38"/>
    <sheet name="F17" sheetId="265" state="hidden" r:id="rId39"/>
    <sheet name="F18" sheetId="266" state="hidden" r:id="rId40"/>
    <sheet name="F19" sheetId="267" state="hidden" r:id="rId41"/>
    <sheet name="F20" sheetId="268" state="hidden" r:id="rId42"/>
    <sheet name="F21" sheetId="269" r:id="rId43"/>
    <sheet name="F22" sheetId="116" state="hidden" r:id="rId44"/>
    <sheet name="F23" sheetId="115" state="hidden" r:id="rId45"/>
    <sheet name="F24" sheetId="193" r:id="rId46"/>
    <sheet name="F24.1" sheetId="194" r:id="rId47"/>
    <sheet name="F24.2" sheetId="195" r:id="rId48"/>
    <sheet name="F24.3" sheetId="196" r:id="rId49"/>
    <sheet name="F24.4" sheetId="197" r:id="rId50"/>
    <sheet name="F24.5" sheetId="198" r:id="rId51"/>
    <sheet name="F24.6" sheetId="199" r:id="rId52"/>
    <sheet name="F24.7" sheetId="200" r:id="rId53"/>
    <sheet name="F24.8" sheetId="201" r:id="rId54"/>
    <sheet name="F25" sheetId="207" state="hidden" r:id="rId55"/>
    <sheet name="F26-Year(n-1)" sheetId="208" state="hidden" r:id="rId56"/>
    <sheet name="F26-Year(n+1)(Current Tariff)" sheetId="209" r:id="rId57"/>
    <sheet name="F26-Year(n+2)(Proposed Tariff)" sheetId="255" state="hidden" r:id="rId58"/>
    <sheet name="F26-Year(n+1)(Proposed Tariff)" sheetId="256" state="hidden" r:id="rId59"/>
    <sheet name="F26-Year(n+2)(Current Tariff)" sheetId="271" r:id="rId60"/>
    <sheet name="F26-Year(n+2)(Proposed Tarif)" sheetId="272" r:id="rId61"/>
    <sheet name="F27" sheetId="257" state="hidden" r:id="rId62"/>
    <sheet name="F27-n+2" sheetId="211" state="hidden" r:id="rId63"/>
    <sheet name="F28" sheetId="212" state="hidden" r:id="rId64"/>
    <sheet name="F29" sheetId="213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__123Graph_A" localSheetId="37" hidden="1">[1]CE!#REF!</definedName>
    <definedName name="__123Graph_A" localSheetId="38" hidden="1">[1]CE!#REF!</definedName>
    <definedName name="__123Graph_A" localSheetId="39" hidden="1">[1]CE!#REF!</definedName>
    <definedName name="__123Graph_A" localSheetId="40" hidden="1">[1]CE!#REF!</definedName>
    <definedName name="__123Graph_A" localSheetId="41" hidden="1">[1]CE!#REF!</definedName>
    <definedName name="__123Graph_A" localSheetId="42" hidden="1">[1]CE!#REF!</definedName>
    <definedName name="__123Graph_A" localSheetId="43" hidden="1">[1]CE!#REF!</definedName>
    <definedName name="__123Graph_A" localSheetId="44" hidden="1">[1]CE!#REF!</definedName>
    <definedName name="__123Graph_A" localSheetId="45" hidden="1">[1]CE!#REF!</definedName>
    <definedName name="__123Graph_A" localSheetId="46" hidden="1">[1]CE!#REF!</definedName>
    <definedName name="__123Graph_A" localSheetId="47" hidden="1">[1]CE!#REF!</definedName>
    <definedName name="__123Graph_A" localSheetId="48" hidden="1">[1]CE!#REF!</definedName>
    <definedName name="__123Graph_A" localSheetId="49" hidden="1">[1]CE!#REF!</definedName>
    <definedName name="__123Graph_A" localSheetId="50" hidden="1">[1]CE!#REF!</definedName>
    <definedName name="__123Graph_A" localSheetId="51" hidden="1">[1]CE!#REF!</definedName>
    <definedName name="__123Graph_A" localSheetId="52" hidden="1">[1]CE!#REF!</definedName>
    <definedName name="__123Graph_A" localSheetId="53" hidden="1">[1]CE!#REF!</definedName>
    <definedName name="__123Graph_A" localSheetId="6" hidden="1">[1]CE!#REF!</definedName>
    <definedName name="__123Graph_A" localSheetId="7" hidden="1">[1]CE!#REF!</definedName>
    <definedName name="__123Graph_A" hidden="1">[1]CE!#REF!</definedName>
    <definedName name="__123Graph_ASTNPLF" localSheetId="37" hidden="1">[1]CE!#REF!</definedName>
    <definedName name="__123Graph_ASTNPLF" localSheetId="38" hidden="1">[1]CE!#REF!</definedName>
    <definedName name="__123Graph_ASTNPLF" localSheetId="39" hidden="1">[1]CE!#REF!</definedName>
    <definedName name="__123Graph_ASTNPLF" localSheetId="40" hidden="1">[1]CE!#REF!</definedName>
    <definedName name="__123Graph_ASTNPLF" localSheetId="41" hidden="1">[1]CE!#REF!</definedName>
    <definedName name="__123Graph_ASTNPLF" localSheetId="42" hidden="1">[1]CE!#REF!</definedName>
    <definedName name="__123Graph_ASTNPLF" localSheetId="43" hidden="1">[1]CE!#REF!</definedName>
    <definedName name="__123Graph_ASTNPLF" localSheetId="44" hidden="1">[1]CE!#REF!</definedName>
    <definedName name="__123Graph_ASTNPLF" localSheetId="45" hidden="1">[1]CE!#REF!</definedName>
    <definedName name="__123Graph_ASTNPLF" localSheetId="46" hidden="1">[1]CE!#REF!</definedName>
    <definedName name="__123Graph_ASTNPLF" localSheetId="47" hidden="1">[1]CE!#REF!</definedName>
    <definedName name="__123Graph_ASTNPLF" localSheetId="48" hidden="1">[1]CE!#REF!</definedName>
    <definedName name="__123Graph_ASTNPLF" localSheetId="49" hidden="1">[1]CE!#REF!</definedName>
    <definedName name="__123Graph_ASTNPLF" localSheetId="50" hidden="1">[1]CE!#REF!</definedName>
    <definedName name="__123Graph_ASTNPLF" localSheetId="51" hidden="1">[1]CE!#REF!</definedName>
    <definedName name="__123Graph_ASTNPLF" localSheetId="52" hidden="1">[1]CE!#REF!</definedName>
    <definedName name="__123Graph_ASTNPLF" localSheetId="53" hidden="1">[1]CE!#REF!</definedName>
    <definedName name="__123Graph_ASTNPLF" localSheetId="6" hidden="1">[1]CE!#REF!</definedName>
    <definedName name="__123Graph_ASTNPLF" localSheetId="7" hidden="1">[1]CE!#REF!</definedName>
    <definedName name="__123Graph_ASTNPLF" hidden="1">[1]CE!#REF!</definedName>
    <definedName name="__123Graph_B" localSheetId="37" hidden="1">[1]CE!#REF!</definedName>
    <definedName name="__123Graph_B" localSheetId="38" hidden="1">[1]CE!#REF!</definedName>
    <definedName name="__123Graph_B" localSheetId="39" hidden="1">[1]CE!#REF!</definedName>
    <definedName name="__123Graph_B" localSheetId="40" hidden="1">[1]CE!#REF!</definedName>
    <definedName name="__123Graph_B" localSheetId="41" hidden="1">[1]CE!#REF!</definedName>
    <definedName name="__123Graph_B" localSheetId="42" hidden="1">[1]CE!#REF!</definedName>
    <definedName name="__123Graph_B" localSheetId="43" hidden="1">[1]CE!#REF!</definedName>
    <definedName name="__123Graph_B" localSheetId="44" hidden="1">[1]CE!#REF!</definedName>
    <definedName name="__123Graph_B" localSheetId="45" hidden="1">[1]CE!#REF!</definedName>
    <definedName name="__123Graph_B" localSheetId="46" hidden="1">[1]CE!#REF!</definedName>
    <definedName name="__123Graph_B" localSheetId="47" hidden="1">[1]CE!#REF!</definedName>
    <definedName name="__123Graph_B" localSheetId="48" hidden="1">[1]CE!#REF!</definedName>
    <definedName name="__123Graph_B" localSheetId="49" hidden="1">[1]CE!#REF!</definedName>
    <definedName name="__123Graph_B" localSheetId="50" hidden="1">[1]CE!#REF!</definedName>
    <definedName name="__123Graph_B" localSheetId="51" hidden="1">[1]CE!#REF!</definedName>
    <definedName name="__123Graph_B" localSheetId="52" hidden="1">[1]CE!#REF!</definedName>
    <definedName name="__123Graph_B" localSheetId="53" hidden="1">[1]CE!#REF!</definedName>
    <definedName name="__123Graph_B" localSheetId="6" hidden="1">[1]CE!#REF!</definedName>
    <definedName name="__123Graph_B" localSheetId="7" hidden="1">[1]CE!#REF!</definedName>
    <definedName name="__123Graph_B" hidden="1">[1]CE!#REF!</definedName>
    <definedName name="__123Graph_BSTNPLF" localSheetId="37" hidden="1">[1]CE!#REF!</definedName>
    <definedName name="__123Graph_BSTNPLF" localSheetId="38" hidden="1">[1]CE!#REF!</definedName>
    <definedName name="__123Graph_BSTNPLF" localSheetId="39" hidden="1">[1]CE!#REF!</definedName>
    <definedName name="__123Graph_BSTNPLF" localSheetId="40" hidden="1">[1]CE!#REF!</definedName>
    <definedName name="__123Graph_BSTNPLF" localSheetId="41" hidden="1">[1]CE!#REF!</definedName>
    <definedName name="__123Graph_BSTNPLF" localSheetId="42" hidden="1">[1]CE!#REF!</definedName>
    <definedName name="__123Graph_BSTNPLF" localSheetId="43" hidden="1">[1]CE!#REF!</definedName>
    <definedName name="__123Graph_BSTNPLF" localSheetId="44" hidden="1">[1]CE!#REF!</definedName>
    <definedName name="__123Graph_BSTNPLF" localSheetId="45" hidden="1">[1]CE!#REF!</definedName>
    <definedName name="__123Graph_BSTNPLF" localSheetId="46" hidden="1">[1]CE!#REF!</definedName>
    <definedName name="__123Graph_BSTNPLF" localSheetId="47" hidden="1">[1]CE!#REF!</definedName>
    <definedName name="__123Graph_BSTNPLF" localSheetId="48" hidden="1">[1]CE!#REF!</definedName>
    <definedName name="__123Graph_BSTNPLF" localSheetId="49" hidden="1">[1]CE!#REF!</definedName>
    <definedName name="__123Graph_BSTNPLF" localSheetId="50" hidden="1">[1]CE!#REF!</definedName>
    <definedName name="__123Graph_BSTNPLF" localSheetId="51" hidden="1">[1]CE!#REF!</definedName>
    <definedName name="__123Graph_BSTNPLF" localSheetId="52" hidden="1">[1]CE!#REF!</definedName>
    <definedName name="__123Graph_BSTNPLF" localSheetId="53" hidden="1">[1]CE!#REF!</definedName>
    <definedName name="__123Graph_BSTNPLF" localSheetId="6" hidden="1">[1]CE!#REF!</definedName>
    <definedName name="__123Graph_BSTNPLF" localSheetId="7" hidden="1">[1]CE!#REF!</definedName>
    <definedName name="__123Graph_BSTNPLF" hidden="1">[1]CE!#REF!</definedName>
    <definedName name="__123Graph_C" localSheetId="37" hidden="1">[1]CE!#REF!</definedName>
    <definedName name="__123Graph_C" localSheetId="38" hidden="1">[1]CE!#REF!</definedName>
    <definedName name="__123Graph_C" localSheetId="39" hidden="1">[1]CE!#REF!</definedName>
    <definedName name="__123Graph_C" localSheetId="40" hidden="1">[1]CE!#REF!</definedName>
    <definedName name="__123Graph_C" localSheetId="41" hidden="1">[1]CE!#REF!</definedName>
    <definedName name="__123Graph_C" localSheetId="42" hidden="1">[1]CE!#REF!</definedName>
    <definedName name="__123Graph_C" localSheetId="43" hidden="1">[1]CE!#REF!</definedName>
    <definedName name="__123Graph_C" localSheetId="44" hidden="1">[1]CE!#REF!</definedName>
    <definedName name="__123Graph_C" localSheetId="45" hidden="1">[1]CE!#REF!</definedName>
    <definedName name="__123Graph_C" localSheetId="46" hidden="1">[1]CE!#REF!</definedName>
    <definedName name="__123Graph_C" localSheetId="47" hidden="1">[1]CE!#REF!</definedName>
    <definedName name="__123Graph_C" localSheetId="48" hidden="1">[1]CE!#REF!</definedName>
    <definedName name="__123Graph_C" localSheetId="49" hidden="1">[1]CE!#REF!</definedName>
    <definedName name="__123Graph_C" localSheetId="50" hidden="1">[1]CE!#REF!</definedName>
    <definedName name="__123Graph_C" localSheetId="51" hidden="1">[1]CE!#REF!</definedName>
    <definedName name="__123Graph_C" localSheetId="52" hidden="1">[1]CE!#REF!</definedName>
    <definedName name="__123Graph_C" localSheetId="53" hidden="1">[1]CE!#REF!</definedName>
    <definedName name="__123Graph_C" localSheetId="6" hidden="1">[1]CE!#REF!</definedName>
    <definedName name="__123Graph_C" localSheetId="7" hidden="1">[1]CE!#REF!</definedName>
    <definedName name="__123Graph_C" hidden="1">[1]CE!#REF!</definedName>
    <definedName name="__123Graph_CSTNPLF" localSheetId="37" hidden="1">[1]CE!#REF!</definedName>
    <definedName name="__123Graph_CSTNPLF" localSheetId="38" hidden="1">[1]CE!#REF!</definedName>
    <definedName name="__123Graph_CSTNPLF" localSheetId="39" hidden="1">[1]CE!#REF!</definedName>
    <definedName name="__123Graph_CSTNPLF" localSheetId="40" hidden="1">[1]CE!#REF!</definedName>
    <definedName name="__123Graph_CSTNPLF" localSheetId="41" hidden="1">[1]CE!#REF!</definedName>
    <definedName name="__123Graph_CSTNPLF" localSheetId="42" hidden="1">[1]CE!#REF!</definedName>
    <definedName name="__123Graph_CSTNPLF" localSheetId="43" hidden="1">[1]CE!#REF!</definedName>
    <definedName name="__123Graph_CSTNPLF" localSheetId="44" hidden="1">[1]CE!#REF!</definedName>
    <definedName name="__123Graph_CSTNPLF" localSheetId="6" hidden="1">[1]CE!#REF!</definedName>
    <definedName name="__123Graph_CSTNPLF" localSheetId="7" hidden="1">[1]CE!#REF!</definedName>
    <definedName name="__123Graph_CSTNPLF" hidden="1">[1]CE!#REF!</definedName>
    <definedName name="__123Graph_X" localSheetId="37" hidden="1">[1]CE!#REF!</definedName>
    <definedName name="__123Graph_X" localSheetId="38" hidden="1">[1]CE!#REF!</definedName>
    <definedName name="__123Graph_X" localSheetId="39" hidden="1">[1]CE!#REF!</definedName>
    <definedName name="__123Graph_X" localSheetId="40" hidden="1">[1]CE!#REF!</definedName>
    <definedName name="__123Graph_X" localSheetId="41" hidden="1">[1]CE!#REF!</definedName>
    <definedName name="__123Graph_X" localSheetId="42" hidden="1">[1]CE!#REF!</definedName>
    <definedName name="__123Graph_X" localSheetId="43" hidden="1">[1]CE!#REF!</definedName>
    <definedName name="__123Graph_X" localSheetId="44" hidden="1">[1]CE!#REF!</definedName>
    <definedName name="__123Graph_X" localSheetId="6" hidden="1">[1]CE!#REF!</definedName>
    <definedName name="__123Graph_X" localSheetId="7" hidden="1">[1]CE!#REF!</definedName>
    <definedName name="__123Graph_X" hidden="1">[1]CE!#REF!</definedName>
    <definedName name="__123Graph_XSTNPLF" localSheetId="37" hidden="1">[1]CE!#REF!</definedName>
    <definedName name="__123Graph_XSTNPLF" localSheetId="38" hidden="1">[1]CE!#REF!</definedName>
    <definedName name="__123Graph_XSTNPLF" localSheetId="39" hidden="1">[1]CE!#REF!</definedName>
    <definedName name="__123Graph_XSTNPLF" localSheetId="40" hidden="1">[1]CE!#REF!</definedName>
    <definedName name="__123Graph_XSTNPLF" localSheetId="41" hidden="1">[1]CE!#REF!</definedName>
    <definedName name="__123Graph_XSTNPLF" localSheetId="42" hidden="1">[1]CE!#REF!</definedName>
    <definedName name="__123Graph_XSTNPLF" localSheetId="43" hidden="1">[1]CE!#REF!</definedName>
    <definedName name="__123Graph_XSTNPLF" localSheetId="44" hidden="1">[1]CE!#REF!</definedName>
    <definedName name="__123Graph_XSTNPLF" localSheetId="6" hidden="1">[1]CE!#REF!</definedName>
    <definedName name="__123Graph_XSTNPLF" localSheetId="7" hidden="1">[1]CE!#REF!</definedName>
    <definedName name="__123Graph_XSTNPLF" hidden="1">[1]CE!#REF!</definedName>
    <definedName name="_Fill" localSheetId="25" hidden="1">#REF!</definedName>
    <definedName name="_Fill" localSheetId="28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6" hidden="1">#REF!</definedName>
    <definedName name="_Fill" localSheetId="7" hidden="1">#REF!</definedName>
    <definedName name="_Fill" hidden="1">#REF!</definedName>
    <definedName name="_Order1" hidden="1">255</definedName>
    <definedName name="new" localSheetId="37" hidden="1">[2]CE!#REF!</definedName>
    <definedName name="new" localSheetId="38" hidden="1">[2]CE!#REF!</definedName>
    <definedName name="new" localSheetId="39" hidden="1">[2]CE!#REF!</definedName>
    <definedName name="new" localSheetId="40" hidden="1">[2]CE!#REF!</definedName>
    <definedName name="new" localSheetId="41" hidden="1">[2]CE!#REF!</definedName>
    <definedName name="new" localSheetId="42" hidden="1">[2]CE!#REF!</definedName>
    <definedName name="new" localSheetId="43" hidden="1">[2]CE!#REF!</definedName>
    <definedName name="new" localSheetId="44" hidden="1">[2]CE!#REF!</definedName>
    <definedName name="new" localSheetId="6" hidden="1">[2]CE!#REF!</definedName>
    <definedName name="new" localSheetId="7" hidden="1">[2]CE!#REF!</definedName>
    <definedName name="new" hidden="1">[2]CE!#REF!</definedName>
    <definedName name="_xlnm.Print_Area" localSheetId="1">Checklist!$B$1:$D$50</definedName>
    <definedName name="_xlnm.Print_Area" localSheetId="39">'F18'!$B$81:$L$135</definedName>
    <definedName name="_xlnm.Print_Area" localSheetId="45">'F24'!$C$1:$AE$53</definedName>
    <definedName name="_xlnm.Print_Area" localSheetId="46">F24.1!$B$1:$D$33</definedName>
    <definedName name="_xlnm.Print_Area" localSheetId="47">F24.2!$B$1:$J$52</definedName>
    <definedName name="_xlnm.Print_Area" localSheetId="50">F24.5!$A$1:$E$52</definedName>
    <definedName name="_xlnm.Print_Area" localSheetId="51">F24.6!$B$1:$G$52</definedName>
    <definedName name="_xlnm.Print_Area" localSheetId="52">F24.7!$B$1:$E$51</definedName>
    <definedName name="_xlnm.Print_Area" localSheetId="53">F24.8!$B$1:$E$51</definedName>
    <definedName name="_xlnm.Print_Area" localSheetId="56">'F26-Year(n+1)(Current Tariff)'!$B$1:$M$212</definedName>
    <definedName name="_xlnm.Print_Area" localSheetId="59">'F26-Year(n+2)(Current Tariff)'!$A$1:$M$212</definedName>
    <definedName name="_xlnm.Print_Area" localSheetId="60">'F26-Year(n+2)(Proposed Tarif)'!$A$1:$M$212</definedName>
    <definedName name="_xlnm.Print_Area" localSheetId="5">'F4'!$A$1:$Q$612</definedName>
    <definedName name="_xlnm.Print_Area" localSheetId="6">F4A!$A$1:$Q$823</definedName>
    <definedName name="xxxx" localSheetId="37" hidden="1">[3]CE!#REF!</definedName>
    <definedName name="xxxx" localSheetId="38" hidden="1">[3]CE!#REF!</definedName>
    <definedName name="xxxx" localSheetId="39" hidden="1">[3]CE!#REF!</definedName>
    <definedName name="xxxx" localSheetId="40" hidden="1">[3]CE!#REF!</definedName>
    <definedName name="xxxx" localSheetId="41" hidden="1">[3]CE!#REF!</definedName>
    <definedName name="xxxx" localSheetId="42" hidden="1">[3]CE!#REF!</definedName>
    <definedName name="xxxx" localSheetId="43" hidden="1">[3]CE!#REF!</definedName>
    <definedName name="xxxx" localSheetId="44" hidden="1">[3]CE!#REF!</definedName>
    <definedName name="xxxx" localSheetId="6" hidden="1">[3]CE!#REF!</definedName>
    <definedName name="xxxx" localSheetId="7" hidden="1">[3]CE!#REF!</definedName>
    <definedName name="xxxx" hidden="1">[3]CE!#REF!</definedName>
  </definedNames>
  <calcPr calcId="162913" iterate="1" iterateCount="5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1" i="207" l="1"/>
  <c r="B12" i="57" l="1"/>
  <c r="B13" i="57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L407" i="234"/>
  <c r="L145" i="234" l="1"/>
  <c r="P155" i="229" l="1"/>
  <c r="O155" i="229"/>
  <c r="T16" i="132"/>
  <c r="S16" i="132"/>
  <c r="R16" i="132"/>
  <c r="Q16" i="132"/>
  <c r="P16" i="132"/>
  <c r="O16" i="132"/>
  <c r="N16" i="132"/>
  <c r="M16" i="132"/>
  <c r="L16" i="132"/>
  <c r="K16" i="132"/>
  <c r="J16" i="132"/>
  <c r="I16" i="132"/>
  <c r="E50" i="200"/>
  <c r="E49" i="200"/>
  <c r="E48" i="200"/>
  <c r="E47" i="200"/>
  <c r="E46" i="200"/>
  <c r="E45" i="200"/>
  <c r="E44" i="200"/>
  <c r="E43" i="200"/>
  <c r="E42" i="200"/>
  <c r="E41" i="200"/>
  <c r="E39" i="200"/>
  <c r="E38" i="200"/>
  <c r="E37" i="200"/>
  <c r="E36" i="200"/>
  <c r="E35" i="200"/>
  <c r="E34" i="200"/>
  <c r="E33" i="200"/>
  <c r="E32" i="200"/>
  <c r="E31" i="200"/>
  <c r="E29" i="200"/>
  <c r="E28" i="200"/>
  <c r="E27" i="200"/>
  <c r="E26" i="200"/>
  <c r="E25" i="200"/>
  <c r="E24" i="200"/>
  <c r="E23" i="200"/>
  <c r="E22" i="200"/>
  <c r="E21" i="200"/>
  <c r="E20" i="200"/>
  <c r="E17" i="200"/>
  <c r="E16" i="200"/>
  <c r="E15" i="200"/>
  <c r="E14" i="200"/>
  <c r="E13" i="200"/>
  <c r="E12" i="200"/>
  <c r="E11" i="200"/>
  <c r="E10" i="200"/>
  <c r="E9" i="200"/>
  <c r="E8" i="200"/>
  <c r="M52" i="196"/>
  <c r="F52" i="196"/>
  <c r="M51" i="196"/>
  <c r="F51" i="196"/>
  <c r="M50" i="196"/>
  <c r="F50" i="196"/>
  <c r="M49" i="196"/>
  <c r="F49" i="196"/>
  <c r="M48" i="196"/>
  <c r="F48" i="196"/>
  <c r="M47" i="196"/>
  <c r="F47" i="196"/>
  <c r="M46" i="196"/>
  <c r="F46" i="196"/>
  <c r="M45" i="196"/>
  <c r="F45" i="196"/>
  <c r="M44" i="196"/>
  <c r="F44" i="196"/>
  <c r="M43" i="196"/>
  <c r="F43" i="196"/>
  <c r="AC41" i="196"/>
  <c r="AA41" i="196"/>
  <c r="Y41" i="196"/>
  <c r="V41" i="196"/>
  <c r="T41" i="196"/>
  <c r="R41" i="196"/>
  <c r="M41" i="196"/>
  <c r="AC40" i="196"/>
  <c r="V40" i="196"/>
  <c r="O40" i="196"/>
  <c r="H40" i="196"/>
  <c r="AC31" i="196"/>
  <c r="AA31" i="196"/>
  <c r="Y31" i="196"/>
  <c r="V31" i="196"/>
  <c r="T31" i="196"/>
  <c r="R31" i="196"/>
  <c r="K31" i="196"/>
  <c r="D31" i="196"/>
  <c r="K19" i="196"/>
  <c r="D19" i="196"/>
  <c r="K18" i="196"/>
  <c r="D18" i="196"/>
  <c r="E18" i="195"/>
  <c r="E17" i="195"/>
  <c r="U31" i="193"/>
  <c r="I31" i="193"/>
  <c r="U19" i="193"/>
  <c r="I19" i="193"/>
  <c r="U18" i="193"/>
  <c r="I18" i="193"/>
  <c r="K14" i="203" l="1"/>
  <c r="J14" i="203"/>
  <c r="K13" i="203"/>
  <c r="J13" i="203"/>
  <c r="P491" i="237"/>
  <c r="O491" i="237"/>
  <c r="N491" i="237"/>
  <c r="M491" i="237"/>
  <c r="L491" i="237"/>
  <c r="K491" i="237"/>
  <c r="J491" i="237"/>
  <c r="I491" i="237"/>
  <c r="H491" i="237"/>
  <c r="G491" i="237"/>
  <c r="F491" i="237"/>
  <c r="E491" i="237"/>
  <c r="Q491" i="237" l="1"/>
  <c r="I66" i="71" l="1"/>
  <c r="I68" i="71"/>
  <c r="I73" i="71"/>
  <c r="G66" i="71"/>
  <c r="G68" i="71"/>
  <c r="G73" i="71"/>
  <c r="H66" i="71"/>
  <c r="H68" i="71"/>
  <c r="H73" i="71"/>
  <c r="H75" i="71"/>
  <c r="F65" i="71"/>
  <c r="F67" i="71"/>
  <c r="E65" i="71"/>
  <c r="E67" i="71"/>
  <c r="J51" i="203" l="1"/>
  <c r="K51" i="203"/>
  <c r="L9" i="58" l="1"/>
  <c r="N19" i="158" l="1"/>
  <c r="N17" i="158"/>
  <c r="N14" i="158"/>
  <c r="N12" i="158"/>
  <c r="M56" i="58" l="1"/>
  <c r="L56" i="58"/>
  <c r="L208" i="209" l="1"/>
  <c r="K208" i="209"/>
  <c r="J208" i="209"/>
  <c r="K207" i="209"/>
  <c r="J207" i="209"/>
  <c r="L206" i="209"/>
  <c r="K206" i="209"/>
  <c r="J206" i="209"/>
  <c r="L205" i="209"/>
  <c r="K205" i="209"/>
  <c r="J205" i="209"/>
  <c r="L204" i="209"/>
  <c r="K204" i="209"/>
  <c r="J204" i="209"/>
  <c r="K203" i="209"/>
  <c r="J203" i="209"/>
  <c r="K202" i="209"/>
  <c r="J202" i="209"/>
  <c r="L201" i="209"/>
  <c r="K201" i="209"/>
  <c r="J201" i="209"/>
  <c r="K200" i="209"/>
  <c r="J200" i="209"/>
  <c r="K199" i="209"/>
  <c r="J199" i="209"/>
  <c r="K198" i="209"/>
  <c r="J198" i="209"/>
  <c r="K197" i="209"/>
  <c r="J197" i="209"/>
  <c r="K196" i="209"/>
  <c r="J196" i="209"/>
  <c r="L195" i="209"/>
  <c r="K195" i="209"/>
  <c r="J195" i="209"/>
  <c r="L194" i="209"/>
  <c r="K194" i="209"/>
  <c r="J194" i="209"/>
  <c r="L193" i="209"/>
  <c r="K193" i="209"/>
  <c r="J193" i="209"/>
  <c r="L192" i="209"/>
  <c r="K192" i="209"/>
  <c r="J192" i="209"/>
  <c r="L191" i="209"/>
  <c r="K191" i="209"/>
  <c r="J191" i="209"/>
  <c r="K190" i="209"/>
  <c r="J190" i="209"/>
  <c r="K189" i="209"/>
  <c r="J189" i="209"/>
  <c r="K188" i="209"/>
  <c r="J188" i="209"/>
  <c r="K187" i="209"/>
  <c r="J187" i="209"/>
  <c r="K186" i="209"/>
  <c r="J186" i="209"/>
  <c r="L185" i="209"/>
  <c r="K185" i="209"/>
  <c r="J185" i="209"/>
  <c r="L184" i="209"/>
  <c r="K184" i="209"/>
  <c r="J184" i="209"/>
  <c r="L183" i="209"/>
  <c r="K183" i="209"/>
  <c r="J183" i="209"/>
  <c r="K182" i="209"/>
  <c r="J182" i="209"/>
  <c r="K181" i="209"/>
  <c r="J181" i="209"/>
  <c r="K180" i="209"/>
  <c r="J180" i="209"/>
  <c r="K179" i="209"/>
  <c r="J179" i="209"/>
  <c r="K178" i="209"/>
  <c r="J178" i="209"/>
  <c r="K177" i="209"/>
  <c r="J177" i="209"/>
  <c r="K176" i="209"/>
  <c r="J176" i="209"/>
  <c r="K175" i="209"/>
  <c r="J175" i="209"/>
  <c r="K174" i="209"/>
  <c r="J174" i="209"/>
  <c r="K173" i="209"/>
  <c r="J173" i="209"/>
  <c r="K172" i="209"/>
  <c r="J172" i="209"/>
  <c r="K171" i="209"/>
  <c r="J171" i="209"/>
  <c r="K170" i="209"/>
  <c r="J170" i="209"/>
  <c r="K169" i="209"/>
  <c r="J169" i="209"/>
  <c r="K168" i="209"/>
  <c r="J168" i="209"/>
  <c r="K167" i="209"/>
  <c r="J167" i="209"/>
  <c r="K163" i="209"/>
  <c r="J163" i="209"/>
  <c r="K162" i="209"/>
  <c r="J162" i="209"/>
  <c r="K161" i="209"/>
  <c r="J161" i="209"/>
  <c r="L160" i="209"/>
  <c r="K160" i="209"/>
  <c r="J160" i="209"/>
  <c r="L159" i="209"/>
  <c r="K159" i="209"/>
  <c r="J159" i="209"/>
  <c r="L158" i="209"/>
  <c r="K158" i="209"/>
  <c r="J158" i="209"/>
  <c r="K157" i="209"/>
  <c r="J157" i="209"/>
  <c r="K156" i="209"/>
  <c r="J156" i="209"/>
  <c r="K155" i="209"/>
  <c r="J155" i="209"/>
  <c r="K154" i="209"/>
  <c r="J154" i="209"/>
  <c r="L153" i="209"/>
  <c r="K153" i="209"/>
  <c r="J153" i="209"/>
  <c r="L152" i="209"/>
  <c r="K152" i="209"/>
  <c r="J152" i="209"/>
  <c r="L151" i="209"/>
  <c r="K151" i="209"/>
  <c r="J151" i="209"/>
  <c r="K150" i="209"/>
  <c r="J150" i="209"/>
  <c r="K149" i="209"/>
  <c r="J149" i="209"/>
  <c r="K148" i="209"/>
  <c r="J148" i="209"/>
  <c r="K147" i="209"/>
  <c r="J147" i="209"/>
  <c r="K146" i="209"/>
  <c r="J146" i="209"/>
  <c r="K145" i="209"/>
  <c r="J145" i="209"/>
  <c r="K144" i="209"/>
  <c r="J144" i="209"/>
  <c r="L143" i="209"/>
  <c r="K143" i="209"/>
  <c r="J143" i="209"/>
  <c r="K142" i="209"/>
  <c r="J142" i="209"/>
  <c r="K141" i="209"/>
  <c r="J141" i="209"/>
  <c r="K140" i="209"/>
  <c r="J140" i="209"/>
  <c r="K139" i="209"/>
  <c r="J139" i="209"/>
  <c r="K138" i="209"/>
  <c r="J138" i="209"/>
  <c r="K137" i="209"/>
  <c r="J137" i="209"/>
  <c r="L136" i="209"/>
  <c r="K136" i="209"/>
  <c r="J136" i="209"/>
  <c r="L135" i="209"/>
  <c r="K135" i="209"/>
  <c r="J135" i="209"/>
  <c r="L134" i="209"/>
  <c r="K134" i="209"/>
  <c r="J134" i="209"/>
  <c r="K133" i="209"/>
  <c r="J133" i="209"/>
  <c r="K132" i="209"/>
  <c r="J132" i="209"/>
  <c r="K131" i="209"/>
  <c r="J131" i="209"/>
  <c r="K130" i="209"/>
  <c r="J130" i="209"/>
  <c r="K129" i="209"/>
  <c r="J129" i="209"/>
  <c r="K128" i="209"/>
  <c r="J128" i="209"/>
  <c r="K127" i="209"/>
  <c r="J127" i="209"/>
  <c r="K126" i="209"/>
  <c r="J126" i="209"/>
  <c r="K125" i="209"/>
  <c r="J125" i="209"/>
  <c r="K124" i="209"/>
  <c r="J124" i="209"/>
  <c r="K123" i="209"/>
  <c r="J123" i="209"/>
  <c r="L119" i="209"/>
  <c r="K119" i="209"/>
  <c r="J119" i="209"/>
  <c r="L118" i="209"/>
  <c r="K118" i="209"/>
  <c r="J118" i="209"/>
  <c r="L117" i="209"/>
  <c r="K117" i="209"/>
  <c r="J117" i="209"/>
  <c r="L116" i="209"/>
  <c r="K116" i="209"/>
  <c r="J116" i="209"/>
  <c r="K115" i="209"/>
  <c r="J115" i="209"/>
  <c r="K114" i="209"/>
  <c r="J114" i="209"/>
  <c r="K113" i="209"/>
  <c r="J113" i="209"/>
  <c r="K112" i="209"/>
  <c r="J112" i="209"/>
  <c r="L111" i="209"/>
  <c r="K111" i="209"/>
  <c r="J111" i="209"/>
  <c r="L110" i="209"/>
  <c r="K110" i="209"/>
  <c r="J110" i="209"/>
  <c r="L109" i="209"/>
  <c r="K109" i="209"/>
  <c r="J109" i="209"/>
  <c r="K108" i="209"/>
  <c r="J108" i="209"/>
  <c r="K107" i="209"/>
  <c r="J107" i="209"/>
  <c r="K106" i="209"/>
  <c r="J106" i="209"/>
  <c r="K105" i="209"/>
  <c r="J105" i="209"/>
  <c r="K104" i="209"/>
  <c r="J104" i="209"/>
  <c r="K103" i="209"/>
  <c r="J103" i="209"/>
  <c r="K102" i="209"/>
  <c r="J102" i="209"/>
  <c r="K101" i="209"/>
  <c r="J101" i="209"/>
  <c r="K100" i="209"/>
  <c r="J100" i="209"/>
  <c r="K99" i="209"/>
  <c r="J99" i="209"/>
  <c r="K98" i="209"/>
  <c r="J98" i="209"/>
  <c r="K97" i="209"/>
  <c r="J97" i="209"/>
  <c r="K96" i="209"/>
  <c r="J96" i="209"/>
  <c r="K95" i="209"/>
  <c r="J95" i="209"/>
  <c r="K94" i="209"/>
  <c r="J94" i="209"/>
  <c r="K93" i="209"/>
  <c r="J93" i="209"/>
  <c r="K92" i="209"/>
  <c r="J92" i="209"/>
  <c r="K91" i="209"/>
  <c r="J91" i="209"/>
  <c r="K90" i="209"/>
  <c r="J90" i="209"/>
  <c r="K89" i="209"/>
  <c r="J89" i="209"/>
  <c r="K88" i="209"/>
  <c r="J88" i="209"/>
  <c r="K87" i="209"/>
  <c r="J87" i="209"/>
  <c r="K86" i="209"/>
  <c r="J86" i="209"/>
  <c r="K85" i="209"/>
  <c r="J85" i="209"/>
  <c r="K84" i="209"/>
  <c r="J84" i="209"/>
  <c r="K83" i="209"/>
  <c r="J83" i="209"/>
  <c r="K82" i="209"/>
  <c r="J82" i="209"/>
  <c r="K81" i="209"/>
  <c r="J81" i="209"/>
  <c r="K80" i="209"/>
  <c r="J80" i="209"/>
  <c r="K79" i="209"/>
  <c r="J79" i="209"/>
  <c r="K78" i="209"/>
  <c r="J78" i="209"/>
  <c r="K77" i="209"/>
  <c r="J77" i="209"/>
  <c r="K76" i="209"/>
  <c r="J76" i="209"/>
  <c r="K75" i="209"/>
  <c r="J75" i="209"/>
  <c r="K74" i="209"/>
  <c r="J74" i="209"/>
  <c r="K68" i="209"/>
  <c r="J68" i="209"/>
  <c r="K67" i="209"/>
  <c r="J67" i="209"/>
  <c r="K66" i="209"/>
  <c r="J66" i="209"/>
  <c r="K65" i="209"/>
  <c r="J65" i="209"/>
  <c r="K64" i="209"/>
  <c r="J64" i="209"/>
  <c r="K63" i="209"/>
  <c r="J63" i="209"/>
  <c r="K62" i="209"/>
  <c r="J62" i="209"/>
  <c r="L61" i="209"/>
  <c r="K61" i="209"/>
  <c r="J61" i="209"/>
  <c r="K60" i="209"/>
  <c r="J60" i="209"/>
  <c r="K59" i="209"/>
  <c r="J59" i="209"/>
  <c r="K58" i="209"/>
  <c r="J58" i="209"/>
  <c r="K57" i="209"/>
  <c r="J57" i="209"/>
  <c r="K56" i="209"/>
  <c r="J56" i="209"/>
  <c r="K55" i="209"/>
  <c r="J55" i="209"/>
  <c r="K54" i="209"/>
  <c r="J54" i="209"/>
  <c r="K53" i="209"/>
  <c r="J53" i="209"/>
  <c r="K52" i="209"/>
  <c r="J52" i="209"/>
  <c r="K51" i="209"/>
  <c r="J51" i="209"/>
  <c r="L50" i="209"/>
  <c r="K50" i="209"/>
  <c r="J50" i="209"/>
  <c r="K49" i="209"/>
  <c r="J49" i="209"/>
  <c r="L48" i="209"/>
  <c r="K48" i="209"/>
  <c r="J48" i="209"/>
  <c r="K47" i="209"/>
  <c r="J47" i="209"/>
  <c r="K46" i="209"/>
  <c r="J46" i="209"/>
  <c r="K45" i="209"/>
  <c r="J45" i="209"/>
  <c r="K44" i="209"/>
  <c r="J44" i="209"/>
  <c r="K43" i="209"/>
  <c r="J43" i="209"/>
  <c r="K42" i="209"/>
  <c r="J42" i="209"/>
  <c r="L41" i="209"/>
  <c r="K41" i="209"/>
  <c r="J41" i="209"/>
  <c r="L40" i="209"/>
  <c r="K40" i="209"/>
  <c r="J40" i="209"/>
  <c r="L39" i="209"/>
  <c r="K39" i="209"/>
  <c r="J39" i="209"/>
  <c r="L38" i="209"/>
  <c r="K38" i="209"/>
  <c r="J38" i="209"/>
  <c r="L37" i="209"/>
  <c r="K37" i="209"/>
  <c r="J37" i="209"/>
  <c r="L36" i="209"/>
  <c r="K36" i="209"/>
  <c r="J36" i="209"/>
  <c r="L35" i="209"/>
  <c r="K35" i="209"/>
  <c r="J35" i="209"/>
  <c r="K34" i="209"/>
  <c r="J34" i="209"/>
  <c r="K33" i="209"/>
  <c r="J33" i="209"/>
  <c r="K32" i="209"/>
  <c r="J32" i="209"/>
  <c r="K31" i="209"/>
  <c r="J31" i="209"/>
  <c r="K30" i="209"/>
  <c r="J30" i="209"/>
  <c r="K29" i="209"/>
  <c r="J29" i="209"/>
  <c r="K28" i="209"/>
  <c r="J28" i="209"/>
  <c r="K27" i="209"/>
  <c r="J27" i="209"/>
  <c r="K26" i="209"/>
  <c r="J26" i="209"/>
  <c r="K25" i="209"/>
  <c r="J25" i="209"/>
  <c r="K24" i="209"/>
  <c r="J24" i="209"/>
  <c r="K23" i="209"/>
  <c r="J23" i="209"/>
  <c r="K22" i="209"/>
  <c r="J22" i="209"/>
  <c r="K21" i="209"/>
  <c r="J21" i="209"/>
  <c r="K20" i="209"/>
  <c r="J20" i="209"/>
  <c r="K19" i="209"/>
  <c r="J19" i="209"/>
  <c r="K18" i="209"/>
  <c r="J18" i="209"/>
  <c r="K17" i="209"/>
  <c r="J17" i="209"/>
  <c r="K16" i="209"/>
  <c r="J16" i="209"/>
  <c r="K15" i="209"/>
  <c r="J15" i="209"/>
  <c r="K14" i="209"/>
  <c r="J14" i="209"/>
  <c r="K13" i="209"/>
  <c r="J13" i="209"/>
  <c r="K12" i="209"/>
  <c r="J12" i="209"/>
  <c r="K11" i="209"/>
  <c r="J11" i="209"/>
  <c r="K10" i="209"/>
  <c r="J10" i="209"/>
  <c r="K9" i="209"/>
  <c r="J9" i="209"/>
  <c r="K164" i="209" l="1"/>
  <c r="J70" i="209"/>
  <c r="J164" i="209"/>
  <c r="J209" i="209"/>
  <c r="J120" i="209"/>
  <c r="K209" i="209"/>
  <c r="K70" i="209"/>
  <c r="K120" i="209"/>
  <c r="M51" i="58"/>
  <c r="M52" i="58"/>
  <c r="M53" i="58"/>
  <c r="M54" i="58"/>
  <c r="M55" i="58"/>
  <c r="L55" i="58"/>
  <c r="L52" i="58"/>
  <c r="L53" i="58"/>
  <c r="L54" i="58"/>
  <c r="L51" i="58"/>
  <c r="M29" i="58"/>
  <c r="N29" i="58"/>
  <c r="O29" i="58"/>
  <c r="P29" i="58"/>
  <c r="Q29" i="58"/>
  <c r="M30" i="58"/>
  <c r="N30" i="58"/>
  <c r="O30" i="58"/>
  <c r="P30" i="58"/>
  <c r="Q30" i="58"/>
  <c r="M31" i="58"/>
  <c r="N31" i="58"/>
  <c r="O31" i="58"/>
  <c r="P31" i="58"/>
  <c r="Q31" i="58"/>
  <c r="M32" i="58"/>
  <c r="N32" i="58"/>
  <c r="O32" i="58"/>
  <c r="P32" i="58"/>
  <c r="Q32" i="58"/>
  <c r="M33" i="58"/>
  <c r="N33" i="58"/>
  <c r="O33" i="58"/>
  <c r="P33" i="58"/>
  <c r="Q33" i="58"/>
  <c r="N34" i="58"/>
  <c r="O34" i="58"/>
  <c r="P34" i="58"/>
  <c r="Q34" i="58"/>
  <c r="N35" i="58"/>
  <c r="O35" i="58"/>
  <c r="P35" i="58"/>
  <c r="Q35" i="58"/>
  <c r="M36" i="58"/>
  <c r="N36" i="58"/>
  <c r="O36" i="58"/>
  <c r="P36" i="58"/>
  <c r="Q36" i="58"/>
  <c r="M37" i="58"/>
  <c r="N37" i="58"/>
  <c r="O37" i="58"/>
  <c r="P37" i="58"/>
  <c r="Q37" i="58"/>
  <c r="N38" i="58"/>
  <c r="O38" i="58"/>
  <c r="P38" i="58"/>
  <c r="Q38" i="58"/>
  <c r="M39" i="58"/>
  <c r="N39" i="58"/>
  <c r="O39" i="58"/>
  <c r="P39" i="58"/>
  <c r="Q39" i="58"/>
  <c r="L30" i="58"/>
  <c r="L31" i="58"/>
  <c r="L32" i="58"/>
  <c r="L33" i="58"/>
  <c r="L36" i="58"/>
  <c r="L37" i="58"/>
  <c r="L39" i="58"/>
  <c r="L29" i="58"/>
  <c r="F208" i="256" l="1"/>
  <c r="E208" i="256"/>
  <c r="D208" i="256"/>
  <c r="F207" i="256"/>
  <c r="E207" i="256"/>
  <c r="D207" i="256"/>
  <c r="F206" i="256"/>
  <c r="E206" i="256"/>
  <c r="D206" i="256"/>
  <c r="F205" i="256"/>
  <c r="E205" i="256"/>
  <c r="D205" i="256"/>
  <c r="F204" i="256"/>
  <c r="E204" i="256"/>
  <c r="D204" i="256"/>
  <c r="F203" i="256"/>
  <c r="E203" i="256"/>
  <c r="D203" i="256"/>
  <c r="F202" i="256"/>
  <c r="E202" i="256"/>
  <c r="D202" i="256"/>
  <c r="F201" i="256"/>
  <c r="E201" i="256"/>
  <c r="D201" i="256"/>
  <c r="F200" i="256"/>
  <c r="E200" i="256"/>
  <c r="D200" i="256"/>
  <c r="F199" i="256"/>
  <c r="E199" i="256"/>
  <c r="D199" i="256"/>
  <c r="F198" i="256"/>
  <c r="E198" i="256"/>
  <c r="D198" i="256"/>
  <c r="F197" i="256"/>
  <c r="E197" i="256"/>
  <c r="D197" i="256"/>
  <c r="F196" i="256"/>
  <c r="E196" i="256"/>
  <c r="D196" i="256"/>
  <c r="F195" i="256"/>
  <c r="E195" i="256"/>
  <c r="D195" i="256"/>
  <c r="F194" i="256"/>
  <c r="E194" i="256"/>
  <c r="D194" i="256"/>
  <c r="F193" i="256"/>
  <c r="E193" i="256"/>
  <c r="D193" i="256"/>
  <c r="F192" i="256"/>
  <c r="E192" i="256"/>
  <c r="D192" i="256"/>
  <c r="F191" i="256"/>
  <c r="E191" i="256"/>
  <c r="D191" i="256"/>
  <c r="F190" i="256"/>
  <c r="E190" i="256"/>
  <c r="D190" i="256"/>
  <c r="F189" i="256"/>
  <c r="E189" i="256"/>
  <c r="D189" i="256"/>
  <c r="F188" i="256"/>
  <c r="E188" i="256"/>
  <c r="D188" i="256"/>
  <c r="F187" i="256"/>
  <c r="E187" i="256"/>
  <c r="D187" i="256"/>
  <c r="F186" i="256"/>
  <c r="E186" i="256"/>
  <c r="D186" i="256"/>
  <c r="F185" i="256"/>
  <c r="E185" i="256"/>
  <c r="D185" i="256"/>
  <c r="F184" i="256"/>
  <c r="E184" i="256"/>
  <c r="D184" i="256"/>
  <c r="F183" i="256"/>
  <c r="E183" i="256"/>
  <c r="D183" i="256"/>
  <c r="F182" i="256"/>
  <c r="E182" i="256"/>
  <c r="D182" i="256"/>
  <c r="F181" i="256"/>
  <c r="E181" i="256"/>
  <c r="D181" i="256"/>
  <c r="F180" i="256"/>
  <c r="E180" i="256"/>
  <c r="D180" i="256"/>
  <c r="F179" i="256"/>
  <c r="E179" i="256"/>
  <c r="D179" i="256"/>
  <c r="F178" i="256"/>
  <c r="E178" i="256"/>
  <c r="D178" i="256"/>
  <c r="F177" i="256"/>
  <c r="E177" i="256"/>
  <c r="D177" i="256"/>
  <c r="F176" i="256"/>
  <c r="E176" i="256"/>
  <c r="D176" i="256"/>
  <c r="F175" i="256"/>
  <c r="E175" i="256"/>
  <c r="D175" i="256"/>
  <c r="F174" i="256"/>
  <c r="E174" i="256"/>
  <c r="D174" i="256"/>
  <c r="F173" i="256"/>
  <c r="E173" i="256"/>
  <c r="D173" i="256"/>
  <c r="F172" i="256"/>
  <c r="E172" i="256"/>
  <c r="D172" i="256"/>
  <c r="F171" i="256"/>
  <c r="E171" i="256"/>
  <c r="D171" i="256"/>
  <c r="F170" i="256"/>
  <c r="E170" i="256"/>
  <c r="D170" i="256"/>
  <c r="F169" i="256"/>
  <c r="E169" i="256"/>
  <c r="D169" i="256"/>
  <c r="F168" i="256"/>
  <c r="E168" i="256"/>
  <c r="D168" i="256"/>
  <c r="F167" i="256"/>
  <c r="E167" i="256"/>
  <c r="D167" i="256"/>
  <c r="F163" i="256"/>
  <c r="E163" i="256"/>
  <c r="D163" i="256"/>
  <c r="F162" i="256"/>
  <c r="E162" i="256"/>
  <c r="D162" i="256"/>
  <c r="F161" i="256"/>
  <c r="E161" i="256"/>
  <c r="D161" i="256"/>
  <c r="F160" i="256"/>
  <c r="E160" i="256"/>
  <c r="D160" i="256"/>
  <c r="F159" i="256"/>
  <c r="E159" i="256"/>
  <c r="D159" i="256"/>
  <c r="F158" i="256"/>
  <c r="E158" i="256"/>
  <c r="D158" i="256"/>
  <c r="F157" i="256"/>
  <c r="E157" i="256"/>
  <c r="D157" i="256"/>
  <c r="F156" i="256"/>
  <c r="E156" i="256"/>
  <c r="D156" i="256"/>
  <c r="F155" i="256"/>
  <c r="E155" i="256"/>
  <c r="D155" i="256"/>
  <c r="F154" i="256"/>
  <c r="E154" i="256"/>
  <c r="D154" i="256"/>
  <c r="F153" i="256"/>
  <c r="E153" i="256"/>
  <c r="D153" i="256"/>
  <c r="F152" i="256"/>
  <c r="E152" i="256"/>
  <c r="D152" i="256"/>
  <c r="F151" i="256"/>
  <c r="E151" i="256"/>
  <c r="D151" i="256"/>
  <c r="F150" i="256"/>
  <c r="E150" i="256"/>
  <c r="D150" i="256"/>
  <c r="F149" i="256"/>
  <c r="E149" i="256"/>
  <c r="D149" i="256"/>
  <c r="F148" i="256"/>
  <c r="E148" i="256"/>
  <c r="D148" i="256"/>
  <c r="F147" i="256"/>
  <c r="E147" i="256"/>
  <c r="D147" i="256"/>
  <c r="F146" i="256"/>
  <c r="E146" i="256"/>
  <c r="D146" i="256"/>
  <c r="F145" i="256"/>
  <c r="E145" i="256"/>
  <c r="D145" i="256"/>
  <c r="F144" i="256"/>
  <c r="E144" i="256"/>
  <c r="D144" i="256"/>
  <c r="F143" i="256"/>
  <c r="E143" i="256"/>
  <c r="D143" i="256"/>
  <c r="F142" i="256"/>
  <c r="E142" i="256"/>
  <c r="D142" i="256"/>
  <c r="F141" i="256"/>
  <c r="E141" i="256"/>
  <c r="D141" i="256"/>
  <c r="F140" i="256"/>
  <c r="E140" i="256"/>
  <c r="D140" i="256"/>
  <c r="F139" i="256"/>
  <c r="E139" i="256"/>
  <c r="D139" i="256"/>
  <c r="F138" i="256"/>
  <c r="E138" i="256"/>
  <c r="D138" i="256"/>
  <c r="F137" i="256"/>
  <c r="E137" i="256"/>
  <c r="D137" i="256"/>
  <c r="F136" i="256"/>
  <c r="E136" i="256"/>
  <c r="D136" i="256"/>
  <c r="F135" i="256"/>
  <c r="E135" i="256"/>
  <c r="D135" i="256"/>
  <c r="F134" i="256"/>
  <c r="E134" i="256"/>
  <c r="D134" i="256"/>
  <c r="F133" i="256"/>
  <c r="E133" i="256"/>
  <c r="D133" i="256"/>
  <c r="F132" i="256"/>
  <c r="E132" i="256"/>
  <c r="D132" i="256"/>
  <c r="F131" i="256"/>
  <c r="E131" i="256"/>
  <c r="D131" i="256"/>
  <c r="F130" i="256"/>
  <c r="E130" i="256"/>
  <c r="D130" i="256"/>
  <c r="F129" i="256"/>
  <c r="E129" i="256"/>
  <c r="D129" i="256"/>
  <c r="F128" i="256"/>
  <c r="E128" i="256"/>
  <c r="D128" i="256"/>
  <c r="F127" i="256"/>
  <c r="E127" i="256"/>
  <c r="D127" i="256"/>
  <c r="F126" i="256"/>
  <c r="E126" i="256"/>
  <c r="D126" i="256"/>
  <c r="F125" i="256"/>
  <c r="E125" i="256"/>
  <c r="D125" i="256"/>
  <c r="F124" i="256"/>
  <c r="E124" i="256"/>
  <c r="D124" i="256"/>
  <c r="F123" i="256"/>
  <c r="E123" i="256"/>
  <c r="D123" i="256"/>
  <c r="F119" i="256"/>
  <c r="E119" i="256"/>
  <c r="D119" i="256"/>
  <c r="F118" i="256"/>
  <c r="E118" i="256"/>
  <c r="D118" i="256"/>
  <c r="F117" i="256"/>
  <c r="E117" i="256"/>
  <c r="D117" i="256"/>
  <c r="F116" i="256"/>
  <c r="E116" i="256"/>
  <c r="D116" i="256"/>
  <c r="F115" i="256"/>
  <c r="E115" i="256"/>
  <c r="D115" i="256"/>
  <c r="F114" i="256"/>
  <c r="E114" i="256"/>
  <c r="D114" i="256"/>
  <c r="F113" i="256"/>
  <c r="E113" i="256"/>
  <c r="D113" i="256"/>
  <c r="F112" i="256"/>
  <c r="E112" i="256"/>
  <c r="D112" i="256"/>
  <c r="F111" i="256"/>
  <c r="E111" i="256"/>
  <c r="D111" i="256"/>
  <c r="F110" i="256"/>
  <c r="E110" i="256"/>
  <c r="D110" i="256"/>
  <c r="F109" i="256"/>
  <c r="E109" i="256"/>
  <c r="D109" i="256"/>
  <c r="F108" i="256"/>
  <c r="E108" i="256"/>
  <c r="D108" i="256"/>
  <c r="F107" i="256"/>
  <c r="E107" i="256"/>
  <c r="D107" i="256"/>
  <c r="F106" i="256"/>
  <c r="E106" i="256"/>
  <c r="D106" i="256"/>
  <c r="F105" i="256"/>
  <c r="E105" i="256"/>
  <c r="D105" i="256"/>
  <c r="F104" i="256"/>
  <c r="E104" i="256"/>
  <c r="D104" i="256"/>
  <c r="F103" i="256"/>
  <c r="E103" i="256"/>
  <c r="D103" i="256"/>
  <c r="F102" i="256"/>
  <c r="E102" i="256"/>
  <c r="D102" i="256"/>
  <c r="F101" i="256"/>
  <c r="E101" i="256"/>
  <c r="D101" i="256"/>
  <c r="F100" i="256"/>
  <c r="E100" i="256"/>
  <c r="D100" i="256"/>
  <c r="F99" i="256"/>
  <c r="E99" i="256"/>
  <c r="D99" i="256"/>
  <c r="F98" i="256"/>
  <c r="E98" i="256"/>
  <c r="D98" i="256"/>
  <c r="F97" i="256"/>
  <c r="E97" i="256"/>
  <c r="D97" i="256"/>
  <c r="F96" i="256"/>
  <c r="E96" i="256"/>
  <c r="D96" i="256"/>
  <c r="F95" i="256"/>
  <c r="E95" i="256"/>
  <c r="D95" i="256"/>
  <c r="F94" i="256"/>
  <c r="E94" i="256"/>
  <c r="D94" i="256"/>
  <c r="F93" i="256"/>
  <c r="E93" i="256"/>
  <c r="D93" i="256"/>
  <c r="F92" i="256"/>
  <c r="E92" i="256"/>
  <c r="D92" i="256"/>
  <c r="F91" i="256"/>
  <c r="E91" i="256"/>
  <c r="D91" i="256"/>
  <c r="F90" i="256"/>
  <c r="E90" i="256"/>
  <c r="D90" i="256"/>
  <c r="F89" i="256"/>
  <c r="E89" i="256"/>
  <c r="D89" i="256"/>
  <c r="F88" i="256"/>
  <c r="E88" i="256"/>
  <c r="D88" i="256"/>
  <c r="F87" i="256"/>
  <c r="E87" i="256"/>
  <c r="D87" i="256"/>
  <c r="F86" i="256"/>
  <c r="E86" i="256"/>
  <c r="D86" i="256"/>
  <c r="F85" i="256"/>
  <c r="E85" i="256"/>
  <c r="D85" i="256"/>
  <c r="F84" i="256"/>
  <c r="E84" i="256"/>
  <c r="D84" i="256"/>
  <c r="F83" i="256"/>
  <c r="E83" i="256"/>
  <c r="D83" i="256"/>
  <c r="F82" i="256"/>
  <c r="E82" i="256"/>
  <c r="D82" i="256"/>
  <c r="F81" i="256"/>
  <c r="E81" i="256"/>
  <c r="D81" i="256"/>
  <c r="F80" i="256"/>
  <c r="E80" i="256"/>
  <c r="D80" i="256"/>
  <c r="F79" i="256"/>
  <c r="E79" i="256"/>
  <c r="D79" i="256"/>
  <c r="F78" i="256"/>
  <c r="E78" i="256"/>
  <c r="D78" i="256"/>
  <c r="F77" i="256"/>
  <c r="E77" i="256"/>
  <c r="D77" i="256"/>
  <c r="F76" i="256"/>
  <c r="E76" i="256"/>
  <c r="D76" i="256"/>
  <c r="F75" i="256"/>
  <c r="E75" i="256"/>
  <c r="D75" i="256"/>
  <c r="F74" i="256"/>
  <c r="E74" i="256"/>
  <c r="D74" i="256"/>
  <c r="F68" i="256"/>
  <c r="E68" i="256"/>
  <c r="D68" i="256"/>
  <c r="F67" i="256"/>
  <c r="E67" i="256"/>
  <c r="D67" i="256"/>
  <c r="F66" i="256"/>
  <c r="E66" i="256"/>
  <c r="D66" i="256"/>
  <c r="F65" i="256"/>
  <c r="E65" i="256"/>
  <c r="D65" i="256"/>
  <c r="F64" i="256"/>
  <c r="E64" i="256"/>
  <c r="D64" i="256"/>
  <c r="F63" i="256"/>
  <c r="E63" i="256"/>
  <c r="D63" i="256"/>
  <c r="F62" i="256"/>
  <c r="E62" i="256"/>
  <c r="D62" i="256"/>
  <c r="F61" i="256"/>
  <c r="E61" i="256"/>
  <c r="D61" i="256"/>
  <c r="F60" i="256"/>
  <c r="E60" i="256"/>
  <c r="D60" i="256"/>
  <c r="F59" i="256"/>
  <c r="E59" i="256"/>
  <c r="D59" i="256"/>
  <c r="F58" i="256"/>
  <c r="E58" i="256"/>
  <c r="D58" i="256"/>
  <c r="F57" i="256"/>
  <c r="E57" i="256"/>
  <c r="D57" i="256"/>
  <c r="F56" i="256"/>
  <c r="E56" i="256"/>
  <c r="D56" i="256"/>
  <c r="F55" i="256"/>
  <c r="E55" i="256"/>
  <c r="D55" i="256"/>
  <c r="F54" i="256"/>
  <c r="E54" i="256"/>
  <c r="D54" i="256"/>
  <c r="F53" i="256"/>
  <c r="E53" i="256"/>
  <c r="D53" i="256"/>
  <c r="F52" i="256"/>
  <c r="E52" i="256"/>
  <c r="D52" i="256"/>
  <c r="F51" i="256"/>
  <c r="E51" i="256"/>
  <c r="D51" i="256"/>
  <c r="F50" i="256"/>
  <c r="E50" i="256"/>
  <c r="D50" i="256"/>
  <c r="F49" i="256"/>
  <c r="E49" i="256"/>
  <c r="D49" i="256"/>
  <c r="F48" i="256"/>
  <c r="E48" i="256"/>
  <c r="D48" i="256"/>
  <c r="F47" i="256"/>
  <c r="E47" i="256"/>
  <c r="D47" i="256"/>
  <c r="F46" i="256"/>
  <c r="E46" i="256"/>
  <c r="D46" i="256"/>
  <c r="F45" i="256"/>
  <c r="E45" i="256"/>
  <c r="D45" i="256"/>
  <c r="F44" i="256"/>
  <c r="E44" i="256"/>
  <c r="D44" i="256"/>
  <c r="F43" i="256"/>
  <c r="E43" i="256"/>
  <c r="D43" i="256"/>
  <c r="F42" i="256"/>
  <c r="E42" i="256"/>
  <c r="D42" i="256"/>
  <c r="F41" i="256"/>
  <c r="E41" i="256"/>
  <c r="D41" i="256"/>
  <c r="F40" i="256"/>
  <c r="E40" i="256"/>
  <c r="D40" i="256"/>
  <c r="F39" i="256"/>
  <c r="E39" i="256"/>
  <c r="D39" i="256"/>
  <c r="F38" i="256"/>
  <c r="E38" i="256"/>
  <c r="D38" i="256"/>
  <c r="F37" i="256"/>
  <c r="E37" i="256"/>
  <c r="D37" i="256"/>
  <c r="F36" i="256"/>
  <c r="E36" i="256"/>
  <c r="D36" i="256"/>
  <c r="F35" i="256"/>
  <c r="E35" i="256"/>
  <c r="D35" i="256"/>
  <c r="F34" i="256"/>
  <c r="E34" i="256"/>
  <c r="D34" i="256"/>
  <c r="F33" i="256"/>
  <c r="E33" i="256"/>
  <c r="D33" i="256"/>
  <c r="F32" i="256"/>
  <c r="E32" i="256"/>
  <c r="D32" i="256"/>
  <c r="F31" i="256"/>
  <c r="E31" i="256"/>
  <c r="D31" i="256"/>
  <c r="F30" i="256"/>
  <c r="E30" i="256"/>
  <c r="D30" i="256"/>
  <c r="F29" i="256"/>
  <c r="E29" i="256"/>
  <c r="D29" i="256"/>
  <c r="F28" i="256"/>
  <c r="E28" i="256"/>
  <c r="D28" i="256"/>
  <c r="F27" i="256"/>
  <c r="E27" i="256"/>
  <c r="D27" i="256"/>
  <c r="F26" i="256"/>
  <c r="E26" i="256"/>
  <c r="D26" i="256"/>
  <c r="F25" i="256"/>
  <c r="E25" i="256"/>
  <c r="D25" i="256"/>
  <c r="F24" i="256"/>
  <c r="E24" i="256"/>
  <c r="D24" i="256"/>
  <c r="F23" i="256"/>
  <c r="E23" i="256"/>
  <c r="D23" i="256"/>
  <c r="F22" i="256"/>
  <c r="E22" i="256"/>
  <c r="D22" i="256"/>
  <c r="F21" i="256"/>
  <c r="E21" i="256"/>
  <c r="D21" i="256"/>
  <c r="F20" i="256"/>
  <c r="E20" i="256"/>
  <c r="D20" i="256"/>
  <c r="F19" i="256"/>
  <c r="E19" i="256"/>
  <c r="D19" i="256"/>
  <c r="F18" i="256"/>
  <c r="E18" i="256"/>
  <c r="D18" i="256"/>
  <c r="F17" i="256"/>
  <c r="E17" i="256"/>
  <c r="D17" i="256"/>
  <c r="F16" i="256"/>
  <c r="E16" i="256"/>
  <c r="D16" i="256"/>
  <c r="F15" i="256"/>
  <c r="E15" i="256"/>
  <c r="D15" i="256"/>
  <c r="F14" i="256"/>
  <c r="E14" i="256"/>
  <c r="D14" i="256"/>
  <c r="F13" i="256"/>
  <c r="E13" i="256"/>
  <c r="D13" i="256"/>
  <c r="F12" i="256"/>
  <c r="E12" i="256"/>
  <c r="D12" i="256"/>
  <c r="F11" i="256"/>
  <c r="E11" i="256"/>
  <c r="D11" i="256"/>
  <c r="F10" i="256"/>
  <c r="E10" i="256"/>
  <c r="D10" i="256"/>
  <c r="F9" i="256"/>
  <c r="E9" i="256"/>
  <c r="D9" i="256"/>
  <c r="F115" i="209"/>
  <c r="F114" i="209"/>
  <c r="F113" i="209"/>
  <c r="F112" i="209"/>
  <c r="F111" i="209"/>
  <c r="F110" i="209"/>
  <c r="F108" i="209"/>
  <c r="F107" i="209"/>
  <c r="F106" i="209"/>
  <c r="F105" i="209"/>
  <c r="F100" i="209"/>
  <c r="F95" i="209"/>
  <c r="F90" i="209"/>
  <c r="F89" i="209"/>
  <c r="F88" i="209"/>
  <c r="F87" i="209"/>
  <c r="F86" i="209"/>
  <c r="F85" i="209"/>
  <c r="F84" i="209"/>
  <c r="F83" i="209"/>
  <c r="F82" i="209"/>
  <c r="F81" i="209"/>
  <c r="F80" i="209"/>
  <c r="F79" i="209"/>
  <c r="F78" i="209"/>
  <c r="F77" i="209"/>
  <c r="F76" i="209"/>
  <c r="F75" i="209"/>
  <c r="E163" i="209"/>
  <c r="E115" i="209"/>
  <c r="E114" i="209"/>
  <c r="E113" i="209"/>
  <c r="E112" i="209"/>
  <c r="E111" i="209"/>
  <c r="E110" i="209"/>
  <c r="E108" i="209"/>
  <c r="E107" i="209"/>
  <c r="E106" i="209"/>
  <c r="E105" i="209"/>
  <c r="E100" i="209"/>
  <c r="E95" i="209"/>
  <c r="E90" i="209"/>
  <c r="E89" i="209"/>
  <c r="E88" i="209"/>
  <c r="E87" i="209"/>
  <c r="E86" i="209"/>
  <c r="E85" i="209"/>
  <c r="E84" i="209"/>
  <c r="E83" i="209"/>
  <c r="E82" i="209"/>
  <c r="E81" i="209"/>
  <c r="E80" i="209"/>
  <c r="E79" i="209"/>
  <c r="E78" i="209"/>
  <c r="E77" i="209"/>
  <c r="E76" i="209"/>
  <c r="E75" i="209"/>
  <c r="E44" i="209"/>
  <c r="E43" i="209"/>
  <c r="E42" i="209"/>
  <c r="E35" i="209"/>
  <c r="D163" i="209"/>
  <c r="D115" i="209"/>
  <c r="D114" i="209"/>
  <c r="D113" i="209"/>
  <c r="D112" i="209"/>
  <c r="D111" i="209"/>
  <c r="D110" i="209"/>
  <c r="D108" i="209"/>
  <c r="D107" i="209"/>
  <c r="D106" i="209"/>
  <c r="D105" i="209"/>
  <c r="D100" i="209"/>
  <c r="D95" i="209"/>
  <c r="D90" i="209"/>
  <c r="F208" i="209"/>
  <c r="E208" i="209"/>
  <c r="D208" i="209"/>
  <c r="F207" i="209"/>
  <c r="E207" i="209"/>
  <c r="D207" i="209"/>
  <c r="F206" i="209"/>
  <c r="E206" i="209"/>
  <c r="D206" i="209"/>
  <c r="F205" i="209"/>
  <c r="E205" i="209"/>
  <c r="D205" i="209"/>
  <c r="F204" i="209"/>
  <c r="E204" i="209"/>
  <c r="D204" i="209"/>
  <c r="F203" i="209"/>
  <c r="E203" i="209"/>
  <c r="D203" i="209"/>
  <c r="F202" i="209"/>
  <c r="E202" i="209"/>
  <c r="D202" i="209"/>
  <c r="F201" i="209"/>
  <c r="E201" i="209"/>
  <c r="D201" i="209"/>
  <c r="F200" i="209"/>
  <c r="E200" i="209"/>
  <c r="D200" i="209"/>
  <c r="F199" i="209"/>
  <c r="E199" i="209"/>
  <c r="D199" i="209"/>
  <c r="F198" i="209"/>
  <c r="E198" i="209"/>
  <c r="D198" i="209"/>
  <c r="F197" i="209"/>
  <c r="E197" i="209"/>
  <c r="D197" i="209"/>
  <c r="F196" i="209"/>
  <c r="E196" i="209"/>
  <c r="D196" i="209"/>
  <c r="F195" i="209"/>
  <c r="E195" i="209"/>
  <c r="D195" i="209"/>
  <c r="F194" i="209"/>
  <c r="E194" i="209"/>
  <c r="D194" i="209"/>
  <c r="F193" i="209"/>
  <c r="E193" i="209"/>
  <c r="D193" i="209"/>
  <c r="F192" i="209"/>
  <c r="E192" i="209"/>
  <c r="D192" i="209"/>
  <c r="F191" i="209"/>
  <c r="E191" i="209"/>
  <c r="D191" i="209"/>
  <c r="F190" i="209"/>
  <c r="E190" i="209"/>
  <c r="D190" i="209"/>
  <c r="F189" i="209"/>
  <c r="E189" i="209"/>
  <c r="D189" i="209"/>
  <c r="F188" i="209"/>
  <c r="E188" i="209"/>
  <c r="D188" i="209"/>
  <c r="F187" i="209"/>
  <c r="E187" i="209"/>
  <c r="D187" i="209"/>
  <c r="F186" i="209"/>
  <c r="E186" i="209"/>
  <c r="D186" i="209"/>
  <c r="F185" i="209"/>
  <c r="E185" i="209"/>
  <c r="D185" i="209"/>
  <c r="F184" i="209"/>
  <c r="E184" i="209"/>
  <c r="D184" i="209"/>
  <c r="F183" i="209"/>
  <c r="E183" i="209"/>
  <c r="D183" i="209"/>
  <c r="F182" i="209"/>
  <c r="E182" i="209"/>
  <c r="D182" i="209"/>
  <c r="F181" i="209"/>
  <c r="E181" i="209"/>
  <c r="D181" i="209"/>
  <c r="F180" i="209"/>
  <c r="E180" i="209"/>
  <c r="D180" i="209"/>
  <c r="F179" i="209"/>
  <c r="E179" i="209"/>
  <c r="D179" i="209"/>
  <c r="F178" i="209"/>
  <c r="E178" i="209"/>
  <c r="D178" i="209"/>
  <c r="F177" i="209"/>
  <c r="E177" i="209"/>
  <c r="D177" i="209"/>
  <c r="F176" i="209"/>
  <c r="E176" i="209"/>
  <c r="D176" i="209"/>
  <c r="F175" i="209"/>
  <c r="E175" i="209"/>
  <c r="D175" i="209"/>
  <c r="F174" i="209"/>
  <c r="E174" i="209"/>
  <c r="D174" i="209"/>
  <c r="F173" i="209"/>
  <c r="E173" i="209"/>
  <c r="D173" i="209"/>
  <c r="F172" i="209"/>
  <c r="E172" i="209"/>
  <c r="D172" i="209"/>
  <c r="F171" i="209"/>
  <c r="E171" i="209"/>
  <c r="D171" i="209"/>
  <c r="F170" i="209"/>
  <c r="E170" i="209"/>
  <c r="D170" i="209"/>
  <c r="F169" i="209"/>
  <c r="E169" i="209"/>
  <c r="D169" i="209"/>
  <c r="F168" i="209"/>
  <c r="E168" i="209"/>
  <c r="D168" i="209"/>
  <c r="F167" i="209"/>
  <c r="E167" i="209"/>
  <c r="D167" i="209"/>
  <c r="F163" i="209"/>
  <c r="F162" i="209"/>
  <c r="E162" i="209"/>
  <c r="D162" i="209"/>
  <c r="F161" i="209"/>
  <c r="E161" i="209"/>
  <c r="D161" i="209"/>
  <c r="F160" i="209"/>
  <c r="E160" i="209"/>
  <c r="D160" i="209"/>
  <c r="F159" i="209"/>
  <c r="E159" i="209"/>
  <c r="D159" i="209"/>
  <c r="F158" i="209"/>
  <c r="E158" i="209"/>
  <c r="D158" i="209"/>
  <c r="F157" i="209"/>
  <c r="E157" i="209"/>
  <c r="D157" i="209"/>
  <c r="F156" i="209"/>
  <c r="E156" i="209"/>
  <c r="D156" i="209"/>
  <c r="F155" i="209"/>
  <c r="E155" i="209"/>
  <c r="D155" i="209"/>
  <c r="F154" i="209"/>
  <c r="E154" i="209"/>
  <c r="D154" i="209"/>
  <c r="F153" i="209"/>
  <c r="E153" i="209"/>
  <c r="D153" i="209"/>
  <c r="F152" i="209"/>
  <c r="E152" i="209"/>
  <c r="D152" i="209"/>
  <c r="F151" i="209"/>
  <c r="E151" i="209"/>
  <c r="D151" i="209"/>
  <c r="F150" i="209"/>
  <c r="E150" i="209"/>
  <c r="D150" i="209"/>
  <c r="F149" i="209"/>
  <c r="E149" i="209"/>
  <c r="D149" i="209"/>
  <c r="F148" i="209"/>
  <c r="E148" i="209"/>
  <c r="D148" i="209"/>
  <c r="F147" i="209"/>
  <c r="E147" i="209"/>
  <c r="D147" i="209"/>
  <c r="F146" i="209"/>
  <c r="E146" i="209"/>
  <c r="D146" i="209"/>
  <c r="F145" i="209"/>
  <c r="E145" i="209"/>
  <c r="D145" i="209"/>
  <c r="F144" i="209"/>
  <c r="E144" i="209"/>
  <c r="D144" i="209"/>
  <c r="F143" i="209"/>
  <c r="E143" i="209"/>
  <c r="D143" i="209"/>
  <c r="F142" i="209"/>
  <c r="E142" i="209"/>
  <c r="D142" i="209"/>
  <c r="F141" i="209"/>
  <c r="E141" i="209"/>
  <c r="D141" i="209"/>
  <c r="F140" i="209"/>
  <c r="E140" i="209"/>
  <c r="D140" i="209"/>
  <c r="F139" i="209"/>
  <c r="E139" i="209"/>
  <c r="D139" i="209"/>
  <c r="F138" i="209"/>
  <c r="E138" i="209"/>
  <c r="D138" i="209"/>
  <c r="F137" i="209"/>
  <c r="E137" i="209"/>
  <c r="D137" i="209"/>
  <c r="F136" i="209"/>
  <c r="E136" i="209"/>
  <c r="D136" i="209"/>
  <c r="F135" i="209"/>
  <c r="E135" i="209"/>
  <c r="D135" i="209"/>
  <c r="F134" i="209"/>
  <c r="E134" i="209"/>
  <c r="D134" i="209"/>
  <c r="F133" i="209"/>
  <c r="E133" i="209"/>
  <c r="D133" i="209"/>
  <c r="F132" i="209"/>
  <c r="E132" i="209"/>
  <c r="D132" i="209"/>
  <c r="F131" i="209"/>
  <c r="E131" i="209"/>
  <c r="D131" i="209"/>
  <c r="F130" i="209"/>
  <c r="E130" i="209"/>
  <c r="D130" i="209"/>
  <c r="F129" i="209"/>
  <c r="E129" i="209"/>
  <c r="D129" i="209"/>
  <c r="F128" i="209"/>
  <c r="E128" i="209"/>
  <c r="D128" i="209"/>
  <c r="F127" i="209"/>
  <c r="E127" i="209"/>
  <c r="D127" i="209"/>
  <c r="F126" i="209"/>
  <c r="E126" i="209"/>
  <c r="D126" i="209"/>
  <c r="F125" i="209"/>
  <c r="E125" i="209"/>
  <c r="D125" i="209"/>
  <c r="F124" i="209"/>
  <c r="E124" i="209"/>
  <c r="D124" i="209"/>
  <c r="F123" i="209"/>
  <c r="E123" i="209"/>
  <c r="D123" i="209"/>
  <c r="F119" i="209"/>
  <c r="E119" i="209"/>
  <c r="D119" i="209"/>
  <c r="F118" i="209"/>
  <c r="E118" i="209"/>
  <c r="D118" i="209"/>
  <c r="F117" i="209"/>
  <c r="E117" i="209"/>
  <c r="D117" i="209"/>
  <c r="F116" i="209"/>
  <c r="E116" i="209"/>
  <c r="D116" i="209"/>
  <c r="F109" i="209"/>
  <c r="E109" i="209"/>
  <c r="D109" i="209"/>
  <c r="F104" i="209"/>
  <c r="E104" i="209"/>
  <c r="D104" i="209"/>
  <c r="F103" i="209"/>
  <c r="E103" i="209"/>
  <c r="D103" i="209"/>
  <c r="F102" i="209"/>
  <c r="E102" i="209"/>
  <c r="D102" i="209"/>
  <c r="F101" i="209"/>
  <c r="E101" i="209"/>
  <c r="D101" i="209"/>
  <c r="F99" i="209"/>
  <c r="E99" i="209"/>
  <c r="D99" i="209"/>
  <c r="F98" i="209"/>
  <c r="E98" i="209"/>
  <c r="D98" i="209"/>
  <c r="F97" i="209"/>
  <c r="E97" i="209"/>
  <c r="D97" i="209"/>
  <c r="F96" i="209"/>
  <c r="E96" i="209"/>
  <c r="D96" i="209"/>
  <c r="F94" i="209"/>
  <c r="E94" i="209"/>
  <c r="D94" i="209"/>
  <c r="F93" i="209"/>
  <c r="E93" i="209"/>
  <c r="D93" i="209"/>
  <c r="F92" i="209"/>
  <c r="E92" i="209"/>
  <c r="D92" i="209"/>
  <c r="F91" i="209"/>
  <c r="E91" i="209"/>
  <c r="D91" i="209"/>
  <c r="D89" i="209"/>
  <c r="D88" i="209"/>
  <c r="D87" i="209"/>
  <c r="D86" i="209"/>
  <c r="D85" i="209"/>
  <c r="D84" i="209"/>
  <c r="D83" i="209"/>
  <c r="D82" i="209"/>
  <c r="D81" i="209"/>
  <c r="D80" i="209"/>
  <c r="D79" i="209"/>
  <c r="D78" i="209"/>
  <c r="D77" i="209"/>
  <c r="D76" i="209"/>
  <c r="D75" i="209"/>
  <c r="F74" i="209"/>
  <c r="E74" i="209"/>
  <c r="D74" i="209"/>
  <c r="F68" i="209"/>
  <c r="E68" i="209"/>
  <c r="D68" i="209"/>
  <c r="F67" i="209"/>
  <c r="E67" i="209"/>
  <c r="D67" i="209"/>
  <c r="F66" i="209"/>
  <c r="E66" i="209"/>
  <c r="D66" i="209"/>
  <c r="F65" i="209"/>
  <c r="E65" i="209"/>
  <c r="D65" i="209"/>
  <c r="F64" i="209"/>
  <c r="E64" i="209"/>
  <c r="D64" i="209"/>
  <c r="F63" i="209"/>
  <c r="E63" i="209"/>
  <c r="D63" i="209"/>
  <c r="F62" i="209"/>
  <c r="E62" i="209"/>
  <c r="D62" i="209"/>
  <c r="F61" i="209"/>
  <c r="E61" i="209"/>
  <c r="D61" i="209"/>
  <c r="F60" i="209"/>
  <c r="E60" i="209"/>
  <c r="D60" i="209"/>
  <c r="F59" i="209"/>
  <c r="E59" i="209"/>
  <c r="D59" i="209"/>
  <c r="F58" i="209"/>
  <c r="E58" i="209"/>
  <c r="D58" i="209"/>
  <c r="F57" i="209"/>
  <c r="E57" i="209"/>
  <c r="D57" i="209"/>
  <c r="F56" i="209"/>
  <c r="E56" i="209"/>
  <c r="D56" i="209"/>
  <c r="F55" i="209"/>
  <c r="E55" i="209"/>
  <c r="D55" i="209"/>
  <c r="F54" i="209"/>
  <c r="E54" i="209"/>
  <c r="D54" i="209"/>
  <c r="F53" i="209"/>
  <c r="E53" i="209"/>
  <c r="D53" i="209"/>
  <c r="F52" i="209"/>
  <c r="E52" i="209"/>
  <c r="D52" i="209"/>
  <c r="F51" i="209"/>
  <c r="E51" i="209"/>
  <c r="D51" i="209"/>
  <c r="F50" i="209"/>
  <c r="E50" i="209"/>
  <c r="D50" i="209"/>
  <c r="F49" i="209"/>
  <c r="E49" i="209"/>
  <c r="D49" i="209"/>
  <c r="F48" i="209"/>
  <c r="E48" i="209"/>
  <c r="D48" i="209"/>
  <c r="F47" i="209"/>
  <c r="E47" i="209"/>
  <c r="D47" i="209"/>
  <c r="F46" i="209"/>
  <c r="E46" i="209"/>
  <c r="D46" i="209"/>
  <c r="F45" i="209"/>
  <c r="E45" i="209"/>
  <c r="D45" i="209"/>
  <c r="F44" i="209"/>
  <c r="D44" i="209"/>
  <c r="F43" i="209"/>
  <c r="D43" i="209"/>
  <c r="F42" i="209"/>
  <c r="D42" i="209"/>
  <c r="F41" i="209"/>
  <c r="E41" i="209"/>
  <c r="D41" i="209"/>
  <c r="F40" i="209"/>
  <c r="E40" i="209"/>
  <c r="D40" i="209"/>
  <c r="F39" i="209"/>
  <c r="E39" i="209"/>
  <c r="D39" i="209"/>
  <c r="F38" i="209"/>
  <c r="E38" i="209"/>
  <c r="D38" i="209"/>
  <c r="F37" i="209"/>
  <c r="E37" i="209"/>
  <c r="D37" i="209"/>
  <c r="F36" i="209"/>
  <c r="E36" i="209"/>
  <c r="D36" i="209"/>
  <c r="F35" i="209"/>
  <c r="D35" i="209"/>
  <c r="F34" i="209"/>
  <c r="E34" i="209"/>
  <c r="D34" i="209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E27" i="209"/>
  <c r="D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I208" i="209"/>
  <c r="H208" i="209"/>
  <c r="G208" i="209"/>
  <c r="I207" i="209"/>
  <c r="H207" i="209"/>
  <c r="G207" i="209"/>
  <c r="I206" i="209"/>
  <c r="H206" i="209"/>
  <c r="G206" i="209"/>
  <c r="I205" i="209"/>
  <c r="H205" i="209"/>
  <c r="G205" i="209"/>
  <c r="I204" i="209"/>
  <c r="H204" i="209"/>
  <c r="G204" i="209"/>
  <c r="I203" i="209"/>
  <c r="H203" i="209"/>
  <c r="G203" i="209"/>
  <c r="I202" i="209"/>
  <c r="H202" i="209"/>
  <c r="G202" i="209"/>
  <c r="I201" i="209"/>
  <c r="H201" i="209"/>
  <c r="G201" i="209"/>
  <c r="I200" i="209"/>
  <c r="H200" i="209"/>
  <c r="G200" i="209"/>
  <c r="I199" i="209"/>
  <c r="H199" i="209"/>
  <c r="G199" i="209"/>
  <c r="I198" i="209"/>
  <c r="H198" i="209"/>
  <c r="G198" i="209"/>
  <c r="I197" i="209"/>
  <c r="H197" i="209"/>
  <c r="G197" i="209"/>
  <c r="I196" i="209"/>
  <c r="H196" i="209"/>
  <c r="G196" i="209"/>
  <c r="I195" i="209"/>
  <c r="H195" i="209"/>
  <c r="G195" i="209"/>
  <c r="I194" i="209"/>
  <c r="H194" i="209"/>
  <c r="G194" i="209"/>
  <c r="I193" i="209"/>
  <c r="H193" i="209"/>
  <c r="G193" i="209"/>
  <c r="I192" i="209"/>
  <c r="H192" i="209"/>
  <c r="G192" i="209"/>
  <c r="I191" i="209"/>
  <c r="H191" i="209"/>
  <c r="G191" i="209"/>
  <c r="I190" i="209"/>
  <c r="H190" i="209"/>
  <c r="G190" i="209"/>
  <c r="I189" i="209"/>
  <c r="H189" i="209"/>
  <c r="G189" i="209"/>
  <c r="I188" i="209"/>
  <c r="H188" i="209"/>
  <c r="G188" i="209"/>
  <c r="I187" i="209"/>
  <c r="H187" i="209"/>
  <c r="G187" i="209"/>
  <c r="I186" i="209"/>
  <c r="H186" i="209"/>
  <c r="G186" i="209"/>
  <c r="I185" i="209"/>
  <c r="H185" i="209"/>
  <c r="G185" i="209"/>
  <c r="I184" i="209"/>
  <c r="H184" i="209"/>
  <c r="G184" i="209"/>
  <c r="I183" i="209"/>
  <c r="H183" i="209"/>
  <c r="G183" i="209"/>
  <c r="I182" i="209"/>
  <c r="H182" i="209"/>
  <c r="G182" i="209"/>
  <c r="I181" i="209"/>
  <c r="H181" i="209"/>
  <c r="G181" i="209"/>
  <c r="I180" i="209"/>
  <c r="H180" i="209"/>
  <c r="G180" i="209"/>
  <c r="I179" i="209"/>
  <c r="H179" i="209"/>
  <c r="G179" i="209"/>
  <c r="I178" i="209"/>
  <c r="H178" i="209"/>
  <c r="G178" i="209"/>
  <c r="I177" i="209"/>
  <c r="H177" i="209"/>
  <c r="G177" i="209"/>
  <c r="I176" i="209"/>
  <c r="H176" i="209"/>
  <c r="G176" i="209"/>
  <c r="I175" i="209"/>
  <c r="H175" i="209"/>
  <c r="G175" i="209"/>
  <c r="I174" i="209"/>
  <c r="H174" i="209"/>
  <c r="G174" i="209"/>
  <c r="I173" i="209"/>
  <c r="H173" i="209"/>
  <c r="G173" i="209"/>
  <c r="I172" i="209"/>
  <c r="H172" i="209"/>
  <c r="G172" i="209"/>
  <c r="I171" i="209"/>
  <c r="H171" i="209"/>
  <c r="G171" i="209"/>
  <c r="I170" i="209"/>
  <c r="H170" i="209"/>
  <c r="G170" i="209"/>
  <c r="I169" i="209"/>
  <c r="H169" i="209"/>
  <c r="G169" i="209"/>
  <c r="I168" i="209"/>
  <c r="H168" i="209"/>
  <c r="G168" i="209"/>
  <c r="I167" i="209"/>
  <c r="H167" i="209"/>
  <c r="G167" i="209"/>
  <c r="I163" i="209"/>
  <c r="H163" i="209"/>
  <c r="G163" i="209"/>
  <c r="I162" i="209"/>
  <c r="H162" i="209"/>
  <c r="G162" i="209"/>
  <c r="I161" i="209"/>
  <c r="H161" i="209"/>
  <c r="G161" i="209"/>
  <c r="I160" i="209"/>
  <c r="H160" i="209"/>
  <c r="G160" i="209"/>
  <c r="I159" i="209"/>
  <c r="H159" i="209"/>
  <c r="G159" i="209"/>
  <c r="I158" i="209"/>
  <c r="H158" i="209"/>
  <c r="G158" i="209"/>
  <c r="I157" i="209"/>
  <c r="H157" i="209"/>
  <c r="G157" i="209"/>
  <c r="I156" i="209"/>
  <c r="H156" i="209"/>
  <c r="G156" i="209"/>
  <c r="I155" i="209"/>
  <c r="H155" i="209"/>
  <c r="G155" i="209"/>
  <c r="I154" i="209"/>
  <c r="H154" i="209"/>
  <c r="G154" i="209"/>
  <c r="I153" i="209"/>
  <c r="H153" i="209"/>
  <c r="G153" i="209"/>
  <c r="I152" i="209"/>
  <c r="H152" i="209"/>
  <c r="G152" i="209"/>
  <c r="I151" i="209"/>
  <c r="H151" i="209"/>
  <c r="G151" i="209"/>
  <c r="I150" i="209"/>
  <c r="H150" i="209"/>
  <c r="G150" i="209"/>
  <c r="I149" i="209"/>
  <c r="H149" i="209"/>
  <c r="G149" i="209"/>
  <c r="I148" i="209"/>
  <c r="H148" i="209"/>
  <c r="G148" i="209"/>
  <c r="I147" i="209"/>
  <c r="H147" i="209"/>
  <c r="G147" i="209"/>
  <c r="I146" i="209"/>
  <c r="H146" i="209"/>
  <c r="G146" i="209"/>
  <c r="I145" i="209"/>
  <c r="H145" i="209"/>
  <c r="G145" i="209"/>
  <c r="I144" i="209"/>
  <c r="H144" i="209"/>
  <c r="G144" i="209"/>
  <c r="I143" i="209"/>
  <c r="H143" i="209"/>
  <c r="G143" i="209"/>
  <c r="I142" i="209"/>
  <c r="H142" i="209"/>
  <c r="G142" i="209"/>
  <c r="I141" i="209"/>
  <c r="H141" i="209"/>
  <c r="G141" i="209"/>
  <c r="I140" i="209"/>
  <c r="H140" i="209"/>
  <c r="G140" i="209"/>
  <c r="I139" i="209"/>
  <c r="H139" i="209"/>
  <c r="G139" i="209"/>
  <c r="I138" i="209"/>
  <c r="H138" i="209"/>
  <c r="G138" i="209"/>
  <c r="I137" i="209"/>
  <c r="H137" i="209"/>
  <c r="G137" i="209"/>
  <c r="I136" i="209"/>
  <c r="H136" i="209"/>
  <c r="G136" i="209"/>
  <c r="I135" i="209"/>
  <c r="H135" i="209"/>
  <c r="G135" i="209"/>
  <c r="I134" i="209"/>
  <c r="H134" i="209"/>
  <c r="G134" i="209"/>
  <c r="I133" i="209"/>
  <c r="H133" i="209"/>
  <c r="G133" i="209"/>
  <c r="I132" i="209"/>
  <c r="H132" i="209"/>
  <c r="G132" i="209"/>
  <c r="I131" i="209"/>
  <c r="H131" i="209"/>
  <c r="G131" i="209"/>
  <c r="I130" i="209"/>
  <c r="H130" i="209"/>
  <c r="G130" i="209"/>
  <c r="I129" i="209"/>
  <c r="H129" i="209"/>
  <c r="G129" i="209"/>
  <c r="I128" i="209"/>
  <c r="H128" i="209"/>
  <c r="G128" i="209"/>
  <c r="I127" i="209"/>
  <c r="H127" i="209"/>
  <c r="G127" i="209"/>
  <c r="I126" i="209"/>
  <c r="H126" i="209"/>
  <c r="G126" i="209"/>
  <c r="I125" i="209"/>
  <c r="H125" i="209"/>
  <c r="G125" i="209"/>
  <c r="I124" i="209"/>
  <c r="H124" i="209"/>
  <c r="G124" i="209"/>
  <c r="I123" i="209"/>
  <c r="H123" i="209"/>
  <c r="G123" i="209"/>
  <c r="I119" i="209"/>
  <c r="H119" i="209"/>
  <c r="G119" i="209"/>
  <c r="I118" i="209"/>
  <c r="H118" i="209"/>
  <c r="G118" i="209"/>
  <c r="I117" i="209"/>
  <c r="H117" i="209"/>
  <c r="G117" i="209"/>
  <c r="I116" i="209"/>
  <c r="H116" i="209"/>
  <c r="G116" i="209"/>
  <c r="I115" i="209"/>
  <c r="I114" i="209"/>
  <c r="H114" i="209"/>
  <c r="G114" i="209"/>
  <c r="I113" i="209"/>
  <c r="H113" i="209"/>
  <c r="G113" i="209"/>
  <c r="I112" i="209"/>
  <c r="H112" i="209"/>
  <c r="G112" i="209"/>
  <c r="I111" i="209"/>
  <c r="H111" i="209"/>
  <c r="G111" i="209"/>
  <c r="I110" i="209"/>
  <c r="H110" i="209"/>
  <c r="G110" i="209"/>
  <c r="I109" i="209"/>
  <c r="H109" i="209"/>
  <c r="G109" i="209"/>
  <c r="I108" i="209"/>
  <c r="H108" i="209"/>
  <c r="G108" i="209"/>
  <c r="I107" i="209"/>
  <c r="H107" i="209"/>
  <c r="G107" i="209"/>
  <c r="I106" i="209"/>
  <c r="H106" i="209"/>
  <c r="G106" i="209"/>
  <c r="I105" i="209"/>
  <c r="H105" i="209"/>
  <c r="G105" i="209"/>
  <c r="I104" i="209"/>
  <c r="H104" i="209"/>
  <c r="G104" i="209"/>
  <c r="I103" i="209"/>
  <c r="H103" i="209"/>
  <c r="G103" i="209"/>
  <c r="I102" i="209"/>
  <c r="H102" i="209"/>
  <c r="G102" i="209"/>
  <c r="I101" i="209"/>
  <c r="H101" i="209"/>
  <c r="G101" i="209"/>
  <c r="I100" i="209"/>
  <c r="H100" i="209"/>
  <c r="G100" i="209"/>
  <c r="I99" i="209"/>
  <c r="H99" i="209"/>
  <c r="G99" i="209"/>
  <c r="I98" i="209"/>
  <c r="H98" i="209"/>
  <c r="G98" i="209"/>
  <c r="I97" i="209"/>
  <c r="H97" i="209"/>
  <c r="G97" i="209"/>
  <c r="I96" i="209"/>
  <c r="H96" i="209"/>
  <c r="G96" i="209"/>
  <c r="I95" i="209"/>
  <c r="H95" i="209"/>
  <c r="G95" i="209"/>
  <c r="I94" i="209"/>
  <c r="H94" i="209"/>
  <c r="G94" i="209"/>
  <c r="I93" i="209"/>
  <c r="H93" i="209"/>
  <c r="G93" i="209"/>
  <c r="I92" i="209"/>
  <c r="H92" i="209"/>
  <c r="G92" i="209"/>
  <c r="I91" i="209"/>
  <c r="H91" i="209"/>
  <c r="G91" i="209"/>
  <c r="I90" i="209"/>
  <c r="H90" i="209"/>
  <c r="G90" i="209"/>
  <c r="I89" i="209"/>
  <c r="H89" i="209"/>
  <c r="G89" i="209"/>
  <c r="I88" i="209"/>
  <c r="H88" i="209"/>
  <c r="G88" i="209"/>
  <c r="I87" i="209"/>
  <c r="H87" i="209"/>
  <c r="G87" i="209"/>
  <c r="I86" i="209"/>
  <c r="H86" i="209"/>
  <c r="G86" i="209"/>
  <c r="I85" i="209"/>
  <c r="H85" i="209"/>
  <c r="G85" i="209"/>
  <c r="I84" i="209"/>
  <c r="H84" i="209"/>
  <c r="G84" i="209"/>
  <c r="I83" i="209"/>
  <c r="H83" i="209"/>
  <c r="G83" i="209"/>
  <c r="I82" i="209"/>
  <c r="H82" i="209"/>
  <c r="G82" i="209"/>
  <c r="I81" i="209"/>
  <c r="H81" i="209"/>
  <c r="G81" i="209"/>
  <c r="I80" i="209"/>
  <c r="H80" i="209"/>
  <c r="G80" i="209"/>
  <c r="I79" i="209"/>
  <c r="H79" i="209"/>
  <c r="G79" i="209"/>
  <c r="I78" i="209"/>
  <c r="H78" i="209"/>
  <c r="G78" i="209"/>
  <c r="I77" i="209"/>
  <c r="H77" i="209"/>
  <c r="G77" i="209"/>
  <c r="I76" i="209"/>
  <c r="H76" i="209"/>
  <c r="G76" i="209"/>
  <c r="I68" i="209"/>
  <c r="H68" i="209"/>
  <c r="G68" i="209"/>
  <c r="I67" i="209"/>
  <c r="H67" i="209"/>
  <c r="G67" i="209"/>
  <c r="I66" i="209"/>
  <c r="H66" i="209"/>
  <c r="G66" i="209"/>
  <c r="I65" i="209"/>
  <c r="H65" i="209"/>
  <c r="G65" i="209"/>
  <c r="I64" i="209"/>
  <c r="H64" i="209"/>
  <c r="G64" i="209"/>
  <c r="I63" i="209"/>
  <c r="H63" i="209"/>
  <c r="G63" i="209"/>
  <c r="I61" i="209"/>
  <c r="H61" i="209"/>
  <c r="G61" i="209"/>
  <c r="I60" i="209"/>
  <c r="I59" i="209"/>
  <c r="I58" i="209"/>
  <c r="I56" i="209"/>
  <c r="H56" i="209"/>
  <c r="G56" i="209"/>
  <c r="I55" i="209"/>
  <c r="H55" i="209"/>
  <c r="G55" i="209"/>
  <c r="I54" i="209"/>
  <c r="H54" i="209"/>
  <c r="G54" i="209"/>
  <c r="I53" i="209"/>
  <c r="H53" i="209"/>
  <c r="G53" i="209"/>
  <c r="I52" i="209"/>
  <c r="H52" i="209"/>
  <c r="G52" i="209"/>
  <c r="I51" i="209"/>
  <c r="H51" i="209"/>
  <c r="G51" i="209"/>
  <c r="I50" i="209"/>
  <c r="H50" i="209"/>
  <c r="G50" i="209"/>
  <c r="I49" i="209"/>
  <c r="H49" i="209"/>
  <c r="G49" i="209"/>
  <c r="I48" i="209"/>
  <c r="H48" i="209"/>
  <c r="G48" i="209"/>
  <c r="I47" i="209"/>
  <c r="H47" i="209"/>
  <c r="G47" i="209"/>
  <c r="I46" i="209"/>
  <c r="H46" i="209"/>
  <c r="G46" i="209"/>
  <c r="I45" i="209"/>
  <c r="H45" i="209"/>
  <c r="G45" i="209"/>
  <c r="I44" i="209"/>
  <c r="H44" i="209"/>
  <c r="G44" i="209"/>
  <c r="I43" i="209"/>
  <c r="H43" i="209"/>
  <c r="G43" i="209"/>
  <c r="I42" i="209"/>
  <c r="H42" i="209"/>
  <c r="G42" i="209"/>
  <c r="I41" i="209"/>
  <c r="H41" i="209"/>
  <c r="G41" i="209"/>
  <c r="I40" i="209"/>
  <c r="H40" i="209"/>
  <c r="G40" i="209"/>
  <c r="I39" i="209"/>
  <c r="H39" i="209"/>
  <c r="G39" i="209"/>
  <c r="I38" i="209"/>
  <c r="H38" i="209"/>
  <c r="G38" i="209"/>
  <c r="I37" i="209"/>
  <c r="H37" i="209"/>
  <c r="G37" i="209"/>
  <c r="I36" i="209"/>
  <c r="H36" i="209"/>
  <c r="G36" i="209"/>
  <c r="I35" i="209"/>
  <c r="H35" i="209"/>
  <c r="G35" i="209"/>
  <c r="I34" i="209"/>
  <c r="H34" i="209"/>
  <c r="G34" i="209"/>
  <c r="I33" i="209"/>
  <c r="H33" i="209"/>
  <c r="G33" i="209"/>
  <c r="I32" i="209"/>
  <c r="H32" i="209"/>
  <c r="G32" i="209"/>
  <c r="I31" i="209"/>
  <c r="H31" i="209"/>
  <c r="G31" i="209"/>
  <c r="I30" i="209"/>
  <c r="H30" i="209"/>
  <c r="G30" i="209"/>
  <c r="I29" i="209"/>
  <c r="H29" i="209"/>
  <c r="G29" i="209"/>
  <c r="I28" i="209"/>
  <c r="H28" i="209"/>
  <c r="G28" i="209"/>
  <c r="I27" i="209"/>
  <c r="H27" i="209"/>
  <c r="G27" i="209"/>
  <c r="I26" i="209"/>
  <c r="H26" i="209"/>
  <c r="G26" i="209"/>
  <c r="I25" i="209"/>
  <c r="H25" i="209"/>
  <c r="G25" i="209"/>
  <c r="I24" i="209"/>
  <c r="H24" i="209"/>
  <c r="G24" i="209"/>
  <c r="I23" i="209"/>
  <c r="H23" i="209"/>
  <c r="G23" i="209"/>
  <c r="I22" i="209"/>
  <c r="H22" i="209"/>
  <c r="G22" i="209"/>
  <c r="I21" i="209"/>
  <c r="H21" i="209"/>
  <c r="G21" i="209"/>
  <c r="I20" i="209"/>
  <c r="H20" i="209"/>
  <c r="G20" i="209"/>
  <c r="I19" i="209"/>
  <c r="H19" i="209"/>
  <c r="G19" i="209"/>
  <c r="I18" i="209"/>
  <c r="H18" i="209"/>
  <c r="G18" i="209"/>
  <c r="I17" i="209"/>
  <c r="H17" i="209"/>
  <c r="G17" i="209"/>
  <c r="I16" i="209"/>
  <c r="H16" i="209"/>
  <c r="G16" i="209"/>
  <c r="I15" i="209"/>
  <c r="H15" i="209"/>
  <c r="G15" i="209"/>
  <c r="I14" i="209"/>
  <c r="H14" i="209"/>
  <c r="G14" i="209"/>
  <c r="I13" i="209"/>
  <c r="H13" i="209"/>
  <c r="G13" i="209"/>
  <c r="I12" i="209"/>
  <c r="H12" i="209"/>
  <c r="G12" i="209"/>
  <c r="I11" i="209"/>
  <c r="H11" i="209"/>
  <c r="G11" i="209"/>
  <c r="I208" i="271"/>
  <c r="I207" i="271"/>
  <c r="I206" i="271"/>
  <c r="I205" i="271"/>
  <c r="I204" i="271"/>
  <c r="I203" i="271"/>
  <c r="I202" i="271"/>
  <c r="I201" i="271"/>
  <c r="I200" i="271"/>
  <c r="I199" i="271"/>
  <c r="I198" i="271"/>
  <c r="I197" i="271"/>
  <c r="I196" i="271"/>
  <c r="I195" i="271"/>
  <c r="I194" i="271"/>
  <c r="I193" i="271"/>
  <c r="I192" i="271"/>
  <c r="I191" i="271"/>
  <c r="I190" i="271"/>
  <c r="I189" i="271"/>
  <c r="I188" i="271"/>
  <c r="I187" i="271"/>
  <c r="I186" i="271"/>
  <c r="I185" i="271"/>
  <c r="I184" i="271"/>
  <c r="I183" i="271"/>
  <c r="I182" i="271"/>
  <c r="I181" i="271"/>
  <c r="I180" i="271"/>
  <c r="I179" i="271"/>
  <c r="I178" i="271"/>
  <c r="I177" i="271"/>
  <c r="I176" i="271"/>
  <c r="I175" i="271"/>
  <c r="I174" i="271"/>
  <c r="I173" i="271"/>
  <c r="I172" i="271"/>
  <c r="I171" i="271"/>
  <c r="I170" i="271"/>
  <c r="I169" i="271"/>
  <c r="I168" i="271"/>
  <c r="I167" i="271"/>
  <c r="I163" i="271"/>
  <c r="I162" i="271"/>
  <c r="I161" i="271"/>
  <c r="I160" i="271"/>
  <c r="I159" i="271"/>
  <c r="I158" i="271"/>
  <c r="I157" i="271"/>
  <c r="I156" i="271"/>
  <c r="I155" i="271"/>
  <c r="I154" i="271"/>
  <c r="I153" i="271"/>
  <c r="I152" i="271"/>
  <c r="I151" i="271"/>
  <c r="I150" i="271"/>
  <c r="I149" i="271"/>
  <c r="I148" i="271"/>
  <c r="I147" i="271"/>
  <c r="I146" i="271"/>
  <c r="I145" i="271"/>
  <c r="I144" i="271"/>
  <c r="I143" i="271"/>
  <c r="I142" i="271"/>
  <c r="I141" i="271"/>
  <c r="I140" i="271"/>
  <c r="I139" i="271"/>
  <c r="I138" i="271"/>
  <c r="I137" i="271"/>
  <c r="I136" i="271"/>
  <c r="I135" i="271"/>
  <c r="I134" i="271"/>
  <c r="I133" i="271"/>
  <c r="I132" i="271"/>
  <c r="I131" i="271"/>
  <c r="I130" i="271"/>
  <c r="I129" i="271"/>
  <c r="I128" i="271"/>
  <c r="I127" i="271"/>
  <c r="I126" i="271"/>
  <c r="I125" i="271"/>
  <c r="I124" i="271"/>
  <c r="I123" i="271"/>
  <c r="I119" i="271"/>
  <c r="I118" i="271"/>
  <c r="I117" i="271"/>
  <c r="I116" i="271"/>
  <c r="I114" i="271"/>
  <c r="I113" i="271"/>
  <c r="I112" i="271"/>
  <c r="I111" i="271"/>
  <c r="I110" i="271"/>
  <c r="I109" i="271"/>
  <c r="I108" i="271"/>
  <c r="I107" i="271"/>
  <c r="I106" i="271"/>
  <c r="I105" i="271"/>
  <c r="I104" i="271"/>
  <c r="I103" i="271"/>
  <c r="I102" i="271"/>
  <c r="I101" i="271"/>
  <c r="I100" i="271"/>
  <c r="I99" i="271"/>
  <c r="I98" i="271"/>
  <c r="I97" i="271"/>
  <c r="I96" i="271"/>
  <c r="I95" i="271"/>
  <c r="I94" i="271"/>
  <c r="I93" i="271"/>
  <c r="I92" i="271"/>
  <c r="I91" i="271"/>
  <c r="I90" i="271"/>
  <c r="I89" i="271"/>
  <c r="I88" i="271"/>
  <c r="I87" i="271"/>
  <c r="I86" i="271"/>
  <c r="I85" i="271"/>
  <c r="I84" i="271"/>
  <c r="I83" i="271"/>
  <c r="I82" i="271"/>
  <c r="I81" i="271"/>
  <c r="I80" i="271"/>
  <c r="I79" i="271"/>
  <c r="I78" i="271"/>
  <c r="I77" i="271"/>
  <c r="I76" i="271"/>
  <c r="I66" i="271"/>
  <c r="I65" i="271"/>
  <c r="I64" i="271"/>
  <c r="I63" i="271"/>
  <c r="I61" i="271"/>
  <c r="I60" i="271"/>
  <c r="I59" i="271"/>
  <c r="I58" i="271"/>
  <c r="I56" i="271"/>
  <c r="I55" i="271"/>
  <c r="I54" i="271"/>
  <c r="I53" i="271"/>
  <c r="I52" i="271"/>
  <c r="I51" i="271"/>
  <c r="I50" i="271"/>
  <c r="I49" i="271"/>
  <c r="I48" i="271"/>
  <c r="I47" i="271"/>
  <c r="I46" i="271"/>
  <c r="I45" i="271"/>
  <c r="I44" i="271"/>
  <c r="I43" i="271"/>
  <c r="I42" i="271"/>
  <c r="I41" i="271"/>
  <c r="I40" i="271"/>
  <c r="I39" i="271"/>
  <c r="I38" i="271"/>
  <c r="I37" i="271"/>
  <c r="I36" i="271"/>
  <c r="I35" i="271"/>
  <c r="I34" i="271"/>
  <c r="I33" i="271"/>
  <c r="I32" i="271"/>
  <c r="I31" i="271"/>
  <c r="I30" i="271"/>
  <c r="I29" i="271"/>
  <c r="I28" i="271"/>
  <c r="I27" i="271"/>
  <c r="I26" i="271"/>
  <c r="I25" i="271"/>
  <c r="I24" i="271"/>
  <c r="I23" i="271"/>
  <c r="I22" i="271"/>
  <c r="I21" i="271"/>
  <c r="I20" i="271"/>
  <c r="I19" i="271"/>
  <c r="I18" i="271"/>
  <c r="I17" i="271"/>
  <c r="I16" i="271"/>
  <c r="I15" i="271"/>
  <c r="I14" i="271"/>
  <c r="I13" i="271"/>
  <c r="I12" i="271"/>
  <c r="I11" i="271"/>
  <c r="H208" i="271"/>
  <c r="H207" i="271"/>
  <c r="H206" i="271"/>
  <c r="H205" i="271"/>
  <c r="H204" i="271"/>
  <c r="H203" i="271"/>
  <c r="H202" i="271"/>
  <c r="H201" i="271"/>
  <c r="H200" i="271"/>
  <c r="H199" i="271"/>
  <c r="H198" i="271"/>
  <c r="H197" i="271"/>
  <c r="H196" i="271"/>
  <c r="H195" i="271"/>
  <c r="H194" i="271"/>
  <c r="H193" i="271"/>
  <c r="H192" i="271"/>
  <c r="H191" i="271"/>
  <c r="H190" i="271"/>
  <c r="H189" i="271"/>
  <c r="H188" i="271"/>
  <c r="H187" i="271"/>
  <c r="H186" i="271"/>
  <c r="H185" i="271"/>
  <c r="H184" i="271"/>
  <c r="H183" i="271"/>
  <c r="H182" i="271"/>
  <c r="H181" i="271"/>
  <c r="H180" i="271"/>
  <c r="H179" i="271"/>
  <c r="H178" i="271"/>
  <c r="H177" i="271"/>
  <c r="H176" i="271"/>
  <c r="H175" i="271"/>
  <c r="H174" i="271"/>
  <c r="H173" i="271"/>
  <c r="H172" i="271"/>
  <c r="H171" i="271"/>
  <c r="H170" i="271"/>
  <c r="H169" i="271"/>
  <c r="H168" i="271"/>
  <c r="H167" i="271"/>
  <c r="H163" i="271"/>
  <c r="H162" i="271"/>
  <c r="H161" i="271"/>
  <c r="H160" i="271"/>
  <c r="H159" i="271"/>
  <c r="H158" i="271"/>
  <c r="H157" i="271"/>
  <c r="H156" i="271"/>
  <c r="H155" i="271"/>
  <c r="H154" i="271"/>
  <c r="H153" i="271"/>
  <c r="H152" i="271"/>
  <c r="H151" i="271"/>
  <c r="H150" i="271"/>
  <c r="H149" i="271"/>
  <c r="H148" i="271"/>
  <c r="H147" i="271"/>
  <c r="H146" i="271"/>
  <c r="H145" i="271"/>
  <c r="H144" i="271"/>
  <c r="H143" i="271"/>
  <c r="H142" i="271"/>
  <c r="H141" i="271"/>
  <c r="H140" i="271"/>
  <c r="H139" i="271"/>
  <c r="H138" i="271"/>
  <c r="H137" i="271"/>
  <c r="H136" i="271"/>
  <c r="H135" i="271"/>
  <c r="H134" i="271"/>
  <c r="H133" i="271"/>
  <c r="H132" i="271"/>
  <c r="H131" i="271"/>
  <c r="H130" i="271"/>
  <c r="H129" i="271"/>
  <c r="H128" i="271"/>
  <c r="H127" i="271"/>
  <c r="H126" i="271"/>
  <c r="H125" i="271"/>
  <c r="H124" i="271"/>
  <c r="H123" i="271"/>
  <c r="H119" i="271"/>
  <c r="H118" i="271"/>
  <c r="H117" i="271"/>
  <c r="H116" i="271"/>
  <c r="H114" i="271"/>
  <c r="H113" i="271"/>
  <c r="H112" i="271"/>
  <c r="H111" i="271"/>
  <c r="H110" i="271"/>
  <c r="H109" i="271"/>
  <c r="H108" i="271"/>
  <c r="H107" i="271"/>
  <c r="H106" i="271"/>
  <c r="H105" i="271"/>
  <c r="H104" i="271"/>
  <c r="H103" i="271"/>
  <c r="H102" i="271"/>
  <c r="H101" i="271"/>
  <c r="H100" i="271"/>
  <c r="H99" i="271"/>
  <c r="H98" i="271"/>
  <c r="H97" i="271"/>
  <c r="H96" i="271"/>
  <c r="H95" i="271"/>
  <c r="H94" i="271"/>
  <c r="H93" i="271"/>
  <c r="H92" i="271"/>
  <c r="H91" i="271"/>
  <c r="H90" i="271"/>
  <c r="H89" i="271"/>
  <c r="H88" i="271"/>
  <c r="H87" i="271"/>
  <c r="H86" i="271"/>
  <c r="H85" i="271"/>
  <c r="H84" i="271"/>
  <c r="H83" i="271"/>
  <c r="H82" i="271"/>
  <c r="H81" i="271"/>
  <c r="H80" i="271"/>
  <c r="H79" i="271"/>
  <c r="H78" i="271"/>
  <c r="H77" i="271"/>
  <c r="H76" i="271"/>
  <c r="H68" i="271"/>
  <c r="H67" i="271"/>
  <c r="H66" i="271"/>
  <c r="H65" i="271"/>
  <c r="H64" i="271"/>
  <c r="H63" i="271"/>
  <c r="H61" i="271"/>
  <c r="H56" i="271"/>
  <c r="H55" i="271"/>
  <c r="H54" i="271"/>
  <c r="H53" i="271"/>
  <c r="H52" i="271"/>
  <c r="H51" i="271"/>
  <c r="H50" i="271"/>
  <c r="H49" i="271"/>
  <c r="H48" i="271"/>
  <c r="H47" i="271"/>
  <c r="H46" i="271"/>
  <c r="H45" i="271"/>
  <c r="H44" i="271"/>
  <c r="H43" i="271"/>
  <c r="H42" i="271"/>
  <c r="H41" i="271"/>
  <c r="H40" i="271"/>
  <c r="H39" i="271"/>
  <c r="H38" i="271"/>
  <c r="H37" i="271"/>
  <c r="H36" i="271"/>
  <c r="H35" i="271"/>
  <c r="H34" i="271"/>
  <c r="H33" i="271"/>
  <c r="H32" i="271"/>
  <c r="H31" i="271"/>
  <c r="H30" i="271"/>
  <c r="H29" i="271"/>
  <c r="H28" i="271"/>
  <c r="H27" i="271"/>
  <c r="H26" i="271"/>
  <c r="H25" i="271"/>
  <c r="H24" i="271"/>
  <c r="H23" i="271"/>
  <c r="H22" i="271"/>
  <c r="H21" i="271"/>
  <c r="H20" i="271"/>
  <c r="H19" i="271"/>
  <c r="H18" i="271"/>
  <c r="H17" i="271"/>
  <c r="H16" i="271"/>
  <c r="H15" i="271"/>
  <c r="H14" i="271"/>
  <c r="H13" i="271"/>
  <c r="H12" i="271"/>
  <c r="H11" i="271"/>
  <c r="G208" i="271"/>
  <c r="G207" i="271"/>
  <c r="G206" i="271"/>
  <c r="G205" i="271"/>
  <c r="G204" i="271"/>
  <c r="G203" i="271"/>
  <c r="G202" i="271"/>
  <c r="G201" i="271"/>
  <c r="G200" i="271"/>
  <c r="G199" i="271"/>
  <c r="G198" i="271"/>
  <c r="G197" i="271"/>
  <c r="G196" i="271"/>
  <c r="G195" i="271"/>
  <c r="G194" i="271"/>
  <c r="G193" i="271"/>
  <c r="G192" i="271"/>
  <c r="G191" i="271"/>
  <c r="G190" i="271"/>
  <c r="G189" i="271"/>
  <c r="G188" i="271"/>
  <c r="G187" i="271"/>
  <c r="G186" i="271"/>
  <c r="G185" i="271"/>
  <c r="G184" i="271"/>
  <c r="G183" i="271"/>
  <c r="G182" i="271"/>
  <c r="G181" i="271"/>
  <c r="G180" i="271"/>
  <c r="G179" i="271"/>
  <c r="G178" i="271"/>
  <c r="G177" i="271"/>
  <c r="G176" i="271"/>
  <c r="G175" i="271"/>
  <c r="G174" i="271"/>
  <c r="G173" i="271"/>
  <c r="G172" i="271"/>
  <c r="G171" i="271"/>
  <c r="G170" i="271"/>
  <c r="G169" i="271"/>
  <c r="G168" i="271"/>
  <c r="G167" i="271"/>
  <c r="G163" i="271"/>
  <c r="G162" i="271"/>
  <c r="G161" i="271"/>
  <c r="G160" i="271"/>
  <c r="G159" i="271"/>
  <c r="G158" i="271"/>
  <c r="G157" i="271"/>
  <c r="G156" i="271"/>
  <c r="G155" i="271"/>
  <c r="G154" i="271"/>
  <c r="G153" i="271"/>
  <c r="G152" i="271"/>
  <c r="G151" i="271"/>
  <c r="G150" i="271"/>
  <c r="G149" i="271"/>
  <c r="G148" i="271"/>
  <c r="G147" i="271"/>
  <c r="G146" i="271"/>
  <c r="G145" i="271"/>
  <c r="G144" i="271"/>
  <c r="G143" i="271"/>
  <c r="G142" i="271"/>
  <c r="G141" i="271"/>
  <c r="G140" i="271"/>
  <c r="G139" i="271"/>
  <c r="G138" i="271"/>
  <c r="G137" i="271"/>
  <c r="G136" i="271"/>
  <c r="G135" i="271"/>
  <c r="G134" i="271"/>
  <c r="G133" i="271"/>
  <c r="G132" i="271"/>
  <c r="G131" i="271"/>
  <c r="G130" i="271"/>
  <c r="G129" i="271"/>
  <c r="G128" i="271"/>
  <c r="G127" i="271"/>
  <c r="G126" i="271"/>
  <c r="G125" i="271"/>
  <c r="G124" i="271"/>
  <c r="G123" i="271"/>
  <c r="G119" i="271"/>
  <c r="G118" i="271"/>
  <c r="G117" i="271"/>
  <c r="G116" i="271"/>
  <c r="G114" i="271"/>
  <c r="G113" i="271"/>
  <c r="G112" i="271"/>
  <c r="G111" i="271"/>
  <c r="G110" i="271"/>
  <c r="G109" i="271"/>
  <c r="G108" i="271"/>
  <c r="G107" i="271"/>
  <c r="G106" i="271"/>
  <c r="G105" i="271"/>
  <c r="G104" i="271"/>
  <c r="G103" i="271"/>
  <c r="G102" i="271"/>
  <c r="G101" i="271"/>
  <c r="G100" i="271"/>
  <c r="G99" i="271"/>
  <c r="G98" i="271"/>
  <c r="G97" i="271"/>
  <c r="G96" i="271"/>
  <c r="G95" i="271"/>
  <c r="G94" i="271"/>
  <c r="G93" i="271"/>
  <c r="G92" i="271"/>
  <c r="G91" i="271"/>
  <c r="G90" i="271"/>
  <c r="G89" i="271"/>
  <c r="G88" i="271"/>
  <c r="G87" i="271"/>
  <c r="G86" i="271"/>
  <c r="G85" i="271"/>
  <c r="G84" i="271"/>
  <c r="G83" i="271"/>
  <c r="G82" i="271"/>
  <c r="G81" i="271"/>
  <c r="G80" i="271"/>
  <c r="G79" i="271"/>
  <c r="G78" i="271"/>
  <c r="G77" i="271"/>
  <c r="G76" i="271"/>
  <c r="G68" i="271"/>
  <c r="G67" i="271"/>
  <c r="G66" i="271"/>
  <c r="G65" i="271"/>
  <c r="G64" i="271"/>
  <c r="G63" i="271"/>
  <c r="G61" i="271"/>
  <c r="G56" i="271"/>
  <c r="G55" i="271"/>
  <c r="G54" i="271"/>
  <c r="G53" i="271"/>
  <c r="G52" i="271"/>
  <c r="G51" i="271"/>
  <c r="G50" i="271"/>
  <c r="G49" i="271"/>
  <c r="G48" i="271"/>
  <c r="G47" i="271"/>
  <c r="G46" i="271"/>
  <c r="G45" i="271"/>
  <c r="G44" i="271"/>
  <c r="G43" i="271"/>
  <c r="G42" i="271"/>
  <c r="G41" i="271"/>
  <c r="G40" i="271"/>
  <c r="G39" i="271"/>
  <c r="G38" i="271"/>
  <c r="G37" i="271"/>
  <c r="G36" i="271"/>
  <c r="G35" i="271"/>
  <c r="G34" i="271"/>
  <c r="G33" i="271"/>
  <c r="G32" i="271"/>
  <c r="G31" i="271"/>
  <c r="G30" i="271"/>
  <c r="G29" i="271"/>
  <c r="G28" i="271"/>
  <c r="G27" i="271"/>
  <c r="G26" i="271"/>
  <c r="G25" i="271"/>
  <c r="G24" i="271"/>
  <c r="G23" i="271"/>
  <c r="G22" i="271"/>
  <c r="G21" i="271"/>
  <c r="G20" i="271"/>
  <c r="G19" i="271"/>
  <c r="G18" i="271"/>
  <c r="G17" i="271"/>
  <c r="G16" i="271"/>
  <c r="G15" i="271"/>
  <c r="G14" i="271"/>
  <c r="G13" i="271"/>
  <c r="G12" i="271"/>
  <c r="G11" i="271"/>
  <c r="H68" i="272"/>
  <c r="H67" i="272"/>
  <c r="H66" i="272"/>
  <c r="H65" i="272"/>
  <c r="H64" i="272"/>
  <c r="H63" i="272"/>
  <c r="H61" i="272"/>
  <c r="H56" i="272"/>
  <c r="H55" i="272"/>
  <c r="H54" i="272"/>
  <c r="H53" i="272"/>
  <c r="H52" i="272"/>
  <c r="H51" i="272"/>
  <c r="H50" i="272"/>
  <c r="H49" i="272"/>
  <c r="H48" i="272"/>
  <c r="H47" i="272"/>
  <c r="H46" i="272"/>
  <c r="H45" i="272"/>
  <c r="H44" i="272"/>
  <c r="H43" i="272"/>
  <c r="H42" i="272"/>
  <c r="H41" i="272"/>
  <c r="H40" i="272"/>
  <c r="H39" i="272"/>
  <c r="H38" i="272"/>
  <c r="H37" i="272"/>
  <c r="H36" i="272"/>
  <c r="H35" i="272"/>
  <c r="H34" i="272"/>
  <c r="H33" i="272"/>
  <c r="H32" i="272"/>
  <c r="H31" i="272"/>
  <c r="H30" i="272"/>
  <c r="H29" i="272"/>
  <c r="H28" i="272"/>
  <c r="H27" i="272"/>
  <c r="H26" i="272"/>
  <c r="H25" i="272"/>
  <c r="H24" i="272"/>
  <c r="H23" i="272"/>
  <c r="H22" i="272"/>
  <c r="H21" i="272"/>
  <c r="H20" i="272"/>
  <c r="H19" i="272"/>
  <c r="H18" i="272"/>
  <c r="H17" i="272"/>
  <c r="H16" i="272"/>
  <c r="H15" i="272"/>
  <c r="H14" i="272"/>
  <c r="H13" i="272"/>
  <c r="H12" i="272"/>
  <c r="H11" i="272"/>
  <c r="H68" i="256"/>
  <c r="H67" i="256"/>
  <c r="H66" i="256"/>
  <c r="H65" i="256"/>
  <c r="H64" i="256"/>
  <c r="H63" i="256"/>
  <c r="H61" i="256"/>
  <c r="H56" i="256"/>
  <c r="H55" i="256"/>
  <c r="H54" i="256"/>
  <c r="H53" i="256"/>
  <c r="H52" i="256"/>
  <c r="H51" i="256"/>
  <c r="H50" i="256"/>
  <c r="H49" i="256"/>
  <c r="H48" i="256"/>
  <c r="H47" i="256"/>
  <c r="H46" i="256"/>
  <c r="H45" i="256"/>
  <c r="H44" i="256"/>
  <c r="H43" i="256"/>
  <c r="H42" i="256"/>
  <c r="H41" i="256"/>
  <c r="H40" i="256"/>
  <c r="H39" i="256"/>
  <c r="H38" i="256"/>
  <c r="H37" i="256"/>
  <c r="H36" i="256"/>
  <c r="H35" i="256"/>
  <c r="H34" i="256"/>
  <c r="H33" i="256"/>
  <c r="H32" i="256"/>
  <c r="H31" i="256"/>
  <c r="H30" i="256"/>
  <c r="H29" i="256"/>
  <c r="H28" i="256"/>
  <c r="H27" i="256"/>
  <c r="H26" i="256"/>
  <c r="H25" i="256"/>
  <c r="H24" i="256"/>
  <c r="H23" i="256"/>
  <c r="H22" i="256"/>
  <c r="H21" i="256"/>
  <c r="H20" i="256"/>
  <c r="H19" i="256"/>
  <c r="H18" i="256"/>
  <c r="H17" i="256"/>
  <c r="H16" i="256"/>
  <c r="H15" i="256"/>
  <c r="H14" i="256"/>
  <c r="H13" i="256"/>
  <c r="H12" i="256"/>
  <c r="H11" i="256"/>
  <c r="I208" i="272"/>
  <c r="H208" i="272"/>
  <c r="G208" i="272"/>
  <c r="I207" i="272"/>
  <c r="H207" i="272"/>
  <c r="G207" i="272"/>
  <c r="I206" i="272"/>
  <c r="H206" i="272"/>
  <c r="G206" i="272"/>
  <c r="I205" i="272"/>
  <c r="H205" i="272"/>
  <c r="G205" i="272"/>
  <c r="I204" i="272"/>
  <c r="H204" i="272"/>
  <c r="G204" i="272"/>
  <c r="I203" i="272"/>
  <c r="H203" i="272"/>
  <c r="G203" i="272"/>
  <c r="I202" i="272"/>
  <c r="H202" i="272"/>
  <c r="G202" i="272"/>
  <c r="I201" i="272"/>
  <c r="H201" i="272"/>
  <c r="G201" i="272"/>
  <c r="I200" i="272"/>
  <c r="H200" i="272"/>
  <c r="G200" i="272"/>
  <c r="I199" i="272"/>
  <c r="H199" i="272"/>
  <c r="G199" i="272"/>
  <c r="I198" i="272"/>
  <c r="H198" i="272"/>
  <c r="G198" i="272"/>
  <c r="I197" i="272"/>
  <c r="H197" i="272"/>
  <c r="G197" i="272"/>
  <c r="I196" i="272"/>
  <c r="H196" i="272"/>
  <c r="G196" i="272"/>
  <c r="I195" i="272"/>
  <c r="H195" i="272"/>
  <c r="G195" i="272"/>
  <c r="I194" i="272"/>
  <c r="H194" i="272"/>
  <c r="G194" i="272"/>
  <c r="I193" i="272"/>
  <c r="H193" i="272"/>
  <c r="G193" i="272"/>
  <c r="I192" i="272"/>
  <c r="H192" i="272"/>
  <c r="G192" i="272"/>
  <c r="I191" i="272"/>
  <c r="H191" i="272"/>
  <c r="G191" i="272"/>
  <c r="I190" i="272"/>
  <c r="H190" i="272"/>
  <c r="G190" i="272"/>
  <c r="I189" i="272"/>
  <c r="H189" i="272"/>
  <c r="G189" i="272"/>
  <c r="I188" i="272"/>
  <c r="H188" i="272"/>
  <c r="G188" i="272"/>
  <c r="I187" i="272"/>
  <c r="H187" i="272"/>
  <c r="G187" i="272"/>
  <c r="I186" i="272"/>
  <c r="H186" i="272"/>
  <c r="G186" i="272"/>
  <c r="I185" i="272"/>
  <c r="H185" i="272"/>
  <c r="G185" i="272"/>
  <c r="I184" i="272"/>
  <c r="H184" i="272"/>
  <c r="G184" i="272"/>
  <c r="I183" i="272"/>
  <c r="H183" i="272"/>
  <c r="G183" i="272"/>
  <c r="I182" i="272"/>
  <c r="H182" i="272"/>
  <c r="G182" i="272"/>
  <c r="I181" i="272"/>
  <c r="H181" i="272"/>
  <c r="G181" i="272"/>
  <c r="I180" i="272"/>
  <c r="H180" i="272"/>
  <c r="G180" i="272"/>
  <c r="I179" i="272"/>
  <c r="H179" i="272"/>
  <c r="G179" i="272"/>
  <c r="I178" i="272"/>
  <c r="H178" i="272"/>
  <c r="G178" i="272"/>
  <c r="I177" i="272"/>
  <c r="H177" i="272"/>
  <c r="G177" i="272"/>
  <c r="I176" i="272"/>
  <c r="H176" i="272"/>
  <c r="G176" i="272"/>
  <c r="I175" i="272"/>
  <c r="H175" i="272"/>
  <c r="G175" i="272"/>
  <c r="I174" i="272"/>
  <c r="H174" i="272"/>
  <c r="G174" i="272"/>
  <c r="I173" i="272"/>
  <c r="H173" i="272"/>
  <c r="G173" i="272"/>
  <c r="I172" i="272"/>
  <c r="H172" i="272"/>
  <c r="G172" i="272"/>
  <c r="I171" i="272"/>
  <c r="H171" i="272"/>
  <c r="G171" i="272"/>
  <c r="I170" i="272"/>
  <c r="H170" i="272"/>
  <c r="G170" i="272"/>
  <c r="I169" i="272"/>
  <c r="H169" i="272"/>
  <c r="G169" i="272"/>
  <c r="I168" i="272"/>
  <c r="H168" i="272"/>
  <c r="G168" i="272"/>
  <c r="I167" i="272"/>
  <c r="H167" i="272"/>
  <c r="G167" i="272"/>
  <c r="I163" i="272"/>
  <c r="H163" i="272"/>
  <c r="G163" i="272"/>
  <c r="I162" i="272"/>
  <c r="H162" i="272"/>
  <c r="G162" i="272"/>
  <c r="I161" i="272"/>
  <c r="H161" i="272"/>
  <c r="G161" i="272"/>
  <c r="I160" i="272"/>
  <c r="H160" i="272"/>
  <c r="G160" i="272"/>
  <c r="I159" i="272"/>
  <c r="H159" i="272"/>
  <c r="G159" i="272"/>
  <c r="I158" i="272"/>
  <c r="H158" i="272"/>
  <c r="G158" i="272"/>
  <c r="I157" i="272"/>
  <c r="H157" i="272"/>
  <c r="G157" i="272"/>
  <c r="I156" i="272"/>
  <c r="H156" i="272"/>
  <c r="G156" i="272"/>
  <c r="I155" i="272"/>
  <c r="H155" i="272"/>
  <c r="G155" i="272"/>
  <c r="I154" i="272"/>
  <c r="H154" i="272"/>
  <c r="G154" i="272"/>
  <c r="I153" i="272"/>
  <c r="H153" i="272"/>
  <c r="G153" i="272"/>
  <c r="I152" i="272"/>
  <c r="H152" i="272"/>
  <c r="G152" i="272"/>
  <c r="I151" i="272"/>
  <c r="H151" i="272"/>
  <c r="G151" i="272"/>
  <c r="I150" i="272"/>
  <c r="H150" i="272"/>
  <c r="G150" i="272"/>
  <c r="I149" i="272"/>
  <c r="H149" i="272"/>
  <c r="G149" i="272"/>
  <c r="I148" i="272"/>
  <c r="H148" i="272"/>
  <c r="G148" i="272"/>
  <c r="I147" i="272"/>
  <c r="H147" i="272"/>
  <c r="G147" i="272"/>
  <c r="I146" i="272"/>
  <c r="H146" i="272"/>
  <c r="G146" i="272"/>
  <c r="I145" i="272"/>
  <c r="H145" i="272"/>
  <c r="G145" i="272"/>
  <c r="I144" i="272"/>
  <c r="H144" i="272"/>
  <c r="G144" i="272"/>
  <c r="I143" i="272"/>
  <c r="H143" i="272"/>
  <c r="G143" i="272"/>
  <c r="I142" i="272"/>
  <c r="H142" i="272"/>
  <c r="G142" i="272"/>
  <c r="I141" i="272"/>
  <c r="H141" i="272"/>
  <c r="G141" i="272"/>
  <c r="I140" i="272"/>
  <c r="H140" i="272"/>
  <c r="G140" i="272"/>
  <c r="I139" i="272"/>
  <c r="H139" i="272"/>
  <c r="G139" i="272"/>
  <c r="I138" i="272"/>
  <c r="H138" i="272"/>
  <c r="G138" i="272"/>
  <c r="I137" i="272"/>
  <c r="H137" i="272"/>
  <c r="G137" i="272"/>
  <c r="I136" i="272"/>
  <c r="H136" i="272"/>
  <c r="G136" i="272"/>
  <c r="I135" i="272"/>
  <c r="H135" i="272"/>
  <c r="G135" i="272"/>
  <c r="I134" i="272"/>
  <c r="H134" i="272"/>
  <c r="G134" i="272"/>
  <c r="I133" i="272"/>
  <c r="H133" i="272"/>
  <c r="G133" i="272"/>
  <c r="I132" i="272"/>
  <c r="H132" i="272"/>
  <c r="G132" i="272"/>
  <c r="I131" i="272"/>
  <c r="H131" i="272"/>
  <c r="G131" i="272"/>
  <c r="I130" i="272"/>
  <c r="H130" i="272"/>
  <c r="G130" i="272"/>
  <c r="I129" i="272"/>
  <c r="H129" i="272"/>
  <c r="G129" i="272"/>
  <c r="I128" i="272"/>
  <c r="H128" i="272"/>
  <c r="G128" i="272"/>
  <c r="I127" i="272"/>
  <c r="H127" i="272"/>
  <c r="G127" i="272"/>
  <c r="I126" i="272"/>
  <c r="H126" i="272"/>
  <c r="G126" i="272"/>
  <c r="I125" i="272"/>
  <c r="H125" i="272"/>
  <c r="G125" i="272"/>
  <c r="I124" i="272"/>
  <c r="H124" i="272"/>
  <c r="G124" i="272"/>
  <c r="I123" i="272"/>
  <c r="H123" i="272"/>
  <c r="G123" i="272"/>
  <c r="I119" i="272"/>
  <c r="H119" i="272"/>
  <c r="G119" i="272"/>
  <c r="I118" i="272"/>
  <c r="H118" i="272"/>
  <c r="G118" i="272"/>
  <c r="I117" i="272"/>
  <c r="H117" i="272"/>
  <c r="G117" i="272"/>
  <c r="I116" i="272"/>
  <c r="H116" i="272"/>
  <c r="G116" i="272"/>
  <c r="I115" i="272"/>
  <c r="I114" i="272"/>
  <c r="H114" i="272"/>
  <c r="G114" i="272"/>
  <c r="I113" i="272"/>
  <c r="H113" i="272"/>
  <c r="G113" i="272"/>
  <c r="I112" i="272"/>
  <c r="H112" i="272"/>
  <c r="G112" i="272"/>
  <c r="I111" i="272"/>
  <c r="H111" i="272"/>
  <c r="G111" i="272"/>
  <c r="I110" i="272"/>
  <c r="H110" i="272"/>
  <c r="G110" i="272"/>
  <c r="I109" i="272"/>
  <c r="H109" i="272"/>
  <c r="G109" i="272"/>
  <c r="I108" i="272"/>
  <c r="H108" i="272"/>
  <c r="G108" i="272"/>
  <c r="I107" i="272"/>
  <c r="H107" i="272"/>
  <c r="G107" i="272"/>
  <c r="I106" i="272"/>
  <c r="H106" i="272"/>
  <c r="G106" i="272"/>
  <c r="I105" i="272"/>
  <c r="H105" i="272"/>
  <c r="G105" i="272"/>
  <c r="I104" i="272"/>
  <c r="H104" i="272"/>
  <c r="G104" i="272"/>
  <c r="I103" i="272"/>
  <c r="H103" i="272"/>
  <c r="G103" i="272"/>
  <c r="I102" i="272"/>
  <c r="H102" i="272"/>
  <c r="G102" i="272"/>
  <c r="I101" i="272"/>
  <c r="H101" i="272"/>
  <c r="G101" i="272"/>
  <c r="I100" i="272"/>
  <c r="H100" i="272"/>
  <c r="G100" i="272"/>
  <c r="I99" i="272"/>
  <c r="H99" i="272"/>
  <c r="G99" i="272"/>
  <c r="I98" i="272"/>
  <c r="H98" i="272"/>
  <c r="G98" i="272"/>
  <c r="I97" i="272"/>
  <c r="H97" i="272"/>
  <c r="G97" i="272"/>
  <c r="I96" i="272"/>
  <c r="H96" i="272"/>
  <c r="G96" i="272"/>
  <c r="I95" i="272"/>
  <c r="H95" i="272"/>
  <c r="G95" i="272"/>
  <c r="I94" i="272"/>
  <c r="H94" i="272"/>
  <c r="G94" i="272"/>
  <c r="I93" i="272"/>
  <c r="H93" i="272"/>
  <c r="G93" i="272"/>
  <c r="I92" i="272"/>
  <c r="H92" i="272"/>
  <c r="G92" i="272"/>
  <c r="I91" i="272"/>
  <c r="H91" i="272"/>
  <c r="G91" i="272"/>
  <c r="I90" i="272"/>
  <c r="H90" i="272"/>
  <c r="G90" i="272"/>
  <c r="I89" i="272"/>
  <c r="H89" i="272"/>
  <c r="G89" i="272"/>
  <c r="I88" i="272"/>
  <c r="H88" i="272"/>
  <c r="G88" i="272"/>
  <c r="I87" i="272"/>
  <c r="H87" i="272"/>
  <c r="G87" i="272"/>
  <c r="I86" i="272"/>
  <c r="H86" i="272"/>
  <c r="G86" i="272"/>
  <c r="I85" i="272"/>
  <c r="H85" i="272"/>
  <c r="G85" i="272"/>
  <c r="I84" i="272"/>
  <c r="H84" i="272"/>
  <c r="G84" i="272"/>
  <c r="I83" i="272"/>
  <c r="H83" i="272"/>
  <c r="G83" i="272"/>
  <c r="I82" i="272"/>
  <c r="H82" i="272"/>
  <c r="G82" i="272"/>
  <c r="I81" i="272"/>
  <c r="H81" i="272"/>
  <c r="G81" i="272"/>
  <c r="I80" i="272"/>
  <c r="H80" i="272"/>
  <c r="G80" i="272"/>
  <c r="I79" i="272"/>
  <c r="H79" i="272"/>
  <c r="G79" i="272"/>
  <c r="I78" i="272"/>
  <c r="H78" i="272"/>
  <c r="G78" i="272"/>
  <c r="I77" i="272"/>
  <c r="H77" i="272"/>
  <c r="G77" i="272"/>
  <c r="I76" i="272"/>
  <c r="H76" i="272"/>
  <c r="G76" i="272"/>
  <c r="I68" i="272"/>
  <c r="G68" i="272"/>
  <c r="I67" i="272"/>
  <c r="G67" i="272"/>
  <c r="I66" i="272"/>
  <c r="G66" i="272"/>
  <c r="I65" i="272"/>
  <c r="G65" i="272"/>
  <c r="I64" i="272"/>
  <c r="G64" i="272"/>
  <c r="I63" i="272"/>
  <c r="G63" i="272"/>
  <c r="I61" i="272"/>
  <c r="G61" i="272"/>
  <c r="I60" i="272"/>
  <c r="I59" i="272"/>
  <c r="I58" i="272"/>
  <c r="I56" i="272"/>
  <c r="G56" i="272"/>
  <c r="I55" i="272"/>
  <c r="G55" i="272"/>
  <c r="I54" i="272"/>
  <c r="G54" i="272"/>
  <c r="I53" i="272"/>
  <c r="G53" i="272"/>
  <c r="I52" i="272"/>
  <c r="G52" i="272"/>
  <c r="I51" i="272"/>
  <c r="G51" i="272"/>
  <c r="I50" i="272"/>
  <c r="G50" i="272"/>
  <c r="I49" i="272"/>
  <c r="G49" i="272"/>
  <c r="I48" i="272"/>
  <c r="G48" i="272"/>
  <c r="I47" i="272"/>
  <c r="G47" i="272"/>
  <c r="I46" i="272"/>
  <c r="G46" i="272"/>
  <c r="I45" i="272"/>
  <c r="G45" i="272"/>
  <c r="I44" i="272"/>
  <c r="G44" i="272"/>
  <c r="I43" i="272"/>
  <c r="G43" i="272"/>
  <c r="I42" i="272"/>
  <c r="G42" i="272"/>
  <c r="I41" i="272"/>
  <c r="G41" i="272"/>
  <c r="I40" i="272"/>
  <c r="G40" i="272"/>
  <c r="I39" i="272"/>
  <c r="G39" i="272"/>
  <c r="I38" i="272"/>
  <c r="G38" i="272"/>
  <c r="I37" i="272"/>
  <c r="G37" i="272"/>
  <c r="I36" i="272"/>
  <c r="G36" i="272"/>
  <c r="I35" i="272"/>
  <c r="G35" i="272"/>
  <c r="I34" i="272"/>
  <c r="G34" i="272"/>
  <c r="I33" i="272"/>
  <c r="G33" i="272"/>
  <c r="I32" i="272"/>
  <c r="G32" i="272"/>
  <c r="I31" i="272"/>
  <c r="G31" i="272"/>
  <c r="I30" i="272"/>
  <c r="G30" i="272"/>
  <c r="I29" i="272"/>
  <c r="G29" i="272"/>
  <c r="I28" i="272"/>
  <c r="G28" i="272"/>
  <c r="I27" i="272"/>
  <c r="G27" i="272"/>
  <c r="I26" i="272"/>
  <c r="G26" i="272"/>
  <c r="I25" i="272"/>
  <c r="G25" i="272"/>
  <c r="I24" i="272"/>
  <c r="G24" i="272"/>
  <c r="I23" i="272"/>
  <c r="G23" i="272"/>
  <c r="I22" i="272"/>
  <c r="G22" i="272"/>
  <c r="I21" i="272"/>
  <c r="G21" i="272"/>
  <c r="I20" i="272"/>
  <c r="G20" i="272"/>
  <c r="I19" i="272"/>
  <c r="G19" i="272"/>
  <c r="I18" i="272"/>
  <c r="G18" i="272"/>
  <c r="I17" i="272"/>
  <c r="G17" i="272"/>
  <c r="I16" i="272"/>
  <c r="G16" i="272"/>
  <c r="I15" i="272"/>
  <c r="G15" i="272"/>
  <c r="I14" i="272"/>
  <c r="G14" i="272"/>
  <c r="I13" i="272"/>
  <c r="G13" i="272"/>
  <c r="I12" i="272"/>
  <c r="G12" i="272"/>
  <c r="I11" i="272"/>
  <c r="G11" i="272"/>
  <c r="I115" i="271"/>
  <c r="I68" i="271"/>
  <c r="I67" i="271"/>
  <c r="I208" i="256"/>
  <c r="I207" i="256"/>
  <c r="I206" i="256"/>
  <c r="I205" i="256"/>
  <c r="I204" i="256"/>
  <c r="I203" i="256"/>
  <c r="I202" i="256"/>
  <c r="I201" i="256"/>
  <c r="I200" i="256"/>
  <c r="I199" i="256"/>
  <c r="I198" i="256"/>
  <c r="I197" i="256"/>
  <c r="I196" i="256"/>
  <c r="I195" i="256"/>
  <c r="I194" i="256"/>
  <c r="I193" i="256"/>
  <c r="I192" i="256"/>
  <c r="I191" i="256"/>
  <c r="I190" i="256"/>
  <c r="I189" i="256"/>
  <c r="I188" i="256"/>
  <c r="I187" i="256"/>
  <c r="I186" i="256"/>
  <c r="I185" i="256"/>
  <c r="I184" i="256"/>
  <c r="I183" i="256"/>
  <c r="I182" i="256"/>
  <c r="I181" i="256"/>
  <c r="I180" i="256"/>
  <c r="I179" i="256"/>
  <c r="I178" i="256"/>
  <c r="I177" i="256"/>
  <c r="I176" i="256"/>
  <c r="I175" i="256"/>
  <c r="I174" i="256"/>
  <c r="I173" i="256"/>
  <c r="I172" i="256"/>
  <c r="I171" i="256"/>
  <c r="I170" i="256"/>
  <c r="I169" i="256"/>
  <c r="I168" i="256"/>
  <c r="I167" i="256"/>
  <c r="H167" i="256"/>
  <c r="H168" i="256"/>
  <c r="H169" i="256"/>
  <c r="H170" i="256"/>
  <c r="H171" i="256"/>
  <c r="H172" i="256"/>
  <c r="H173" i="256"/>
  <c r="H174" i="256"/>
  <c r="H175" i="256"/>
  <c r="H176" i="256"/>
  <c r="H177" i="256"/>
  <c r="H178" i="256"/>
  <c r="H179" i="256"/>
  <c r="H180" i="256"/>
  <c r="H181" i="256"/>
  <c r="H182" i="256"/>
  <c r="H183" i="256"/>
  <c r="H184" i="256"/>
  <c r="H185" i="256"/>
  <c r="H186" i="256"/>
  <c r="H187" i="256"/>
  <c r="H188" i="256"/>
  <c r="H189" i="256"/>
  <c r="H190" i="256"/>
  <c r="H191" i="256"/>
  <c r="H192" i="256"/>
  <c r="H193" i="256"/>
  <c r="H194" i="256"/>
  <c r="H195" i="256"/>
  <c r="H196" i="256"/>
  <c r="H197" i="256"/>
  <c r="H198" i="256"/>
  <c r="H199" i="256"/>
  <c r="H200" i="256"/>
  <c r="H201" i="256"/>
  <c r="H202" i="256"/>
  <c r="H203" i="256"/>
  <c r="H204" i="256"/>
  <c r="H205" i="256"/>
  <c r="H206" i="256"/>
  <c r="H207" i="256"/>
  <c r="H208" i="256"/>
  <c r="G203" i="256"/>
  <c r="G204" i="256"/>
  <c r="G205" i="256"/>
  <c r="G206" i="256"/>
  <c r="G207" i="256"/>
  <c r="G208" i="256"/>
  <c r="G202" i="256"/>
  <c r="G200" i="256"/>
  <c r="G201" i="256"/>
  <c r="G199" i="256"/>
  <c r="G182" i="256"/>
  <c r="G183" i="256"/>
  <c r="G184" i="256"/>
  <c r="G185" i="256"/>
  <c r="G186" i="256"/>
  <c r="G187" i="256"/>
  <c r="G188" i="256"/>
  <c r="G189" i="256"/>
  <c r="G190" i="256"/>
  <c r="G191" i="256"/>
  <c r="G192" i="256"/>
  <c r="G193" i="256"/>
  <c r="G194" i="256"/>
  <c r="G195" i="256"/>
  <c r="G196" i="256"/>
  <c r="G197" i="256"/>
  <c r="G198" i="256"/>
  <c r="G181" i="256"/>
  <c r="G180" i="256"/>
  <c r="G176" i="256"/>
  <c r="G177" i="256"/>
  <c r="G178" i="256"/>
  <c r="G179" i="256"/>
  <c r="G175" i="256"/>
  <c r="G174" i="256"/>
  <c r="G173" i="256"/>
  <c r="G172" i="256"/>
  <c r="G171" i="256"/>
  <c r="G170" i="256"/>
  <c r="G169" i="256"/>
  <c r="G168" i="256"/>
  <c r="G167" i="256"/>
  <c r="I163" i="256"/>
  <c r="I162" i="256"/>
  <c r="I161" i="256"/>
  <c r="I160" i="256"/>
  <c r="I159" i="256"/>
  <c r="I158" i="256"/>
  <c r="I157" i="256"/>
  <c r="I156" i="256"/>
  <c r="I155" i="256"/>
  <c r="I154" i="256"/>
  <c r="I153" i="256"/>
  <c r="I152" i="256"/>
  <c r="I151" i="256"/>
  <c r="I150" i="256"/>
  <c r="I149" i="256"/>
  <c r="I148" i="256"/>
  <c r="I147" i="256"/>
  <c r="I146" i="256"/>
  <c r="I145" i="256"/>
  <c r="I144" i="256"/>
  <c r="I143" i="256"/>
  <c r="I142" i="256"/>
  <c r="I141" i="256"/>
  <c r="I140" i="256"/>
  <c r="I139" i="256"/>
  <c r="I138" i="256"/>
  <c r="I137" i="256"/>
  <c r="I136" i="256"/>
  <c r="I135" i="256"/>
  <c r="I134" i="256"/>
  <c r="I133" i="256"/>
  <c r="I132" i="256"/>
  <c r="I131" i="256"/>
  <c r="I130" i="256"/>
  <c r="I129" i="256"/>
  <c r="I128" i="256"/>
  <c r="I127" i="256"/>
  <c r="I126" i="256"/>
  <c r="I125" i="256"/>
  <c r="I124" i="256"/>
  <c r="I123" i="256"/>
  <c r="H123" i="256"/>
  <c r="H124" i="256"/>
  <c r="H125" i="256"/>
  <c r="H126" i="256"/>
  <c r="H127" i="256"/>
  <c r="H128" i="256"/>
  <c r="H129" i="256"/>
  <c r="H130" i="256"/>
  <c r="H131" i="256"/>
  <c r="H132" i="256"/>
  <c r="H133" i="256"/>
  <c r="H134" i="256"/>
  <c r="H135" i="256"/>
  <c r="H136" i="256"/>
  <c r="H137" i="256"/>
  <c r="H138" i="256"/>
  <c r="H139" i="256"/>
  <c r="H140" i="256"/>
  <c r="H141" i="256"/>
  <c r="H142" i="256"/>
  <c r="H143" i="256"/>
  <c r="H144" i="256"/>
  <c r="H145" i="256"/>
  <c r="H146" i="256"/>
  <c r="H147" i="256"/>
  <c r="H148" i="256"/>
  <c r="H149" i="256"/>
  <c r="H150" i="256"/>
  <c r="H151" i="256"/>
  <c r="H152" i="256"/>
  <c r="H153" i="256"/>
  <c r="H154" i="256"/>
  <c r="H155" i="256"/>
  <c r="H156" i="256"/>
  <c r="H157" i="256"/>
  <c r="H158" i="256"/>
  <c r="H159" i="256"/>
  <c r="H160" i="256"/>
  <c r="H161" i="256"/>
  <c r="H162" i="256"/>
  <c r="H163" i="256"/>
  <c r="G163" i="256"/>
  <c r="G158" i="256"/>
  <c r="G157" i="256"/>
  <c r="G156" i="256"/>
  <c r="G144" i="256"/>
  <c r="G145" i="256"/>
  <c r="G146" i="256"/>
  <c r="G147" i="256"/>
  <c r="G148" i="256"/>
  <c r="G149" i="256"/>
  <c r="G150" i="256"/>
  <c r="G151" i="256"/>
  <c r="G152" i="256"/>
  <c r="G153" i="256"/>
  <c r="G154" i="256"/>
  <c r="G155" i="256"/>
  <c r="G138" i="256"/>
  <c r="G139" i="256"/>
  <c r="G140" i="256"/>
  <c r="G141" i="256"/>
  <c r="G142" i="256"/>
  <c r="G143" i="256"/>
  <c r="G137" i="256"/>
  <c r="G133" i="256"/>
  <c r="G134" i="256"/>
  <c r="G135" i="256"/>
  <c r="G136" i="256"/>
  <c r="G132" i="256"/>
  <c r="G131" i="256"/>
  <c r="G129" i="256"/>
  <c r="G130" i="256"/>
  <c r="G128" i="256"/>
  <c r="G127" i="256"/>
  <c r="G126" i="256"/>
  <c r="G124" i="256"/>
  <c r="G125" i="256"/>
  <c r="G159" i="256"/>
  <c r="G160" i="256"/>
  <c r="G161" i="256"/>
  <c r="G162" i="256"/>
  <c r="G123" i="256"/>
  <c r="I115" i="256"/>
  <c r="I118" i="256"/>
  <c r="I119" i="256"/>
  <c r="I117" i="256"/>
  <c r="I116" i="256"/>
  <c r="I114" i="256"/>
  <c r="I113" i="256"/>
  <c r="I112" i="256"/>
  <c r="I111" i="256"/>
  <c r="I110" i="256"/>
  <c r="I109" i="256"/>
  <c r="I108" i="256"/>
  <c r="I107" i="256"/>
  <c r="H108" i="256"/>
  <c r="H109" i="256"/>
  <c r="H110" i="256"/>
  <c r="H111" i="256"/>
  <c r="H112" i="256"/>
  <c r="H113" i="256"/>
  <c r="H114" i="256"/>
  <c r="H116" i="256"/>
  <c r="H117" i="256"/>
  <c r="H118" i="256"/>
  <c r="H119" i="256"/>
  <c r="H107" i="256"/>
  <c r="I77" i="256"/>
  <c r="I78" i="256"/>
  <c r="I79" i="256"/>
  <c r="I80" i="256"/>
  <c r="I81" i="256"/>
  <c r="I82" i="256"/>
  <c r="I83" i="256"/>
  <c r="I84" i="256"/>
  <c r="I85" i="256"/>
  <c r="I86" i="256"/>
  <c r="I87" i="256"/>
  <c r="I88" i="256"/>
  <c r="I89" i="256"/>
  <c r="I90" i="256"/>
  <c r="I91" i="256"/>
  <c r="I92" i="256"/>
  <c r="I93" i="256"/>
  <c r="I94" i="256"/>
  <c r="I95" i="256"/>
  <c r="I96" i="256"/>
  <c r="I97" i="256"/>
  <c r="I98" i="256"/>
  <c r="I99" i="256"/>
  <c r="I100" i="256"/>
  <c r="I101" i="256"/>
  <c r="I102" i="256"/>
  <c r="I103" i="256"/>
  <c r="I104" i="256"/>
  <c r="I105" i="256"/>
  <c r="I106" i="256"/>
  <c r="I76" i="256"/>
  <c r="G117" i="256"/>
  <c r="G118" i="256"/>
  <c r="G119" i="256"/>
  <c r="G116" i="256"/>
  <c r="G114" i="256"/>
  <c r="G113" i="256"/>
  <c r="G112" i="256"/>
  <c r="G111" i="256"/>
  <c r="G110" i="256"/>
  <c r="G109" i="256"/>
  <c r="G108" i="256"/>
  <c r="G107" i="256"/>
  <c r="G77" i="256"/>
  <c r="H77" i="256"/>
  <c r="G78" i="256"/>
  <c r="H78" i="256"/>
  <c r="G79" i="256"/>
  <c r="H79" i="256"/>
  <c r="G80" i="256"/>
  <c r="H80" i="256"/>
  <c r="G81" i="256"/>
  <c r="H81" i="256"/>
  <c r="G82" i="256"/>
  <c r="H82" i="256"/>
  <c r="G83" i="256"/>
  <c r="H83" i="256"/>
  <c r="G84" i="256"/>
  <c r="H84" i="256"/>
  <c r="G85" i="256"/>
  <c r="H85" i="256"/>
  <c r="G86" i="256"/>
  <c r="H86" i="256"/>
  <c r="G87" i="256"/>
  <c r="H87" i="256"/>
  <c r="G88" i="256"/>
  <c r="H88" i="256"/>
  <c r="G89" i="256"/>
  <c r="H89" i="256"/>
  <c r="G90" i="256"/>
  <c r="H90" i="256"/>
  <c r="G91" i="256"/>
  <c r="H91" i="256"/>
  <c r="G92" i="256"/>
  <c r="H92" i="256"/>
  <c r="G93" i="256"/>
  <c r="H93" i="256"/>
  <c r="G94" i="256"/>
  <c r="H94" i="256"/>
  <c r="G95" i="256"/>
  <c r="H95" i="256"/>
  <c r="G96" i="256"/>
  <c r="H96" i="256"/>
  <c r="G97" i="256"/>
  <c r="H97" i="256"/>
  <c r="G98" i="256"/>
  <c r="H98" i="256"/>
  <c r="G99" i="256"/>
  <c r="H99" i="256"/>
  <c r="G100" i="256"/>
  <c r="H100" i="256"/>
  <c r="G101" i="256"/>
  <c r="H101" i="256"/>
  <c r="G102" i="256"/>
  <c r="H102" i="256"/>
  <c r="G103" i="256"/>
  <c r="H103" i="256"/>
  <c r="G104" i="256"/>
  <c r="H104" i="256"/>
  <c r="G105" i="256"/>
  <c r="H105" i="256"/>
  <c r="G106" i="256"/>
  <c r="H106" i="256"/>
  <c r="H76" i="256"/>
  <c r="G76" i="256"/>
  <c r="I64" i="256"/>
  <c r="I65" i="256"/>
  <c r="I66" i="256"/>
  <c r="I63" i="256"/>
  <c r="I68" i="256"/>
  <c r="I67" i="256"/>
  <c r="I59" i="256"/>
  <c r="I60" i="256"/>
  <c r="I61" i="256"/>
  <c r="I58" i="256"/>
  <c r="I12" i="256"/>
  <c r="I13" i="256"/>
  <c r="I14" i="256"/>
  <c r="I15" i="256"/>
  <c r="I16" i="256"/>
  <c r="I17" i="256"/>
  <c r="I18" i="256"/>
  <c r="I19" i="256"/>
  <c r="I20" i="256"/>
  <c r="I21" i="256"/>
  <c r="I22" i="256"/>
  <c r="I23" i="256"/>
  <c r="I24" i="256"/>
  <c r="I25" i="256"/>
  <c r="I26" i="256"/>
  <c r="I27" i="256"/>
  <c r="I28" i="256"/>
  <c r="I29" i="256"/>
  <c r="I30" i="256"/>
  <c r="I31" i="256"/>
  <c r="I32" i="256"/>
  <c r="I33" i="256"/>
  <c r="I34" i="256"/>
  <c r="I35" i="256"/>
  <c r="I36" i="256"/>
  <c r="I37" i="256"/>
  <c r="I38" i="256"/>
  <c r="I39" i="256"/>
  <c r="I40" i="256"/>
  <c r="I41" i="256"/>
  <c r="I42" i="256"/>
  <c r="I43" i="256"/>
  <c r="I44" i="256"/>
  <c r="I45" i="256"/>
  <c r="I46" i="256"/>
  <c r="I47" i="256"/>
  <c r="I48" i="256"/>
  <c r="I49" i="256"/>
  <c r="I50" i="256"/>
  <c r="I51" i="256"/>
  <c r="I52" i="256"/>
  <c r="I53" i="256"/>
  <c r="I54" i="256"/>
  <c r="I55" i="256"/>
  <c r="I56" i="256"/>
  <c r="I11" i="256"/>
  <c r="G68" i="256"/>
  <c r="G67" i="256"/>
  <c r="G66" i="256"/>
  <c r="G65" i="256"/>
  <c r="G64" i="256"/>
  <c r="G63" i="256"/>
  <c r="G61" i="256"/>
  <c r="G56" i="256"/>
  <c r="G55" i="256"/>
  <c r="G54" i="256"/>
  <c r="G53" i="256"/>
  <c r="G52" i="256"/>
  <c r="G51" i="256"/>
  <c r="G50" i="256"/>
  <c r="G49" i="256"/>
  <c r="G48" i="256"/>
  <c r="G47" i="256"/>
  <c r="G46" i="256"/>
  <c r="G45" i="256"/>
  <c r="G44" i="256"/>
  <c r="G43" i="256"/>
  <c r="G42" i="256"/>
  <c r="G41" i="256"/>
  <c r="G40" i="256"/>
  <c r="G39" i="256"/>
  <c r="G38" i="256"/>
  <c r="G37" i="256"/>
  <c r="G36" i="256"/>
  <c r="G35" i="256"/>
  <c r="G34" i="256"/>
  <c r="G33" i="256"/>
  <c r="G32" i="256"/>
  <c r="G31" i="256"/>
  <c r="G30" i="256"/>
  <c r="G29" i="256"/>
  <c r="G28" i="256"/>
  <c r="G27" i="256"/>
  <c r="G26" i="256"/>
  <c r="G25" i="256"/>
  <c r="G24" i="256"/>
  <c r="G23" i="256"/>
  <c r="G22" i="256"/>
  <c r="G21" i="256"/>
  <c r="G20" i="256"/>
  <c r="G19" i="256"/>
  <c r="G18" i="256"/>
  <c r="G17" i="256"/>
  <c r="G16" i="256"/>
  <c r="G15" i="256"/>
  <c r="G14" i="256"/>
  <c r="G13" i="256"/>
  <c r="G12" i="256"/>
  <c r="G11" i="256"/>
  <c r="E164" i="256" l="1"/>
  <c r="D164" i="209"/>
  <c r="F164" i="209"/>
  <c r="D164" i="256"/>
  <c r="E70" i="256"/>
  <c r="D70" i="209"/>
  <c r="F164" i="256"/>
  <c r="F70" i="209"/>
  <c r="D120" i="209"/>
  <c r="D70" i="256"/>
  <c r="D120" i="256"/>
  <c r="E120" i="256"/>
  <c r="E164" i="209"/>
  <c r="F70" i="256"/>
  <c r="F120" i="256"/>
  <c r="F120" i="209"/>
  <c r="E120" i="209"/>
  <c r="E70" i="209"/>
  <c r="L208" i="256" l="1"/>
  <c r="L206" i="256"/>
  <c r="L205" i="256"/>
  <c r="L204" i="256"/>
  <c r="L201" i="256"/>
  <c r="L195" i="256"/>
  <c r="L194" i="256"/>
  <c r="L193" i="256"/>
  <c r="L192" i="256"/>
  <c r="L191" i="256"/>
  <c r="L185" i="256"/>
  <c r="L184" i="256"/>
  <c r="L183" i="256"/>
  <c r="L160" i="256"/>
  <c r="L159" i="256"/>
  <c r="L158" i="256"/>
  <c r="L153" i="256"/>
  <c r="L152" i="256"/>
  <c r="L151" i="256"/>
  <c r="L143" i="256"/>
  <c r="L136" i="256"/>
  <c r="L135" i="256"/>
  <c r="L134" i="256"/>
  <c r="L119" i="256"/>
  <c r="L118" i="256"/>
  <c r="L117" i="256"/>
  <c r="L116" i="256"/>
  <c r="L111" i="256"/>
  <c r="L110" i="256"/>
  <c r="L109" i="256"/>
  <c r="L61" i="256"/>
  <c r="L50" i="256"/>
  <c r="L48" i="256"/>
  <c r="L41" i="256"/>
  <c r="L40" i="256"/>
  <c r="L39" i="256"/>
  <c r="L38" i="256"/>
  <c r="L37" i="256"/>
  <c r="L36" i="256"/>
  <c r="L35" i="256"/>
  <c r="K208" i="256"/>
  <c r="K207" i="256"/>
  <c r="K206" i="256"/>
  <c r="K205" i="256"/>
  <c r="K204" i="256"/>
  <c r="K203" i="256"/>
  <c r="K202" i="256"/>
  <c r="K201" i="256"/>
  <c r="K200" i="256"/>
  <c r="K199" i="256"/>
  <c r="K198" i="256"/>
  <c r="K197" i="256"/>
  <c r="K196" i="256"/>
  <c r="K195" i="256"/>
  <c r="K194" i="256"/>
  <c r="K193" i="256"/>
  <c r="K192" i="256"/>
  <c r="K191" i="256"/>
  <c r="K190" i="256"/>
  <c r="K189" i="256"/>
  <c r="K188" i="256"/>
  <c r="K187" i="256"/>
  <c r="K186" i="256"/>
  <c r="K185" i="256"/>
  <c r="K184" i="256"/>
  <c r="K183" i="256"/>
  <c r="K182" i="256"/>
  <c r="K181" i="256"/>
  <c r="K180" i="256"/>
  <c r="K179" i="256"/>
  <c r="K178" i="256"/>
  <c r="K177" i="256"/>
  <c r="K176" i="256"/>
  <c r="K175" i="256"/>
  <c r="K174" i="256"/>
  <c r="K173" i="256"/>
  <c r="K172" i="256"/>
  <c r="K171" i="256"/>
  <c r="K170" i="256"/>
  <c r="K169" i="256"/>
  <c r="K168" i="256"/>
  <c r="K167" i="256"/>
  <c r="K163" i="256"/>
  <c r="K162" i="256"/>
  <c r="K161" i="256"/>
  <c r="K160" i="256"/>
  <c r="K159" i="256"/>
  <c r="K158" i="256"/>
  <c r="K157" i="256"/>
  <c r="K156" i="256"/>
  <c r="K155" i="256"/>
  <c r="K154" i="256"/>
  <c r="K153" i="256"/>
  <c r="K152" i="256"/>
  <c r="K151" i="256"/>
  <c r="K150" i="256"/>
  <c r="K149" i="256"/>
  <c r="K148" i="256"/>
  <c r="K147" i="256"/>
  <c r="K146" i="256"/>
  <c r="K145" i="256"/>
  <c r="K144" i="256"/>
  <c r="K143" i="256"/>
  <c r="K142" i="256"/>
  <c r="K141" i="256"/>
  <c r="K140" i="256"/>
  <c r="K139" i="256"/>
  <c r="K138" i="256"/>
  <c r="K137" i="256"/>
  <c r="K136" i="256"/>
  <c r="K135" i="256"/>
  <c r="K134" i="256"/>
  <c r="K133" i="256"/>
  <c r="K132" i="256"/>
  <c r="K131" i="256"/>
  <c r="K130" i="256"/>
  <c r="K129" i="256"/>
  <c r="K128" i="256"/>
  <c r="K127" i="256"/>
  <c r="K126" i="256"/>
  <c r="K125" i="256"/>
  <c r="K124" i="256"/>
  <c r="K123" i="256"/>
  <c r="K119" i="256"/>
  <c r="K118" i="256"/>
  <c r="K117" i="256"/>
  <c r="K116" i="256"/>
  <c r="K115" i="256"/>
  <c r="K114" i="256"/>
  <c r="K113" i="256"/>
  <c r="K112" i="256"/>
  <c r="K111" i="256"/>
  <c r="K110" i="256"/>
  <c r="K109" i="256"/>
  <c r="K108" i="256"/>
  <c r="K107" i="256"/>
  <c r="K106" i="256"/>
  <c r="K105" i="256"/>
  <c r="K104" i="256"/>
  <c r="K103" i="256"/>
  <c r="K102" i="256"/>
  <c r="K101" i="256"/>
  <c r="K100" i="256"/>
  <c r="K99" i="256"/>
  <c r="K98" i="256"/>
  <c r="K97" i="256"/>
  <c r="K96" i="256"/>
  <c r="K95" i="256"/>
  <c r="K94" i="256"/>
  <c r="K93" i="256"/>
  <c r="K92" i="256"/>
  <c r="K91" i="256"/>
  <c r="K90" i="256"/>
  <c r="K89" i="256"/>
  <c r="K88" i="256"/>
  <c r="K87" i="256"/>
  <c r="K86" i="256"/>
  <c r="K85" i="256"/>
  <c r="K84" i="256"/>
  <c r="K83" i="256"/>
  <c r="K82" i="256"/>
  <c r="K81" i="256"/>
  <c r="K80" i="256"/>
  <c r="K79" i="256"/>
  <c r="K78" i="256"/>
  <c r="K77" i="256"/>
  <c r="K76" i="256"/>
  <c r="K75" i="256"/>
  <c r="K74" i="256"/>
  <c r="K68" i="256"/>
  <c r="K67" i="256"/>
  <c r="K66" i="256"/>
  <c r="K65" i="256"/>
  <c r="K64" i="256"/>
  <c r="K63" i="256"/>
  <c r="K62" i="256"/>
  <c r="K61" i="256"/>
  <c r="K60" i="256"/>
  <c r="K59" i="256"/>
  <c r="K58" i="256"/>
  <c r="K57" i="256"/>
  <c r="K56" i="256"/>
  <c r="K55" i="256"/>
  <c r="K54" i="256"/>
  <c r="K53" i="256"/>
  <c r="K52" i="256"/>
  <c r="K51" i="256"/>
  <c r="K50" i="256"/>
  <c r="K49" i="256"/>
  <c r="K48" i="256"/>
  <c r="K47" i="256"/>
  <c r="K46" i="256"/>
  <c r="K45" i="256"/>
  <c r="K44" i="256"/>
  <c r="K43" i="256"/>
  <c r="K42" i="256"/>
  <c r="K41" i="256"/>
  <c r="K40" i="256"/>
  <c r="K39" i="256"/>
  <c r="K38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K24" i="256"/>
  <c r="K23" i="256"/>
  <c r="K22" i="256"/>
  <c r="K21" i="256"/>
  <c r="K20" i="256"/>
  <c r="K19" i="256"/>
  <c r="K18" i="256"/>
  <c r="K17" i="256"/>
  <c r="K16" i="256"/>
  <c r="K15" i="256"/>
  <c r="K14" i="256"/>
  <c r="K13" i="256"/>
  <c r="K12" i="256"/>
  <c r="K11" i="256"/>
  <c r="K10" i="256"/>
  <c r="K9" i="256"/>
  <c r="J208" i="256"/>
  <c r="J207" i="256"/>
  <c r="J206" i="256"/>
  <c r="J205" i="256"/>
  <c r="J204" i="256"/>
  <c r="J203" i="256"/>
  <c r="J202" i="256"/>
  <c r="J201" i="256"/>
  <c r="J200" i="256"/>
  <c r="J199" i="256"/>
  <c r="J198" i="256"/>
  <c r="J197" i="256"/>
  <c r="J196" i="256"/>
  <c r="J195" i="256"/>
  <c r="J194" i="256"/>
  <c r="J193" i="256"/>
  <c r="J192" i="256"/>
  <c r="J191" i="256"/>
  <c r="J190" i="256"/>
  <c r="J189" i="256"/>
  <c r="J188" i="256"/>
  <c r="J187" i="256"/>
  <c r="J186" i="256"/>
  <c r="J185" i="256"/>
  <c r="J184" i="256"/>
  <c r="J183" i="256"/>
  <c r="J182" i="256"/>
  <c r="J181" i="256"/>
  <c r="J180" i="256"/>
  <c r="J179" i="256"/>
  <c r="J178" i="256"/>
  <c r="J177" i="256"/>
  <c r="J176" i="256"/>
  <c r="J175" i="256"/>
  <c r="J174" i="256"/>
  <c r="J173" i="256"/>
  <c r="J172" i="256"/>
  <c r="J171" i="256"/>
  <c r="J170" i="256"/>
  <c r="J169" i="256"/>
  <c r="J168" i="256"/>
  <c r="J167" i="256"/>
  <c r="J163" i="256"/>
  <c r="J162" i="256"/>
  <c r="J161" i="256"/>
  <c r="J160" i="256"/>
  <c r="J159" i="256"/>
  <c r="J158" i="256"/>
  <c r="J157" i="256"/>
  <c r="J156" i="256"/>
  <c r="J155" i="256"/>
  <c r="J154" i="256"/>
  <c r="J153" i="256"/>
  <c r="J152" i="256"/>
  <c r="J151" i="256"/>
  <c r="J150" i="256"/>
  <c r="J149" i="256"/>
  <c r="J148" i="256"/>
  <c r="J147" i="256"/>
  <c r="J146" i="256"/>
  <c r="J145" i="256"/>
  <c r="J144" i="256"/>
  <c r="J143" i="256"/>
  <c r="J142" i="256"/>
  <c r="J141" i="256"/>
  <c r="J140" i="256"/>
  <c r="J139" i="256"/>
  <c r="J138" i="256"/>
  <c r="J137" i="256"/>
  <c r="J136" i="256"/>
  <c r="J135" i="256"/>
  <c r="J134" i="256"/>
  <c r="J133" i="256"/>
  <c r="J132" i="256"/>
  <c r="J131" i="256"/>
  <c r="J130" i="256"/>
  <c r="J129" i="256"/>
  <c r="J128" i="256"/>
  <c r="J127" i="256"/>
  <c r="J126" i="256"/>
  <c r="J125" i="256"/>
  <c r="J124" i="256"/>
  <c r="J123" i="256"/>
  <c r="J119" i="256"/>
  <c r="J118" i="256"/>
  <c r="J117" i="256"/>
  <c r="J116" i="256"/>
  <c r="J115" i="256"/>
  <c r="J114" i="256"/>
  <c r="J113" i="256"/>
  <c r="J112" i="256"/>
  <c r="J111" i="256"/>
  <c r="J110" i="256"/>
  <c r="J109" i="256"/>
  <c r="J108" i="256"/>
  <c r="J107" i="256"/>
  <c r="J106" i="256"/>
  <c r="J105" i="256"/>
  <c r="J104" i="256"/>
  <c r="J103" i="256"/>
  <c r="J102" i="256"/>
  <c r="J101" i="256"/>
  <c r="J100" i="256"/>
  <c r="J99" i="256"/>
  <c r="J98" i="256"/>
  <c r="J97" i="256"/>
  <c r="J96" i="256"/>
  <c r="J95" i="256"/>
  <c r="J94" i="256"/>
  <c r="J93" i="256"/>
  <c r="J92" i="256"/>
  <c r="J91" i="256"/>
  <c r="J90" i="256"/>
  <c r="J89" i="256"/>
  <c r="J88" i="256"/>
  <c r="J87" i="256"/>
  <c r="J86" i="256"/>
  <c r="J85" i="256"/>
  <c r="J84" i="256"/>
  <c r="J83" i="256"/>
  <c r="J82" i="256"/>
  <c r="J81" i="256"/>
  <c r="J80" i="256"/>
  <c r="J79" i="256"/>
  <c r="J78" i="256"/>
  <c r="J77" i="256"/>
  <c r="J76" i="256"/>
  <c r="J75" i="256"/>
  <c r="J74" i="256"/>
  <c r="J68" i="256"/>
  <c r="J67" i="256"/>
  <c r="J66" i="256"/>
  <c r="J65" i="256"/>
  <c r="J64" i="256"/>
  <c r="J63" i="256"/>
  <c r="J62" i="256"/>
  <c r="J61" i="256"/>
  <c r="J60" i="256"/>
  <c r="J59" i="256"/>
  <c r="J58" i="256"/>
  <c r="J57" i="256"/>
  <c r="J56" i="256"/>
  <c r="J55" i="256"/>
  <c r="J54" i="256"/>
  <c r="J53" i="256"/>
  <c r="J52" i="256"/>
  <c r="J51" i="256"/>
  <c r="J50" i="256"/>
  <c r="J49" i="256"/>
  <c r="J48" i="256"/>
  <c r="J47" i="256"/>
  <c r="J46" i="256"/>
  <c r="J45" i="256"/>
  <c r="J44" i="256"/>
  <c r="J43" i="256"/>
  <c r="J42" i="256"/>
  <c r="J41" i="256"/>
  <c r="J40" i="256"/>
  <c r="J39" i="256"/>
  <c r="J38" i="256"/>
  <c r="J37" i="256"/>
  <c r="J36" i="256"/>
  <c r="J35" i="256"/>
  <c r="J34" i="256"/>
  <c r="J33" i="256"/>
  <c r="J32" i="256"/>
  <c r="J31" i="256"/>
  <c r="J30" i="256"/>
  <c r="J29" i="256"/>
  <c r="J28" i="256"/>
  <c r="J27" i="256"/>
  <c r="J26" i="256"/>
  <c r="J25" i="256"/>
  <c r="J24" i="256"/>
  <c r="J23" i="256"/>
  <c r="J22" i="256"/>
  <c r="J21" i="256"/>
  <c r="J20" i="256"/>
  <c r="J19" i="256"/>
  <c r="J18" i="256"/>
  <c r="J17" i="256"/>
  <c r="J16" i="256"/>
  <c r="J15" i="256"/>
  <c r="J14" i="256"/>
  <c r="J13" i="256"/>
  <c r="J12" i="256"/>
  <c r="J11" i="256"/>
  <c r="J10" i="256"/>
  <c r="J9" i="256"/>
  <c r="L208" i="272" l="1"/>
  <c r="K208" i="272"/>
  <c r="J208" i="272"/>
  <c r="F208" i="272"/>
  <c r="E208" i="272"/>
  <c r="D208" i="272"/>
  <c r="L207" i="272"/>
  <c r="K207" i="272"/>
  <c r="J207" i="272"/>
  <c r="F207" i="272"/>
  <c r="E207" i="272"/>
  <c r="D207" i="272"/>
  <c r="L206" i="272"/>
  <c r="K206" i="272"/>
  <c r="J206" i="272"/>
  <c r="F206" i="272"/>
  <c r="E206" i="272"/>
  <c r="D206" i="272"/>
  <c r="L205" i="272"/>
  <c r="K205" i="272"/>
  <c r="J205" i="272"/>
  <c r="F205" i="272"/>
  <c r="E205" i="272"/>
  <c r="D205" i="272"/>
  <c r="L204" i="272"/>
  <c r="K204" i="272"/>
  <c r="J204" i="272"/>
  <c r="F204" i="272"/>
  <c r="E204" i="272"/>
  <c r="D204" i="272"/>
  <c r="L203" i="272"/>
  <c r="K203" i="272"/>
  <c r="J203" i="272"/>
  <c r="F203" i="272"/>
  <c r="E203" i="272"/>
  <c r="D203" i="272"/>
  <c r="L202" i="272"/>
  <c r="K202" i="272"/>
  <c r="J202" i="272"/>
  <c r="F202" i="272"/>
  <c r="E202" i="272"/>
  <c r="D202" i="272"/>
  <c r="L201" i="272"/>
  <c r="K201" i="272"/>
  <c r="J201" i="272"/>
  <c r="F201" i="272"/>
  <c r="E201" i="272"/>
  <c r="D201" i="272"/>
  <c r="L200" i="272"/>
  <c r="K200" i="272"/>
  <c r="J200" i="272"/>
  <c r="F200" i="272"/>
  <c r="E200" i="272"/>
  <c r="D200" i="272"/>
  <c r="L199" i="272"/>
  <c r="K199" i="272"/>
  <c r="J199" i="272"/>
  <c r="F199" i="272"/>
  <c r="E199" i="272"/>
  <c r="D199" i="272"/>
  <c r="L198" i="272"/>
  <c r="K198" i="272"/>
  <c r="J198" i="272"/>
  <c r="F198" i="272"/>
  <c r="E198" i="272"/>
  <c r="D198" i="272"/>
  <c r="L197" i="272"/>
  <c r="K197" i="272"/>
  <c r="J197" i="272"/>
  <c r="F197" i="272"/>
  <c r="E197" i="272"/>
  <c r="D197" i="272"/>
  <c r="L196" i="272"/>
  <c r="K196" i="272"/>
  <c r="J196" i="272"/>
  <c r="F196" i="272"/>
  <c r="E196" i="272"/>
  <c r="D196" i="272"/>
  <c r="L195" i="272"/>
  <c r="K195" i="272"/>
  <c r="J195" i="272"/>
  <c r="F195" i="272"/>
  <c r="E195" i="272"/>
  <c r="D195" i="272"/>
  <c r="L194" i="272"/>
  <c r="K194" i="272"/>
  <c r="J194" i="272"/>
  <c r="F194" i="272"/>
  <c r="E194" i="272"/>
  <c r="D194" i="272"/>
  <c r="L193" i="272"/>
  <c r="K193" i="272"/>
  <c r="J193" i="272"/>
  <c r="F193" i="272"/>
  <c r="E193" i="272"/>
  <c r="D193" i="272"/>
  <c r="L192" i="272"/>
  <c r="K192" i="272"/>
  <c r="J192" i="272"/>
  <c r="F192" i="272"/>
  <c r="E192" i="272"/>
  <c r="D192" i="272"/>
  <c r="L191" i="272"/>
  <c r="K191" i="272"/>
  <c r="J191" i="272"/>
  <c r="F191" i="272"/>
  <c r="E191" i="272"/>
  <c r="D191" i="272"/>
  <c r="L190" i="272"/>
  <c r="K190" i="272"/>
  <c r="J190" i="272"/>
  <c r="F190" i="272"/>
  <c r="E190" i="272"/>
  <c r="D190" i="272"/>
  <c r="L189" i="272"/>
  <c r="K189" i="272"/>
  <c r="J189" i="272"/>
  <c r="F189" i="272"/>
  <c r="E189" i="272"/>
  <c r="D189" i="272"/>
  <c r="L188" i="272"/>
  <c r="K188" i="272"/>
  <c r="J188" i="272"/>
  <c r="F188" i="272"/>
  <c r="E188" i="272"/>
  <c r="D188" i="272"/>
  <c r="L187" i="272"/>
  <c r="K187" i="272"/>
  <c r="J187" i="272"/>
  <c r="F187" i="272"/>
  <c r="E187" i="272"/>
  <c r="D187" i="272"/>
  <c r="L186" i="272"/>
  <c r="K186" i="272"/>
  <c r="J186" i="272"/>
  <c r="F186" i="272"/>
  <c r="E186" i="272"/>
  <c r="D186" i="272"/>
  <c r="L185" i="272"/>
  <c r="K185" i="272"/>
  <c r="J185" i="272"/>
  <c r="F185" i="272"/>
  <c r="E185" i="272"/>
  <c r="D185" i="272"/>
  <c r="L184" i="272"/>
  <c r="K184" i="272"/>
  <c r="J184" i="272"/>
  <c r="F184" i="272"/>
  <c r="E184" i="272"/>
  <c r="D184" i="272"/>
  <c r="L183" i="272"/>
  <c r="K183" i="272"/>
  <c r="J183" i="272"/>
  <c r="F183" i="272"/>
  <c r="E183" i="272"/>
  <c r="D183" i="272"/>
  <c r="L182" i="272"/>
  <c r="K182" i="272"/>
  <c r="J182" i="272"/>
  <c r="F182" i="272"/>
  <c r="E182" i="272"/>
  <c r="D182" i="272"/>
  <c r="L181" i="272"/>
  <c r="K181" i="272"/>
  <c r="J181" i="272"/>
  <c r="F181" i="272"/>
  <c r="E181" i="272"/>
  <c r="D181" i="272"/>
  <c r="L180" i="272"/>
  <c r="K180" i="272"/>
  <c r="J180" i="272"/>
  <c r="F180" i="272"/>
  <c r="E180" i="272"/>
  <c r="D180" i="272"/>
  <c r="L179" i="272"/>
  <c r="K179" i="272"/>
  <c r="J179" i="272"/>
  <c r="F179" i="272"/>
  <c r="E179" i="272"/>
  <c r="D179" i="272"/>
  <c r="L178" i="272"/>
  <c r="K178" i="272"/>
  <c r="J178" i="272"/>
  <c r="F178" i="272"/>
  <c r="E178" i="272"/>
  <c r="D178" i="272"/>
  <c r="L177" i="272"/>
  <c r="K177" i="272"/>
  <c r="J177" i="272"/>
  <c r="F177" i="272"/>
  <c r="E177" i="272"/>
  <c r="D177" i="272"/>
  <c r="L176" i="272"/>
  <c r="K176" i="272"/>
  <c r="J176" i="272"/>
  <c r="F176" i="272"/>
  <c r="E176" i="272"/>
  <c r="D176" i="272"/>
  <c r="L175" i="272"/>
  <c r="K175" i="272"/>
  <c r="J175" i="272"/>
  <c r="F175" i="272"/>
  <c r="E175" i="272"/>
  <c r="D175" i="272"/>
  <c r="L174" i="272"/>
  <c r="K174" i="272"/>
  <c r="J174" i="272"/>
  <c r="F174" i="272"/>
  <c r="E174" i="272"/>
  <c r="D174" i="272"/>
  <c r="L173" i="272"/>
  <c r="K173" i="272"/>
  <c r="J173" i="272"/>
  <c r="F173" i="272"/>
  <c r="E173" i="272"/>
  <c r="D173" i="272"/>
  <c r="L172" i="272"/>
  <c r="K172" i="272"/>
  <c r="J172" i="272"/>
  <c r="F172" i="272"/>
  <c r="E172" i="272"/>
  <c r="D172" i="272"/>
  <c r="L171" i="272"/>
  <c r="K171" i="272"/>
  <c r="J171" i="272"/>
  <c r="F171" i="272"/>
  <c r="E171" i="272"/>
  <c r="D171" i="272"/>
  <c r="L170" i="272"/>
  <c r="K170" i="272"/>
  <c r="J170" i="272"/>
  <c r="F170" i="272"/>
  <c r="E170" i="272"/>
  <c r="D170" i="272"/>
  <c r="L169" i="272"/>
  <c r="K169" i="272"/>
  <c r="J169" i="272"/>
  <c r="F169" i="272"/>
  <c r="E169" i="272"/>
  <c r="D169" i="272"/>
  <c r="L168" i="272"/>
  <c r="K168" i="272"/>
  <c r="J168" i="272"/>
  <c r="F168" i="272"/>
  <c r="E168" i="272"/>
  <c r="D168" i="272"/>
  <c r="L167" i="272"/>
  <c r="K167" i="272"/>
  <c r="J167" i="272"/>
  <c r="F167" i="272"/>
  <c r="E167" i="272"/>
  <c r="D167" i="272"/>
  <c r="L163" i="272"/>
  <c r="K163" i="272"/>
  <c r="J163" i="272"/>
  <c r="F163" i="272"/>
  <c r="E163" i="272"/>
  <c r="D163" i="272"/>
  <c r="L162" i="272"/>
  <c r="K162" i="272"/>
  <c r="J162" i="272"/>
  <c r="F162" i="272"/>
  <c r="E162" i="272"/>
  <c r="D162" i="272"/>
  <c r="L161" i="272"/>
  <c r="K161" i="272"/>
  <c r="J161" i="272"/>
  <c r="F161" i="272"/>
  <c r="E161" i="272"/>
  <c r="D161" i="272"/>
  <c r="L160" i="272"/>
  <c r="K160" i="272"/>
  <c r="J160" i="272"/>
  <c r="F160" i="272"/>
  <c r="E160" i="272"/>
  <c r="D160" i="272"/>
  <c r="L159" i="272"/>
  <c r="K159" i="272"/>
  <c r="J159" i="272"/>
  <c r="F159" i="272"/>
  <c r="E159" i="272"/>
  <c r="D159" i="272"/>
  <c r="L158" i="272"/>
  <c r="K158" i="272"/>
  <c r="J158" i="272"/>
  <c r="F158" i="272"/>
  <c r="E158" i="272"/>
  <c r="D158" i="272"/>
  <c r="L157" i="272"/>
  <c r="K157" i="272"/>
  <c r="J157" i="272"/>
  <c r="F157" i="272"/>
  <c r="E157" i="272"/>
  <c r="D157" i="272"/>
  <c r="L156" i="272"/>
  <c r="K156" i="272"/>
  <c r="J156" i="272"/>
  <c r="F156" i="272"/>
  <c r="E156" i="272"/>
  <c r="D156" i="272"/>
  <c r="L155" i="272"/>
  <c r="K155" i="272"/>
  <c r="J155" i="272"/>
  <c r="F155" i="272"/>
  <c r="E155" i="272"/>
  <c r="D155" i="272"/>
  <c r="L154" i="272"/>
  <c r="K154" i="272"/>
  <c r="J154" i="272"/>
  <c r="F154" i="272"/>
  <c r="E154" i="272"/>
  <c r="D154" i="272"/>
  <c r="L153" i="272"/>
  <c r="K153" i="272"/>
  <c r="J153" i="272"/>
  <c r="F153" i="272"/>
  <c r="E153" i="272"/>
  <c r="D153" i="272"/>
  <c r="L152" i="272"/>
  <c r="K152" i="272"/>
  <c r="J152" i="272"/>
  <c r="F152" i="272"/>
  <c r="E152" i="272"/>
  <c r="D152" i="272"/>
  <c r="L151" i="272"/>
  <c r="K151" i="272"/>
  <c r="J151" i="272"/>
  <c r="F151" i="272"/>
  <c r="E151" i="272"/>
  <c r="D151" i="272"/>
  <c r="L150" i="272"/>
  <c r="K150" i="272"/>
  <c r="J150" i="272"/>
  <c r="F150" i="272"/>
  <c r="E150" i="272"/>
  <c r="D150" i="272"/>
  <c r="L149" i="272"/>
  <c r="K149" i="272"/>
  <c r="J149" i="272"/>
  <c r="F149" i="272"/>
  <c r="E149" i="272"/>
  <c r="D149" i="272"/>
  <c r="L148" i="272"/>
  <c r="K148" i="272"/>
  <c r="J148" i="272"/>
  <c r="F148" i="272"/>
  <c r="E148" i="272"/>
  <c r="D148" i="272"/>
  <c r="L147" i="272"/>
  <c r="K147" i="272"/>
  <c r="J147" i="272"/>
  <c r="F147" i="272"/>
  <c r="E147" i="272"/>
  <c r="D147" i="272"/>
  <c r="L146" i="272"/>
  <c r="K146" i="272"/>
  <c r="J146" i="272"/>
  <c r="F146" i="272"/>
  <c r="E146" i="272"/>
  <c r="D146" i="272"/>
  <c r="L145" i="272"/>
  <c r="K145" i="272"/>
  <c r="J145" i="272"/>
  <c r="F145" i="272"/>
  <c r="E145" i="272"/>
  <c r="D145" i="272"/>
  <c r="L144" i="272"/>
  <c r="K144" i="272"/>
  <c r="J144" i="272"/>
  <c r="F144" i="272"/>
  <c r="E144" i="272"/>
  <c r="D144" i="272"/>
  <c r="L143" i="272"/>
  <c r="K143" i="272"/>
  <c r="J143" i="272"/>
  <c r="F143" i="272"/>
  <c r="E143" i="272"/>
  <c r="D143" i="272"/>
  <c r="L142" i="272"/>
  <c r="K142" i="272"/>
  <c r="J142" i="272"/>
  <c r="F142" i="272"/>
  <c r="E142" i="272"/>
  <c r="D142" i="272"/>
  <c r="L141" i="272"/>
  <c r="K141" i="272"/>
  <c r="J141" i="272"/>
  <c r="F141" i="272"/>
  <c r="E141" i="272"/>
  <c r="D141" i="272"/>
  <c r="L140" i="272"/>
  <c r="K140" i="272"/>
  <c r="J140" i="272"/>
  <c r="F140" i="272"/>
  <c r="E140" i="272"/>
  <c r="D140" i="272"/>
  <c r="L139" i="272"/>
  <c r="K139" i="272"/>
  <c r="J139" i="272"/>
  <c r="F139" i="272"/>
  <c r="E139" i="272"/>
  <c r="D139" i="272"/>
  <c r="L138" i="272"/>
  <c r="K138" i="272"/>
  <c r="J138" i="272"/>
  <c r="F138" i="272"/>
  <c r="E138" i="272"/>
  <c r="D138" i="272"/>
  <c r="L137" i="272"/>
  <c r="K137" i="272"/>
  <c r="J137" i="272"/>
  <c r="F137" i="272"/>
  <c r="E137" i="272"/>
  <c r="D137" i="272"/>
  <c r="L136" i="272"/>
  <c r="K136" i="272"/>
  <c r="J136" i="272"/>
  <c r="F136" i="272"/>
  <c r="E136" i="272"/>
  <c r="D136" i="272"/>
  <c r="L135" i="272"/>
  <c r="K135" i="272"/>
  <c r="J135" i="272"/>
  <c r="F135" i="272"/>
  <c r="E135" i="272"/>
  <c r="D135" i="272"/>
  <c r="L134" i="272"/>
  <c r="K134" i="272"/>
  <c r="J134" i="272"/>
  <c r="F134" i="272"/>
  <c r="E134" i="272"/>
  <c r="D134" i="272"/>
  <c r="L133" i="272"/>
  <c r="K133" i="272"/>
  <c r="J133" i="272"/>
  <c r="F133" i="272"/>
  <c r="E133" i="272"/>
  <c r="D133" i="272"/>
  <c r="L132" i="272"/>
  <c r="K132" i="272"/>
  <c r="J132" i="272"/>
  <c r="F132" i="272"/>
  <c r="E132" i="272"/>
  <c r="D132" i="272"/>
  <c r="L131" i="272"/>
  <c r="K131" i="272"/>
  <c r="J131" i="272"/>
  <c r="F131" i="272"/>
  <c r="E131" i="272"/>
  <c r="D131" i="272"/>
  <c r="L130" i="272"/>
  <c r="K130" i="272"/>
  <c r="J130" i="272"/>
  <c r="F130" i="272"/>
  <c r="E130" i="272"/>
  <c r="D130" i="272"/>
  <c r="L129" i="272"/>
  <c r="K129" i="272"/>
  <c r="J129" i="272"/>
  <c r="F129" i="272"/>
  <c r="E129" i="272"/>
  <c r="D129" i="272"/>
  <c r="L128" i="272"/>
  <c r="K128" i="272"/>
  <c r="J128" i="272"/>
  <c r="F128" i="272"/>
  <c r="E128" i="272"/>
  <c r="D128" i="272"/>
  <c r="L127" i="272"/>
  <c r="K127" i="272"/>
  <c r="J127" i="272"/>
  <c r="F127" i="272"/>
  <c r="E127" i="272"/>
  <c r="D127" i="272"/>
  <c r="L126" i="272"/>
  <c r="K126" i="272"/>
  <c r="J126" i="272"/>
  <c r="F126" i="272"/>
  <c r="E126" i="272"/>
  <c r="D126" i="272"/>
  <c r="L125" i="272"/>
  <c r="K125" i="272"/>
  <c r="J125" i="272"/>
  <c r="F125" i="272"/>
  <c r="E125" i="272"/>
  <c r="D125" i="272"/>
  <c r="L124" i="272"/>
  <c r="K124" i="272"/>
  <c r="J124" i="272"/>
  <c r="F124" i="272"/>
  <c r="E124" i="272"/>
  <c r="D124" i="272"/>
  <c r="L123" i="272"/>
  <c r="K123" i="272"/>
  <c r="J123" i="272"/>
  <c r="F123" i="272"/>
  <c r="E123" i="272"/>
  <c r="D123" i="272"/>
  <c r="L119" i="272"/>
  <c r="K119" i="272"/>
  <c r="J119" i="272"/>
  <c r="F119" i="272"/>
  <c r="E119" i="272"/>
  <c r="D119" i="272"/>
  <c r="L118" i="272"/>
  <c r="K118" i="272"/>
  <c r="J118" i="272"/>
  <c r="F118" i="272"/>
  <c r="E118" i="272"/>
  <c r="D118" i="272"/>
  <c r="L117" i="272"/>
  <c r="K117" i="272"/>
  <c r="J117" i="272"/>
  <c r="F117" i="272"/>
  <c r="E117" i="272"/>
  <c r="D117" i="272"/>
  <c r="L116" i="272"/>
  <c r="K116" i="272"/>
  <c r="J116" i="272"/>
  <c r="F116" i="272"/>
  <c r="E116" i="272"/>
  <c r="D116" i="272"/>
  <c r="L115" i="272"/>
  <c r="K115" i="272"/>
  <c r="J115" i="272"/>
  <c r="F115" i="272"/>
  <c r="E115" i="272"/>
  <c r="D115" i="272"/>
  <c r="L114" i="272"/>
  <c r="K114" i="272"/>
  <c r="J114" i="272"/>
  <c r="F114" i="272"/>
  <c r="E114" i="272"/>
  <c r="D114" i="272"/>
  <c r="L113" i="272"/>
  <c r="K113" i="272"/>
  <c r="J113" i="272"/>
  <c r="F113" i="272"/>
  <c r="E113" i="272"/>
  <c r="D113" i="272"/>
  <c r="L112" i="272"/>
  <c r="K112" i="272"/>
  <c r="J112" i="272"/>
  <c r="F112" i="272"/>
  <c r="E112" i="272"/>
  <c r="D112" i="272"/>
  <c r="L111" i="272"/>
  <c r="K111" i="272"/>
  <c r="J111" i="272"/>
  <c r="F111" i="272"/>
  <c r="E111" i="272"/>
  <c r="D111" i="272"/>
  <c r="L110" i="272"/>
  <c r="K110" i="272"/>
  <c r="J110" i="272"/>
  <c r="F110" i="272"/>
  <c r="E110" i="272"/>
  <c r="D110" i="272"/>
  <c r="L109" i="272"/>
  <c r="K109" i="272"/>
  <c r="J109" i="272"/>
  <c r="F109" i="272"/>
  <c r="E109" i="272"/>
  <c r="D109" i="272"/>
  <c r="L108" i="272"/>
  <c r="K108" i="272"/>
  <c r="J108" i="272"/>
  <c r="F108" i="272"/>
  <c r="E108" i="272"/>
  <c r="D108" i="272"/>
  <c r="L107" i="272"/>
  <c r="K107" i="272"/>
  <c r="J107" i="272"/>
  <c r="F107" i="272"/>
  <c r="E107" i="272"/>
  <c r="D107" i="272"/>
  <c r="L106" i="272"/>
  <c r="K106" i="272"/>
  <c r="J106" i="272"/>
  <c r="F106" i="272"/>
  <c r="E106" i="272"/>
  <c r="D106" i="272"/>
  <c r="L105" i="272"/>
  <c r="K105" i="272"/>
  <c r="J105" i="272"/>
  <c r="F105" i="272"/>
  <c r="E105" i="272"/>
  <c r="D105" i="272"/>
  <c r="L104" i="272"/>
  <c r="K104" i="272"/>
  <c r="J104" i="272"/>
  <c r="F104" i="272"/>
  <c r="E104" i="272"/>
  <c r="D104" i="272"/>
  <c r="L103" i="272"/>
  <c r="K103" i="272"/>
  <c r="J103" i="272"/>
  <c r="F103" i="272"/>
  <c r="E103" i="272"/>
  <c r="D103" i="272"/>
  <c r="L102" i="272"/>
  <c r="K102" i="272"/>
  <c r="J102" i="272"/>
  <c r="F102" i="272"/>
  <c r="E102" i="272"/>
  <c r="D102" i="272"/>
  <c r="L101" i="272"/>
  <c r="K101" i="272"/>
  <c r="J101" i="272"/>
  <c r="F101" i="272"/>
  <c r="E101" i="272"/>
  <c r="D101" i="272"/>
  <c r="L100" i="272"/>
  <c r="K100" i="272"/>
  <c r="J100" i="272"/>
  <c r="F100" i="272"/>
  <c r="E100" i="272"/>
  <c r="D100" i="272"/>
  <c r="L99" i="272"/>
  <c r="K99" i="272"/>
  <c r="J99" i="272"/>
  <c r="F99" i="272"/>
  <c r="E99" i="272"/>
  <c r="D99" i="272"/>
  <c r="L98" i="272"/>
  <c r="K98" i="272"/>
  <c r="J98" i="272"/>
  <c r="F98" i="272"/>
  <c r="E98" i="272"/>
  <c r="D98" i="272"/>
  <c r="L97" i="272"/>
  <c r="K97" i="272"/>
  <c r="J97" i="272"/>
  <c r="F97" i="272"/>
  <c r="E97" i="272"/>
  <c r="D97" i="272"/>
  <c r="L96" i="272"/>
  <c r="K96" i="272"/>
  <c r="J96" i="272"/>
  <c r="F96" i="272"/>
  <c r="E96" i="272"/>
  <c r="D96" i="272"/>
  <c r="L95" i="272"/>
  <c r="K95" i="272"/>
  <c r="J95" i="272"/>
  <c r="F95" i="272"/>
  <c r="E95" i="272"/>
  <c r="D95" i="272"/>
  <c r="L94" i="272"/>
  <c r="K94" i="272"/>
  <c r="J94" i="272"/>
  <c r="F94" i="272"/>
  <c r="E94" i="272"/>
  <c r="D94" i="272"/>
  <c r="L93" i="272"/>
  <c r="K93" i="272"/>
  <c r="J93" i="272"/>
  <c r="F93" i="272"/>
  <c r="E93" i="272"/>
  <c r="D93" i="272"/>
  <c r="L92" i="272"/>
  <c r="K92" i="272"/>
  <c r="J92" i="272"/>
  <c r="F92" i="272"/>
  <c r="E92" i="272"/>
  <c r="D92" i="272"/>
  <c r="L91" i="272"/>
  <c r="K91" i="272"/>
  <c r="J91" i="272"/>
  <c r="F91" i="272"/>
  <c r="E91" i="272"/>
  <c r="D91" i="272"/>
  <c r="L90" i="272"/>
  <c r="K90" i="272"/>
  <c r="J90" i="272"/>
  <c r="F90" i="272"/>
  <c r="E90" i="272"/>
  <c r="D90" i="272"/>
  <c r="L89" i="272"/>
  <c r="K89" i="272"/>
  <c r="J89" i="272"/>
  <c r="F89" i="272"/>
  <c r="E89" i="272"/>
  <c r="D89" i="272"/>
  <c r="L88" i="272"/>
  <c r="K88" i="272"/>
  <c r="J88" i="272"/>
  <c r="F88" i="272"/>
  <c r="E88" i="272"/>
  <c r="D88" i="272"/>
  <c r="L87" i="272"/>
  <c r="K87" i="272"/>
  <c r="J87" i="272"/>
  <c r="F87" i="272"/>
  <c r="E87" i="272"/>
  <c r="D87" i="272"/>
  <c r="L86" i="272"/>
  <c r="K86" i="272"/>
  <c r="J86" i="272"/>
  <c r="F86" i="272"/>
  <c r="E86" i="272"/>
  <c r="D86" i="272"/>
  <c r="L85" i="272"/>
  <c r="K85" i="272"/>
  <c r="J85" i="272"/>
  <c r="F85" i="272"/>
  <c r="E85" i="272"/>
  <c r="D85" i="272"/>
  <c r="L84" i="272"/>
  <c r="K84" i="272"/>
  <c r="J84" i="272"/>
  <c r="F84" i="272"/>
  <c r="E84" i="272"/>
  <c r="D84" i="272"/>
  <c r="L83" i="272"/>
  <c r="K83" i="272"/>
  <c r="J83" i="272"/>
  <c r="F83" i="272"/>
  <c r="E83" i="272"/>
  <c r="D83" i="272"/>
  <c r="L82" i="272"/>
  <c r="K82" i="272"/>
  <c r="J82" i="272"/>
  <c r="F82" i="272"/>
  <c r="E82" i="272"/>
  <c r="D82" i="272"/>
  <c r="L81" i="272"/>
  <c r="K81" i="272"/>
  <c r="J81" i="272"/>
  <c r="F81" i="272"/>
  <c r="E81" i="272"/>
  <c r="D81" i="272"/>
  <c r="L80" i="272"/>
  <c r="K80" i="272"/>
  <c r="J80" i="272"/>
  <c r="F80" i="272"/>
  <c r="E80" i="272"/>
  <c r="D80" i="272"/>
  <c r="L79" i="272"/>
  <c r="K79" i="272"/>
  <c r="J79" i="272"/>
  <c r="F79" i="272"/>
  <c r="E79" i="272"/>
  <c r="D79" i="272"/>
  <c r="L78" i="272"/>
  <c r="K78" i="272"/>
  <c r="J78" i="272"/>
  <c r="F78" i="272"/>
  <c r="E78" i="272"/>
  <c r="D78" i="272"/>
  <c r="L77" i="272"/>
  <c r="K77" i="272"/>
  <c r="J77" i="272"/>
  <c r="F77" i="272"/>
  <c r="E77" i="272"/>
  <c r="D77" i="272"/>
  <c r="L76" i="272"/>
  <c r="K76" i="272"/>
  <c r="J76" i="272"/>
  <c r="F76" i="272"/>
  <c r="E76" i="272"/>
  <c r="D76" i="272"/>
  <c r="L75" i="272"/>
  <c r="K75" i="272"/>
  <c r="J75" i="272"/>
  <c r="F75" i="272"/>
  <c r="E75" i="272"/>
  <c r="D75" i="272"/>
  <c r="L74" i="272"/>
  <c r="K74" i="272"/>
  <c r="J74" i="272"/>
  <c r="F74" i="272"/>
  <c r="E74" i="272"/>
  <c r="D74" i="272"/>
  <c r="L68" i="272"/>
  <c r="K68" i="272"/>
  <c r="J68" i="272"/>
  <c r="F68" i="272"/>
  <c r="E68" i="272"/>
  <c r="D68" i="272"/>
  <c r="L67" i="272"/>
  <c r="K67" i="272"/>
  <c r="J67" i="272"/>
  <c r="F67" i="272"/>
  <c r="E67" i="272"/>
  <c r="D67" i="272"/>
  <c r="L66" i="272"/>
  <c r="K66" i="272"/>
  <c r="J66" i="272"/>
  <c r="F66" i="272"/>
  <c r="E66" i="272"/>
  <c r="D66" i="272"/>
  <c r="L65" i="272"/>
  <c r="K65" i="272"/>
  <c r="J65" i="272"/>
  <c r="F65" i="272"/>
  <c r="E65" i="272"/>
  <c r="D65" i="272"/>
  <c r="L64" i="272"/>
  <c r="K64" i="272"/>
  <c r="J64" i="272"/>
  <c r="F64" i="272"/>
  <c r="E64" i="272"/>
  <c r="D64" i="272"/>
  <c r="L63" i="272"/>
  <c r="K63" i="272"/>
  <c r="J63" i="272"/>
  <c r="F63" i="272"/>
  <c r="E63" i="272"/>
  <c r="D63" i="272"/>
  <c r="L62" i="272"/>
  <c r="K62" i="272"/>
  <c r="J62" i="272"/>
  <c r="F62" i="272"/>
  <c r="E62" i="272"/>
  <c r="D62" i="272"/>
  <c r="L61" i="272"/>
  <c r="K61" i="272"/>
  <c r="J61" i="272"/>
  <c r="F61" i="272"/>
  <c r="E61" i="272"/>
  <c r="D61" i="272"/>
  <c r="L60" i="272"/>
  <c r="K60" i="272"/>
  <c r="J60" i="272"/>
  <c r="F60" i="272"/>
  <c r="E60" i="272"/>
  <c r="D60" i="272"/>
  <c r="L59" i="272"/>
  <c r="K59" i="272"/>
  <c r="J59" i="272"/>
  <c r="F59" i="272"/>
  <c r="E59" i="272"/>
  <c r="D59" i="272"/>
  <c r="L58" i="272"/>
  <c r="K58" i="272"/>
  <c r="J58" i="272"/>
  <c r="F58" i="272"/>
  <c r="E58" i="272"/>
  <c r="D58" i="272"/>
  <c r="L57" i="272"/>
  <c r="K57" i="272"/>
  <c r="J57" i="272"/>
  <c r="F57" i="272"/>
  <c r="E57" i="272"/>
  <c r="D57" i="272"/>
  <c r="L56" i="272"/>
  <c r="K56" i="272"/>
  <c r="J56" i="272"/>
  <c r="F56" i="272"/>
  <c r="E56" i="272"/>
  <c r="D56" i="272"/>
  <c r="L55" i="272"/>
  <c r="K55" i="272"/>
  <c r="J55" i="272"/>
  <c r="F55" i="272"/>
  <c r="E55" i="272"/>
  <c r="D55" i="272"/>
  <c r="L54" i="272"/>
  <c r="K54" i="272"/>
  <c r="J54" i="272"/>
  <c r="F54" i="272"/>
  <c r="E54" i="272"/>
  <c r="D54" i="272"/>
  <c r="L53" i="272"/>
  <c r="K53" i="272"/>
  <c r="J53" i="272"/>
  <c r="F53" i="272"/>
  <c r="E53" i="272"/>
  <c r="D53" i="272"/>
  <c r="L52" i="272"/>
  <c r="K52" i="272"/>
  <c r="J52" i="272"/>
  <c r="F52" i="272"/>
  <c r="E52" i="272"/>
  <c r="D52" i="272"/>
  <c r="L51" i="272"/>
  <c r="K51" i="272"/>
  <c r="J51" i="272"/>
  <c r="F51" i="272"/>
  <c r="E51" i="272"/>
  <c r="D51" i="272"/>
  <c r="L50" i="272"/>
  <c r="K50" i="272"/>
  <c r="J50" i="272"/>
  <c r="F50" i="272"/>
  <c r="E50" i="272"/>
  <c r="D50" i="272"/>
  <c r="L49" i="272"/>
  <c r="K49" i="272"/>
  <c r="J49" i="272"/>
  <c r="F49" i="272"/>
  <c r="E49" i="272"/>
  <c r="D49" i="272"/>
  <c r="L48" i="272"/>
  <c r="K48" i="272"/>
  <c r="J48" i="272"/>
  <c r="F48" i="272"/>
  <c r="E48" i="272"/>
  <c r="D48" i="272"/>
  <c r="L47" i="272"/>
  <c r="K47" i="272"/>
  <c r="J47" i="272"/>
  <c r="F47" i="272"/>
  <c r="E47" i="272"/>
  <c r="D47" i="272"/>
  <c r="L46" i="272"/>
  <c r="K46" i="272"/>
  <c r="J46" i="272"/>
  <c r="F46" i="272"/>
  <c r="E46" i="272"/>
  <c r="D46" i="272"/>
  <c r="L45" i="272"/>
  <c r="K45" i="272"/>
  <c r="J45" i="272"/>
  <c r="F45" i="272"/>
  <c r="E45" i="272"/>
  <c r="D45" i="272"/>
  <c r="L44" i="272"/>
  <c r="K44" i="272"/>
  <c r="J44" i="272"/>
  <c r="F44" i="272"/>
  <c r="E44" i="272"/>
  <c r="D44" i="272"/>
  <c r="L43" i="272"/>
  <c r="K43" i="272"/>
  <c r="J43" i="272"/>
  <c r="F43" i="272"/>
  <c r="E43" i="272"/>
  <c r="D43" i="272"/>
  <c r="L42" i="272"/>
  <c r="K42" i="272"/>
  <c r="J42" i="272"/>
  <c r="F42" i="272"/>
  <c r="E42" i="272"/>
  <c r="D42" i="272"/>
  <c r="L41" i="272"/>
  <c r="K41" i="272"/>
  <c r="J41" i="272"/>
  <c r="F41" i="272"/>
  <c r="E41" i="272"/>
  <c r="D41" i="272"/>
  <c r="L40" i="272"/>
  <c r="K40" i="272"/>
  <c r="J40" i="272"/>
  <c r="F40" i="272"/>
  <c r="E40" i="272"/>
  <c r="D40" i="272"/>
  <c r="L39" i="272"/>
  <c r="K39" i="272"/>
  <c r="J39" i="272"/>
  <c r="F39" i="272"/>
  <c r="E39" i="272"/>
  <c r="D39" i="272"/>
  <c r="L38" i="272"/>
  <c r="K38" i="272"/>
  <c r="J38" i="272"/>
  <c r="F38" i="272"/>
  <c r="E38" i="272"/>
  <c r="D38" i="272"/>
  <c r="L37" i="272"/>
  <c r="K37" i="272"/>
  <c r="J37" i="272"/>
  <c r="F37" i="272"/>
  <c r="E37" i="272"/>
  <c r="D37" i="272"/>
  <c r="L36" i="272"/>
  <c r="K36" i="272"/>
  <c r="J36" i="272"/>
  <c r="F36" i="272"/>
  <c r="E36" i="272"/>
  <c r="D36" i="272"/>
  <c r="L35" i="272"/>
  <c r="K35" i="272"/>
  <c r="J35" i="272"/>
  <c r="F35" i="272"/>
  <c r="E35" i="272"/>
  <c r="D35" i="272"/>
  <c r="L34" i="272"/>
  <c r="K34" i="272"/>
  <c r="J34" i="272"/>
  <c r="F34" i="272"/>
  <c r="E34" i="272"/>
  <c r="D34" i="272"/>
  <c r="L33" i="272"/>
  <c r="K33" i="272"/>
  <c r="J33" i="272"/>
  <c r="F33" i="272"/>
  <c r="E33" i="272"/>
  <c r="D33" i="272"/>
  <c r="L32" i="272"/>
  <c r="K32" i="272"/>
  <c r="J32" i="272"/>
  <c r="F32" i="272"/>
  <c r="E32" i="272"/>
  <c r="D32" i="272"/>
  <c r="L31" i="272"/>
  <c r="K31" i="272"/>
  <c r="J31" i="272"/>
  <c r="F31" i="272"/>
  <c r="E31" i="272"/>
  <c r="D31" i="272"/>
  <c r="L30" i="272"/>
  <c r="K30" i="272"/>
  <c r="J30" i="272"/>
  <c r="F30" i="272"/>
  <c r="E30" i="272"/>
  <c r="D30" i="272"/>
  <c r="L29" i="272"/>
  <c r="K29" i="272"/>
  <c r="J29" i="272"/>
  <c r="F29" i="272"/>
  <c r="E29" i="272"/>
  <c r="D29" i="272"/>
  <c r="L28" i="272"/>
  <c r="K28" i="272"/>
  <c r="J28" i="272"/>
  <c r="F28" i="272"/>
  <c r="E28" i="272"/>
  <c r="D28" i="272"/>
  <c r="L27" i="272"/>
  <c r="K27" i="272"/>
  <c r="J27" i="272"/>
  <c r="F27" i="272"/>
  <c r="E27" i="272"/>
  <c r="D27" i="272"/>
  <c r="L26" i="272"/>
  <c r="K26" i="272"/>
  <c r="J26" i="272"/>
  <c r="F26" i="272"/>
  <c r="E26" i="272"/>
  <c r="D26" i="272"/>
  <c r="L25" i="272"/>
  <c r="K25" i="272"/>
  <c r="J25" i="272"/>
  <c r="F25" i="272"/>
  <c r="E25" i="272"/>
  <c r="D25" i="272"/>
  <c r="L24" i="272"/>
  <c r="K24" i="272"/>
  <c r="J24" i="272"/>
  <c r="F24" i="272"/>
  <c r="E24" i="272"/>
  <c r="D24" i="272"/>
  <c r="L23" i="272"/>
  <c r="K23" i="272"/>
  <c r="J23" i="272"/>
  <c r="F23" i="272"/>
  <c r="E23" i="272"/>
  <c r="D23" i="272"/>
  <c r="L22" i="272"/>
  <c r="K22" i="272"/>
  <c r="J22" i="272"/>
  <c r="F22" i="272"/>
  <c r="E22" i="272"/>
  <c r="D22" i="272"/>
  <c r="L21" i="272"/>
  <c r="K21" i="272"/>
  <c r="J21" i="272"/>
  <c r="F21" i="272"/>
  <c r="E21" i="272"/>
  <c r="D21" i="272"/>
  <c r="L20" i="272"/>
  <c r="K20" i="272"/>
  <c r="J20" i="272"/>
  <c r="F20" i="272"/>
  <c r="E20" i="272"/>
  <c r="D20" i="272"/>
  <c r="L19" i="272"/>
  <c r="K19" i="272"/>
  <c r="J19" i="272"/>
  <c r="F19" i="272"/>
  <c r="E19" i="272"/>
  <c r="D19" i="272"/>
  <c r="L18" i="272"/>
  <c r="K18" i="272"/>
  <c r="J18" i="272"/>
  <c r="F18" i="272"/>
  <c r="E18" i="272"/>
  <c r="D18" i="272"/>
  <c r="L17" i="272"/>
  <c r="K17" i="272"/>
  <c r="J17" i="272"/>
  <c r="F17" i="272"/>
  <c r="E17" i="272"/>
  <c r="D17" i="272"/>
  <c r="L16" i="272"/>
  <c r="K16" i="272"/>
  <c r="J16" i="272"/>
  <c r="F16" i="272"/>
  <c r="E16" i="272"/>
  <c r="D16" i="272"/>
  <c r="L15" i="272"/>
  <c r="K15" i="272"/>
  <c r="J15" i="272"/>
  <c r="F15" i="272"/>
  <c r="E15" i="272"/>
  <c r="D15" i="272"/>
  <c r="L14" i="272"/>
  <c r="K14" i="272"/>
  <c r="J14" i="272"/>
  <c r="F14" i="272"/>
  <c r="E14" i="272"/>
  <c r="D14" i="272"/>
  <c r="L13" i="272"/>
  <c r="K13" i="272"/>
  <c r="J13" i="272"/>
  <c r="F13" i="272"/>
  <c r="E13" i="272"/>
  <c r="D13" i="272"/>
  <c r="L12" i="272"/>
  <c r="K12" i="272"/>
  <c r="J12" i="272"/>
  <c r="F12" i="272"/>
  <c r="E12" i="272"/>
  <c r="D12" i="272"/>
  <c r="L11" i="272"/>
  <c r="K11" i="272"/>
  <c r="J11" i="272"/>
  <c r="F11" i="272"/>
  <c r="E11" i="272"/>
  <c r="D11" i="272"/>
  <c r="L10" i="272"/>
  <c r="K10" i="272"/>
  <c r="J10" i="272"/>
  <c r="F10" i="272"/>
  <c r="E10" i="272"/>
  <c r="D10" i="272"/>
  <c r="L9" i="272"/>
  <c r="K9" i="272"/>
  <c r="J9" i="272"/>
  <c r="F9" i="272"/>
  <c r="E9" i="272"/>
  <c r="D9" i="272"/>
  <c r="D209" i="256" l="1"/>
  <c r="D211" i="256" s="1"/>
  <c r="E209" i="256"/>
  <c r="E211" i="256" s="1"/>
  <c r="F209" i="256"/>
  <c r="L208" i="271"/>
  <c r="K208" i="271"/>
  <c r="J208" i="271"/>
  <c r="F208" i="271"/>
  <c r="E208" i="271"/>
  <c r="D208" i="271"/>
  <c r="L207" i="271"/>
  <c r="K207" i="271"/>
  <c r="J207" i="271"/>
  <c r="F207" i="271"/>
  <c r="E207" i="271"/>
  <c r="D207" i="271"/>
  <c r="L206" i="271"/>
  <c r="K206" i="271"/>
  <c r="J206" i="271"/>
  <c r="F206" i="271"/>
  <c r="E206" i="271"/>
  <c r="D206" i="271"/>
  <c r="L205" i="271"/>
  <c r="K205" i="271"/>
  <c r="J205" i="271"/>
  <c r="F205" i="271"/>
  <c r="E205" i="271"/>
  <c r="D205" i="271"/>
  <c r="L204" i="271"/>
  <c r="K204" i="271"/>
  <c r="J204" i="271"/>
  <c r="F204" i="271"/>
  <c r="E204" i="271"/>
  <c r="D204" i="271"/>
  <c r="L203" i="271"/>
  <c r="K203" i="271"/>
  <c r="J203" i="271"/>
  <c r="F203" i="271"/>
  <c r="E203" i="271"/>
  <c r="D203" i="271"/>
  <c r="L202" i="271"/>
  <c r="K202" i="271"/>
  <c r="J202" i="271"/>
  <c r="F202" i="271"/>
  <c r="E202" i="271"/>
  <c r="D202" i="271"/>
  <c r="L201" i="271"/>
  <c r="K201" i="271"/>
  <c r="J201" i="271"/>
  <c r="F201" i="271"/>
  <c r="E201" i="271"/>
  <c r="D201" i="271"/>
  <c r="L200" i="271"/>
  <c r="K200" i="271"/>
  <c r="J200" i="271"/>
  <c r="F200" i="271"/>
  <c r="E200" i="271"/>
  <c r="D200" i="271"/>
  <c r="L199" i="271"/>
  <c r="K199" i="271"/>
  <c r="J199" i="271"/>
  <c r="F199" i="271"/>
  <c r="E199" i="271"/>
  <c r="D199" i="271"/>
  <c r="L198" i="271"/>
  <c r="K198" i="271"/>
  <c r="J198" i="271"/>
  <c r="F198" i="271"/>
  <c r="E198" i="271"/>
  <c r="D198" i="271"/>
  <c r="L197" i="271"/>
  <c r="K197" i="271"/>
  <c r="J197" i="271"/>
  <c r="F197" i="271"/>
  <c r="E197" i="271"/>
  <c r="D197" i="271"/>
  <c r="L196" i="271"/>
  <c r="K196" i="271"/>
  <c r="J196" i="271"/>
  <c r="F196" i="271"/>
  <c r="E196" i="271"/>
  <c r="D196" i="271"/>
  <c r="L195" i="271"/>
  <c r="K195" i="271"/>
  <c r="J195" i="271"/>
  <c r="F195" i="271"/>
  <c r="E195" i="271"/>
  <c r="D195" i="271"/>
  <c r="L194" i="271"/>
  <c r="K194" i="271"/>
  <c r="J194" i="271"/>
  <c r="F194" i="271"/>
  <c r="E194" i="271"/>
  <c r="D194" i="271"/>
  <c r="L193" i="271"/>
  <c r="K193" i="271"/>
  <c r="J193" i="271"/>
  <c r="F193" i="271"/>
  <c r="E193" i="271"/>
  <c r="D193" i="271"/>
  <c r="L192" i="271"/>
  <c r="K192" i="271"/>
  <c r="J192" i="271"/>
  <c r="F192" i="271"/>
  <c r="E192" i="271"/>
  <c r="D192" i="271"/>
  <c r="L191" i="271"/>
  <c r="K191" i="271"/>
  <c r="J191" i="271"/>
  <c r="F191" i="271"/>
  <c r="E191" i="271"/>
  <c r="D191" i="271"/>
  <c r="L190" i="271"/>
  <c r="K190" i="271"/>
  <c r="J190" i="271"/>
  <c r="F190" i="271"/>
  <c r="E190" i="271"/>
  <c r="D190" i="271"/>
  <c r="L189" i="271"/>
  <c r="K189" i="271"/>
  <c r="J189" i="271"/>
  <c r="F189" i="271"/>
  <c r="E189" i="271"/>
  <c r="D189" i="271"/>
  <c r="L188" i="271"/>
  <c r="K188" i="271"/>
  <c r="J188" i="271"/>
  <c r="F188" i="271"/>
  <c r="E188" i="271"/>
  <c r="D188" i="271"/>
  <c r="L187" i="271"/>
  <c r="K187" i="271"/>
  <c r="J187" i="271"/>
  <c r="F187" i="271"/>
  <c r="E187" i="271"/>
  <c r="D187" i="271"/>
  <c r="L186" i="271"/>
  <c r="K186" i="271"/>
  <c r="J186" i="271"/>
  <c r="F186" i="271"/>
  <c r="E186" i="271"/>
  <c r="D186" i="271"/>
  <c r="L185" i="271"/>
  <c r="K185" i="271"/>
  <c r="J185" i="271"/>
  <c r="F185" i="271"/>
  <c r="E185" i="271"/>
  <c r="D185" i="271"/>
  <c r="L184" i="271"/>
  <c r="K184" i="271"/>
  <c r="J184" i="271"/>
  <c r="F184" i="271"/>
  <c r="E184" i="271"/>
  <c r="D184" i="271"/>
  <c r="L183" i="271"/>
  <c r="K183" i="271"/>
  <c r="J183" i="271"/>
  <c r="F183" i="271"/>
  <c r="E183" i="271"/>
  <c r="D183" i="271"/>
  <c r="L182" i="271"/>
  <c r="K182" i="271"/>
  <c r="J182" i="271"/>
  <c r="F182" i="271"/>
  <c r="E182" i="271"/>
  <c r="D182" i="271"/>
  <c r="L181" i="271"/>
  <c r="K181" i="271"/>
  <c r="J181" i="271"/>
  <c r="F181" i="271"/>
  <c r="E181" i="271"/>
  <c r="D181" i="271"/>
  <c r="L180" i="271"/>
  <c r="K180" i="271"/>
  <c r="J180" i="271"/>
  <c r="F180" i="271"/>
  <c r="E180" i="271"/>
  <c r="D180" i="271"/>
  <c r="L179" i="271"/>
  <c r="K179" i="271"/>
  <c r="J179" i="271"/>
  <c r="F179" i="271"/>
  <c r="E179" i="271"/>
  <c r="D179" i="271"/>
  <c r="L178" i="271"/>
  <c r="K178" i="271"/>
  <c r="J178" i="271"/>
  <c r="F178" i="271"/>
  <c r="E178" i="271"/>
  <c r="D178" i="271"/>
  <c r="L177" i="271"/>
  <c r="K177" i="271"/>
  <c r="J177" i="271"/>
  <c r="F177" i="271"/>
  <c r="E177" i="271"/>
  <c r="D177" i="271"/>
  <c r="L176" i="271"/>
  <c r="K176" i="271"/>
  <c r="J176" i="271"/>
  <c r="F176" i="271"/>
  <c r="E176" i="271"/>
  <c r="D176" i="271"/>
  <c r="L175" i="271"/>
  <c r="K175" i="271"/>
  <c r="J175" i="271"/>
  <c r="F175" i="271"/>
  <c r="E175" i="271"/>
  <c r="D175" i="271"/>
  <c r="L174" i="271"/>
  <c r="K174" i="271"/>
  <c r="J174" i="271"/>
  <c r="F174" i="271"/>
  <c r="E174" i="271"/>
  <c r="D174" i="271"/>
  <c r="L173" i="271"/>
  <c r="K173" i="271"/>
  <c r="J173" i="271"/>
  <c r="F173" i="271"/>
  <c r="E173" i="271"/>
  <c r="D173" i="271"/>
  <c r="L172" i="271"/>
  <c r="K172" i="271"/>
  <c r="J172" i="271"/>
  <c r="F172" i="271"/>
  <c r="E172" i="271"/>
  <c r="D172" i="271"/>
  <c r="L171" i="271"/>
  <c r="K171" i="271"/>
  <c r="J171" i="271"/>
  <c r="F171" i="271"/>
  <c r="E171" i="271"/>
  <c r="D171" i="271"/>
  <c r="L170" i="271"/>
  <c r="K170" i="271"/>
  <c r="J170" i="271"/>
  <c r="F170" i="271"/>
  <c r="E170" i="271"/>
  <c r="D170" i="271"/>
  <c r="L169" i="271"/>
  <c r="K169" i="271"/>
  <c r="J169" i="271"/>
  <c r="F169" i="271"/>
  <c r="E169" i="271"/>
  <c r="D169" i="271"/>
  <c r="L168" i="271"/>
  <c r="K168" i="271"/>
  <c r="J168" i="271"/>
  <c r="F168" i="271"/>
  <c r="E168" i="271"/>
  <c r="D168" i="271"/>
  <c r="L167" i="271"/>
  <c r="K167" i="271"/>
  <c r="J167" i="271"/>
  <c r="F167" i="271"/>
  <c r="E167" i="271"/>
  <c r="D167" i="271"/>
  <c r="L163" i="271"/>
  <c r="K163" i="271"/>
  <c r="J163" i="271"/>
  <c r="F163" i="271"/>
  <c r="E163" i="271"/>
  <c r="D163" i="271"/>
  <c r="L162" i="271"/>
  <c r="K162" i="271"/>
  <c r="J162" i="271"/>
  <c r="F162" i="271"/>
  <c r="E162" i="271"/>
  <c r="D162" i="271"/>
  <c r="L161" i="271"/>
  <c r="K161" i="271"/>
  <c r="J161" i="271"/>
  <c r="F161" i="271"/>
  <c r="E161" i="271"/>
  <c r="D161" i="271"/>
  <c r="L160" i="271"/>
  <c r="K160" i="271"/>
  <c r="J160" i="271"/>
  <c r="F160" i="271"/>
  <c r="E160" i="271"/>
  <c r="D160" i="271"/>
  <c r="L159" i="271"/>
  <c r="K159" i="271"/>
  <c r="J159" i="271"/>
  <c r="F159" i="271"/>
  <c r="E159" i="271"/>
  <c r="D159" i="271"/>
  <c r="L158" i="271"/>
  <c r="K158" i="271"/>
  <c r="J158" i="271"/>
  <c r="F158" i="271"/>
  <c r="E158" i="271"/>
  <c r="D158" i="271"/>
  <c r="L157" i="271"/>
  <c r="K157" i="271"/>
  <c r="J157" i="271"/>
  <c r="F157" i="271"/>
  <c r="E157" i="271"/>
  <c r="D157" i="271"/>
  <c r="L156" i="271"/>
  <c r="K156" i="271"/>
  <c r="J156" i="271"/>
  <c r="F156" i="271"/>
  <c r="E156" i="271"/>
  <c r="D156" i="271"/>
  <c r="L155" i="271"/>
  <c r="K155" i="271"/>
  <c r="J155" i="271"/>
  <c r="F155" i="271"/>
  <c r="E155" i="271"/>
  <c r="D155" i="271"/>
  <c r="L154" i="271"/>
  <c r="K154" i="271"/>
  <c r="J154" i="271"/>
  <c r="F154" i="271"/>
  <c r="E154" i="271"/>
  <c r="D154" i="271"/>
  <c r="L153" i="271"/>
  <c r="K153" i="271"/>
  <c r="J153" i="271"/>
  <c r="F153" i="271"/>
  <c r="E153" i="271"/>
  <c r="D153" i="271"/>
  <c r="L152" i="271"/>
  <c r="K152" i="271"/>
  <c r="J152" i="271"/>
  <c r="F152" i="271"/>
  <c r="E152" i="271"/>
  <c r="D152" i="271"/>
  <c r="L151" i="271"/>
  <c r="K151" i="271"/>
  <c r="J151" i="271"/>
  <c r="F151" i="271"/>
  <c r="E151" i="271"/>
  <c r="D151" i="271"/>
  <c r="L150" i="271"/>
  <c r="K150" i="271"/>
  <c r="J150" i="271"/>
  <c r="F150" i="271"/>
  <c r="E150" i="271"/>
  <c r="D150" i="271"/>
  <c r="L149" i="271"/>
  <c r="K149" i="271"/>
  <c r="J149" i="271"/>
  <c r="F149" i="271"/>
  <c r="E149" i="271"/>
  <c r="D149" i="271"/>
  <c r="L148" i="271"/>
  <c r="K148" i="271"/>
  <c r="J148" i="271"/>
  <c r="F148" i="271"/>
  <c r="E148" i="271"/>
  <c r="D148" i="271"/>
  <c r="L147" i="271"/>
  <c r="K147" i="271"/>
  <c r="J147" i="271"/>
  <c r="F147" i="271"/>
  <c r="E147" i="271"/>
  <c r="D147" i="271"/>
  <c r="L146" i="271"/>
  <c r="K146" i="271"/>
  <c r="J146" i="271"/>
  <c r="F146" i="271"/>
  <c r="E146" i="271"/>
  <c r="D146" i="271"/>
  <c r="L145" i="271"/>
  <c r="K145" i="271"/>
  <c r="J145" i="271"/>
  <c r="F145" i="271"/>
  <c r="E145" i="271"/>
  <c r="D145" i="271"/>
  <c r="L144" i="271"/>
  <c r="K144" i="271"/>
  <c r="J144" i="271"/>
  <c r="F144" i="271"/>
  <c r="E144" i="271"/>
  <c r="D144" i="271"/>
  <c r="L143" i="271"/>
  <c r="K143" i="271"/>
  <c r="J143" i="271"/>
  <c r="F143" i="271"/>
  <c r="E143" i="271"/>
  <c r="D143" i="271"/>
  <c r="L142" i="271"/>
  <c r="K142" i="271"/>
  <c r="J142" i="271"/>
  <c r="F142" i="271"/>
  <c r="E142" i="271"/>
  <c r="D142" i="271"/>
  <c r="L141" i="271"/>
  <c r="K141" i="271"/>
  <c r="J141" i="271"/>
  <c r="F141" i="271"/>
  <c r="E141" i="271"/>
  <c r="D141" i="271"/>
  <c r="L140" i="271"/>
  <c r="K140" i="271"/>
  <c r="J140" i="271"/>
  <c r="F140" i="271"/>
  <c r="E140" i="271"/>
  <c r="D140" i="271"/>
  <c r="L139" i="271"/>
  <c r="K139" i="271"/>
  <c r="J139" i="271"/>
  <c r="F139" i="271"/>
  <c r="E139" i="271"/>
  <c r="D139" i="271"/>
  <c r="L138" i="271"/>
  <c r="K138" i="271"/>
  <c r="J138" i="271"/>
  <c r="F138" i="271"/>
  <c r="E138" i="271"/>
  <c r="D138" i="271"/>
  <c r="L137" i="271"/>
  <c r="K137" i="271"/>
  <c r="J137" i="271"/>
  <c r="F137" i="271"/>
  <c r="E137" i="271"/>
  <c r="D137" i="271"/>
  <c r="L136" i="271"/>
  <c r="K136" i="271"/>
  <c r="J136" i="271"/>
  <c r="F136" i="271"/>
  <c r="E136" i="271"/>
  <c r="D136" i="271"/>
  <c r="L135" i="271"/>
  <c r="K135" i="271"/>
  <c r="J135" i="271"/>
  <c r="F135" i="271"/>
  <c r="E135" i="271"/>
  <c r="D135" i="271"/>
  <c r="L134" i="271"/>
  <c r="K134" i="271"/>
  <c r="J134" i="271"/>
  <c r="F134" i="271"/>
  <c r="E134" i="271"/>
  <c r="D134" i="271"/>
  <c r="L133" i="271"/>
  <c r="K133" i="271"/>
  <c r="J133" i="271"/>
  <c r="F133" i="271"/>
  <c r="E133" i="271"/>
  <c r="D133" i="271"/>
  <c r="L132" i="271"/>
  <c r="K132" i="271"/>
  <c r="J132" i="271"/>
  <c r="F132" i="271"/>
  <c r="E132" i="271"/>
  <c r="D132" i="271"/>
  <c r="L131" i="271"/>
  <c r="K131" i="271"/>
  <c r="J131" i="271"/>
  <c r="F131" i="271"/>
  <c r="E131" i="271"/>
  <c r="D131" i="271"/>
  <c r="L130" i="271"/>
  <c r="K130" i="271"/>
  <c r="J130" i="271"/>
  <c r="F130" i="271"/>
  <c r="E130" i="271"/>
  <c r="D130" i="271"/>
  <c r="L129" i="271"/>
  <c r="K129" i="271"/>
  <c r="J129" i="271"/>
  <c r="F129" i="271"/>
  <c r="E129" i="271"/>
  <c r="D129" i="271"/>
  <c r="L128" i="271"/>
  <c r="K128" i="271"/>
  <c r="J128" i="271"/>
  <c r="F128" i="271"/>
  <c r="E128" i="271"/>
  <c r="D128" i="271"/>
  <c r="L127" i="271"/>
  <c r="K127" i="271"/>
  <c r="J127" i="271"/>
  <c r="F127" i="271"/>
  <c r="E127" i="271"/>
  <c r="D127" i="271"/>
  <c r="L126" i="271"/>
  <c r="K126" i="271"/>
  <c r="J126" i="271"/>
  <c r="F126" i="271"/>
  <c r="E126" i="271"/>
  <c r="D126" i="271"/>
  <c r="L125" i="271"/>
  <c r="K125" i="271"/>
  <c r="J125" i="271"/>
  <c r="F125" i="271"/>
  <c r="E125" i="271"/>
  <c r="D125" i="271"/>
  <c r="L124" i="271"/>
  <c r="K124" i="271"/>
  <c r="J124" i="271"/>
  <c r="F124" i="271"/>
  <c r="E124" i="271"/>
  <c r="D124" i="271"/>
  <c r="L123" i="271"/>
  <c r="K123" i="271"/>
  <c r="J123" i="271"/>
  <c r="F123" i="271"/>
  <c r="E123" i="271"/>
  <c r="D123" i="271"/>
  <c r="L119" i="271"/>
  <c r="K119" i="271"/>
  <c r="J119" i="271"/>
  <c r="F119" i="271"/>
  <c r="E119" i="271"/>
  <c r="D119" i="271"/>
  <c r="L118" i="271"/>
  <c r="K118" i="271"/>
  <c r="J118" i="271"/>
  <c r="F118" i="271"/>
  <c r="E118" i="271"/>
  <c r="D118" i="271"/>
  <c r="L117" i="271"/>
  <c r="K117" i="271"/>
  <c r="J117" i="271"/>
  <c r="F117" i="271"/>
  <c r="E117" i="271"/>
  <c r="D117" i="271"/>
  <c r="L116" i="271"/>
  <c r="K116" i="271"/>
  <c r="J116" i="271"/>
  <c r="F116" i="271"/>
  <c r="E116" i="271"/>
  <c r="D116" i="271"/>
  <c r="L115" i="271"/>
  <c r="K115" i="271"/>
  <c r="J115" i="271"/>
  <c r="F115" i="271"/>
  <c r="E115" i="271"/>
  <c r="D115" i="271"/>
  <c r="L114" i="271"/>
  <c r="K114" i="271"/>
  <c r="J114" i="271"/>
  <c r="F114" i="271"/>
  <c r="E114" i="271"/>
  <c r="D114" i="271"/>
  <c r="L113" i="271"/>
  <c r="K113" i="271"/>
  <c r="J113" i="271"/>
  <c r="F113" i="271"/>
  <c r="E113" i="271"/>
  <c r="D113" i="271"/>
  <c r="L112" i="271"/>
  <c r="K112" i="271"/>
  <c r="J112" i="271"/>
  <c r="F112" i="271"/>
  <c r="E112" i="271"/>
  <c r="D112" i="271"/>
  <c r="L111" i="271"/>
  <c r="K111" i="271"/>
  <c r="J111" i="271"/>
  <c r="F111" i="271"/>
  <c r="E111" i="271"/>
  <c r="D111" i="271"/>
  <c r="L110" i="271"/>
  <c r="K110" i="271"/>
  <c r="J110" i="271"/>
  <c r="F110" i="271"/>
  <c r="E110" i="271"/>
  <c r="D110" i="271"/>
  <c r="L109" i="271"/>
  <c r="K109" i="271"/>
  <c r="J109" i="271"/>
  <c r="F109" i="271"/>
  <c r="E109" i="271"/>
  <c r="D109" i="271"/>
  <c r="L108" i="271"/>
  <c r="K108" i="271"/>
  <c r="J108" i="271"/>
  <c r="F108" i="271"/>
  <c r="E108" i="271"/>
  <c r="D108" i="271"/>
  <c r="L107" i="271"/>
  <c r="K107" i="271"/>
  <c r="J107" i="271"/>
  <c r="F107" i="271"/>
  <c r="E107" i="271"/>
  <c r="D107" i="271"/>
  <c r="L106" i="271"/>
  <c r="K106" i="271"/>
  <c r="J106" i="271"/>
  <c r="F106" i="271"/>
  <c r="E106" i="271"/>
  <c r="D106" i="271"/>
  <c r="L105" i="271"/>
  <c r="K105" i="271"/>
  <c r="J105" i="271"/>
  <c r="F105" i="271"/>
  <c r="E105" i="271"/>
  <c r="D105" i="271"/>
  <c r="L104" i="271"/>
  <c r="K104" i="271"/>
  <c r="J104" i="271"/>
  <c r="F104" i="271"/>
  <c r="E104" i="271"/>
  <c r="D104" i="271"/>
  <c r="L103" i="271"/>
  <c r="K103" i="271"/>
  <c r="J103" i="271"/>
  <c r="F103" i="271"/>
  <c r="E103" i="271"/>
  <c r="D103" i="271"/>
  <c r="L102" i="271"/>
  <c r="K102" i="271"/>
  <c r="J102" i="271"/>
  <c r="F102" i="271"/>
  <c r="E102" i="271"/>
  <c r="D102" i="271"/>
  <c r="L101" i="271"/>
  <c r="K101" i="271"/>
  <c r="J101" i="271"/>
  <c r="F101" i="271"/>
  <c r="E101" i="271"/>
  <c r="D101" i="271"/>
  <c r="L100" i="271"/>
  <c r="K100" i="271"/>
  <c r="J100" i="271"/>
  <c r="F100" i="271"/>
  <c r="E100" i="271"/>
  <c r="D100" i="271"/>
  <c r="L99" i="271"/>
  <c r="K99" i="271"/>
  <c r="J99" i="271"/>
  <c r="F99" i="271"/>
  <c r="E99" i="271"/>
  <c r="D99" i="271"/>
  <c r="L98" i="271"/>
  <c r="K98" i="271"/>
  <c r="J98" i="271"/>
  <c r="F98" i="271"/>
  <c r="E98" i="271"/>
  <c r="D98" i="271"/>
  <c r="L97" i="271"/>
  <c r="K97" i="271"/>
  <c r="J97" i="271"/>
  <c r="F97" i="271"/>
  <c r="E97" i="271"/>
  <c r="D97" i="271"/>
  <c r="L96" i="271"/>
  <c r="K96" i="271"/>
  <c r="J96" i="271"/>
  <c r="F96" i="271"/>
  <c r="E96" i="271"/>
  <c r="D96" i="271"/>
  <c r="L95" i="271"/>
  <c r="K95" i="271"/>
  <c r="J95" i="271"/>
  <c r="F95" i="271"/>
  <c r="E95" i="271"/>
  <c r="D95" i="271"/>
  <c r="L94" i="271"/>
  <c r="K94" i="271"/>
  <c r="J94" i="271"/>
  <c r="F94" i="271"/>
  <c r="E94" i="271"/>
  <c r="D94" i="271"/>
  <c r="L93" i="271"/>
  <c r="K93" i="271"/>
  <c r="J93" i="271"/>
  <c r="F93" i="271"/>
  <c r="E93" i="271"/>
  <c r="D93" i="271"/>
  <c r="L92" i="271"/>
  <c r="K92" i="271"/>
  <c r="J92" i="271"/>
  <c r="F92" i="271"/>
  <c r="E92" i="271"/>
  <c r="D92" i="271"/>
  <c r="L91" i="271"/>
  <c r="K91" i="271"/>
  <c r="J91" i="271"/>
  <c r="F91" i="271"/>
  <c r="E91" i="271"/>
  <c r="D91" i="271"/>
  <c r="L90" i="271"/>
  <c r="K90" i="271"/>
  <c r="J90" i="271"/>
  <c r="F90" i="271"/>
  <c r="E90" i="271"/>
  <c r="D90" i="271"/>
  <c r="L89" i="271"/>
  <c r="K89" i="271"/>
  <c r="J89" i="271"/>
  <c r="F89" i="271"/>
  <c r="E89" i="271"/>
  <c r="D89" i="271"/>
  <c r="L88" i="271"/>
  <c r="K88" i="271"/>
  <c r="J88" i="271"/>
  <c r="F88" i="271"/>
  <c r="E88" i="271"/>
  <c r="D88" i="271"/>
  <c r="L87" i="271"/>
  <c r="K87" i="271"/>
  <c r="J87" i="271"/>
  <c r="F87" i="271"/>
  <c r="E87" i="271"/>
  <c r="D87" i="271"/>
  <c r="L86" i="271"/>
  <c r="K86" i="271"/>
  <c r="J86" i="271"/>
  <c r="F86" i="271"/>
  <c r="E86" i="271"/>
  <c r="D86" i="271"/>
  <c r="L85" i="271"/>
  <c r="K85" i="271"/>
  <c r="J85" i="271"/>
  <c r="F85" i="271"/>
  <c r="E85" i="271"/>
  <c r="D85" i="271"/>
  <c r="L84" i="271"/>
  <c r="K84" i="271"/>
  <c r="J84" i="271"/>
  <c r="F84" i="271"/>
  <c r="E84" i="271"/>
  <c r="D84" i="271"/>
  <c r="L83" i="271"/>
  <c r="K83" i="271"/>
  <c r="J83" i="271"/>
  <c r="F83" i="271"/>
  <c r="E83" i="271"/>
  <c r="D83" i="271"/>
  <c r="L82" i="271"/>
  <c r="K82" i="271"/>
  <c r="J82" i="271"/>
  <c r="F82" i="271"/>
  <c r="E82" i="271"/>
  <c r="D82" i="271"/>
  <c r="L81" i="271"/>
  <c r="K81" i="271"/>
  <c r="J81" i="271"/>
  <c r="F81" i="271"/>
  <c r="E81" i="271"/>
  <c r="D81" i="271"/>
  <c r="L80" i="271"/>
  <c r="K80" i="271"/>
  <c r="J80" i="271"/>
  <c r="F80" i="271"/>
  <c r="E80" i="271"/>
  <c r="D80" i="271"/>
  <c r="L79" i="271"/>
  <c r="K79" i="271"/>
  <c r="J79" i="271"/>
  <c r="F79" i="271"/>
  <c r="E79" i="271"/>
  <c r="D79" i="271"/>
  <c r="L78" i="271"/>
  <c r="K78" i="271"/>
  <c r="J78" i="271"/>
  <c r="F78" i="271"/>
  <c r="E78" i="271"/>
  <c r="D78" i="271"/>
  <c r="L77" i="271"/>
  <c r="K77" i="271"/>
  <c r="J77" i="271"/>
  <c r="F77" i="271"/>
  <c r="E77" i="271"/>
  <c r="D77" i="271"/>
  <c r="L76" i="271"/>
  <c r="K76" i="271"/>
  <c r="J76" i="271"/>
  <c r="F76" i="271"/>
  <c r="E76" i="271"/>
  <c r="D76" i="271"/>
  <c r="L75" i="271"/>
  <c r="K75" i="271"/>
  <c r="J75" i="271"/>
  <c r="F75" i="271"/>
  <c r="E75" i="271"/>
  <c r="D75" i="271"/>
  <c r="L74" i="271"/>
  <c r="K74" i="271"/>
  <c r="J74" i="271"/>
  <c r="F74" i="271"/>
  <c r="E74" i="271"/>
  <c r="D74" i="271"/>
  <c r="L68" i="271"/>
  <c r="K68" i="271"/>
  <c r="J68" i="271"/>
  <c r="F68" i="271"/>
  <c r="E68" i="271"/>
  <c r="D68" i="271"/>
  <c r="L67" i="271"/>
  <c r="K67" i="271"/>
  <c r="J67" i="271"/>
  <c r="F67" i="271"/>
  <c r="E67" i="271"/>
  <c r="D67" i="271"/>
  <c r="L66" i="271"/>
  <c r="K66" i="271"/>
  <c r="J66" i="271"/>
  <c r="F66" i="271"/>
  <c r="E66" i="271"/>
  <c r="D66" i="271"/>
  <c r="L65" i="271"/>
  <c r="K65" i="271"/>
  <c r="J65" i="271"/>
  <c r="F65" i="271"/>
  <c r="E65" i="271"/>
  <c r="D65" i="271"/>
  <c r="L64" i="271"/>
  <c r="K64" i="271"/>
  <c r="J64" i="271"/>
  <c r="F64" i="271"/>
  <c r="E64" i="271"/>
  <c r="D64" i="271"/>
  <c r="L63" i="271"/>
  <c r="K63" i="271"/>
  <c r="J63" i="271"/>
  <c r="F63" i="271"/>
  <c r="E63" i="271"/>
  <c r="D63" i="271"/>
  <c r="L62" i="271"/>
  <c r="K62" i="271"/>
  <c r="J62" i="271"/>
  <c r="F62" i="271"/>
  <c r="E62" i="271"/>
  <c r="D62" i="271"/>
  <c r="L61" i="271"/>
  <c r="K61" i="271"/>
  <c r="J61" i="271"/>
  <c r="F61" i="271"/>
  <c r="E61" i="271"/>
  <c r="D61" i="271"/>
  <c r="L60" i="271"/>
  <c r="K60" i="271"/>
  <c r="J60" i="271"/>
  <c r="F60" i="271"/>
  <c r="E60" i="271"/>
  <c r="D60" i="271"/>
  <c r="L59" i="271"/>
  <c r="K59" i="271"/>
  <c r="J59" i="271"/>
  <c r="F59" i="271"/>
  <c r="E59" i="271"/>
  <c r="D59" i="271"/>
  <c r="L58" i="271"/>
  <c r="K58" i="271"/>
  <c r="J58" i="271"/>
  <c r="F58" i="271"/>
  <c r="E58" i="271"/>
  <c r="D58" i="271"/>
  <c r="L57" i="271"/>
  <c r="K57" i="271"/>
  <c r="J57" i="271"/>
  <c r="F57" i="271"/>
  <c r="E57" i="271"/>
  <c r="D57" i="271"/>
  <c r="L56" i="271"/>
  <c r="K56" i="271"/>
  <c r="J56" i="271"/>
  <c r="F56" i="271"/>
  <c r="E56" i="271"/>
  <c r="D56" i="271"/>
  <c r="L55" i="271"/>
  <c r="K55" i="271"/>
  <c r="J55" i="271"/>
  <c r="F55" i="271"/>
  <c r="E55" i="271"/>
  <c r="D55" i="271"/>
  <c r="L54" i="271"/>
  <c r="K54" i="271"/>
  <c r="J54" i="271"/>
  <c r="F54" i="271"/>
  <c r="E54" i="271"/>
  <c r="D54" i="271"/>
  <c r="L53" i="271"/>
  <c r="K53" i="271"/>
  <c r="J53" i="271"/>
  <c r="F53" i="271"/>
  <c r="E53" i="271"/>
  <c r="D53" i="271"/>
  <c r="L52" i="271"/>
  <c r="K52" i="271"/>
  <c r="J52" i="271"/>
  <c r="F52" i="271"/>
  <c r="E52" i="271"/>
  <c r="D52" i="271"/>
  <c r="L51" i="271"/>
  <c r="K51" i="271"/>
  <c r="J51" i="271"/>
  <c r="F51" i="271"/>
  <c r="E51" i="271"/>
  <c r="D51" i="271"/>
  <c r="L50" i="271"/>
  <c r="K50" i="271"/>
  <c r="J50" i="271"/>
  <c r="F50" i="271"/>
  <c r="E50" i="271"/>
  <c r="D50" i="271"/>
  <c r="L49" i="271"/>
  <c r="K49" i="271"/>
  <c r="J49" i="271"/>
  <c r="F49" i="271"/>
  <c r="E49" i="271"/>
  <c r="D49" i="271"/>
  <c r="L48" i="271"/>
  <c r="K48" i="271"/>
  <c r="J48" i="271"/>
  <c r="F48" i="271"/>
  <c r="E48" i="271"/>
  <c r="D48" i="271"/>
  <c r="L47" i="271"/>
  <c r="K47" i="271"/>
  <c r="J47" i="271"/>
  <c r="F47" i="271"/>
  <c r="E47" i="271"/>
  <c r="D47" i="271"/>
  <c r="L46" i="271"/>
  <c r="K46" i="271"/>
  <c r="J46" i="271"/>
  <c r="F46" i="271"/>
  <c r="E46" i="271"/>
  <c r="D46" i="271"/>
  <c r="L45" i="271"/>
  <c r="K45" i="271"/>
  <c r="J45" i="271"/>
  <c r="F45" i="271"/>
  <c r="E45" i="271"/>
  <c r="D45" i="271"/>
  <c r="L44" i="271"/>
  <c r="K44" i="271"/>
  <c r="J44" i="271"/>
  <c r="F44" i="271"/>
  <c r="E44" i="271"/>
  <c r="D44" i="271"/>
  <c r="L43" i="271"/>
  <c r="K43" i="271"/>
  <c r="J43" i="271"/>
  <c r="F43" i="271"/>
  <c r="E43" i="271"/>
  <c r="D43" i="271"/>
  <c r="L42" i="271"/>
  <c r="K42" i="271"/>
  <c r="J42" i="271"/>
  <c r="F42" i="271"/>
  <c r="E42" i="271"/>
  <c r="D42" i="271"/>
  <c r="L41" i="271"/>
  <c r="K41" i="271"/>
  <c r="J41" i="271"/>
  <c r="F41" i="271"/>
  <c r="E41" i="271"/>
  <c r="D41" i="271"/>
  <c r="L40" i="271"/>
  <c r="K40" i="271"/>
  <c r="J40" i="271"/>
  <c r="F40" i="271"/>
  <c r="E40" i="271"/>
  <c r="D40" i="271"/>
  <c r="L39" i="271"/>
  <c r="K39" i="271"/>
  <c r="J39" i="271"/>
  <c r="F39" i="271"/>
  <c r="E39" i="271"/>
  <c r="D39" i="271"/>
  <c r="L38" i="271"/>
  <c r="K38" i="271"/>
  <c r="J38" i="271"/>
  <c r="F38" i="271"/>
  <c r="E38" i="271"/>
  <c r="D38" i="271"/>
  <c r="L37" i="271"/>
  <c r="K37" i="271"/>
  <c r="J37" i="271"/>
  <c r="F37" i="271"/>
  <c r="E37" i="271"/>
  <c r="D37" i="271"/>
  <c r="L36" i="271"/>
  <c r="K36" i="271"/>
  <c r="J36" i="271"/>
  <c r="F36" i="271"/>
  <c r="E36" i="271"/>
  <c r="D36" i="271"/>
  <c r="L35" i="271"/>
  <c r="K35" i="271"/>
  <c r="J35" i="271"/>
  <c r="F35" i="271"/>
  <c r="E35" i="271"/>
  <c r="D35" i="271"/>
  <c r="L34" i="271"/>
  <c r="K34" i="271"/>
  <c r="J34" i="271"/>
  <c r="F34" i="271"/>
  <c r="E34" i="271"/>
  <c r="D34" i="271"/>
  <c r="L33" i="271"/>
  <c r="K33" i="271"/>
  <c r="J33" i="271"/>
  <c r="F33" i="271"/>
  <c r="E33" i="271"/>
  <c r="D33" i="271"/>
  <c r="L32" i="271"/>
  <c r="K32" i="271"/>
  <c r="J32" i="271"/>
  <c r="F32" i="271"/>
  <c r="E32" i="271"/>
  <c r="D32" i="271"/>
  <c r="L31" i="271"/>
  <c r="K31" i="271"/>
  <c r="J31" i="271"/>
  <c r="F31" i="271"/>
  <c r="E31" i="271"/>
  <c r="D31" i="271"/>
  <c r="L30" i="271"/>
  <c r="K30" i="271"/>
  <c r="J30" i="271"/>
  <c r="F30" i="271"/>
  <c r="E30" i="271"/>
  <c r="D30" i="271"/>
  <c r="L29" i="271"/>
  <c r="K29" i="271"/>
  <c r="J29" i="271"/>
  <c r="F29" i="271"/>
  <c r="E29" i="271"/>
  <c r="D29" i="271"/>
  <c r="L28" i="271"/>
  <c r="K28" i="271"/>
  <c r="J28" i="271"/>
  <c r="F28" i="271"/>
  <c r="E28" i="271"/>
  <c r="D28" i="271"/>
  <c r="L27" i="271"/>
  <c r="K27" i="271"/>
  <c r="J27" i="271"/>
  <c r="F27" i="271"/>
  <c r="E27" i="271"/>
  <c r="D27" i="271"/>
  <c r="L26" i="271"/>
  <c r="K26" i="271"/>
  <c r="J26" i="271"/>
  <c r="F26" i="271"/>
  <c r="E26" i="271"/>
  <c r="D26" i="271"/>
  <c r="L25" i="271"/>
  <c r="K25" i="271"/>
  <c r="J25" i="271"/>
  <c r="F25" i="271"/>
  <c r="E25" i="271"/>
  <c r="D25" i="271"/>
  <c r="L24" i="271"/>
  <c r="K24" i="271"/>
  <c r="J24" i="271"/>
  <c r="F24" i="271"/>
  <c r="E24" i="271"/>
  <c r="D24" i="271"/>
  <c r="L23" i="271"/>
  <c r="K23" i="271"/>
  <c r="J23" i="271"/>
  <c r="F23" i="271"/>
  <c r="E23" i="271"/>
  <c r="D23" i="271"/>
  <c r="L22" i="271"/>
  <c r="K22" i="271"/>
  <c r="J22" i="271"/>
  <c r="F22" i="271"/>
  <c r="E22" i="271"/>
  <c r="D22" i="271"/>
  <c r="L21" i="271"/>
  <c r="K21" i="271"/>
  <c r="J21" i="271"/>
  <c r="F21" i="271"/>
  <c r="E21" i="271"/>
  <c r="D21" i="271"/>
  <c r="L20" i="271"/>
  <c r="K20" i="271"/>
  <c r="J20" i="271"/>
  <c r="F20" i="271"/>
  <c r="E20" i="271"/>
  <c r="D20" i="271"/>
  <c r="L19" i="271"/>
  <c r="K19" i="271"/>
  <c r="J19" i="271"/>
  <c r="F19" i="271"/>
  <c r="E19" i="271"/>
  <c r="D19" i="271"/>
  <c r="L18" i="271"/>
  <c r="K18" i="271"/>
  <c r="J18" i="271"/>
  <c r="F18" i="271"/>
  <c r="E18" i="271"/>
  <c r="D18" i="271"/>
  <c r="L17" i="271"/>
  <c r="K17" i="271"/>
  <c r="J17" i="271"/>
  <c r="F17" i="271"/>
  <c r="E17" i="271"/>
  <c r="D17" i="271"/>
  <c r="L16" i="271"/>
  <c r="K16" i="271"/>
  <c r="J16" i="271"/>
  <c r="F16" i="271"/>
  <c r="E16" i="271"/>
  <c r="D16" i="271"/>
  <c r="L15" i="271"/>
  <c r="K15" i="271"/>
  <c r="J15" i="271"/>
  <c r="F15" i="271"/>
  <c r="E15" i="271"/>
  <c r="D15" i="271"/>
  <c r="L14" i="271"/>
  <c r="K14" i="271"/>
  <c r="J14" i="271"/>
  <c r="F14" i="271"/>
  <c r="E14" i="271"/>
  <c r="D14" i="271"/>
  <c r="L13" i="271"/>
  <c r="K13" i="271"/>
  <c r="J13" i="271"/>
  <c r="F13" i="271"/>
  <c r="E13" i="271"/>
  <c r="D13" i="271"/>
  <c r="L12" i="271"/>
  <c r="K12" i="271"/>
  <c r="J12" i="271"/>
  <c r="F12" i="271"/>
  <c r="E12" i="271"/>
  <c r="D12" i="271"/>
  <c r="L11" i="271"/>
  <c r="K11" i="271"/>
  <c r="J11" i="271"/>
  <c r="F11" i="271"/>
  <c r="E11" i="271"/>
  <c r="D11" i="271"/>
  <c r="L10" i="271"/>
  <c r="K10" i="271"/>
  <c r="J10" i="271"/>
  <c r="F10" i="271"/>
  <c r="E10" i="271"/>
  <c r="D10" i="271"/>
  <c r="L9" i="271"/>
  <c r="K9" i="271"/>
  <c r="J9" i="271"/>
  <c r="F9" i="271"/>
  <c r="E9" i="271"/>
  <c r="D9" i="271"/>
  <c r="D216" i="272"/>
  <c r="M207" i="272"/>
  <c r="M206" i="272"/>
  <c r="M205" i="272"/>
  <c r="M204" i="272"/>
  <c r="M202" i="272"/>
  <c r="M201" i="272"/>
  <c r="M200" i="272"/>
  <c r="M199" i="272"/>
  <c r="M198" i="272"/>
  <c r="M197" i="272"/>
  <c r="M195" i="272"/>
  <c r="M194" i="272"/>
  <c r="M193" i="272"/>
  <c r="M192" i="272"/>
  <c r="M190" i="272"/>
  <c r="M188" i="272"/>
  <c r="M186" i="272"/>
  <c r="M182" i="272"/>
  <c r="M180" i="272"/>
  <c r="M178" i="272"/>
  <c r="M176" i="272"/>
  <c r="M174" i="272"/>
  <c r="M170" i="272"/>
  <c r="M168" i="272"/>
  <c r="M167" i="272"/>
  <c r="M163" i="272"/>
  <c r="M161" i="272"/>
  <c r="M160" i="272"/>
  <c r="M159" i="272"/>
  <c r="M157" i="272"/>
  <c r="M156" i="272"/>
  <c r="M155" i="272"/>
  <c r="M154" i="272"/>
  <c r="M152" i="272"/>
  <c r="M150" i="272"/>
  <c r="M148" i="272"/>
  <c r="M142" i="272"/>
  <c r="M140" i="272"/>
  <c r="M138" i="272"/>
  <c r="M136" i="272"/>
  <c r="M130" i="272"/>
  <c r="M128" i="272"/>
  <c r="M127" i="272"/>
  <c r="M103" i="272"/>
  <c r="M91" i="272"/>
  <c r="L120" i="272"/>
  <c r="F120" i="272"/>
  <c r="M58" i="272"/>
  <c r="M52" i="272"/>
  <c r="M50" i="272"/>
  <c r="M49" i="272"/>
  <c r="M48" i="272"/>
  <c r="M46" i="272"/>
  <c r="M40" i="272"/>
  <c r="M39" i="272"/>
  <c r="M38" i="272"/>
  <c r="M36" i="272"/>
  <c r="M34" i="272"/>
  <c r="M28" i="272"/>
  <c r="M26" i="272"/>
  <c r="M25" i="272"/>
  <c r="D216" i="271"/>
  <c r="M78" i="271" l="1"/>
  <c r="M161" i="271"/>
  <c r="M188" i="271"/>
  <c r="M96" i="271"/>
  <c r="M37" i="271"/>
  <c r="M10" i="271"/>
  <c r="M14" i="271"/>
  <c r="M22" i="271"/>
  <c r="M26" i="271"/>
  <c r="M32" i="271"/>
  <c r="M36" i="271"/>
  <c r="M38" i="271"/>
  <c r="M44" i="271"/>
  <c r="M46" i="271"/>
  <c r="M48" i="271"/>
  <c r="M50" i="271"/>
  <c r="M58" i="271"/>
  <c r="M60" i="271"/>
  <c r="M62" i="271"/>
  <c r="M68" i="271"/>
  <c r="M75" i="271"/>
  <c r="M79" i="271"/>
  <c r="M81" i="271"/>
  <c r="M83" i="271"/>
  <c r="M85" i="271"/>
  <c r="M87" i="271"/>
  <c r="M12" i="271"/>
  <c r="M20" i="271"/>
  <c r="M24" i="271"/>
  <c r="M34" i="271"/>
  <c r="M56" i="271"/>
  <c r="M76" i="271"/>
  <c r="M99" i="271"/>
  <c r="M111" i="271"/>
  <c r="M113" i="271"/>
  <c r="M124" i="271"/>
  <c r="M126" i="271"/>
  <c r="M128" i="271"/>
  <c r="M134" i="271"/>
  <c r="M136" i="271"/>
  <c r="M138" i="271"/>
  <c r="M140" i="271"/>
  <c r="M146" i="271"/>
  <c r="M148" i="271"/>
  <c r="M150" i="271"/>
  <c r="M152" i="271"/>
  <c r="M158" i="271"/>
  <c r="M160" i="271"/>
  <c r="M162" i="271"/>
  <c r="M169" i="271"/>
  <c r="M171" i="271"/>
  <c r="M173" i="271"/>
  <c r="M175" i="271"/>
  <c r="M179" i="271"/>
  <c r="M181" i="271"/>
  <c r="M183" i="271"/>
  <c r="M185" i="271"/>
  <c r="M187" i="271"/>
  <c r="M11" i="271"/>
  <c r="M13" i="271"/>
  <c r="M98" i="271"/>
  <c r="M100" i="271"/>
  <c r="M102" i="271"/>
  <c r="M108" i="271"/>
  <c r="M125" i="271"/>
  <c r="M141" i="271"/>
  <c r="M143" i="271"/>
  <c r="M145" i="271"/>
  <c r="M149" i="271"/>
  <c r="M190" i="271"/>
  <c r="M200" i="271"/>
  <c r="M202" i="271"/>
  <c r="M208" i="271"/>
  <c r="E212" i="256"/>
  <c r="D212" i="256"/>
  <c r="F211" i="256"/>
  <c r="F212" i="256" s="1"/>
  <c r="M35" i="271"/>
  <c r="M51" i="271"/>
  <c r="M57" i="271"/>
  <c r="M59" i="271"/>
  <c r="M129" i="271"/>
  <c r="M131" i="271"/>
  <c r="M170" i="271"/>
  <c r="M196" i="271"/>
  <c r="F120" i="271"/>
  <c r="F164" i="271"/>
  <c r="M191" i="271"/>
  <c r="M193" i="271"/>
  <c r="M195" i="271"/>
  <c r="M197" i="271"/>
  <c r="M199" i="271"/>
  <c r="M203" i="271"/>
  <c r="M205" i="271"/>
  <c r="M207" i="271"/>
  <c r="M141" i="272"/>
  <c r="D164" i="272"/>
  <c r="M10" i="272"/>
  <c r="M12" i="272"/>
  <c r="M14" i="272"/>
  <c r="M16" i="272"/>
  <c r="M22" i="272"/>
  <c r="M24" i="272"/>
  <c r="E164" i="272"/>
  <c r="M37" i="272"/>
  <c r="M60" i="272"/>
  <c r="M62" i="272"/>
  <c r="M64" i="272"/>
  <c r="M75" i="272"/>
  <c r="M77" i="272"/>
  <c r="M81" i="272"/>
  <c r="M83" i="272"/>
  <c r="M85" i="272"/>
  <c r="M87" i="272"/>
  <c r="M89" i="272"/>
  <c r="M107" i="272"/>
  <c r="M109" i="272"/>
  <c r="M111" i="272"/>
  <c r="M113" i="272"/>
  <c r="M117" i="272"/>
  <c r="M119" i="272"/>
  <c r="M124" i="272"/>
  <c r="M126" i="272"/>
  <c r="M162" i="272"/>
  <c r="E164" i="271"/>
  <c r="M101" i="272"/>
  <c r="M179" i="272"/>
  <c r="M189" i="272"/>
  <c r="M177" i="272"/>
  <c r="M9" i="271"/>
  <c r="M23" i="271"/>
  <c r="M47" i="271"/>
  <c r="M53" i="271"/>
  <c r="M55" i="271"/>
  <c r="M63" i="271"/>
  <c r="M65" i="271"/>
  <c r="M67" i="271"/>
  <c r="M74" i="271"/>
  <c r="M84" i="271"/>
  <c r="M86" i="271"/>
  <c r="M88" i="271"/>
  <c r="M90" i="271"/>
  <c r="M110" i="271"/>
  <c r="M112" i="271"/>
  <c r="M114" i="271"/>
  <c r="M123" i="271"/>
  <c r="M133" i="271"/>
  <c r="M135" i="271"/>
  <c r="M137" i="271"/>
  <c r="M147" i="271"/>
  <c r="M151" i="271"/>
  <c r="M180" i="271"/>
  <c r="M198" i="271"/>
  <c r="M11" i="272"/>
  <c r="M151" i="272"/>
  <c r="M139" i="272"/>
  <c r="M9" i="272"/>
  <c r="M13" i="272"/>
  <c r="M15" i="272"/>
  <c r="M53" i="272"/>
  <c r="M55" i="272"/>
  <c r="M57" i="272"/>
  <c r="M59" i="272"/>
  <c r="M61" i="272"/>
  <c r="M65" i="272"/>
  <c r="M67" i="272"/>
  <c r="M76" i="272"/>
  <c r="M78" i="272"/>
  <c r="M80" i="272"/>
  <c r="M86" i="272"/>
  <c r="M88" i="272"/>
  <c r="M90" i="272"/>
  <c r="M92" i="272"/>
  <c r="M94" i="272"/>
  <c r="M98" i="272"/>
  <c r="M100" i="272"/>
  <c r="M102" i="272"/>
  <c r="M104" i="272"/>
  <c r="M106" i="272"/>
  <c r="M110" i="272"/>
  <c r="M112" i="272"/>
  <c r="M114" i="272"/>
  <c r="M116" i="272"/>
  <c r="M118" i="272"/>
  <c r="D70" i="271"/>
  <c r="M192" i="271"/>
  <c r="M51" i="272"/>
  <c r="M191" i="272"/>
  <c r="J120" i="271"/>
  <c r="M204" i="271"/>
  <c r="M63" i="272"/>
  <c r="M115" i="272"/>
  <c r="M206" i="271"/>
  <c r="M154" i="271"/>
  <c r="D209" i="272"/>
  <c r="M20" i="272"/>
  <c r="M106" i="271"/>
  <c r="E70" i="272"/>
  <c r="M42" i="272"/>
  <c r="M134" i="272"/>
  <c r="F70" i="271"/>
  <c r="M64" i="271"/>
  <c r="M54" i="272"/>
  <c r="M56" i="272"/>
  <c r="M66" i="272"/>
  <c r="M108" i="272"/>
  <c r="M196" i="272"/>
  <c r="M182" i="271"/>
  <c r="M153" i="272"/>
  <c r="M194" i="271"/>
  <c r="M142" i="271"/>
  <c r="M82" i="272"/>
  <c r="F164" i="272"/>
  <c r="M92" i="271"/>
  <c r="M144" i="271"/>
  <c r="M18" i="272"/>
  <c r="M28" i="271"/>
  <c r="M104" i="271"/>
  <c r="D70" i="272"/>
  <c r="M30" i="272"/>
  <c r="D120" i="272"/>
  <c r="M132" i="272"/>
  <c r="M42" i="271"/>
  <c r="M52" i="271"/>
  <c r="F70" i="272"/>
  <c r="M44" i="272"/>
  <c r="M184" i="272"/>
  <c r="M54" i="271"/>
  <c r="M127" i="271"/>
  <c r="M201" i="271"/>
  <c r="M15" i="271"/>
  <c r="M17" i="271"/>
  <c r="M19" i="271"/>
  <c r="M21" i="271"/>
  <c r="M66" i="271"/>
  <c r="M77" i="271"/>
  <c r="M91" i="271"/>
  <c r="M93" i="271"/>
  <c r="M95" i="271"/>
  <c r="M97" i="271"/>
  <c r="M139" i="271"/>
  <c r="M153" i="271"/>
  <c r="M155" i="271"/>
  <c r="M157" i="271"/>
  <c r="M159" i="271"/>
  <c r="K70" i="272"/>
  <c r="M17" i="272"/>
  <c r="M19" i="272"/>
  <c r="M21" i="272"/>
  <c r="M23" i="272"/>
  <c r="M68" i="272"/>
  <c r="M79" i="272"/>
  <c r="M93" i="272"/>
  <c r="M123" i="272"/>
  <c r="M125" i="272"/>
  <c r="M158" i="272"/>
  <c r="M169" i="272"/>
  <c r="M208" i="272"/>
  <c r="M130" i="271"/>
  <c r="D209" i="271"/>
  <c r="K120" i="272"/>
  <c r="M80" i="271"/>
  <c r="M132" i="271"/>
  <c r="E209" i="271"/>
  <c r="M16" i="271"/>
  <c r="M82" i="271"/>
  <c r="M94" i="271"/>
  <c r="K209" i="271"/>
  <c r="M116" i="271"/>
  <c r="M177" i="271"/>
  <c r="M32" i="272"/>
  <c r="M96" i="272"/>
  <c r="M144" i="272"/>
  <c r="M118" i="271"/>
  <c r="M189" i="271"/>
  <c r="M146" i="272"/>
  <c r="M29" i="271"/>
  <c r="M103" i="271"/>
  <c r="M107" i="271"/>
  <c r="M172" i="271"/>
  <c r="M174" i="271"/>
  <c r="L70" i="272"/>
  <c r="M29" i="272"/>
  <c r="M31" i="272"/>
  <c r="M33" i="272"/>
  <c r="M35" i="272"/>
  <c r="M95" i="272"/>
  <c r="M97" i="272"/>
  <c r="M99" i="272"/>
  <c r="M131" i="272"/>
  <c r="M133" i="272"/>
  <c r="M135" i="272"/>
  <c r="M137" i="272"/>
  <c r="M171" i="272"/>
  <c r="M173" i="272"/>
  <c r="M175" i="272"/>
  <c r="F209" i="272"/>
  <c r="M49" i="271"/>
  <c r="J120" i="272"/>
  <c r="M61" i="271"/>
  <c r="M203" i="272"/>
  <c r="J209" i="271"/>
  <c r="M84" i="272"/>
  <c r="M18" i="271"/>
  <c r="M156" i="271"/>
  <c r="K164" i="272"/>
  <c r="E209" i="272"/>
  <c r="M30" i="271"/>
  <c r="M40" i="271"/>
  <c r="L209" i="271"/>
  <c r="M172" i="272"/>
  <c r="M27" i="271"/>
  <c r="M31" i="271"/>
  <c r="M33" i="271"/>
  <c r="M105" i="271"/>
  <c r="M109" i="271"/>
  <c r="M25" i="271"/>
  <c r="M39" i="271"/>
  <c r="M41" i="271"/>
  <c r="M43" i="271"/>
  <c r="M45" i="271"/>
  <c r="E120" i="271"/>
  <c r="L120" i="271"/>
  <c r="M101" i="271"/>
  <c r="M115" i="271"/>
  <c r="M117" i="271"/>
  <c r="M119" i="271"/>
  <c r="D164" i="271"/>
  <c r="M163" i="271"/>
  <c r="M168" i="271"/>
  <c r="M176" i="271"/>
  <c r="M178" i="271"/>
  <c r="M184" i="271"/>
  <c r="M186" i="271"/>
  <c r="M27" i="272"/>
  <c r="M41" i="272"/>
  <c r="M43" i="272"/>
  <c r="M45" i="272"/>
  <c r="M47" i="272"/>
  <c r="E120" i="272"/>
  <c r="M105" i="272"/>
  <c r="L164" i="272"/>
  <c r="M129" i="272"/>
  <c r="M143" i="272"/>
  <c r="M145" i="272"/>
  <c r="M147" i="272"/>
  <c r="M149" i="272"/>
  <c r="L209" i="272"/>
  <c r="J209" i="272"/>
  <c r="M183" i="272"/>
  <c r="M185" i="272"/>
  <c r="M187" i="272"/>
  <c r="K164" i="271"/>
  <c r="F209" i="271"/>
  <c r="E70" i="271"/>
  <c r="L164" i="271"/>
  <c r="K70" i="271"/>
  <c r="L70" i="271"/>
  <c r="D120" i="271"/>
  <c r="M89" i="271"/>
  <c r="K120" i="271"/>
  <c r="M167" i="271"/>
  <c r="J164" i="272"/>
  <c r="J70" i="272"/>
  <c r="J164" i="271"/>
  <c r="K209" i="272"/>
  <c r="M74" i="272"/>
  <c r="M181" i="272"/>
  <c r="J70" i="271"/>
  <c r="D211" i="272" l="1"/>
  <c r="D212" i="272" s="1"/>
  <c r="F211" i="271"/>
  <c r="F212" i="271" s="1"/>
  <c r="L211" i="272"/>
  <c r="L212" i="272" s="1"/>
  <c r="F211" i="272"/>
  <c r="F212" i="272" s="1"/>
  <c r="M70" i="272"/>
  <c r="E211" i="272"/>
  <c r="E212" i="272" s="1"/>
  <c r="K211" i="272"/>
  <c r="K212" i="272" s="1"/>
  <c r="M209" i="272"/>
  <c r="M164" i="272"/>
  <c r="M70" i="271"/>
  <c r="J211" i="272"/>
  <c r="J212" i="272" s="1"/>
  <c r="M164" i="271"/>
  <c r="L211" i="271"/>
  <c r="L212" i="271" s="1"/>
  <c r="J211" i="271"/>
  <c r="J212" i="271" s="1"/>
  <c r="K211" i="271"/>
  <c r="K212" i="271" s="1"/>
  <c r="E211" i="271"/>
  <c r="E212" i="271" s="1"/>
  <c r="M120" i="271"/>
  <c r="D211" i="271"/>
  <c r="D212" i="271" s="1"/>
  <c r="M209" i="271"/>
  <c r="M120" i="272"/>
  <c r="O68" i="269"/>
  <c r="N68" i="269"/>
  <c r="M68" i="269"/>
  <c r="L68" i="269"/>
  <c r="G68" i="269"/>
  <c r="D68" i="269"/>
  <c r="K64" i="269"/>
  <c r="K23" i="269" s="1"/>
  <c r="J64" i="269"/>
  <c r="J23" i="269" s="1"/>
  <c r="E64" i="269"/>
  <c r="E23" i="269" s="1"/>
  <c r="K63" i="269"/>
  <c r="K22" i="269" s="1"/>
  <c r="J63" i="269"/>
  <c r="J22" i="269" s="1"/>
  <c r="E63" i="269"/>
  <c r="E22" i="269" s="1"/>
  <c r="K62" i="269"/>
  <c r="K21" i="269" s="1"/>
  <c r="J62" i="269"/>
  <c r="J21" i="269" s="1"/>
  <c r="E62" i="269"/>
  <c r="E21" i="269" s="1"/>
  <c r="K61" i="269"/>
  <c r="K20" i="269" s="1"/>
  <c r="J61" i="269"/>
  <c r="J20" i="269" s="1"/>
  <c r="E61" i="269"/>
  <c r="E20" i="269" s="1"/>
  <c r="K60" i="269"/>
  <c r="K19" i="269" s="1"/>
  <c r="J60" i="269"/>
  <c r="J19" i="269" s="1"/>
  <c r="E60" i="269"/>
  <c r="E19" i="269" s="1"/>
  <c r="K59" i="269"/>
  <c r="K18" i="269" s="1"/>
  <c r="J59" i="269"/>
  <c r="J18" i="269" s="1"/>
  <c r="E59" i="269"/>
  <c r="E18" i="269" s="1"/>
  <c r="K58" i="269"/>
  <c r="K17" i="269" s="1"/>
  <c r="J58" i="269"/>
  <c r="J17" i="269" s="1"/>
  <c r="E58" i="269"/>
  <c r="E17" i="269" s="1"/>
  <c r="B58" i="269"/>
  <c r="B59" i="269" s="1"/>
  <c r="B60" i="269" s="1"/>
  <c r="B61" i="269" s="1"/>
  <c r="B62" i="269" s="1"/>
  <c r="B63" i="269" s="1"/>
  <c r="B64" i="269" s="1"/>
  <c r="K57" i="269"/>
  <c r="K16" i="269" s="1"/>
  <c r="J57" i="269"/>
  <c r="J16" i="269" s="1"/>
  <c r="I57" i="269"/>
  <c r="I16" i="269" s="1"/>
  <c r="H57" i="269"/>
  <c r="H16" i="269" s="1"/>
  <c r="G57" i="269"/>
  <c r="G16" i="269" s="1"/>
  <c r="F57" i="269"/>
  <c r="F16" i="269" s="1"/>
  <c r="E57" i="269"/>
  <c r="E16" i="269" s="1"/>
  <c r="I50" i="269"/>
  <c r="H50" i="269"/>
  <c r="G50" i="269"/>
  <c r="D50" i="269"/>
  <c r="E43" i="269"/>
  <c r="E15" i="269" s="1"/>
  <c r="E42" i="269"/>
  <c r="E14" i="269" s="1"/>
  <c r="E41" i="269"/>
  <c r="E13" i="269" s="1"/>
  <c r="E40" i="269"/>
  <c r="E39" i="269"/>
  <c r="E11" i="269" s="1"/>
  <c r="O38" i="269"/>
  <c r="E38" i="269"/>
  <c r="B38" i="269"/>
  <c r="B39" i="269" s="1"/>
  <c r="B40" i="269" s="1"/>
  <c r="B41" i="269" s="1"/>
  <c r="B42" i="269" s="1"/>
  <c r="B43" i="269" s="1"/>
  <c r="E37" i="269"/>
  <c r="E9" i="269" s="1"/>
  <c r="L30" i="269"/>
  <c r="K30" i="269"/>
  <c r="O24" i="269"/>
  <c r="N24" i="269"/>
  <c r="M24" i="269"/>
  <c r="L24" i="269"/>
  <c r="I17" i="269"/>
  <c r="H17" i="269"/>
  <c r="G17" i="269"/>
  <c r="F17" i="269"/>
  <c r="O15" i="269"/>
  <c r="O43" i="269" s="1"/>
  <c r="N15" i="269"/>
  <c r="N43" i="269" s="1"/>
  <c r="M15" i="269"/>
  <c r="M43" i="269" s="1"/>
  <c r="L15" i="269"/>
  <c r="L43" i="269" s="1"/>
  <c r="K15" i="269"/>
  <c r="K43" i="269" s="1"/>
  <c r="J15" i="269"/>
  <c r="J43" i="269" s="1"/>
  <c r="O14" i="269"/>
  <c r="O42" i="269" s="1"/>
  <c r="N14" i="269"/>
  <c r="N42" i="269" s="1"/>
  <c r="M14" i="269"/>
  <c r="M42" i="269" s="1"/>
  <c r="L14" i="269"/>
  <c r="L42" i="269" s="1"/>
  <c r="K14" i="269"/>
  <c r="K42" i="269" s="1"/>
  <c r="J14" i="269"/>
  <c r="J42" i="269" s="1"/>
  <c r="O13" i="269"/>
  <c r="O41" i="269" s="1"/>
  <c r="N13" i="269"/>
  <c r="N41" i="269" s="1"/>
  <c r="M13" i="269"/>
  <c r="M41" i="269" s="1"/>
  <c r="L13" i="269"/>
  <c r="L41" i="269" s="1"/>
  <c r="K13" i="269"/>
  <c r="K41" i="269" s="1"/>
  <c r="J13" i="269"/>
  <c r="J41" i="269" s="1"/>
  <c r="O12" i="269"/>
  <c r="O40" i="269" s="1"/>
  <c r="N12" i="269"/>
  <c r="N40" i="269" s="1"/>
  <c r="M12" i="269"/>
  <c r="M40" i="269" s="1"/>
  <c r="L12" i="269"/>
  <c r="L40" i="269" s="1"/>
  <c r="K12" i="269"/>
  <c r="K40" i="269" s="1"/>
  <c r="J12" i="269"/>
  <c r="J40" i="269" s="1"/>
  <c r="E12" i="269"/>
  <c r="O11" i="269"/>
  <c r="O39" i="269" s="1"/>
  <c r="N11" i="269"/>
  <c r="M11" i="269"/>
  <c r="M39" i="269" s="1"/>
  <c r="L11" i="269"/>
  <c r="L39" i="269" s="1"/>
  <c r="K11" i="269"/>
  <c r="K39" i="269" s="1"/>
  <c r="J11" i="269"/>
  <c r="J39" i="269" s="1"/>
  <c r="O10" i="269"/>
  <c r="N10" i="269"/>
  <c r="N38" i="269" s="1"/>
  <c r="M10" i="269"/>
  <c r="L10" i="269"/>
  <c r="L38" i="269" s="1"/>
  <c r="K10" i="269"/>
  <c r="K38" i="269" s="1"/>
  <c r="J10" i="269"/>
  <c r="O9" i="269"/>
  <c r="O37" i="269" s="1"/>
  <c r="N9" i="269"/>
  <c r="N37" i="269" s="1"/>
  <c r="M9" i="269"/>
  <c r="M37" i="269" s="1"/>
  <c r="L9" i="269"/>
  <c r="L37" i="269" s="1"/>
  <c r="K9" i="269"/>
  <c r="K37" i="269" s="1"/>
  <c r="J9" i="269"/>
  <c r="J37" i="269" s="1"/>
  <c r="E58" i="268"/>
  <c r="F58" i="268" s="1"/>
  <c r="I57" i="268"/>
  <c r="F56" i="268"/>
  <c r="I55" i="268"/>
  <c r="H55" i="268"/>
  <c r="H57" i="268" s="1"/>
  <c r="E55" i="268"/>
  <c r="F55" i="268" s="1"/>
  <c r="B55" i="268"/>
  <c r="B57" i="268" s="1"/>
  <c r="B58" i="268" s="1"/>
  <c r="B59" i="268" s="1"/>
  <c r="O54" i="268"/>
  <c r="N54" i="268"/>
  <c r="M54" i="268"/>
  <c r="L54" i="268"/>
  <c r="K54" i="268"/>
  <c r="J54" i="268"/>
  <c r="F54" i="268"/>
  <c r="M53" i="268"/>
  <c r="F53" i="268"/>
  <c r="F52" i="268"/>
  <c r="E51" i="268"/>
  <c r="F51" i="268" s="1"/>
  <c r="I49" i="268"/>
  <c r="H49" i="268"/>
  <c r="F49" i="268"/>
  <c r="E49" i="268"/>
  <c r="F48" i="268"/>
  <c r="B48" i="268"/>
  <c r="B49" i="268" s="1"/>
  <c r="B50" i="268" s="1"/>
  <c r="B51" i="268" s="1"/>
  <c r="B53" i="268" s="1"/>
  <c r="B54" i="268" s="1"/>
  <c r="F47" i="268"/>
  <c r="I39" i="268"/>
  <c r="H39" i="268"/>
  <c r="F38" i="268"/>
  <c r="F37" i="268"/>
  <c r="O36" i="268"/>
  <c r="O55" i="268" s="1"/>
  <c r="J36" i="268"/>
  <c r="J55" i="268" s="1"/>
  <c r="I36" i="268"/>
  <c r="I38" i="268" s="1"/>
  <c r="H36" i="268"/>
  <c r="H38" i="268" s="1"/>
  <c r="F36" i="268"/>
  <c r="E36" i="268"/>
  <c r="E38" i="268" s="1"/>
  <c r="F35" i="268"/>
  <c r="O34" i="268"/>
  <c r="O53" i="268" s="1"/>
  <c r="N34" i="268"/>
  <c r="N53" i="268" s="1"/>
  <c r="M34" i="268"/>
  <c r="M36" i="268" s="1"/>
  <c r="M55" i="268" s="1"/>
  <c r="L34" i="268"/>
  <c r="L36" i="268" s="1"/>
  <c r="L55" i="268" s="1"/>
  <c r="K34" i="268"/>
  <c r="J34" i="268"/>
  <c r="J53" i="268" s="1"/>
  <c r="F34" i="268"/>
  <c r="B34" i="268"/>
  <c r="B35" i="268" s="1"/>
  <c r="B36" i="268" s="1"/>
  <c r="B38" i="268" s="1"/>
  <c r="B39" i="268" s="1"/>
  <c r="B40" i="268" s="1"/>
  <c r="F33" i="268"/>
  <c r="I32" i="268"/>
  <c r="F32" i="268"/>
  <c r="E32" i="268"/>
  <c r="E13" i="268" s="1"/>
  <c r="F13" i="268" s="1"/>
  <c r="B32" i="268"/>
  <c r="F31" i="268"/>
  <c r="B31" i="268"/>
  <c r="I30" i="268"/>
  <c r="H30" i="268"/>
  <c r="H32" i="268" s="1"/>
  <c r="E30" i="268"/>
  <c r="E39" i="268" s="1"/>
  <c r="F29" i="268"/>
  <c r="B29" i="268"/>
  <c r="B30" i="268" s="1"/>
  <c r="O28" i="268"/>
  <c r="F28" i="268"/>
  <c r="O20" i="268"/>
  <c r="N20" i="268"/>
  <c r="N39" i="268" s="1"/>
  <c r="M20" i="268"/>
  <c r="M39" i="268" s="1"/>
  <c r="L20" i="268"/>
  <c r="L58" i="268" s="1"/>
  <c r="K20" i="268"/>
  <c r="K58" i="268" s="1"/>
  <c r="J20" i="268"/>
  <c r="J58" i="268" s="1"/>
  <c r="B20" i="268"/>
  <c r="B21" i="268" s="1"/>
  <c r="O19" i="268"/>
  <c r="N19" i="268"/>
  <c r="N21" i="268" s="1"/>
  <c r="M19" i="268"/>
  <c r="M57" i="268" s="1"/>
  <c r="L19" i="268"/>
  <c r="K19" i="268"/>
  <c r="J19" i="268"/>
  <c r="J57" i="268" s="1"/>
  <c r="I17" i="268"/>
  <c r="H17" i="268"/>
  <c r="F17" i="268"/>
  <c r="E17" i="268"/>
  <c r="F16" i="268"/>
  <c r="O15" i="268"/>
  <c r="O17" i="268" s="1"/>
  <c r="N15" i="268"/>
  <c r="N17" i="268" s="1"/>
  <c r="M15" i="268"/>
  <c r="M17" i="268" s="1"/>
  <c r="L15" i="268"/>
  <c r="L17" i="268" s="1"/>
  <c r="K15" i="268"/>
  <c r="K17" i="268" s="1"/>
  <c r="J15" i="268"/>
  <c r="J17" i="268" s="1"/>
  <c r="F15" i="268"/>
  <c r="B15" i="268"/>
  <c r="B16" i="268" s="1"/>
  <c r="B17" i="268" s="1"/>
  <c r="B19" i="268" s="1"/>
  <c r="O13" i="268"/>
  <c r="O32" i="268" s="1"/>
  <c r="N13" i="268"/>
  <c r="N51" i="268" s="1"/>
  <c r="M13" i="268"/>
  <c r="M51" i="268" s="1"/>
  <c r="L13" i="268"/>
  <c r="K13" i="268"/>
  <c r="J13" i="268"/>
  <c r="J12" i="268"/>
  <c r="I12" i="268"/>
  <c r="H12" i="268"/>
  <c r="F12" i="268"/>
  <c r="E12" i="268"/>
  <c r="O11" i="268"/>
  <c r="O49" i="268" s="1"/>
  <c r="N11" i="268"/>
  <c r="N49" i="268" s="1"/>
  <c r="M11" i="268"/>
  <c r="M49" i="268" s="1"/>
  <c r="L11" i="268"/>
  <c r="L49" i="268" s="1"/>
  <c r="K11" i="268"/>
  <c r="K30" i="268" s="1"/>
  <c r="J11" i="268"/>
  <c r="J30" i="268" s="1"/>
  <c r="I11" i="268"/>
  <c r="H11" i="268"/>
  <c r="F11" i="268"/>
  <c r="E11" i="268"/>
  <c r="O10" i="268"/>
  <c r="O29" i="268" s="1"/>
  <c r="N10" i="268"/>
  <c r="N48" i="268" s="1"/>
  <c r="M10" i="268"/>
  <c r="M48" i="268" s="1"/>
  <c r="L10" i="268"/>
  <c r="L48" i="268" s="1"/>
  <c r="K10" i="268"/>
  <c r="K48" i="268" s="1"/>
  <c r="J10" i="268"/>
  <c r="J29" i="268" s="1"/>
  <c r="I10" i="268"/>
  <c r="H10" i="268"/>
  <c r="E10" i="268"/>
  <c r="F10" i="268" s="1"/>
  <c r="B10" i="268"/>
  <c r="B11" i="268" s="1"/>
  <c r="B12" i="268" s="1"/>
  <c r="B13" i="268" s="1"/>
  <c r="O9" i="268"/>
  <c r="O47" i="268" s="1"/>
  <c r="N9" i="268"/>
  <c r="N28" i="268" s="1"/>
  <c r="M9" i="268"/>
  <c r="M47" i="268" s="1"/>
  <c r="L9" i="268"/>
  <c r="K9" i="268"/>
  <c r="K47" i="268" s="1"/>
  <c r="J9" i="268"/>
  <c r="J47" i="268" s="1"/>
  <c r="I9" i="268"/>
  <c r="H9" i="268"/>
  <c r="E9" i="268"/>
  <c r="F9" i="268" s="1"/>
  <c r="J58" i="267"/>
  <c r="I58" i="267"/>
  <c r="H58" i="267"/>
  <c r="G58" i="267"/>
  <c r="F58" i="267"/>
  <c r="E58" i="267"/>
  <c r="D58" i="267"/>
  <c r="F57" i="267"/>
  <c r="E57" i="267"/>
  <c r="D57" i="267"/>
  <c r="F56" i="267"/>
  <c r="E56" i="267"/>
  <c r="D56" i="267"/>
  <c r="F55" i="267"/>
  <c r="E55" i="267"/>
  <c r="D55" i="267"/>
  <c r="F54" i="267"/>
  <c r="E54" i="267"/>
  <c r="D54" i="267"/>
  <c r="F53" i="267"/>
  <c r="E53" i="267"/>
  <c r="D53" i="267"/>
  <c r="H47" i="267"/>
  <c r="F46" i="267"/>
  <c r="O44" i="267"/>
  <c r="N44" i="267"/>
  <c r="M44" i="267"/>
  <c r="L44" i="267"/>
  <c r="K44" i="267"/>
  <c r="I44" i="267"/>
  <c r="H44" i="267"/>
  <c r="J44" i="267" s="1"/>
  <c r="E44" i="267"/>
  <c r="J43" i="267"/>
  <c r="F43" i="267"/>
  <c r="B43" i="267"/>
  <c r="B44" i="267" s="1"/>
  <c r="B45" i="267" s="1"/>
  <c r="B46" i="267" s="1"/>
  <c r="B47" i="267" s="1"/>
  <c r="F42" i="267"/>
  <c r="I41" i="267"/>
  <c r="H41" i="267"/>
  <c r="B41" i="267"/>
  <c r="B40" i="267"/>
  <c r="F31" i="267"/>
  <c r="F29" i="267"/>
  <c r="L28" i="267"/>
  <c r="J28" i="267"/>
  <c r="F28" i="267"/>
  <c r="O27" i="267"/>
  <c r="N27" i="267"/>
  <c r="M27" i="267"/>
  <c r="L27" i="267"/>
  <c r="K27" i="267"/>
  <c r="F27" i="267"/>
  <c r="I26" i="267"/>
  <c r="I11" i="267" s="1"/>
  <c r="H26" i="267"/>
  <c r="H11" i="267" s="1"/>
  <c r="B25" i="267"/>
  <c r="B26" i="267" s="1"/>
  <c r="B28" i="267" s="1"/>
  <c r="B29" i="267" s="1"/>
  <c r="B30" i="267" s="1"/>
  <c r="B31" i="267" s="1"/>
  <c r="B32" i="267" s="1"/>
  <c r="O17" i="267"/>
  <c r="N17" i="267"/>
  <c r="M17" i="267"/>
  <c r="L17" i="267"/>
  <c r="K17" i="267"/>
  <c r="J17" i="267"/>
  <c r="O16" i="267"/>
  <c r="O31" i="267" s="1"/>
  <c r="O46" i="267" s="1"/>
  <c r="N16" i="267"/>
  <c r="N31" i="267" s="1"/>
  <c r="N46" i="267" s="1"/>
  <c r="M16" i="267"/>
  <c r="M31" i="267" s="1"/>
  <c r="M46" i="267" s="1"/>
  <c r="L16" i="267"/>
  <c r="L31" i="267" s="1"/>
  <c r="L46" i="267" s="1"/>
  <c r="K16" i="267"/>
  <c r="K31" i="267" s="1"/>
  <c r="K46" i="267" s="1"/>
  <c r="J16" i="267"/>
  <c r="J31" i="267" s="1"/>
  <c r="J46" i="267" s="1"/>
  <c r="F16" i="267"/>
  <c r="O15" i="267"/>
  <c r="N15" i="267"/>
  <c r="N45" i="267" s="1"/>
  <c r="M15" i="267"/>
  <c r="M45" i="267" s="1"/>
  <c r="L15" i="267"/>
  <c r="L45" i="267" s="1"/>
  <c r="K15" i="267"/>
  <c r="J15" i="267"/>
  <c r="I14" i="267"/>
  <c r="H14" i="267"/>
  <c r="J14" i="267" s="1"/>
  <c r="M13" i="267"/>
  <c r="L13" i="267"/>
  <c r="K13" i="267"/>
  <c r="K28" i="267" s="1"/>
  <c r="J13" i="267"/>
  <c r="F13" i="267"/>
  <c r="F12" i="267"/>
  <c r="O11" i="267"/>
  <c r="N11" i="267"/>
  <c r="N41" i="267" s="1"/>
  <c r="M11" i="267"/>
  <c r="M26" i="267" s="1"/>
  <c r="L11" i="267"/>
  <c r="L26" i="267" s="1"/>
  <c r="K11" i="267"/>
  <c r="K26" i="267" s="1"/>
  <c r="J11" i="267"/>
  <c r="B11" i="267"/>
  <c r="B13" i="267" s="1"/>
  <c r="B14" i="267" s="1"/>
  <c r="B15" i="267" s="1"/>
  <c r="B16" i="267" s="1"/>
  <c r="B17" i="267" s="1"/>
  <c r="O10" i="267"/>
  <c r="N10" i="267"/>
  <c r="M10" i="267"/>
  <c r="M40" i="267" s="1"/>
  <c r="L10" i="267"/>
  <c r="L25" i="267" s="1"/>
  <c r="K10" i="267"/>
  <c r="K25" i="267" s="1"/>
  <c r="J10" i="267"/>
  <c r="J25" i="267" s="1"/>
  <c r="I10" i="267"/>
  <c r="H10" i="267"/>
  <c r="B10" i="267"/>
  <c r="O9" i="267"/>
  <c r="O39" i="267" s="1"/>
  <c r="N9" i="267"/>
  <c r="N39" i="267" s="1"/>
  <c r="M9" i="267"/>
  <c r="L9" i="267"/>
  <c r="K9" i="267"/>
  <c r="K39" i="267" s="1"/>
  <c r="J9" i="267"/>
  <c r="J39" i="267" s="1"/>
  <c r="I338" i="266"/>
  <c r="H338" i="266"/>
  <c r="G338" i="266"/>
  <c r="L336" i="266"/>
  <c r="L338" i="266" s="1"/>
  <c r="F336" i="266"/>
  <c r="F338" i="266" s="1"/>
  <c r="I334" i="266"/>
  <c r="I336" i="266" s="1"/>
  <c r="E334" i="266"/>
  <c r="E336" i="266" s="1"/>
  <c r="E338" i="266" s="1"/>
  <c r="D334" i="266"/>
  <c r="D336" i="266" s="1"/>
  <c r="D338" i="266" s="1"/>
  <c r="L333" i="266"/>
  <c r="L334" i="266" s="1"/>
  <c r="K333" i="266"/>
  <c r="K334" i="266" s="1"/>
  <c r="K336" i="266" s="1"/>
  <c r="K338" i="266" s="1"/>
  <c r="J333" i="266"/>
  <c r="J334" i="266" s="1"/>
  <c r="J336" i="266" s="1"/>
  <c r="J338" i="266" s="1"/>
  <c r="I333" i="266"/>
  <c r="H333" i="266"/>
  <c r="H334" i="266" s="1"/>
  <c r="H336" i="266" s="1"/>
  <c r="G333" i="266"/>
  <c r="G334" i="266" s="1"/>
  <c r="G336" i="266" s="1"/>
  <c r="F333" i="266"/>
  <c r="F334" i="266" s="1"/>
  <c r="E333" i="266"/>
  <c r="D333" i="266"/>
  <c r="K327" i="266"/>
  <c r="I327" i="266"/>
  <c r="L325" i="266"/>
  <c r="L327" i="266" s="1"/>
  <c r="H325" i="266"/>
  <c r="H327" i="266" s="1"/>
  <c r="F325" i="266"/>
  <c r="F327" i="266" s="1"/>
  <c r="E325" i="266"/>
  <c r="E327" i="266" s="1"/>
  <c r="I323" i="266"/>
  <c r="I325" i="266" s="1"/>
  <c r="E323" i="266"/>
  <c r="D323" i="266"/>
  <c r="D325" i="266" s="1"/>
  <c r="D327" i="266" s="1"/>
  <c r="L322" i="266"/>
  <c r="L323" i="266" s="1"/>
  <c r="K322" i="266"/>
  <c r="K323" i="266" s="1"/>
  <c r="K325" i="266" s="1"/>
  <c r="J322" i="266"/>
  <c r="J323" i="266" s="1"/>
  <c r="J325" i="266" s="1"/>
  <c r="J327" i="266" s="1"/>
  <c r="I322" i="266"/>
  <c r="H322" i="266"/>
  <c r="H323" i="266" s="1"/>
  <c r="G322" i="266"/>
  <c r="G323" i="266" s="1"/>
  <c r="G325" i="266" s="1"/>
  <c r="G327" i="266" s="1"/>
  <c r="F322" i="266"/>
  <c r="F323" i="266" s="1"/>
  <c r="E322" i="266"/>
  <c r="D322" i="266"/>
  <c r="I317" i="266"/>
  <c r="L315" i="266"/>
  <c r="L317" i="266" s="1"/>
  <c r="E315" i="266"/>
  <c r="E317" i="266" s="1"/>
  <c r="D315" i="266"/>
  <c r="D317" i="266" s="1"/>
  <c r="I313" i="266"/>
  <c r="I315" i="266" s="1"/>
  <c r="E313" i="266"/>
  <c r="D313" i="266"/>
  <c r="L312" i="266"/>
  <c r="L313" i="266" s="1"/>
  <c r="K312" i="266"/>
  <c r="K313" i="266" s="1"/>
  <c r="K315" i="266" s="1"/>
  <c r="K317" i="266" s="1"/>
  <c r="J312" i="266"/>
  <c r="J313" i="266" s="1"/>
  <c r="J315" i="266" s="1"/>
  <c r="J317" i="266" s="1"/>
  <c r="I312" i="266"/>
  <c r="H312" i="266"/>
  <c r="H313" i="266" s="1"/>
  <c r="H315" i="266" s="1"/>
  <c r="H317" i="266" s="1"/>
  <c r="G312" i="266"/>
  <c r="G313" i="266" s="1"/>
  <c r="G315" i="266" s="1"/>
  <c r="G317" i="266" s="1"/>
  <c r="F312" i="266"/>
  <c r="F313" i="266" s="1"/>
  <c r="F315" i="266" s="1"/>
  <c r="F317" i="266" s="1"/>
  <c r="E312" i="266"/>
  <c r="D312" i="266"/>
  <c r="J300" i="266"/>
  <c r="F300" i="266"/>
  <c r="J298" i="266"/>
  <c r="F298" i="266"/>
  <c r="B297" i="266"/>
  <c r="B298" i="266" s="1"/>
  <c r="B299" i="266" s="1"/>
  <c r="B300" i="266" s="1"/>
  <c r="B301" i="266" s="1"/>
  <c r="I296" i="266"/>
  <c r="J296" i="266" s="1"/>
  <c r="H296" i="266"/>
  <c r="E296" i="266"/>
  <c r="F296" i="266" s="1"/>
  <c r="H295" i="266"/>
  <c r="J294" i="266"/>
  <c r="F294" i="266"/>
  <c r="J293" i="266"/>
  <c r="F293" i="266"/>
  <c r="J292" i="266"/>
  <c r="F292" i="266"/>
  <c r="B292" i="266"/>
  <c r="B293" i="266" s="1"/>
  <c r="B294" i="266" s="1"/>
  <c r="B295" i="266" s="1"/>
  <c r="B296" i="266" s="1"/>
  <c r="K291" i="266"/>
  <c r="I291" i="266"/>
  <c r="H291" i="266"/>
  <c r="E291" i="266"/>
  <c r="F291" i="266" s="1"/>
  <c r="B291" i="266"/>
  <c r="J290" i="266"/>
  <c r="F290" i="266"/>
  <c r="B290" i="266"/>
  <c r="K289" i="266"/>
  <c r="K296" i="266" s="1"/>
  <c r="L289" i="266" s="1"/>
  <c r="J289" i="266"/>
  <c r="F289" i="266"/>
  <c r="E271" i="266"/>
  <c r="D271" i="266"/>
  <c r="E269" i="266"/>
  <c r="D269" i="266"/>
  <c r="L265" i="266"/>
  <c r="K265" i="266"/>
  <c r="J265" i="266"/>
  <c r="I265" i="266"/>
  <c r="H265" i="266"/>
  <c r="G265" i="266"/>
  <c r="F265" i="266"/>
  <c r="E265" i="266"/>
  <c r="D265" i="266"/>
  <c r="L264" i="266"/>
  <c r="K264" i="266"/>
  <c r="J264" i="266"/>
  <c r="I264" i="266"/>
  <c r="H264" i="266"/>
  <c r="H266" i="266" s="1"/>
  <c r="H267" i="266" s="1"/>
  <c r="H269" i="266" s="1"/>
  <c r="H271" i="266" s="1"/>
  <c r="G264" i="266"/>
  <c r="G266" i="266" s="1"/>
  <c r="G267" i="266" s="1"/>
  <c r="F264" i="266"/>
  <c r="E264" i="266"/>
  <c r="D264" i="266"/>
  <c r="L263" i="266"/>
  <c r="K263" i="266"/>
  <c r="J263" i="266"/>
  <c r="I263" i="266"/>
  <c r="H263" i="266"/>
  <c r="G263" i="266"/>
  <c r="F263" i="266"/>
  <c r="F266" i="266" s="1"/>
  <c r="F267" i="266" s="1"/>
  <c r="F269" i="266" s="1"/>
  <c r="E263" i="266"/>
  <c r="E266" i="266" s="1"/>
  <c r="E267" i="266" s="1"/>
  <c r="D263" i="266"/>
  <c r="E259" i="266"/>
  <c r="D259" i="266"/>
  <c r="D261" i="266" s="1"/>
  <c r="L255" i="266"/>
  <c r="K255" i="266"/>
  <c r="J255" i="266"/>
  <c r="I255" i="266"/>
  <c r="H255" i="266"/>
  <c r="G255" i="266"/>
  <c r="F255" i="266"/>
  <c r="E255" i="266"/>
  <c r="D255" i="266"/>
  <c r="L254" i="266"/>
  <c r="K254" i="266"/>
  <c r="J254" i="266"/>
  <c r="I254" i="266"/>
  <c r="H254" i="266"/>
  <c r="G254" i="266"/>
  <c r="F254" i="266"/>
  <c r="E254" i="266"/>
  <c r="D254" i="266"/>
  <c r="L253" i="266"/>
  <c r="K253" i="266"/>
  <c r="K256" i="266" s="1"/>
  <c r="K257" i="266" s="1"/>
  <c r="K259" i="266" s="1"/>
  <c r="K261" i="266" s="1"/>
  <c r="J253" i="266"/>
  <c r="I253" i="266"/>
  <c r="H253" i="266"/>
  <c r="G253" i="266"/>
  <c r="F253" i="266"/>
  <c r="E253" i="266"/>
  <c r="D253" i="266"/>
  <c r="E249" i="266"/>
  <c r="E251" i="266" s="1"/>
  <c r="D249" i="266"/>
  <c r="D251" i="266" s="1"/>
  <c r="L245" i="266"/>
  <c r="L246" i="266" s="1"/>
  <c r="L247" i="266" s="1"/>
  <c r="L249" i="266" s="1"/>
  <c r="L251" i="266" s="1"/>
  <c r="J245" i="266"/>
  <c r="I245" i="266"/>
  <c r="H245" i="266"/>
  <c r="G245" i="266"/>
  <c r="F245" i="266"/>
  <c r="E245" i="266"/>
  <c r="D245" i="266"/>
  <c r="L244" i="266"/>
  <c r="K244" i="266"/>
  <c r="J244" i="266"/>
  <c r="I244" i="266"/>
  <c r="H244" i="266"/>
  <c r="G244" i="266"/>
  <c r="F244" i="266"/>
  <c r="E244" i="266"/>
  <c r="D244" i="266"/>
  <c r="L243" i="266"/>
  <c r="F243" i="266"/>
  <c r="E243" i="266"/>
  <c r="D243" i="266"/>
  <c r="E239" i="266"/>
  <c r="E241" i="266" s="1"/>
  <c r="D239" i="266"/>
  <c r="D241" i="266" s="1"/>
  <c r="D236" i="266"/>
  <c r="D237" i="266" s="1"/>
  <c r="L235" i="266"/>
  <c r="K235" i="266"/>
  <c r="J235" i="266"/>
  <c r="I235" i="266"/>
  <c r="H235" i="266"/>
  <c r="G235" i="266"/>
  <c r="F235" i="266"/>
  <c r="E235" i="266"/>
  <c r="D235" i="266"/>
  <c r="L234" i="266"/>
  <c r="K234" i="266"/>
  <c r="J234" i="266"/>
  <c r="I234" i="266"/>
  <c r="I236" i="266" s="1"/>
  <c r="I237" i="266" s="1"/>
  <c r="I239" i="266" s="1"/>
  <c r="I241" i="266" s="1"/>
  <c r="H234" i="266"/>
  <c r="G234" i="266"/>
  <c r="F234" i="266"/>
  <c r="E234" i="266"/>
  <c r="D234" i="266"/>
  <c r="L233" i="266"/>
  <c r="K233" i="266"/>
  <c r="J233" i="266"/>
  <c r="I233" i="266"/>
  <c r="H233" i="266"/>
  <c r="G233" i="266"/>
  <c r="G236" i="266" s="1"/>
  <c r="G237" i="266" s="1"/>
  <c r="F233" i="266"/>
  <c r="F236" i="266" s="1"/>
  <c r="F237" i="266" s="1"/>
  <c r="F239" i="266" s="1"/>
  <c r="F241" i="266" s="1"/>
  <c r="E233" i="266"/>
  <c r="E236" i="266" s="1"/>
  <c r="E237" i="266" s="1"/>
  <c r="D233" i="266"/>
  <c r="E229" i="266"/>
  <c r="E231" i="266" s="1"/>
  <c r="D229" i="266"/>
  <c r="D231" i="266" s="1"/>
  <c r="L225" i="266"/>
  <c r="K225" i="266"/>
  <c r="J225" i="266"/>
  <c r="I225" i="266"/>
  <c r="H225" i="266"/>
  <c r="G225" i="266"/>
  <c r="F225" i="266"/>
  <c r="E225" i="266"/>
  <c r="D225" i="266"/>
  <c r="L224" i="266"/>
  <c r="L226" i="266" s="1"/>
  <c r="L227" i="266" s="1"/>
  <c r="L229" i="266" s="1"/>
  <c r="L231" i="266" s="1"/>
  <c r="K224" i="266"/>
  <c r="J224" i="266"/>
  <c r="I224" i="266"/>
  <c r="H224" i="266"/>
  <c r="G224" i="266"/>
  <c r="G226" i="266" s="1"/>
  <c r="G227" i="266" s="1"/>
  <c r="F224" i="266"/>
  <c r="F226" i="266" s="1"/>
  <c r="F227" i="266" s="1"/>
  <c r="F229" i="266" s="1"/>
  <c r="F231" i="266" s="1"/>
  <c r="E224" i="266"/>
  <c r="D224" i="266"/>
  <c r="L223" i="266"/>
  <c r="K223" i="266"/>
  <c r="J223" i="266"/>
  <c r="I223" i="266"/>
  <c r="H223" i="266"/>
  <c r="G223" i="266"/>
  <c r="F223" i="266"/>
  <c r="E223" i="266"/>
  <c r="E226" i="266" s="1"/>
  <c r="E227" i="266" s="1"/>
  <c r="D223" i="266"/>
  <c r="D221" i="266"/>
  <c r="E219" i="266"/>
  <c r="D219" i="266"/>
  <c r="L215" i="266"/>
  <c r="K215" i="266"/>
  <c r="J215" i="266"/>
  <c r="I215" i="266"/>
  <c r="H215" i="266"/>
  <c r="H216" i="266" s="1"/>
  <c r="H217" i="266" s="1"/>
  <c r="H219" i="266" s="1"/>
  <c r="H221" i="266" s="1"/>
  <c r="G215" i="266"/>
  <c r="G216" i="266" s="1"/>
  <c r="G217" i="266" s="1"/>
  <c r="F215" i="266"/>
  <c r="E215" i="266"/>
  <c r="D215" i="266"/>
  <c r="L214" i="266"/>
  <c r="K214" i="266"/>
  <c r="J214" i="266"/>
  <c r="J216" i="266" s="1"/>
  <c r="J217" i="266" s="1"/>
  <c r="J219" i="266" s="1"/>
  <c r="J221" i="266" s="1"/>
  <c r="I214" i="266"/>
  <c r="H214" i="266"/>
  <c r="G214" i="266"/>
  <c r="F214" i="266"/>
  <c r="E214" i="266"/>
  <c r="D214" i="266"/>
  <c r="L213" i="266"/>
  <c r="L216" i="266" s="1"/>
  <c r="L217" i="266" s="1"/>
  <c r="L219" i="266" s="1"/>
  <c r="L221" i="266" s="1"/>
  <c r="K213" i="266"/>
  <c r="K216" i="266" s="1"/>
  <c r="K217" i="266" s="1"/>
  <c r="K219" i="266" s="1"/>
  <c r="K221" i="266" s="1"/>
  <c r="J213" i="266"/>
  <c r="I213" i="266"/>
  <c r="H213" i="266"/>
  <c r="G213" i="266"/>
  <c r="F213" i="266"/>
  <c r="E213" i="266"/>
  <c r="D213" i="266"/>
  <c r="J211" i="266"/>
  <c r="E209" i="266"/>
  <c r="D209" i="266"/>
  <c r="D211" i="266" s="1"/>
  <c r="J206" i="266"/>
  <c r="J207" i="266" s="1"/>
  <c r="J209" i="266" s="1"/>
  <c r="L205" i="266"/>
  <c r="K205" i="266"/>
  <c r="J205" i="266"/>
  <c r="I205" i="266"/>
  <c r="H205" i="266"/>
  <c r="G205" i="266"/>
  <c r="F205" i="266"/>
  <c r="E205" i="266"/>
  <c r="D205" i="266"/>
  <c r="L204" i="266"/>
  <c r="K204" i="266"/>
  <c r="K206" i="266" s="1"/>
  <c r="K207" i="266" s="1"/>
  <c r="K209" i="266" s="1"/>
  <c r="K211" i="266" s="1"/>
  <c r="J204" i="266"/>
  <c r="I204" i="266"/>
  <c r="H204" i="266"/>
  <c r="G204" i="266"/>
  <c r="F204" i="266"/>
  <c r="F206" i="266" s="1"/>
  <c r="F207" i="266" s="1"/>
  <c r="F209" i="266" s="1"/>
  <c r="F211" i="266" s="1"/>
  <c r="E204" i="266"/>
  <c r="D204" i="266"/>
  <c r="L203" i="266"/>
  <c r="K203" i="266"/>
  <c r="J203" i="266"/>
  <c r="I203" i="266"/>
  <c r="H203" i="266"/>
  <c r="G203" i="266"/>
  <c r="F203" i="266"/>
  <c r="E203" i="266"/>
  <c r="D203" i="266"/>
  <c r="E199" i="266"/>
  <c r="E201" i="266" s="1"/>
  <c r="D199" i="266"/>
  <c r="D201" i="266" s="1"/>
  <c r="L195" i="266"/>
  <c r="K195" i="266"/>
  <c r="J195" i="266"/>
  <c r="I195" i="266"/>
  <c r="H195" i="266"/>
  <c r="G195" i="266"/>
  <c r="F195" i="266"/>
  <c r="E195" i="266"/>
  <c r="E196" i="266" s="1"/>
  <c r="E197" i="266" s="1"/>
  <c r="D195" i="266"/>
  <c r="L194" i="266"/>
  <c r="K194" i="266"/>
  <c r="J194" i="266"/>
  <c r="I194" i="266"/>
  <c r="H194" i="266"/>
  <c r="G194" i="266"/>
  <c r="F194" i="266"/>
  <c r="E194" i="266"/>
  <c r="D194" i="266"/>
  <c r="L193" i="266"/>
  <c r="K193" i="266"/>
  <c r="J193" i="266"/>
  <c r="I193" i="266"/>
  <c r="H193" i="266"/>
  <c r="H196" i="266" s="1"/>
  <c r="H197" i="266" s="1"/>
  <c r="H199" i="266" s="1"/>
  <c r="H201" i="266" s="1"/>
  <c r="G193" i="266"/>
  <c r="F193" i="266"/>
  <c r="E193" i="266"/>
  <c r="D193" i="266"/>
  <c r="D196" i="266" s="1"/>
  <c r="D197" i="266" s="1"/>
  <c r="E191" i="266"/>
  <c r="D191" i="266"/>
  <c r="L185" i="266"/>
  <c r="K185" i="266"/>
  <c r="J185" i="266"/>
  <c r="I185" i="266"/>
  <c r="H185" i="266"/>
  <c r="G185" i="266"/>
  <c r="F185" i="266"/>
  <c r="E185" i="266"/>
  <c r="D185" i="266"/>
  <c r="L184" i="266"/>
  <c r="K184" i="266"/>
  <c r="J184" i="266"/>
  <c r="I184" i="266"/>
  <c r="H184" i="266"/>
  <c r="G184" i="266"/>
  <c r="F184" i="266"/>
  <c r="E184" i="266"/>
  <c r="D184" i="266"/>
  <c r="L183" i="266"/>
  <c r="K183" i="266"/>
  <c r="J183" i="266"/>
  <c r="I183" i="266"/>
  <c r="H183" i="266"/>
  <c r="G183" i="266"/>
  <c r="F183" i="266"/>
  <c r="F186" i="266" s="1"/>
  <c r="F187" i="266" s="1"/>
  <c r="F189" i="266" s="1"/>
  <c r="E183" i="266"/>
  <c r="E186" i="266" s="1"/>
  <c r="E187" i="266" s="1"/>
  <c r="D183" i="266"/>
  <c r="D186" i="266" s="1"/>
  <c r="D187" i="266" s="1"/>
  <c r="E181" i="266"/>
  <c r="D181" i="266"/>
  <c r="E179" i="266"/>
  <c r="D179" i="266"/>
  <c r="I176" i="266"/>
  <c r="I177" i="266" s="1"/>
  <c r="I179" i="266" s="1"/>
  <c r="I181" i="266" s="1"/>
  <c r="L175" i="266"/>
  <c r="K175" i="266"/>
  <c r="J175" i="266"/>
  <c r="I175" i="266"/>
  <c r="H175" i="266"/>
  <c r="G175" i="266"/>
  <c r="F175" i="266"/>
  <c r="E175" i="266"/>
  <c r="D175" i="266"/>
  <c r="L174" i="266"/>
  <c r="K174" i="266"/>
  <c r="J174" i="266"/>
  <c r="I174" i="266"/>
  <c r="H174" i="266"/>
  <c r="G174" i="266"/>
  <c r="F174" i="266"/>
  <c r="E174" i="266"/>
  <c r="D174" i="266"/>
  <c r="L173" i="266"/>
  <c r="L176" i="266" s="1"/>
  <c r="L177" i="266" s="1"/>
  <c r="L179" i="266" s="1"/>
  <c r="L181" i="266" s="1"/>
  <c r="K173" i="266"/>
  <c r="K176" i="266" s="1"/>
  <c r="K177" i="266" s="1"/>
  <c r="K179" i="266" s="1"/>
  <c r="K181" i="266" s="1"/>
  <c r="J173" i="266"/>
  <c r="I173" i="266"/>
  <c r="H173" i="266"/>
  <c r="G173" i="266"/>
  <c r="F173" i="266"/>
  <c r="E173" i="266"/>
  <c r="D173" i="266"/>
  <c r="E169" i="266"/>
  <c r="D169" i="266"/>
  <c r="D171" i="266" s="1"/>
  <c r="D166" i="266"/>
  <c r="D167" i="266" s="1"/>
  <c r="L165" i="266"/>
  <c r="L275" i="266" s="1"/>
  <c r="K165" i="266"/>
  <c r="K275" i="266" s="1"/>
  <c r="J165" i="266"/>
  <c r="I165" i="266"/>
  <c r="H165" i="266"/>
  <c r="F165" i="266"/>
  <c r="E165" i="266"/>
  <c r="D165" i="266"/>
  <c r="L164" i="266"/>
  <c r="K164" i="266"/>
  <c r="J164" i="266"/>
  <c r="I164" i="266"/>
  <c r="H164" i="266"/>
  <c r="G164" i="266"/>
  <c r="F164" i="266"/>
  <c r="E164" i="266"/>
  <c r="D164" i="266"/>
  <c r="L163" i="266"/>
  <c r="K163" i="266"/>
  <c r="J163" i="266"/>
  <c r="I163" i="266"/>
  <c r="H163" i="266"/>
  <c r="G163" i="266"/>
  <c r="F163" i="266"/>
  <c r="E163" i="266"/>
  <c r="D163" i="266"/>
  <c r="J154" i="266"/>
  <c r="F154" i="266"/>
  <c r="F150" i="266"/>
  <c r="J143" i="266" s="1"/>
  <c r="B150" i="266"/>
  <c r="B151" i="266" s="1"/>
  <c r="B152" i="266" s="1"/>
  <c r="B153" i="266" s="1"/>
  <c r="B154" i="266" s="1"/>
  <c r="B155" i="266" s="1"/>
  <c r="B149" i="266"/>
  <c r="F146" i="266"/>
  <c r="B145" i="266"/>
  <c r="B146" i="266" s="1"/>
  <c r="B147" i="266" s="1"/>
  <c r="B148" i="266" s="1"/>
  <c r="J144" i="266"/>
  <c r="F144" i="266"/>
  <c r="B144" i="266"/>
  <c r="F143" i="266"/>
  <c r="D127" i="266"/>
  <c r="E125" i="266"/>
  <c r="D125" i="266"/>
  <c r="E123" i="266"/>
  <c r="D123" i="266"/>
  <c r="L119" i="266"/>
  <c r="K119" i="266"/>
  <c r="J119" i="266"/>
  <c r="I119" i="266"/>
  <c r="H119" i="266"/>
  <c r="G119" i="266"/>
  <c r="F119" i="266"/>
  <c r="E119" i="266"/>
  <c r="E120" i="266" s="1"/>
  <c r="E121" i="266" s="1"/>
  <c r="D119" i="266"/>
  <c r="L118" i="266"/>
  <c r="K118" i="266"/>
  <c r="J118" i="266"/>
  <c r="I118" i="266"/>
  <c r="H118" i="266"/>
  <c r="G118" i="266"/>
  <c r="F118" i="266"/>
  <c r="E118" i="266"/>
  <c r="D118" i="266"/>
  <c r="F117" i="266"/>
  <c r="F120" i="266" s="1"/>
  <c r="E117" i="266"/>
  <c r="D117" i="266"/>
  <c r="D113" i="266"/>
  <c r="D115" i="266" s="1"/>
  <c r="L109" i="266"/>
  <c r="K109" i="266"/>
  <c r="J109" i="266"/>
  <c r="I109" i="266"/>
  <c r="H109" i="266"/>
  <c r="G109" i="266"/>
  <c r="E109" i="266"/>
  <c r="D109" i="266"/>
  <c r="L108" i="266"/>
  <c r="K108" i="266"/>
  <c r="J108" i="266"/>
  <c r="I108" i="266"/>
  <c r="H108" i="266"/>
  <c r="G108" i="266"/>
  <c r="F108" i="266"/>
  <c r="E108" i="266"/>
  <c r="D108" i="266"/>
  <c r="F107" i="266"/>
  <c r="F110" i="266" s="1"/>
  <c r="F111" i="266" s="1"/>
  <c r="F113" i="266" s="1"/>
  <c r="F115" i="266" s="1"/>
  <c r="E107" i="266"/>
  <c r="E110" i="266" s="1"/>
  <c r="E111" i="266" s="1"/>
  <c r="E113" i="266" s="1"/>
  <c r="E115" i="266" s="1"/>
  <c r="D107" i="266"/>
  <c r="D110" i="266" s="1"/>
  <c r="E103" i="266"/>
  <c r="E105" i="266" s="1"/>
  <c r="D103" i="266"/>
  <c r="D105" i="266" s="1"/>
  <c r="L99" i="266"/>
  <c r="K99" i="266"/>
  <c r="J99" i="266"/>
  <c r="I99" i="266"/>
  <c r="H99" i="266"/>
  <c r="G99" i="266"/>
  <c r="F99" i="266"/>
  <c r="E99" i="266"/>
  <c r="D99" i="266"/>
  <c r="L98" i="266"/>
  <c r="K98" i="266"/>
  <c r="J98" i="266"/>
  <c r="I98" i="266"/>
  <c r="H98" i="266"/>
  <c r="G98" i="266"/>
  <c r="F98" i="266"/>
  <c r="E98" i="266"/>
  <c r="D98" i="266"/>
  <c r="F97" i="266"/>
  <c r="E97" i="266"/>
  <c r="D97" i="266"/>
  <c r="E93" i="266"/>
  <c r="E95" i="266" s="1"/>
  <c r="D93" i="266"/>
  <c r="L92" i="266"/>
  <c r="K92" i="266"/>
  <c r="J92" i="266"/>
  <c r="I92" i="266"/>
  <c r="H92" i="266"/>
  <c r="G92" i="266"/>
  <c r="F92" i="266"/>
  <c r="E92" i="266"/>
  <c r="D92" i="266"/>
  <c r="L89" i="266"/>
  <c r="K89" i="266"/>
  <c r="J89" i="266"/>
  <c r="I89" i="266"/>
  <c r="I90" i="266" s="1"/>
  <c r="I91" i="266" s="1"/>
  <c r="I93" i="266" s="1"/>
  <c r="H89" i="266"/>
  <c r="H129" i="266" s="1"/>
  <c r="H32" i="266" s="1"/>
  <c r="G89" i="266"/>
  <c r="F89" i="266"/>
  <c r="E89" i="266"/>
  <c r="D89" i="266"/>
  <c r="L88" i="266"/>
  <c r="K88" i="266"/>
  <c r="K128" i="266" s="1"/>
  <c r="K31" i="266" s="1"/>
  <c r="J88" i="266"/>
  <c r="I88" i="266"/>
  <c r="H88" i="266"/>
  <c r="H128" i="266" s="1"/>
  <c r="G88" i="266"/>
  <c r="F88" i="266"/>
  <c r="E88" i="266"/>
  <c r="D88" i="266"/>
  <c r="L87" i="266"/>
  <c r="K87" i="266"/>
  <c r="J87" i="266"/>
  <c r="I87" i="266"/>
  <c r="H87" i="266"/>
  <c r="G87" i="266"/>
  <c r="F87" i="266"/>
  <c r="E87" i="266"/>
  <c r="D87" i="266"/>
  <c r="M79" i="266"/>
  <c r="J78" i="266"/>
  <c r="F78" i="266"/>
  <c r="O77" i="266"/>
  <c r="O79" i="266" s="1"/>
  <c r="N77" i="266"/>
  <c r="M77" i="266"/>
  <c r="O72" i="266"/>
  <c r="N72" i="266"/>
  <c r="M72" i="266"/>
  <c r="O71" i="266"/>
  <c r="N71" i="266"/>
  <c r="M71" i="266"/>
  <c r="F70" i="266"/>
  <c r="B70" i="266"/>
  <c r="B71" i="266" s="1"/>
  <c r="B72" i="266" s="1"/>
  <c r="B73" i="266" s="1"/>
  <c r="B74" i="266" s="1"/>
  <c r="B75" i="266" s="1"/>
  <c r="B76" i="266" s="1"/>
  <c r="B77" i="266" s="1"/>
  <c r="B78" i="266" s="1"/>
  <c r="B79" i="266" s="1"/>
  <c r="F68" i="266"/>
  <c r="B68" i="266"/>
  <c r="B69" i="266" s="1"/>
  <c r="F67" i="266"/>
  <c r="H31" i="266"/>
  <c r="O21" i="266"/>
  <c r="N21" i="266"/>
  <c r="M21" i="266"/>
  <c r="L21" i="266"/>
  <c r="K21" i="266"/>
  <c r="J21" i="266"/>
  <c r="I21" i="266"/>
  <c r="H21" i="266"/>
  <c r="F21" i="266"/>
  <c r="E21" i="266"/>
  <c r="O20" i="266"/>
  <c r="N20" i="266"/>
  <c r="N22" i="266" s="1"/>
  <c r="M20" i="266"/>
  <c r="M22" i="266" s="1"/>
  <c r="L20" i="266"/>
  <c r="L77" i="266" s="1"/>
  <c r="L79" i="266" s="1"/>
  <c r="K20" i="266"/>
  <c r="J20" i="266"/>
  <c r="O19" i="266"/>
  <c r="N19" i="266"/>
  <c r="M19" i="266"/>
  <c r="L19" i="266"/>
  <c r="L76" i="266" s="1"/>
  <c r="K19" i="266"/>
  <c r="K152" i="266" s="1"/>
  <c r="J19" i="266"/>
  <c r="J152" i="266" s="1"/>
  <c r="F19" i="266"/>
  <c r="B19" i="266"/>
  <c r="B20" i="266" s="1"/>
  <c r="B21" i="266" s="1"/>
  <c r="B22" i="266" s="1"/>
  <c r="O17" i="266"/>
  <c r="N17" i="266"/>
  <c r="M17" i="266"/>
  <c r="L17" i="266"/>
  <c r="K17" i="266"/>
  <c r="I17" i="266"/>
  <c r="H17" i="266"/>
  <c r="J17" i="266" s="1"/>
  <c r="J150" i="266" s="1"/>
  <c r="E17" i="266"/>
  <c r="F17" i="266" s="1"/>
  <c r="J10" i="266" s="1"/>
  <c r="O16" i="266"/>
  <c r="N16" i="266"/>
  <c r="M16" i="266"/>
  <c r="L16" i="266"/>
  <c r="L73" i="266" s="1"/>
  <c r="M69" i="266" s="1"/>
  <c r="K16" i="266"/>
  <c r="J16" i="266"/>
  <c r="J149" i="266" s="1"/>
  <c r="K145" i="266" s="1"/>
  <c r="O15" i="266"/>
  <c r="N15" i="266"/>
  <c r="M15" i="266"/>
  <c r="L15" i="266"/>
  <c r="L72" i="266" s="1"/>
  <c r="K15" i="266"/>
  <c r="K72" i="266" s="1"/>
  <c r="J15" i="266"/>
  <c r="J72" i="266" s="1"/>
  <c r="O14" i="266"/>
  <c r="N14" i="266"/>
  <c r="M14" i="266"/>
  <c r="L14" i="266"/>
  <c r="K14" i="266"/>
  <c r="J14" i="266"/>
  <c r="O13" i="266"/>
  <c r="N13" i="266"/>
  <c r="M13" i="266"/>
  <c r="L13" i="266"/>
  <c r="K13" i="266"/>
  <c r="I13" i="266"/>
  <c r="H13" i="266"/>
  <c r="E13" i="266"/>
  <c r="F13" i="266" s="1"/>
  <c r="B13" i="266"/>
  <c r="B14" i="266" s="1"/>
  <c r="B15" i="266" s="1"/>
  <c r="B16" i="266" s="1"/>
  <c r="B17" i="266" s="1"/>
  <c r="B18" i="266" s="1"/>
  <c r="O12" i="266"/>
  <c r="N12" i="266"/>
  <c r="M12" i="266"/>
  <c r="L12" i="266"/>
  <c r="K12" i="266"/>
  <c r="J12" i="266"/>
  <c r="B12" i="266"/>
  <c r="O11" i="266"/>
  <c r="N11" i="266"/>
  <c r="M11" i="266"/>
  <c r="L11" i="266"/>
  <c r="K11" i="266"/>
  <c r="I11" i="266"/>
  <c r="H11" i="266"/>
  <c r="J11" i="266" s="1"/>
  <c r="E11" i="266"/>
  <c r="F11" i="266" s="1"/>
  <c r="B11" i="266"/>
  <c r="O10" i="266"/>
  <c r="N10" i="266"/>
  <c r="M10" i="266"/>
  <c r="L10" i="266"/>
  <c r="K10" i="266"/>
  <c r="I10" i="266"/>
  <c r="H10" i="266"/>
  <c r="F10" i="266"/>
  <c r="E10" i="266"/>
  <c r="L923" i="265"/>
  <c r="H923" i="265"/>
  <c r="G923" i="265"/>
  <c r="L922" i="265"/>
  <c r="K922" i="265"/>
  <c r="H922" i="265"/>
  <c r="L921" i="265"/>
  <c r="H921" i="265"/>
  <c r="G921" i="265"/>
  <c r="L920" i="265"/>
  <c r="H920" i="265"/>
  <c r="G920" i="265"/>
  <c r="L919" i="265"/>
  <c r="H919" i="265"/>
  <c r="L918" i="265"/>
  <c r="H918" i="265"/>
  <c r="L917" i="265"/>
  <c r="H917" i="265"/>
  <c r="L916" i="265"/>
  <c r="H916" i="265"/>
  <c r="L914" i="265"/>
  <c r="H914" i="265"/>
  <c r="L913" i="265"/>
  <c r="H913" i="265"/>
  <c r="H908" i="265"/>
  <c r="L878" i="265"/>
  <c r="H878" i="265"/>
  <c r="G878" i="265"/>
  <c r="L877" i="265"/>
  <c r="H877" i="265"/>
  <c r="L876" i="265"/>
  <c r="H876" i="265"/>
  <c r="G876" i="265"/>
  <c r="L875" i="265"/>
  <c r="H875" i="265"/>
  <c r="G875" i="265"/>
  <c r="L874" i="265"/>
  <c r="K874" i="265"/>
  <c r="H874" i="265"/>
  <c r="L873" i="265"/>
  <c r="H873" i="265"/>
  <c r="L872" i="265"/>
  <c r="H872" i="265"/>
  <c r="L871" i="265"/>
  <c r="H871" i="265"/>
  <c r="L869" i="265"/>
  <c r="H869" i="265"/>
  <c r="L868" i="265"/>
  <c r="H868" i="265"/>
  <c r="L863" i="265"/>
  <c r="L833" i="265"/>
  <c r="H833" i="265"/>
  <c r="G833" i="265"/>
  <c r="L832" i="265"/>
  <c r="K832" i="265"/>
  <c r="H832" i="265"/>
  <c r="L831" i="265"/>
  <c r="H831" i="265"/>
  <c r="G831" i="265"/>
  <c r="L830" i="265"/>
  <c r="H830" i="265"/>
  <c r="G830" i="265"/>
  <c r="L829" i="265"/>
  <c r="H829" i="265"/>
  <c r="L828" i="265"/>
  <c r="H828" i="265"/>
  <c r="L827" i="265"/>
  <c r="H827" i="265"/>
  <c r="L826" i="265"/>
  <c r="H826" i="265"/>
  <c r="L824" i="265"/>
  <c r="H824" i="265"/>
  <c r="L823" i="265"/>
  <c r="H823" i="265"/>
  <c r="L788" i="265"/>
  <c r="H788" i="265"/>
  <c r="G788" i="265"/>
  <c r="L787" i="265"/>
  <c r="K787" i="265"/>
  <c r="H787" i="265"/>
  <c r="L786" i="265"/>
  <c r="H786" i="265"/>
  <c r="G786" i="265"/>
  <c r="L785" i="265"/>
  <c r="H785" i="265"/>
  <c r="G785" i="265"/>
  <c r="L784" i="265"/>
  <c r="H784" i="265"/>
  <c r="L783" i="265"/>
  <c r="H783" i="265"/>
  <c r="L782" i="265"/>
  <c r="H782" i="265"/>
  <c r="L781" i="265"/>
  <c r="H781" i="265"/>
  <c r="L779" i="265"/>
  <c r="H779" i="265"/>
  <c r="L778" i="265"/>
  <c r="H778" i="265"/>
  <c r="L773" i="265"/>
  <c r="L743" i="265"/>
  <c r="H743" i="265"/>
  <c r="G743" i="265"/>
  <c r="L742" i="265"/>
  <c r="K742" i="265"/>
  <c r="H742" i="265"/>
  <c r="L741" i="265"/>
  <c r="H741" i="265"/>
  <c r="G741" i="265"/>
  <c r="L740" i="265"/>
  <c r="H740" i="265"/>
  <c r="G740" i="265"/>
  <c r="L739" i="265"/>
  <c r="H739" i="265"/>
  <c r="L738" i="265"/>
  <c r="H738" i="265"/>
  <c r="L737" i="265"/>
  <c r="H737" i="265"/>
  <c r="L736" i="265"/>
  <c r="H736" i="265"/>
  <c r="L734" i="265"/>
  <c r="H734" i="265"/>
  <c r="L733" i="265"/>
  <c r="H733" i="265"/>
  <c r="L698" i="265"/>
  <c r="H698" i="265"/>
  <c r="G698" i="265"/>
  <c r="L697" i="265"/>
  <c r="K697" i="265"/>
  <c r="H697" i="265"/>
  <c r="L696" i="265"/>
  <c r="H696" i="265"/>
  <c r="G696" i="265"/>
  <c r="L695" i="265"/>
  <c r="H695" i="265"/>
  <c r="G695" i="265"/>
  <c r="L694" i="265"/>
  <c r="H694" i="265"/>
  <c r="L693" i="265"/>
  <c r="H693" i="265"/>
  <c r="L692" i="265"/>
  <c r="H692" i="265"/>
  <c r="L691" i="265"/>
  <c r="H691" i="265"/>
  <c r="L689" i="265"/>
  <c r="H689" i="265"/>
  <c r="L688" i="265"/>
  <c r="H688" i="265"/>
  <c r="H648" i="265"/>
  <c r="L606" i="265"/>
  <c r="H606" i="265"/>
  <c r="G606" i="265"/>
  <c r="L605" i="265"/>
  <c r="K605" i="265"/>
  <c r="H605" i="265"/>
  <c r="L604" i="265"/>
  <c r="H604" i="265"/>
  <c r="G604" i="265"/>
  <c r="L603" i="265"/>
  <c r="H603" i="265"/>
  <c r="G603" i="265"/>
  <c r="L602" i="265"/>
  <c r="H602" i="265"/>
  <c r="L601" i="265"/>
  <c r="H601" i="265"/>
  <c r="L600" i="265"/>
  <c r="H600" i="265"/>
  <c r="L599" i="265"/>
  <c r="H599" i="265"/>
  <c r="L597" i="265"/>
  <c r="H597" i="265"/>
  <c r="L596" i="265"/>
  <c r="H596" i="265"/>
  <c r="L561" i="265"/>
  <c r="H561" i="265"/>
  <c r="G561" i="265"/>
  <c r="L560" i="265"/>
  <c r="H560" i="265"/>
  <c r="L559" i="265"/>
  <c r="L591" i="265" s="1"/>
  <c r="H559" i="265"/>
  <c r="G559" i="265"/>
  <c r="L558" i="265"/>
  <c r="H558" i="265"/>
  <c r="G558" i="265"/>
  <c r="L557" i="265"/>
  <c r="K557" i="265"/>
  <c r="H557" i="265"/>
  <c r="L556" i="265"/>
  <c r="H556" i="265"/>
  <c r="L555" i="265"/>
  <c r="H555" i="265"/>
  <c r="L554" i="265"/>
  <c r="H554" i="265"/>
  <c r="L552" i="265"/>
  <c r="H552" i="265"/>
  <c r="L551" i="265"/>
  <c r="H551" i="265"/>
  <c r="L516" i="265"/>
  <c r="H516" i="265"/>
  <c r="G516" i="265"/>
  <c r="L515" i="265"/>
  <c r="K515" i="265"/>
  <c r="H515" i="265"/>
  <c r="H546" i="265" s="1"/>
  <c r="L514" i="265"/>
  <c r="H514" i="265"/>
  <c r="G514" i="265"/>
  <c r="L513" i="265"/>
  <c r="H513" i="265"/>
  <c r="G513" i="265"/>
  <c r="L512" i="265"/>
  <c r="H512" i="265"/>
  <c r="L511" i="265"/>
  <c r="H511" i="265"/>
  <c r="L510" i="265"/>
  <c r="H510" i="265"/>
  <c r="L509" i="265"/>
  <c r="H509" i="265"/>
  <c r="L507" i="265"/>
  <c r="H507" i="265"/>
  <c r="L506" i="265"/>
  <c r="L546" i="265" s="1"/>
  <c r="H506" i="265"/>
  <c r="L471" i="265"/>
  <c r="H471" i="265"/>
  <c r="G471" i="265"/>
  <c r="L470" i="265"/>
  <c r="K470" i="265"/>
  <c r="H470" i="265"/>
  <c r="L469" i="265"/>
  <c r="H469" i="265"/>
  <c r="G469" i="265"/>
  <c r="L468" i="265"/>
  <c r="H468" i="265"/>
  <c r="G468" i="265"/>
  <c r="L467" i="265"/>
  <c r="H467" i="265"/>
  <c r="L466" i="265"/>
  <c r="H466" i="265"/>
  <c r="L465" i="265"/>
  <c r="H465" i="265"/>
  <c r="L464" i="265"/>
  <c r="H464" i="265"/>
  <c r="L462" i="265"/>
  <c r="H462" i="265"/>
  <c r="L461" i="265"/>
  <c r="H461" i="265"/>
  <c r="L426" i="265"/>
  <c r="H426" i="265"/>
  <c r="G426" i="265"/>
  <c r="L425" i="265"/>
  <c r="K425" i="265"/>
  <c r="H425" i="265"/>
  <c r="L424" i="265"/>
  <c r="H424" i="265"/>
  <c r="G424" i="265"/>
  <c r="L423" i="265"/>
  <c r="H423" i="265"/>
  <c r="G423" i="265"/>
  <c r="L422" i="265"/>
  <c r="H422" i="265"/>
  <c r="L421" i="265"/>
  <c r="H421" i="265"/>
  <c r="L420" i="265"/>
  <c r="H420" i="265"/>
  <c r="L419" i="265"/>
  <c r="H419" i="265"/>
  <c r="L417" i="265"/>
  <c r="L456" i="265" s="1"/>
  <c r="H417" i="265"/>
  <c r="L416" i="265"/>
  <c r="H416" i="265"/>
  <c r="L381" i="265"/>
  <c r="H381" i="265"/>
  <c r="G381" i="265"/>
  <c r="L380" i="265"/>
  <c r="K380" i="265"/>
  <c r="H380" i="265"/>
  <c r="L379" i="265"/>
  <c r="H379" i="265"/>
  <c r="G379" i="265"/>
  <c r="L378" i="265"/>
  <c r="H378" i="265"/>
  <c r="G378" i="265"/>
  <c r="L377" i="265"/>
  <c r="H377" i="265"/>
  <c r="L376" i="265"/>
  <c r="H376" i="265"/>
  <c r="L375" i="265"/>
  <c r="H375" i="265"/>
  <c r="L374" i="265"/>
  <c r="H374" i="265"/>
  <c r="L372" i="265"/>
  <c r="H372" i="265"/>
  <c r="L371" i="265"/>
  <c r="H371" i="265"/>
  <c r="L332" i="265"/>
  <c r="H332" i="265"/>
  <c r="F332" i="265"/>
  <c r="J326" i="265"/>
  <c r="L319" i="265"/>
  <c r="H319" i="265"/>
  <c r="K289" i="265"/>
  <c r="K923" i="265" s="1"/>
  <c r="G288" i="265"/>
  <c r="G922" i="265" s="1"/>
  <c r="K287" i="265"/>
  <c r="K286" i="265"/>
  <c r="K920" i="265" s="1"/>
  <c r="K285" i="265"/>
  <c r="K919" i="265" s="1"/>
  <c r="G285" i="265"/>
  <c r="G602" i="265" s="1"/>
  <c r="K284" i="265"/>
  <c r="K601" i="265" s="1"/>
  <c r="G284" i="265"/>
  <c r="G601" i="265" s="1"/>
  <c r="K283" i="265"/>
  <c r="G283" i="265"/>
  <c r="G917" i="265" s="1"/>
  <c r="K282" i="265"/>
  <c r="K599" i="265" s="1"/>
  <c r="G282" i="265"/>
  <c r="G916" i="265" s="1"/>
  <c r="K280" i="265"/>
  <c r="G280" i="265"/>
  <c r="G597" i="265" s="1"/>
  <c r="K279" i="265"/>
  <c r="K913" i="265" s="1"/>
  <c r="G279" i="265"/>
  <c r="L274" i="265"/>
  <c r="H274" i="265"/>
  <c r="K244" i="265"/>
  <c r="K561" i="265" s="1"/>
  <c r="K243" i="265"/>
  <c r="G243" i="265"/>
  <c r="G877" i="265" s="1"/>
  <c r="K242" i="265"/>
  <c r="K559" i="265" s="1"/>
  <c r="K241" i="265"/>
  <c r="G240" i="265"/>
  <c r="K239" i="265"/>
  <c r="K873" i="265" s="1"/>
  <c r="G239" i="265"/>
  <c r="G556" i="265" s="1"/>
  <c r="K238" i="265"/>
  <c r="G238" i="265"/>
  <c r="G872" i="265" s="1"/>
  <c r="K237" i="265"/>
  <c r="K871" i="265" s="1"/>
  <c r="G237" i="265"/>
  <c r="G554" i="265" s="1"/>
  <c r="F236" i="265"/>
  <c r="I236" i="265" s="1"/>
  <c r="F281" i="265" s="1"/>
  <c r="I281" i="265" s="1"/>
  <c r="K235" i="265"/>
  <c r="K552" i="265" s="1"/>
  <c r="G235" i="265"/>
  <c r="K234" i="265"/>
  <c r="G234" i="265"/>
  <c r="G868" i="265" s="1"/>
  <c r="L229" i="265"/>
  <c r="H229" i="265"/>
  <c r="K199" i="265"/>
  <c r="K833" i="265" s="1"/>
  <c r="G198" i="265"/>
  <c r="G832" i="265" s="1"/>
  <c r="K197" i="265"/>
  <c r="K196" i="265"/>
  <c r="K513" i="265" s="1"/>
  <c r="K195" i="265"/>
  <c r="K512" i="265" s="1"/>
  <c r="G195" i="265"/>
  <c r="G512" i="265" s="1"/>
  <c r="K194" i="265"/>
  <c r="K828" i="265" s="1"/>
  <c r="G194" i="265"/>
  <c r="G511" i="265" s="1"/>
  <c r="K193" i="265"/>
  <c r="K827" i="265" s="1"/>
  <c r="G193" i="265"/>
  <c r="G510" i="265" s="1"/>
  <c r="K192" i="265"/>
  <c r="K826" i="265" s="1"/>
  <c r="G192" i="265"/>
  <c r="G826" i="265" s="1"/>
  <c r="I191" i="265"/>
  <c r="F191" i="265"/>
  <c r="K190" i="265"/>
  <c r="G190" i="265"/>
  <c r="G824" i="265" s="1"/>
  <c r="K189" i="265"/>
  <c r="K506" i="265" s="1"/>
  <c r="G189" i="265"/>
  <c r="L184" i="265"/>
  <c r="H184" i="265"/>
  <c r="K154" i="265"/>
  <c r="K788" i="265" s="1"/>
  <c r="G153" i="265"/>
  <c r="G470" i="265" s="1"/>
  <c r="K152" i="265"/>
  <c r="K151" i="265"/>
  <c r="K150" i="265"/>
  <c r="K784" i="265" s="1"/>
  <c r="G150" i="265"/>
  <c r="K149" i="265"/>
  <c r="G149" i="265"/>
  <c r="G466" i="265" s="1"/>
  <c r="K148" i="265"/>
  <c r="G148" i="265"/>
  <c r="K147" i="265"/>
  <c r="K781" i="265" s="1"/>
  <c r="G147" i="265"/>
  <c r="K145" i="265"/>
  <c r="K779" i="265" s="1"/>
  <c r="G145" i="265"/>
  <c r="G462" i="265" s="1"/>
  <c r="K144" i="265"/>
  <c r="G144" i="265"/>
  <c r="G461" i="265" s="1"/>
  <c r="L139" i="265"/>
  <c r="H139" i="265"/>
  <c r="K109" i="265"/>
  <c r="G108" i="265"/>
  <c r="G425" i="265" s="1"/>
  <c r="K107" i="265"/>
  <c r="K106" i="265"/>
  <c r="K740" i="265" s="1"/>
  <c r="K105" i="265"/>
  <c r="K422" i="265" s="1"/>
  <c r="G105" i="265"/>
  <c r="G739" i="265" s="1"/>
  <c r="K104" i="265"/>
  <c r="G104" i="265"/>
  <c r="K103" i="265"/>
  <c r="K420" i="265" s="1"/>
  <c r="G103" i="265"/>
  <c r="K102" i="265"/>
  <c r="K736" i="265" s="1"/>
  <c r="G102" i="265"/>
  <c r="I101" i="265"/>
  <c r="F146" i="265" s="1"/>
  <c r="I146" i="265" s="1"/>
  <c r="F101" i="265"/>
  <c r="K100" i="265"/>
  <c r="K417" i="265" s="1"/>
  <c r="G100" i="265"/>
  <c r="K99" i="265"/>
  <c r="K416" i="265" s="1"/>
  <c r="G99" i="265"/>
  <c r="G733" i="265" s="1"/>
  <c r="L94" i="265"/>
  <c r="H94" i="265"/>
  <c r="K64" i="265"/>
  <c r="K381" i="265" s="1"/>
  <c r="J64" i="265"/>
  <c r="J381" i="265" s="1"/>
  <c r="F64" i="265"/>
  <c r="F381" i="265" s="1"/>
  <c r="J63" i="265"/>
  <c r="J380" i="265" s="1"/>
  <c r="M380" i="265" s="1"/>
  <c r="G63" i="265"/>
  <c r="F63" i="265"/>
  <c r="K62" i="265"/>
  <c r="K696" i="265" s="1"/>
  <c r="J62" i="265"/>
  <c r="M62" i="265" s="1"/>
  <c r="J107" i="265" s="1"/>
  <c r="F62" i="265"/>
  <c r="N62" i="265" s="1"/>
  <c r="K61" i="265"/>
  <c r="K695" i="265" s="1"/>
  <c r="J61" i="265"/>
  <c r="J695" i="265" s="1"/>
  <c r="M695" i="265" s="1"/>
  <c r="F61" i="265"/>
  <c r="I61" i="265" s="1"/>
  <c r="F106" i="265" s="1"/>
  <c r="F423" i="265" s="1"/>
  <c r="K60" i="265"/>
  <c r="K694" i="265" s="1"/>
  <c r="J60" i="265"/>
  <c r="G60" i="265"/>
  <c r="F60" i="265"/>
  <c r="K59" i="265"/>
  <c r="J59" i="265"/>
  <c r="G59" i="265"/>
  <c r="F59" i="265"/>
  <c r="F693" i="265" s="1"/>
  <c r="K58" i="265"/>
  <c r="J58" i="265"/>
  <c r="G58" i="265"/>
  <c r="G692" i="265" s="1"/>
  <c r="F58" i="265"/>
  <c r="F375" i="265" s="1"/>
  <c r="K57" i="265"/>
  <c r="K691" i="265" s="1"/>
  <c r="J57" i="265"/>
  <c r="J374" i="265" s="1"/>
  <c r="G57" i="265"/>
  <c r="F57" i="265"/>
  <c r="M56" i="265"/>
  <c r="J101" i="265" s="1"/>
  <c r="M101" i="265" s="1"/>
  <c r="J146" i="265" s="1"/>
  <c r="M146" i="265" s="1"/>
  <c r="J191" i="265" s="1"/>
  <c r="M191" i="265" s="1"/>
  <c r="J236" i="265" s="1"/>
  <c r="M236" i="265" s="1"/>
  <c r="J281" i="265" s="1"/>
  <c r="M281" i="265" s="1"/>
  <c r="K55" i="265"/>
  <c r="K689" i="265" s="1"/>
  <c r="J55" i="265"/>
  <c r="J689" i="265" s="1"/>
  <c r="G55" i="265"/>
  <c r="G372" i="265" s="1"/>
  <c r="F55" i="265"/>
  <c r="N55" i="265" s="1"/>
  <c r="K54" i="265"/>
  <c r="J54" i="265"/>
  <c r="J688" i="265" s="1"/>
  <c r="G54" i="265"/>
  <c r="F54" i="265"/>
  <c r="F49" i="265"/>
  <c r="N19" i="265"/>
  <c r="L19" i="265"/>
  <c r="K19" i="265"/>
  <c r="K653" i="265" s="1"/>
  <c r="J19" i="265"/>
  <c r="H19" i="265"/>
  <c r="H653" i="265" s="1"/>
  <c r="G19" i="265"/>
  <c r="G653" i="265" s="1"/>
  <c r="F19" i="265"/>
  <c r="F336" i="265" s="1"/>
  <c r="L18" i="265"/>
  <c r="K18" i="265"/>
  <c r="J18" i="265"/>
  <c r="H18" i="265"/>
  <c r="G18" i="265"/>
  <c r="G652" i="265" s="1"/>
  <c r="F18" i="265"/>
  <c r="F335" i="265" s="1"/>
  <c r="L17" i="265"/>
  <c r="L334" i="265" s="1"/>
  <c r="K17" i="265"/>
  <c r="J17" i="265"/>
  <c r="J334" i="265" s="1"/>
  <c r="H17" i="265"/>
  <c r="G17" i="265"/>
  <c r="G651" i="265" s="1"/>
  <c r="F17" i="265"/>
  <c r="N16" i="265"/>
  <c r="L16" i="265"/>
  <c r="L333" i="265" s="1"/>
  <c r="K16" i="265"/>
  <c r="K333" i="265" s="1"/>
  <c r="J16" i="265"/>
  <c r="J650" i="265" s="1"/>
  <c r="H16" i="265"/>
  <c r="G16" i="265"/>
  <c r="F16" i="265"/>
  <c r="L15" i="265"/>
  <c r="L649" i="265" s="1"/>
  <c r="K15" i="265"/>
  <c r="J15" i="265"/>
  <c r="H15" i="265"/>
  <c r="H649" i="265" s="1"/>
  <c r="G15" i="265"/>
  <c r="F15" i="265"/>
  <c r="I15" i="265" s="1"/>
  <c r="L14" i="265"/>
  <c r="K14" i="265"/>
  <c r="K648" i="265" s="1"/>
  <c r="J14" i="265"/>
  <c r="J331" i="265" s="1"/>
  <c r="H14" i="265"/>
  <c r="H331" i="265" s="1"/>
  <c r="G14" i="265"/>
  <c r="G331" i="265" s="1"/>
  <c r="F14" i="265"/>
  <c r="F331" i="265" s="1"/>
  <c r="L13" i="265"/>
  <c r="L330" i="265" s="1"/>
  <c r="K13" i="265"/>
  <c r="K647" i="265" s="1"/>
  <c r="J13" i="265"/>
  <c r="H13" i="265"/>
  <c r="H647" i="265" s="1"/>
  <c r="G13" i="265"/>
  <c r="G647" i="265" s="1"/>
  <c r="F13" i="265"/>
  <c r="N12" i="265"/>
  <c r="M12" i="265"/>
  <c r="L12" i="265"/>
  <c r="K12" i="265"/>
  <c r="J12" i="265"/>
  <c r="J329" i="265" s="1"/>
  <c r="H12" i="265"/>
  <c r="G12" i="265"/>
  <c r="F12" i="265"/>
  <c r="F329" i="265" s="1"/>
  <c r="N329" i="265" s="1"/>
  <c r="L10" i="265"/>
  <c r="L644" i="265" s="1"/>
  <c r="K10" i="265"/>
  <c r="K327" i="265" s="1"/>
  <c r="J10" i="265"/>
  <c r="J644" i="265" s="1"/>
  <c r="H10" i="265"/>
  <c r="G10" i="265"/>
  <c r="G644" i="265" s="1"/>
  <c r="F10" i="265"/>
  <c r="L9" i="265"/>
  <c r="L326" i="265" s="1"/>
  <c r="K9" i="265"/>
  <c r="K326" i="265" s="1"/>
  <c r="J9" i="265"/>
  <c r="J643" i="265" s="1"/>
  <c r="H9" i="265"/>
  <c r="G9" i="265"/>
  <c r="F9" i="265"/>
  <c r="F643" i="265" s="1"/>
  <c r="O12" i="264"/>
  <c r="N12" i="264"/>
  <c r="M12" i="264"/>
  <c r="L12" i="264"/>
  <c r="K12" i="264"/>
  <c r="J12" i="264"/>
  <c r="O11" i="264"/>
  <c r="N11" i="264"/>
  <c r="M11" i="264"/>
  <c r="L11" i="264"/>
  <c r="K11" i="264"/>
  <c r="J11" i="264"/>
  <c r="E11" i="264"/>
  <c r="O10" i="264"/>
  <c r="N10" i="264"/>
  <c r="M10" i="264"/>
  <c r="L10" i="264"/>
  <c r="K10" i="264"/>
  <c r="J10" i="264"/>
  <c r="E10" i="264"/>
  <c r="O9" i="264"/>
  <c r="N9" i="264"/>
  <c r="M9" i="264"/>
  <c r="L9" i="264"/>
  <c r="K9" i="264"/>
  <c r="J9" i="264"/>
  <c r="E9" i="264"/>
  <c r="I59" i="263"/>
  <c r="I58" i="263"/>
  <c r="H54" i="263"/>
  <c r="H53" i="263"/>
  <c r="F53" i="263"/>
  <c r="F52" i="263"/>
  <c r="H50" i="263"/>
  <c r="F50" i="263"/>
  <c r="E50" i="263"/>
  <c r="I40" i="263"/>
  <c r="H40" i="263"/>
  <c r="H59" i="263" s="1"/>
  <c r="I39" i="263"/>
  <c r="H39" i="263"/>
  <c r="H58" i="263" s="1"/>
  <c r="H37" i="263"/>
  <c r="I22" i="260" s="1"/>
  <c r="H36" i="263"/>
  <c r="H55" i="263" s="1"/>
  <c r="G36" i="263"/>
  <c r="G55" i="263" s="1"/>
  <c r="H35" i="263"/>
  <c r="F35" i="263"/>
  <c r="F54" i="263" s="1"/>
  <c r="H34" i="263"/>
  <c r="E34" i="263"/>
  <c r="E53" i="263" s="1"/>
  <c r="D34" i="263"/>
  <c r="D53" i="263" s="1"/>
  <c r="H33" i="263"/>
  <c r="H52" i="263" s="1"/>
  <c r="H32" i="263"/>
  <c r="H51" i="263" s="1"/>
  <c r="G32" i="263"/>
  <c r="G51" i="263" s="1"/>
  <c r="F32" i="263"/>
  <c r="F51" i="263" s="1"/>
  <c r="E32" i="263"/>
  <c r="E51" i="263" s="1"/>
  <c r="D32" i="263"/>
  <c r="D51" i="263" s="1"/>
  <c r="H31" i="263"/>
  <c r="G31" i="263"/>
  <c r="G50" i="263" s="1"/>
  <c r="F31" i="263"/>
  <c r="E31" i="263"/>
  <c r="D31" i="263"/>
  <c r="D50" i="263" s="1"/>
  <c r="H30" i="263"/>
  <c r="H49" i="263" s="1"/>
  <c r="H29" i="263"/>
  <c r="H48" i="263" s="1"/>
  <c r="H56" i="263" s="1"/>
  <c r="D29" i="263"/>
  <c r="L21" i="263"/>
  <c r="L40" i="263" s="1"/>
  <c r="L59" i="263" s="1"/>
  <c r="K21" i="263"/>
  <c r="K40" i="263" s="1"/>
  <c r="K59" i="263" s="1"/>
  <c r="O20" i="263"/>
  <c r="O39" i="263" s="1"/>
  <c r="N20" i="263"/>
  <c r="N39" i="263" s="1"/>
  <c r="M20" i="263"/>
  <c r="M39" i="263" s="1"/>
  <c r="L20" i="263"/>
  <c r="L39" i="263" s="1"/>
  <c r="L58" i="263" s="1"/>
  <c r="K20" i="263"/>
  <c r="K39" i="263" s="1"/>
  <c r="K58" i="263" s="1"/>
  <c r="J20" i="263"/>
  <c r="J39" i="263" s="1"/>
  <c r="J58" i="263" s="1"/>
  <c r="G20" i="263"/>
  <c r="G39" i="263" s="1"/>
  <c r="G58" i="263" s="1"/>
  <c r="F20" i="263"/>
  <c r="E20" i="263"/>
  <c r="D20" i="263"/>
  <c r="O18" i="263"/>
  <c r="N18" i="263"/>
  <c r="M18" i="263"/>
  <c r="L18" i="263"/>
  <c r="L56" i="263" s="1"/>
  <c r="K18" i="263"/>
  <c r="K56" i="263" s="1"/>
  <c r="J18" i="263"/>
  <c r="J21" i="263" s="1"/>
  <c r="J40" i="263" s="1"/>
  <c r="J59" i="263" s="1"/>
  <c r="H18" i="263"/>
  <c r="G17" i="263"/>
  <c r="F17" i="263"/>
  <c r="F36" i="263" s="1"/>
  <c r="F55" i="263" s="1"/>
  <c r="E17" i="263"/>
  <c r="E36" i="263" s="1"/>
  <c r="E55" i="263" s="1"/>
  <c r="D17" i="263"/>
  <c r="D36" i="263" s="1"/>
  <c r="D55" i="263" s="1"/>
  <c r="G16" i="263"/>
  <c r="G35" i="263" s="1"/>
  <c r="G54" i="263" s="1"/>
  <c r="F16" i="263"/>
  <c r="E16" i="263"/>
  <c r="E35" i="263" s="1"/>
  <c r="E54" i="263" s="1"/>
  <c r="D16" i="263"/>
  <c r="D35" i="263" s="1"/>
  <c r="D54" i="263" s="1"/>
  <c r="G15" i="263"/>
  <c r="G34" i="263" s="1"/>
  <c r="G53" i="263" s="1"/>
  <c r="F15" i="263"/>
  <c r="F34" i="263" s="1"/>
  <c r="E15" i="263"/>
  <c r="D15" i="263"/>
  <c r="G14" i="263"/>
  <c r="G33" i="263" s="1"/>
  <c r="G52" i="263" s="1"/>
  <c r="F14" i="263"/>
  <c r="F33" i="263" s="1"/>
  <c r="E14" i="263"/>
  <c r="E33" i="263" s="1"/>
  <c r="E52" i="263" s="1"/>
  <c r="D14" i="263"/>
  <c r="D33" i="263" s="1"/>
  <c r="D52" i="263" s="1"/>
  <c r="G11" i="263"/>
  <c r="G30" i="263" s="1"/>
  <c r="G49" i="263" s="1"/>
  <c r="F11" i="263"/>
  <c r="F30" i="263" s="1"/>
  <c r="F49" i="263" s="1"/>
  <c r="E11" i="263"/>
  <c r="E30" i="263" s="1"/>
  <c r="E49" i="263" s="1"/>
  <c r="D11" i="263"/>
  <c r="D30" i="263" s="1"/>
  <c r="D49" i="263" s="1"/>
  <c r="G10" i="263"/>
  <c r="G29" i="263" s="1"/>
  <c r="F10" i="263"/>
  <c r="E10" i="263"/>
  <c r="E29" i="263" s="1"/>
  <c r="D10" i="263"/>
  <c r="D18" i="263" s="1"/>
  <c r="I113" i="262"/>
  <c r="H113" i="262"/>
  <c r="E111" i="262"/>
  <c r="G110" i="262"/>
  <c r="F110" i="262"/>
  <c r="E110" i="262"/>
  <c r="D110" i="262"/>
  <c r="G106" i="262"/>
  <c r="F106" i="262"/>
  <c r="E106" i="262"/>
  <c r="D106" i="262"/>
  <c r="G105" i="262"/>
  <c r="F105" i="262"/>
  <c r="E105" i="262"/>
  <c r="D105" i="262"/>
  <c r="G104" i="262"/>
  <c r="F104" i="262"/>
  <c r="E104" i="262"/>
  <c r="D104" i="262"/>
  <c r="G103" i="262"/>
  <c r="F103" i="262"/>
  <c r="E103" i="262"/>
  <c r="D103" i="262"/>
  <c r="G99" i="262"/>
  <c r="F99" i="262"/>
  <c r="E99" i="262"/>
  <c r="D99" i="262"/>
  <c r="G98" i="262"/>
  <c r="F98" i="262"/>
  <c r="E98" i="262"/>
  <c r="D98" i="262"/>
  <c r="G95" i="262"/>
  <c r="F95" i="262"/>
  <c r="E95" i="262"/>
  <c r="D95" i="262"/>
  <c r="G94" i="262"/>
  <c r="F94" i="262"/>
  <c r="E94" i="262"/>
  <c r="D94" i="262"/>
  <c r="G93" i="262"/>
  <c r="F93" i="262"/>
  <c r="E93" i="262"/>
  <c r="D93" i="262"/>
  <c r="G92" i="262"/>
  <c r="F92" i="262"/>
  <c r="E92" i="262"/>
  <c r="D92" i="262"/>
  <c r="G91" i="262"/>
  <c r="F91" i="262"/>
  <c r="E91" i="262"/>
  <c r="D91" i="262"/>
  <c r="F88" i="262"/>
  <c r="E88" i="262"/>
  <c r="G85" i="262"/>
  <c r="I76" i="262"/>
  <c r="H76" i="262"/>
  <c r="G73" i="262"/>
  <c r="F73" i="262"/>
  <c r="E73" i="262"/>
  <c r="D73" i="262"/>
  <c r="F72" i="262"/>
  <c r="G69" i="262"/>
  <c r="F69" i="262"/>
  <c r="E69" i="262"/>
  <c r="D69" i="262"/>
  <c r="G68" i="262"/>
  <c r="F68" i="262"/>
  <c r="E68" i="262"/>
  <c r="D68" i="262"/>
  <c r="G67" i="262"/>
  <c r="F67" i="262"/>
  <c r="E67" i="262"/>
  <c r="D67" i="262"/>
  <c r="G66" i="262"/>
  <c r="F66" i="262"/>
  <c r="E66" i="262"/>
  <c r="D66" i="262"/>
  <c r="F65" i="262"/>
  <c r="D65" i="262"/>
  <c r="F64" i="262"/>
  <c r="G62" i="262"/>
  <c r="F62" i="262"/>
  <c r="E62" i="262"/>
  <c r="D62" i="262"/>
  <c r="G61" i="262"/>
  <c r="F61" i="262"/>
  <c r="E61" i="262"/>
  <c r="D61" i="262"/>
  <c r="G60" i="262"/>
  <c r="D60" i="262"/>
  <c r="G58" i="262"/>
  <c r="F58" i="262"/>
  <c r="E58" i="262"/>
  <c r="D58" i="262"/>
  <c r="G57" i="262"/>
  <c r="F57" i="262"/>
  <c r="E57" i="262"/>
  <c r="D57" i="262"/>
  <c r="G56" i="262"/>
  <c r="F56" i="262"/>
  <c r="E56" i="262"/>
  <c r="D56" i="262"/>
  <c r="G55" i="262"/>
  <c r="F55" i="262"/>
  <c r="E55" i="262"/>
  <c r="D55" i="262"/>
  <c r="G54" i="262"/>
  <c r="F54" i="262"/>
  <c r="E54" i="262"/>
  <c r="D54" i="262"/>
  <c r="G53" i="262"/>
  <c r="L40" i="262"/>
  <c r="L114" i="262" s="1"/>
  <c r="K40" i="262"/>
  <c r="K114" i="262" s="1"/>
  <c r="G39" i="262"/>
  <c r="G76" i="262" s="1"/>
  <c r="F39" i="262"/>
  <c r="E39" i="262"/>
  <c r="D39" i="262"/>
  <c r="O38" i="262"/>
  <c r="O112" i="262" s="1"/>
  <c r="N38" i="262"/>
  <c r="N112" i="262" s="1"/>
  <c r="M38" i="262"/>
  <c r="M112" i="262" s="1"/>
  <c r="J38" i="262"/>
  <c r="J112" i="262" s="1"/>
  <c r="K31" i="260" s="1"/>
  <c r="H38" i="262"/>
  <c r="I37" i="262"/>
  <c r="G37" i="262"/>
  <c r="F37" i="262"/>
  <c r="E37" i="262"/>
  <c r="E74" i="262" s="1"/>
  <c r="D37" i="262"/>
  <c r="I36" i="262"/>
  <c r="I35" i="262"/>
  <c r="G35" i="262"/>
  <c r="G72" i="262" s="1"/>
  <c r="F35" i="262"/>
  <c r="F109" i="262" s="1"/>
  <c r="E35" i="262"/>
  <c r="E109" i="262" s="1"/>
  <c r="D35" i="262"/>
  <c r="D109" i="262" s="1"/>
  <c r="I34" i="262"/>
  <c r="G34" i="262"/>
  <c r="G71" i="262" s="1"/>
  <c r="F34" i="262"/>
  <c r="E34" i="262"/>
  <c r="D34" i="262"/>
  <c r="I33" i="262"/>
  <c r="G33" i="262"/>
  <c r="G107" i="262" s="1"/>
  <c r="F33" i="262"/>
  <c r="E33" i="262"/>
  <c r="E107" i="262" s="1"/>
  <c r="D33" i="262"/>
  <c r="I32" i="262"/>
  <c r="I31" i="262"/>
  <c r="I30" i="262"/>
  <c r="I29" i="262"/>
  <c r="I28" i="262"/>
  <c r="G28" i="262"/>
  <c r="G102" i="262" s="1"/>
  <c r="F28" i="262"/>
  <c r="F102" i="262" s="1"/>
  <c r="E28" i="262"/>
  <c r="E102" i="262" s="1"/>
  <c r="D28" i="262"/>
  <c r="D102" i="262" s="1"/>
  <c r="I27" i="262"/>
  <c r="G27" i="262"/>
  <c r="G101" i="262" s="1"/>
  <c r="F27" i="262"/>
  <c r="F101" i="262" s="1"/>
  <c r="E27" i="262"/>
  <c r="E101" i="262" s="1"/>
  <c r="D27" i="262"/>
  <c r="I26" i="262"/>
  <c r="G26" i="262"/>
  <c r="G63" i="262" s="1"/>
  <c r="F26" i="262"/>
  <c r="E26" i="262"/>
  <c r="E100" i="262" s="1"/>
  <c r="D26" i="262"/>
  <c r="D100" i="262" s="1"/>
  <c r="I25" i="262"/>
  <c r="I24" i="262"/>
  <c r="I23" i="262"/>
  <c r="G23" i="262"/>
  <c r="G97" i="262" s="1"/>
  <c r="F23" i="262"/>
  <c r="F60" i="262" s="1"/>
  <c r="E23" i="262"/>
  <c r="E60" i="262" s="1"/>
  <c r="D23" i="262"/>
  <c r="D97" i="262" s="1"/>
  <c r="I22" i="262"/>
  <c r="G22" i="262"/>
  <c r="F22" i="262"/>
  <c r="F96" i="262" s="1"/>
  <c r="E22" i="262"/>
  <c r="E96" i="262" s="1"/>
  <c r="D22" i="262"/>
  <c r="D96" i="262" s="1"/>
  <c r="I21" i="262"/>
  <c r="I20" i="262"/>
  <c r="I19" i="262"/>
  <c r="I18" i="262"/>
  <c r="I17" i="262"/>
  <c r="I16" i="262"/>
  <c r="G16" i="262"/>
  <c r="F16" i="262"/>
  <c r="F90" i="262" s="1"/>
  <c r="E16" i="262"/>
  <c r="E90" i="262" s="1"/>
  <c r="D16" i="262"/>
  <c r="D53" i="262" s="1"/>
  <c r="I15" i="262"/>
  <c r="G15" i="262"/>
  <c r="G52" i="262" s="1"/>
  <c r="F15" i="262"/>
  <c r="F89" i="262" s="1"/>
  <c r="E15" i="262"/>
  <c r="E89" i="262" s="1"/>
  <c r="D15" i="262"/>
  <c r="D89" i="262" s="1"/>
  <c r="I14" i="262"/>
  <c r="I38" i="262" s="1"/>
  <c r="G14" i="262"/>
  <c r="G51" i="262" s="1"/>
  <c r="F14" i="262"/>
  <c r="F51" i="262" s="1"/>
  <c r="E14" i="262"/>
  <c r="E51" i="262" s="1"/>
  <c r="D14" i="262"/>
  <c r="D88" i="262" s="1"/>
  <c r="I13" i="262"/>
  <c r="G13" i="262"/>
  <c r="F13" i="262"/>
  <c r="F50" i="262" s="1"/>
  <c r="E13" i="262"/>
  <c r="E50" i="262" s="1"/>
  <c r="D13" i="262"/>
  <c r="I12" i="262"/>
  <c r="G12" i="262"/>
  <c r="F12" i="262"/>
  <c r="F86" i="262" s="1"/>
  <c r="E12" i="262"/>
  <c r="D12" i="262"/>
  <c r="I11" i="262"/>
  <c r="G11" i="262"/>
  <c r="G48" i="262" s="1"/>
  <c r="F11" i="262"/>
  <c r="F48" i="262" s="1"/>
  <c r="E11" i="262"/>
  <c r="E85" i="262" s="1"/>
  <c r="D11" i="262"/>
  <c r="D85" i="262" s="1"/>
  <c r="I10" i="262"/>
  <c r="G10" i="262"/>
  <c r="F10" i="262"/>
  <c r="F47" i="262" s="1"/>
  <c r="E10" i="262"/>
  <c r="E84" i="262" s="1"/>
  <c r="D10" i="262"/>
  <c r="D47" i="262" s="1"/>
  <c r="K102" i="261"/>
  <c r="I101" i="261"/>
  <c r="H101" i="261"/>
  <c r="G101" i="261"/>
  <c r="F101" i="261"/>
  <c r="E101" i="261"/>
  <c r="D101" i="261"/>
  <c r="H100" i="261"/>
  <c r="O99" i="261"/>
  <c r="N99" i="261"/>
  <c r="M99" i="261"/>
  <c r="L99" i="261"/>
  <c r="K99" i="261"/>
  <c r="J99" i="261"/>
  <c r="G99" i="261"/>
  <c r="F99" i="261"/>
  <c r="E99" i="261"/>
  <c r="D99" i="261"/>
  <c r="O98" i="261"/>
  <c r="N98" i="261"/>
  <c r="M98" i="261"/>
  <c r="L98" i="261"/>
  <c r="K98" i="261"/>
  <c r="J98" i="261"/>
  <c r="G98" i="261"/>
  <c r="F98" i="261"/>
  <c r="E98" i="261"/>
  <c r="D98" i="261"/>
  <c r="O97" i="261"/>
  <c r="N97" i="261"/>
  <c r="M97" i="261"/>
  <c r="L97" i="261"/>
  <c r="K97" i="261"/>
  <c r="J97" i="261"/>
  <c r="B97" i="261"/>
  <c r="O96" i="261"/>
  <c r="N96" i="261"/>
  <c r="M96" i="261"/>
  <c r="L96" i="261"/>
  <c r="K96" i="261"/>
  <c r="J96" i="261"/>
  <c r="G96" i="261"/>
  <c r="F96" i="261"/>
  <c r="E96" i="261"/>
  <c r="D96" i="261"/>
  <c r="O95" i="261"/>
  <c r="N95" i="261"/>
  <c r="M95" i="261"/>
  <c r="L95" i="261"/>
  <c r="K95" i="261"/>
  <c r="J95" i="261"/>
  <c r="B95" i="261"/>
  <c r="B96" i="261" s="1"/>
  <c r="E94" i="261"/>
  <c r="B94" i="261"/>
  <c r="G93" i="261"/>
  <c r="F93" i="261"/>
  <c r="E93" i="261"/>
  <c r="D93" i="261"/>
  <c r="O92" i="261"/>
  <c r="N92" i="261"/>
  <c r="M92" i="261"/>
  <c r="L92" i="261"/>
  <c r="K92" i="261"/>
  <c r="J92" i="261"/>
  <c r="G92" i="261"/>
  <c r="F92" i="261"/>
  <c r="E92" i="261"/>
  <c r="D92" i="261"/>
  <c r="G91" i="261"/>
  <c r="F91" i="261"/>
  <c r="E91" i="261"/>
  <c r="D91" i="261"/>
  <c r="O90" i="261"/>
  <c r="N90" i="261"/>
  <c r="M90" i="261"/>
  <c r="L90" i="261"/>
  <c r="K90" i="261"/>
  <c r="J90" i="261"/>
  <c r="G90" i="261"/>
  <c r="F90" i="261"/>
  <c r="E90" i="261"/>
  <c r="D90" i="261"/>
  <c r="G89" i="261"/>
  <c r="F89" i="261"/>
  <c r="E89" i="261"/>
  <c r="D89" i="261"/>
  <c r="O88" i="261"/>
  <c r="N88" i="261"/>
  <c r="M88" i="261"/>
  <c r="L88" i="261"/>
  <c r="K88" i="261"/>
  <c r="J88" i="261"/>
  <c r="G88" i="261"/>
  <c r="F88" i="261"/>
  <c r="E88" i="261"/>
  <c r="D88" i="261"/>
  <c r="O86" i="261"/>
  <c r="N86" i="261"/>
  <c r="M86" i="261"/>
  <c r="L86" i="261"/>
  <c r="K86" i="261"/>
  <c r="J86" i="261"/>
  <c r="G86" i="261"/>
  <c r="F86" i="261"/>
  <c r="E86" i="261"/>
  <c r="D86" i="261"/>
  <c r="O85" i="261"/>
  <c r="N85" i="261"/>
  <c r="M85" i="261"/>
  <c r="L85" i="261"/>
  <c r="K85" i="261"/>
  <c r="J85" i="261"/>
  <c r="G85" i="261"/>
  <c r="F85" i="261"/>
  <c r="E85" i="261"/>
  <c r="D85" i="261"/>
  <c r="O84" i="261"/>
  <c r="N84" i="261"/>
  <c r="M84" i="261"/>
  <c r="L84" i="261"/>
  <c r="K84" i="261"/>
  <c r="J84" i="261"/>
  <c r="G84" i="261"/>
  <c r="F84" i="261"/>
  <c r="E84" i="261"/>
  <c r="D84" i="261"/>
  <c r="O83" i="261"/>
  <c r="N83" i="261"/>
  <c r="M83" i="261"/>
  <c r="L83" i="261"/>
  <c r="K83" i="261"/>
  <c r="J83" i="261"/>
  <c r="O82" i="261"/>
  <c r="N82" i="261"/>
  <c r="M82" i="261"/>
  <c r="L82" i="261"/>
  <c r="K82" i="261"/>
  <c r="J82" i="261"/>
  <c r="E82" i="261"/>
  <c r="O81" i="261"/>
  <c r="N81" i="261"/>
  <c r="M81" i="261"/>
  <c r="L81" i="261"/>
  <c r="K81" i="261"/>
  <c r="J81" i="261"/>
  <c r="O80" i="261"/>
  <c r="N80" i="261"/>
  <c r="M80" i="261"/>
  <c r="L80" i="261"/>
  <c r="K80" i="261"/>
  <c r="J80" i="261"/>
  <c r="G80" i="261"/>
  <c r="F80" i="261"/>
  <c r="E80" i="261"/>
  <c r="D80" i="261"/>
  <c r="O79" i="261"/>
  <c r="N79" i="261"/>
  <c r="M79" i="261"/>
  <c r="L79" i="261"/>
  <c r="K79" i="261"/>
  <c r="J79" i="261"/>
  <c r="G79" i="261"/>
  <c r="O78" i="261"/>
  <c r="N78" i="261"/>
  <c r="M78" i="261"/>
  <c r="L78" i="261"/>
  <c r="K78" i="261"/>
  <c r="J78" i="261"/>
  <c r="O77" i="261"/>
  <c r="N77" i="261"/>
  <c r="M77" i="261"/>
  <c r="L77" i="261"/>
  <c r="K77" i="261"/>
  <c r="J77" i="261"/>
  <c r="K69" i="261"/>
  <c r="I68" i="261"/>
  <c r="H68" i="261"/>
  <c r="G68" i="261"/>
  <c r="F68" i="261"/>
  <c r="E68" i="261"/>
  <c r="D68" i="261"/>
  <c r="H67" i="261"/>
  <c r="H69" i="261" s="1"/>
  <c r="O66" i="261"/>
  <c r="N66" i="261"/>
  <c r="M66" i="261"/>
  <c r="L66" i="261"/>
  <c r="K66" i="261"/>
  <c r="J66" i="261"/>
  <c r="G66" i="261"/>
  <c r="F66" i="261"/>
  <c r="E66" i="261"/>
  <c r="D66" i="261"/>
  <c r="O65" i="261"/>
  <c r="N65" i="261"/>
  <c r="M65" i="261"/>
  <c r="L65" i="261"/>
  <c r="K65" i="261"/>
  <c r="J65" i="261"/>
  <c r="G65" i="261"/>
  <c r="F65" i="261"/>
  <c r="E65" i="261"/>
  <c r="D65" i="261"/>
  <c r="O64" i="261"/>
  <c r="N64" i="261"/>
  <c r="M64" i="261"/>
  <c r="L64" i="261"/>
  <c r="K64" i="261"/>
  <c r="J64" i="261"/>
  <c r="O63" i="261"/>
  <c r="N63" i="261"/>
  <c r="M63" i="261"/>
  <c r="L63" i="261"/>
  <c r="K63" i="261"/>
  <c r="J63" i="261"/>
  <c r="G63" i="261"/>
  <c r="F63" i="261"/>
  <c r="E63" i="261"/>
  <c r="D63" i="261"/>
  <c r="O62" i="261"/>
  <c r="N62" i="261"/>
  <c r="M62" i="261"/>
  <c r="L62" i="261"/>
  <c r="K62" i="261"/>
  <c r="J62" i="261"/>
  <c r="B61" i="261"/>
  <c r="B62" i="261" s="1"/>
  <c r="B63" i="261" s="1"/>
  <c r="B64" i="261" s="1"/>
  <c r="G60" i="261"/>
  <c r="F60" i="261"/>
  <c r="E60" i="261"/>
  <c r="D60" i="261"/>
  <c r="O59" i="261"/>
  <c r="N59" i="261"/>
  <c r="M59" i="261"/>
  <c r="L59" i="261"/>
  <c r="K59" i="261"/>
  <c r="J59" i="261"/>
  <c r="G59" i="261"/>
  <c r="F59" i="261"/>
  <c r="E59" i="261"/>
  <c r="D59" i="261"/>
  <c r="G58" i="261"/>
  <c r="F58" i="261"/>
  <c r="E58" i="261"/>
  <c r="D58" i="261"/>
  <c r="O57" i="261"/>
  <c r="N57" i="261"/>
  <c r="M57" i="261"/>
  <c r="L57" i="261"/>
  <c r="K57" i="261"/>
  <c r="J57" i="261"/>
  <c r="G57" i="261"/>
  <c r="F57" i="261"/>
  <c r="E57" i="261"/>
  <c r="D57" i="261"/>
  <c r="G56" i="261"/>
  <c r="F56" i="261"/>
  <c r="E56" i="261"/>
  <c r="D56" i="261"/>
  <c r="O55" i="261"/>
  <c r="N55" i="261"/>
  <c r="M55" i="261"/>
  <c r="L55" i="261"/>
  <c r="K55" i="261"/>
  <c r="J55" i="261"/>
  <c r="G55" i="261"/>
  <c r="F55" i="261"/>
  <c r="E55" i="261"/>
  <c r="D55" i="261"/>
  <c r="O53" i="261"/>
  <c r="N53" i="261"/>
  <c r="M53" i="261"/>
  <c r="L53" i="261"/>
  <c r="K53" i="261"/>
  <c r="J53" i="261"/>
  <c r="G53" i="261"/>
  <c r="F53" i="261"/>
  <c r="E53" i="261"/>
  <c r="D53" i="261"/>
  <c r="O52" i="261"/>
  <c r="N52" i="261"/>
  <c r="M52" i="261"/>
  <c r="L52" i="261"/>
  <c r="K52" i="261"/>
  <c r="J52" i="261"/>
  <c r="G52" i="261"/>
  <c r="F52" i="261"/>
  <c r="E52" i="261"/>
  <c r="D52" i="261"/>
  <c r="O51" i="261"/>
  <c r="N51" i="261"/>
  <c r="M51" i="261"/>
  <c r="L51" i="261"/>
  <c r="K51" i="261"/>
  <c r="J51" i="261"/>
  <c r="G51" i="261"/>
  <c r="F51" i="261"/>
  <c r="E51" i="261"/>
  <c r="D51" i="261"/>
  <c r="O50" i="261"/>
  <c r="N50" i="261"/>
  <c r="M50" i="261"/>
  <c r="L50" i="261"/>
  <c r="K50" i="261"/>
  <c r="J50" i="261"/>
  <c r="O49" i="261"/>
  <c r="N49" i="261"/>
  <c r="M49" i="261"/>
  <c r="L49" i="261"/>
  <c r="K49" i="261"/>
  <c r="J49" i="261"/>
  <c r="E49" i="261"/>
  <c r="O48" i="261"/>
  <c r="N48" i="261"/>
  <c r="M48" i="261"/>
  <c r="L48" i="261"/>
  <c r="K48" i="261"/>
  <c r="J48" i="261"/>
  <c r="G48" i="261"/>
  <c r="O47" i="261"/>
  <c r="N47" i="261"/>
  <c r="M47" i="261"/>
  <c r="L47" i="261"/>
  <c r="K47" i="261"/>
  <c r="J47" i="261"/>
  <c r="G47" i="261"/>
  <c r="F47" i="261"/>
  <c r="E47" i="261"/>
  <c r="D47" i="261"/>
  <c r="O46" i="261"/>
  <c r="N46" i="261"/>
  <c r="M46" i="261"/>
  <c r="L46" i="261"/>
  <c r="K46" i="261"/>
  <c r="J46" i="261"/>
  <c r="O45" i="261"/>
  <c r="N45" i="261"/>
  <c r="M45" i="261"/>
  <c r="L45" i="261"/>
  <c r="K45" i="261"/>
  <c r="J45" i="261"/>
  <c r="O44" i="261"/>
  <c r="N44" i="261"/>
  <c r="M44" i="261"/>
  <c r="L44" i="261"/>
  <c r="K44" i="261"/>
  <c r="J44" i="261"/>
  <c r="E43" i="261"/>
  <c r="D43" i="261"/>
  <c r="L36" i="261"/>
  <c r="L102" i="261" s="1"/>
  <c r="K36" i="261"/>
  <c r="H36" i="261"/>
  <c r="O35" i="261"/>
  <c r="O101" i="261" s="1"/>
  <c r="N35" i="261"/>
  <c r="N101" i="261" s="1"/>
  <c r="M35" i="261"/>
  <c r="M68" i="261" s="1"/>
  <c r="J35" i="261"/>
  <c r="J101" i="261" s="1"/>
  <c r="H34" i="261"/>
  <c r="I33" i="261"/>
  <c r="I32" i="261"/>
  <c r="I31" i="261"/>
  <c r="G31" i="261"/>
  <c r="F31" i="261"/>
  <c r="E31" i="261"/>
  <c r="D31" i="261"/>
  <c r="I30" i="261"/>
  <c r="I29" i="261"/>
  <c r="G29" i="261"/>
  <c r="G62" i="261" s="1"/>
  <c r="F29" i="261"/>
  <c r="F95" i="261" s="1"/>
  <c r="E29" i="261"/>
  <c r="E95" i="261" s="1"/>
  <c r="D29" i="261"/>
  <c r="D62" i="261" s="1"/>
  <c r="O28" i="261"/>
  <c r="N28" i="261"/>
  <c r="M28" i="261"/>
  <c r="L28" i="261"/>
  <c r="L94" i="261" s="1"/>
  <c r="K28" i="261"/>
  <c r="J28" i="261"/>
  <c r="J94" i="261" s="1"/>
  <c r="I28" i="261"/>
  <c r="G28" i="261"/>
  <c r="G94" i="261" s="1"/>
  <c r="F28" i="261"/>
  <c r="F94" i="261" s="1"/>
  <c r="E28" i="261"/>
  <c r="E61" i="261" s="1"/>
  <c r="D28" i="261"/>
  <c r="D94" i="261" s="1"/>
  <c r="B28" i="261"/>
  <c r="B29" i="261" s="1"/>
  <c r="B30" i="261" s="1"/>
  <c r="B31" i="261" s="1"/>
  <c r="O27" i="261"/>
  <c r="O93" i="261" s="1"/>
  <c r="N27" i="261"/>
  <c r="M27" i="261"/>
  <c r="L27" i="261"/>
  <c r="L93" i="261" s="1"/>
  <c r="K27" i="261"/>
  <c r="J27" i="261"/>
  <c r="J93" i="261" s="1"/>
  <c r="I27" i="261"/>
  <c r="I26" i="261"/>
  <c r="O25" i="261"/>
  <c r="O58" i="261" s="1"/>
  <c r="N25" i="261"/>
  <c r="N58" i="261" s="1"/>
  <c r="M25" i="261"/>
  <c r="M58" i="261" s="1"/>
  <c r="L25" i="261"/>
  <c r="L91" i="261" s="1"/>
  <c r="K25" i="261"/>
  <c r="K91" i="261" s="1"/>
  <c r="J25" i="261"/>
  <c r="I25" i="261"/>
  <c r="I24" i="261"/>
  <c r="O23" i="261"/>
  <c r="N23" i="261"/>
  <c r="N89" i="261" s="1"/>
  <c r="M23" i="261"/>
  <c r="M89" i="261" s="1"/>
  <c r="L23" i="261"/>
  <c r="L89" i="261" s="1"/>
  <c r="K23" i="261"/>
  <c r="K56" i="261" s="1"/>
  <c r="J23" i="261"/>
  <c r="J56" i="261" s="1"/>
  <c r="I23" i="261"/>
  <c r="I22" i="261"/>
  <c r="O21" i="261"/>
  <c r="O87" i="261" s="1"/>
  <c r="N21" i="261"/>
  <c r="N54" i="261" s="1"/>
  <c r="M21" i="261"/>
  <c r="M87" i="261" s="1"/>
  <c r="L21" i="261"/>
  <c r="L54" i="261" s="1"/>
  <c r="K21" i="261"/>
  <c r="K87" i="261" s="1"/>
  <c r="J21" i="261"/>
  <c r="J87" i="261" s="1"/>
  <c r="I21" i="261"/>
  <c r="G21" i="261"/>
  <c r="G87" i="261" s="1"/>
  <c r="F21" i="261"/>
  <c r="E21" i="261"/>
  <c r="E87" i="261" s="1"/>
  <c r="D21" i="261"/>
  <c r="D54" i="261" s="1"/>
  <c r="I20" i="261"/>
  <c r="I19" i="261"/>
  <c r="I18" i="261"/>
  <c r="I17" i="261"/>
  <c r="G17" i="261"/>
  <c r="G50" i="261" s="1"/>
  <c r="F17" i="261"/>
  <c r="F83" i="261" s="1"/>
  <c r="E17" i="261"/>
  <c r="E50" i="261" s="1"/>
  <c r="D17" i="261"/>
  <c r="D50" i="261" s="1"/>
  <c r="I16" i="261"/>
  <c r="G16" i="261"/>
  <c r="F16" i="261"/>
  <c r="F49" i="261" s="1"/>
  <c r="E16" i="261"/>
  <c r="D16" i="261"/>
  <c r="D49" i="261" s="1"/>
  <c r="I15" i="261"/>
  <c r="G15" i="261"/>
  <c r="G81" i="261" s="1"/>
  <c r="F15" i="261"/>
  <c r="E15" i="261"/>
  <c r="E81" i="261" s="1"/>
  <c r="D15" i="261"/>
  <c r="I14" i="261"/>
  <c r="I13" i="261"/>
  <c r="G13" i="261"/>
  <c r="G46" i="261" s="1"/>
  <c r="F13" i="261"/>
  <c r="F79" i="261" s="1"/>
  <c r="E13" i="261"/>
  <c r="E79" i="261" s="1"/>
  <c r="D13" i="261"/>
  <c r="D79" i="261" s="1"/>
  <c r="I12" i="261"/>
  <c r="G12" i="261"/>
  <c r="G45" i="261" s="1"/>
  <c r="F12" i="261"/>
  <c r="F78" i="261" s="1"/>
  <c r="E12" i="261"/>
  <c r="E45" i="261" s="1"/>
  <c r="D12" i="261"/>
  <c r="D78" i="261" s="1"/>
  <c r="I11" i="261"/>
  <c r="I34" i="261" s="1"/>
  <c r="G11" i="261"/>
  <c r="G77" i="261" s="1"/>
  <c r="F11" i="261"/>
  <c r="F77" i="261" s="1"/>
  <c r="E11" i="261"/>
  <c r="E77" i="261" s="1"/>
  <c r="D11" i="261"/>
  <c r="O10" i="261"/>
  <c r="O43" i="261" s="1"/>
  <c r="N10" i="261"/>
  <c r="N43" i="261" s="1"/>
  <c r="M10" i="261"/>
  <c r="M43" i="261" s="1"/>
  <c r="L10" i="261"/>
  <c r="L76" i="261" s="1"/>
  <c r="K10" i="261"/>
  <c r="K76" i="261" s="1"/>
  <c r="J10" i="261"/>
  <c r="J76" i="261" s="1"/>
  <c r="I10" i="261"/>
  <c r="G10" i="261"/>
  <c r="F10" i="261"/>
  <c r="F76" i="261" s="1"/>
  <c r="E10" i="261"/>
  <c r="E76" i="261" s="1"/>
  <c r="D10" i="261"/>
  <c r="D76" i="261" s="1"/>
  <c r="B33" i="260"/>
  <c r="M32" i="260"/>
  <c r="L32" i="260"/>
  <c r="I32" i="260"/>
  <c r="O31" i="260"/>
  <c r="N31" i="260"/>
  <c r="M31" i="260"/>
  <c r="L31" i="260"/>
  <c r="B31" i="260"/>
  <c r="B32" i="260" s="1"/>
  <c r="M30" i="260"/>
  <c r="M33" i="260" s="1"/>
  <c r="L30" i="260"/>
  <c r="K30" i="260"/>
  <c r="J30" i="260"/>
  <c r="J33" i="260" s="1"/>
  <c r="I30" i="260"/>
  <c r="I33" i="260" s="1"/>
  <c r="H39" i="267" s="1"/>
  <c r="H45" i="267" s="1"/>
  <c r="B23" i="260"/>
  <c r="M22" i="260"/>
  <c r="M12" i="260" s="1"/>
  <c r="L22" i="260"/>
  <c r="B22" i="260"/>
  <c r="M21" i="260"/>
  <c r="M11" i="260" s="1"/>
  <c r="L21" i="260"/>
  <c r="L11" i="260" s="1"/>
  <c r="B21" i="260"/>
  <c r="M20" i="260"/>
  <c r="L20" i="260"/>
  <c r="L10" i="260" s="1"/>
  <c r="J20" i="260"/>
  <c r="I20" i="260"/>
  <c r="I10" i="260" s="1"/>
  <c r="I13" i="260"/>
  <c r="P12" i="260"/>
  <c r="P32" i="260" s="1"/>
  <c r="O12" i="260"/>
  <c r="O32" i="260" s="1"/>
  <c r="N12" i="260"/>
  <c r="N32" i="260" s="1"/>
  <c r="P11" i="260"/>
  <c r="P21" i="260" s="1"/>
  <c r="O11" i="260"/>
  <c r="O21" i="260" s="1"/>
  <c r="N11" i="260"/>
  <c r="N21" i="260" s="1"/>
  <c r="B11" i="260"/>
  <c r="B12" i="260" s="1"/>
  <c r="B13" i="260" s="1"/>
  <c r="P10" i="260"/>
  <c r="O10" i="260"/>
  <c r="O20" i="260" s="1"/>
  <c r="N10" i="260"/>
  <c r="N20" i="260" s="1"/>
  <c r="P532" i="206"/>
  <c r="O532" i="206"/>
  <c r="N532" i="206"/>
  <c r="M532" i="206"/>
  <c r="L532" i="206"/>
  <c r="K532" i="206"/>
  <c r="J532" i="206"/>
  <c r="I532" i="206"/>
  <c r="H532" i="206"/>
  <c r="G532" i="206"/>
  <c r="F532" i="206"/>
  <c r="E532" i="206"/>
  <c r="P458" i="206"/>
  <c r="O458" i="206"/>
  <c r="N458" i="206"/>
  <c r="M458" i="206"/>
  <c r="L458" i="206"/>
  <c r="K458" i="206"/>
  <c r="J458" i="206"/>
  <c r="I458" i="206"/>
  <c r="H458" i="206"/>
  <c r="G458" i="206"/>
  <c r="F458" i="206"/>
  <c r="E458" i="206"/>
  <c r="Q593" i="205"/>
  <c r="Q592" i="205"/>
  <c r="Q591" i="205"/>
  <c r="Q590" i="205"/>
  <c r="Q589" i="205"/>
  <c r="Q588" i="205"/>
  <c r="P587" i="205"/>
  <c r="O587" i="205"/>
  <c r="N587" i="205"/>
  <c r="M587" i="205"/>
  <c r="L587" i="205"/>
  <c r="K587" i="205"/>
  <c r="J587" i="205"/>
  <c r="I587" i="205"/>
  <c r="H587" i="205"/>
  <c r="G587" i="205"/>
  <c r="F587" i="205"/>
  <c r="E587" i="205"/>
  <c r="P586" i="205"/>
  <c r="O586" i="205"/>
  <c r="N586" i="205"/>
  <c r="M586" i="205"/>
  <c r="L586" i="205"/>
  <c r="K586" i="205"/>
  <c r="J586" i="205"/>
  <c r="I586" i="205"/>
  <c r="H586" i="205"/>
  <c r="G586" i="205"/>
  <c r="F586" i="205"/>
  <c r="E586" i="205"/>
  <c r="Q585" i="205"/>
  <c r="P584" i="205"/>
  <c r="O584" i="205"/>
  <c r="N584" i="205"/>
  <c r="M584" i="205"/>
  <c r="L584" i="205"/>
  <c r="K584" i="205"/>
  <c r="J584" i="205"/>
  <c r="I584" i="205"/>
  <c r="H584" i="205"/>
  <c r="G584" i="205"/>
  <c r="F584" i="205"/>
  <c r="E584" i="205"/>
  <c r="P583" i="205"/>
  <c r="O583" i="205"/>
  <c r="N583" i="205"/>
  <c r="M583" i="205"/>
  <c r="L583" i="205"/>
  <c r="K583" i="205"/>
  <c r="J583" i="205"/>
  <c r="I583" i="205"/>
  <c r="H583" i="205"/>
  <c r="G583" i="205"/>
  <c r="F583" i="205"/>
  <c r="E583" i="205"/>
  <c r="P582" i="205"/>
  <c r="O582" i="205"/>
  <c r="N582" i="205"/>
  <c r="M582" i="205"/>
  <c r="L582" i="205"/>
  <c r="K582" i="205"/>
  <c r="J582" i="205"/>
  <c r="I582" i="205"/>
  <c r="H582" i="205"/>
  <c r="G582" i="205"/>
  <c r="F582" i="205"/>
  <c r="E582" i="205"/>
  <c r="P581" i="205"/>
  <c r="O581" i="205"/>
  <c r="N581" i="205"/>
  <c r="M581" i="205"/>
  <c r="L581" i="205"/>
  <c r="K581" i="205"/>
  <c r="J581" i="205"/>
  <c r="I581" i="205"/>
  <c r="H581" i="205"/>
  <c r="G581" i="205"/>
  <c r="F581" i="205"/>
  <c r="E581" i="205"/>
  <c r="P580" i="205"/>
  <c r="O580" i="205"/>
  <c r="N580" i="205"/>
  <c r="M580" i="205"/>
  <c r="L580" i="205"/>
  <c r="K580" i="205"/>
  <c r="J580" i="205"/>
  <c r="I580" i="205"/>
  <c r="H580" i="205"/>
  <c r="G580" i="205"/>
  <c r="F580" i="205"/>
  <c r="E580" i="205"/>
  <c r="P579" i="205"/>
  <c r="O579" i="205"/>
  <c r="N579" i="205"/>
  <c r="M579" i="205"/>
  <c r="L579" i="205"/>
  <c r="K579" i="205"/>
  <c r="J579" i="205"/>
  <c r="I579" i="205"/>
  <c r="H579" i="205"/>
  <c r="G579" i="205"/>
  <c r="F579" i="205"/>
  <c r="E579" i="205"/>
  <c r="P578" i="205"/>
  <c r="O578" i="205"/>
  <c r="N578" i="205"/>
  <c r="M578" i="205"/>
  <c r="L578" i="205"/>
  <c r="K578" i="205"/>
  <c r="J578" i="205"/>
  <c r="I578" i="205"/>
  <c r="H578" i="205"/>
  <c r="G578" i="205"/>
  <c r="F578" i="205"/>
  <c r="E578" i="205"/>
  <c r="P577" i="205"/>
  <c r="O577" i="205"/>
  <c r="N577" i="205"/>
  <c r="M577" i="205"/>
  <c r="L577" i="205"/>
  <c r="K577" i="205"/>
  <c r="J577" i="205"/>
  <c r="I577" i="205"/>
  <c r="H577" i="205"/>
  <c r="G577" i="205"/>
  <c r="F577" i="205"/>
  <c r="E577" i="205"/>
  <c r="Q574" i="205"/>
  <c r="Q573" i="205"/>
  <c r="Q572" i="205"/>
  <c r="Q571" i="205"/>
  <c r="P570" i="205"/>
  <c r="O570" i="205"/>
  <c r="N570" i="205"/>
  <c r="M570" i="205"/>
  <c r="L570" i="205"/>
  <c r="K570" i="205"/>
  <c r="J570" i="205"/>
  <c r="I570" i="205"/>
  <c r="H570" i="205"/>
  <c r="G570" i="205"/>
  <c r="F570" i="205"/>
  <c r="E570" i="205"/>
  <c r="P569" i="205"/>
  <c r="O569" i="205"/>
  <c r="N569" i="205"/>
  <c r="M569" i="205"/>
  <c r="L569" i="205"/>
  <c r="K569" i="205"/>
  <c r="J569" i="205"/>
  <c r="I569" i="205"/>
  <c r="H569" i="205"/>
  <c r="G569" i="205"/>
  <c r="F569" i="205"/>
  <c r="E569" i="205"/>
  <c r="P568" i="205"/>
  <c r="O568" i="205"/>
  <c r="N568" i="205"/>
  <c r="M568" i="205"/>
  <c r="L568" i="205"/>
  <c r="K568" i="205"/>
  <c r="J568" i="205"/>
  <c r="I568" i="205"/>
  <c r="H568" i="205"/>
  <c r="G568" i="205"/>
  <c r="F568" i="205"/>
  <c r="E568" i="205"/>
  <c r="P567" i="205"/>
  <c r="O567" i="205"/>
  <c r="N567" i="205"/>
  <c r="M567" i="205"/>
  <c r="L567" i="205"/>
  <c r="K567" i="205"/>
  <c r="J567" i="205"/>
  <c r="I567" i="205"/>
  <c r="H567" i="205"/>
  <c r="G567" i="205"/>
  <c r="F567" i="205"/>
  <c r="E567" i="205"/>
  <c r="P566" i="205"/>
  <c r="O566" i="205"/>
  <c r="N566" i="205"/>
  <c r="M566" i="205"/>
  <c r="L566" i="205"/>
  <c r="K566" i="205"/>
  <c r="J566" i="205"/>
  <c r="I566" i="205"/>
  <c r="H566" i="205"/>
  <c r="G566" i="205"/>
  <c r="F566" i="205"/>
  <c r="E566" i="205"/>
  <c r="P565" i="205"/>
  <c r="O565" i="205"/>
  <c r="N565" i="205"/>
  <c r="M565" i="205"/>
  <c r="L565" i="205"/>
  <c r="K565" i="205"/>
  <c r="J565" i="205"/>
  <c r="I565" i="205"/>
  <c r="H565" i="205"/>
  <c r="G565" i="205"/>
  <c r="F565" i="205"/>
  <c r="E565" i="205"/>
  <c r="P564" i="205"/>
  <c r="O564" i="205"/>
  <c r="N564" i="205"/>
  <c r="M564" i="205"/>
  <c r="L564" i="205"/>
  <c r="K564" i="205"/>
  <c r="J564" i="205"/>
  <c r="I564" i="205"/>
  <c r="H564" i="205"/>
  <c r="G564" i="205"/>
  <c r="F564" i="205"/>
  <c r="E564" i="205"/>
  <c r="P563" i="205"/>
  <c r="O563" i="205"/>
  <c r="N563" i="205"/>
  <c r="M563" i="205"/>
  <c r="L563" i="205"/>
  <c r="K563" i="205"/>
  <c r="J563" i="205"/>
  <c r="I563" i="205"/>
  <c r="H563" i="205"/>
  <c r="G563" i="205"/>
  <c r="F563" i="205"/>
  <c r="E563" i="205"/>
  <c r="P562" i="205"/>
  <c r="O562" i="205"/>
  <c r="N562" i="205"/>
  <c r="M562" i="205"/>
  <c r="L562" i="205"/>
  <c r="K562" i="205"/>
  <c r="J562" i="205"/>
  <c r="I562" i="205"/>
  <c r="H562" i="205"/>
  <c r="G562" i="205"/>
  <c r="F562" i="205"/>
  <c r="E562" i="205"/>
  <c r="P561" i="205"/>
  <c r="O561" i="205"/>
  <c r="N561" i="205"/>
  <c r="M561" i="205"/>
  <c r="L561" i="205"/>
  <c r="K561" i="205"/>
  <c r="J561" i="205"/>
  <c r="I561" i="205"/>
  <c r="H561" i="205"/>
  <c r="G561" i="205"/>
  <c r="F561" i="205"/>
  <c r="E561" i="205"/>
  <c r="P560" i="205"/>
  <c r="O560" i="205"/>
  <c r="N560" i="205"/>
  <c r="M560" i="205"/>
  <c r="L560" i="205"/>
  <c r="K560" i="205"/>
  <c r="K575" i="205" s="1"/>
  <c r="J560" i="205"/>
  <c r="I560" i="205"/>
  <c r="H560" i="205"/>
  <c r="G560" i="205"/>
  <c r="F560" i="205"/>
  <c r="E560" i="205"/>
  <c r="Q557" i="205"/>
  <c r="Q556" i="205"/>
  <c r="Q555" i="205"/>
  <c r="Q554" i="205"/>
  <c r="Q553" i="205"/>
  <c r="P552" i="205"/>
  <c r="O552" i="205"/>
  <c r="N552" i="205"/>
  <c r="M552" i="205"/>
  <c r="L552" i="205"/>
  <c r="K552" i="205"/>
  <c r="J552" i="205"/>
  <c r="I552" i="205"/>
  <c r="H552" i="205"/>
  <c r="G552" i="205"/>
  <c r="F552" i="205"/>
  <c r="E552" i="205"/>
  <c r="P551" i="205"/>
  <c r="O551" i="205"/>
  <c r="N551" i="205"/>
  <c r="M551" i="205"/>
  <c r="L551" i="205"/>
  <c r="K551" i="205"/>
  <c r="J551" i="205"/>
  <c r="I551" i="205"/>
  <c r="H551" i="205"/>
  <c r="G551" i="205"/>
  <c r="F551" i="205"/>
  <c r="E551" i="205"/>
  <c r="P550" i="205"/>
  <c r="O550" i="205"/>
  <c r="N550" i="205"/>
  <c r="M550" i="205"/>
  <c r="L550" i="205"/>
  <c r="K550" i="205"/>
  <c r="J550" i="205"/>
  <c r="I550" i="205"/>
  <c r="H550" i="205"/>
  <c r="G550" i="205"/>
  <c r="F550" i="205"/>
  <c r="E550" i="205"/>
  <c r="P549" i="205"/>
  <c r="O549" i="205"/>
  <c r="N549" i="205"/>
  <c r="M549" i="205"/>
  <c r="L549" i="205"/>
  <c r="K549" i="205"/>
  <c r="J549" i="205"/>
  <c r="I549" i="205"/>
  <c r="H549" i="205"/>
  <c r="G549" i="205"/>
  <c r="F549" i="205"/>
  <c r="E549" i="205"/>
  <c r="P548" i="205"/>
  <c r="O548" i="205"/>
  <c r="N548" i="205"/>
  <c r="M548" i="205"/>
  <c r="L548" i="205"/>
  <c r="K548" i="205"/>
  <c r="J548" i="205"/>
  <c r="I548" i="205"/>
  <c r="H548" i="205"/>
  <c r="G548" i="205"/>
  <c r="F548" i="205"/>
  <c r="E548" i="205"/>
  <c r="P547" i="205"/>
  <c r="O547" i="205"/>
  <c r="N547" i="205"/>
  <c r="M547" i="205"/>
  <c r="L547" i="205"/>
  <c r="K547" i="205"/>
  <c r="J547" i="205"/>
  <c r="I547" i="205"/>
  <c r="H547" i="205"/>
  <c r="G547" i="205"/>
  <c r="F547" i="205"/>
  <c r="E547" i="205"/>
  <c r="P546" i="205"/>
  <c r="O546" i="205"/>
  <c r="N546" i="205"/>
  <c r="M546" i="205"/>
  <c r="L546" i="205"/>
  <c r="K546" i="205"/>
  <c r="J546" i="205"/>
  <c r="I546" i="205"/>
  <c r="H546" i="205"/>
  <c r="G546" i="205"/>
  <c r="F546" i="205"/>
  <c r="E546" i="205"/>
  <c r="P545" i="205"/>
  <c r="O545" i="205"/>
  <c r="N545" i="205"/>
  <c r="M545" i="205"/>
  <c r="L545" i="205"/>
  <c r="K545" i="205"/>
  <c r="J545" i="205"/>
  <c r="I545" i="205"/>
  <c r="H545" i="205"/>
  <c r="G545" i="205"/>
  <c r="F545" i="205"/>
  <c r="E545" i="205"/>
  <c r="P544" i="205"/>
  <c r="O544" i="205"/>
  <c r="N544" i="205"/>
  <c r="M544" i="205"/>
  <c r="L544" i="205"/>
  <c r="K544" i="205"/>
  <c r="J544" i="205"/>
  <c r="I544" i="205"/>
  <c r="H544" i="205"/>
  <c r="G544" i="205"/>
  <c r="F544" i="205"/>
  <c r="E544" i="205"/>
  <c r="P543" i="205"/>
  <c r="O543" i="205"/>
  <c r="N543" i="205"/>
  <c r="M543" i="205"/>
  <c r="L543" i="205"/>
  <c r="K543" i="205"/>
  <c r="J543" i="205"/>
  <c r="I543" i="205"/>
  <c r="H543" i="205"/>
  <c r="G543" i="205"/>
  <c r="F543" i="205"/>
  <c r="E543" i="205"/>
  <c r="Q540" i="205"/>
  <c r="Q539" i="205"/>
  <c r="Q538" i="205"/>
  <c r="Q537" i="205"/>
  <c r="P536" i="205"/>
  <c r="O536" i="205"/>
  <c r="N536" i="205"/>
  <c r="M536" i="205"/>
  <c r="L536" i="205"/>
  <c r="K536" i="205"/>
  <c r="J536" i="205"/>
  <c r="I536" i="205"/>
  <c r="H536" i="205"/>
  <c r="G536" i="205"/>
  <c r="F536" i="205"/>
  <c r="E536" i="205"/>
  <c r="P535" i="205"/>
  <c r="O535" i="205"/>
  <c r="N535" i="205"/>
  <c r="M535" i="205"/>
  <c r="L535" i="205"/>
  <c r="K535" i="205"/>
  <c r="J535" i="205"/>
  <c r="I535" i="205"/>
  <c r="H535" i="205"/>
  <c r="G535" i="205"/>
  <c r="F535" i="205"/>
  <c r="E535" i="205"/>
  <c r="P534" i="205"/>
  <c r="O534" i="205"/>
  <c r="N534" i="205"/>
  <c r="M534" i="205"/>
  <c r="L534" i="205"/>
  <c r="K534" i="205"/>
  <c r="J534" i="205"/>
  <c r="I534" i="205"/>
  <c r="H534" i="205"/>
  <c r="G534" i="205"/>
  <c r="F534" i="205"/>
  <c r="E534" i="205"/>
  <c r="P533" i="205"/>
  <c r="O533" i="205"/>
  <c r="N533" i="205"/>
  <c r="M533" i="205"/>
  <c r="L533" i="205"/>
  <c r="K533" i="205"/>
  <c r="J533" i="205"/>
  <c r="I533" i="205"/>
  <c r="H533" i="205"/>
  <c r="G533" i="205"/>
  <c r="F533" i="205"/>
  <c r="E533" i="205"/>
  <c r="Q532" i="205"/>
  <c r="P531" i="205"/>
  <c r="O531" i="205"/>
  <c r="N531" i="205"/>
  <c r="M531" i="205"/>
  <c r="L531" i="205"/>
  <c r="K531" i="205"/>
  <c r="J531" i="205"/>
  <c r="I531" i="205"/>
  <c r="H531" i="205"/>
  <c r="G531" i="205"/>
  <c r="F531" i="205"/>
  <c r="E531" i="205"/>
  <c r="P530" i="205"/>
  <c r="O530" i="205"/>
  <c r="N530" i="205"/>
  <c r="M530" i="205"/>
  <c r="L530" i="205"/>
  <c r="K530" i="205"/>
  <c r="J530" i="205"/>
  <c r="I530" i="205"/>
  <c r="H530" i="205"/>
  <c r="G530" i="205"/>
  <c r="F530" i="205"/>
  <c r="E530" i="205"/>
  <c r="P529" i="205"/>
  <c r="O529" i="205"/>
  <c r="N529" i="205"/>
  <c r="M529" i="205"/>
  <c r="L529" i="205"/>
  <c r="K529" i="205"/>
  <c r="J529" i="205"/>
  <c r="I529" i="205"/>
  <c r="H529" i="205"/>
  <c r="G529" i="205"/>
  <c r="F529" i="205"/>
  <c r="E529" i="205"/>
  <c r="P528" i="205"/>
  <c r="O528" i="205"/>
  <c r="N528" i="205"/>
  <c r="M528" i="205"/>
  <c r="L528" i="205"/>
  <c r="K528" i="205"/>
  <c r="J528" i="205"/>
  <c r="I528" i="205"/>
  <c r="H528" i="205"/>
  <c r="G528" i="205"/>
  <c r="F528" i="205"/>
  <c r="E528" i="205"/>
  <c r="Q519" i="205"/>
  <c r="Q518" i="205"/>
  <c r="Q517" i="205"/>
  <c r="Q516" i="205"/>
  <c r="Q515" i="205"/>
  <c r="Q514" i="205"/>
  <c r="P513" i="205"/>
  <c r="O513" i="205"/>
  <c r="N513" i="205"/>
  <c r="M513" i="205"/>
  <c r="L513" i="205"/>
  <c r="K513" i="205"/>
  <c r="J513" i="205"/>
  <c r="I513" i="205"/>
  <c r="H513" i="205"/>
  <c r="G513" i="205"/>
  <c r="F513" i="205"/>
  <c r="E513" i="205"/>
  <c r="P512" i="205"/>
  <c r="O512" i="205"/>
  <c r="N512" i="205"/>
  <c r="M512" i="205"/>
  <c r="L512" i="205"/>
  <c r="K512" i="205"/>
  <c r="J512" i="205"/>
  <c r="I512" i="205"/>
  <c r="H512" i="205"/>
  <c r="G512" i="205"/>
  <c r="F512" i="205"/>
  <c r="E512" i="205"/>
  <c r="Q511" i="205"/>
  <c r="P510" i="205"/>
  <c r="O510" i="205"/>
  <c r="N510" i="205"/>
  <c r="M510" i="205"/>
  <c r="L510" i="205"/>
  <c r="K510" i="205"/>
  <c r="J510" i="205"/>
  <c r="I510" i="205"/>
  <c r="H510" i="205"/>
  <c r="G510" i="205"/>
  <c r="F510" i="205"/>
  <c r="E510" i="205"/>
  <c r="P509" i="205"/>
  <c r="O509" i="205"/>
  <c r="N509" i="205"/>
  <c r="M509" i="205"/>
  <c r="L509" i="205"/>
  <c r="K509" i="205"/>
  <c r="J509" i="205"/>
  <c r="I509" i="205"/>
  <c r="H509" i="205"/>
  <c r="G509" i="205"/>
  <c r="F509" i="205"/>
  <c r="E509" i="205"/>
  <c r="P508" i="205"/>
  <c r="O508" i="205"/>
  <c r="N508" i="205"/>
  <c r="M508" i="205"/>
  <c r="L508" i="205"/>
  <c r="K508" i="205"/>
  <c r="J508" i="205"/>
  <c r="I508" i="205"/>
  <c r="H508" i="205"/>
  <c r="G508" i="205"/>
  <c r="F508" i="205"/>
  <c r="E508" i="205"/>
  <c r="P507" i="205"/>
  <c r="O507" i="205"/>
  <c r="N507" i="205"/>
  <c r="M507" i="205"/>
  <c r="L507" i="205"/>
  <c r="K507" i="205"/>
  <c r="J507" i="205"/>
  <c r="I507" i="205"/>
  <c r="H507" i="205"/>
  <c r="G507" i="205"/>
  <c r="F507" i="205"/>
  <c r="E507" i="205"/>
  <c r="P506" i="205"/>
  <c r="O506" i="205"/>
  <c r="N506" i="205"/>
  <c r="M506" i="205"/>
  <c r="L506" i="205"/>
  <c r="K506" i="205"/>
  <c r="J506" i="205"/>
  <c r="I506" i="205"/>
  <c r="H506" i="205"/>
  <c r="G506" i="205"/>
  <c r="F506" i="205"/>
  <c r="E506" i="205"/>
  <c r="P505" i="205"/>
  <c r="O505" i="205"/>
  <c r="N505" i="205"/>
  <c r="M505" i="205"/>
  <c r="L505" i="205"/>
  <c r="K505" i="205"/>
  <c r="J505" i="205"/>
  <c r="I505" i="205"/>
  <c r="H505" i="205"/>
  <c r="G505" i="205"/>
  <c r="F505" i="205"/>
  <c r="E505" i="205"/>
  <c r="P504" i="205"/>
  <c r="O504" i="205"/>
  <c r="N504" i="205"/>
  <c r="M504" i="205"/>
  <c r="L504" i="205"/>
  <c r="K504" i="205"/>
  <c r="J504" i="205"/>
  <c r="I504" i="205"/>
  <c r="H504" i="205"/>
  <c r="G504" i="205"/>
  <c r="F504" i="205"/>
  <c r="E504" i="205"/>
  <c r="P503" i="205"/>
  <c r="O503" i="205"/>
  <c r="N503" i="205"/>
  <c r="M503" i="205"/>
  <c r="L503" i="205"/>
  <c r="K503" i="205"/>
  <c r="J503" i="205"/>
  <c r="I503" i="205"/>
  <c r="H503" i="205"/>
  <c r="G503" i="205"/>
  <c r="F503" i="205"/>
  <c r="E503" i="205"/>
  <c r="Q500" i="205"/>
  <c r="Q499" i="205"/>
  <c r="Q498" i="205"/>
  <c r="Q497" i="205"/>
  <c r="P496" i="205"/>
  <c r="O496" i="205"/>
  <c r="N496" i="205"/>
  <c r="M496" i="205"/>
  <c r="L496" i="205"/>
  <c r="K496" i="205"/>
  <c r="J496" i="205"/>
  <c r="I496" i="205"/>
  <c r="H496" i="205"/>
  <c r="G496" i="205"/>
  <c r="F496" i="205"/>
  <c r="E496" i="205"/>
  <c r="P495" i="205"/>
  <c r="O495" i="205"/>
  <c r="N495" i="205"/>
  <c r="M495" i="205"/>
  <c r="L495" i="205"/>
  <c r="K495" i="205"/>
  <c r="J495" i="205"/>
  <c r="I495" i="205"/>
  <c r="H495" i="205"/>
  <c r="G495" i="205"/>
  <c r="F495" i="205"/>
  <c r="E495" i="205"/>
  <c r="P494" i="205"/>
  <c r="O494" i="205"/>
  <c r="N494" i="205"/>
  <c r="M494" i="205"/>
  <c r="L494" i="205"/>
  <c r="K494" i="205"/>
  <c r="J494" i="205"/>
  <c r="I494" i="205"/>
  <c r="H494" i="205"/>
  <c r="G494" i="205"/>
  <c r="F494" i="205"/>
  <c r="E494" i="205"/>
  <c r="P493" i="205"/>
  <c r="O493" i="205"/>
  <c r="N493" i="205"/>
  <c r="M493" i="205"/>
  <c r="L493" i="205"/>
  <c r="K493" i="205"/>
  <c r="J493" i="205"/>
  <c r="I493" i="205"/>
  <c r="H493" i="205"/>
  <c r="G493" i="205"/>
  <c r="F493" i="205"/>
  <c r="E493" i="205"/>
  <c r="P492" i="205"/>
  <c r="O492" i="205"/>
  <c r="N492" i="205"/>
  <c r="M492" i="205"/>
  <c r="L492" i="205"/>
  <c r="K492" i="205"/>
  <c r="J492" i="205"/>
  <c r="I492" i="205"/>
  <c r="H492" i="205"/>
  <c r="G492" i="205"/>
  <c r="F492" i="205"/>
  <c r="E492" i="205"/>
  <c r="P491" i="205"/>
  <c r="O491" i="205"/>
  <c r="N491" i="205"/>
  <c r="M491" i="205"/>
  <c r="L491" i="205"/>
  <c r="K491" i="205"/>
  <c r="J491" i="205"/>
  <c r="I491" i="205"/>
  <c r="H491" i="205"/>
  <c r="G491" i="205"/>
  <c r="F491" i="205"/>
  <c r="E491" i="205"/>
  <c r="P490" i="205"/>
  <c r="O490" i="205"/>
  <c r="N490" i="205"/>
  <c r="M490" i="205"/>
  <c r="L490" i="205"/>
  <c r="K490" i="205"/>
  <c r="J490" i="205"/>
  <c r="I490" i="205"/>
  <c r="H490" i="205"/>
  <c r="G490" i="205"/>
  <c r="F490" i="205"/>
  <c r="E490" i="205"/>
  <c r="P489" i="205"/>
  <c r="O489" i="205"/>
  <c r="N489" i="205"/>
  <c r="M489" i="205"/>
  <c r="L489" i="205"/>
  <c r="K489" i="205"/>
  <c r="J489" i="205"/>
  <c r="I489" i="205"/>
  <c r="H489" i="205"/>
  <c r="G489" i="205"/>
  <c r="F489" i="205"/>
  <c r="E489" i="205"/>
  <c r="P488" i="205"/>
  <c r="O488" i="205"/>
  <c r="N488" i="205"/>
  <c r="M488" i="205"/>
  <c r="L488" i="205"/>
  <c r="K488" i="205"/>
  <c r="J488" i="205"/>
  <c r="I488" i="205"/>
  <c r="H488" i="205"/>
  <c r="G488" i="205"/>
  <c r="F488" i="205"/>
  <c r="E488" i="205"/>
  <c r="P487" i="205"/>
  <c r="O487" i="205"/>
  <c r="N487" i="205"/>
  <c r="M487" i="205"/>
  <c r="L487" i="205"/>
  <c r="K487" i="205"/>
  <c r="J487" i="205"/>
  <c r="I487" i="205"/>
  <c r="H487" i="205"/>
  <c r="G487" i="205"/>
  <c r="F487" i="205"/>
  <c r="E487" i="205"/>
  <c r="P486" i="205"/>
  <c r="O486" i="205"/>
  <c r="N486" i="205"/>
  <c r="M486" i="205"/>
  <c r="L486" i="205"/>
  <c r="K486" i="205"/>
  <c r="J486" i="205"/>
  <c r="I486" i="205"/>
  <c r="H486" i="205"/>
  <c r="H501" i="205" s="1"/>
  <c r="G486" i="205"/>
  <c r="F486" i="205"/>
  <c r="E486" i="205"/>
  <c r="Q483" i="205"/>
  <c r="Q482" i="205"/>
  <c r="Q481" i="205"/>
  <c r="Q480" i="205"/>
  <c r="Q479" i="205"/>
  <c r="P478" i="205"/>
  <c r="O478" i="205"/>
  <c r="N478" i="205"/>
  <c r="M478" i="205"/>
  <c r="L478" i="205"/>
  <c r="K478" i="205"/>
  <c r="J478" i="205"/>
  <c r="I478" i="205"/>
  <c r="H478" i="205"/>
  <c r="G478" i="205"/>
  <c r="F478" i="205"/>
  <c r="E478" i="205"/>
  <c r="P477" i="205"/>
  <c r="O477" i="205"/>
  <c r="N477" i="205"/>
  <c r="M477" i="205"/>
  <c r="L477" i="205"/>
  <c r="K477" i="205"/>
  <c r="J477" i="205"/>
  <c r="I477" i="205"/>
  <c r="H477" i="205"/>
  <c r="G477" i="205"/>
  <c r="F477" i="205"/>
  <c r="E477" i="205"/>
  <c r="P476" i="205"/>
  <c r="O476" i="205"/>
  <c r="N476" i="205"/>
  <c r="M476" i="205"/>
  <c r="L476" i="205"/>
  <c r="K476" i="205"/>
  <c r="J476" i="205"/>
  <c r="I476" i="205"/>
  <c r="H476" i="205"/>
  <c r="G476" i="205"/>
  <c r="F476" i="205"/>
  <c r="E476" i="205"/>
  <c r="P475" i="205"/>
  <c r="O475" i="205"/>
  <c r="N475" i="205"/>
  <c r="M475" i="205"/>
  <c r="L475" i="205"/>
  <c r="K475" i="205"/>
  <c r="J475" i="205"/>
  <c r="I475" i="205"/>
  <c r="H475" i="205"/>
  <c r="G475" i="205"/>
  <c r="F475" i="205"/>
  <c r="E475" i="205"/>
  <c r="P474" i="205"/>
  <c r="O474" i="205"/>
  <c r="N474" i="205"/>
  <c r="M474" i="205"/>
  <c r="L474" i="205"/>
  <c r="K474" i="205"/>
  <c r="J474" i="205"/>
  <c r="I474" i="205"/>
  <c r="H474" i="205"/>
  <c r="G474" i="205"/>
  <c r="F474" i="205"/>
  <c r="E474" i="205"/>
  <c r="P473" i="205"/>
  <c r="O473" i="205"/>
  <c r="N473" i="205"/>
  <c r="M473" i="205"/>
  <c r="L473" i="205"/>
  <c r="K473" i="205"/>
  <c r="J473" i="205"/>
  <c r="I473" i="205"/>
  <c r="H473" i="205"/>
  <c r="G473" i="205"/>
  <c r="F473" i="205"/>
  <c r="E473" i="205"/>
  <c r="P472" i="205"/>
  <c r="O472" i="205"/>
  <c r="N472" i="205"/>
  <c r="M472" i="205"/>
  <c r="L472" i="205"/>
  <c r="K472" i="205"/>
  <c r="J472" i="205"/>
  <c r="I472" i="205"/>
  <c r="H472" i="205"/>
  <c r="G472" i="205"/>
  <c r="F472" i="205"/>
  <c r="E472" i="205"/>
  <c r="P471" i="205"/>
  <c r="O471" i="205"/>
  <c r="N471" i="205"/>
  <c r="M471" i="205"/>
  <c r="L471" i="205"/>
  <c r="K471" i="205"/>
  <c r="J471" i="205"/>
  <c r="I471" i="205"/>
  <c r="H471" i="205"/>
  <c r="G471" i="205"/>
  <c r="F471" i="205"/>
  <c r="E471" i="205"/>
  <c r="P470" i="205"/>
  <c r="O470" i="205"/>
  <c r="N470" i="205"/>
  <c r="M470" i="205"/>
  <c r="L470" i="205"/>
  <c r="K470" i="205"/>
  <c r="J470" i="205"/>
  <c r="I470" i="205"/>
  <c r="H470" i="205"/>
  <c r="G470" i="205"/>
  <c r="F470" i="205"/>
  <c r="E470" i="205"/>
  <c r="P469" i="205"/>
  <c r="O469" i="205"/>
  <c r="N469" i="205"/>
  <c r="M469" i="205"/>
  <c r="L469" i="205"/>
  <c r="K469" i="205"/>
  <c r="J469" i="205"/>
  <c r="I469" i="205"/>
  <c r="H469" i="205"/>
  <c r="G469" i="205"/>
  <c r="F469" i="205"/>
  <c r="E469" i="205"/>
  <c r="Q466" i="205"/>
  <c r="Q465" i="205"/>
  <c r="Q464" i="205"/>
  <c r="Q463" i="205"/>
  <c r="P462" i="205"/>
  <c r="O462" i="205"/>
  <c r="N462" i="205"/>
  <c r="M462" i="205"/>
  <c r="L462" i="205"/>
  <c r="K462" i="205"/>
  <c r="J462" i="205"/>
  <c r="I462" i="205"/>
  <c r="H462" i="205"/>
  <c r="G462" i="205"/>
  <c r="F462" i="205"/>
  <c r="E462" i="205"/>
  <c r="P461" i="205"/>
  <c r="O461" i="205"/>
  <c r="N461" i="205"/>
  <c r="M461" i="205"/>
  <c r="L461" i="205"/>
  <c r="K461" i="205"/>
  <c r="J461" i="205"/>
  <c r="I461" i="205"/>
  <c r="H461" i="205"/>
  <c r="G461" i="205"/>
  <c r="F461" i="205"/>
  <c r="E461" i="205"/>
  <c r="P460" i="205"/>
  <c r="O460" i="205"/>
  <c r="N460" i="205"/>
  <c r="M460" i="205"/>
  <c r="L460" i="205"/>
  <c r="K460" i="205"/>
  <c r="J460" i="205"/>
  <c r="I460" i="205"/>
  <c r="H460" i="205"/>
  <c r="G460" i="205"/>
  <c r="F460" i="205"/>
  <c r="E460" i="205"/>
  <c r="P459" i="205"/>
  <c r="O459" i="205"/>
  <c r="N459" i="205"/>
  <c r="M459" i="205"/>
  <c r="L459" i="205"/>
  <c r="K459" i="205"/>
  <c r="J459" i="205"/>
  <c r="I459" i="205"/>
  <c r="H459" i="205"/>
  <c r="G459" i="205"/>
  <c r="F459" i="205"/>
  <c r="E459" i="205"/>
  <c r="Q458" i="205"/>
  <c r="P457" i="205"/>
  <c r="O457" i="205"/>
  <c r="N457" i="205"/>
  <c r="M457" i="205"/>
  <c r="L457" i="205"/>
  <c r="K457" i="205"/>
  <c r="J457" i="205"/>
  <c r="I457" i="205"/>
  <c r="H457" i="205"/>
  <c r="G457" i="205"/>
  <c r="F457" i="205"/>
  <c r="E457" i="205"/>
  <c r="P456" i="205"/>
  <c r="O456" i="205"/>
  <c r="N456" i="205"/>
  <c r="M456" i="205"/>
  <c r="L456" i="205"/>
  <c r="K456" i="205"/>
  <c r="J456" i="205"/>
  <c r="I456" i="205"/>
  <c r="H456" i="205"/>
  <c r="G456" i="205"/>
  <c r="F456" i="205"/>
  <c r="E456" i="205"/>
  <c r="P455" i="205"/>
  <c r="O455" i="205"/>
  <c r="N455" i="205"/>
  <c r="M455" i="205"/>
  <c r="L455" i="205"/>
  <c r="K455" i="205"/>
  <c r="J455" i="205"/>
  <c r="I455" i="205"/>
  <c r="H455" i="205"/>
  <c r="G455" i="205"/>
  <c r="F455" i="205"/>
  <c r="E455" i="205"/>
  <c r="P454" i="205"/>
  <c r="O454" i="205"/>
  <c r="N454" i="205"/>
  <c r="M454" i="205"/>
  <c r="L454" i="205"/>
  <c r="K454" i="205"/>
  <c r="J454" i="205"/>
  <c r="I454" i="205"/>
  <c r="H454" i="205"/>
  <c r="G454" i="205"/>
  <c r="F454" i="205"/>
  <c r="E454" i="205"/>
  <c r="Q384" i="205"/>
  <c r="Q389" i="205"/>
  <c r="Q390" i="205"/>
  <c r="Q391" i="205"/>
  <c r="Q392" i="205"/>
  <c r="E396" i="205"/>
  <c r="F396" i="205"/>
  <c r="G396" i="205"/>
  <c r="H396" i="205"/>
  <c r="I396" i="205"/>
  <c r="Q405" i="205"/>
  <c r="Q406" i="205"/>
  <c r="Q407" i="205"/>
  <c r="Q408" i="205"/>
  <c r="Q409" i="205"/>
  <c r="E415" i="205"/>
  <c r="F415" i="205"/>
  <c r="G415" i="205"/>
  <c r="H415" i="205"/>
  <c r="I415" i="205"/>
  <c r="J415" i="205"/>
  <c r="E416" i="205"/>
  <c r="F416" i="205"/>
  <c r="G416" i="205"/>
  <c r="H416" i="205"/>
  <c r="I416" i="205"/>
  <c r="Q421" i="205"/>
  <c r="Q423" i="205"/>
  <c r="Q424" i="205"/>
  <c r="Q425" i="205"/>
  <c r="Q426" i="205"/>
  <c r="E430" i="205"/>
  <c r="F430" i="205"/>
  <c r="G430" i="205"/>
  <c r="H430" i="205"/>
  <c r="I430" i="205"/>
  <c r="J430" i="205"/>
  <c r="E432" i="205"/>
  <c r="F432" i="205"/>
  <c r="G432" i="205"/>
  <c r="H432" i="205"/>
  <c r="I432" i="205"/>
  <c r="J432" i="205"/>
  <c r="E433" i="205"/>
  <c r="F433" i="205"/>
  <c r="G433" i="205"/>
  <c r="H433" i="205"/>
  <c r="I433" i="205"/>
  <c r="J433" i="205"/>
  <c r="Q437" i="205"/>
  <c r="Q440" i="205"/>
  <c r="Q441" i="205"/>
  <c r="Q442" i="205"/>
  <c r="Q443" i="205"/>
  <c r="Q444" i="205"/>
  <c r="Q445" i="205"/>
  <c r="J34" i="202"/>
  <c r="K34" i="202"/>
  <c r="J51" i="202"/>
  <c r="J9" i="202"/>
  <c r="K67" i="202"/>
  <c r="J67" i="202"/>
  <c r="K66" i="202"/>
  <c r="J66" i="202"/>
  <c r="K65" i="202"/>
  <c r="J65" i="202"/>
  <c r="K64" i="202"/>
  <c r="J64" i="202"/>
  <c r="K63" i="202"/>
  <c r="J63" i="202"/>
  <c r="K62" i="202"/>
  <c r="J62" i="202"/>
  <c r="K61" i="202"/>
  <c r="J61" i="202"/>
  <c r="K60" i="202"/>
  <c r="J60" i="202"/>
  <c r="K59" i="202"/>
  <c r="J59" i="202"/>
  <c r="K58" i="202"/>
  <c r="J58" i="202"/>
  <c r="K51" i="202"/>
  <c r="K49" i="202"/>
  <c r="J49" i="202"/>
  <c r="K48" i="202"/>
  <c r="J48" i="202"/>
  <c r="K47" i="202"/>
  <c r="J47" i="202"/>
  <c r="K46" i="202"/>
  <c r="J46" i="202"/>
  <c r="K45" i="202"/>
  <c r="J45" i="202"/>
  <c r="K44" i="202"/>
  <c r="J44" i="202"/>
  <c r="K43" i="202"/>
  <c r="J43" i="202"/>
  <c r="K42" i="202"/>
  <c r="J42" i="202"/>
  <c r="K41" i="202"/>
  <c r="J41" i="202"/>
  <c r="K33" i="202"/>
  <c r="J33" i="202"/>
  <c r="K32" i="202"/>
  <c r="J32" i="202"/>
  <c r="K31" i="202"/>
  <c r="J31" i="202"/>
  <c r="K30" i="202"/>
  <c r="J30" i="202"/>
  <c r="K29" i="202"/>
  <c r="J29" i="202"/>
  <c r="K28" i="202"/>
  <c r="J28" i="202"/>
  <c r="K27" i="202"/>
  <c r="J27" i="202"/>
  <c r="K26" i="202"/>
  <c r="J26" i="202"/>
  <c r="K25" i="202"/>
  <c r="J25" i="202"/>
  <c r="K24" i="202"/>
  <c r="J24" i="202"/>
  <c r="K17" i="202"/>
  <c r="J17" i="202"/>
  <c r="K16" i="202"/>
  <c r="J16" i="202"/>
  <c r="K15" i="202"/>
  <c r="J15" i="202"/>
  <c r="K14" i="202"/>
  <c r="J14" i="202"/>
  <c r="K13" i="202"/>
  <c r="J13" i="202"/>
  <c r="K12" i="202"/>
  <c r="J12" i="202"/>
  <c r="K11" i="202"/>
  <c r="J11" i="202"/>
  <c r="K10" i="202"/>
  <c r="J10" i="202"/>
  <c r="K9" i="202"/>
  <c r="K41" i="267" l="1"/>
  <c r="O21" i="268"/>
  <c r="M18" i="266"/>
  <c r="G599" i="265"/>
  <c r="M63" i="265"/>
  <c r="J108" i="265" s="1"/>
  <c r="M108" i="265" s="1"/>
  <c r="J153" i="265" s="1"/>
  <c r="J470" i="265" s="1"/>
  <c r="M470" i="265" s="1"/>
  <c r="N87" i="261"/>
  <c r="I63" i="265"/>
  <c r="J18" i="266"/>
  <c r="L69" i="261"/>
  <c r="J73" i="266"/>
  <c r="K69" i="266" s="1"/>
  <c r="M54" i="265"/>
  <c r="J99" i="265" s="1"/>
  <c r="K148" i="266"/>
  <c r="L30" i="267"/>
  <c r="L32" i="267" s="1"/>
  <c r="L33" i="260"/>
  <c r="L47" i="267"/>
  <c r="M47" i="267"/>
  <c r="N30" i="260"/>
  <c r="J40" i="267"/>
  <c r="M689" i="265"/>
  <c r="K21" i="268"/>
  <c r="L61" i="261"/>
  <c r="J24" i="267"/>
  <c r="K57" i="268"/>
  <c r="K59" i="268" s="1"/>
  <c r="I57" i="265"/>
  <c r="F102" i="265" s="1"/>
  <c r="I60" i="265"/>
  <c r="F105" i="265" s="1"/>
  <c r="N24" i="267"/>
  <c r="F94" i="265"/>
  <c r="O18" i="266"/>
  <c r="L149" i="266"/>
  <c r="M145" i="266" s="1"/>
  <c r="N63" i="265"/>
  <c r="J372" i="265"/>
  <c r="F692" i="265"/>
  <c r="M99" i="265"/>
  <c r="J144" i="265" s="1"/>
  <c r="G779" i="265"/>
  <c r="G918" i="265"/>
  <c r="K878" i="265"/>
  <c r="L30" i="268"/>
  <c r="K602" i="265"/>
  <c r="G742" i="265"/>
  <c r="K918" i="265"/>
  <c r="K40" i="267"/>
  <c r="M30" i="268"/>
  <c r="J379" i="265"/>
  <c r="G507" i="265"/>
  <c r="K869" i="265"/>
  <c r="L18" i="266"/>
  <c r="L40" i="267"/>
  <c r="K379" i="265"/>
  <c r="L87" i="261"/>
  <c r="M55" i="265"/>
  <c r="J100" i="265" s="1"/>
  <c r="M100" i="265" s="1"/>
  <c r="J145" i="265" s="1"/>
  <c r="I59" i="265"/>
  <c r="F104" i="265" s="1"/>
  <c r="F376" i="265"/>
  <c r="K698" i="265"/>
  <c r="G871" i="265"/>
  <c r="N18" i="266"/>
  <c r="J21" i="268"/>
  <c r="L39" i="268"/>
  <c r="G501" i="205"/>
  <c r="H30" i="269"/>
  <c r="I30" i="269"/>
  <c r="J575" i="205"/>
  <c r="M484" i="205"/>
  <c r="F484" i="205"/>
  <c r="I467" i="205"/>
  <c r="K558" i="205"/>
  <c r="H484" i="205"/>
  <c r="F121" i="266"/>
  <c r="F123" i="266" s="1"/>
  <c r="F125" i="266" s="1"/>
  <c r="G117" i="266"/>
  <c r="G120" i="266" s="1"/>
  <c r="G269" i="266"/>
  <c r="G271" i="266" s="1"/>
  <c r="F271" i="266"/>
  <c r="O50" i="269"/>
  <c r="J787" i="265"/>
  <c r="M787" i="265" s="1"/>
  <c r="M153" i="265"/>
  <c r="J198" i="265" s="1"/>
  <c r="J832" i="265" s="1"/>
  <c r="M832" i="265" s="1"/>
  <c r="N13" i="260"/>
  <c r="E46" i="261"/>
  <c r="G54" i="261"/>
  <c r="J60" i="261"/>
  <c r="N68" i="261"/>
  <c r="G83" i="261"/>
  <c r="M91" i="261"/>
  <c r="G95" i="261"/>
  <c r="E53" i="262"/>
  <c r="E59" i="262"/>
  <c r="D63" i="262"/>
  <c r="D72" i="262"/>
  <c r="F84" i="262"/>
  <c r="N58" i="263"/>
  <c r="M19" i="265"/>
  <c r="K336" i="265"/>
  <c r="K462" i="265"/>
  <c r="K471" i="265"/>
  <c r="K554" i="265"/>
  <c r="K596" i="265"/>
  <c r="L647" i="265"/>
  <c r="F691" i="265"/>
  <c r="G778" i="265"/>
  <c r="E100" i="266"/>
  <c r="E101" i="266" s="1"/>
  <c r="L128" i="266"/>
  <c r="L31" i="266" s="1"/>
  <c r="G196" i="266"/>
  <c r="G197" i="266" s="1"/>
  <c r="J256" i="266"/>
  <c r="J257" i="266" s="1"/>
  <c r="J259" i="266" s="1"/>
  <c r="J261" i="266" s="1"/>
  <c r="M32" i="268"/>
  <c r="J39" i="268"/>
  <c r="O48" i="268"/>
  <c r="K650" i="265"/>
  <c r="L60" i="261"/>
  <c r="O68" i="261"/>
  <c r="N91" i="261"/>
  <c r="F53" i="262"/>
  <c r="F59" i="262"/>
  <c r="E63" i="262"/>
  <c r="E72" i="262"/>
  <c r="F85" i="262"/>
  <c r="O58" i="263"/>
  <c r="K319" i="265"/>
  <c r="K331" i="265"/>
  <c r="G422" i="265"/>
  <c r="J425" i="265"/>
  <c r="M425" i="265" s="1"/>
  <c r="G648" i="265"/>
  <c r="J698" i="265"/>
  <c r="H52" i="266"/>
  <c r="D120" i="266"/>
  <c r="D121" i="266" s="1"/>
  <c r="J148" i="266"/>
  <c r="N32" i="268"/>
  <c r="K39" i="268"/>
  <c r="O60" i="261"/>
  <c r="J28" i="268"/>
  <c r="I10" i="265"/>
  <c r="K464" i="265"/>
  <c r="E128" i="266"/>
  <c r="K24" i="267"/>
  <c r="K28" i="268"/>
  <c r="N30" i="269"/>
  <c r="M10" i="260"/>
  <c r="M13" i="260" s="1"/>
  <c r="L12" i="260"/>
  <c r="F43" i="261"/>
  <c r="D45" i="261"/>
  <c r="L56" i="261"/>
  <c r="D61" i="261"/>
  <c r="M101" i="261"/>
  <c r="D38" i="262"/>
  <c r="M59" i="265"/>
  <c r="J104" i="265" s="1"/>
  <c r="M104" i="265" s="1"/>
  <c r="J149" i="265" s="1"/>
  <c r="M149" i="265" s="1"/>
  <c r="J194" i="265" s="1"/>
  <c r="N61" i="265"/>
  <c r="G327" i="265"/>
  <c r="G376" i="265"/>
  <c r="G560" i="265"/>
  <c r="L650" i="265"/>
  <c r="I129" i="266"/>
  <c r="I32" i="266" s="1"/>
  <c r="G828" i="265"/>
  <c r="J59" i="268"/>
  <c r="M34" i="261"/>
  <c r="M100" i="261" s="1"/>
  <c r="K43" i="261"/>
  <c r="M56" i="261"/>
  <c r="G61" i="261"/>
  <c r="F38" i="262"/>
  <c r="F112" i="262" s="1"/>
  <c r="E47" i="262"/>
  <c r="G65" i="262"/>
  <c r="G88" i="262"/>
  <c r="G100" i="262"/>
  <c r="N21" i="263"/>
  <c r="N18" i="265"/>
  <c r="N59" i="265"/>
  <c r="J327" i="265"/>
  <c r="G334" i="265"/>
  <c r="K372" i="265"/>
  <c r="M372" i="265" s="1"/>
  <c r="K556" i="265"/>
  <c r="L651" i="265"/>
  <c r="J696" i="265"/>
  <c r="M696" i="265" s="1"/>
  <c r="J742" i="265"/>
  <c r="M742" i="265" s="1"/>
  <c r="J129" i="266"/>
  <c r="J32" i="266" s="1"/>
  <c r="L196" i="266"/>
  <c r="L197" i="266" s="1"/>
  <c r="L199" i="266" s="1"/>
  <c r="L201" i="266" s="1"/>
  <c r="D206" i="266"/>
  <c r="D207" i="266" s="1"/>
  <c r="L256" i="266"/>
  <c r="L257" i="266" s="1"/>
  <c r="L259" i="266" s="1"/>
  <c r="L261" i="266" s="1"/>
  <c r="O24" i="267"/>
  <c r="O30" i="268"/>
  <c r="K49" i="268"/>
  <c r="N39" i="269"/>
  <c r="N50" i="269" s="1"/>
  <c r="N34" i="261"/>
  <c r="N36" i="261" s="1"/>
  <c r="L43" i="261"/>
  <c r="E48" i="261"/>
  <c r="N56" i="261"/>
  <c r="J61" i="261"/>
  <c r="J89" i="261"/>
  <c r="G89" i="262"/>
  <c r="E97" i="262"/>
  <c r="G113" i="262"/>
  <c r="M64" i="265"/>
  <c r="J109" i="265" s="1"/>
  <c r="M109" i="265" s="1"/>
  <c r="J154" i="265" s="1"/>
  <c r="K603" i="265"/>
  <c r="F652" i="265"/>
  <c r="G693" i="265"/>
  <c r="I693" i="265" s="1"/>
  <c r="K739" i="265"/>
  <c r="J76" i="266"/>
  <c r="D176" i="266"/>
  <c r="D177" i="266" s="1"/>
  <c r="J186" i="266"/>
  <c r="J187" i="266" s="1"/>
  <c r="J189" i="266" s="1"/>
  <c r="J191" i="266" s="1"/>
  <c r="D216" i="266"/>
  <c r="D217" i="266" s="1"/>
  <c r="D256" i="266"/>
  <c r="D257" i="266" s="1"/>
  <c r="N47" i="268"/>
  <c r="E44" i="261"/>
  <c r="N76" i="261"/>
  <c r="K89" i="261"/>
  <c r="D90" i="262"/>
  <c r="F97" i="262"/>
  <c r="N64" i="265"/>
  <c r="K419" i="265"/>
  <c r="K423" i="265"/>
  <c r="G509" i="265"/>
  <c r="K76" i="266"/>
  <c r="L152" i="266"/>
  <c r="K166" i="266"/>
  <c r="K167" i="266" s="1"/>
  <c r="K169" i="266" s="1"/>
  <c r="H274" i="266"/>
  <c r="H41" i="266" s="1"/>
  <c r="D246" i="266"/>
  <c r="G243" i="266" s="1"/>
  <c r="E256" i="266"/>
  <c r="E257" i="266" s="1"/>
  <c r="H256" i="266"/>
  <c r="H257" i="266" s="1"/>
  <c r="H259" i="266" s="1"/>
  <c r="H261" i="266" s="1"/>
  <c r="M25" i="267"/>
  <c r="K29" i="268"/>
  <c r="K50" i="269"/>
  <c r="F44" i="261"/>
  <c r="E62" i="261"/>
  <c r="O76" i="261"/>
  <c r="G78" i="261"/>
  <c r="G330" i="265"/>
  <c r="K377" i="265"/>
  <c r="K643" i="265"/>
  <c r="K693" i="265"/>
  <c r="J697" i="265"/>
  <c r="M697" i="265" s="1"/>
  <c r="K734" i="265"/>
  <c r="K829" i="265"/>
  <c r="L22" i="266"/>
  <c r="L153" i="266"/>
  <c r="L155" i="266" s="1"/>
  <c r="I186" i="266"/>
  <c r="I187" i="266" s="1"/>
  <c r="I189" i="266" s="1"/>
  <c r="I191" i="266" s="1"/>
  <c r="G206" i="266"/>
  <c r="G207" i="266" s="1"/>
  <c r="I216" i="266"/>
  <c r="I217" i="266" s="1"/>
  <c r="I219" i="266" s="1"/>
  <c r="I221" i="266" s="1"/>
  <c r="H226" i="266"/>
  <c r="H227" i="266" s="1"/>
  <c r="H229" i="266" s="1"/>
  <c r="H231" i="266" s="1"/>
  <c r="E246" i="266"/>
  <c r="E247" i="266" s="1"/>
  <c r="I256" i="266"/>
  <c r="I257" i="266" s="1"/>
  <c r="I259" i="266" s="1"/>
  <c r="I261" i="266" s="1"/>
  <c r="I266" i="266"/>
  <c r="I267" i="266" s="1"/>
  <c r="I269" i="266" s="1"/>
  <c r="I271" i="266" s="1"/>
  <c r="L29" i="268"/>
  <c r="J38" i="268"/>
  <c r="J40" i="268" s="1"/>
  <c r="G44" i="261"/>
  <c r="F50" i="261"/>
  <c r="F62" i="261"/>
  <c r="D51" i="262"/>
  <c r="K77" i="262"/>
  <c r="H330" i="265"/>
  <c r="G335" i="265"/>
  <c r="K509" i="265"/>
  <c r="H90" i="266"/>
  <c r="H91" i="266" s="1"/>
  <c r="H93" i="266" s="1"/>
  <c r="K90" i="266"/>
  <c r="K91" i="266" s="1"/>
  <c r="K93" i="266" s="1"/>
  <c r="K95" i="266" s="1"/>
  <c r="J128" i="266"/>
  <c r="J31" i="266" s="1"/>
  <c r="H206" i="266"/>
  <c r="H207" i="266" s="1"/>
  <c r="H209" i="266" s="1"/>
  <c r="H211" i="266" s="1"/>
  <c r="F246" i="266"/>
  <c r="F247" i="266" s="1"/>
  <c r="F249" i="266" s="1"/>
  <c r="F251" i="266" s="1"/>
  <c r="J266" i="266"/>
  <c r="J267" i="266" s="1"/>
  <c r="J269" i="266" s="1"/>
  <c r="J271" i="266" s="1"/>
  <c r="M30" i="267"/>
  <c r="M32" i="267" s="1"/>
  <c r="L41" i="267"/>
  <c r="M29" i="268"/>
  <c r="K38" i="268"/>
  <c r="D83" i="261"/>
  <c r="G70" i="262"/>
  <c r="L77" i="262"/>
  <c r="I58" i="265"/>
  <c r="F103" i="265" s="1"/>
  <c r="K330" i="265"/>
  <c r="G336" i="265"/>
  <c r="I336" i="265" s="1"/>
  <c r="K644" i="265"/>
  <c r="M644" i="265" s="1"/>
  <c r="G787" i="265"/>
  <c r="G873" i="265"/>
  <c r="I275" i="266"/>
  <c r="I42" i="266" s="1"/>
  <c r="I53" i="266" s="1"/>
  <c r="I206" i="266"/>
  <c r="I207" i="266" s="1"/>
  <c r="I209" i="266" s="1"/>
  <c r="I211" i="266" s="1"/>
  <c r="L206" i="266"/>
  <c r="L207" i="266" s="1"/>
  <c r="L209" i="266" s="1"/>
  <c r="L211" i="266" s="1"/>
  <c r="J226" i="266"/>
  <c r="J227" i="266" s="1"/>
  <c r="J229" i="266" s="1"/>
  <c r="J231" i="266" s="1"/>
  <c r="D226" i="266"/>
  <c r="D227" i="266" s="1"/>
  <c r="N30" i="267"/>
  <c r="N32" i="267" s="1"/>
  <c r="M41" i="267"/>
  <c r="N29" i="268"/>
  <c r="J48" i="268"/>
  <c r="O51" i="268"/>
  <c r="D46" i="261"/>
  <c r="E54" i="261"/>
  <c r="E83" i="261"/>
  <c r="D59" i="262"/>
  <c r="D84" i="262"/>
  <c r="M58" i="263"/>
  <c r="E12" i="264"/>
  <c r="I18" i="265"/>
  <c r="H336" i="265"/>
  <c r="G375" i="265"/>
  <c r="I375" i="265" s="1"/>
  <c r="G515" i="265"/>
  <c r="G605" i="265"/>
  <c r="G783" i="265"/>
  <c r="I196" i="266"/>
  <c r="I197" i="266" s="1"/>
  <c r="I199" i="266" s="1"/>
  <c r="I201" i="266" s="1"/>
  <c r="I558" i="205"/>
  <c r="J467" i="205"/>
  <c r="K484" i="205"/>
  <c r="I575" i="205"/>
  <c r="O501" i="205"/>
  <c r="O558" i="205"/>
  <c r="G467" i="205"/>
  <c r="J541" i="205"/>
  <c r="L558" i="205"/>
  <c r="K541" i="205"/>
  <c r="M211" i="272"/>
  <c r="M212" i="272" s="1"/>
  <c r="K467" i="205"/>
  <c r="L520" i="205"/>
  <c r="O594" i="205"/>
  <c r="E501" i="205"/>
  <c r="F541" i="205"/>
  <c r="H467" i="205"/>
  <c r="L541" i="205"/>
  <c r="I484" i="205"/>
  <c r="F575" i="205"/>
  <c r="L484" i="205"/>
  <c r="O541" i="205"/>
  <c r="I594" i="205"/>
  <c r="N575" i="205"/>
  <c r="L501" i="205"/>
  <c r="H520" i="205"/>
  <c r="H521" i="205" s="1"/>
  <c r="M541" i="205"/>
  <c r="O575" i="205"/>
  <c r="L467" i="205"/>
  <c r="J558" i="205"/>
  <c r="Q564" i="205"/>
  <c r="Q565" i="205"/>
  <c r="Q566" i="205"/>
  <c r="Q567" i="205"/>
  <c r="Q568" i="205"/>
  <c r="Q569" i="205"/>
  <c r="M594" i="205"/>
  <c r="M467" i="205"/>
  <c r="K520" i="205"/>
  <c r="P541" i="205"/>
  <c r="N594" i="205"/>
  <c r="Q561" i="205"/>
  <c r="Q529" i="205"/>
  <c r="Q530" i="205"/>
  <c r="E484" i="205"/>
  <c r="P501" i="205"/>
  <c r="Q489" i="205"/>
  <c r="Q490" i="205"/>
  <c r="Q491" i="205"/>
  <c r="Q492" i="205"/>
  <c r="Q493" i="205"/>
  <c r="Q533" i="205"/>
  <c r="Q534" i="205"/>
  <c r="N484" i="205"/>
  <c r="N541" i="205"/>
  <c r="Q512" i="205"/>
  <c r="Q454" i="205"/>
  <c r="Q455" i="205"/>
  <c r="O520" i="205"/>
  <c r="F594" i="205"/>
  <c r="I501" i="205"/>
  <c r="H594" i="205"/>
  <c r="K501" i="205"/>
  <c r="G520" i="205"/>
  <c r="I520" i="205"/>
  <c r="N501" i="205"/>
  <c r="F467" i="205"/>
  <c r="Q459" i="205"/>
  <c r="Q460" i="205"/>
  <c r="Q461" i="205"/>
  <c r="Q471" i="205"/>
  <c r="I541" i="205"/>
  <c r="M211" i="271"/>
  <c r="M212" i="271" s="1"/>
  <c r="J22" i="202"/>
  <c r="Q506" i="205"/>
  <c r="F520" i="205"/>
  <c r="Q513" i="205"/>
  <c r="P594" i="205"/>
  <c r="J74" i="202"/>
  <c r="K74" i="202"/>
  <c r="P467" i="205"/>
  <c r="J484" i="205"/>
  <c r="Q547" i="205"/>
  <c r="Q548" i="205"/>
  <c r="L575" i="205"/>
  <c r="Q586" i="205"/>
  <c r="Q587" i="205"/>
  <c r="Q456" i="205"/>
  <c r="F558" i="205"/>
  <c r="G594" i="205"/>
  <c r="Q462" i="205"/>
  <c r="G558" i="205"/>
  <c r="Q563" i="205"/>
  <c r="K56" i="202"/>
  <c r="H558" i="205"/>
  <c r="J594" i="205"/>
  <c r="Q531" i="205"/>
  <c r="K594" i="205"/>
  <c r="E68" i="269"/>
  <c r="F68" i="269" s="1"/>
  <c r="E467" i="205"/>
  <c r="N520" i="205"/>
  <c r="Q535" i="205"/>
  <c r="L594" i="205"/>
  <c r="Q470" i="205"/>
  <c r="K22" i="202"/>
  <c r="J39" i="202"/>
  <c r="J501" i="205"/>
  <c r="H541" i="205"/>
  <c r="Q458" i="206"/>
  <c r="Q532" i="206"/>
  <c r="J30" i="269"/>
  <c r="I112" i="262"/>
  <c r="I40" i="262"/>
  <c r="I75" i="262"/>
  <c r="I100" i="261"/>
  <c r="I102" i="261" s="1"/>
  <c r="I67" i="261"/>
  <c r="I69" i="261" s="1"/>
  <c r="I36" i="261"/>
  <c r="I39" i="267"/>
  <c r="I45" i="267" s="1"/>
  <c r="I47" i="267" s="1"/>
  <c r="K33" i="260"/>
  <c r="J741" i="265"/>
  <c r="J424" i="265"/>
  <c r="M107" i="265"/>
  <c r="J152" i="265" s="1"/>
  <c r="P13" i="260"/>
  <c r="M23" i="260"/>
  <c r="D44" i="261"/>
  <c r="D34" i="261"/>
  <c r="G49" i="261"/>
  <c r="G82" i="261"/>
  <c r="F54" i="261"/>
  <c r="F87" i="261"/>
  <c r="O91" i="261"/>
  <c r="E49" i="262"/>
  <c r="E86" i="262"/>
  <c r="F107" i="262"/>
  <c r="F70" i="262"/>
  <c r="G74" i="262"/>
  <c r="G111" i="262"/>
  <c r="E113" i="262"/>
  <c r="E76" i="262"/>
  <c r="G37" i="263"/>
  <c r="F22" i="260" s="1"/>
  <c r="G48" i="263"/>
  <c r="G56" i="263" s="1"/>
  <c r="F32" i="260" s="1"/>
  <c r="F694" i="265"/>
  <c r="N60" i="265"/>
  <c r="F377" i="265"/>
  <c r="G557" i="265"/>
  <c r="G874" i="265"/>
  <c r="P31" i="260"/>
  <c r="J34" i="261"/>
  <c r="F76" i="262"/>
  <c r="F113" i="262"/>
  <c r="G694" i="265"/>
  <c r="G377" i="265"/>
  <c r="E38" i="262"/>
  <c r="E64" i="261"/>
  <c r="E97" i="261"/>
  <c r="L147" i="266"/>
  <c r="L71" i="266"/>
  <c r="J23" i="260"/>
  <c r="I24" i="267" s="1"/>
  <c r="J10" i="260"/>
  <c r="J13" i="260" s="1"/>
  <c r="K13" i="260" s="1"/>
  <c r="G49" i="262"/>
  <c r="G86" i="262"/>
  <c r="D112" i="262"/>
  <c r="D114" i="262" s="1"/>
  <c r="D75" i="262"/>
  <c r="D77" i="262" s="1"/>
  <c r="D40" i="262"/>
  <c r="K335" i="265"/>
  <c r="K652" i="265"/>
  <c r="J375" i="265"/>
  <c r="N375" i="265" s="1"/>
  <c r="J692" i="265"/>
  <c r="L13" i="260"/>
  <c r="K20" i="260"/>
  <c r="D71" i="262"/>
  <c r="D108" i="262"/>
  <c r="E65" i="262"/>
  <c r="G643" i="265"/>
  <c r="G326" i="265"/>
  <c r="G49" i="265"/>
  <c r="M10" i="265"/>
  <c r="O10" i="265" s="1"/>
  <c r="L652" i="265"/>
  <c r="L335" i="265"/>
  <c r="K375" i="265"/>
  <c r="K692" i="265"/>
  <c r="J377" i="265"/>
  <c r="M60" i="265"/>
  <c r="J105" i="265" s="1"/>
  <c r="J694" i="265"/>
  <c r="M694" i="265" s="1"/>
  <c r="K184" i="265"/>
  <c r="K778" i="265"/>
  <c r="K461" i="265"/>
  <c r="N335" i="265"/>
  <c r="J295" i="266"/>
  <c r="G76" i="261"/>
  <c r="G34" i="261"/>
  <c r="D48" i="261"/>
  <c r="D81" i="261"/>
  <c r="O56" i="261"/>
  <c r="O89" i="261"/>
  <c r="K60" i="261"/>
  <c r="K93" i="261"/>
  <c r="K94" i="261"/>
  <c r="K61" i="261"/>
  <c r="M36" i="261"/>
  <c r="D50" i="262"/>
  <c r="D87" i="262"/>
  <c r="D101" i="262"/>
  <c r="D64" i="262"/>
  <c r="E71" i="262"/>
  <c r="E108" i="262"/>
  <c r="D48" i="262"/>
  <c r="H49" i="265"/>
  <c r="H326" i="265"/>
  <c r="M18" i="265"/>
  <c r="O18" i="265" s="1"/>
  <c r="F688" i="265"/>
  <c r="F371" i="265"/>
  <c r="N54" i="265"/>
  <c r="M58" i="265"/>
  <c r="J103" i="265" s="1"/>
  <c r="G467" i="265"/>
  <c r="G784" i="265"/>
  <c r="F108" i="262"/>
  <c r="F71" i="262"/>
  <c r="H75" i="262"/>
  <c r="H112" i="262"/>
  <c r="E48" i="262"/>
  <c r="I9" i="265"/>
  <c r="H334" i="265"/>
  <c r="H651" i="265"/>
  <c r="N58" i="265"/>
  <c r="I381" i="265"/>
  <c r="N381" i="265"/>
  <c r="N643" i="265"/>
  <c r="K71" i="266"/>
  <c r="K147" i="266"/>
  <c r="P20" i="260"/>
  <c r="P30" i="260"/>
  <c r="N33" i="260"/>
  <c r="F48" i="261"/>
  <c r="F81" i="261"/>
  <c r="M93" i="261"/>
  <c r="M60" i="261"/>
  <c r="M61" i="261"/>
  <c r="M94" i="261"/>
  <c r="F64" i="261"/>
  <c r="F97" i="261"/>
  <c r="F61" i="261"/>
  <c r="G108" i="262"/>
  <c r="H40" i="262"/>
  <c r="I12" i="260"/>
  <c r="K649" i="265"/>
  <c r="K332" i="265"/>
  <c r="I17" i="265"/>
  <c r="I54" i="265"/>
  <c r="G229" i="265"/>
  <c r="G506" i="265"/>
  <c r="G823" i="265"/>
  <c r="N331" i="265"/>
  <c r="I331" i="265"/>
  <c r="H643" i="265"/>
  <c r="O22" i="260"/>
  <c r="O23" i="260" s="1"/>
  <c r="F45" i="261"/>
  <c r="F34" i="261"/>
  <c r="J58" i="261"/>
  <c r="J91" i="261"/>
  <c r="N60" i="261"/>
  <c r="N93" i="261"/>
  <c r="N61" i="261"/>
  <c r="N94" i="261"/>
  <c r="G97" i="261"/>
  <c r="G64" i="261"/>
  <c r="F46" i="261"/>
  <c r="K58" i="261"/>
  <c r="G87" i="262"/>
  <c r="G50" i="262"/>
  <c r="E70" i="262"/>
  <c r="K511" i="265"/>
  <c r="K229" i="265"/>
  <c r="K877" i="265"/>
  <c r="K560" i="265"/>
  <c r="I643" i="265"/>
  <c r="M15" i="265"/>
  <c r="O15" i="265" s="1"/>
  <c r="J649" i="265"/>
  <c r="M649" i="265" s="1"/>
  <c r="J332" i="265"/>
  <c r="P22" i="260"/>
  <c r="O61" i="261"/>
  <c r="O94" i="261"/>
  <c r="K54" i="261"/>
  <c r="L58" i="261"/>
  <c r="M76" i="261"/>
  <c r="D82" i="261"/>
  <c r="G96" i="262"/>
  <c r="G59" i="262"/>
  <c r="F49" i="262"/>
  <c r="G109" i="262"/>
  <c r="F736" i="265"/>
  <c r="F419" i="265"/>
  <c r="I102" i="265"/>
  <c r="K741" i="265"/>
  <c r="K424" i="265"/>
  <c r="L42" i="266"/>
  <c r="O148" i="266"/>
  <c r="G688" i="265"/>
  <c r="G371" i="265"/>
  <c r="G94" i="265"/>
  <c r="K37" i="263"/>
  <c r="J733" i="265"/>
  <c r="J416" i="265"/>
  <c r="I104" i="265"/>
  <c r="F738" i="265"/>
  <c r="K786" i="265"/>
  <c r="K469" i="265"/>
  <c r="N332" i="265"/>
  <c r="L90" i="266"/>
  <c r="L91" i="266" s="1"/>
  <c r="L93" i="266" s="1"/>
  <c r="F90" i="266"/>
  <c r="F91" i="266" s="1"/>
  <c r="F93" i="266" s="1"/>
  <c r="G93" i="266" s="1"/>
  <c r="F129" i="266"/>
  <c r="D64" i="261"/>
  <c r="D97" i="261"/>
  <c r="D74" i="262"/>
  <c r="D111" i="262"/>
  <c r="L327" i="265"/>
  <c r="L366" i="265" s="1"/>
  <c r="J43" i="261"/>
  <c r="M54" i="261"/>
  <c r="E78" i="261"/>
  <c r="H102" i="261"/>
  <c r="D107" i="262"/>
  <c r="D70" i="262"/>
  <c r="E87" i="262"/>
  <c r="F698" i="265"/>
  <c r="I64" i="265"/>
  <c r="G738" i="265"/>
  <c r="G421" i="265"/>
  <c r="G465" i="265"/>
  <c r="G782" i="265"/>
  <c r="K516" i="265"/>
  <c r="E274" i="266"/>
  <c r="E166" i="266"/>
  <c r="E167" i="266" s="1"/>
  <c r="G43" i="261"/>
  <c r="I23" i="260"/>
  <c r="O54" i="261"/>
  <c r="D77" i="261"/>
  <c r="D49" i="262"/>
  <c r="D86" i="262"/>
  <c r="F74" i="262"/>
  <c r="F111" i="262"/>
  <c r="F87" i="262"/>
  <c r="D37" i="263"/>
  <c r="F379" i="265"/>
  <c r="I62" i="265"/>
  <c r="F696" i="265"/>
  <c r="F421" i="265"/>
  <c r="H728" i="265"/>
  <c r="I692" i="265"/>
  <c r="L23" i="260"/>
  <c r="O34" i="261"/>
  <c r="F82" i="261"/>
  <c r="D87" i="261"/>
  <c r="L37" i="263"/>
  <c r="I14" i="265"/>
  <c r="N14" i="265"/>
  <c r="J651" i="265"/>
  <c r="N17" i="265"/>
  <c r="M17" i="265"/>
  <c r="J94" i="265"/>
  <c r="J371" i="265"/>
  <c r="F374" i="265"/>
  <c r="N57" i="265"/>
  <c r="J68" i="261"/>
  <c r="E64" i="262"/>
  <c r="M21" i="263"/>
  <c r="L329" i="265"/>
  <c r="L646" i="265"/>
  <c r="F333" i="265"/>
  <c r="F650" i="265"/>
  <c r="I16" i="265"/>
  <c r="O16" i="265" s="1"/>
  <c r="K651" i="265"/>
  <c r="K334" i="265"/>
  <c r="M334" i="265" s="1"/>
  <c r="K371" i="265"/>
  <c r="K688" i="265"/>
  <c r="K94" i="265"/>
  <c r="G374" i="265"/>
  <c r="G691" i="265"/>
  <c r="H863" i="265"/>
  <c r="G419" i="265"/>
  <c r="G736" i="265"/>
  <c r="K558" i="265"/>
  <c r="K875" i="265"/>
  <c r="D95" i="261"/>
  <c r="G84" i="262"/>
  <c r="G38" i="262"/>
  <c r="J16" i="262" s="1"/>
  <c r="G90" i="262"/>
  <c r="F63" i="262"/>
  <c r="F100" i="262"/>
  <c r="E52" i="262"/>
  <c r="G64" i="262"/>
  <c r="O21" i="263"/>
  <c r="H333" i="265"/>
  <c r="H650" i="265"/>
  <c r="G139" i="265"/>
  <c r="G416" i="265"/>
  <c r="K831" i="265"/>
  <c r="K514" i="265"/>
  <c r="K868" i="265"/>
  <c r="K551" i="265"/>
  <c r="K274" i="265"/>
  <c r="H773" i="265"/>
  <c r="D52" i="262"/>
  <c r="E37" i="263"/>
  <c r="E48" i="263"/>
  <c r="E56" i="263" s="1"/>
  <c r="J49" i="265"/>
  <c r="M650" i="265"/>
  <c r="K426" i="265"/>
  <c r="K743" i="265"/>
  <c r="I423" i="265"/>
  <c r="K916" i="265"/>
  <c r="H327" i="265"/>
  <c r="H644" i="265"/>
  <c r="G650" i="265"/>
  <c r="G333" i="265"/>
  <c r="E34" i="261"/>
  <c r="G47" i="262"/>
  <c r="F52" i="262"/>
  <c r="O30" i="260"/>
  <c r="O33" i="260" s="1"/>
  <c r="O13" i="260"/>
  <c r="J54" i="261"/>
  <c r="D113" i="262"/>
  <c r="D76" i="262"/>
  <c r="F326" i="265"/>
  <c r="N9" i="265"/>
  <c r="F330" i="265"/>
  <c r="F647" i="265"/>
  <c r="I13" i="265"/>
  <c r="N13" i="265"/>
  <c r="L648" i="265"/>
  <c r="L331" i="265"/>
  <c r="M331" i="265" s="1"/>
  <c r="K733" i="265"/>
  <c r="K139" i="265"/>
  <c r="G869" i="265"/>
  <c r="G552" i="265"/>
  <c r="G274" i="265"/>
  <c r="K872" i="265"/>
  <c r="K555" i="265"/>
  <c r="H636" i="265"/>
  <c r="F648" i="265"/>
  <c r="N22" i="260"/>
  <c r="N23" i="260" s="1"/>
  <c r="D48" i="263"/>
  <c r="D56" i="263" s="1"/>
  <c r="M9" i="265"/>
  <c r="J647" i="265"/>
  <c r="M647" i="265" s="1"/>
  <c r="J330" i="265"/>
  <c r="J691" i="265"/>
  <c r="M691" i="265" s="1"/>
  <c r="M57" i="265"/>
  <c r="J102" i="265" s="1"/>
  <c r="N102" i="265" s="1"/>
  <c r="F378" i="265"/>
  <c r="F695" i="265"/>
  <c r="G417" i="265"/>
  <c r="G734" i="265"/>
  <c r="K782" i="265"/>
  <c r="K465" i="265"/>
  <c r="H591" i="265"/>
  <c r="K737" i="265"/>
  <c r="K823" i="265"/>
  <c r="G827" i="265"/>
  <c r="G646" i="265"/>
  <c r="G329" i="265"/>
  <c r="I329" i="265" s="1"/>
  <c r="F372" i="265"/>
  <c r="F689" i="265"/>
  <c r="I55" i="265"/>
  <c r="J376" i="265"/>
  <c r="N376" i="265" s="1"/>
  <c r="J693" i="265"/>
  <c r="F740" i="265"/>
  <c r="I106" i="265"/>
  <c r="G380" i="265"/>
  <c r="G697" i="265"/>
  <c r="K468" i="265"/>
  <c r="K785" i="265"/>
  <c r="M326" i="265"/>
  <c r="J378" i="265"/>
  <c r="K510" i="265"/>
  <c r="F653" i="265"/>
  <c r="H646" i="265"/>
  <c r="H329" i="265"/>
  <c r="N15" i="265"/>
  <c r="F649" i="265"/>
  <c r="F108" i="265"/>
  <c r="O63" i="265"/>
  <c r="K597" i="265"/>
  <c r="K914" i="265"/>
  <c r="K376" i="265"/>
  <c r="K378" i="265"/>
  <c r="H501" i="265"/>
  <c r="L636" i="265"/>
  <c r="J646" i="265"/>
  <c r="J22" i="266"/>
  <c r="J153" i="266"/>
  <c r="J155" i="266" s="1"/>
  <c r="J77" i="266"/>
  <c r="J79" i="266" s="1"/>
  <c r="I95" i="266"/>
  <c r="K45" i="267"/>
  <c r="K47" i="267" s="1"/>
  <c r="K30" i="267"/>
  <c r="K32" i="267" s="1"/>
  <c r="F18" i="263"/>
  <c r="E18" i="263"/>
  <c r="M13" i="265"/>
  <c r="G332" i="265"/>
  <c r="I332" i="265" s="1"/>
  <c r="G649" i="265"/>
  <c r="J333" i="265"/>
  <c r="M333" i="265" s="1"/>
  <c r="H411" i="265"/>
  <c r="L501" i="265"/>
  <c r="K153" i="266"/>
  <c r="K155" i="266" s="1"/>
  <c r="K77" i="266"/>
  <c r="K79" i="266" s="1"/>
  <c r="K22" i="266"/>
  <c r="G18" i="263"/>
  <c r="G21" i="263" s="1"/>
  <c r="G40" i="263" s="1"/>
  <c r="G59" i="263" s="1"/>
  <c r="F29" i="263"/>
  <c r="F644" i="265"/>
  <c r="F327" i="265"/>
  <c r="N10" i="265"/>
  <c r="K646" i="265"/>
  <c r="K329" i="265"/>
  <c r="M16" i="265"/>
  <c r="I19" i="265"/>
  <c r="O19" i="265" s="1"/>
  <c r="K49" i="265"/>
  <c r="M61" i="265"/>
  <c r="K466" i="265"/>
  <c r="K783" i="265"/>
  <c r="K507" i="265"/>
  <c r="K824" i="265"/>
  <c r="L411" i="265"/>
  <c r="H953" i="265"/>
  <c r="H95" i="266"/>
  <c r="D274" i="266"/>
  <c r="H275" i="266"/>
  <c r="H42" i="266" s="1"/>
  <c r="H53" i="266" s="1"/>
  <c r="H166" i="266"/>
  <c r="H167" i="266" s="1"/>
  <c r="H169" i="266" s="1"/>
  <c r="J653" i="265"/>
  <c r="J336" i="265"/>
  <c r="M336" i="265" s="1"/>
  <c r="L49" i="265"/>
  <c r="G781" i="265"/>
  <c r="G464" i="265"/>
  <c r="G184" i="265"/>
  <c r="L643" i="265"/>
  <c r="M643" i="265" s="1"/>
  <c r="F39" i="268"/>
  <c r="E20" i="268"/>
  <c r="F20" i="268" s="1"/>
  <c r="M14" i="265"/>
  <c r="J648" i="265"/>
  <c r="F651" i="265"/>
  <c r="F334" i="265"/>
  <c r="H652" i="265"/>
  <c r="I652" i="265" s="1"/>
  <c r="H335" i="265"/>
  <c r="I335" i="265" s="1"/>
  <c r="M381" i="265"/>
  <c r="K917" i="265"/>
  <c r="K600" i="265"/>
  <c r="K921" i="265"/>
  <c r="K604" i="265"/>
  <c r="G555" i="265"/>
  <c r="L728" i="265"/>
  <c r="L908" i="265"/>
  <c r="L953" i="265"/>
  <c r="D95" i="266"/>
  <c r="D133" i="266"/>
  <c r="G186" i="266"/>
  <c r="G187" i="266" s="1"/>
  <c r="I12" i="265"/>
  <c r="O12" i="265" s="1"/>
  <c r="F646" i="265"/>
  <c r="J652" i="265"/>
  <c r="J335" i="265"/>
  <c r="L653" i="265"/>
  <c r="L336" i="265"/>
  <c r="K421" i="265"/>
  <c r="K738" i="265"/>
  <c r="G913" i="265"/>
  <c r="G319" i="265"/>
  <c r="G596" i="265"/>
  <c r="G600" i="265"/>
  <c r="J71" i="266"/>
  <c r="J147" i="266"/>
  <c r="M73" i="266"/>
  <c r="N69" i="266" s="1"/>
  <c r="J90" i="266"/>
  <c r="J91" i="266" s="1"/>
  <c r="J93" i="266" s="1"/>
  <c r="D129" i="266"/>
  <c r="J45" i="267"/>
  <c r="J47" i="267" s="1"/>
  <c r="J30" i="267"/>
  <c r="J32" i="267" s="1"/>
  <c r="F697" i="265"/>
  <c r="F380" i="265"/>
  <c r="G420" i="265"/>
  <c r="G737" i="265"/>
  <c r="H456" i="265"/>
  <c r="J13" i="266"/>
  <c r="D128" i="266"/>
  <c r="G129" i="266"/>
  <c r="G32" i="266" s="1"/>
  <c r="G90" i="266"/>
  <c r="G91" i="266" s="1"/>
  <c r="E279" i="266"/>
  <c r="E281" i="266" s="1"/>
  <c r="E171" i="266"/>
  <c r="G239" i="266"/>
  <c r="G241" i="266" s="1"/>
  <c r="E69" i="266"/>
  <c r="D30" i="266"/>
  <c r="K171" i="266"/>
  <c r="N148" i="266"/>
  <c r="K42" i="266"/>
  <c r="H297" i="266"/>
  <c r="J291" i="266"/>
  <c r="H818" i="265"/>
  <c r="G829" i="265"/>
  <c r="K830" i="265"/>
  <c r="G914" i="265"/>
  <c r="K73" i="266"/>
  <c r="L69" i="266" s="1"/>
  <c r="L75" i="266" s="1"/>
  <c r="K149" i="266"/>
  <c r="L145" i="266" s="1"/>
  <c r="G551" i="265"/>
  <c r="K606" i="265"/>
  <c r="G689" i="265"/>
  <c r="L818" i="265"/>
  <c r="K876" i="265"/>
  <c r="O22" i="266"/>
  <c r="F128" i="266"/>
  <c r="F100" i="266"/>
  <c r="F101" i="266" s="1"/>
  <c r="F103" i="266" s="1"/>
  <c r="F105" i="266" s="1"/>
  <c r="L148" i="266"/>
  <c r="G919" i="265"/>
  <c r="J145" i="266"/>
  <c r="J151" i="266" s="1"/>
  <c r="J69" i="266"/>
  <c r="F166" i="266"/>
  <c r="F167" i="266" s="1"/>
  <c r="F169" i="266" s="1"/>
  <c r="G169" i="266" s="1"/>
  <c r="F273" i="266"/>
  <c r="I274" i="266"/>
  <c r="I41" i="266" s="1"/>
  <c r="N47" i="267"/>
  <c r="E50" i="269"/>
  <c r="F50" i="269" s="1"/>
  <c r="E10" i="269"/>
  <c r="E30" i="269" s="1"/>
  <c r="K467" i="265"/>
  <c r="I128" i="266"/>
  <c r="I31" i="266" s="1"/>
  <c r="D111" i="266"/>
  <c r="G107" i="266"/>
  <c r="G110" i="266" s="1"/>
  <c r="G273" i="266"/>
  <c r="E273" i="266"/>
  <c r="E176" i="266"/>
  <c r="E177" i="266" s="1"/>
  <c r="K374" i="265"/>
  <c r="M374" i="265" s="1"/>
  <c r="L274" i="266"/>
  <c r="L166" i="266"/>
  <c r="L167" i="266" s="1"/>
  <c r="L169" i="266" s="1"/>
  <c r="I166" i="266"/>
  <c r="I167" i="266" s="1"/>
  <c r="I169" i="266" s="1"/>
  <c r="G176" i="266"/>
  <c r="G177" i="266" s="1"/>
  <c r="L296" i="266"/>
  <c r="M289" i="266" s="1"/>
  <c r="L291" i="266"/>
  <c r="E129" i="266"/>
  <c r="H176" i="266"/>
  <c r="H177" i="266" s="1"/>
  <c r="H179" i="266" s="1"/>
  <c r="H181" i="266" s="1"/>
  <c r="G189" i="266"/>
  <c r="G191" i="266" s="1"/>
  <c r="F191" i="266"/>
  <c r="F196" i="266"/>
  <c r="F197" i="266" s="1"/>
  <c r="F199" i="266" s="1"/>
  <c r="L21" i="268"/>
  <c r="L38" i="268"/>
  <c r="L40" i="268" s="1"/>
  <c r="L57" i="268"/>
  <c r="L59" i="268" s="1"/>
  <c r="D90" i="266"/>
  <c r="D91" i="266" s="1"/>
  <c r="G128" i="266"/>
  <c r="G31" i="266" s="1"/>
  <c r="G52" i="266" s="1"/>
  <c r="E133" i="266"/>
  <c r="D100" i="266"/>
  <c r="J166" i="266"/>
  <c r="J167" i="266" s="1"/>
  <c r="J169" i="266" s="1"/>
  <c r="D275" i="266"/>
  <c r="K196" i="266"/>
  <c r="K197" i="266" s="1"/>
  <c r="K199" i="266" s="1"/>
  <c r="K201" i="266" s="1"/>
  <c r="I295" i="266"/>
  <c r="I297" i="266"/>
  <c r="I299" i="266" s="1"/>
  <c r="I301" i="266" s="1"/>
  <c r="H13" i="268"/>
  <c r="J38" i="269"/>
  <c r="J50" i="269" s="1"/>
  <c r="E90" i="266"/>
  <c r="E91" i="266" s="1"/>
  <c r="E127" i="266"/>
  <c r="K129" i="266"/>
  <c r="K32" i="266" s="1"/>
  <c r="K53" i="266" s="1"/>
  <c r="E275" i="266"/>
  <c r="G165" i="266"/>
  <c r="G246" i="266"/>
  <c r="D247" i="266"/>
  <c r="H40" i="268"/>
  <c r="H19" i="268"/>
  <c r="K18" i="266"/>
  <c r="N79" i="266"/>
  <c r="F127" i="266"/>
  <c r="L129" i="266"/>
  <c r="L32" i="266" s="1"/>
  <c r="L273" i="266"/>
  <c r="F275" i="266"/>
  <c r="K295" i="266"/>
  <c r="K297" i="266"/>
  <c r="K299" i="266" s="1"/>
  <c r="K301" i="266" s="1"/>
  <c r="I19" i="268"/>
  <c r="I40" i="268"/>
  <c r="M24" i="267"/>
  <c r="M39" i="267"/>
  <c r="J50" i="268"/>
  <c r="J31" i="268"/>
  <c r="M38" i="269"/>
  <c r="M50" i="269" s="1"/>
  <c r="M30" i="269"/>
  <c r="F176" i="266"/>
  <c r="F177" i="266" s="1"/>
  <c r="F179" i="266" s="1"/>
  <c r="K53" i="268"/>
  <c r="K36" i="268"/>
  <c r="K55" i="268" s="1"/>
  <c r="F274" i="266"/>
  <c r="H236" i="266"/>
  <c r="H237" i="266" s="1"/>
  <c r="H239" i="266" s="1"/>
  <c r="H241" i="266" s="1"/>
  <c r="J176" i="266"/>
  <c r="J177" i="266" s="1"/>
  <c r="J179" i="266" s="1"/>
  <c r="J181" i="266" s="1"/>
  <c r="J196" i="266"/>
  <c r="J197" i="266" s="1"/>
  <c r="J199" i="266" s="1"/>
  <c r="J201" i="266" s="1"/>
  <c r="F216" i="266"/>
  <c r="F217" i="266" s="1"/>
  <c r="F219" i="266" s="1"/>
  <c r="F221" i="266" s="1"/>
  <c r="L24" i="267"/>
  <c r="L39" i="267"/>
  <c r="O25" i="267"/>
  <c r="O40" i="267"/>
  <c r="O39" i="268"/>
  <c r="O58" i="268"/>
  <c r="E211" i="266"/>
  <c r="G209" i="266"/>
  <c r="G211" i="266" s="1"/>
  <c r="G229" i="266"/>
  <c r="G231" i="266" s="1"/>
  <c r="K236" i="266"/>
  <c r="K237" i="266" s="1"/>
  <c r="K239" i="266" s="1"/>
  <c r="K241" i="266" s="1"/>
  <c r="G256" i="266"/>
  <c r="G257" i="266" s="1"/>
  <c r="O13" i="267"/>
  <c r="O28" i="267" s="1"/>
  <c r="M28" i="267"/>
  <c r="N13" i="267"/>
  <c r="N28" i="267" s="1"/>
  <c r="O30" i="267"/>
  <c r="O32" i="267" s="1"/>
  <c r="O45" i="267"/>
  <c r="O47" i="267" s="1"/>
  <c r="M21" i="268"/>
  <c r="M38" i="268"/>
  <c r="M40" i="268" s="1"/>
  <c r="I58" i="268"/>
  <c r="I20" i="268" s="1"/>
  <c r="I51" i="268"/>
  <c r="I13" i="268" s="1"/>
  <c r="J274" i="266"/>
  <c r="D266" i="266"/>
  <c r="D267" i="266" s="1"/>
  <c r="J26" i="267"/>
  <c r="J41" i="267"/>
  <c r="E14" i="267"/>
  <c r="F14" i="267" s="1"/>
  <c r="F44" i="267"/>
  <c r="N38" i="268"/>
  <c r="N40" i="268" s="1"/>
  <c r="N57" i="268"/>
  <c r="J49" i="268"/>
  <c r="H59" i="268"/>
  <c r="K274" i="266"/>
  <c r="O57" i="268"/>
  <c r="O38" i="268"/>
  <c r="L53" i="268"/>
  <c r="D279" i="266"/>
  <c r="D281" i="266" s="1"/>
  <c r="H186" i="266"/>
  <c r="H187" i="266" s="1"/>
  <c r="H189" i="266" s="1"/>
  <c r="H191" i="266" s="1"/>
  <c r="E216" i="266"/>
  <c r="E217" i="266" s="1"/>
  <c r="K14" i="267"/>
  <c r="O30" i="269"/>
  <c r="H68" i="269"/>
  <c r="I226" i="266"/>
  <c r="I227" i="266" s="1"/>
  <c r="I229" i="266" s="1"/>
  <c r="I231" i="266" s="1"/>
  <c r="J236" i="266"/>
  <c r="J237" i="266" s="1"/>
  <c r="J239" i="266" s="1"/>
  <c r="J241" i="266" s="1"/>
  <c r="F256" i="266"/>
  <c r="F257" i="266" s="1"/>
  <c r="F259" i="266" s="1"/>
  <c r="F261" i="266" s="1"/>
  <c r="O26" i="267"/>
  <c r="O41" i="267"/>
  <c r="D30" i="269"/>
  <c r="J51" i="268"/>
  <c r="J32" i="268"/>
  <c r="L50" i="269"/>
  <c r="J68" i="269"/>
  <c r="D273" i="266"/>
  <c r="G274" i="266"/>
  <c r="G41" i="266" s="1"/>
  <c r="J275" i="266"/>
  <c r="K186" i="266"/>
  <c r="K187" i="266" s="1"/>
  <c r="K189" i="266" s="1"/>
  <c r="K191" i="266" s="1"/>
  <c r="E206" i="266"/>
  <c r="E207" i="266" s="1"/>
  <c r="E221" i="266"/>
  <c r="K226" i="266"/>
  <c r="K227" i="266" s="1"/>
  <c r="K229" i="266" s="1"/>
  <c r="K231" i="266" s="1"/>
  <c r="L236" i="266"/>
  <c r="L237" i="266" s="1"/>
  <c r="L239" i="266" s="1"/>
  <c r="L241" i="266" s="1"/>
  <c r="E261" i="266"/>
  <c r="K266" i="266"/>
  <c r="K267" i="266" s="1"/>
  <c r="K269" i="266" s="1"/>
  <c r="K271" i="266" s="1"/>
  <c r="K51" i="268"/>
  <c r="K32" i="268"/>
  <c r="E40" i="268"/>
  <c r="F40" i="268" s="1"/>
  <c r="M58" i="268"/>
  <c r="M59" i="268" s="1"/>
  <c r="K68" i="269"/>
  <c r="L186" i="266"/>
  <c r="L187" i="266" s="1"/>
  <c r="L189" i="266" s="1"/>
  <c r="L191" i="266" s="1"/>
  <c r="L266" i="266"/>
  <c r="L267" i="266" s="1"/>
  <c r="L269" i="266" s="1"/>
  <c r="L271" i="266" s="1"/>
  <c r="N25" i="267"/>
  <c r="N40" i="267"/>
  <c r="N26" i="267"/>
  <c r="L47" i="268"/>
  <c r="L28" i="268"/>
  <c r="L51" i="268"/>
  <c r="L32" i="268"/>
  <c r="N30" i="268"/>
  <c r="H58" i="268"/>
  <c r="H20" i="268" s="1"/>
  <c r="H51" i="268"/>
  <c r="N58" i="268"/>
  <c r="G30" i="269"/>
  <c r="I68" i="269"/>
  <c r="E295" i="266"/>
  <c r="M28" i="268"/>
  <c r="F30" i="268"/>
  <c r="N36" i="268"/>
  <c r="N55" i="268" s="1"/>
  <c r="E57" i="268"/>
  <c r="P558" i="205"/>
  <c r="G575" i="205"/>
  <c r="Q562" i="205"/>
  <c r="Q570" i="205"/>
  <c r="M501" i="205"/>
  <c r="Q503" i="205"/>
  <c r="Q504" i="205"/>
  <c r="E520" i="205"/>
  <c r="Q505" i="205"/>
  <c r="P520" i="205"/>
  <c r="E558" i="205"/>
  <c r="Q544" i="205"/>
  <c r="Q545" i="205"/>
  <c r="Q546" i="205"/>
  <c r="H575" i="205"/>
  <c r="Q507" i="205"/>
  <c r="Q508" i="205"/>
  <c r="Q509" i="205"/>
  <c r="Q510" i="205"/>
  <c r="Q549" i="205"/>
  <c r="Q550" i="205"/>
  <c r="Q551" i="205"/>
  <c r="Q552" i="205"/>
  <c r="Q528" i="205"/>
  <c r="Q487" i="205"/>
  <c r="Q488" i="205"/>
  <c r="O467" i="205"/>
  <c r="N467" i="205"/>
  <c r="O484" i="205"/>
  <c r="F501" i="205"/>
  <c r="J520" i="205"/>
  <c r="G541" i="205"/>
  <c r="M575" i="205"/>
  <c r="E594" i="205"/>
  <c r="Q578" i="205"/>
  <c r="Q579" i="205"/>
  <c r="Q580" i="205"/>
  <c r="Q581" i="205"/>
  <c r="Q582" i="205"/>
  <c r="Q583" i="205"/>
  <c r="Q584" i="205"/>
  <c r="P484" i="205"/>
  <c r="Q494" i="205"/>
  <c r="Q495" i="205"/>
  <c r="Q496" i="205"/>
  <c r="Q536" i="205"/>
  <c r="Q457" i="205"/>
  <c r="Q469" i="205"/>
  <c r="Q472" i="205"/>
  <c r="Q473" i="205"/>
  <c r="Q474" i="205"/>
  <c r="Q475" i="205"/>
  <c r="Q476" i="205"/>
  <c r="Q477" i="205"/>
  <c r="Q478" i="205"/>
  <c r="M520" i="205"/>
  <c r="M558" i="205"/>
  <c r="G484" i="205"/>
  <c r="N558" i="205"/>
  <c r="E575" i="205"/>
  <c r="Q560" i="205"/>
  <c r="P575" i="205"/>
  <c r="E541" i="205"/>
  <c r="Q543" i="205"/>
  <c r="Q577" i="205"/>
  <c r="Q486" i="205"/>
  <c r="K39" i="202"/>
  <c r="J56" i="202"/>
  <c r="N104" i="265" l="1"/>
  <c r="J738" i="265"/>
  <c r="O59" i="265"/>
  <c r="M102" i="261"/>
  <c r="N100" i="261"/>
  <c r="N102" i="261" s="1"/>
  <c r="J75" i="266"/>
  <c r="N692" i="265"/>
  <c r="J421" i="265"/>
  <c r="O67" i="261"/>
  <c r="O69" i="261" s="1"/>
  <c r="I376" i="265"/>
  <c r="K75" i="266"/>
  <c r="J417" i="265"/>
  <c r="M417" i="265" s="1"/>
  <c r="J734" i="265"/>
  <c r="I691" i="265"/>
  <c r="O691" i="265" s="1"/>
  <c r="J515" i="265"/>
  <c r="M515" i="265" s="1"/>
  <c r="M379" i="265"/>
  <c r="J426" i="265"/>
  <c r="L151" i="266"/>
  <c r="O59" i="268"/>
  <c r="J743" i="265"/>
  <c r="M743" i="265" s="1"/>
  <c r="M698" i="265"/>
  <c r="M67" i="261"/>
  <c r="M69" i="261" s="1"/>
  <c r="M377" i="265"/>
  <c r="G773" i="265"/>
  <c r="K595" i="205"/>
  <c r="K596" i="205" s="1"/>
  <c r="F30" i="269"/>
  <c r="G501" i="265"/>
  <c r="G818" i="265"/>
  <c r="K546" i="265"/>
  <c r="K953" i="265"/>
  <c r="M327" i="265"/>
  <c r="M330" i="265"/>
  <c r="G908" i="265"/>
  <c r="J67" i="261"/>
  <c r="J69" i="261" s="1"/>
  <c r="J37" i="262"/>
  <c r="J74" i="262" s="1"/>
  <c r="M198" i="265"/>
  <c r="J243" i="265" s="1"/>
  <c r="G546" i="265"/>
  <c r="M741" i="265"/>
  <c r="G591" i="265"/>
  <c r="M651" i="265"/>
  <c r="K456" i="265"/>
  <c r="M426" i="265"/>
  <c r="N67" i="261"/>
  <c r="N69" i="261" s="1"/>
  <c r="F40" i="262"/>
  <c r="J783" i="265"/>
  <c r="M783" i="265" s="1"/>
  <c r="J466" i="265"/>
  <c r="M466" i="265" s="1"/>
  <c r="E31" i="266"/>
  <c r="H71" i="266"/>
  <c r="M376" i="265"/>
  <c r="J27" i="262"/>
  <c r="M329" i="265"/>
  <c r="O14" i="265"/>
  <c r="O60" i="265"/>
  <c r="F75" i="262"/>
  <c r="O17" i="265"/>
  <c r="G259" i="266"/>
  <c r="G261" i="266" s="1"/>
  <c r="G121" i="266"/>
  <c r="G123" i="266" s="1"/>
  <c r="G125" i="266" s="1"/>
  <c r="H117" i="266"/>
  <c r="H120" i="266" s="1"/>
  <c r="N59" i="268"/>
  <c r="K636" i="265"/>
  <c r="K683" i="265"/>
  <c r="L53" i="266"/>
  <c r="G249" i="266"/>
  <c r="G251" i="266" s="1"/>
  <c r="I52" i="266"/>
  <c r="M734" i="265"/>
  <c r="K366" i="265"/>
  <c r="K151" i="266"/>
  <c r="N652" i="265"/>
  <c r="M378" i="265"/>
  <c r="J13" i="262"/>
  <c r="J87" i="262" s="1"/>
  <c r="K40" i="268"/>
  <c r="K521" i="205"/>
  <c r="K522" i="205" s="1"/>
  <c r="H522" i="205"/>
  <c r="L521" i="205"/>
  <c r="L522" i="205" s="1"/>
  <c r="I521" i="205"/>
  <c r="I522" i="205" s="1"/>
  <c r="I595" i="205"/>
  <c r="I596" i="205" s="1"/>
  <c r="O595" i="205"/>
  <c r="O596" i="205" s="1"/>
  <c r="F595" i="205"/>
  <c r="F596" i="205" s="1"/>
  <c r="F521" i="205"/>
  <c r="F522" i="205" s="1"/>
  <c r="O521" i="205"/>
  <c r="O522" i="205" s="1"/>
  <c r="G521" i="205"/>
  <c r="G522" i="205" s="1"/>
  <c r="N595" i="205"/>
  <c r="N596" i="205" s="1"/>
  <c r="M595" i="205"/>
  <c r="M596" i="205" s="1"/>
  <c r="H595" i="205"/>
  <c r="H596" i="205" s="1"/>
  <c r="N521" i="205"/>
  <c r="N522" i="205" s="1"/>
  <c r="J75" i="202"/>
  <c r="J76" i="202" s="1"/>
  <c r="J521" i="205"/>
  <c r="J522" i="205" s="1"/>
  <c r="K75" i="202"/>
  <c r="K76" i="202" s="1"/>
  <c r="P595" i="205"/>
  <c r="P596" i="205" s="1"/>
  <c r="L595" i="205"/>
  <c r="L596" i="205" s="1"/>
  <c r="J595" i="205"/>
  <c r="J596" i="205" s="1"/>
  <c r="Q501" i="205"/>
  <c r="G595" i="205"/>
  <c r="G596" i="205" s="1"/>
  <c r="Q467" i="205"/>
  <c r="G95" i="266"/>
  <c r="G171" i="266"/>
  <c r="J90" i="262"/>
  <c r="J53" i="262"/>
  <c r="O329" i="265"/>
  <c r="I647" i="265"/>
  <c r="O647" i="265" s="1"/>
  <c r="N647" i="265"/>
  <c r="H366" i="265"/>
  <c r="M416" i="265"/>
  <c r="O643" i="265"/>
  <c r="I59" i="268"/>
  <c r="I644" i="265"/>
  <c r="O644" i="265" s="1"/>
  <c r="N644" i="265"/>
  <c r="I326" i="265"/>
  <c r="N326" i="265"/>
  <c r="F366" i="265"/>
  <c r="E25" i="267" s="1"/>
  <c r="K591" i="265"/>
  <c r="F107" i="265"/>
  <c r="O62" i="265"/>
  <c r="L95" i="266"/>
  <c r="E40" i="262"/>
  <c r="E112" i="262"/>
  <c r="E114" i="262" s="1"/>
  <c r="E75" i="262"/>
  <c r="E77" i="262" s="1"/>
  <c r="J36" i="261"/>
  <c r="J100" i="261"/>
  <c r="J102" i="261" s="1"/>
  <c r="G953" i="265"/>
  <c r="M733" i="265"/>
  <c r="O331" i="265"/>
  <c r="F77" i="262"/>
  <c r="O147" i="266"/>
  <c r="L41" i="266"/>
  <c r="L52" i="266" s="1"/>
  <c r="M648" i="265"/>
  <c r="M653" i="265"/>
  <c r="F151" i="265"/>
  <c r="K728" i="265"/>
  <c r="F109" i="265"/>
  <c r="O64" i="265"/>
  <c r="J34" i="262"/>
  <c r="O9" i="265"/>
  <c r="I49" i="265"/>
  <c r="J12" i="262"/>
  <c r="K10" i="260"/>
  <c r="I72" i="266"/>
  <c r="I15" i="266" s="1"/>
  <c r="F32" i="266"/>
  <c r="F53" i="266" s="1"/>
  <c r="O104" i="265"/>
  <c r="F149" i="265"/>
  <c r="J683" i="265"/>
  <c r="I103" i="265"/>
  <c r="F420" i="265"/>
  <c r="F737" i="265"/>
  <c r="N103" i="265"/>
  <c r="K41" i="266"/>
  <c r="K52" i="266" s="1"/>
  <c r="N147" i="266"/>
  <c r="H21" i="268"/>
  <c r="F31" i="266"/>
  <c r="I71" i="266"/>
  <c r="G636" i="265"/>
  <c r="N49" i="265"/>
  <c r="I696" i="265"/>
  <c r="O696" i="265" s="1"/>
  <c r="N696" i="265"/>
  <c r="F295" i="266"/>
  <c r="E297" i="266"/>
  <c r="M14" i="267"/>
  <c r="K29" i="267"/>
  <c r="I171" i="266"/>
  <c r="F12" i="260"/>
  <c r="I651" i="265"/>
  <c r="O651" i="265" s="1"/>
  <c r="N651" i="265"/>
  <c r="K863" i="265"/>
  <c r="I379" i="265"/>
  <c r="O379" i="265" s="1"/>
  <c r="N379" i="265"/>
  <c r="G683" i="265"/>
  <c r="G219" i="266"/>
  <c r="G221" i="266" s="1"/>
  <c r="I148" i="266"/>
  <c r="F42" i="266"/>
  <c r="H243" i="266"/>
  <c r="G247" i="266"/>
  <c r="E148" i="266"/>
  <c r="F148" i="266" s="1"/>
  <c r="D42" i="266"/>
  <c r="H299" i="266"/>
  <c r="J297" i="266"/>
  <c r="F181" i="266"/>
  <c r="G179" i="266"/>
  <c r="G181" i="266" s="1"/>
  <c r="L276" i="266"/>
  <c r="L40" i="266"/>
  <c r="G275" i="266"/>
  <c r="G42" i="266" s="1"/>
  <c r="G53" i="266" s="1"/>
  <c r="G166" i="266"/>
  <c r="G167" i="266" s="1"/>
  <c r="J171" i="266"/>
  <c r="E72" i="266"/>
  <c r="D32" i="266"/>
  <c r="H171" i="266"/>
  <c r="I740" i="265"/>
  <c r="M49" i="265"/>
  <c r="J10" i="262"/>
  <c r="M421" i="265"/>
  <c r="K411" i="265"/>
  <c r="N698" i="265"/>
  <c r="I698" i="265"/>
  <c r="F114" i="262"/>
  <c r="F147" i="265"/>
  <c r="G863" i="265"/>
  <c r="P33" i="260"/>
  <c r="J737" i="265"/>
  <c r="M737" i="265" s="1"/>
  <c r="J420" i="265"/>
  <c r="M420" i="265" s="1"/>
  <c r="M103" i="265"/>
  <c r="J148" i="265" s="1"/>
  <c r="J728" i="265"/>
  <c r="D100" i="261"/>
  <c r="D102" i="261" s="1"/>
  <c r="D36" i="261"/>
  <c r="D67" i="261"/>
  <c r="D69" i="261" s="1"/>
  <c r="J64" i="262"/>
  <c r="J101" i="262"/>
  <c r="D135" i="266"/>
  <c r="E67" i="261"/>
  <c r="E69" i="261" s="1"/>
  <c r="E36" i="261"/>
  <c r="E100" i="261"/>
  <c r="E102" i="261" s="1"/>
  <c r="N697" i="265"/>
  <c r="I697" i="265"/>
  <c r="O697" i="265" s="1"/>
  <c r="I334" i="265"/>
  <c r="O334" i="265" s="1"/>
  <c r="N334" i="265"/>
  <c r="M646" i="265"/>
  <c r="M94" i="265"/>
  <c r="H24" i="267"/>
  <c r="K23" i="260"/>
  <c r="J366" i="265"/>
  <c r="H683" i="265"/>
  <c r="K501" i="265"/>
  <c r="G366" i="265"/>
  <c r="F201" i="266"/>
  <c r="G199" i="266"/>
  <c r="G201" i="266" s="1"/>
  <c r="L171" i="266"/>
  <c r="L279" i="266"/>
  <c r="L281" i="266" s="1"/>
  <c r="F37" i="263"/>
  <c r="F48" i="263"/>
  <c r="F56" i="263" s="1"/>
  <c r="K908" i="265"/>
  <c r="K818" i="265"/>
  <c r="H148" i="266"/>
  <c r="E42" i="266"/>
  <c r="F40" i="266"/>
  <c r="F276" i="266"/>
  <c r="I145" i="266"/>
  <c r="E71" i="266"/>
  <c r="D31" i="266"/>
  <c r="J95" i="266"/>
  <c r="J106" i="265"/>
  <c r="O61" i="265"/>
  <c r="I653" i="265"/>
  <c r="N653" i="265"/>
  <c r="K773" i="265"/>
  <c r="M738" i="265"/>
  <c r="J511" i="265"/>
  <c r="M511" i="265" s="1"/>
  <c r="M194" i="265"/>
  <c r="J239" i="265" s="1"/>
  <c r="J828" i="265"/>
  <c r="M828" i="265" s="1"/>
  <c r="O57" i="265"/>
  <c r="I374" i="265"/>
  <c r="O374" i="265" s="1"/>
  <c r="N374" i="265"/>
  <c r="O100" i="261"/>
  <c r="O102" i="261" s="1"/>
  <c r="O36" i="261"/>
  <c r="F739" i="265"/>
  <c r="F422" i="265"/>
  <c r="N105" i="265"/>
  <c r="I105" i="265"/>
  <c r="P23" i="260"/>
  <c r="I31" i="260"/>
  <c r="H114" i="262"/>
  <c r="N94" i="265"/>
  <c r="J422" i="265"/>
  <c r="M422" i="265" s="1"/>
  <c r="M105" i="265"/>
  <c r="J150" i="265" s="1"/>
  <c r="J739" i="265"/>
  <c r="M739" i="265" s="1"/>
  <c r="J471" i="265"/>
  <c r="M471" i="265" s="1"/>
  <c r="J788" i="265"/>
  <c r="M788" i="265" s="1"/>
  <c r="M154" i="265"/>
  <c r="J199" i="265" s="1"/>
  <c r="M688" i="265"/>
  <c r="I77" i="262"/>
  <c r="J21" i="260"/>
  <c r="F69" i="266"/>
  <c r="E73" i="266"/>
  <c r="E75" i="266" s="1"/>
  <c r="N649" i="265"/>
  <c r="I649" i="265"/>
  <c r="O649" i="265" s="1"/>
  <c r="I372" i="265"/>
  <c r="O372" i="265" s="1"/>
  <c r="N372" i="265"/>
  <c r="F41" i="266"/>
  <c r="I147" i="266"/>
  <c r="N378" i="265"/>
  <c r="I378" i="265"/>
  <c r="I330" i="265"/>
  <c r="O330" i="265" s="1"/>
  <c r="N330" i="265"/>
  <c r="F95" i="266"/>
  <c r="F133" i="266"/>
  <c r="O381" i="265"/>
  <c r="I694" i="265"/>
  <c r="O694" i="265" s="1"/>
  <c r="N694" i="265"/>
  <c r="I21" i="268"/>
  <c r="I327" i="265"/>
  <c r="O327" i="265" s="1"/>
  <c r="N327" i="265"/>
  <c r="E155" i="266"/>
  <c r="F155" i="266" s="1"/>
  <c r="H72" i="266"/>
  <c r="E32" i="266"/>
  <c r="F279" i="266"/>
  <c r="F281" i="266" s="1"/>
  <c r="F171" i="266"/>
  <c r="J146" i="266"/>
  <c r="J70" i="266"/>
  <c r="N693" i="265"/>
  <c r="M693" i="265"/>
  <c r="O693" i="265" s="1"/>
  <c r="L14" i="267"/>
  <c r="J411" i="265"/>
  <c r="M371" i="265"/>
  <c r="G411" i="265"/>
  <c r="N371" i="265"/>
  <c r="I371" i="265"/>
  <c r="F411" i="265"/>
  <c r="J29" i="262"/>
  <c r="G75" i="262"/>
  <c r="G112" i="262"/>
  <c r="J24" i="262"/>
  <c r="G40" i="262"/>
  <c r="J20" i="262"/>
  <c r="J18" i="262"/>
  <c r="J36" i="262"/>
  <c r="J32" i="262"/>
  <c r="J30" i="262"/>
  <c r="J28" i="262"/>
  <c r="J11" i="262"/>
  <c r="O39" i="262"/>
  <c r="J33" i="262"/>
  <c r="N39" i="262"/>
  <c r="J21" i="262"/>
  <c r="J26" i="262"/>
  <c r="J15" i="262"/>
  <c r="J19" i="262"/>
  <c r="J31" i="262"/>
  <c r="J35" i="262"/>
  <c r="J23" i="262"/>
  <c r="M39" i="262"/>
  <c r="J39" i="262"/>
  <c r="J14" i="262"/>
  <c r="J25" i="262"/>
  <c r="J17" i="262"/>
  <c r="E41" i="266"/>
  <c r="H147" i="266"/>
  <c r="H14" i="266" s="1"/>
  <c r="M145" i="265"/>
  <c r="J190" i="265" s="1"/>
  <c r="J462" i="265"/>
  <c r="M462" i="265" s="1"/>
  <c r="J779" i="265"/>
  <c r="M779" i="265" s="1"/>
  <c r="G728" i="265"/>
  <c r="I736" i="265"/>
  <c r="I94" i="265"/>
  <c r="O54" i="265"/>
  <c r="F99" i="265"/>
  <c r="I688" i="265"/>
  <c r="F728" i="265"/>
  <c r="N688" i="265"/>
  <c r="G100" i="261"/>
  <c r="G67" i="261"/>
  <c r="G36" i="261"/>
  <c r="I30" i="267"/>
  <c r="I9" i="267"/>
  <c r="J31" i="260"/>
  <c r="I114" i="262"/>
  <c r="F130" i="266"/>
  <c r="F131" i="266" s="1"/>
  <c r="F30" i="266"/>
  <c r="E132" i="266"/>
  <c r="E135" i="266"/>
  <c r="N73" i="266"/>
  <c r="O69" i="266" s="1"/>
  <c r="M148" i="266"/>
  <c r="J42" i="266"/>
  <c r="J53" i="266" s="1"/>
  <c r="E30" i="266"/>
  <c r="E130" i="266"/>
  <c r="E131" i="266" s="1"/>
  <c r="F100" i="265"/>
  <c r="O55" i="265"/>
  <c r="N650" i="265"/>
  <c r="I650" i="265"/>
  <c r="O650" i="265" s="1"/>
  <c r="J22" i="262"/>
  <c r="O336" i="265"/>
  <c r="M692" i="265"/>
  <c r="O692" i="265" s="1"/>
  <c r="M152" i="265"/>
  <c r="J197" i="265" s="1"/>
  <c r="J786" i="265"/>
  <c r="M786" i="265" s="1"/>
  <c r="J469" i="265"/>
  <c r="M469" i="265" s="1"/>
  <c r="E145" i="266"/>
  <c r="D276" i="266"/>
  <c r="D40" i="266"/>
  <c r="D51" i="266" s="1"/>
  <c r="I695" i="265"/>
  <c r="O695" i="265" s="1"/>
  <c r="N695" i="265"/>
  <c r="I380" i="265"/>
  <c r="O380" i="265" s="1"/>
  <c r="N380" i="265"/>
  <c r="J736" i="265"/>
  <c r="M736" i="265" s="1"/>
  <c r="M102" i="265"/>
  <c r="J147" i="265" s="1"/>
  <c r="J419" i="265"/>
  <c r="M419" i="265" s="1"/>
  <c r="J560" i="265"/>
  <c r="M560" i="265" s="1"/>
  <c r="M243" i="265"/>
  <c r="J288" i="265" s="1"/>
  <c r="J877" i="265"/>
  <c r="M877" i="265" s="1"/>
  <c r="G97" i="266"/>
  <c r="D101" i="266"/>
  <c r="E147" i="266"/>
  <c r="F147" i="266" s="1"/>
  <c r="D41" i="266"/>
  <c r="G456" i="265"/>
  <c r="I419" i="265"/>
  <c r="H77" i="262"/>
  <c r="I21" i="260"/>
  <c r="I11" i="260" s="1"/>
  <c r="E40" i="266"/>
  <c r="H145" i="266"/>
  <c r="E276" i="266"/>
  <c r="M335" i="265"/>
  <c r="M366" i="265" s="1"/>
  <c r="N691" i="265"/>
  <c r="L295" i="266"/>
  <c r="L297" i="266" s="1"/>
  <c r="L299" i="266" s="1"/>
  <c r="L301" i="266" s="1"/>
  <c r="G40" i="266"/>
  <c r="D33" i="266"/>
  <c r="D34" i="266"/>
  <c r="M75" i="266"/>
  <c r="M76" i="266" s="1"/>
  <c r="M652" i="265"/>
  <c r="O652" i="265" s="1"/>
  <c r="N648" i="265"/>
  <c r="I648" i="265"/>
  <c r="F57" i="268"/>
  <c r="F59" i="268" s="1"/>
  <c r="E59" i="268"/>
  <c r="E19" i="268"/>
  <c r="O40" i="268"/>
  <c r="J41" i="266"/>
  <c r="J52" i="266" s="1"/>
  <c r="M147" i="266"/>
  <c r="M291" i="266"/>
  <c r="M296" i="266"/>
  <c r="N289" i="266" s="1"/>
  <c r="H107" i="266"/>
  <c r="H110" i="266" s="1"/>
  <c r="G111" i="266"/>
  <c r="G113" i="266" s="1"/>
  <c r="G115" i="266" s="1"/>
  <c r="D130" i="266"/>
  <c r="D131" i="266" s="1"/>
  <c r="D132" i="266" s="1"/>
  <c r="I646" i="265"/>
  <c r="O646" i="265" s="1"/>
  <c r="N646" i="265"/>
  <c r="L683" i="265"/>
  <c r="F742" i="265"/>
  <c r="F425" i="265"/>
  <c r="I108" i="265"/>
  <c r="N108" i="265"/>
  <c r="I689" i="265"/>
  <c r="O689" i="265" s="1"/>
  <c r="N689" i="265"/>
  <c r="O13" i="265"/>
  <c r="I333" i="265"/>
  <c r="O333" i="265" s="1"/>
  <c r="N333" i="265"/>
  <c r="I421" i="265"/>
  <c r="N421" i="265"/>
  <c r="N738" i="265"/>
  <c r="I738" i="265"/>
  <c r="M332" i="265"/>
  <c r="O332" i="265" s="1"/>
  <c r="F100" i="261"/>
  <c r="F102" i="261" s="1"/>
  <c r="F67" i="261"/>
  <c r="F69" i="261" s="1"/>
  <c r="F36" i="261"/>
  <c r="N336" i="265"/>
  <c r="F683" i="265"/>
  <c r="E40" i="267" s="1"/>
  <c r="F40" i="267" s="1"/>
  <c r="M375" i="265"/>
  <c r="O375" i="265" s="1"/>
  <c r="O58" i="265"/>
  <c r="N377" i="265"/>
  <c r="I377" i="265"/>
  <c r="O377" i="265" s="1"/>
  <c r="M424" i="265"/>
  <c r="J778" i="265"/>
  <c r="J461" i="265"/>
  <c r="M144" i="265"/>
  <c r="Q484" i="205"/>
  <c r="M521" i="205"/>
  <c r="M522" i="205" s="1"/>
  <c r="Q558" i="205"/>
  <c r="P521" i="205"/>
  <c r="P522" i="205" s="1"/>
  <c r="E595" i="205"/>
  <c r="Q594" i="205"/>
  <c r="Q541" i="205"/>
  <c r="Q575" i="205"/>
  <c r="Q520" i="205"/>
  <c r="E521" i="205"/>
  <c r="J9" i="203"/>
  <c r="K67" i="203"/>
  <c r="K66" i="203"/>
  <c r="K65" i="203"/>
  <c r="K64" i="203"/>
  <c r="K63" i="203"/>
  <c r="K62" i="203"/>
  <c r="K61" i="203"/>
  <c r="K60" i="203"/>
  <c r="K59" i="203"/>
  <c r="K58" i="203"/>
  <c r="J67" i="203"/>
  <c r="J66" i="203"/>
  <c r="J65" i="203"/>
  <c r="J64" i="203"/>
  <c r="J63" i="203"/>
  <c r="J62" i="203"/>
  <c r="J61" i="203"/>
  <c r="J60" i="203"/>
  <c r="J59" i="203"/>
  <c r="J58" i="203"/>
  <c r="O421" i="265" l="1"/>
  <c r="O376" i="265"/>
  <c r="O698" i="265"/>
  <c r="O738" i="265"/>
  <c r="N75" i="266"/>
  <c r="N76" i="266" s="1"/>
  <c r="O648" i="265"/>
  <c r="O378" i="265"/>
  <c r="O102" i="265"/>
  <c r="M683" i="265"/>
  <c r="O335" i="265"/>
  <c r="H121" i="266"/>
  <c r="H123" i="266" s="1"/>
  <c r="H125" i="266" s="1"/>
  <c r="I117" i="266"/>
  <c r="I120" i="266" s="1"/>
  <c r="O94" i="265"/>
  <c r="G276" i="266"/>
  <c r="G277" i="266" s="1"/>
  <c r="G44" i="266" s="1"/>
  <c r="O736" i="265"/>
  <c r="J111" i="262"/>
  <c r="J50" i="262"/>
  <c r="N683" i="265"/>
  <c r="N736" i="265"/>
  <c r="E52" i="266"/>
  <c r="E76" i="266"/>
  <c r="F76" i="266" s="1"/>
  <c r="D35" i="266"/>
  <c r="F75" i="266"/>
  <c r="E77" i="266"/>
  <c r="F21" i="260"/>
  <c r="F11" i="260" s="1"/>
  <c r="G77" i="262"/>
  <c r="O326" i="265"/>
  <c r="O366" i="265" s="1"/>
  <c r="I366" i="265"/>
  <c r="N742" i="265"/>
  <c r="I742" i="265"/>
  <c r="O742" i="265" s="1"/>
  <c r="F19" i="268"/>
  <c r="E21" i="268"/>
  <c r="F21" i="268" s="1"/>
  <c r="J96" i="262"/>
  <c r="J59" i="262"/>
  <c r="H76" i="266"/>
  <c r="E35" i="266"/>
  <c r="I728" i="265"/>
  <c r="O688" i="265"/>
  <c r="O728" i="265" s="1"/>
  <c r="J58" i="262"/>
  <c r="J95" i="262"/>
  <c r="J98" i="262"/>
  <c r="J61" i="262"/>
  <c r="M728" i="265"/>
  <c r="F466" i="265"/>
  <c r="N149" i="265"/>
  <c r="I149" i="265"/>
  <c r="F783" i="265"/>
  <c r="E10" i="267"/>
  <c r="F10" i="267" s="1"/>
  <c r="F25" i="267"/>
  <c r="F34" i="266"/>
  <c r="F51" i="266"/>
  <c r="F33" i="266"/>
  <c r="F733" i="265"/>
  <c r="N99" i="265"/>
  <c r="I99" i="265"/>
  <c r="F416" i="265"/>
  <c r="F139" i="265"/>
  <c r="J91" i="262"/>
  <c r="J54" i="262"/>
  <c r="N113" i="262"/>
  <c r="N114" i="262" s="1"/>
  <c r="N76" i="262"/>
  <c r="N40" i="262"/>
  <c r="F31" i="260"/>
  <c r="G114" i="262"/>
  <c r="L29" i="267"/>
  <c r="N14" i="267"/>
  <c r="N29" i="267" s="1"/>
  <c r="J833" i="265"/>
  <c r="M833" i="265" s="1"/>
  <c r="J516" i="265"/>
  <c r="M516" i="265" s="1"/>
  <c r="M199" i="265"/>
  <c r="J244" i="265" s="1"/>
  <c r="N422" i="265"/>
  <c r="I422" i="265"/>
  <c r="O422" i="265" s="1"/>
  <c r="J465" i="265"/>
  <c r="M465" i="265" s="1"/>
  <c r="M148" i="265"/>
  <c r="J193" i="265" s="1"/>
  <c r="J782" i="265"/>
  <c r="M782" i="265" s="1"/>
  <c r="J84" i="262"/>
  <c r="J47" i="262"/>
  <c r="F785" i="265"/>
  <c r="I151" i="265"/>
  <c r="F468" i="265"/>
  <c r="N366" i="265"/>
  <c r="J62" i="262"/>
  <c r="J99" i="262"/>
  <c r="O113" i="262"/>
  <c r="O114" i="262" s="1"/>
  <c r="O76" i="262"/>
  <c r="O40" i="262"/>
  <c r="F145" i="266"/>
  <c r="E149" i="266"/>
  <c r="F149" i="266" s="1"/>
  <c r="J40" i="262"/>
  <c r="J113" i="262"/>
  <c r="J114" i="262" s="1"/>
  <c r="J76" i="262"/>
  <c r="J740" i="265"/>
  <c r="J773" i="265" s="1"/>
  <c r="J423" i="265"/>
  <c r="J456" i="265" s="1"/>
  <c r="M106" i="265"/>
  <c r="N106" i="265"/>
  <c r="N291" i="266"/>
  <c r="N296" i="266"/>
  <c r="O289" i="266" s="1"/>
  <c r="D36" i="266"/>
  <c r="D38" i="266" s="1"/>
  <c r="K11" i="260"/>
  <c r="J109" i="262"/>
  <c r="J72" i="262"/>
  <c r="J69" i="262"/>
  <c r="J106" i="262"/>
  <c r="D52" i="266"/>
  <c r="F464" i="265"/>
  <c r="F781" i="265"/>
  <c r="I147" i="265"/>
  <c r="N147" i="265"/>
  <c r="D53" i="266"/>
  <c r="D54" i="266" s="1"/>
  <c r="D55" i="266" s="1"/>
  <c r="H301" i="266"/>
  <c r="J301" i="266" s="1"/>
  <c r="J299" i="266"/>
  <c r="F148" i="265"/>
  <c r="O103" i="265"/>
  <c r="O49" i="265"/>
  <c r="M113" i="262"/>
  <c r="M114" i="262" s="1"/>
  <c r="M40" i="262"/>
  <c r="M76" i="262"/>
  <c r="E51" i="266"/>
  <c r="E33" i="266"/>
  <c r="E34" i="266" s="1"/>
  <c r="J104" i="262"/>
  <c r="J67" i="262"/>
  <c r="F73" i="266"/>
  <c r="H69" i="266" s="1"/>
  <c r="J514" i="265"/>
  <c r="M514" i="265" s="1"/>
  <c r="J831" i="265"/>
  <c r="M831" i="265" s="1"/>
  <c r="M197" i="265"/>
  <c r="J242" i="265" s="1"/>
  <c r="G69" i="261"/>
  <c r="F20" i="260"/>
  <c r="J68" i="262"/>
  <c r="J105" i="262"/>
  <c r="J110" i="262"/>
  <c r="J73" i="262"/>
  <c r="O371" i="265"/>
  <c r="I411" i="265"/>
  <c r="E53" i="266"/>
  <c r="E12" i="266"/>
  <c r="F12" i="266" s="1"/>
  <c r="F71" i="266"/>
  <c r="E14" i="266"/>
  <c r="F14" i="266" s="1"/>
  <c r="E15" i="266"/>
  <c r="F15" i="266" s="1"/>
  <c r="F72" i="266"/>
  <c r="J108" i="262"/>
  <c r="J71" i="262"/>
  <c r="J103" i="262"/>
  <c r="J66" i="262"/>
  <c r="L277" i="266"/>
  <c r="L44" i="266" s="1"/>
  <c r="L43" i="266"/>
  <c r="E277" i="266"/>
  <c r="E43" i="266"/>
  <c r="F734" i="265"/>
  <c r="I100" i="265"/>
  <c r="N100" i="265"/>
  <c r="F417" i="265"/>
  <c r="J85" i="262"/>
  <c r="J48" i="262"/>
  <c r="H149" i="266"/>
  <c r="H151" i="266" s="1"/>
  <c r="J102" i="262"/>
  <c r="J65" i="262"/>
  <c r="J784" i="265"/>
  <c r="M784" i="265" s="1"/>
  <c r="M150" i="265"/>
  <c r="J195" i="265" s="1"/>
  <c r="J467" i="265"/>
  <c r="M467" i="265" s="1"/>
  <c r="I32" i="267"/>
  <c r="I15" i="267"/>
  <c r="I17" i="267" s="1"/>
  <c r="I420" i="265"/>
  <c r="O420" i="265" s="1"/>
  <c r="N420" i="265"/>
  <c r="M461" i="265"/>
  <c r="M149" i="266"/>
  <c r="N419" i="265"/>
  <c r="F30" i="260"/>
  <c r="F33" i="260" s="1"/>
  <c r="E39" i="267" s="1"/>
  <c r="G102" i="261"/>
  <c r="J507" i="265"/>
  <c r="M507" i="265" s="1"/>
  <c r="M190" i="265"/>
  <c r="J235" i="265" s="1"/>
  <c r="J824" i="265"/>
  <c r="M824" i="265" s="1"/>
  <c r="J55" i="262"/>
  <c r="J92" i="262"/>
  <c r="J873" i="265"/>
  <c r="M873" i="265" s="1"/>
  <c r="M239" i="265"/>
  <c r="J284" i="265" s="1"/>
  <c r="J556" i="265"/>
  <c r="M556" i="265" s="1"/>
  <c r="I149" i="266"/>
  <c r="I151" i="266"/>
  <c r="G279" i="266"/>
  <c r="G281" i="266" s="1"/>
  <c r="J70" i="262"/>
  <c r="J107" i="262"/>
  <c r="N739" i="265"/>
  <c r="I739" i="265"/>
  <c r="O739" i="265" s="1"/>
  <c r="O653" i="265"/>
  <c r="O683" i="265" s="1"/>
  <c r="D277" i="266"/>
  <c r="D43" i="266"/>
  <c r="E299" i="266"/>
  <c r="F297" i="266"/>
  <c r="H30" i="267"/>
  <c r="H9" i="267"/>
  <c r="N737" i="265"/>
  <c r="I737" i="265"/>
  <c r="O737" i="265" s="1"/>
  <c r="J86" i="262"/>
  <c r="J49" i="262"/>
  <c r="I107" i="266"/>
  <c r="I110" i="266" s="1"/>
  <c r="H111" i="266"/>
  <c r="H113" i="266" s="1"/>
  <c r="H115" i="266" s="1"/>
  <c r="J139" i="265"/>
  <c r="J189" i="265"/>
  <c r="M295" i="266"/>
  <c r="M297" i="266" s="1"/>
  <c r="M299" i="266" s="1"/>
  <c r="M301" i="266" s="1"/>
  <c r="M147" i="265"/>
  <c r="J192" i="265" s="1"/>
  <c r="J781" i="265"/>
  <c r="M781" i="265" s="1"/>
  <c r="J464" i="265"/>
  <c r="M464" i="265" s="1"/>
  <c r="J56" i="262"/>
  <c r="J93" i="262"/>
  <c r="N411" i="265"/>
  <c r="H15" i="266"/>
  <c r="F153" i="265"/>
  <c r="O108" i="265"/>
  <c r="O419" i="265"/>
  <c r="O73" i="266"/>
  <c r="O75" i="266" s="1"/>
  <c r="O76" i="266" s="1"/>
  <c r="N728" i="265"/>
  <c r="J52" i="262"/>
  <c r="J89" i="262"/>
  <c r="J57" i="262"/>
  <c r="J94" i="262"/>
  <c r="J11" i="260"/>
  <c r="F43" i="266"/>
  <c r="F277" i="266"/>
  <c r="F44" i="266" s="1"/>
  <c r="I14" i="266"/>
  <c r="N109" i="265"/>
  <c r="F426" i="265"/>
  <c r="F743" i="265"/>
  <c r="I109" i="265"/>
  <c r="F741" i="265"/>
  <c r="F424" i="265"/>
  <c r="N107" i="265"/>
  <c r="I107" i="265"/>
  <c r="G100" i="266"/>
  <c r="G127" i="266"/>
  <c r="J51" i="262"/>
  <c r="J88" i="262"/>
  <c r="O14" i="267"/>
  <c r="O29" i="267" s="1"/>
  <c r="M29" i="267"/>
  <c r="J922" i="265"/>
  <c r="M922" i="265" s="1"/>
  <c r="J605" i="265"/>
  <c r="M605" i="265" s="1"/>
  <c r="M288" i="265"/>
  <c r="J97" i="262"/>
  <c r="J60" i="262"/>
  <c r="F135" i="266"/>
  <c r="F132" i="266"/>
  <c r="I683" i="265"/>
  <c r="M778" i="265"/>
  <c r="I425" i="265"/>
  <c r="O425" i="265" s="1"/>
  <c r="N425" i="265"/>
  <c r="J63" i="262"/>
  <c r="J100" i="262"/>
  <c r="M411" i="265"/>
  <c r="F150" i="265"/>
  <c r="O105" i="265"/>
  <c r="H246" i="266"/>
  <c r="H273" i="266"/>
  <c r="F52" i="266"/>
  <c r="E522" i="205"/>
  <c r="Q522" i="205" s="1"/>
  <c r="Q521" i="205"/>
  <c r="E596" i="205"/>
  <c r="Q596" i="205" s="1"/>
  <c r="Q595" i="205"/>
  <c r="O411" i="265" l="1"/>
  <c r="E36" i="266"/>
  <c r="E38" i="266" s="1"/>
  <c r="I121" i="266"/>
  <c r="I123" i="266" s="1"/>
  <c r="I125" i="266" s="1"/>
  <c r="J117" i="266"/>
  <c r="J120" i="266" s="1"/>
  <c r="G43" i="266"/>
  <c r="E151" i="266"/>
  <c r="E18" i="266" s="1"/>
  <c r="F18" i="266" s="1"/>
  <c r="N424" i="265"/>
  <c r="I424" i="265"/>
  <c r="O424" i="265" s="1"/>
  <c r="N145" i="266"/>
  <c r="M151" i="266"/>
  <c r="F152" i="265"/>
  <c r="O107" i="265"/>
  <c r="F299" i="266"/>
  <c r="E301" i="266"/>
  <c r="F301" i="266" s="1"/>
  <c r="F39" i="267"/>
  <c r="J827" i="265"/>
  <c r="M827" i="265" s="1"/>
  <c r="M193" i="265"/>
  <c r="J238" i="265" s="1"/>
  <c r="J510" i="265"/>
  <c r="M510" i="265" s="1"/>
  <c r="E44" i="266"/>
  <c r="E278" i="266"/>
  <c r="G46" i="266"/>
  <c r="G48" i="266" s="1"/>
  <c r="F154" i="265"/>
  <c r="O109" i="265"/>
  <c r="I466" i="265"/>
  <c r="O466" i="265" s="1"/>
  <c r="N466" i="265"/>
  <c r="L278" i="266"/>
  <c r="N295" i="266"/>
  <c r="N297" i="266" s="1"/>
  <c r="N299" i="266" s="1"/>
  <c r="N301" i="266" s="1"/>
  <c r="I785" i="265"/>
  <c r="F144" i="265"/>
  <c r="I139" i="265"/>
  <c r="O99" i="265"/>
  <c r="D44" i="266"/>
  <c r="D278" i="266"/>
  <c r="I741" i="265"/>
  <c r="O741" i="265" s="1"/>
  <c r="N741" i="265"/>
  <c r="I468" i="265"/>
  <c r="F194" i="265"/>
  <c r="O149" i="265"/>
  <c r="H276" i="266"/>
  <c r="H40" i="266"/>
  <c r="J826" i="265"/>
  <c r="M826" i="265" s="1"/>
  <c r="M192" i="265"/>
  <c r="J237" i="265" s="1"/>
  <c r="J509" i="265"/>
  <c r="M509" i="265" s="1"/>
  <c r="N417" i="265"/>
  <c r="I417" i="265"/>
  <c r="O417" i="265" s="1"/>
  <c r="N139" i="265"/>
  <c r="E79" i="266"/>
  <c r="F77" i="266"/>
  <c r="I111" i="266"/>
  <c r="I113" i="266" s="1"/>
  <c r="I115" i="266" s="1"/>
  <c r="J107" i="266"/>
  <c r="J110" i="266" s="1"/>
  <c r="J918" i="265"/>
  <c r="M918" i="265" s="1"/>
  <c r="J601" i="265"/>
  <c r="M601" i="265" s="1"/>
  <c r="M284" i="265"/>
  <c r="I783" i="265"/>
  <c r="O783" i="265" s="1"/>
  <c r="N783" i="265"/>
  <c r="O147" i="265"/>
  <c r="F192" i="265"/>
  <c r="I426" i="265"/>
  <c r="O426" i="265" s="1"/>
  <c r="N426" i="265"/>
  <c r="O291" i="266"/>
  <c r="O296" i="266"/>
  <c r="F467" i="265"/>
  <c r="N150" i="265"/>
  <c r="F784" i="265"/>
  <c r="I150" i="265"/>
  <c r="F35" i="266"/>
  <c r="F36" i="266" s="1"/>
  <c r="F38" i="266" s="1"/>
  <c r="I76" i="266"/>
  <c r="G278" i="266"/>
  <c r="G45" i="266" s="1"/>
  <c r="J869" i="265"/>
  <c r="M869" i="265" s="1"/>
  <c r="M235" i="265"/>
  <c r="J280" i="265" s="1"/>
  <c r="J552" i="265"/>
  <c r="M552" i="265" s="1"/>
  <c r="E16" i="266"/>
  <c r="F16" i="266" s="1"/>
  <c r="F278" i="266"/>
  <c r="J151" i="265"/>
  <c r="M139" i="265"/>
  <c r="O106" i="265"/>
  <c r="J75" i="262"/>
  <c r="N733" i="265"/>
  <c r="F773" i="265"/>
  <c r="I733" i="265"/>
  <c r="E54" i="266"/>
  <c r="E55" i="266" s="1"/>
  <c r="F23" i="260"/>
  <c r="E24" i="267" s="1"/>
  <c r="F10" i="260"/>
  <c r="F13" i="260" s="1"/>
  <c r="J878" i="265"/>
  <c r="M878" i="265" s="1"/>
  <c r="M244" i="265"/>
  <c r="J289" i="265" s="1"/>
  <c r="J561" i="265"/>
  <c r="M561" i="265" s="1"/>
  <c r="N781" i="265"/>
  <c r="I781" i="265"/>
  <c r="O781" i="265" s="1"/>
  <c r="F151" i="266"/>
  <c r="J876" i="265"/>
  <c r="M876" i="265" s="1"/>
  <c r="J559" i="265"/>
  <c r="M559" i="265" s="1"/>
  <c r="M242" i="265"/>
  <c r="J287" i="265" s="1"/>
  <c r="N464" i="265"/>
  <c r="I464" i="265"/>
  <c r="O464" i="265" s="1"/>
  <c r="F196" i="265"/>
  <c r="N416" i="265"/>
  <c r="I416" i="265"/>
  <c r="F456" i="265"/>
  <c r="H247" i="266"/>
  <c r="H249" i="266" s="1"/>
  <c r="I243" i="266"/>
  <c r="G130" i="266"/>
  <c r="G131" i="266" s="1"/>
  <c r="G30" i="266"/>
  <c r="H32" i="267"/>
  <c r="H15" i="267"/>
  <c r="H17" i="267" s="1"/>
  <c r="J829" i="265"/>
  <c r="M829" i="265" s="1"/>
  <c r="J512" i="265"/>
  <c r="M512" i="265" s="1"/>
  <c r="M195" i="265"/>
  <c r="J240" i="265" s="1"/>
  <c r="O100" i="265"/>
  <c r="F145" i="265"/>
  <c r="H73" i="266"/>
  <c r="H75" i="266" s="1"/>
  <c r="H12" i="266"/>
  <c r="M423" i="265"/>
  <c r="N423" i="265"/>
  <c r="N743" i="265"/>
  <c r="I743" i="265"/>
  <c r="O743" i="265" s="1"/>
  <c r="G101" i="266"/>
  <c r="G103" i="266" s="1"/>
  <c r="H97" i="266"/>
  <c r="F787" i="265"/>
  <c r="N153" i="265"/>
  <c r="I153" i="265"/>
  <c r="F470" i="265"/>
  <c r="J823" i="265"/>
  <c r="J506" i="265"/>
  <c r="M189" i="265"/>
  <c r="I734" i="265"/>
  <c r="O734" i="265" s="1"/>
  <c r="N734" i="265"/>
  <c r="F782" i="265"/>
  <c r="F465" i="265"/>
  <c r="N148" i="265"/>
  <c r="I148" i="265"/>
  <c r="M740" i="265"/>
  <c r="N740" i="265"/>
  <c r="F54" i="266"/>
  <c r="F55" i="266" s="1"/>
  <c r="K49" i="203"/>
  <c r="J49" i="203"/>
  <c r="K48" i="203"/>
  <c r="J48" i="203"/>
  <c r="K47" i="203"/>
  <c r="J47" i="203"/>
  <c r="K46" i="203"/>
  <c r="J46" i="203"/>
  <c r="K45" i="203"/>
  <c r="J45" i="203"/>
  <c r="K44" i="203"/>
  <c r="J44" i="203"/>
  <c r="K43" i="203"/>
  <c r="J43" i="203"/>
  <c r="K42" i="203"/>
  <c r="J42" i="203"/>
  <c r="K41" i="203"/>
  <c r="J41" i="203"/>
  <c r="K34" i="203"/>
  <c r="J34" i="203"/>
  <c r="K33" i="203"/>
  <c r="J33" i="203"/>
  <c r="K32" i="203"/>
  <c r="J32" i="203"/>
  <c r="K31" i="203"/>
  <c r="J31" i="203"/>
  <c r="K30" i="203"/>
  <c r="J30" i="203"/>
  <c r="K29" i="203"/>
  <c r="J29" i="203"/>
  <c r="K28" i="203"/>
  <c r="J28" i="203"/>
  <c r="K27" i="203"/>
  <c r="J27" i="203"/>
  <c r="K26" i="203"/>
  <c r="J26" i="203"/>
  <c r="K25" i="203"/>
  <c r="J25" i="203"/>
  <c r="K24" i="203"/>
  <c r="J24" i="203"/>
  <c r="K17" i="203"/>
  <c r="J17" i="203"/>
  <c r="K16" i="203"/>
  <c r="J16" i="203"/>
  <c r="K15" i="203"/>
  <c r="J15" i="203"/>
  <c r="K12" i="203"/>
  <c r="J12" i="203"/>
  <c r="K11" i="203"/>
  <c r="J11" i="203"/>
  <c r="K10" i="203"/>
  <c r="J10" i="203"/>
  <c r="K9" i="203"/>
  <c r="K117" i="266" l="1"/>
  <c r="K120" i="266" s="1"/>
  <c r="J121" i="266"/>
  <c r="J123" i="266" s="1"/>
  <c r="J125" i="266" s="1"/>
  <c r="H18" i="266"/>
  <c r="H77" i="266"/>
  <c r="I787" i="265"/>
  <c r="O787" i="265" s="1"/>
  <c r="N787" i="265"/>
  <c r="H100" i="266"/>
  <c r="H127" i="266"/>
  <c r="I782" i="265"/>
  <c r="O782" i="265" s="1"/>
  <c r="N782" i="265"/>
  <c r="J468" i="265"/>
  <c r="J785" i="265"/>
  <c r="M151" i="265"/>
  <c r="N151" i="265"/>
  <c r="J184" i="265"/>
  <c r="F788" i="265"/>
  <c r="F471" i="265"/>
  <c r="N154" i="265"/>
  <c r="I154" i="265"/>
  <c r="I467" i="265"/>
  <c r="O467" i="265" s="1"/>
  <c r="N467" i="265"/>
  <c r="H152" i="266"/>
  <c r="H153" i="266" s="1"/>
  <c r="H155" i="266" s="1"/>
  <c r="E45" i="266"/>
  <c r="E46" i="266" s="1"/>
  <c r="E48" i="266" s="1"/>
  <c r="E57" i="266" s="1"/>
  <c r="E59" i="266" s="1"/>
  <c r="M506" i="265"/>
  <c r="I246" i="266"/>
  <c r="I273" i="266"/>
  <c r="J914" i="265"/>
  <c r="M914" i="265" s="1"/>
  <c r="J597" i="265"/>
  <c r="M597" i="265" s="1"/>
  <c r="M280" i="265"/>
  <c r="N149" i="266"/>
  <c r="O145" i="266" s="1"/>
  <c r="N151" i="266"/>
  <c r="K21" i="260"/>
  <c r="J77" i="262"/>
  <c r="I465" i="265"/>
  <c r="O465" i="265" s="1"/>
  <c r="N465" i="265"/>
  <c r="J923" i="265"/>
  <c r="M923" i="265" s="1"/>
  <c r="J606" i="265"/>
  <c r="M606" i="265" s="1"/>
  <c r="M289" i="265"/>
  <c r="O139" i="265"/>
  <c r="I152" i="266"/>
  <c r="I153" i="266" s="1"/>
  <c r="I155" i="266" s="1"/>
  <c r="F45" i="266"/>
  <c r="F46" i="266" s="1"/>
  <c r="F48" i="266" s="1"/>
  <c r="F57" i="266" s="1"/>
  <c r="F59" i="266" s="1"/>
  <c r="J234" i="265"/>
  <c r="G51" i="266"/>
  <c r="G33" i="266"/>
  <c r="G34" i="266" s="1"/>
  <c r="J111" i="266"/>
  <c r="J113" i="266" s="1"/>
  <c r="J115" i="266" s="1"/>
  <c r="K107" i="266"/>
  <c r="K110" i="266" s="1"/>
  <c r="F786" i="265"/>
  <c r="I152" i="265"/>
  <c r="F469" i="265"/>
  <c r="N152" i="265"/>
  <c r="O295" i="266"/>
  <c r="O297" i="266"/>
  <c r="O299" i="266" s="1"/>
  <c r="O301" i="266" s="1"/>
  <c r="M823" i="265"/>
  <c r="H251" i="266"/>
  <c r="H279" i="266"/>
  <c r="H281" i="266" s="1"/>
  <c r="F828" i="265"/>
  <c r="F511" i="265"/>
  <c r="N194" i="265"/>
  <c r="I194" i="265"/>
  <c r="I196" i="265"/>
  <c r="F830" i="265"/>
  <c r="F513" i="265"/>
  <c r="E152" i="266"/>
  <c r="D45" i="266"/>
  <c r="D46" i="266" s="1"/>
  <c r="D48" i="266" s="1"/>
  <c r="D57" i="266" s="1"/>
  <c r="D59" i="266" s="1"/>
  <c r="N784" i="265"/>
  <c r="I784" i="265"/>
  <c r="O784" i="265" s="1"/>
  <c r="M237" i="265"/>
  <c r="J282" i="265" s="1"/>
  <c r="J554" i="265"/>
  <c r="M554" i="265" s="1"/>
  <c r="J871" i="265"/>
  <c r="M871" i="265" s="1"/>
  <c r="M287" i="265"/>
  <c r="J604" i="265"/>
  <c r="M604" i="265" s="1"/>
  <c r="J921" i="265"/>
  <c r="M921" i="265" s="1"/>
  <c r="N470" i="265"/>
  <c r="I470" i="265"/>
  <c r="O470" i="265" s="1"/>
  <c r="I69" i="266"/>
  <c r="H16" i="266"/>
  <c r="O733" i="265"/>
  <c r="I773" i="265"/>
  <c r="F79" i="266"/>
  <c r="E22" i="266"/>
  <c r="F22" i="266" s="1"/>
  <c r="J872" i="265"/>
  <c r="M872" i="265" s="1"/>
  <c r="M238" i="265"/>
  <c r="J283" i="265" s="1"/>
  <c r="J555" i="265"/>
  <c r="M555" i="265" s="1"/>
  <c r="M240" i="265"/>
  <c r="J285" i="265" s="1"/>
  <c r="J874" i="265"/>
  <c r="M874" i="265" s="1"/>
  <c r="J557" i="265"/>
  <c r="M557" i="265" s="1"/>
  <c r="O150" i="265"/>
  <c r="F195" i="265"/>
  <c r="G105" i="266"/>
  <c r="G133" i="266"/>
  <c r="F778" i="265"/>
  <c r="F184" i="265"/>
  <c r="I144" i="265"/>
  <c r="F461" i="265"/>
  <c r="N144" i="265"/>
  <c r="O423" i="265"/>
  <c r="M456" i="265"/>
  <c r="M773" i="265"/>
  <c r="O740" i="265"/>
  <c r="F198" i="265"/>
  <c r="O153" i="265"/>
  <c r="F779" i="265"/>
  <c r="N145" i="265"/>
  <c r="I145" i="265"/>
  <c r="F462" i="265"/>
  <c r="O416" i="265"/>
  <c r="I456" i="265"/>
  <c r="F826" i="265"/>
  <c r="I192" i="265"/>
  <c r="F509" i="265"/>
  <c r="N192" i="265"/>
  <c r="L45" i="266"/>
  <c r="L46" i="266" s="1"/>
  <c r="L48" i="266" s="1"/>
  <c r="O152" i="266"/>
  <c r="E9" i="267"/>
  <c r="F9" i="267" s="1"/>
  <c r="F24" i="267"/>
  <c r="H277" i="266"/>
  <c r="H44" i="266" s="1"/>
  <c r="H43" i="266"/>
  <c r="O148" i="265"/>
  <c r="F193" i="265"/>
  <c r="N456" i="265"/>
  <c r="N773" i="265"/>
  <c r="N184" i="265" l="1"/>
  <c r="H278" i="266"/>
  <c r="H45" i="266" s="1"/>
  <c r="L117" i="266"/>
  <c r="L120" i="266" s="1"/>
  <c r="L121" i="266" s="1"/>
  <c r="L123" i="266" s="1"/>
  <c r="L125" i="266" s="1"/>
  <c r="K121" i="266"/>
  <c r="K123" i="266" s="1"/>
  <c r="K125" i="266" s="1"/>
  <c r="J196" i="265"/>
  <c r="M184" i="265"/>
  <c r="O151" i="265"/>
  <c r="N509" i="265"/>
  <c r="I509" i="265"/>
  <c r="O509" i="265" s="1"/>
  <c r="F829" i="265"/>
  <c r="F512" i="265"/>
  <c r="N195" i="265"/>
  <c r="I195" i="265"/>
  <c r="O773" i="265"/>
  <c r="M785" i="265"/>
  <c r="J818" i="265"/>
  <c r="N785" i="265"/>
  <c r="O192" i="265"/>
  <c r="F237" i="265"/>
  <c r="M468" i="265"/>
  <c r="J501" i="265"/>
  <c r="N468" i="265"/>
  <c r="F152" i="266"/>
  <c r="E153" i="266"/>
  <c r="O456" i="265"/>
  <c r="I830" i="265"/>
  <c r="J868" i="265"/>
  <c r="J551" i="265"/>
  <c r="M234" i="265"/>
  <c r="H46" i="266"/>
  <c r="H48" i="266" s="1"/>
  <c r="N462" i="265"/>
  <c r="I462" i="265"/>
  <c r="O462" i="265" s="1"/>
  <c r="F241" i="265"/>
  <c r="F199" i="265"/>
  <c r="O154" i="265"/>
  <c r="H101" i="266"/>
  <c r="H103" i="266" s="1"/>
  <c r="I97" i="266"/>
  <c r="O145" i="265"/>
  <c r="F190" i="265"/>
  <c r="I184" i="265"/>
  <c r="O144" i="265"/>
  <c r="F189" i="265"/>
  <c r="M283" i="265"/>
  <c r="J600" i="265"/>
  <c r="M600" i="265" s="1"/>
  <c r="J917" i="265"/>
  <c r="M917" i="265" s="1"/>
  <c r="I193" i="265"/>
  <c r="F827" i="265"/>
  <c r="N193" i="265"/>
  <c r="F510" i="265"/>
  <c r="I513" i="265"/>
  <c r="J602" i="265"/>
  <c r="M602" i="265" s="1"/>
  <c r="J919" i="265"/>
  <c r="M919" i="265" s="1"/>
  <c r="M285" i="265"/>
  <c r="O149" i="266"/>
  <c r="O151" i="266" s="1"/>
  <c r="O153" i="266" s="1"/>
  <c r="O155" i="266" s="1"/>
  <c r="H130" i="266"/>
  <c r="H131" i="266" s="1"/>
  <c r="H30" i="266"/>
  <c r="F501" i="265"/>
  <c r="I461" i="265"/>
  <c r="N461" i="265"/>
  <c r="O194" i="265"/>
  <c r="F239" i="265"/>
  <c r="N469" i="265"/>
  <c r="I469" i="265"/>
  <c r="O469" i="265" s="1"/>
  <c r="I471" i="265"/>
  <c r="O471" i="265" s="1"/>
  <c r="N471" i="265"/>
  <c r="G54" i="266"/>
  <c r="G55" i="266" s="1"/>
  <c r="I12" i="266"/>
  <c r="I73" i="266"/>
  <c r="I16" i="266" s="1"/>
  <c r="N779" i="265"/>
  <c r="I779" i="265"/>
  <c r="O779" i="265" s="1"/>
  <c r="N778" i="265"/>
  <c r="I778" i="265"/>
  <c r="F818" i="265"/>
  <c r="O152" i="265"/>
  <c r="F197" i="265"/>
  <c r="I276" i="266"/>
  <c r="I40" i="266"/>
  <c r="I788" i="265"/>
  <c r="O788" i="265" s="1"/>
  <c r="N788" i="265"/>
  <c r="H20" i="266"/>
  <c r="H79" i="266"/>
  <c r="H22" i="266" s="1"/>
  <c r="I511" i="265"/>
  <c r="O511" i="265" s="1"/>
  <c r="N511" i="265"/>
  <c r="J243" i="266"/>
  <c r="I247" i="266"/>
  <c r="I249" i="266" s="1"/>
  <c r="N826" i="265"/>
  <c r="I826" i="265"/>
  <c r="O826" i="265" s="1"/>
  <c r="N786" i="265"/>
  <c r="I786" i="265"/>
  <c r="O786" i="265" s="1"/>
  <c r="F832" i="265"/>
  <c r="I198" i="265"/>
  <c r="N198" i="265"/>
  <c r="F515" i="265"/>
  <c r="G135" i="266"/>
  <c r="G132" i="266"/>
  <c r="G35" i="266" s="1"/>
  <c r="G36" i="266" s="1"/>
  <c r="G38" i="266" s="1"/>
  <c r="G57" i="266" s="1"/>
  <c r="G59" i="266" s="1"/>
  <c r="J916" i="265"/>
  <c r="M916" i="265" s="1"/>
  <c r="J599" i="265"/>
  <c r="M599" i="265" s="1"/>
  <c r="M282" i="265"/>
  <c r="N828" i="265"/>
  <c r="I828" i="265"/>
  <c r="O828" i="265" s="1"/>
  <c r="L107" i="266"/>
  <c r="L110" i="266" s="1"/>
  <c r="L111" i="266" s="1"/>
  <c r="L113" i="266" s="1"/>
  <c r="L115" i="266" s="1"/>
  <c r="K111" i="266"/>
  <c r="K113" i="266" s="1"/>
  <c r="K115" i="266" s="1"/>
  <c r="I75" i="266" l="1"/>
  <c r="I77" i="266" s="1"/>
  <c r="I18" i="266"/>
  <c r="H105" i="266"/>
  <c r="H133" i="266"/>
  <c r="M818" i="265"/>
  <c r="O785" i="265"/>
  <c r="H51" i="266"/>
  <c r="H33" i="266"/>
  <c r="H34" i="266" s="1"/>
  <c r="N827" i="265"/>
  <c r="I827" i="265"/>
  <c r="O827" i="265" s="1"/>
  <c r="F240" i="265"/>
  <c r="O195" i="265"/>
  <c r="I251" i="266"/>
  <c r="I279" i="266"/>
  <c r="I281" i="266" s="1"/>
  <c r="F831" i="265"/>
  <c r="F514" i="265"/>
  <c r="N197" i="265"/>
  <c r="I197" i="265"/>
  <c r="I818" i="265"/>
  <c r="O778" i="265"/>
  <c r="O818" i="265" s="1"/>
  <c r="O184" i="265"/>
  <c r="M501" i="265"/>
  <c r="O468" i="265"/>
  <c r="O193" i="265"/>
  <c r="F238" i="265"/>
  <c r="N818" i="265"/>
  <c r="I239" i="265"/>
  <c r="N239" i="265"/>
  <c r="F873" i="265"/>
  <c r="F556" i="265"/>
  <c r="J279" i="265"/>
  <c r="F871" i="265"/>
  <c r="I237" i="265"/>
  <c r="F554" i="265"/>
  <c r="N237" i="265"/>
  <c r="F875" i="265"/>
  <c r="F558" i="265"/>
  <c r="I241" i="265"/>
  <c r="I512" i="265"/>
  <c r="O512" i="265" s="1"/>
  <c r="N512" i="265"/>
  <c r="I829" i="265"/>
  <c r="O829" i="265" s="1"/>
  <c r="N829" i="265"/>
  <c r="N515" i="265"/>
  <c r="I515" i="265"/>
  <c r="O515" i="265" s="1"/>
  <c r="F824" i="265"/>
  <c r="I190" i="265"/>
  <c r="N190" i="265"/>
  <c r="F507" i="265"/>
  <c r="M551" i="265"/>
  <c r="N199" i="265"/>
  <c r="F516" i="265"/>
  <c r="F833" i="265"/>
  <c r="I199" i="265"/>
  <c r="I43" i="266"/>
  <c r="I277" i="266"/>
  <c r="I44" i="266" s="1"/>
  <c r="F153" i="266"/>
  <c r="E20" i="266"/>
  <c r="F20" i="266" s="1"/>
  <c r="J246" i="266"/>
  <c r="J273" i="266"/>
  <c r="N189" i="265"/>
  <c r="I189" i="265"/>
  <c r="F823" i="265"/>
  <c r="F229" i="265"/>
  <c r="F506" i="265"/>
  <c r="O198" i="265"/>
  <c r="F243" i="265"/>
  <c r="N501" i="265"/>
  <c r="J830" i="265"/>
  <c r="J513" i="265"/>
  <c r="M196" i="265"/>
  <c r="J229" i="265"/>
  <c r="N196" i="265"/>
  <c r="N832" i="265"/>
  <c r="I832" i="265"/>
  <c r="O832" i="265" s="1"/>
  <c r="O461" i="265"/>
  <c r="I501" i="265"/>
  <c r="N510" i="265"/>
  <c r="I510" i="265"/>
  <c r="O510" i="265" s="1"/>
  <c r="I100" i="266"/>
  <c r="I127" i="266"/>
  <c r="M868" i="265"/>
  <c r="O501" i="265" l="1"/>
  <c r="F546" i="265"/>
  <c r="I506" i="265"/>
  <c r="N506" i="265"/>
  <c r="N516" i="265"/>
  <c r="I516" i="265"/>
  <c r="O516" i="265" s="1"/>
  <c r="H54" i="266"/>
  <c r="H55" i="266"/>
  <c r="N556" i="265"/>
  <c r="I556" i="265"/>
  <c r="O556" i="265" s="1"/>
  <c r="O189" i="265"/>
  <c r="F234" i="265"/>
  <c r="I229" i="265"/>
  <c r="I873" i="265"/>
  <c r="O873" i="265" s="1"/>
  <c r="N873" i="265"/>
  <c r="N229" i="265"/>
  <c r="F286" i="265"/>
  <c r="N514" i="265"/>
  <c r="I514" i="265"/>
  <c r="O514" i="265" s="1"/>
  <c r="N243" i="265"/>
  <c r="I243" i="265"/>
  <c r="F560" i="265"/>
  <c r="F877" i="265"/>
  <c r="O237" i="265"/>
  <c r="F282" i="265"/>
  <c r="N871" i="265"/>
  <c r="I871" i="265"/>
  <c r="O871" i="265" s="1"/>
  <c r="J913" i="265"/>
  <c r="J596" i="265"/>
  <c r="M279" i="265"/>
  <c r="F242" i="265"/>
  <c r="O197" i="265"/>
  <c r="J276" i="266"/>
  <c r="J40" i="266"/>
  <c r="I507" i="265"/>
  <c r="O507" i="265" s="1"/>
  <c r="N507" i="265"/>
  <c r="F284" i="265"/>
  <c r="O239" i="265"/>
  <c r="N831" i="265"/>
  <c r="I831" i="265"/>
  <c r="O831" i="265" s="1"/>
  <c r="I558" i="265"/>
  <c r="I278" i="266"/>
  <c r="I45" i="266" s="1"/>
  <c r="I46" i="266" s="1"/>
  <c r="I48" i="266" s="1"/>
  <c r="H135" i="266"/>
  <c r="H132" i="266"/>
  <c r="H35" i="266" s="1"/>
  <c r="H36" i="266" s="1"/>
  <c r="H38" i="266" s="1"/>
  <c r="H57" i="266" s="1"/>
  <c r="H59" i="266" s="1"/>
  <c r="N833" i="265"/>
  <c r="I833" i="265"/>
  <c r="O833" i="265" s="1"/>
  <c r="F863" i="265"/>
  <c r="N823" i="265"/>
  <c r="N863" i="265" s="1"/>
  <c r="I823" i="265"/>
  <c r="J241" i="265"/>
  <c r="M229" i="265"/>
  <c r="O196" i="265"/>
  <c r="K243" i="266"/>
  <c r="J247" i="266"/>
  <c r="J249" i="266" s="1"/>
  <c r="M513" i="265"/>
  <c r="J546" i="265"/>
  <c r="N513" i="265"/>
  <c r="F235" i="265"/>
  <c r="O190" i="265"/>
  <c r="I875" i="265"/>
  <c r="F872" i="265"/>
  <c r="N238" i="265"/>
  <c r="F555" i="265"/>
  <c r="I238" i="265"/>
  <c r="F244" i="265"/>
  <c r="O199" i="265"/>
  <c r="I130" i="266"/>
  <c r="I131" i="266" s="1"/>
  <c r="I30" i="266"/>
  <c r="M830" i="265"/>
  <c r="J863" i="265"/>
  <c r="N830" i="265"/>
  <c r="I824" i="265"/>
  <c r="O824" i="265" s="1"/>
  <c r="N824" i="265"/>
  <c r="J97" i="266"/>
  <c r="I101" i="266"/>
  <c r="I103" i="266" s="1"/>
  <c r="N554" i="265"/>
  <c r="I554" i="265"/>
  <c r="O554" i="265" s="1"/>
  <c r="F874" i="265"/>
  <c r="N240" i="265"/>
  <c r="F557" i="265"/>
  <c r="I240" i="265"/>
  <c r="I79" i="266"/>
  <c r="I22" i="266" s="1"/>
  <c r="I20" i="266"/>
  <c r="K56" i="203"/>
  <c r="K39" i="203"/>
  <c r="K74" i="203"/>
  <c r="K22" i="203"/>
  <c r="J39" i="203"/>
  <c r="J22" i="203"/>
  <c r="J56" i="203"/>
  <c r="J74" i="203"/>
  <c r="N546" i="265" l="1"/>
  <c r="N877" i="265"/>
  <c r="I877" i="265"/>
  <c r="O877" i="265" s="1"/>
  <c r="F878" i="265"/>
  <c r="I244" i="265"/>
  <c r="F561" i="265"/>
  <c r="N244" i="265"/>
  <c r="K246" i="266"/>
  <c r="K247" i="266" s="1"/>
  <c r="K249" i="266" s="1"/>
  <c r="K273" i="266"/>
  <c r="F285" i="265"/>
  <c r="O240" i="265"/>
  <c r="J251" i="266"/>
  <c r="J279" i="266"/>
  <c r="J281" i="266" s="1"/>
  <c r="J278" i="266" s="1"/>
  <c r="F288" i="265"/>
  <c r="O243" i="265"/>
  <c r="F283" i="265"/>
  <c r="O238" i="265"/>
  <c r="F876" i="265"/>
  <c r="N242" i="265"/>
  <c r="F559" i="265"/>
  <c r="I242" i="265"/>
  <c r="M913" i="265"/>
  <c r="N284" i="265"/>
  <c r="F918" i="265"/>
  <c r="F601" i="265"/>
  <c r="I284" i="265"/>
  <c r="O284" i="265" s="1"/>
  <c r="J277" i="266"/>
  <c r="J44" i="266" s="1"/>
  <c r="J43" i="266"/>
  <c r="F868" i="265"/>
  <c r="F551" i="265"/>
  <c r="N234" i="265"/>
  <c r="I234" i="265"/>
  <c r="F274" i="265"/>
  <c r="M546" i="265"/>
  <c r="O513" i="265"/>
  <c r="I560" i="265"/>
  <c r="O560" i="265" s="1"/>
  <c r="N560" i="265"/>
  <c r="O229" i="265"/>
  <c r="I105" i="266"/>
  <c r="I133" i="266"/>
  <c r="J100" i="266"/>
  <c r="J127" i="266"/>
  <c r="N555" i="265"/>
  <c r="I555" i="265"/>
  <c r="O555" i="265" s="1"/>
  <c r="M596" i="265"/>
  <c r="N872" i="265"/>
  <c r="I872" i="265"/>
  <c r="O872" i="265" s="1"/>
  <c r="J875" i="265"/>
  <c r="M241" i="265"/>
  <c r="J558" i="265"/>
  <c r="J274" i="265"/>
  <c r="N241" i="265"/>
  <c r="O823" i="265"/>
  <c r="I863" i="265"/>
  <c r="F920" i="265"/>
  <c r="F603" i="265"/>
  <c r="I286" i="265"/>
  <c r="I557" i="265"/>
  <c r="O557" i="265" s="1"/>
  <c r="N557" i="265"/>
  <c r="M863" i="265"/>
  <c r="O830" i="265"/>
  <c r="I546" i="265"/>
  <c r="O506" i="265"/>
  <c r="I33" i="266"/>
  <c r="I34" i="266" s="1"/>
  <c r="I51" i="266"/>
  <c r="F869" i="265"/>
  <c r="I235" i="265"/>
  <c r="F552" i="265"/>
  <c r="N235" i="265"/>
  <c r="F916" i="265"/>
  <c r="N282" i="265"/>
  <c r="F599" i="265"/>
  <c r="I282" i="265"/>
  <c r="O282" i="265" s="1"/>
  <c r="N874" i="265"/>
  <c r="I874" i="265"/>
  <c r="O874" i="265" s="1"/>
  <c r="J75" i="203"/>
  <c r="J76" i="203" s="1"/>
  <c r="K75" i="203"/>
  <c r="K76" i="203" s="1"/>
  <c r="N274" i="265" l="1"/>
  <c r="O863" i="265"/>
  <c r="O546" i="265"/>
  <c r="I869" i="265"/>
  <c r="O869" i="265" s="1"/>
  <c r="N869" i="265"/>
  <c r="N918" i="265"/>
  <c r="I918" i="265"/>
  <c r="O918" i="265" s="1"/>
  <c r="M152" i="266"/>
  <c r="M153" i="266" s="1"/>
  <c r="M155" i="266" s="1"/>
  <c r="J45" i="266"/>
  <c r="J46" i="266" s="1"/>
  <c r="J48" i="266" s="1"/>
  <c r="I54" i="266"/>
  <c r="I55" i="266"/>
  <c r="I920" i="265"/>
  <c r="F919" i="265"/>
  <c r="F602" i="265"/>
  <c r="I285" i="265"/>
  <c r="O285" i="265" s="1"/>
  <c r="N285" i="265"/>
  <c r="O242" i="265"/>
  <c r="F287" i="265"/>
  <c r="J30" i="266"/>
  <c r="J130" i="266"/>
  <c r="J131" i="266" s="1"/>
  <c r="F908" i="265"/>
  <c r="I868" i="265"/>
  <c r="N868" i="265"/>
  <c r="I916" i="265"/>
  <c r="O916" i="265" s="1"/>
  <c r="N916" i="265"/>
  <c r="J286" i="265"/>
  <c r="M274" i="265"/>
  <c r="O241" i="265"/>
  <c r="I132" i="266"/>
  <c r="I35" i="266" s="1"/>
  <c r="I36" i="266" s="1"/>
  <c r="I38" i="266" s="1"/>
  <c r="I57" i="266" s="1"/>
  <c r="I59" i="266" s="1"/>
  <c r="I135" i="266"/>
  <c r="O244" i="265"/>
  <c r="F289" i="265"/>
  <c r="F279" i="265"/>
  <c r="O234" i="265"/>
  <c r="I274" i="265"/>
  <c r="I559" i="265"/>
  <c r="O559" i="265" s="1"/>
  <c r="N559" i="265"/>
  <c r="I599" i="265"/>
  <c r="O599" i="265" s="1"/>
  <c r="N599" i="265"/>
  <c r="F917" i="265"/>
  <c r="I283" i="265"/>
  <c r="O283" i="265" s="1"/>
  <c r="N283" i="265"/>
  <c r="F600" i="265"/>
  <c r="N878" i="265"/>
  <c r="I878" i="265"/>
  <c r="O878" i="265" s="1"/>
  <c r="K251" i="266"/>
  <c r="K279" i="266"/>
  <c r="K281" i="266" s="1"/>
  <c r="I551" i="265"/>
  <c r="N551" i="265"/>
  <c r="F591" i="265"/>
  <c r="M558" i="265"/>
  <c r="J591" i="265"/>
  <c r="N558" i="265"/>
  <c r="I876" i="265"/>
  <c r="O876" i="265" s="1"/>
  <c r="N876" i="265"/>
  <c r="K276" i="266"/>
  <c r="K40" i="266"/>
  <c r="K97" i="266"/>
  <c r="J101" i="266"/>
  <c r="J103" i="266" s="1"/>
  <c r="N561" i="265"/>
  <c r="I561" i="265"/>
  <c r="O561" i="265" s="1"/>
  <c r="M875" i="265"/>
  <c r="J908" i="265"/>
  <c r="N875" i="265"/>
  <c r="I552" i="265"/>
  <c r="O552" i="265" s="1"/>
  <c r="N552" i="265"/>
  <c r="O235" i="265"/>
  <c r="F280" i="265"/>
  <c r="I603" i="265"/>
  <c r="N601" i="265"/>
  <c r="I601" i="265"/>
  <c r="O601" i="265" s="1"/>
  <c r="F922" i="265"/>
  <c r="I288" i="265"/>
  <c r="O288" i="265" s="1"/>
  <c r="F605" i="265"/>
  <c r="N288" i="265"/>
  <c r="G127" i="132"/>
  <c r="G128" i="132"/>
  <c r="G129" i="132"/>
  <c r="G117" i="132"/>
  <c r="G118" i="132"/>
  <c r="G119" i="132"/>
  <c r="G120" i="132"/>
  <c r="G121" i="132"/>
  <c r="G122" i="132"/>
  <c r="G123" i="132"/>
  <c r="G124" i="132"/>
  <c r="G125" i="132"/>
  <c r="G126" i="132"/>
  <c r="G116" i="132"/>
  <c r="G106" i="132"/>
  <c r="G98" i="132"/>
  <c r="G97" i="132"/>
  <c r="G83" i="132"/>
  <c r="G82" i="132"/>
  <c r="G81" i="132"/>
  <c r="G80" i="132"/>
  <c r="G67" i="132"/>
  <c r="G66" i="132"/>
  <c r="G63" i="132"/>
  <c r="G62" i="132"/>
  <c r="G61" i="132"/>
  <c r="G60" i="132"/>
  <c r="H60" i="132" s="1"/>
  <c r="G59" i="132"/>
  <c r="G57" i="132"/>
  <c r="G56" i="132"/>
  <c r="G55" i="132"/>
  <c r="G54" i="132"/>
  <c r="G53" i="132"/>
  <c r="G52" i="132"/>
  <c r="G51" i="132"/>
  <c r="G37" i="132"/>
  <c r="H37" i="132" s="1"/>
  <c r="G38" i="132"/>
  <c r="H38" i="132" s="1"/>
  <c r="G39" i="132"/>
  <c r="H39" i="132" s="1"/>
  <c r="G32" i="132"/>
  <c r="G33" i="132"/>
  <c r="G34" i="132"/>
  <c r="G35" i="132"/>
  <c r="G36" i="132"/>
  <c r="G31" i="132"/>
  <c r="G30" i="132"/>
  <c r="G29" i="132"/>
  <c r="N908" i="265" l="1"/>
  <c r="M591" i="265"/>
  <c r="O558" i="265"/>
  <c r="F597" i="265"/>
  <c r="N280" i="265"/>
  <c r="I280" i="265"/>
  <c r="O280" i="265" s="1"/>
  <c r="F914" i="265"/>
  <c r="I605" i="265"/>
  <c r="O605" i="265" s="1"/>
  <c r="N605" i="265"/>
  <c r="F921" i="265"/>
  <c r="F604" i="265"/>
  <c r="N287" i="265"/>
  <c r="I287" i="265"/>
  <c r="O287" i="265" s="1"/>
  <c r="I917" i="265"/>
  <c r="O917" i="265" s="1"/>
  <c r="N917" i="265"/>
  <c r="N591" i="265"/>
  <c r="I908" i="265"/>
  <c r="O868" i="265"/>
  <c r="F913" i="265"/>
  <c r="F596" i="265"/>
  <c r="N279" i="265"/>
  <c r="F319" i="265"/>
  <c r="I279" i="265"/>
  <c r="N600" i="265"/>
  <c r="I600" i="265"/>
  <c r="O600" i="265" s="1"/>
  <c r="F923" i="265"/>
  <c r="N289" i="265"/>
  <c r="I289" i="265"/>
  <c r="O289" i="265" s="1"/>
  <c r="F606" i="265"/>
  <c r="J51" i="266"/>
  <c r="J33" i="266"/>
  <c r="J34" i="266" s="1"/>
  <c r="M908" i="265"/>
  <c r="O875" i="265"/>
  <c r="I922" i="265"/>
  <c r="O922" i="265" s="1"/>
  <c r="N922" i="265"/>
  <c r="J105" i="266"/>
  <c r="J133" i="266"/>
  <c r="I591" i="265"/>
  <c r="O551" i="265"/>
  <c r="J920" i="265"/>
  <c r="M286" i="265"/>
  <c r="J603" i="265"/>
  <c r="J319" i="265"/>
  <c r="N286" i="265"/>
  <c r="N602" i="265"/>
  <c r="I602" i="265"/>
  <c r="O602" i="265" s="1"/>
  <c r="K277" i="266"/>
  <c r="K44" i="266" s="1"/>
  <c r="K43" i="266"/>
  <c r="O274" i="265"/>
  <c r="K100" i="266"/>
  <c r="K127" i="266"/>
  <c r="I919" i="265"/>
  <c r="O919" i="265" s="1"/>
  <c r="N919" i="265"/>
  <c r="Q220" i="237"/>
  <c r="Q45" i="237" s="1"/>
  <c r="Q219" i="237"/>
  <c r="Q44" i="237" s="1"/>
  <c r="Q214" i="237"/>
  <c r="Q218" i="237"/>
  <c r="Q221" i="237"/>
  <c r="Q222" i="237"/>
  <c r="Q223" i="237"/>
  <c r="K278" i="266" l="1"/>
  <c r="O591" i="265"/>
  <c r="O279" i="265"/>
  <c r="I319" i="265"/>
  <c r="N319" i="265"/>
  <c r="M603" i="265"/>
  <c r="J636" i="265"/>
  <c r="N603" i="265"/>
  <c r="N913" i="265"/>
  <c r="N953" i="265" s="1"/>
  <c r="F953" i="265"/>
  <c r="I913" i="265"/>
  <c r="I604" i="265"/>
  <c r="O604" i="265" s="1"/>
  <c r="N604" i="265"/>
  <c r="I921" i="265"/>
  <c r="O921" i="265" s="1"/>
  <c r="N921" i="265"/>
  <c r="I596" i="265"/>
  <c r="F636" i="265"/>
  <c r="N596" i="265"/>
  <c r="N152" i="266"/>
  <c r="N153" i="266" s="1"/>
  <c r="N155" i="266" s="1"/>
  <c r="K45" i="266"/>
  <c r="M319" i="265"/>
  <c r="O286" i="265"/>
  <c r="J54" i="266"/>
  <c r="J55" i="266" s="1"/>
  <c r="O908" i="265"/>
  <c r="I914" i="265"/>
  <c r="O914" i="265" s="1"/>
  <c r="N914" i="265"/>
  <c r="K30" i="266"/>
  <c r="K130" i="266"/>
  <c r="K131" i="266" s="1"/>
  <c r="M920" i="265"/>
  <c r="J953" i="265"/>
  <c r="N920" i="265"/>
  <c r="N606" i="265"/>
  <c r="I606" i="265"/>
  <c r="O606" i="265" s="1"/>
  <c r="L97" i="266"/>
  <c r="K101" i="266"/>
  <c r="K103" i="266" s="1"/>
  <c r="I597" i="265"/>
  <c r="O597" i="265" s="1"/>
  <c r="N597" i="265"/>
  <c r="J135" i="266"/>
  <c r="J132" i="266"/>
  <c r="J35" i="266" s="1"/>
  <c r="J36" i="266" s="1"/>
  <c r="J38" i="266" s="1"/>
  <c r="J57" i="266" s="1"/>
  <c r="J59" i="266" s="1"/>
  <c r="I923" i="265"/>
  <c r="O923" i="265" s="1"/>
  <c r="N923" i="265"/>
  <c r="K46" i="266"/>
  <c r="K48" i="266" s="1"/>
  <c r="M953" i="265" l="1"/>
  <c r="O920" i="265"/>
  <c r="M636" i="265"/>
  <c r="O603" i="265"/>
  <c r="L100" i="266"/>
  <c r="L101" i="266" s="1"/>
  <c r="L103" i="266" s="1"/>
  <c r="L127" i="266"/>
  <c r="I953" i="265"/>
  <c r="O913" i="265"/>
  <c r="O319" i="265"/>
  <c r="K105" i="266"/>
  <c r="K133" i="266"/>
  <c r="N636" i="265"/>
  <c r="K51" i="266"/>
  <c r="K33" i="266"/>
  <c r="K34" i="266" s="1"/>
  <c r="O596" i="265"/>
  <c r="I636" i="265"/>
  <c r="E116" i="229"/>
  <c r="F116" i="229"/>
  <c r="G116" i="229"/>
  <c r="H116" i="229"/>
  <c r="I116" i="229"/>
  <c r="N116" i="229"/>
  <c r="O116" i="229"/>
  <c r="J116" i="229"/>
  <c r="K116" i="229"/>
  <c r="L116" i="229"/>
  <c r="M116" i="229"/>
  <c r="P116" i="229"/>
  <c r="O636" i="265" l="1"/>
  <c r="L130" i="266"/>
  <c r="L131" i="266" s="1"/>
  <c r="L30" i="266"/>
  <c r="L105" i="266"/>
  <c r="L133" i="266"/>
  <c r="O953" i="265"/>
  <c r="K135" i="266"/>
  <c r="K132" i="266"/>
  <c r="K35" i="266" s="1"/>
  <c r="K36" i="266" s="1"/>
  <c r="K38" i="266" s="1"/>
  <c r="K57" i="266" s="1"/>
  <c r="K59" i="266" s="1"/>
  <c r="K54" i="266"/>
  <c r="K55" i="266"/>
  <c r="L132" i="266" l="1"/>
  <c r="L35" i="266" s="1"/>
  <c r="L135" i="266"/>
  <c r="L51" i="266"/>
  <c r="L33" i="266"/>
  <c r="L34" i="266" s="1"/>
  <c r="L36" i="266" s="1"/>
  <c r="L38" i="266" s="1"/>
  <c r="L57" i="266" s="1"/>
  <c r="L59" i="266" s="1"/>
  <c r="L54" i="266" l="1"/>
  <c r="L55" i="266" s="1"/>
  <c r="N51" i="58" l="1"/>
  <c r="O51" i="58"/>
  <c r="P51" i="58"/>
  <c r="N52" i="58"/>
  <c r="O52" i="58"/>
  <c r="P52" i="58"/>
  <c r="N53" i="58"/>
  <c r="O53" i="58"/>
  <c r="P53" i="58"/>
  <c r="N55" i="58"/>
  <c r="O55" i="58"/>
  <c r="P55" i="58"/>
  <c r="O40" i="58" l="1"/>
  <c r="P40" i="58"/>
  <c r="N40" i="58"/>
  <c r="I18" i="58" l="1"/>
  <c r="J18" i="58"/>
  <c r="K18" i="58"/>
  <c r="H18" i="58"/>
  <c r="I17" i="58"/>
  <c r="J17" i="58"/>
  <c r="K17" i="58"/>
  <c r="H17" i="58"/>
  <c r="I16" i="58"/>
  <c r="J16" i="58"/>
  <c r="K16" i="58"/>
  <c r="H16" i="58"/>
  <c r="I15" i="58"/>
  <c r="J15" i="58"/>
  <c r="K15" i="58"/>
  <c r="H15" i="58"/>
  <c r="I14" i="58"/>
  <c r="J14" i="58"/>
  <c r="K14" i="58"/>
  <c r="H14" i="58"/>
  <c r="H40" i="58"/>
  <c r="H13" i="58" s="1"/>
  <c r="B21" i="58"/>
  <c r="P176" i="241"/>
  <c r="O176" i="241"/>
  <c r="N176" i="241"/>
  <c r="M176" i="241"/>
  <c r="L176" i="241"/>
  <c r="K176" i="241"/>
  <c r="J176" i="241"/>
  <c r="I176" i="241"/>
  <c r="H176" i="241"/>
  <c r="G176" i="241"/>
  <c r="F176" i="241"/>
  <c r="E176" i="241"/>
  <c r="P349" i="241"/>
  <c r="O349" i="241"/>
  <c r="N349" i="241"/>
  <c r="M349" i="241"/>
  <c r="L349" i="241"/>
  <c r="K349" i="241"/>
  <c r="J349" i="241"/>
  <c r="I349" i="241"/>
  <c r="H349" i="241"/>
  <c r="G349" i="241"/>
  <c r="F349" i="241"/>
  <c r="E349" i="241"/>
  <c r="Q348" i="241"/>
  <c r="Q347" i="241"/>
  <c r="H348" i="241"/>
  <c r="P347" i="241"/>
  <c r="P348" i="241" s="1"/>
  <c r="O347" i="241"/>
  <c r="O348" i="241" s="1"/>
  <c r="N347" i="241"/>
  <c r="N348" i="241" s="1"/>
  <c r="M347" i="241"/>
  <c r="M348" i="241" s="1"/>
  <c r="L347" i="241"/>
  <c r="L348" i="241" s="1"/>
  <c r="K347" i="241"/>
  <c r="K348" i="241" s="1"/>
  <c r="J347" i="241"/>
  <c r="J348" i="241" s="1"/>
  <c r="I347" i="241"/>
  <c r="I348" i="241" s="1"/>
  <c r="H347" i="241"/>
  <c r="G347" i="241"/>
  <c r="G348" i="241" s="1"/>
  <c r="F347" i="241"/>
  <c r="F348" i="241" s="1"/>
  <c r="E347" i="241"/>
  <c r="E348" i="241" s="1"/>
  <c r="Q523" i="241"/>
  <c r="P120" i="243" l="1"/>
  <c r="O120" i="243"/>
  <c r="N120" i="243"/>
  <c r="M120" i="243"/>
  <c r="L120" i="243"/>
  <c r="K120" i="243"/>
  <c r="J120" i="243"/>
  <c r="I120" i="243"/>
  <c r="H120" i="243"/>
  <c r="G120" i="243"/>
  <c r="F120" i="243"/>
  <c r="E120" i="243"/>
  <c r="P118" i="243"/>
  <c r="O118" i="243"/>
  <c r="N118" i="243"/>
  <c r="M118" i="243"/>
  <c r="L118" i="243"/>
  <c r="K118" i="243"/>
  <c r="J118" i="243"/>
  <c r="I118" i="243"/>
  <c r="H118" i="243"/>
  <c r="G118" i="243"/>
  <c r="F118" i="243"/>
  <c r="E118" i="243"/>
  <c r="P182" i="243" l="1"/>
  <c r="O182" i="243"/>
  <c r="N182" i="243"/>
  <c r="M182" i="243"/>
  <c r="L182" i="243"/>
  <c r="K182" i="243"/>
  <c r="J182" i="243"/>
  <c r="I182" i="243"/>
  <c r="H182" i="243"/>
  <c r="G182" i="243"/>
  <c r="F182" i="243"/>
  <c r="E182" i="243"/>
  <c r="P180" i="243"/>
  <c r="O180" i="243"/>
  <c r="N180" i="243"/>
  <c r="M180" i="243"/>
  <c r="L180" i="243"/>
  <c r="K180" i="243"/>
  <c r="J180" i="243"/>
  <c r="I180" i="243"/>
  <c r="H180" i="243"/>
  <c r="G180" i="243"/>
  <c r="F180" i="243"/>
  <c r="E180" i="243"/>
  <c r="P178" i="243"/>
  <c r="O178" i="243"/>
  <c r="N178" i="243"/>
  <c r="M178" i="243"/>
  <c r="L178" i="243"/>
  <c r="K178" i="243"/>
  <c r="J178" i="243"/>
  <c r="I178" i="243"/>
  <c r="H178" i="243"/>
  <c r="G178" i="243"/>
  <c r="F178" i="243"/>
  <c r="E178" i="243"/>
  <c r="P175" i="243"/>
  <c r="O175" i="243"/>
  <c r="N175" i="243"/>
  <c r="M175" i="243"/>
  <c r="L175" i="243"/>
  <c r="K175" i="243"/>
  <c r="J175" i="243"/>
  <c r="I175" i="243"/>
  <c r="H175" i="243"/>
  <c r="G175" i="243"/>
  <c r="F175" i="243"/>
  <c r="E175" i="243"/>
  <c r="P173" i="243"/>
  <c r="O173" i="243"/>
  <c r="N173" i="243"/>
  <c r="M173" i="243"/>
  <c r="L173" i="243"/>
  <c r="K173" i="243"/>
  <c r="J173" i="243"/>
  <c r="I173" i="243"/>
  <c r="H173" i="243"/>
  <c r="G173" i="243"/>
  <c r="F173" i="243"/>
  <c r="E173" i="243"/>
  <c r="P171" i="243"/>
  <c r="O171" i="243"/>
  <c r="N171" i="243"/>
  <c r="M171" i="243"/>
  <c r="L171" i="243"/>
  <c r="K171" i="243"/>
  <c r="J171" i="243"/>
  <c r="I171" i="243"/>
  <c r="H171" i="243"/>
  <c r="G171" i="243"/>
  <c r="F171" i="243"/>
  <c r="E171" i="243"/>
  <c r="P168" i="243"/>
  <c r="O168" i="243"/>
  <c r="N168" i="243"/>
  <c r="M168" i="243"/>
  <c r="L168" i="243"/>
  <c r="K168" i="243"/>
  <c r="J168" i="243"/>
  <c r="I168" i="243"/>
  <c r="H168" i="243"/>
  <c r="G168" i="243"/>
  <c r="F168" i="243"/>
  <c r="E168" i="243"/>
  <c r="P166" i="243"/>
  <c r="O166" i="243"/>
  <c r="N166" i="243"/>
  <c r="M166" i="243"/>
  <c r="L166" i="243"/>
  <c r="K166" i="243"/>
  <c r="J166" i="243"/>
  <c r="I166" i="243"/>
  <c r="H166" i="243"/>
  <c r="G166" i="243"/>
  <c r="F166" i="243"/>
  <c r="E166" i="243"/>
  <c r="P165" i="243"/>
  <c r="O165" i="243"/>
  <c r="N165" i="243"/>
  <c r="M165" i="243"/>
  <c r="L165" i="243"/>
  <c r="K165" i="243"/>
  <c r="J165" i="243"/>
  <c r="I165" i="243"/>
  <c r="H165" i="243"/>
  <c r="G165" i="243"/>
  <c r="F165" i="243"/>
  <c r="E165" i="243"/>
  <c r="P162" i="243"/>
  <c r="O162" i="243"/>
  <c r="N162" i="243"/>
  <c r="M162" i="243"/>
  <c r="L162" i="243"/>
  <c r="K162" i="243"/>
  <c r="J162" i="243"/>
  <c r="I162" i="243"/>
  <c r="H162" i="243"/>
  <c r="G162" i="243"/>
  <c r="F162" i="243"/>
  <c r="E162" i="243"/>
  <c r="P160" i="243"/>
  <c r="O160" i="243"/>
  <c r="N160" i="243"/>
  <c r="M160" i="243"/>
  <c r="L160" i="243"/>
  <c r="K160" i="243"/>
  <c r="J160" i="243"/>
  <c r="I160" i="243"/>
  <c r="H160" i="243"/>
  <c r="G160" i="243"/>
  <c r="F160" i="243"/>
  <c r="E160" i="243"/>
  <c r="P219" i="243" l="1"/>
  <c r="O219" i="243"/>
  <c r="N219" i="243"/>
  <c r="M219" i="243"/>
  <c r="L219" i="243"/>
  <c r="K219" i="243"/>
  <c r="J219" i="243"/>
  <c r="I219" i="243"/>
  <c r="H219" i="243"/>
  <c r="G219" i="243"/>
  <c r="F219" i="243"/>
  <c r="E219" i="243"/>
  <c r="P217" i="243"/>
  <c r="O217" i="243"/>
  <c r="N217" i="243"/>
  <c r="M217" i="243"/>
  <c r="L217" i="243"/>
  <c r="K217" i="243"/>
  <c r="J217" i="243"/>
  <c r="I217" i="243"/>
  <c r="H217" i="243"/>
  <c r="G217" i="243"/>
  <c r="F217" i="243"/>
  <c r="E217" i="243"/>
  <c r="P215" i="243"/>
  <c r="O215" i="243"/>
  <c r="N215" i="243"/>
  <c r="M215" i="243"/>
  <c r="L215" i="243"/>
  <c r="K215" i="243"/>
  <c r="J215" i="243"/>
  <c r="I215" i="243"/>
  <c r="H215" i="243"/>
  <c r="G215" i="243"/>
  <c r="F215" i="243"/>
  <c r="E215" i="243"/>
  <c r="P212" i="243"/>
  <c r="O212" i="243"/>
  <c r="N212" i="243"/>
  <c r="M212" i="243"/>
  <c r="L212" i="243"/>
  <c r="K212" i="243"/>
  <c r="J212" i="243"/>
  <c r="I212" i="243"/>
  <c r="H212" i="243"/>
  <c r="G212" i="243"/>
  <c r="F212" i="243"/>
  <c r="E212" i="243"/>
  <c r="P210" i="243"/>
  <c r="O210" i="243"/>
  <c r="N210" i="243"/>
  <c r="M210" i="243"/>
  <c r="L210" i="243"/>
  <c r="K210" i="243"/>
  <c r="J210" i="243"/>
  <c r="I210" i="243"/>
  <c r="H210" i="243"/>
  <c r="G210" i="243"/>
  <c r="F210" i="243"/>
  <c r="E210" i="243"/>
  <c r="P208" i="243"/>
  <c r="O208" i="243"/>
  <c r="N208" i="243"/>
  <c r="M208" i="243"/>
  <c r="L208" i="243"/>
  <c r="K208" i="243"/>
  <c r="J208" i="243"/>
  <c r="I208" i="243"/>
  <c r="H208" i="243"/>
  <c r="G208" i="243"/>
  <c r="F208" i="243"/>
  <c r="E208" i="243"/>
  <c r="P205" i="243"/>
  <c r="O205" i="243"/>
  <c r="N205" i="243"/>
  <c r="M205" i="243"/>
  <c r="L205" i="243"/>
  <c r="K205" i="243"/>
  <c r="J205" i="243"/>
  <c r="I205" i="243"/>
  <c r="H205" i="243"/>
  <c r="G205" i="243"/>
  <c r="F205" i="243"/>
  <c r="E205" i="243"/>
  <c r="P203" i="243"/>
  <c r="O203" i="243"/>
  <c r="N203" i="243"/>
  <c r="M203" i="243"/>
  <c r="L203" i="243"/>
  <c r="K203" i="243"/>
  <c r="J203" i="243"/>
  <c r="I203" i="243"/>
  <c r="H203" i="243"/>
  <c r="G203" i="243"/>
  <c r="F203" i="243"/>
  <c r="E203" i="243"/>
  <c r="P202" i="243"/>
  <c r="O202" i="243"/>
  <c r="N202" i="243"/>
  <c r="M202" i="243"/>
  <c r="L202" i="243"/>
  <c r="K202" i="243"/>
  <c r="J202" i="243"/>
  <c r="I202" i="243"/>
  <c r="H202" i="243"/>
  <c r="G202" i="243"/>
  <c r="F202" i="243"/>
  <c r="E202" i="243"/>
  <c r="P199" i="243"/>
  <c r="O199" i="243"/>
  <c r="N199" i="243"/>
  <c r="M199" i="243"/>
  <c r="L199" i="243"/>
  <c r="K199" i="243"/>
  <c r="J199" i="243"/>
  <c r="I199" i="243"/>
  <c r="H199" i="243"/>
  <c r="G199" i="243"/>
  <c r="F199" i="243"/>
  <c r="E199" i="243"/>
  <c r="P197" i="243"/>
  <c r="O197" i="243"/>
  <c r="N197" i="243"/>
  <c r="M197" i="243"/>
  <c r="L197" i="243"/>
  <c r="K197" i="243"/>
  <c r="J197" i="243"/>
  <c r="I197" i="243"/>
  <c r="H197" i="243"/>
  <c r="G197" i="243"/>
  <c r="F197" i="243"/>
  <c r="E197" i="243"/>
  <c r="P256" i="243" l="1"/>
  <c r="O256" i="243"/>
  <c r="N256" i="243"/>
  <c r="M256" i="243"/>
  <c r="L256" i="243"/>
  <c r="K256" i="243"/>
  <c r="J256" i="243"/>
  <c r="I256" i="243"/>
  <c r="H256" i="243"/>
  <c r="G256" i="243"/>
  <c r="F256" i="243"/>
  <c r="E256" i="243"/>
  <c r="P254" i="243"/>
  <c r="O254" i="243"/>
  <c r="N254" i="243"/>
  <c r="M254" i="243"/>
  <c r="L254" i="243"/>
  <c r="K254" i="243"/>
  <c r="J254" i="243"/>
  <c r="I254" i="243"/>
  <c r="H254" i="243"/>
  <c r="G254" i="243"/>
  <c r="F254" i="243"/>
  <c r="E254" i="243"/>
  <c r="P252" i="243"/>
  <c r="O252" i="243"/>
  <c r="N252" i="243"/>
  <c r="M252" i="243"/>
  <c r="L252" i="243"/>
  <c r="L255" i="243" s="1"/>
  <c r="K252" i="243"/>
  <c r="J252" i="243"/>
  <c r="I252" i="243"/>
  <c r="H252" i="243"/>
  <c r="G252" i="243"/>
  <c r="F252" i="243"/>
  <c r="E252" i="243"/>
  <c r="P249" i="243"/>
  <c r="O249" i="243"/>
  <c r="N249" i="243"/>
  <c r="M249" i="243"/>
  <c r="L249" i="243"/>
  <c r="K249" i="243"/>
  <c r="J249" i="243"/>
  <c r="I249" i="243"/>
  <c r="H249" i="243"/>
  <c r="G249" i="243"/>
  <c r="F249" i="243"/>
  <c r="E249" i="243"/>
  <c r="P247" i="243"/>
  <c r="O247" i="243"/>
  <c r="N247" i="243"/>
  <c r="M247" i="243"/>
  <c r="L247" i="243"/>
  <c r="K247" i="243"/>
  <c r="J247" i="243"/>
  <c r="I247" i="243"/>
  <c r="H247" i="243"/>
  <c r="G247" i="243"/>
  <c r="F247" i="243"/>
  <c r="E247" i="243"/>
  <c r="P245" i="243"/>
  <c r="P250" i="243" s="1"/>
  <c r="O245" i="243"/>
  <c r="N245" i="243"/>
  <c r="M245" i="243"/>
  <c r="L245" i="243"/>
  <c r="K245" i="243"/>
  <c r="J245" i="243"/>
  <c r="I245" i="243"/>
  <c r="H245" i="243"/>
  <c r="G245" i="243"/>
  <c r="F245" i="243"/>
  <c r="E245" i="243"/>
  <c r="P242" i="243"/>
  <c r="O242" i="243"/>
  <c r="N242" i="243"/>
  <c r="M242" i="243"/>
  <c r="L242" i="243"/>
  <c r="K242" i="243"/>
  <c r="J242" i="243"/>
  <c r="I242" i="243"/>
  <c r="H242" i="243"/>
  <c r="G242" i="243"/>
  <c r="F242" i="243"/>
  <c r="E242" i="243"/>
  <c r="P240" i="243"/>
  <c r="O240" i="243"/>
  <c r="N240" i="243"/>
  <c r="M240" i="243"/>
  <c r="L240" i="243"/>
  <c r="K240" i="243"/>
  <c r="J240" i="243"/>
  <c r="I240" i="243"/>
  <c r="H240" i="243"/>
  <c r="G240" i="243"/>
  <c r="F240" i="243"/>
  <c r="E240" i="243"/>
  <c r="P239" i="243"/>
  <c r="O239" i="243"/>
  <c r="N239" i="243"/>
  <c r="M239" i="243"/>
  <c r="L239" i="243"/>
  <c r="L243" i="243" s="1"/>
  <c r="K239" i="243"/>
  <c r="K243" i="243" s="1"/>
  <c r="J239" i="243"/>
  <c r="J243" i="243" s="1"/>
  <c r="I239" i="243"/>
  <c r="H239" i="243"/>
  <c r="G239" i="243"/>
  <c r="F239" i="243"/>
  <c r="E239" i="243"/>
  <c r="P236" i="243"/>
  <c r="O236" i="243"/>
  <c r="N236" i="243"/>
  <c r="M236" i="243"/>
  <c r="L236" i="243"/>
  <c r="K236" i="243"/>
  <c r="J236" i="243"/>
  <c r="I236" i="243"/>
  <c r="H236" i="243"/>
  <c r="G236" i="243"/>
  <c r="F236" i="243"/>
  <c r="E236" i="243"/>
  <c r="P234" i="243"/>
  <c r="O234" i="243"/>
  <c r="N234" i="243"/>
  <c r="M234" i="243"/>
  <c r="L234" i="243"/>
  <c r="L259" i="243" s="1"/>
  <c r="K234" i="243"/>
  <c r="K259" i="243" s="1"/>
  <c r="J234" i="243"/>
  <c r="I234" i="243"/>
  <c r="H234" i="243"/>
  <c r="G234" i="243"/>
  <c r="F234" i="243"/>
  <c r="E234" i="243"/>
  <c r="P231" i="243"/>
  <c r="O231" i="243"/>
  <c r="N231" i="243"/>
  <c r="M231" i="243"/>
  <c r="L231" i="243"/>
  <c r="K231" i="243"/>
  <c r="J231" i="243"/>
  <c r="I231" i="243"/>
  <c r="H231" i="243"/>
  <c r="G231" i="243"/>
  <c r="F231" i="243"/>
  <c r="E231" i="243"/>
  <c r="P229" i="243"/>
  <c r="O229" i="243"/>
  <c r="N229" i="243"/>
  <c r="M229" i="243"/>
  <c r="L229" i="243"/>
  <c r="L232" i="243" s="1"/>
  <c r="K229" i="243"/>
  <c r="K232" i="243" s="1"/>
  <c r="J229" i="243"/>
  <c r="I229" i="243"/>
  <c r="H229" i="243"/>
  <c r="G229" i="243"/>
  <c r="F229" i="243"/>
  <c r="E229" i="243"/>
  <c r="P259" i="243"/>
  <c r="O259" i="243"/>
  <c r="N259" i="243"/>
  <c r="M259" i="243"/>
  <c r="Q257" i="243"/>
  <c r="Q253" i="243"/>
  <c r="P32" i="242" s="1"/>
  <c r="L248" i="243"/>
  <c r="Q246" i="243"/>
  <c r="P25" i="242" s="1"/>
  <c r="O241" i="243"/>
  <c r="B230" i="243"/>
  <c r="B231" i="243" s="1"/>
  <c r="B232" i="243" s="1"/>
  <c r="B233" i="243" s="1"/>
  <c r="B234" i="243" s="1"/>
  <c r="B235" i="243" s="1"/>
  <c r="B236" i="243" s="1"/>
  <c r="B237" i="243" s="1"/>
  <c r="B239" i="243" s="1"/>
  <c r="B240" i="243" s="1"/>
  <c r="B241" i="243" s="1"/>
  <c r="B242" i="243" s="1"/>
  <c r="B243" i="243" s="1"/>
  <c r="B245" i="243" s="1"/>
  <c r="B246" i="243" s="1"/>
  <c r="B247" i="243" s="1"/>
  <c r="B248" i="243" s="1"/>
  <c r="B249" i="243" s="1"/>
  <c r="B250" i="243" s="1"/>
  <c r="B253" i="243" s="1"/>
  <c r="B254" i="243" s="1"/>
  <c r="B255" i="243" s="1"/>
  <c r="B256" i="243" s="1"/>
  <c r="B258" i="243" s="1"/>
  <c r="B259" i="243" s="1"/>
  <c r="B260" i="243" s="1"/>
  <c r="B261" i="243" s="1"/>
  <c r="B262" i="243" s="1"/>
  <c r="P222" i="243"/>
  <c r="O222" i="243"/>
  <c r="N222" i="243"/>
  <c r="M222" i="243"/>
  <c r="L222" i="243"/>
  <c r="K222" i="243"/>
  <c r="J222" i="243"/>
  <c r="I222" i="243"/>
  <c r="H222" i="243"/>
  <c r="G222" i="243"/>
  <c r="F222" i="243"/>
  <c r="E222" i="243"/>
  <c r="Q220" i="243"/>
  <c r="Q219" i="243"/>
  <c r="O35" i="242" s="1"/>
  <c r="P218" i="243"/>
  <c r="O218" i="243"/>
  <c r="N218" i="243"/>
  <c r="M218" i="243"/>
  <c r="L218" i="243"/>
  <c r="K218" i="243"/>
  <c r="J218" i="243"/>
  <c r="I218" i="243"/>
  <c r="H218" i="243"/>
  <c r="G218" i="243"/>
  <c r="F218" i="243"/>
  <c r="E218" i="243"/>
  <c r="Q217" i="243"/>
  <c r="O33" i="242" s="1"/>
  <c r="Q216" i="243"/>
  <c r="O32" i="242" s="1"/>
  <c r="Q215" i="243"/>
  <c r="O31" i="242" s="1"/>
  <c r="P213" i="243"/>
  <c r="O213" i="243"/>
  <c r="N213" i="243"/>
  <c r="M213" i="243"/>
  <c r="L213" i="243"/>
  <c r="K213" i="243"/>
  <c r="J213" i="243"/>
  <c r="I213" i="243"/>
  <c r="H213" i="243"/>
  <c r="G213" i="243"/>
  <c r="F213" i="243"/>
  <c r="E213" i="243"/>
  <c r="Q212" i="243"/>
  <c r="O28" i="242" s="1"/>
  <c r="P211" i="243"/>
  <c r="O211" i="243"/>
  <c r="N211" i="243"/>
  <c r="M211" i="243"/>
  <c r="L211" i="243"/>
  <c r="K211" i="243"/>
  <c r="J211" i="243"/>
  <c r="I211" i="243"/>
  <c r="H211" i="243"/>
  <c r="G211" i="243"/>
  <c r="F211" i="243"/>
  <c r="E211" i="243"/>
  <c r="Q210" i="243"/>
  <c r="O26" i="242" s="1"/>
  <c r="Q209" i="243"/>
  <c r="O25" i="242" s="1"/>
  <c r="Q208" i="243"/>
  <c r="O24" i="242" s="1"/>
  <c r="P206" i="243"/>
  <c r="O206" i="243"/>
  <c r="N206" i="243"/>
  <c r="M206" i="243"/>
  <c r="L206" i="243"/>
  <c r="K206" i="243"/>
  <c r="J206" i="243"/>
  <c r="I206" i="243"/>
  <c r="H206" i="243"/>
  <c r="G206" i="243"/>
  <c r="F206" i="243"/>
  <c r="E206" i="243"/>
  <c r="Q205" i="243"/>
  <c r="O21" i="242" s="1"/>
  <c r="P204" i="243"/>
  <c r="O204" i="243"/>
  <c r="N204" i="243"/>
  <c r="M204" i="243"/>
  <c r="L204" i="243"/>
  <c r="K204" i="243"/>
  <c r="J204" i="243"/>
  <c r="I204" i="243"/>
  <c r="H204" i="243"/>
  <c r="G204" i="243"/>
  <c r="F204" i="243"/>
  <c r="E204" i="243"/>
  <c r="Q203" i="243"/>
  <c r="O19" i="242" s="1"/>
  <c r="Q202" i="243"/>
  <c r="O18" i="242" s="1"/>
  <c r="Q199" i="243"/>
  <c r="O15" i="242" s="1"/>
  <c r="Q197" i="243"/>
  <c r="O13" i="242" s="1"/>
  <c r="B193" i="243"/>
  <c r="B194" i="243" s="1"/>
  <c r="B195" i="243" s="1"/>
  <c r="B196" i="243" s="1"/>
  <c r="B197" i="243" s="1"/>
  <c r="B198" i="243" s="1"/>
  <c r="B199" i="243" s="1"/>
  <c r="B200" i="243" s="1"/>
  <c r="B202" i="243" s="1"/>
  <c r="B203" i="243" s="1"/>
  <c r="B204" i="243" s="1"/>
  <c r="B205" i="243" s="1"/>
  <c r="B206" i="243" s="1"/>
  <c r="B208" i="243" s="1"/>
  <c r="B209" i="243" s="1"/>
  <c r="B210" i="243" s="1"/>
  <c r="B211" i="243" s="1"/>
  <c r="B212" i="243" s="1"/>
  <c r="B213" i="243" s="1"/>
  <c r="B216" i="243" s="1"/>
  <c r="B217" i="243" s="1"/>
  <c r="B218" i="243" s="1"/>
  <c r="B219" i="243" s="1"/>
  <c r="B221" i="243" s="1"/>
  <c r="B222" i="243" s="1"/>
  <c r="B223" i="243" s="1"/>
  <c r="B224" i="243" s="1"/>
  <c r="B225" i="243" s="1"/>
  <c r="P185" i="243"/>
  <c r="O185" i="243"/>
  <c r="N185" i="243"/>
  <c r="M185" i="243"/>
  <c r="L185" i="243"/>
  <c r="K185" i="243"/>
  <c r="J185" i="243"/>
  <c r="I185" i="243"/>
  <c r="H185" i="243"/>
  <c r="G185" i="243"/>
  <c r="F185" i="243"/>
  <c r="E185" i="243"/>
  <c r="Q183" i="243"/>
  <c r="Q182" i="243"/>
  <c r="N35" i="242" s="1"/>
  <c r="P181" i="243"/>
  <c r="O181" i="243"/>
  <c r="N181" i="243"/>
  <c r="M181" i="243"/>
  <c r="L181" i="243"/>
  <c r="K181" i="243"/>
  <c r="J181" i="243"/>
  <c r="I181" i="243"/>
  <c r="H181" i="243"/>
  <c r="G181" i="243"/>
  <c r="F181" i="243"/>
  <c r="E181" i="243"/>
  <c r="Q180" i="243"/>
  <c r="N33" i="242" s="1"/>
  <c r="Q179" i="243"/>
  <c r="N32" i="242" s="1"/>
  <c r="Q178" i="243"/>
  <c r="N31" i="242" s="1"/>
  <c r="P176" i="243"/>
  <c r="O176" i="243"/>
  <c r="N176" i="243"/>
  <c r="M176" i="243"/>
  <c r="L176" i="243"/>
  <c r="K176" i="243"/>
  <c r="J176" i="243"/>
  <c r="I176" i="243"/>
  <c r="H176" i="243"/>
  <c r="G176" i="243"/>
  <c r="F176" i="243"/>
  <c r="E176" i="243"/>
  <c r="Q175" i="243"/>
  <c r="N28" i="242" s="1"/>
  <c r="P174" i="243"/>
  <c r="O174" i="243"/>
  <c r="N174" i="243"/>
  <c r="M174" i="243"/>
  <c r="L174" i="243"/>
  <c r="K174" i="243"/>
  <c r="J174" i="243"/>
  <c r="I174" i="243"/>
  <c r="H174" i="243"/>
  <c r="G174" i="243"/>
  <c r="F174" i="243"/>
  <c r="E174" i="243"/>
  <c r="Q173" i="243"/>
  <c r="N26" i="242" s="1"/>
  <c r="Q172" i="243"/>
  <c r="N25" i="242" s="1"/>
  <c r="Q171" i="243"/>
  <c r="N24" i="242" s="1"/>
  <c r="P169" i="243"/>
  <c r="O169" i="243"/>
  <c r="N169" i="243"/>
  <c r="M169" i="243"/>
  <c r="L169" i="243"/>
  <c r="K169" i="243"/>
  <c r="J169" i="243"/>
  <c r="I169" i="243"/>
  <c r="H169" i="243"/>
  <c r="G169" i="243"/>
  <c r="F169" i="243"/>
  <c r="E169" i="243"/>
  <c r="Q168" i="243"/>
  <c r="N21" i="242" s="1"/>
  <c r="P167" i="243"/>
  <c r="O167" i="243"/>
  <c r="N167" i="243"/>
  <c r="M167" i="243"/>
  <c r="L167" i="243"/>
  <c r="K167" i="243"/>
  <c r="J167" i="243"/>
  <c r="I167" i="243"/>
  <c r="H167" i="243"/>
  <c r="G167" i="243"/>
  <c r="F167" i="243"/>
  <c r="E167" i="243"/>
  <c r="Q166" i="243"/>
  <c r="N19" i="242" s="1"/>
  <c r="Q165" i="243"/>
  <c r="N18" i="242" s="1"/>
  <c r="Q162" i="243"/>
  <c r="N15" i="242" s="1"/>
  <c r="Q160" i="243"/>
  <c r="N13" i="242" s="1"/>
  <c r="B156" i="243"/>
  <c r="B157" i="243" s="1"/>
  <c r="B158" i="243" s="1"/>
  <c r="B159" i="243" s="1"/>
  <c r="B160" i="243" s="1"/>
  <c r="B161" i="243" s="1"/>
  <c r="B162" i="243" s="1"/>
  <c r="B163" i="243" s="1"/>
  <c r="B165" i="243" s="1"/>
  <c r="B166" i="243" s="1"/>
  <c r="B167" i="243" s="1"/>
  <c r="B168" i="243" s="1"/>
  <c r="B169" i="243" s="1"/>
  <c r="B171" i="243" s="1"/>
  <c r="B172" i="243" s="1"/>
  <c r="B173" i="243" s="1"/>
  <c r="B174" i="243" s="1"/>
  <c r="B175" i="243" s="1"/>
  <c r="B176" i="243" s="1"/>
  <c r="B179" i="243" s="1"/>
  <c r="B180" i="243" s="1"/>
  <c r="B181" i="243" s="1"/>
  <c r="B182" i="243" s="1"/>
  <c r="B184" i="243" s="1"/>
  <c r="B185" i="243" s="1"/>
  <c r="B186" i="243" s="1"/>
  <c r="B187" i="243" s="1"/>
  <c r="B188" i="243" s="1"/>
  <c r="P121" i="243"/>
  <c r="O121" i="243"/>
  <c r="N121" i="243"/>
  <c r="M121" i="243"/>
  <c r="L121" i="243"/>
  <c r="K121" i="243"/>
  <c r="J121" i="243"/>
  <c r="I121" i="243"/>
  <c r="H121" i="243"/>
  <c r="G121" i="243"/>
  <c r="F121" i="243"/>
  <c r="E121" i="243"/>
  <c r="P119" i="243"/>
  <c r="O119" i="243"/>
  <c r="N119" i="243"/>
  <c r="M119" i="243"/>
  <c r="L119" i="243"/>
  <c r="K119" i="243"/>
  <c r="J119" i="243"/>
  <c r="I119" i="243"/>
  <c r="H119" i="243"/>
  <c r="G119" i="243"/>
  <c r="F119" i="243"/>
  <c r="E119" i="243"/>
  <c r="B119" i="243"/>
  <c r="B120" i="243" s="1"/>
  <c r="B121" i="243" s="1"/>
  <c r="B122" i="243" s="1"/>
  <c r="B123" i="243" s="1"/>
  <c r="B124" i="243" s="1"/>
  <c r="B125" i="243" s="1"/>
  <c r="B126" i="243" s="1"/>
  <c r="B128" i="243" s="1"/>
  <c r="B129" i="243" s="1"/>
  <c r="B130" i="243" s="1"/>
  <c r="B131" i="243" s="1"/>
  <c r="B132" i="243" s="1"/>
  <c r="B134" i="243" s="1"/>
  <c r="B135" i="243" s="1"/>
  <c r="B136" i="243" s="1"/>
  <c r="B137" i="243" s="1"/>
  <c r="B138" i="243" s="1"/>
  <c r="B139" i="243" s="1"/>
  <c r="B142" i="243" s="1"/>
  <c r="B143" i="243" s="1"/>
  <c r="B144" i="243" s="1"/>
  <c r="B145" i="243" s="1"/>
  <c r="B147" i="243" s="1"/>
  <c r="B148" i="243" s="1"/>
  <c r="B149" i="243" s="1"/>
  <c r="B150" i="243" s="1"/>
  <c r="B151" i="243" s="1"/>
  <c r="Q146" i="243"/>
  <c r="Q142" i="243"/>
  <c r="M32" i="242" s="1"/>
  <c r="Q135" i="243"/>
  <c r="M25" i="242" s="1"/>
  <c r="Q120" i="243"/>
  <c r="M10" i="242" s="1"/>
  <c r="Q118" i="243"/>
  <c r="M8" i="242" s="1"/>
  <c r="T16" i="136"/>
  <c r="S16" i="136"/>
  <c r="R16" i="136"/>
  <c r="Q16" i="136"/>
  <c r="P16" i="136"/>
  <c r="O16" i="136"/>
  <c r="N16" i="136"/>
  <c r="M16" i="136"/>
  <c r="L16" i="136"/>
  <c r="K16" i="136"/>
  <c r="J16" i="136"/>
  <c r="I16" i="136"/>
  <c r="T16" i="135"/>
  <c r="S16" i="135"/>
  <c r="R16" i="135"/>
  <c r="Q16" i="135"/>
  <c r="P16" i="135"/>
  <c r="O16" i="135"/>
  <c r="N16" i="135"/>
  <c r="M16" i="135"/>
  <c r="L16" i="135"/>
  <c r="K16" i="135"/>
  <c r="J16" i="135"/>
  <c r="I16" i="135"/>
  <c r="T16" i="134"/>
  <c r="S16" i="134"/>
  <c r="R16" i="134"/>
  <c r="Q16" i="134"/>
  <c r="P16" i="134"/>
  <c r="O16" i="134"/>
  <c r="N16" i="134"/>
  <c r="M16" i="134"/>
  <c r="L16" i="134"/>
  <c r="K16" i="134"/>
  <c r="J16" i="134"/>
  <c r="I16" i="134"/>
  <c r="N250" i="243" l="1"/>
  <c r="J232" i="243"/>
  <c r="J233" i="243" s="1"/>
  <c r="H250" i="243"/>
  <c r="I259" i="243"/>
  <c r="M241" i="243"/>
  <c r="P241" i="243"/>
  <c r="P248" i="243"/>
  <c r="P255" i="243"/>
  <c r="O232" i="243"/>
  <c r="O233" i="243" s="1"/>
  <c r="F250" i="243"/>
  <c r="P230" i="243"/>
  <c r="P243" i="243"/>
  <c r="O248" i="243"/>
  <c r="O230" i="243"/>
  <c r="P232" i="243"/>
  <c r="P233" i="243" s="1"/>
  <c r="P237" i="243" s="1"/>
  <c r="P260" i="243" s="1"/>
  <c r="P261" i="243" s="1"/>
  <c r="P262" i="243" s="1"/>
  <c r="F232" i="243"/>
  <c r="F233" i="243" s="1"/>
  <c r="F258" i="243" s="1"/>
  <c r="L230" i="243"/>
  <c r="H232" i="243"/>
  <c r="H233" i="243" s="1"/>
  <c r="H237" i="243" s="1"/>
  <c r="H260" i="243" s="1"/>
  <c r="H259" i="243"/>
  <c r="M232" i="243"/>
  <c r="M233" i="243" s="1"/>
  <c r="M237" i="243" s="1"/>
  <c r="M260" i="243" s="1"/>
  <c r="M261" i="243" s="1"/>
  <c r="M262" i="243" s="1"/>
  <c r="M243" i="243"/>
  <c r="I250" i="243"/>
  <c r="N232" i="243"/>
  <c r="N233" i="243" s="1"/>
  <c r="N258" i="243" s="1"/>
  <c r="N243" i="243"/>
  <c r="J250" i="243"/>
  <c r="K230" i="243"/>
  <c r="G243" i="243"/>
  <c r="O243" i="243"/>
  <c r="K250" i="243"/>
  <c r="L250" i="243"/>
  <c r="M230" i="243"/>
  <c r="M248" i="243"/>
  <c r="M255" i="243"/>
  <c r="N230" i="243"/>
  <c r="N248" i="243"/>
  <c r="G250" i="243"/>
  <c r="G232" i="243"/>
  <c r="G233" i="243" s="1"/>
  <c r="G237" i="243" s="1"/>
  <c r="G260" i="243" s="1"/>
  <c r="Q222" i="243"/>
  <c r="O38" i="242" s="1"/>
  <c r="I232" i="243"/>
  <c r="I233" i="243" s="1"/>
  <c r="K248" i="243"/>
  <c r="G259" i="243"/>
  <c r="M250" i="243"/>
  <c r="O250" i="243"/>
  <c r="F241" i="243"/>
  <c r="L241" i="243"/>
  <c r="Q119" i="243"/>
  <c r="M9" i="242" s="1"/>
  <c r="E230" i="243"/>
  <c r="Q234" i="243"/>
  <c r="P13" i="242" s="1"/>
  <c r="Q236" i="243"/>
  <c r="P15" i="242" s="1"/>
  <c r="Q240" i="243"/>
  <c r="P19" i="242" s="1"/>
  <c r="Q242" i="243"/>
  <c r="P21" i="242" s="1"/>
  <c r="Q245" i="243"/>
  <c r="P24" i="242" s="1"/>
  <c r="Q247" i="243"/>
  <c r="P26" i="242" s="1"/>
  <c r="Q249" i="243"/>
  <c r="P28" i="242" s="1"/>
  <c r="Q252" i="243"/>
  <c r="P31" i="242" s="1"/>
  <c r="Q254" i="243"/>
  <c r="P33" i="242" s="1"/>
  <c r="Q256" i="243"/>
  <c r="P35" i="242" s="1"/>
  <c r="Q121" i="243"/>
  <c r="M11" i="242" s="1"/>
  <c r="Q176" i="243"/>
  <c r="N29" i="242" s="1"/>
  <c r="Q174" i="243"/>
  <c r="N27" i="242" s="1"/>
  <c r="Q185" i="243"/>
  <c r="N38" i="242" s="1"/>
  <c r="Q169" i="243"/>
  <c r="N22" i="242" s="1"/>
  <c r="Q181" i="243"/>
  <c r="N34" i="242" s="1"/>
  <c r="Q167" i="243"/>
  <c r="N20" i="242" s="1"/>
  <c r="Q206" i="243"/>
  <c r="O22" i="242" s="1"/>
  <c r="Q213" i="243"/>
  <c r="O29" i="242" s="1"/>
  <c r="Q204" i="243"/>
  <c r="O20" i="242" s="1"/>
  <c r="Q211" i="243"/>
  <c r="O27" i="242" s="1"/>
  <c r="Q218" i="243"/>
  <c r="O34" i="242" s="1"/>
  <c r="G230" i="243"/>
  <c r="G241" i="243"/>
  <c r="G248" i="243"/>
  <c r="G255" i="243"/>
  <c r="E232" i="243"/>
  <c r="E233" i="243" s="1"/>
  <c r="E235" i="243" s="1"/>
  <c r="H230" i="243"/>
  <c r="H241" i="243"/>
  <c r="H248" i="243"/>
  <c r="H255" i="243"/>
  <c r="F259" i="243"/>
  <c r="F243" i="243"/>
  <c r="I230" i="243"/>
  <c r="I241" i="243"/>
  <c r="I248" i="243"/>
  <c r="I255" i="243"/>
  <c r="J258" i="243"/>
  <c r="J255" i="243"/>
  <c r="K255" i="243"/>
  <c r="K233" i="243"/>
  <c r="K258" i="243" s="1"/>
  <c r="L233" i="243"/>
  <c r="L237" i="243" s="1"/>
  <c r="L260" i="243" s="1"/>
  <c r="L261" i="243" s="1"/>
  <c r="L262" i="243" s="1"/>
  <c r="J237" i="243"/>
  <c r="J260" i="243" s="1"/>
  <c r="F230" i="243"/>
  <c r="F248" i="243"/>
  <c r="F255" i="243"/>
  <c r="E243" i="243"/>
  <c r="H243" i="243"/>
  <c r="J230" i="243"/>
  <c r="J235" i="243"/>
  <c r="J241" i="243"/>
  <c r="J248" i="243"/>
  <c r="J259" i="243"/>
  <c r="K241" i="243"/>
  <c r="Q239" i="243"/>
  <c r="P18" i="242" s="1"/>
  <c r="I243" i="243"/>
  <c r="N241" i="243"/>
  <c r="N255" i="243"/>
  <c r="O255" i="243"/>
  <c r="E241" i="243"/>
  <c r="Q231" i="243"/>
  <c r="P10" i="242" s="1"/>
  <c r="E259" i="243"/>
  <c r="Q229" i="243"/>
  <c r="P8" i="242" s="1"/>
  <c r="E248" i="243"/>
  <c r="E250" i="243"/>
  <c r="E255" i="243"/>
  <c r="T155" i="136"/>
  <c r="S155" i="136"/>
  <c r="R155" i="136"/>
  <c r="Q155" i="136"/>
  <c r="P155" i="136"/>
  <c r="O155" i="136"/>
  <c r="N155" i="136"/>
  <c r="M155" i="136"/>
  <c r="L155" i="136"/>
  <c r="K155" i="136"/>
  <c r="J155" i="136"/>
  <c r="I155" i="136"/>
  <c r="T116" i="136"/>
  <c r="S116" i="136"/>
  <c r="R116" i="136"/>
  <c r="Q116" i="136"/>
  <c r="P116" i="136"/>
  <c r="O116" i="136"/>
  <c r="N116" i="136"/>
  <c r="M116" i="136"/>
  <c r="L116" i="136"/>
  <c r="K116" i="136"/>
  <c r="J116" i="136"/>
  <c r="I116" i="136"/>
  <c r="H128" i="136"/>
  <c r="G128" i="136"/>
  <c r="E128" i="136"/>
  <c r="H127" i="136"/>
  <c r="G127" i="136"/>
  <c r="E127" i="136"/>
  <c r="H124" i="136"/>
  <c r="G124" i="136"/>
  <c r="E124" i="136"/>
  <c r="H123" i="136"/>
  <c r="G123" i="136"/>
  <c r="E123" i="136"/>
  <c r="H122" i="136"/>
  <c r="G122" i="136"/>
  <c r="E122" i="136"/>
  <c r="H121" i="136"/>
  <c r="G121" i="136"/>
  <c r="E121" i="136"/>
  <c r="H120" i="136"/>
  <c r="G120" i="136"/>
  <c r="E120" i="136"/>
  <c r="H119" i="136"/>
  <c r="G119" i="136"/>
  <c r="E119" i="136"/>
  <c r="H118" i="136"/>
  <c r="G118" i="136"/>
  <c r="E118" i="136"/>
  <c r="H117" i="136"/>
  <c r="G117" i="136"/>
  <c r="E117" i="136"/>
  <c r="H116" i="136"/>
  <c r="G116" i="136"/>
  <c r="E116" i="136"/>
  <c r="H115" i="136"/>
  <c r="G115" i="136"/>
  <c r="E115" i="136"/>
  <c r="E107" i="136"/>
  <c r="G105" i="136"/>
  <c r="H105" i="136" s="1"/>
  <c r="E105" i="136"/>
  <c r="U106" i="136"/>
  <c r="U107" i="136"/>
  <c r="G105" i="135"/>
  <c r="E105" i="135"/>
  <c r="H96" i="136"/>
  <c r="T96" i="136" s="1"/>
  <c r="H83" i="136"/>
  <c r="T83" i="136" s="1"/>
  <c r="G82" i="136"/>
  <c r="H82" i="136" s="1"/>
  <c r="E82" i="136"/>
  <c r="G81" i="136"/>
  <c r="H81" i="136" s="1"/>
  <c r="E81" i="136"/>
  <c r="G80" i="136"/>
  <c r="H80" i="136" s="1"/>
  <c r="E80" i="136"/>
  <c r="G79" i="136"/>
  <c r="H79" i="136" s="1"/>
  <c r="E79" i="136"/>
  <c r="H67" i="136"/>
  <c r="T67" i="136" s="1"/>
  <c r="R66" i="136"/>
  <c r="H66" i="136"/>
  <c r="T66" i="136" s="1"/>
  <c r="H65" i="136"/>
  <c r="T65" i="136" s="1"/>
  <c r="H64" i="136"/>
  <c r="J64" i="136" s="1"/>
  <c r="S63" i="136"/>
  <c r="R63" i="136"/>
  <c r="Q63" i="136"/>
  <c r="H63" i="136"/>
  <c r="T63" i="136" s="1"/>
  <c r="H62" i="136"/>
  <c r="L62" i="136" s="1"/>
  <c r="H61" i="136"/>
  <c r="N61" i="136" s="1"/>
  <c r="H60" i="136"/>
  <c r="O60" i="136" s="1"/>
  <c r="H59" i="136"/>
  <c r="P59" i="136" s="1"/>
  <c r="H58" i="136"/>
  <c r="Q58" i="136" s="1"/>
  <c r="H57" i="136"/>
  <c r="Q57" i="136" s="1"/>
  <c r="H56" i="136"/>
  <c r="R56" i="136" s="1"/>
  <c r="H55" i="136"/>
  <c r="T55" i="136" s="1"/>
  <c r="H54" i="136"/>
  <c r="T54" i="136" s="1"/>
  <c r="M53" i="136"/>
  <c r="H53" i="136"/>
  <c r="T53" i="136" s="1"/>
  <c r="H52" i="136"/>
  <c r="J52" i="136" s="1"/>
  <c r="H51" i="136"/>
  <c r="T51" i="136" s="1"/>
  <c r="G16" i="136"/>
  <c r="H16" i="136" s="1"/>
  <c r="G15" i="136"/>
  <c r="H15" i="136" s="1"/>
  <c r="G14" i="136"/>
  <c r="H14" i="136" s="1"/>
  <c r="G13" i="136"/>
  <c r="H13" i="136" s="1"/>
  <c r="G12" i="136"/>
  <c r="H12" i="136" s="1"/>
  <c r="G11" i="136"/>
  <c r="H11" i="136" s="1"/>
  <c r="G10" i="136"/>
  <c r="H10" i="136" s="1"/>
  <c r="G9" i="136"/>
  <c r="H9" i="136" s="1"/>
  <c r="T155" i="135"/>
  <c r="S155" i="135"/>
  <c r="R155" i="135"/>
  <c r="Q155" i="135"/>
  <c r="P155" i="135"/>
  <c r="O155" i="135"/>
  <c r="N155" i="135"/>
  <c r="M155" i="135"/>
  <c r="L155" i="135"/>
  <c r="K155" i="135"/>
  <c r="J155" i="135"/>
  <c r="I155" i="135"/>
  <c r="T116" i="135"/>
  <c r="S116" i="135"/>
  <c r="R116" i="135"/>
  <c r="Q116" i="135"/>
  <c r="P116" i="135"/>
  <c r="O116" i="135"/>
  <c r="N116" i="135"/>
  <c r="M116" i="135"/>
  <c r="L116" i="135"/>
  <c r="K116" i="135"/>
  <c r="J116" i="135"/>
  <c r="I116" i="135"/>
  <c r="H128" i="135"/>
  <c r="H127" i="135"/>
  <c r="H124" i="135"/>
  <c r="H123" i="135"/>
  <c r="H122" i="135"/>
  <c r="H121" i="135"/>
  <c r="H120" i="135"/>
  <c r="H119" i="135"/>
  <c r="H118" i="135"/>
  <c r="H117" i="135"/>
  <c r="H116" i="135"/>
  <c r="H115" i="135"/>
  <c r="G128" i="135"/>
  <c r="E128" i="135"/>
  <c r="G127" i="135"/>
  <c r="E127" i="135"/>
  <c r="G124" i="135"/>
  <c r="E124" i="135"/>
  <c r="G123" i="135"/>
  <c r="E123" i="135"/>
  <c r="G122" i="135"/>
  <c r="E122" i="135"/>
  <c r="G121" i="135"/>
  <c r="E121" i="135"/>
  <c r="G120" i="135"/>
  <c r="E120" i="135"/>
  <c r="G119" i="135"/>
  <c r="E119" i="135"/>
  <c r="G118" i="135"/>
  <c r="E118" i="135"/>
  <c r="G117" i="135"/>
  <c r="E117" i="135"/>
  <c r="G116" i="135"/>
  <c r="E116" i="135"/>
  <c r="G115" i="135"/>
  <c r="E115" i="135"/>
  <c r="E107" i="135"/>
  <c r="O105" i="135"/>
  <c r="N105" i="135"/>
  <c r="H105" i="135"/>
  <c r="T105" i="135" s="1"/>
  <c r="H96" i="135"/>
  <c r="R96" i="135" s="1"/>
  <c r="Q83" i="135"/>
  <c r="P83" i="135"/>
  <c r="O83" i="135"/>
  <c r="N83" i="135"/>
  <c r="M83" i="135"/>
  <c r="H83" i="135"/>
  <c r="T83" i="135" s="1"/>
  <c r="G82" i="135"/>
  <c r="H82" i="135" s="1"/>
  <c r="E82" i="135"/>
  <c r="G81" i="135"/>
  <c r="H81" i="135" s="1"/>
  <c r="E81" i="135"/>
  <c r="G80" i="135"/>
  <c r="H80" i="135" s="1"/>
  <c r="O80" i="135" s="1"/>
  <c r="E80" i="135"/>
  <c r="G79" i="135"/>
  <c r="H79" i="135" s="1"/>
  <c r="R79" i="135" s="1"/>
  <c r="E79" i="135"/>
  <c r="L67" i="135"/>
  <c r="H67" i="135"/>
  <c r="S67" i="135" s="1"/>
  <c r="H66" i="135"/>
  <c r="T66" i="135" s="1"/>
  <c r="N65" i="135"/>
  <c r="M65" i="135"/>
  <c r="L65" i="135"/>
  <c r="K65" i="135"/>
  <c r="J65" i="135"/>
  <c r="H65" i="135"/>
  <c r="I65" i="135" s="1"/>
  <c r="H64" i="135"/>
  <c r="J64" i="135" s="1"/>
  <c r="H63" i="135"/>
  <c r="K63" i="135" s="1"/>
  <c r="H62" i="135"/>
  <c r="L62" i="135" s="1"/>
  <c r="S61" i="135"/>
  <c r="R61" i="135"/>
  <c r="Q61" i="135"/>
  <c r="H61" i="135"/>
  <c r="M61" i="135" s="1"/>
  <c r="H60" i="135"/>
  <c r="N60" i="135" s="1"/>
  <c r="H59" i="135"/>
  <c r="O59" i="135" s="1"/>
  <c r="H58" i="135"/>
  <c r="P58" i="135" s="1"/>
  <c r="H57" i="135"/>
  <c r="Q57" i="135" s="1"/>
  <c r="S56" i="135"/>
  <c r="O56" i="135"/>
  <c r="L56" i="135"/>
  <c r="H56" i="135"/>
  <c r="R56" i="135" s="1"/>
  <c r="H55" i="135"/>
  <c r="S55" i="135" s="1"/>
  <c r="S54" i="135"/>
  <c r="R54" i="135"/>
  <c r="Q54" i="135"/>
  <c r="H54" i="135"/>
  <c r="T54" i="135" s="1"/>
  <c r="S53" i="135"/>
  <c r="R53" i="135"/>
  <c r="Q53" i="135"/>
  <c r="H53" i="135"/>
  <c r="I53" i="135" s="1"/>
  <c r="Q52" i="135"/>
  <c r="P52" i="135"/>
  <c r="O52" i="135"/>
  <c r="H52" i="135"/>
  <c r="J52" i="135" s="1"/>
  <c r="H51" i="135"/>
  <c r="K51" i="135" s="1"/>
  <c r="I95" i="131"/>
  <c r="J95" i="131"/>
  <c r="K95" i="131"/>
  <c r="L95" i="131"/>
  <c r="M95" i="131"/>
  <c r="N95" i="131"/>
  <c r="O95" i="131"/>
  <c r="P95" i="131"/>
  <c r="Q95" i="131"/>
  <c r="R95" i="131"/>
  <c r="S95" i="131"/>
  <c r="T95" i="131"/>
  <c r="I96" i="131"/>
  <c r="J96" i="131"/>
  <c r="K96" i="131"/>
  <c r="L96" i="131"/>
  <c r="M96" i="131"/>
  <c r="N96" i="131"/>
  <c r="O96" i="131"/>
  <c r="P96" i="131"/>
  <c r="Q96" i="131"/>
  <c r="R96" i="131"/>
  <c r="S96" i="131"/>
  <c r="T96" i="131"/>
  <c r="I79" i="131"/>
  <c r="J79" i="131"/>
  <c r="K79" i="131"/>
  <c r="L79" i="131"/>
  <c r="M79" i="131"/>
  <c r="N79" i="131"/>
  <c r="O79" i="131"/>
  <c r="P79" i="131"/>
  <c r="Q79" i="131"/>
  <c r="R79" i="131"/>
  <c r="S79" i="131"/>
  <c r="T79" i="131"/>
  <c r="I80" i="131"/>
  <c r="J80" i="131"/>
  <c r="K80" i="131"/>
  <c r="L80" i="131"/>
  <c r="M80" i="131"/>
  <c r="N80" i="131"/>
  <c r="O80" i="131"/>
  <c r="P80" i="131"/>
  <c r="Q80" i="131"/>
  <c r="R80" i="131"/>
  <c r="S80" i="131"/>
  <c r="T80" i="131"/>
  <c r="I81" i="131"/>
  <c r="J81" i="131"/>
  <c r="K81" i="131"/>
  <c r="L81" i="131"/>
  <c r="M81" i="131"/>
  <c r="N81" i="131"/>
  <c r="O81" i="131"/>
  <c r="P81" i="131"/>
  <c r="Q81" i="131"/>
  <c r="R81" i="131"/>
  <c r="S81" i="131"/>
  <c r="T81" i="131"/>
  <c r="I82" i="131"/>
  <c r="J82" i="131"/>
  <c r="K82" i="131"/>
  <c r="L82" i="131"/>
  <c r="M82" i="131"/>
  <c r="N82" i="131"/>
  <c r="O82" i="131"/>
  <c r="P82" i="131"/>
  <c r="Q82" i="131"/>
  <c r="R82" i="131"/>
  <c r="S82" i="131"/>
  <c r="T82" i="131"/>
  <c r="I78" i="131"/>
  <c r="J78" i="131"/>
  <c r="K78" i="131"/>
  <c r="L78" i="131"/>
  <c r="M78" i="131"/>
  <c r="N78" i="131"/>
  <c r="O78" i="131"/>
  <c r="P78" i="131"/>
  <c r="Q78" i="131"/>
  <c r="R78" i="131"/>
  <c r="S78" i="131"/>
  <c r="T78" i="131"/>
  <c r="I52" i="131"/>
  <c r="J52" i="131"/>
  <c r="K52" i="131"/>
  <c r="L52" i="131"/>
  <c r="M52" i="131"/>
  <c r="N52" i="131"/>
  <c r="O52" i="131"/>
  <c r="P52" i="131"/>
  <c r="Q52" i="131"/>
  <c r="R52" i="131"/>
  <c r="S52" i="131"/>
  <c r="T52" i="131"/>
  <c r="I53" i="131"/>
  <c r="J53" i="131"/>
  <c r="K53" i="131"/>
  <c r="L53" i="131"/>
  <c r="M53" i="131"/>
  <c r="N53" i="131"/>
  <c r="O53" i="131"/>
  <c r="P53" i="131"/>
  <c r="Q53" i="131"/>
  <c r="R53" i="131"/>
  <c r="S53" i="131"/>
  <c r="T53" i="131"/>
  <c r="I54" i="131"/>
  <c r="J54" i="131"/>
  <c r="K54" i="131"/>
  <c r="L54" i="131"/>
  <c r="M54" i="131"/>
  <c r="N54" i="131"/>
  <c r="O54" i="131"/>
  <c r="P54" i="131"/>
  <c r="Q54" i="131"/>
  <c r="R54" i="131"/>
  <c r="S54" i="131"/>
  <c r="T54" i="131"/>
  <c r="I55" i="131"/>
  <c r="J55" i="131"/>
  <c r="K55" i="131"/>
  <c r="L55" i="131"/>
  <c r="M55" i="131"/>
  <c r="N55" i="131"/>
  <c r="O55" i="131"/>
  <c r="P55" i="131"/>
  <c r="Q55" i="131"/>
  <c r="R55" i="131"/>
  <c r="S55" i="131"/>
  <c r="T55" i="131"/>
  <c r="I56" i="131"/>
  <c r="J56" i="131"/>
  <c r="K56" i="131"/>
  <c r="L56" i="131"/>
  <c r="M56" i="131"/>
  <c r="N56" i="131"/>
  <c r="O56" i="131"/>
  <c r="P56" i="131"/>
  <c r="Q56" i="131"/>
  <c r="R56" i="131"/>
  <c r="S56" i="131"/>
  <c r="T56" i="131"/>
  <c r="I57" i="131"/>
  <c r="J57" i="131"/>
  <c r="K57" i="131"/>
  <c r="L57" i="131"/>
  <c r="M57" i="131"/>
  <c r="N57" i="131"/>
  <c r="O57" i="131"/>
  <c r="P57" i="131"/>
  <c r="Q57" i="131"/>
  <c r="R57" i="131"/>
  <c r="S57" i="131"/>
  <c r="T57" i="131"/>
  <c r="I58" i="131"/>
  <c r="J58" i="131"/>
  <c r="K58" i="131"/>
  <c r="L58" i="131"/>
  <c r="M58" i="131"/>
  <c r="N58" i="131"/>
  <c r="O58" i="131"/>
  <c r="P58" i="131"/>
  <c r="Q58" i="131"/>
  <c r="R58" i="131"/>
  <c r="S58" i="131"/>
  <c r="T58" i="131"/>
  <c r="O59" i="131"/>
  <c r="P59" i="131"/>
  <c r="Q59" i="131"/>
  <c r="R59" i="131"/>
  <c r="S59" i="131"/>
  <c r="T59" i="131"/>
  <c r="I60" i="131"/>
  <c r="J60" i="131"/>
  <c r="K60" i="131"/>
  <c r="L60" i="131"/>
  <c r="M60" i="131"/>
  <c r="N60" i="131"/>
  <c r="O60" i="131"/>
  <c r="P60" i="131"/>
  <c r="Q60" i="131"/>
  <c r="R60" i="131"/>
  <c r="S60" i="131"/>
  <c r="T60" i="131"/>
  <c r="I61" i="131"/>
  <c r="J61" i="131"/>
  <c r="K61" i="131"/>
  <c r="L61" i="131"/>
  <c r="M61" i="131"/>
  <c r="N61" i="131"/>
  <c r="O61" i="131"/>
  <c r="P61" i="131"/>
  <c r="Q61" i="131"/>
  <c r="R61" i="131"/>
  <c r="S61" i="131"/>
  <c r="T61" i="131"/>
  <c r="I62" i="131"/>
  <c r="J62" i="131"/>
  <c r="K62" i="131"/>
  <c r="L62" i="131"/>
  <c r="M62" i="131"/>
  <c r="N62" i="131"/>
  <c r="O62" i="131"/>
  <c r="P62" i="131"/>
  <c r="Q62" i="131"/>
  <c r="R62" i="131"/>
  <c r="S62" i="131"/>
  <c r="T62" i="131"/>
  <c r="I63" i="131"/>
  <c r="J63" i="131"/>
  <c r="K63" i="131"/>
  <c r="L63" i="131"/>
  <c r="M63" i="131"/>
  <c r="N63" i="131"/>
  <c r="O63" i="131"/>
  <c r="P63" i="131"/>
  <c r="Q63" i="131"/>
  <c r="R63" i="131"/>
  <c r="S63" i="131"/>
  <c r="T63" i="131"/>
  <c r="I64" i="131"/>
  <c r="J64" i="131"/>
  <c r="K64" i="131"/>
  <c r="L64" i="131"/>
  <c r="M64" i="131"/>
  <c r="N64" i="131"/>
  <c r="O64" i="131"/>
  <c r="P64" i="131"/>
  <c r="Q64" i="131"/>
  <c r="R64" i="131"/>
  <c r="S64" i="131"/>
  <c r="T64" i="131"/>
  <c r="I65" i="131"/>
  <c r="J65" i="131"/>
  <c r="K65" i="131"/>
  <c r="L65" i="131"/>
  <c r="M65" i="131"/>
  <c r="N65" i="131"/>
  <c r="O65" i="131"/>
  <c r="P65" i="131"/>
  <c r="Q65" i="131"/>
  <c r="R65" i="131"/>
  <c r="S65" i="131"/>
  <c r="T65" i="131"/>
  <c r="I66" i="131"/>
  <c r="J66" i="131"/>
  <c r="K66" i="131"/>
  <c r="L66" i="131"/>
  <c r="M66" i="131"/>
  <c r="N66" i="131"/>
  <c r="O66" i="131"/>
  <c r="P66" i="131"/>
  <c r="Q66" i="131"/>
  <c r="R66" i="131"/>
  <c r="S66" i="131"/>
  <c r="T66" i="131"/>
  <c r="I51" i="131"/>
  <c r="J51" i="131"/>
  <c r="K51" i="131"/>
  <c r="L51" i="131"/>
  <c r="M51" i="131"/>
  <c r="N51" i="131"/>
  <c r="O51" i="131"/>
  <c r="P51" i="131"/>
  <c r="Q51" i="131"/>
  <c r="R51" i="131"/>
  <c r="S51" i="131"/>
  <c r="T51" i="131"/>
  <c r="I10" i="131"/>
  <c r="J10" i="131"/>
  <c r="K10" i="131"/>
  <c r="L10" i="131"/>
  <c r="M10" i="131"/>
  <c r="N10" i="131"/>
  <c r="O10" i="131"/>
  <c r="P10" i="131"/>
  <c r="Q10" i="131"/>
  <c r="R10" i="131"/>
  <c r="S10" i="131"/>
  <c r="T10" i="131"/>
  <c r="I11" i="131"/>
  <c r="J11" i="131"/>
  <c r="K11" i="131"/>
  <c r="L11" i="131"/>
  <c r="M11" i="131"/>
  <c r="N11" i="131"/>
  <c r="O11" i="131"/>
  <c r="P11" i="131"/>
  <c r="Q11" i="131"/>
  <c r="R11" i="131"/>
  <c r="S11" i="131"/>
  <c r="T11" i="131"/>
  <c r="I12" i="131"/>
  <c r="J12" i="131"/>
  <c r="K12" i="131"/>
  <c r="L12" i="131"/>
  <c r="M12" i="131"/>
  <c r="N12" i="131"/>
  <c r="O12" i="131"/>
  <c r="P12" i="131"/>
  <c r="Q12" i="131"/>
  <c r="R12" i="131"/>
  <c r="S12" i="131"/>
  <c r="T12" i="131"/>
  <c r="I13" i="131"/>
  <c r="J13" i="131"/>
  <c r="K13" i="131"/>
  <c r="L13" i="131"/>
  <c r="M13" i="131"/>
  <c r="N13" i="131"/>
  <c r="O13" i="131"/>
  <c r="P13" i="131"/>
  <c r="Q13" i="131"/>
  <c r="R13" i="131"/>
  <c r="S13" i="131"/>
  <c r="T13" i="131"/>
  <c r="I14" i="131"/>
  <c r="J14" i="131"/>
  <c r="K14" i="131"/>
  <c r="L14" i="131"/>
  <c r="M14" i="131"/>
  <c r="N14" i="131"/>
  <c r="O14" i="131"/>
  <c r="P14" i="131"/>
  <c r="Q14" i="131"/>
  <c r="R14" i="131"/>
  <c r="S14" i="131"/>
  <c r="T14" i="131"/>
  <c r="I15" i="131"/>
  <c r="J15" i="131"/>
  <c r="K15" i="131"/>
  <c r="L15" i="131"/>
  <c r="M15" i="131"/>
  <c r="N15" i="131"/>
  <c r="O15" i="131"/>
  <c r="P15" i="131"/>
  <c r="Q15" i="131"/>
  <c r="R15" i="131"/>
  <c r="S15" i="131"/>
  <c r="T15" i="131"/>
  <c r="I9" i="131"/>
  <c r="J9" i="131"/>
  <c r="K9" i="131"/>
  <c r="L9" i="131"/>
  <c r="M9" i="131"/>
  <c r="N9" i="131"/>
  <c r="O9" i="131"/>
  <c r="P9" i="131"/>
  <c r="Q9" i="131"/>
  <c r="R9" i="131"/>
  <c r="S9" i="131"/>
  <c r="T9" i="131"/>
  <c r="G16" i="135"/>
  <c r="H16" i="135" s="1"/>
  <c r="G15" i="135"/>
  <c r="H15" i="135" s="1"/>
  <c r="G14" i="135"/>
  <c r="H14" i="135" s="1"/>
  <c r="G13" i="135"/>
  <c r="H13" i="135" s="1"/>
  <c r="R12" i="135"/>
  <c r="Q12" i="135"/>
  <c r="G12" i="135"/>
  <c r="H12" i="135" s="1"/>
  <c r="G11" i="135"/>
  <c r="H11" i="135" s="1"/>
  <c r="G10" i="135"/>
  <c r="H10" i="135" s="1"/>
  <c r="G9" i="135"/>
  <c r="H9" i="135" s="1"/>
  <c r="L9" i="135" s="1"/>
  <c r="T155" i="134"/>
  <c r="S155" i="134"/>
  <c r="R155" i="134"/>
  <c r="Q155" i="134"/>
  <c r="P155" i="134"/>
  <c r="O155" i="134"/>
  <c r="N155" i="134"/>
  <c r="M155" i="134"/>
  <c r="L155" i="134"/>
  <c r="K155" i="134"/>
  <c r="J155" i="134"/>
  <c r="I155" i="134"/>
  <c r="T116" i="134"/>
  <c r="S116" i="134"/>
  <c r="R116" i="134"/>
  <c r="Q116" i="134"/>
  <c r="P116" i="134"/>
  <c r="O116" i="134"/>
  <c r="N116" i="134"/>
  <c r="M116" i="134"/>
  <c r="L116" i="134"/>
  <c r="K116" i="134"/>
  <c r="J116" i="134"/>
  <c r="I116" i="134"/>
  <c r="F237" i="243" l="1"/>
  <c r="F260" i="243" s="1"/>
  <c r="F261" i="243" s="1"/>
  <c r="F262" i="243" s="1"/>
  <c r="F235" i="243"/>
  <c r="H261" i="243"/>
  <c r="H262" i="243" s="1"/>
  <c r="Q248" i="243"/>
  <c r="P27" i="242" s="1"/>
  <c r="Q255" i="243"/>
  <c r="P34" i="242" s="1"/>
  <c r="N235" i="243"/>
  <c r="I237" i="243"/>
  <c r="I260" i="243" s="1"/>
  <c r="I261" i="243" s="1"/>
  <c r="I262" i="243" s="1"/>
  <c r="I235" i="243"/>
  <c r="I258" i="243"/>
  <c r="G261" i="243"/>
  <c r="G262" i="243" s="1"/>
  <c r="G258" i="243"/>
  <c r="Q250" i="243"/>
  <c r="P29" i="242" s="1"/>
  <c r="K235" i="243"/>
  <c r="J261" i="243"/>
  <c r="J262" i="243" s="1"/>
  <c r="H235" i="243"/>
  <c r="H258" i="243"/>
  <c r="K237" i="243"/>
  <c r="K260" i="243" s="1"/>
  <c r="K261" i="243" s="1"/>
  <c r="K262" i="243" s="1"/>
  <c r="Q233" i="243"/>
  <c r="P12" i="242" s="1"/>
  <c r="N237" i="243"/>
  <c r="N260" i="243" s="1"/>
  <c r="N261" i="243" s="1"/>
  <c r="N262" i="243" s="1"/>
  <c r="Q241" i="243"/>
  <c r="P20" i="242" s="1"/>
  <c r="L235" i="243"/>
  <c r="Q232" i="243"/>
  <c r="P11" i="242" s="1"/>
  <c r="L258" i="243"/>
  <c r="Q259" i="243"/>
  <c r="P38" i="242" s="1"/>
  <c r="P235" i="243"/>
  <c r="P258" i="243"/>
  <c r="E258" i="243"/>
  <c r="G235" i="243"/>
  <c r="E237" i="243"/>
  <c r="Q243" i="243"/>
  <c r="P22" i="242" s="1"/>
  <c r="O235" i="243"/>
  <c r="O258" i="243"/>
  <c r="O237" i="243"/>
  <c r="O260" i="243" s="1"/>
  <c r="O261" i="243" s="1"/>
  <c r="O262" i="243" s="1"/>
  <c r="M235" i="243"/>
  <c r="M258" i="243"/>
  <c r="Q230" i="243"/>
  <c r="P9" i="242" s="1"/>
  <c r="I105" i="136"/>
  <c r="Q105" i="136"/>
  <c r="P105" i="136"/>
  <c r="K105" i="136"/>
  <c r="O105" i="136"/>
  <c r="N105" i="136"/>
  <c r="M105" i="136"/>
  <c r="L105" i="136"/>
  <c r="J105" i="136"/>
  <c r="I54" i="136"/>
  <c r="L54" i="136"/>
  <c r="R61" i="136"/>
  <c r="R64" i="136"/>
  <c r="J56" i="136"/>
  <c r="S61" i="136"/>
  <c r="Q61" i="136"/>
  <c r="K56" i="136"/>
  <c r="T61" i="136"/>
  <c r="Q64" i="136"/>
  <c r="M56" i="136"/>
  <c r="L56" i="136"/>
  <c r="S56" i="136"/>
  <c r="O63" i="136"/>
  <c r="P63" i="136"/>
  <c r="R105" i="136"/>
  <c r="S105" i="136"/>
  <c r="T105" i="136"/>
  <c r="N52" i="135"/>
  <c r="O54" i="135"/>
  <c r="J56" i="135"/>
  <c r="S57" i="135"/>
  <c r="R63" i="135"/>
  <c r="K66" i="135"/>
  <c r="I105" i="135"/>
  <c r="O57" i="135"/>
  <c r="P63" i="135"/>
  <c r="S52" i="135"/>
  <c r="R57" i="135"/>
  <c r="Q63" i="135"/>
  <c r="J66" i="135"/>
  <c r="O53" i="135"/>
  <c r="K56" i="135"/>
  <c r="S63" i="135"/>
  <c r="J105" i="135"/>
  <c r="K105" i="135"/>
  <c r="M56" i="135"/>
  <c r="S64" i="135"/>
  <c r="M67" i="135"/>
  <c r="K83" i="135"/>
  <c r="L105" i="135"/>
  <c r="M57" i="135"/>
  <c r="N57" i="135"/>
  <c r="R52" i="135"/>
  <c r="N56" i="135"/>
  <c r="L83" i="135"/>
  <c r="M105" i="135"/>
  <c r="M54" i="136"/>
  <c r="P65" i="136"/>
  <c r="N54" i="136"/>
  <c r="Q65" i="136"/>
  <c r="O54" i="136"/>
  <c r="L57" i="136"/>
  <c r="I63" i="136"/>
  <c r="K64" i="136"/>
  <c r="S65" i="136"/>
  <c r="P54" i="136"/>
  <c r="S57" i="136"/>
  <c r="J63" i="136"/>
  <c r="L64" i="136"/>
  <c r="M65" i="136"/>
  <c r="R54" i="136"/>
  <c r="K63" i="136"/>
  <c r="M64" i="136"/>
  <c r="I66" i="136"/>
  <c r="L63" i="136"/>
  <c r="N64" i="136"/>
  <c r="J66" i="136"/>
  <c r="K53" i="136"/>
  <c r="M55" i="136"/>
  <c r="M63" i="136"/>
  <c r="O64" i="136"/>
  <c r="K66" i="136"/>
  <c r="L53" i="136"/>
  <c r="N63" i="136"/>
  <c r="P64" i="136"/>
  <c r="N66" i="136"/>
  <c r="O80" i="136"/>
  <c r="P80" i="136"/>
  <c r="T80" i="136"/>
  <c r="I82" i="136"/>
  <c r="O82" i="136"/>
  <c r="N82" i="136"/>
  <c r="M82" i="136"/>
  <c r="L82" i="136"/>
  <c r="K82" i="136"/>
  <c r="J82" i="136"/>
  <c r="P82" i="136"/>
  <c r="J51" i="136"/>
  <c r="J96" i="136"/>
  <c r="K51" i="136"/>
  <c r="M52" i="136"/>
  <c r="N53" i="136"/>
  <c r="S59" i="136"/>
  <c r="P62" i="136"/>
  <c r="L67" i="136"/>
  <c r="J83" i="136"/>
  <c r="K96" i="136"/>
  <c r="K52" i="136"/>
  <c r="N62" i="136"/>
  <c r="L51" i="136"/>
  <c r="N52" i="136"/>
  <c r="O53" i="136"/>
  <c r="Q62" i="136"/>
  <c r="M67" i="136"/>
  <c r="K83" i="136"/>
  <c r="L96" i="136"/>
  <c r="I51" i="136"/>
  <c r="K67" i="136"/>
  <c r="M51" i="136"/>
  <c r="O52" i="136"/>
  <c r="P53" i="136"/>
  <c r="R60" i="136"/>
  <c r="R62" i="136"/>
  <c r="I65" i="136"/>
  <c r="N67" i="136"/>
  <c r="L83" i="136"/>
  <c r="M96" i="136"/>
  <c r="N51" i="136"/>
  <c r="P52" i="136"/>
  <c r="Q53" i="136"/>
  <c r="I57" i="136"/>
  <c r="S60" i="136"/>
  <c r="S62" i="136"/>
  <c r="J65" i="136"/>
  <c r="M83" i="136"/>
  <c r="N96" i="136"/>
  <c r="I96" i="136"/>
  <c r="L52" i="136"/>
  <c r="O51" i="136"/>
  <c r="Q52" i="136"/>
  <c r="S53" i="136"/>
  <c r="K55" i="136"/>
  <c r="J57" i="136"/>
  <c r="K65" i="136"/>
  <c r="L66" i="136"/>
  <c r="N83" i="136"/>
  <c r="O96" i="136"/>
  <c r="I83" i="136"/>
  <c r="P51" i="136"/>
  <c r="R52" i="136"/>
  <c r="L55" i="136"/>
  <c r="K57" i="136"/>
  <c r="L65" i="136"/>
  <c r="M66" i="136"/>
  <c r="O83" i="136"/>
  <c r="P96" i="136"/>
  <c r="Q51" i="136"/>
  <c r="P83" i="136"/>
  <c r="Q96" i="136"/>
  <c r="R51" i="136"/>
  <c r="I53" i="136"/>
  <c r="J54" i="136"/>
  <c r="N55" i="136"/>
  <c r="M57" i="136"/>
  <c r="N65" i="136"/>
  <c r="O66" i="136"/>
  <c r="Q83" i="136"/>
  <c r="R96" i="136"/>
  <c r="M62" i="136"/>
  <c r="S51" i="136"/>
  <c r="J53" i="136"/>
  <c r="K54" i="136"/>
  <c r="R57" i="136"/>
  <c r="O65" i="136"/>
  <c r="P66" i="136"/>
  <c r="S83" i="136"/>
  <c r="S96" i="136"/>
  <c r="R79" i="136"/>
  <c r="Q79" i="136"/>
  <c r="P79" i="136"/>
  <c r="M79" i="136"/>
  <c r="L79" i="136"/>
  <c r="K79" i="136"/>
  <c r="O79" i="136"/>
  <c r="N79" i="136"/>
  <c r="S79" i="136"/>
  <c r="J79" i="136"/>
  <c r="I79" i="136"/>
  <c r="T79" i="136"/>
  <c r="L81" i="136"/>
  <c r="K81" i="136"/>
  <c r="S81" i="136"/>
  <c r="R81" i="136"/>
  <c r="J81" i="136"/>
  <c r="M81" i="136"/>
  <c r="I81" i="136"/>
  <c r="T81" i="136"/>
  <c r="Q81" i="136"/>
  <c r="P81" i="136"/>
  <c r="O81" i="136"/>
  <c r="N81" i="136"/>
  <c r="Q80" i="136"/>
  <c r="R80" i="136"/>
  <c r="S80" i="136"/>
  <c r="K80" i="136"/>
  <c r="Q82" i="136"/>
  <c r="L80" i="136"/>
  <c r="R82" i="136"/>
  <c r="I80" i="136"/>
  <c r="J80" i="136"/>
  <c r="M80" i="136"/>
  <c r="S82" i="136"/>
  <c r="R83" i="136"/>
  <c r="N80" i="136"/>
  <c r="T82" i="136"/>
  <c r="I55" i="136"/>
  <c r="T56" i="136"/>
  <c r="R58" i="136"/>
  <c r="Q59" i="136"/>
  <c r="P60" i="136"/>
  <c r="O61" i="136"/>
  <c r="I67" i="136"/>
  <c r="J55" i="136"/>
  <c r="I56" i="136"/>
  <c r="T57" i="136"/>
  <c r="S58" i="136"/>
  <c r="R59" i="136"/>
  <c r="Q60" i="136"/>
  <c r="P61" i="136"/>
  <c r="O62" i="136"/>
  <c r="J67" i="136"/>
  <c r="T58" i="136"/>
  <c r="T59" i="136"/>
  <c r="I59" i="136"/>
  <c r="T60" i="136"/>
  <c r="J59" i="136"/>
  <c r="S52" i="136"/>
  <c r="R53" i="136"/>
  <c r="Q54" i="136"/>
  <c r="P55" i="136"/>
  <c r="O56" i="136"/>
  <c r="N57" i="136"/>
  <c r="M58" i="136"/>
  <c r="L59" i="136"/>
  <c r="K60" i="136"/>
  <c r="J61" i="136"/>
  <c r="I62" i="136"/>
  <c r="S64" i="136"/>
  <c r="R65" i="136"/>
  <c r="Q66" i="136"/>
  <c r="P67" i="136"/>
  <c r="I58" i="136"/>
  <c r="J58" i="136"/>
  <c r="K58" i="136"/>
  <c r="O55" i="136"/>
  <c r="N56" i="136"/>
  <c r="L58" i="136"/>
  <c r="J60" i="136"/>
  <c r="O67" i="136"/>
  <c r="T52" i="136"/>
  <c r="P56" i="136"/>
  <c r="O57" i="136"/>
  <c r="N58" i="136"/>
  <c r="M59" i="136"/>
  <c r="L60" i="136"/>
  <c r="K61" i="136"/>
  <c r="J62" i="136"/>
  <c r="T64" i="136"/>
  <c r="Q67" i="136"/>
  <c r="I52" i="136"/>
  <c r="S54" i="136"/>
  <c r="R55" i="136"/>
  <c r="Q56" i="136"/>
  <c r="P57" i="136"/>
  <c r="O58" i="136"/>
  <c r="N59" i="136"/>
  <c r="M60" i="136"/>
  <c r="L61" i="136"/>
  <c r="K62" i="136"/>
  <c r="I64" i="136"/>
  <c r="S66" i="136"/>
  <c r="R67" i="136"/>
  <c r="I60" i="136"/>
  <c r="K59" i="136"/>
  <c r="I61" i="136"/>
  <c r="T62" i="136"/>
  <c r="Q55" i="136"/>
  <c r="S55" i="136"/>
  <c r="P58" i="136"/>
  <c r="O59" i="136"/>
  <c r="N60" i="136"/>
  <c r="M61" i="136"/>
  <c r="S67" i="136"/>
  <c r="L14" i="136"/>
  <c r="K14" i="136"/>
  <c r="I14" i="136"/>
  <c r="J14" i="136"/>
  <c r="T14" i="136"/>
  <c r="Q14" i="136"/>
  <c r="S14" i="136"/>
  <c r="R14" i="136"/>
  <c r="P14" i="136"/>
  <c r="O14" i="136"/>
  <c r="N14" i="136"/>
  <c r="M14" i="136"/>
  <c r="J9" i="136"/>
  <c r="I9" i="136"/>
  <c r="S9" i="136"/>
  <c r="T9" i="136"/>
  <c r="R9" i="136"/>
  <c r="P9" i="136"/>
  <c r="Q9" i="136"/>
  <c r="O9" i="136"/>
  <c r="N9" i="136"/>
  <c r="M9" i="136"/>
  <c r="L9" i="136"/>
  <c r="K9" i="136"/>
  <c r="T10" i="136"/>
  <c r="S10" i="136"/>
  <c r="R10" i="136"/>
  <c r="P10" i="136"/>
  <c r="O10" i="136"/>
  <c r="N10" i="136"/>
  <c r="M10" i="136"/>
  <c r="L10" i="136"/>
  <c r="K10" i="136"/>
  <c r="J10" i="136"/>
  <c r="I10" i="136"/>
  <c r="Q10" i="136"/>
  <c r="R11" i="136"/>
  <c r="Q11" i="136"/>
  <c r="O11" i="136"/>
  <c r="P11" i="136"/>
  <c r="N11" i="136"/>
  <c r="L11" i="136"/>
  <c r="M11" i="136"/>
  <c r="K11" i="136"/>
  <c r="J11" i="136"/>
  <c r="I11" i="136"/>
  <c r="T11" i="136"/>
  <c r="S11" i="136"/>
  <c r="P12" i="136"/>
  <c r="O12" i="136"/>
  <c r="N12" i="136"/>
  <c r="L12" i="136"/>
  <c r="M12" i="136"/>
  <c r="K12" i="136"/>
  <c r="J12" i="136"/>
  <c r="I12" i="136"/>
  <c r="T12" i="136"/>
  <c r="S12" i="136"/>
  <c r="R12" i="136"/>
  <c r="Q12" i="136"/>
  <c r="N13" i="136"/>
  <c r="M13" i="136"/>
  <c r="L13" i="136"/>
  <c r="J13" i="136"/>
  <c r="I13" i="136"/>
  <c r="T13" i="136"/>
  <c r="S13" i="136"/>
  <c r="K13" i="136"/>
  <c r="R13" i="136"/>
  <c r="Q13" i="136"/>
  <c r="P13" i="136"/>
  <c r="O13" i="136"/>
  <c r="J15" i="136"/>
  <c r="I15" i="136"/>
  <c r="T15" i="136"/>
  <c r="S15" i="136"/>
  <c r="R15" i="136"/>
  <c r="P15" i="136"/>
  <c r="O15" i="136"/>
  <c r="Q15" i="136"/>
  <c r="N15" i="136"/>
  <c r="M15" i="136"/>
  <c r="L15" i="136"/>
  <c r="K15" i="136"/>
  <c r="L81" i="135"/>
  <c r="N81" i="135"/>
  <c r="R81" i="135"/>
  <c r="Q81" i="135"/>
  <c r="P53" i="135"/>
  <c r="P54" i="135"/>
  <c r="I66" i="135"/>
  <c r="K67" i="135"/>
  <c r="L51" i="135"/>
  <c r="P62" i="135"/>
  <c r="P51" i="135"/>
  <c r="Q62" i="135"/>
  <c r="K64" i="135"/>
  <c r="M66" i="135"/>
  <c r="O67" i="135"/>
  <c r="Q51" i="135"/>
  <c r="I54" i="135"/>
  <c r="K55" i="135"/>
  <c r="I58" i="135"/>
  <c r="R62" i="135"/>
  <c r="L64" i="135"/>
  <c r="N66" i="135"/>
  <c r="L66" i="135"/>
  <c r="R51" i="135"/>
  <c r="J53" i="135"/>
  <c r="J54" i="135"/>
  <c r="L55" i="135"/>
  <c r="J58" i="135"/>
  <c r="S62" i="135"/>
  <c r="N64" i="135"/>
  <c r="O65" i="135"/>
  <c r="O66" i="135"/>
  <c r="R83" i="135"/>
  <c r="P105" i="135"/>
  <c r="O51" i="135"/>
  <c r="N67" i="135"/>
  <c r="S51" i="135"/>
  <c r="K53" i="135"/>
  <c r="K54" i="135"/>
  <c r="M55" i="135"/>
  <c r="I57" i="135"/>
  <c r="T62" i="135"/>
  <c r="O64" i="135"/>
  <c r="P65" i="135"/>
  <c r="P66" i="135"/>
  <c r="S83" i="135"/>
  <c r="Q105" i="135"/>
  <c r="K9" i="135"/>
  <c r="L53" i="135"/>
  <c r="L54" i="135"/>
  <c r="N55" i="135"/>
  <c r="J57" i="135"/>
  <c r="P64" i="135"/>
  <c r="Q65" i="135"/>
  <c r="Q66" i="135"/>
  <c r="K79" i="135"/>
  <c r="R105" i="135"/>
  <c r="K52" i="135"/>
  <c r="M53" i="135"/>
  <c r="M54" i="135"/>
  <c r="O55" i="135"/>
  <c r="K57" i="135"/>
  <c r="S60" i="135"/>
  <c r="L63" i="135"/>
  <c r="Q64" i="135"/>
  <c r="R65" i="135"/>
  <c r="R66" i="135"/>
  <c r="I83" i="135"/>
  <c r="S96" i="135"/>
  <c r="S105" i="135"/>
  <c r="L52" i="135"/>
  <c r="N53" i="135"/>
  <c r="N54" i="135"/>
  <c r="L57" i="135"/>
  <c r="O63" i="135"/>
  <c r="R64" i="135"/>
  <c r="S65" i="135"/>
  <c r="S66" i="135"/>
  <c r="J83" i="135"/>
  <c r="I96" i="135"/>
  <c r="J96" i="135"/>
  <c r="K96" i="135"/>
  <c r="L96" i="135"/>
  <c r="M96" i="135"/>
  <c r="N96" i="135"/>
  <c r="T96" i="135"/>
  <c r="O96" i="135"/>
  <c r="P96" i="135"/>
  <c r="Q96" i="135"/>
  <c r="I82" i="135"/>
  <c r="R82" i="135"/>
  <c r="Q82" i="135"/>
  <c r="T82" i="135"/>
  <c r="S82" i="135"/>
  <c r="N82" i="135"/>
  <c r="P82" i="135"/>
  <c r="O82" i="135"/>
  <c r="M82" i="135"/>
  <c r="K82" i="135"/>
  <c r="L82" i="135"/>
  <c r="J82" i="135"/>
  <c r="K80" i="135"/>
  <c r="L80" i="135"/>
  <c r="S79" i="135"/>
  <c r="P80" i="135"/>
  <c r="M81" i="135"/>
  <c r="T79" i="135"/>
  <c r="I79" i="135"/>
  <c r="R80" i="135"/>
  <c r="O81" i="135"/>
  <c r="Q80" i="135"/>
  <c r="J79" i="135"/>
  <c r="S80" i="135"/>
  <c r="P81" i="135"/>
  <c r="T80" i="135"/>
  <c r="L79" i="135"/>
  <c r="I80" i="135"/>
  <c r="M79" i="135"/>
  <c r="J80" i="135"/>
  <c r="S81" i="135"/>
  <c r="T81" i="135"/>
  <c r="P79" i="135"/>
  <c r="M80" i="135"/>
  <c r="J81" i="135"/>
  <c r="Q79" i="135"/>
  <c r="N80" i="135"/>
  <c r="K81" i="135"/>
  <c r="N79" i="135"/>
  <c r="O79" i="135"/>
  <c r="I81" i="135"/>
  <c r="T59" i="135"/>
  <c r="I59" i="135"/>
  <c r="T60" i="135"/>
  <c r="I60" i="135"/>
  <c r="T55" i="135"/>
  <c r="Q58" i="135"/>
  <c r="P59" i="135"/>
  <c r="O60" i="135"/>
  <c r="N61" i="135"/>
  <c r="M62" i="135"/>
  <c r="T67" i="135"/>
  <c r="M51" i="135"/>
  <c r="I55" i="135"/>
  <c r="T56" i="135"/>
  <c r="R58" i="135"/>
  <c r="Q59" i="135"/>
  <c r="P60" i="135"/>
  <c r="O61" i="135"/>
  <c r="N62" i="135"/>
  <c r="M63" i="135"/>
  <c r="I67" i="135"/>
  <c r="N51" i="135"/>
  <c r="M52" i="135"/>
  <c r="J55" i="135"/>
  <c r="I56" i="135"/>
  <c r="T57" i="135"/>
  <c r="S58" i="135"/>
  <c r="R59" i="135"/>
  <c r="Q60" i="135"/>
  <c r="P61" i="135"/>
  <c r="O62" i="135"/>
  <c r="N63" i="135"/>
  <c r="M64" i="135"/>
  <c r="J67" i="135"/>
  <c r="T58" i="135"/>
  <c r="S59" i="135"/>
  <c r="R60" i="135"/>
  <c r="K58" i="135"/>
  <c r="J59" i="135"/>
  <c r="T61" i="135"/>
  <c r="L58" i="135"/>
  <c r="K59" i="135"/>
  <c r="J60" i="135"/>
  <c r="I61" i="135"/>
  <c r="T51" i="135"/>
  <c r="P55" i="135"/>
  <c r="M58" i="135"/>
  <c r="L59" i="135"/>
  <c r="K60" i="135"/>
  <c r="J61" i="135"/>
  <c r="I62" i="135"/>
  <c r="T63" i="135"/>
  <c r="P67" i="135"/>
  <c r="I51" i="135"/>
  <c r="T52" i="135"/>
  <c r="Q55" i="135"/>
  <c r="P56" i="135"/>
  <c r="N58" i="135"/>
  <c r="M59" i="135"/>
  <c r="L60" i="135"/>
  <c r="K61" i="135"/>
  <c r="J62" i="135"/>
  <c r="I63" i="135"/>
  <c r="T64" i="135"/>
  <c r="Q67" i="135"/>
  <c r="J51" i="135"/>
  <c r="I52" i="135"/>
  <c r="T53" i="135"/>
  <c r="R55" i="135"/>
  <c r="Q56" i="135"/>
  <c r="P57" i="135"/>
  <c r="O58" i="135"/>
  <c r="N59" i="135"/>
  <c r="M60" i="135"/>
  <c r="L61" i="135"/>
  <c r="K62" i="135"/>
  <c r="J63" i="135"/>
  <c r="I64" i="135"/>
  <c r="T65" i="135"/>
  <c r="R67" i="135"/>
  <c r="R11" i="135"/>
  <c r="Q11" i="135"/>
  <c r="P11" i="135"/>
  <c r="O11" i="135"/>
  <c r="N11" i="135"/>
  <c r="M11" i="135"/>
  <c r="L11" i="135"/>
  <c r="K11" i="135"/>
  <c r="J11" i="135"/>
  <c r="I11" i="135"/>
  <c r="T11" i="135"/>
  <c r="S11" i="135"/>
  <c r="N13" i="135"/>
  <c r="M13" i="135"/>
  <c r="L13" i="135"/>
  <c r="K13" i="135"/>
  <c r="J13" i="135"/>
  <c r="I13" i="135"/>
  <c r="T13" i="135"/>
  <c r="S13" i="135"/>
  <c r="R13" i="135"/>
  <c r="Q13" i="135"/>
  <c r="T10" i="135"/>
  <c r="S10" i="135"/>
  <c r="R10" i="135"/>
  <c r="Q10" i="135"/>
  <c r="P10" i="135"/>
  <c r="O10" i="135"/>
  <c r="N10" i="135"/>
  <c r="M10" i="135"/>
  <c r="L10" i="135"/>
  <c r="K10" i="135"/>
  <c r="P13" i="135"/>
  <c r="I10" i="135"/>
  <c r="L14" i="135"/>
  <c r="K14" i="135"/>
  <c r="J14" i="135"/>
  <c r="I14" i="135"/>
  <c r="T14" i="135"/>
  <c r="S14" i="135"/>
  <c r="R14" i="135"/>
  <c r="P14" i="135"/>
  <c r="O14" i="135"/>
  <c r="Q14" i="135"/>
  <c r="J10" i="135"/>
  <c r="M14" i="135"/>
  <c r="N14" i="135"/>
  <c r="J15" i="135"/>
  <c r="I15" i="135"/>
  <c r="T15" i="135"/>
  <c r="S15" i="135"/>
  <c r="R15" i="135"/>
  <c r="Q15" i="135"/>
  <c r="P15" i="135"/>
  <c r="O15" i="135"/>
  <c r="N15" i="135"/>
  <c r="M15" i="135"/>
  <c r="K15" i="135"/>
  <c r="L15" i="135"/>
  <c r="P12" i="135"/>
  <c r="O12" i="135"/>
  <c r="N12" i="135"/>
  <c r="M12" i="135"/>
  <c r="L12" i="135"/>
  <c r="K12" i="135"/>
  <c r="J12" i="135"/>
  <c r="I12" i="135"/>
  <c r="T12" i="135"/>
  <c r="S12" i="135"/>
  <c r="O13" i="135"/>
  <c r="J9" i="135"/>
  <c r="I9" i="135"/>
  <c r="T9" i="135"/>
  <c r="S9" i="135"/>
  <c r="R9" i="135"/>
  <c r="Q9" i="135"/>
  <c r="P9" i="135"/>
  <c r="O9" i="135"/>
  <c r="N9" i="135"/>
  <c r="M9" i="135"/>
  <c r="Q258" i="243" l="1"/>
  <c r="P37" i="242" s="1"/>
  <c r="Q237" i="243"/>
  <c r="P16" i="242" s="1"/>
  <c r="Q235" i="243"/>
  <c r="P14" i="242" s="1"/>
  <c r="E260" i="243"/>
  <c r="E261" i="243" s="1"/>
  <c r="E262" i="243" s="1"/>
  <c r="U105" i="136"/>
  <c r="E107" i="134"/>
  <c r="S105" i="134"/>
  <c r="R105" i="134"/>
  <c r="Q105" i="134"/>
  <c r="H105" i="134"/>
  <c r="P105" i="134" s="1"/>
  <c r="S96" i="134"/>
  <c r="R96" i="134"/>
  <c r="Q96" i="134"/>
  <c r="N96" i="134"/>
  <c r="M96" i="134"/>
  <c r="L96" i="134"/>
  <c r="K96" i="134"/>
  <c r="J96" i="134"/>
  <c r="I96" i="134"/>
  <c r="H96" i="134"/>
  <c r="T96" i="134" s="1"/>
  <c r="Q83" i="134"/>
  <c r="P83" i="134"/>
  <c r="O83" i="134"/>
  <c r="N83" i="134"/>
  <c r="L83" i="134"/>
  <c r="K83" i="134"/>
  <c r="J83" i="134"/>
  <c r="I83" i="134"/>
  <c r="H83" i="134"/>
  <c r="T83" i="134" s="1"/>
  <c r="G82" i="134"/>
  <c r="H82" i="134" s="1"/>
  <c r="E82" i="134"/>
  <c r="G81" i="134"/>
  <c r="H81" i="134" s="1"/>
  <c r="E81" i="134"/>
  <c r="G80" i="134"/>
  <c r="H80" i="134" s="1"/>
  <c r="E80" i="134"/>
  <c r="G79" i="134"/>
  <c r="H79" i="134" s="1"/>
  <c r="E79" i="134"/>
  <c r="Q67" i="134"/>
  <c r="P67" i="134"/>
  <c r="N67" i="134"/>
  <c r="M67" i="134"/>
  <c r="L67" i="134"/>
  <c r="K67" i="134"/>
  <c r="J67" i="134"/>
  <c r="I67" i="134"/>
  <c r="H67" i="134"/>
  <c r="T67" i="134" s="1"/>
  <c r="R66" i="134"/>
  <c r="Q66" i="134"/>
  <c r="O66" i="134"/>
  <c r="N66" i="134"/>
  <c r="M66" i="134"/>
  <c r="L66" i="134"/>
  <c r="K66" i="134"/>
  <c r="J66" i="134"/>
  <c r="I66" i="134"/>
  <c r="H66" i="134"/>
  <c r="T66" i="134" s="1"/>
  <c r="S65" i="134"/>
  <c r="R65" i="134"/>
  <c r="P65" i="134"/>
  <c r="O65" i="134"/>
  <c r="N65" i="134"/>
  <c r="M65" i="134"/>
  <c r="L65" i="134"/>
  <c r="K65" i="134"/>
  <c r="J65" i="134"/>
  <c r="I65" i="134"/>
  <c r="H65" i="134"/>
  <c r="T65" i="134" s="1"/>
  <c r="S64" i="134"/>
  <c r="P64" i="134"/>
  <c r="O64" i="134"/>
  <c r="N64" i="134"/>
  <c r="M64" i="134"/>
  <c r="L64" i="134"/>
  <c r="H64" i="134"/>
  <c r="K64" i="134" s="1"/>
  <c r="P63" i="134"/>
  <c r="O63" i="134"/>
  <c r="N63" i="134"/>
  <c r="M63" i="134"/>
  <c r="H63" i="134"/>
  <c r="L63" i="134" s="1"/>
  <c r="S62" i="134"/>
  <c r="R62" i="134"/>
  <c r="Q62" i="134"/>
  <c r="P62" i="134"/>
  <c r="O62" i="134"/>
  <c r="N62" i="134"/>
  <c r="M62" i="134"/>
  <c r="L62" i="134"/>
  <c r="K62" i="134"/>
  <c r="J62" i="134"/>
  <c r="I62" i="134"/>
  <c r="H62" i="134"/>
  <c r="T62" i="134" s="1"/>
  <c r="S61" i="134"/>
  <c r="R61" i="134"/>
  <c r="Q61" i="134"/>
  <c r="P61" i="134"/>
  <c r="O61" i="134"/>
  <c r="J61" i="134"/>
  <c r="H61" i="134"/>
  <c r="N61" i="134" s="1"/>
  <c r="S60" i="134"/>
  <c r="R60" i="134"/>
  <c r="Q60" i="134"/>
  <c r="P60" i="134"/>
  <c r="K60" i="134"/>
  <c r="H60" i="134"/>
  <c r="O60" i="134" s="1"/>
  <c r="S59" i="134"/>
  <c r="R59" i="134"/>
  <c r="Q59" i="134"/>
  <c r="H59" i="134"/>
  <c r="P59" i="134" s="1"/>
  <c r="T58" i="134"/>
  <c r="S58" i="134"/>
  <c r="R58" i="134"/>
  <c r="H58" i="134"/>
  <c r="Q58" i="134" s="1"/>
  <c r="T57" i="134"/>
  <c r="S57" i="134"/>
  <c r="H57" i="134"/>
  <c r="R57" i="134" s="1"/>
  <c r="H56" i="134"/>
  <c r="S56" i="134" s="1"/>
  <c r="S55" i="134"/>
  <c r="Q55" i="134"/>
  <c r="P55" i="134"/>
  <c r="N55" i="134"/>
  <c r="M55" i="134"/>
  <c r="L55" i="134"/>
  <c r="K55" i="134"/>
  <c r="J55" i="134"/>
  <c r="I55" i="134"/>
  <c r="H55" i="134"/>
  <c r="T55" i="134" s="1"/>
  <c r="R54" i="134"/>
  <c r="Q54" i="134"/>
  <c r="O54" i="134"/>
  <c r="N54" i="134"/>
  <c r="M54" i="134"/>
  <c r="L54" i="134"/>
  <c r="K54" i="134"/>
  <c r="J54" i="134"/>
  <c r="H54" i="134"/>
  <c r="I54" i="134" s="1"/>
  <c r="S53" i="134"/>
  <c r="R53" i="134"/>
  <c r="P53" i="134"/>
  <c r="O53" i="134"/>
  <c r="N53" i="134"/>
  <c r="M53" i="134"/>
  <c r="L53" i="134"/>
  <c r="K53" i="134"/>
  <c r="J53" i="134"/>
  <c r="I53" i="134"/>
  <c r="H53" i="134"/>
  <c r="T53" i="134" s="1"/>
  <c r="S52" i="134"/>
  <c r="Q52" i="134"/>
  <c r="P52" i="134"/>
  <c r="O52" i="134"/>
  <c r="N52" i="134"/>
  <c r="M52" i="134"/>
  <c r="L52" i="134"/>
  <c r="H52" i="134"/>
  <c r="K52" i="134" s="1"/>
  <c r="P51" i="134"/>
  <c r="O51" i="134"/>
  <c r="N51" i="134"/>
  <c r="M51" i="134"/>
  <c r="H51" i="134"/>
  <c r="L51" i="134" s="1"/>
  <c r="W15" i="134"/>
  <c r="W14" i="134"/>
  <c r="W13" i="134"/>
  <c r="W12" i="134"/>
  <c r="W11" i="134"/>
  <c r="W10" i="134"/>
  <c r="W9" i="134"/>
  <c r="G16" i="134"/>
  <c r="H16" i="134" s="1"/>
  <c r="G15" i="134"/>
  <c r="H15" i="134" s="1"/>
  <c r="H14" i="134"/>
  <c r="L14" i="134" s="1"/>
  <c r="G14" i="134"/>
  <c r="G13" i="134"/>
  <c r="H13" i="134" s="1"/>
  <c r="G12" i="134"/>
  <c r="H12" i="134" s="1"/>
  <c r="G11" i="134"/>
  <c r="H11" i="134" s="1"/>
  <c r="G10" i="134"/>
  <c r="H10" i="134" s="1"/>
  <c r="G9" i="134"/>
  <c r="H9" i="134" s="1"/>
  <c r="I117" i="132"/>
  <c r="J117" i="132"/>
  <c r="K117" i="132"/>
  <c r="L117" i="132"/>
  <c r="M117" i="132"/>
  <c r="N117" i="132"/>
  <c r="O117" i="132"/>
  <c r="P117" i="132"/>
  <c r="Q117" i="132"/>
  <c r="R117" i="132"/>
  <c r="S117" i="132"/>
  <c r="T117" i="132"/>
  <c r="I127" i="132"/>
  <c r="J127" i="132"/>
  <c r="K127" i="132"/>
  <c r="L127" i="132"/>
  <c r="M127" i="132"/>
  <c r="N127" i="132"/>
  <c r="O127" i="132"/>
  <c r="P127" i="132"/>
  <c r="Q127" i="132"/>
  <c r="R127" i="132"/>
  <c r="S127" i="132"/>
  <c r="T127" i="132"/>
  <c r="Q261" i="243" l="1"/>
  <c r="P40" i="242" s="1"/>
  <c r="Q260" i="243"/>
  <c r="P39" i="242" s="1"/>
  <c r="T105" i="134"/>
  <c r="I105" i="134"/>
  <c r="J105" i="134"/>
  <c r="K105" i="134"/>
  <c r="L105" i="134"/>
  <c r="M105" i="134"/>
  <c r="N105" i="134"/>
  <c r="O105" i="134"/>
  <c r="O96" i="134"/>
  <c r="P96" i="134"/>
  <c r="L81" i="134"/>
  <c r="K81" i="134"/>
  <c r="J81" i="134"/>
  <c r="I81" i="134"/>
  <c r="T81" i="134"/>
  <c r="S81" i="134"/>
  <c r="R81" i="134"/>
  <c r="M81" i="134"/>
  <c r="Q81" i="134"/>
  <c r="P81" i="134"/>
  <c r="O81" i="134"/>
  <c r="N81" i="134"/>
  <c r="I82" i="134"/>
  <c r="P82" i="134"/>
  <c r="O82" i="134"/>
  <c r="T82" i="134"/>
  <c r="S82" i="134"/>
  <c r="R82" i="134"/>
  <c r="Q82" i="134"/>
  <c r="J82" i="134"/>
  <c r="N82" i="134"/>
  <c r="M82" i="134"/>
  <c r="L82" i="134"/>
  <c r="K82" i="134"/>
  <c r="R79" i="134"/>
  <c r="N79" i="134"/>
  <c r="M79" i="134"/>
  <c r="S79" i="134"/>
  <c r="Q79" i="134"/>
  <c r="P79" i="134"/>
  <c r="O79" i="134"/>
  <c r="L79" i="134"/>
  <c r="K79" i="134"/>
  <c r="J79" i="134"/>
  <c r="I79" i="134"/>
  <c r="T79" i="134"/>
  <c r="O80" i="134"/>
  <c r="N80" i="134"/>
  <c r="M80" i="134"/>
  <c r="L80" i="134"/>
  <c r="K80" i="134"/>
  <c r="J80" i="134"/>
  <c r="I80" i="134"/>
  <c r="P80" i="134"/>
  <c r="T80" i="134"/>
  <c r="S80" i="134"/>
  <c r="R80" i="134"/>
  <c r="Q80" i="134"/>
  <c r="M83" i="134"/>
  <c r="R83" i="134"/>
  <c r="S83" i="134"/>
  <c r="I56" i="134"/>
  <c r="J57" i="134"/>
  <c r="I58" i="134"/>
  <c r="Q51" i="134"/>
  <c r="L56" i="134"/>
  <c r="K57" i="134"/>
  <c r="J58" i="134"/>
  <c r="I59" i="134"/>
  <c r="T60" i="134"/>
  <c r="Q63" i="134"/>
  <c r="R51" i="134"/>
  <c r="M56" i="134"/>
  <c r="L57" i="134"/>
  <c r="K58" i="134"/>
  <c r="J59" i="134"/>
  <c r="I60" i="134"/>
  <c r="T61" i="134"/>
  <c r="R63" i="134"/>
  <c r="Q64" i="134"/>
  <c r="S51" i="134"/>
  <c r="R52" i="134"/>
  <c r="Q53" i="134"/>
  <c r="P54" i="134"/>
  <c r="O55" i="134"/>
  <c r="N56" i="134"/>
  <c r="M57" i="134"/>
  <c r="L58" i="134"/>
  <c r="K59" i="134"/>
  <c r="J60" i="134"/>
  <c r="I61" i="134"/>
  <c r="S63" i="134"/>
  <c r="R64" i="134"/>
  <c r="Q65" i="134"/>
  <c r="P66" i="134"/>
  <c r="O67" i="134"/>
  <c r="J56" i="134"/>
  <c r="T59" i="134"/>
  <c r="N57" i="134"/>
  <c r="L59" i="134"/>
  <c r="O57" i="134"/>
  <c r="M59" i="134"/>
  <c r="K61" i="134"/>
  <c r="I63" i="134"/>
  <c r="J51" i="134"/>
  <c r="I52" i="134"/>
  <c r="S54" i="134"/>
  <c r="R55" i="134"/>
  <c r="Q56" i="134"/>
  <c r="P57" i="134"/>
  <c r="O58" i="134"/>
  <c r="N59" i="134"/>
  <c r="M60" i="134"/>
  <c r="L61" i="134"/>
  <c r="J63" i="134"/>
  <c r="I64" i="134"/>
  <c r="S66" i="134"/>
  <c r="R67" i="134"/>
  <c r="K56" i="134"/>
  <c r="M58" i="134"/>
  <c r="K51" i="134"/>
  <c r="J52" i="134"/>
  <c r="T54" i="134"/>
  <c r="R56" i="134"/>
  <c r="Q57" i="134"/>
  <c r="P58" i="134"/>
  <c r="O59" i="134"/>
  <c r="N60" i="134"/>
  <c r="M61" i="134"/>
  <c r="K63" i="134"/>
  <c r="J64" i="134"/>
  <c r="S67" i="134"/>
  <c r="T56" i="134"/>
  <c r="I57" i="134"/>
  <c r="T51" i="134"/>
  <c r="O56" i="134"/>
  <c r="T63" i="134"/>
  <c r="I51" i="134"/>
  <c r="T52" i="134"/>
  <c r="P56" i="134"/>
  <c r="N58" i="134"/>
  <c r="L60" i="134"/>
  <c r="T64" i="134"/>
  <c r="J9" i="134"/>
  <c r="I9" i="134"/>
  <c r="T9" i="134"/>
  <c r="S9" i="134"/>
  <c r="Q9" i="134"/>
  <c r="P9" i="134"/>
  <c r="O9" i="134"/>
  <c r="N9" i="134"/>
  <c r="M9" i="134"/>
  <c r="L9" i="134"/>
  <c r="K9" i="134"/>
  <c r="R9" i="134"/>
  <c r="T10" i="134"/>
  <c r="S10" i="134"/>
  <c r="R10" i="134"/>
  <c r="Q10" i="134"/>
  <c r="O10" i="134"/>
  <c r="N10" i="134"/>
  <c r="M10" i="134"/>
  <c r="L10" i="134"/>
  <c r="K10" i="134"/>
  <c r="J10" i="134"/>
  <c r="I10" i="134"/>
  <c r="P10" i="134"/>
  <c r="R11" i="134"/>
  <c r="Q11" i="134"/>
  <c r="P11" i="134"/>
  <c r="O11" i="134"/>
  <c r="M11" i="134"/>
  <c r="L11" i="134"/>
  <c r="K11" i="134"/>
  <c r="J11" i="134"/>
  <c r="I11" i="134"/>
  <c r="T11" i="134"/>
  <c r="S11" i="134"/>
  <c r="N11" i="134"/>
  <c r="P12" i="134"/>
  <c r="O12" i="134"/>
  <c r="N12" i="134"/>
  <c r="M12" i="134"/>
  <c r="K12" i="134"/>
  <c r="J12" i="134"/>
  <c r="I12" i="134"/>
  <c r="T12" i="134"/>
  <c r="S12" i="134"/>
  <c r="R12" i="134"/>
  <c r="Q12" i="134"/>
  <c r="L12" i="134"/>
  <c r="N13" i="134"/>
  <c r="M13" i="134"/>
  <c r="L13" i="134"/>
  <c r="K13" i="134"/>
  <c r="I13" i="134"/>
  <c r="T13" i="134"/>
  <c r="S13" i="134"/>
  <c r="R13" i="134"/>
  <c r="Q13" i="134"/>
  <c r="P13" i="134"/>
  <c r="O13" i="134"/>
  <c r="J13" i="134"/>
  <c r="J15" i="134"/>
  <c r="I15" i="134"/>
  <c r="T15" i="134"/>
  <c r="S15" i="134"/>
  <c r="R15" i="134"/>
  <c r="Q15" i="134"/>
  <c r="P15" i="134"/>
  <c r="O15" i="134"/>
  <c r="N15" i="134"/>
  <c r="M15" i="134"/>
  <c r="L15" i="134"/>
  <c r="K15" i="134"/>
  <c r="M14" i="134"/>
  <c r="N14" i="134"/>
  <c r="O14" i="134"/>
  <c r="P14" i="134"/>
  <c r="Q14" i="134"/>
  <c r="R14" i="134"/>
  <c r="S14" i="134"/>
  <c r="T14" i="134"/>
  <c r="I14" i="134"/>
  <c r="J14" i="134"/>
  <c r="K14" i="134"/>
  <c r="Q262" i="243" l="1"/>
  <c r="P41" i="242" s="1"/>
  <c r="H67" i="132"/>
  <c r="H66" i="132"/>
  <c r="J66" i="132" s="1"/>
  <c r="H65" i="132"/>
  <c r="T65" i="132" s="1"/>
  <c r="H64" i="132"/>
  <c r="I64" i="132" s="1"/>
  <c r="H63" i="132"/>
  <c r="T63" i="132" s="1"/>
  <c r="H62" i="132"/>
  <c r="S62" i="132" s="1"/>
  <c r="H61" i="132"/>
  <c r="Q61" i="132" s="1"/>
  <c r="M60" i="132"/>
  <c r="H59" i="132"/>
  <c r="M59" i="132" s="1"/>
  <c r="H58" i="132"/>
  <c r="S58" i="132" s="1"/>
  <c r="H57" i="132"/>
  <c r="O57" i="132" s="1"/>
  <c r="H56" i="132"/>
  <c r="Q56" i="132" s="1"/>
  <c r="H55" i="132"/>
  <c r="S55" i="132" s="1"/>
  <c r="H54" i="132"/>
  <c r="S54" i="132" s="1"/>
  <c r="H53" i="132"/>
  <c r="S53" i="132" s="1"/>
  <c r="H52" i="132"/>
  <c r="L52" i="132" s="1"/>
  <c r="H51" i="132"/>
  <c r="L51" i="132" s="1"/>
  <c r="S67" i="132"/>
  <c r="O65" i="132"/>
  <c r="P63" i="132"/>
  <c r="M63" i="132"/>
  <c r="L63" i="132"/>
  <c r="Q60" i="132"/>
  <c r="G16" i="132"/>
  <c r="H16" i="132" s="1"/>
  <c r="G15" i="132"/>
  <c r="H15" i="132" s="1"/>
  <c r="G14" i="132"/>
  <c r="H14" i="132" s="1"/>
  <c r="G13" i="132"/>
  <c r="H13" i="132" s="1"/>
  <c r="G12" i="132"/>
  <c r="H12" i="132" s="1"/>
  <c r="G11" i="132"/>
  <c r="H11" i="132" s="1"/>
  <c r="G10" i="132"/>
  <c r="H10" i="132" s="1"/>
  <c r="G9" i="132"/>
  <c r="H9" i="132" s="1"/>
  <c r="I55" i="132" l="1"/>
  <c r="K55" i="132"/>
  <c r="R55" i="132"/>
  <c r="P57" i="132"/>
  <c r="N58" i="132"/>
  <c r="R58" i="132"/>
  <c r="J62" i="132"/>
  <c r="K62" i="132"/>
  <c r="L62" i="132"/>
  <c r="N62" i="132"/>
  <c r="O62" i="132"/>
  <c r="R62" i="132"/>
  <c r="L61" i="132"/>
  <c r="P56" i="132"/>
  <c r="I56" i="132"/>
  <c r="P51" i="132"/>
  <c r="Q51" i="132"/>
  <c r="T52" i="132"/>
  <c r="M65" i="132"/>
  <c r="N66" i="132"/>
  <c r="J55" i="132"/>
  <c r="P59" i="132"/>
  <c r="N65" i="132"/>
  <c r="K64" i="132"/>
  <c r="K52" i="132"/>
  <c r="M64" i="132"/>
  <c r="T66" i="132"/>
  <c r="P52" i="132"/>
  <c r="N64" i="132"/>
  <c r="I66" i="132"/>
  <c r="R54" i="132"/>
  <c r="M62" i="132"/>
  <c r="O64" i="132"/>
  <c r="L66" i="132"/>
  <c r="J52" i="132"/>
  <c r="Q65" i="132"/>
  <c r="J54" i="132"/>
  <c r="Q64" i="132"/>
  <c r="M66" i="132"/>
  <c r="P65" i="132"/>
  <c r="K54" i="132"/>
  <c r="R64" i="132"/>
  <c r="O58" i="132"/>
  <c r="P62" i="132"/>
  <c r="J65" i="132"/>
  <c r="O66" i="132"/>
  <c r="Q55" i="132"/>
  <c r="P58" i="132"/>
  <c r="Q62" i="132"/>
  <c r="L65" i="132"/>
  <c r="P66" i="132"/>
  <c r="M61" i="132"/>
  <c r="K51" i="132"/>
  <c r="M52" i="132"/>
  <c r="L60" i="132"/>
  <c r="P61" i="132"/>
  <c r="S63" i="132"/>
  <c r="N52" i="132"/>
  <c r="M51" i="132"/>
  <c r="O52" i="132"/>
  <c r="I59" i="132"/>
  <c r="N60" i="132"/>
  <c r="R61" i="132"/>
  <c r="I63" i="132"/>
  <c r="J64" i="132"/>
  <c r="I65" i="132"/>
  <c r="K66" i="132"/>
  <c r="N51" i="132"/>
  <c r="N59" i="132"/>
  <c r="O60" i="132"/>
  <c r="J63" i="132"/>
  <c r="O51" i="132"/>
  <c r="O59" i="132"/>
  <c r="P60" i="132"/>
  <c r="K63" i="132"/>
  <c r="L64" i="132"/>
  <c r="K65" i="132"/>
  <c r="R59" i="132"/>
  <c r="S60" i="132"/>
  <c r="N63" i="132"/>
  <c r="I52" i="132"/>
  <c r="S59" i="132"/>
  <c r="T60" i="132"/>
  <c r="O63" i="132"/>
  <c r="P64" i="132"/>
  <c r="Q59" i="132"/>
  <c r="R60" i="132"/>
  <c r="T51" i="132"/>
  <c r="I60" i="132"/>
  <c r="I51" i="132"/>
  <c r="J60" i="132"/>
  <c r="Q63" i="132"/>
  <c r="J51" i="132"/>
  <c r="K60" i="132"/>
  <c r="N61" i="132"/>
  <c r="R63" i="132"/>
  <c r="S64" i="132"/>
  <c r="T64" i="132"/>
  <c r="T53" i="132"/>
  <c r="Q57" i="132"/>
  <c r="T67" i="132"/>
  <c r="I53" i="132"/>
  <c r="T54" i="132"/>
  <c r="R56" i="132"/>
  <c r="I67" i="132"/>
  <c r="J53" i="132"/>
  <c r="I54" i="132"/>
  <c r="T55" i="132"/>
  <c r="S56" i="132"/>
  <c r="R57" i="132"/>
  <c r="Q58" i="132"/>
  <c r="O61" i="132"/>
  <c r="J67" i="132"/>
  <c r="K53" i="132"/>
  <c r="T56" i="132"/>
  <c r="S57" i="132"/>
  <c r="K67" i="132"/>
  <c r="M67" i="132"/>
  <c r="N53" i="132"/>
  <c r="M54" i="132"/>
  <c r="L55" i="132"/>
  <c r="K56" i="132"/>
  <c r="J57" i="132"/>
  <c r="I58" i="132"/>
  <c r="T59" i="132"/>
  <c r="S61" i="132"/>
  <c r="N67" i="132"/>
  <c r="M53" i="132"/>
  <c r="O53" i="132"/>
  <c r="J58" i="132"/>
  <c r="O67" i="132"/>
  <c r="R51" i="132"/>
  <c r="Q52" i="132"/>
  <c r="P53" i="132"/>
  <c r="O54" i="132"/>
  <c r="N55" i="132"/>
  <c r="M56" i="132"/>
  <c r="L57" i="132"/>
  <c r="K58" i="132"/>
  <c r="J59" i="132"/>
  <c r="I61" i="132"/>
  <c r="T62" i="132"/>
  <c r="R65" i="132"/>
  <c r="Q66" i="132"/>
  <c r="P67" i="132"/>
  <c r="L54" i="132"/>
  <c r="J56" i="132"/>
  <c r="T58" i="132"/>
  <c r="L56" i="132"/>
  <c r="S51" i="132"/>
  <c r="R52" i="132"/>
  <c r="Q53" i="132"/>
  <c r="P54" i="132"/>
  <c r="O55" i="132"/>
  <c r="N56" i="132"/>
  <c r="M57" i="132"/>
  <c r="L58" i="132"/>
  <c r="K59" i="132"/>
  <c r="J61" i="132"/>
  <c r="I62" i="132"/>
  <c r="S65" i="132"/>
  <c r="R66" i="132"/>
  <c r="Q67" i="132"/>
  <c r="I57" i="132"/>
  <c r="N54" i="132"/>
  <c r="T61" i="132"/>
  <c r="S52" i="132"/>
  <c r="R53" i="132"/>
  <c r="Q54" i="132"/>
  <c r="P55" i="132"/>
  <c r="O56" i="132"/>
  <c r="N57" i="132"/>
  <c r="M58" i="132"/>
  <c r="L59" i="132"/>
  <c r="K61" i="132"/>
  <c r="S66" i="132"/>
  <c r="R67" i="132"/>
  <c r="L53" i="132"/>
  <c r="T57" i="132"/>
  <c r="L67" i="132"/>
  <c r="M55" i="132"/>
  <c r="K57" i="132"/>
  <c r="P11" i="132"/>
  <c r="J11" i="132"/>
  <c r="I11" i="132"/>
  <c r="O11" i="132"/>
  <c r="N11" i="132"/>
  <c r="M11" i="132"/>
  <c r="S11" i="132"/>
  <c r="R11" i="132"/>
  <c r="L11" i="132"/>
  <c r="K11" i="132"/>
  <c r="Q11" i="132"/>
  <c r="T11" i="132"/>
  <c r="S10" i="132"/>
  <c r="P10" i="132"/>
  <c r="N10" i="132"/>
  <c r="L10" i="132"/>
  <c r="J10" i="132"/>
  <c r="R10" i="132"/>
  <c r="Q10" i="132"/>
  <c r="M10" i="132"/>
  <c r="K10" i="132"/>
  <c r="I10" i="132"/>
  <c r="O10" i="132"/>
  <c r="T10" i="132"/>
  <c r="J9" i="132"/>
  <c r="R9" i="132"/>
  <c r="N9" i="132"/>
  <c r="I9" i="132"/>
  <c r="T9" i="132"/>
  <c r="Q9" i="132"/>
  <c r="O9" i="132"/>
  <c r="M9" i="132"/>
  <c r="L9" i="132"/>
  <c r="S9" i="132"/>
  <c r="K9" i="132"/>
  <c r="P9" i="132"/>
  <c r="M12" i="132"/>
  <c r="I12" i="132"/>
  <c r="R12" i="132"/>
  <c r="P12" i="132"/>
  <c r="L12" i="132"/>
  <c r="K12" i="132"/>
  <c r="Q12" i="132"/>
  <c r="O12" i="132"/>
  <c r="J12" i="132"/>
  <c r="T12" i="132"/>
  <c r="N12" i="132"/>
  <c r="S12" i="132"/>
  <c r="J13" i="132"/>
  <c r="T13" i="132"/>
  <c r="N13" i="132"/>
  <c r="M13" i="132"/>
  <c r="I13" i="132"/>
  <c r="Q13" i="132"/>
  <c r="O13" i="132"/>
  <c r="L13" i="132"/>
  <c r="S13" i="132"/>
  <c r="K13" i="132"/>
  <c r="R13" i="132"/>
  <c r="P13" i="132"/>
  <c r="S14" i="132"/>
  <c r="L14" i="132"/>
  <c r="R14" i="132"/>
  <c r="P14" i="132"/>
  <c r="O14" i="132"/>
  <c r="J14" i="132"/>
  <c r="I14" i="132"/>
  <c r="T14" i="132"/>
  <c r="Q14" i="132"/>
  <c r="N14" i="132"/>
  <c r="M14" i="132"/>
  <c r="K14" i="132"/>
  <c r="P15" i="132"/>
  <c r="T15" i="132"/>
  <c r="S15" i="132"/>
  <c r="O15" i="132"/>
  <c r="J15" i="132"/>
  <c r="I15" i="132"/>
  <c r="R15" i="132"/>
  <c r="N15" i="132"/>
  <c r="L15" i="132"/>
  <c r="K15" i="132"/>
  <c r="Q15" i="132"/>
  <c r="M15" i="132"/>
  <c r="U60" i="132" l="1"/>
  <c r="U14" i="132"/>
  <c r="U11" i="132"/>
  <c r="U15" i="132"/>
  <c r="U13" i="132"/>
  <c r="U9" i="132"/>
  <c r="U12" i="132"/>
  <c r="U10" i="132"/>
  <c r="U16" i="132"/>
  <c r="M510" i="234" l="1"/>
  <c r="L506" i="234"/>
  <c r="M506" i="234"/>
  <c r="N506" i="234"/>
  <c r="O506" i="234"/>
  <c r="P506" i="234"/>
  <c r="L505" i="234"/>
  <c r="M505" i="234"/>
  <c r="N505" i="234"/>
  <c r="O505" i="234"/>
  <c r="P505" i="234"/>
  <c r="L504" i="234"/>
  <c r="M504" i="234"/>
  <c r="N504" i="234"/>
  <c r="O504" i="234"/>
  <c r="P504" i="234"/>
  <c r="L503" i="234"/>
  <c r="M503" i="234"/>
  <c r="N503" i="234"/>
  <c r="O503" i="234"/>
  <c r="P503" i="234"/>
  <c r="L502" i="234"/>
  <c r="M502" i="234"/>
  <c r="N502" i="234"/>
  <c r="O502" i="234"/>
  <c r="P502" i="234"/>
  <c r="L501" i="234"/>
  <c r="M501" i="234"/>
  <c r="N501" i="234"/>
  <c r="O501" i="234"/>
  <c r="P501" i="234"/>
  <c r="L458" i="234"/>
  <c r="M458" i="234"/>
  <c r="N458" i="234"/>
  <c r="O458" i="234"/>
  <c r="P458" i="234"/>
  <c r="L448" i="234"/>
  <c r="M448" i="234"/>
  <c r="N448" i="234"/>
  <c r="O448" i="234"/>
  <c r="P448" i="234"/>
  <c r="L449" i="234"/>
  <c r="M449" i="234"/>
  <c r="N449" i="234"/>
  <c r="O449" i="234"/>
  <c r="P449" i="234"/>
  <c r="M450" i="234"/>
  <c r="P450" i="234"/>
  <c r="M451" i="234"/>
  <c r="P451" i="234"/>
  <c r="M452" i="234"/>
  <c r="P452" i="234"/>
  <c r="M453" i="234"/>
  <c r="P453" i="234"/>
  <c r="M454" i="234"/>
  <c r="P454" i="234"/>
  <c r="L440" i="234"/>
  <c r="M440" i="234"/>
  <c r="N440" i="234"/>
  <c r="O440" i="234"/>
  <c r="P440" i="234"/>
  <c r="L441" i="234"/>
  <c r="M441" i="234"/>
  <c r="N441" i="234"/>
  <c r="O441" i="234"/>
  <c r="P441" i="234"/>
  <c r="L442" i="234"/>
  <c r="M442" i="234"/>
  <c r="N442" i="234"/>
  <c r="O442" i="234"/>
  <c r="P442" i="234"/>
  <c r="L443" i="234"/>
  <c r="M443" i="234"/>
  <c r="N443" i="234"/>
  <c r="O443" i="234"/>
  <c r="P443" i="234"/>
  <c r="L444" i="234"/>
  <c r="M444" i="234"/>
  <c r="N444" i="234"/>
  <c r="O444" i="234"/>
  <c r="P444" i="234"/>
  <c r="M425" i="234"/>
  <c r="P425" i="234"/>
  <c r="M426" i="234"/>
  <c r="P426" i="234"/>
  <c r="M427" i="234"/>
  <c r="P427" i="234"/>
  <c r="M428" i="234"/>
  <c r="P428" i="234"/>
  <c r="M429" i="234"/>
  <c r="P429" i="234"/>
  <c r="M430" i="234"/>
  <c r="P430" i="234"/>
  <c r="M431" i="234"/>
  <c r="P431" i="234"/>
  <c r="M432" i="234"/>
  <c r="P432" i="234"/>
  <c r="M433" i="234"/>
  <c r="P433" i="234"/>
  <c r="M434" i="234"/>
  <c r="P434" i="234"/>
  <c r="M372" i="234"/>
  <c r="P372" i="234"/>
  <c r="M373" i="234"/>
  <c r="P373" i="234"/>
  <c r="M374" i="234"/>
  <c r="P374" i="234"/>
  <c r="M375" i="234"/>
  <c r="P375" i="234"/>
  <c r="M376" i="234"/>
  <c r="P376" i="234"/>
  <c r="M377" i="234"/>
  <c r="P377" i="234"/>
  <c r="M378" i="234"/>
  <c r="P378" i="234"/>
  <c r="M379" i="234"/>
  <c r="P379" i="234"/>
  <c r="M380" i="234"/>
  <c r="P380" i="234"/>
  <c r="M381" i="234"/>
  <c r="P381" i="234"/>
  <c r="M382" i="234"/>
  <c r="P382" i="234"/>
  <c r="M383" i="234"/>
  <c r="P383" i="234"/>
  <c r="M384" i="234"/>
  <c r="P384" i="234"/>
  <c r="M385" i="234"/>
  <c r="P385" i="234"/>
  <c r="M386" i="234"/>
  <c r="P386" i="234"/>
  <c r="M387" i="234"/>
  <c r="P387" i="234"/>
  <c r="M388" i="234"/>
  <c r="P388" i="234"/>
  <c r="M389" i="234"/>
  <c r="P389" i="234"/>
  <c r="M390" i="234"/>
  <c r="P390" i="234"/>
  <c r="M342" i="234"/>
  <c r="M339" i="234"/>
  <c r="M340" i="234"/>
  <c r="P340" i="234"/>
  <c r="P337" i="234"/>
  <c r="M337" i="234"/>
  <c r="M313" i="234"/>
  <c r="P313" i="234"/>
  <c r="M314" i="234"/>
  <c r="P314" i="234"/>
  <c r="M315" i="234"/>
  <c r="P315" i="234"/>
  <c r="M316" i="234"/>
  <c r="P316" i="234"/>
  <c r="L317" i="234"/>
  <c r="M317" i="234"/>
  <c r="N317" i="234"/>
  <c r="O317" i="234"/>
  <c r="P317" i="234"/>
  <c r="L318" i="234"/>
  <c r="M318" i="234"/>
  <c r="N318" i="234"/>
  <c r="O318" i="234"/>
  <c r="P318" i="234"/>
  <c r="L319" i="234"/>
  <c r="M319" i="234"/>
  <c r="N319" i="234"/>
  <c r="O319" i="234"/>
  <c r="P319" i="234"/>
  <c r="L320" i="234"/>
  <c r="M320" i="234"/>
  <c r="N320" i="234"/>
  <c r="O320" i="234"/>
  <c r="P320" i="234"/>
  <c r="L321" i="234"/>
  <c r="M321" i="234"/>
  <c r="N321" i="234"/>
  <c r="O321" i="234"/>
  <c r="P321" i="234"/>
  <c r="L322" i="234"/>
  <c r="M322" i="234"/>
  <c r="N322" i="234"/>
  <c r="O322" i="234"/>
  <c r="P322" i="234"/>
  <c r="L323" i="234"/>
  <c r="M323" i="234"/>
  <c r="N323" i="234"/>
  <c r="O323" i="234"/>
  <c r="P323" i="234"/>
  <c r="L324" i="234"/>
  <c r="M324" i="234"/>
  <c r="N324" i="234"/>
  <c r="O324" i="234"/>
  <c r="P324" i="234"/>
  <c r="L325" i="234"/>
  <c r="M325" i="234"/>
  <c r="N325" i="234"/>
  <c r="O325" i="234"/>
  <c r="P325" i="234"/>
  <c r="L326" i="234"/>
  <c r="M326" i="234"/>
  <c r="N326" i="234"/>
  <c r="O326" i="234"/>
  <c r="P326" i="234"/>
  <c r="L327" i="234"/>
  <c r="M327" i="234"/>
  <c r="N327" i="234"/>
  <c r="O327" i="234"/>
  <c r="P327" i="234"/>
  <c r="L328" i="234"/>
  <c r="M328" i="234"/>
  <c r="N328" i="234"/>
  <c r="O328" i="234"/>
  <c r="P328" i="234"/>
  <c r="L329" i="234"/>
  <c r="M329" i="234"/>
  <c r="N329" i="234"/>
  <c r="O329" i="234"/>
  <c r="P329" i="234"/>
  <c r="L330" i="234"/>
  <c r="M330" i="234"/>
  <c r="N330" i="234"/>
  <c r="O330" i="234"/>
  <c r="P330" i="234"/>
  <c r="L331" i="234"/>
  <c r="M331" i="234"/>
  <c r="N331" i="234"/>
  <c r="O331" i="234"/>
  <c r="P331" i="234"/>
  <c r="M332" i="234"/>
  <c r="P332" i="234"/>
  <c r="M333" i="234"/>
  <c r="P333" i="234"/>
  <c r="M334" i="234"/>
  <c r="P334" i="234"/>
  <c r="M335" i="234"/>
  <c r="P335" i="234"/>
  <c r="M336" i="234"/>
  <c r="P336" i="234"/>
  <c r="M287" i="234"/>
  <c r="P287" i="234"/>
  <c r="M288" i="234"/>
  <c r="P288" i="234"/>
  <c r="M289" i="234"/>
  <c r="P289" i="234"/>
  <c r="M290" i="234"/>
  <c r="P290" i="234"/>
  <c r="M291" i="234"/>
  <c r="P291" i="234"/>
  <c r="M292" i="234"/>
  <c r="P292" i="234"/>
  <c r="M293" i="234"/>
  <c r="P293" i="234"/>
  <c r="M294" i="234"/>
  <c r="P294" i="234"/>
  <c r="M295" i="234"/>
  <c r="P295" i="234"/>
  <c r="M296" i="234"/>
  <c r="P296" i="234"/>
  <c r="M297" i="234"/>
  <c r="P297" i="234"/>
  <c r="M298" i="234"/>
  <c r="P298" i="234"/>
  <c r="M299" i="234"/>
  <c r="P299" i="234"/>
  <c r="M300" i="234"/>
  <c r="P300" i="234"/>
  <c r="M301" i="234"/>
  <c r="P301" i="234"/>
  <c r="M302" i="234"/>
  <c r="P302" i="234"/>
  <c r="M303" i="234"/>
  <c r="P303" i="234"/>
  <c r="M304" i="234"/>
  <c r="P304" i="234"/>
  <c r="M305" i="234"/>
  <c r="P305" i="234"/>
  <c r="M306" i="234"/>
  <c r="P306" i="234"/>
  <c r="M307" i="234"/>
  <c r="P307" i="234"/>
  <c r="M308" i="234"/>
  <c r="P308" i="234"/>
  <c r="M309" i="234"/>
  <c r="P309" i="234"/>
  <c r="M310" i="234"/>
  <c r="P310" i="234"/>
  <c r="M311" i="234"/>
  <c r="P311" i="234"/>
  <c r="M278" i="234"/>
  <c r="P278" i="234"/>
  <c r="M279" i="234"/>
  <c r="P279" i="234"/>
  <c r="M280" i="234"/>
  <c r="P280" i="234"/>
  <c r="M281" i="234"/>
  <c r="P281" i="234"/>
  <c r="M282" i="234"/>
  <c r="P282" i="234"/>
  <c r="M283" i="234"/>
  <c r="P283" i="234"/>
  <c r="M284" i="234"/>
  <c r="P284" i="234"/>
  <c r="M145" i="234"/>
  <c r="N145" i="234"/>
  <c r="O145" i="234"/>
  <c r="P145" i="234"/>
  <c r="L146" i="234"/>
  <c r="M146" i="234"/>
  <c r="N146" i="234"/>
  <c r="O146" i="234"/>
  <c r="P146" i="234"/>
  <c r="L158" i="234"/>
  <c r="M158" i="234"/>
  <c r="N158" i="234"/>
  <c r="O158" i="234"/>
  <c r="P158" i="234"/>
  <c r="L161" i="234"/>
  <c r="M161" i="234"/>
  <c r="N161" i="234"/>
  <c r="O161" i="234"/>
  <c r="P161" i="234"/>
  <c r="L162" i="234"/>
  <c r="M162" i="234"/>
  <c r="N162" i="234"/>
  <c r="O162" i="234"/>
  <c r="P162" i="234"/>
  <c r="L163" i="234"/>
  <c r="M163" i="234"/>
  <c r="N163" i="234"/>
  <c r="O163" i="234"/>
  <c r="P163" i="234"/>
  <c r="L164" i="234"/>
  <c r="M164" i="234"/>
  <c r="N164" i="234"/>
  <c r="O164" i="234"/>
  <c r="P164" i="234"/>
  <c r="L165" i="234"/>
  <c r="M165" i="234"/>
  <c r="N165" i="234"/>
  <c r="O165" i="234"/>
  <c r="P165" i="234"/>
  <c r="M269" i="234"/>
  <c r="P269" i="234"/>
  <c r="M270" i="234"/>
  <c r="P270" i="234"/>
  <c r="M271" i="234"/>
  <c r="P271" i="234"/>
  <c r="M272" i="234"/>
  <c r="P272" i="234"/>
  <c r="M273" i="234"/>
  <c r="P273" i="234"/>
  <c r="M274" i="234"/>
  <c r="P274" i="234"/>
  <c r="M251" i="234"/>
  <c r="P251" i="234"/>
  <c r="M252" i="234"/>
  <c r="P252" i="234"/>
  <c r="M253" i="234"/>
  <c r="P253" i="234"/>
  <c r="M254" i="234"/>
  <c r="P254" i="234"/>
  <c r="M255" i="234"/>
  <c r="P255" i="234"/>
  <c r="M256" i="234"/>
  <c r="P256" i="234"/>
  <c r="M257" i="234"/>
  <c r="P257" i="234"/>
  <c r="M258" i="234"/>
  <c r="P258" i="234"/>
  <c r="M259" i="234"/>
  <c r="P259" i="234"/>
  <c r="M260" i="234"/>
  <c r="P260" i="234"/>
  <c r="M261" i="234"/>
  <c r="P261" i="234"/>
  <c r="M262" i="234"/>
  <c r="P262" i="234"/>
  <c r="M263" i="234"/>
  <c r="P263" i="234"/>
  <c r="M264" i="234"/>
  <c r="P264" i="234"/>
  <c r="M265" i="234"/>
  <c r="P265" i="234"/>
  <c r="M201" i="234"/>
  <c r="P201" i="234"/>
  <c r="M202" i="234"/>
  <c r="P202" i="234"/>
  <c r="M203" i="234"/>
  <c r="P203" i="234"/>
  <c r="M204" i="234"/>
  <c r="P204" i="234"/>
  <c r="M205" i="234"/>
  <c r="P205" i="234"/>
  <c r="M206" i="234"/>
  <c r="P206" i="234"/>
  <c r="M207" i="234"/>
  <c r="P207" i="234"/>
  <c r="M208" i="234"/>
  <c r="P208" i="234"/>
  <c r="L209" i="234"/>
  <c r="M209" i="234"/>
  <c r="P209" i="234"/>
  <c r="M210" i="234"/>
  <c r="P210" i="234"/>
  <c r="M211" i="234"/>
  <c r="P211" i="234"/>
  <c r="L213" i="234"/>
  <c r="M213" i="234"/>
  <c r="P213" i="234"/>
  <c r="L214" i="234"/>
  <c r="M214" i="234"/>
  <c r="P214" i="234"/>
  <c r="L215" i="234"/>
  <c r="M215" i="234"/>
  <c r="P215" i="234"/>
  <c r="L216" i="234"/>
  <c r="M216" i="234"/>
  <c r="P216" i="234"/>
  <c r="L217" i="234"/>
  <c r="M217" i="234"/>
  <c r="P217" i="234"/>
  <c r="L218" i="234"/>
  <c r="M218" i="234"/>
  <c r="P218" i="234"/>
  <c r="I510" i="234"/>
  <c r="J510" i="234"/>
  <c r="J509" i="234"/>
  <c r="I509" i="234"/>
  <c r="I484" i="234"/>
  <c r="J484" i="234"/>
  <c r="I485" i="234"/>
  <c r="J485" i="234"/>
  <c r="I486" i="234"/>
  <c r="J486" i="234"/>
  <c r="I487" i="234"/>
  <c r="J487" i="234"/>
  <c r="I488" i="234"/>
  <c r="J488" i="234"/>
  <c r="I489" i="234"/>
  <c r="J489" i="234"/>
  <c r="I492" i="234"/>
  <c r="J492" i="234"/>
  <c r="I493" i="234"/>
  <c r="J493" i="234"/>
  <c r="I494" i="234"/>
  <c r="J494" i="234"/>
  <c r="I495" i="234"/>
  <c r="J495" i="234"/>
  <c r="I497" i="234"/>
  <c r="J497" i="234"/>
  <c r="I498" i="234"/>
  <c r="J498" i="234"/>
  <c r="I500" i="234"/>
  <c r="J500" i="234"/>
  <c r="I501" i="234"/>
  <c r="J501" i="234"/>
  <c r="I502" i="234"/>
  <c r="J502" i="234"/>
  <c r="I503" i="234"/>
  <c r="J503" i="234"/>
  <c r="I504" i="234"/>
  <c r="J504" i="234"/>
  <c r="I505" i="234"/>
  <c r="J505" i="234"/>
  <c r="I506" i="234"/>
  <c r="J506" i="234"/>
  <c r="J483" i="234"/>
  <c r="I483" i="234"/>
  <c r="I458" i="234"/>
  <c r="J458" i="234"/>
  <c r="I459" i="234"/>
  <c r="J459" i="234"/>
  <c r="I460" i="234"/>
  <c r="J460" i="234"/>
  <c r="I461" i="234"/>
  <c r="J461" i="234"/>
  <c r="I462" i="234"/>
  <c r="J462" i="234"/>
  <c r="I463" i="234"/>
  <c r="J463" i="234"/>
  <c r="I464" i="234"/>
  <c r="J464" i="234"/>
  <c r="I465" i="234"/>
  <c r="J465" i="234"/>
  <c r="I466" i="234"/>
  <c r="J466" i="234"/>
  <c r="I467" i="234"/>
  <c r="J467" i="234"/>
  <c r="I468" i="234"/>
  <c r="J468" i="234"/>
  <c r="I469" i="234"/>
  <c r="J469" i="234"/>
  <c r="I470" i="234"/>
  <c r="J470" i="234"/>
  <c r="I471" i="234"/>
  <c r="J471" i="234"/>
  <c r="I472" i="234"/>
  <c r="J472" i="234"/>
  <c r="I474" i="234"/>
  <c r="J474" i="234"/>
  <c r="I475" i="234"/>
  <c r="J475" i="234"/>
  <c r="I476" i="234"/>
  <c r="J476" i="234"/>
  <c r="I477" i="234"/>
  <c r="J477" i="234"/>
  <c r="I478" i="234"/>
  <c r="J478" i="234"/>
  <c r="I479" i="234"/>
  <c r="J479" i="234"/>
  <c r="I480" i="234"/>
  <c r="J480" i="234"/>
  <c r="J457" i="234"/>
  <c r="I457" i="234"/>
  <c r="I449" i="234"/>
  <c r="J449" i="234"/>
  <c r="I450" i="234"/>
  <c r="J450" i="234"/>
  <c r="I451" i="234"/>
  <c r="J451" i="234"/>
  <c r="I452" i="234"/>
  <c r="J452" i="234"/>
  <c r="I453" i="234"/>
  <c r="J453" i="234"/>
  <c r="I454" i="234"/>
  <c r="J454" i="234"/>
  <c r="I440" i="234"/>
  <c r="J440" i="234"/>
  <c r="I441" i="234"/>
  <c r="J441" i="234"/>
  <c r="I442" i="234"/>
  <c r="J442" i="234"/>
  <c r="I443" i="234"/>
  <c r="J443" i="234"/>
  <c r="I444" i="234"/>
  <c r="J444" i="234"/>
  <c r="I423" i="234"/>
  <c r="J423" i="234"/>
  <c r="I425" i="234"/>
  <c r="J425" i="234"/>
  <c r="I426" i="234"/>
  <c r="J426" i="234"/>
  <c r="I427" i="234"/>
  <c r="J427" i="234"/>
  <c r="I428" i="234"/>
  <c r="J428" i="234"/>
  <c r="I429" i="234"/>
  <c r="J429" i="234"/>
  <c r="I430" i="234"/>
  <c r="J430" i="234"/>
  <c r="I431" i="234"/>
  <c r="J431" i="234"/>
  <c r="I432" i="234"/>
  <c r="J432" i="234"/>
  <c r="I433" i="234"/>
  <c r="J433" i="234"/>
  <c r="I434" i="234"/>
  <c r="J434" i="234"/>
  <c r="I359" i="234"/>
  <c r="J359" i="234"/>
  <c r="I360" i="234"/>
  <c r="J360" i="234"/>
  <c r="I361" i="234"/>
  <c r="J361" i="234"/>
  <c r="I362" i="234"/>
  <c r="J362" i="234"/>
  <c r="I363" i="234"/>
  <c r="J363" i="234"/>
  <c r="I364" i="234"/>
  <c r="J364" i="234"/>
  <c r="I365" i="234"/>
  <c r="J365" i="234"/>
  <c r="I366" i="234"/>
  <c r="J366" i="234"/>
  <c r="I367" i="234"/>
  <c r="J367" i="234"/>
  <c r="I368" i="234"/>
  <c r="J368" i="234"/>
  <c r="I369" i="234"/>
  <c r="J369" i="234"/>
  <c r="I416" i="234"/>
  <c r="J416" i="234"/>
  <c r="I417" i="234"/>
  <c r="J417" i="234"/>
  <c r="I418" i="234"/>
  <c r="J418" i="234"/>
  <c r="I373" i="234"/>
  <c r="J373" i="234"/>
  <c r="I374" i="234"/>
  <c r="J374" i="234"/>
  <c r="I375" i="234"/>
  <c r="J375" i="234"/>
  <c r="I376" i="234"/>
  <c r="J376" i="234"/>
  <c r="I377" i="234"/>
  <c r="J377" i="234"/>
  <c r="I378" i="234"/>
  <c r="J378" i="234"/>
  <c r="I379" i="234"/>
  <c r="J379" i="234"/>
  <c r="I380" i="234"/>
  <c r="J380" i="234"/>
  <c r="I382" i="234"/>
  <c r="J382" i="234"/>
  <c r="I384" i="234"/>
  <c r="J384" i="234"/>
  <c r="I385" i="234"/>
  <c r="J385" i="234"/>
  <c r="I386" i="234"/>
  <c r="J386" i="234"/>
  <c r="I387" i="234"/>
  <c r="J387" i="234"/>
  <c r="I388" i="234"/>
  <c r="J388" i="234"/>
  <c r="I389" i="234"/>
  <c r="J389" i="234"/>
  <c r="J372" i="234"/>
  <c r="I372" i="234"/>
  <c r="J245" i="234"/>
  <c r="J246" i="234"/>
  <c r="J247" i="234"/>
  <c r="J248" i="234"/>
  <c r="I245" i="234"/>
  <c r="I246" i="234"/>
  <c r="I247" i="234"/>
  <c r="I248" i="234"/>
  <c r="K314" i="234"/>
  <c r="K315" i="234"/>
  <c r="K316" i="234"/>
  <c r="K317" i="234"/>
  <c r="K318" i="234"/>
  <c r="K319" i="234"/>
  <c r="K322" i="234"/>
  <c r="K323" i="234"/>
  <c r="K324" i="234"/>
  <c r="K325" i="234"/>
  <c r="K327" i="234"/>
  <c r="K328" i="234"/>
  <c r="K329" i="234"/>
  <c r="K330" i="234"/>
  <c r="K331" i="234"/>
  <c r="K332" i="234"/>
  <c r="K333" i="234"/>
  <c r="K334" i="234"/>
  <c r="K335" i="234"/>
  <c r="K336" i="234"/>
  <c r="J314" i="234"/>
  <c r="J315" i="234"/>
  <c r="J316" i="234"/>
  <c r="J317" i="234"/>
  <c r="J318" i="234"/>
  <c r="J319" i="234"/>
  <c r="J322" i="234"/>
  <c r="J323" i="234"/>
  <c r="J324" i="234"/>
  <c r="J325" i="234"/>
  <c r="J327" i="234"/>
  <c r="J328" i="234"/>
  <c r="J329" i="234"/>
  <c r="J330" i="234"/>
  <c r="J331" i="234"/>
  <c r="J332" i="234"/>
  <c r="J333" i="234"/>
  <c r="J334" i="234"/>
  <c r="J335" i="234"/>
  <c r="J336" i="234"/>
  <c r="I336" i="234"/>
  <c r="I314" i="234"/>
  <c r="I315" i="234"/>
  <c r="I316" i="234"/>
  <c r="I317" i="234"/>
  <c r="I318" i="234"/>
  <c r="I319" i="234"/>
  <c r="I322" i="234"/>
  <c r="I323" i="234"/>
  <c r="I324" i="234"/>
  <c r="I325" i="234"/>
  <c r="I327" i="234"/>
  <c r="I328" i="234"/>
  <c r="I329" i="234"/>
  <c r="I330" i="234"/>
  <c r="I331" i="234"/>
  <c r="I332" i="234"/>
  <c r="I333" i="234"/>
  <c r="I334" i="234"/>
  <c r="I335" i="234"/>
  <c r="E405" i="239" l="1"/>
  <c r="F405" i="239"/>
  <c r="G405" i="239"/>
  <c r="H405" i="239"/>
  <c r="I405" i="239"/>
  <c r="J405" i="239"/>
  <c r="K405" i="239"/>
  <c r="L405" i="239"/>
  <c r="M405" i="239"/>
  <c r="N405" i="239"/>
  <c r="O405" i="239"/>
  <c r="P405" i="239"/>
  <c r="E401" i="239"/>
  <c r="F401" i="239"/>
  <c r="G401" i="239"/>
  <c r="H401" i="239"/>
  <c r="I401" i="239"/>
  <c r="J401" i="239"/>
  <c r="K401" i="239"/>
  <c r="L401" i="239"/>
  <c r="M401" i="239"/>
  <c r="N401" i="239"/>
  <c r="O401" i="239"/>
  <c r="P401" i="239"/>
  <c r="F366" i="239"/>
  <c r="G366" i="239"/>
  <c r="H366" i="239"/>
  <c r="I366" i="239"/>
  <c r="J366" i="239"/>
  <c r="K366" i="239"/>
  <c r="L366" i="239"/>
  <c r="M366" i="239"/>
  <c r="N366" i="239"/>
  <c r="O366" i="239"/>
  <c r="P366" i="239"/>
  <c r="E366" i="239"/>
  <c r="E366" i="240" l="1"/>
  <c r="F366" i="240"/>
  <c r="G366" i="240"/>
  <c r="H366" i="240"/>
  <c r="I366" i="240"/>
  <c r="J366" i="240"/>
  <c r="K366" i="240"/>
  <c r="L366" i="240"/>
  <c r="M366" i="240"/>
  <c r="N366" i="240"/>
  <c r="O366" i="240"/>
  <c r="P366" i="240"/>
  <c r="Q320" i="240"/>
  <c r="O314" i="234" s="1"/>
  <c r="E405" i="240"/>
  <c r="F405" i="240"/>
  <c r="G405" i="240"/>
  <c r="H405" i="240"/>
  <c r="I405" i="240"/>
  <c r="J405" i="240"/>
  <c r="K405" i="240"/>
  <c r="L405" i="240"/>
  <c r="M405" i="240"/>
  <c r="N405" i="240"/>
  <c r="O405" i="240"/>
  <c r="P405" i="240"/>
  <c r="E401" i="240"/>
  <c r="F401" i="240"/>
  <c r="G401" i="240"/>
  <c r="H401" i="240"/>
  <c r="I401" i="240"/>
  <c r="J401" i="240"/>
  <c r="K401" i="240"/>
  <c r="L401" i="240"/>
  <c r="M401" i="240"/>
  <c r="N401" i="240"/>
  <c r="O401" i="240"/>
  <c r="P401" i="240"/>
  <c r="E456" i="240"/>
  <c r="F456" i="240"/>
  <c r="G456" i="240"/>
  <c r="H456" i="240"/>
  <c r="I456" i="240"/>
  <c r="J456" i="240"/>
  <c r="K456" i="240"/>
  <c r="L456" i="240"/>
  <c r="M456" i="240"/>
  <c r="N456" i="240"/>
  <c r="O456" i="240"/>
  <c r="P456" i="240"/>
  <c r="E492" i="241"/>
  <c r="F492" i="241"/>
  <c r="G492" i="241"/>
  <c r="H492" i="241"/>
  <c r="I492" i="241"/>
  <c r="J492" i="241"/>
  <c r="K492" i="241"/>
  <c r="L492" i="241"/>
  <c r="M492" i="241"/>
  <c r="N492" i="241"/>
  <c r="O492" i="241"/>
  <c r="P492" i="241"/>
  <c r="E493" i="241"/>
  <c r="E144" i="241" s="1"/>
  <c r="F493" i="241"/>
  <c r="F144" i="241" s="1"/>
  <c r="G493" i="241"/>
  <c r="G144" i="241" s="1"/>
  <c r="H493" i="241"/>
  <c r="H144" i="241" s="1"/>
  <c r="I493" i="241"/>
  <c r="I144" i="241" s="1"/>
  <c r="J493" i="241"/>
  <c r="J144" i="241" s="1"/>
  <c r="K493" i="241"/>
  <c r="K144" i="241" s="1"/>
  <c r="L493" i="241"/>
  <c r="L144" i="241" s="1"/>
  <c r="M493" i="241"/>
  <c r="M144" i="241" s="1"/>
  <c r="N493" i="241"/>
  <c r="N144" i="241" s="1"/>
  <c r="O493" i="241"/>
  <c r="O144" i="241" s="1"/>
  <c r="P493" i="241"/>
  <c r="P144" i="241" s="1"/>
  <c r="F405" i="241"/>
  <c r="G405" i="241"/>
  <c r="H405" i="241"/>
  <c r="I405" i="241"/>
  <c r="J405" i="241"/>
  <c r="K405" i="241"/>
  <c r="L405" i="241"/>
  <c r="M405" i="241"/>
  <c r="N405" i="241"/>
  <c r="O405" i="241"/>
  <c r="P405" i="241"/>
  <c r="E405" i="241"/>
  <c r="F401" i="241"/>
  <c r="G401" i="241"/>
  <c r="H401" i="241"/>
  <c r="I401" i="241"/>
  <c r="J401" i="241"/>
  <c r="K401" i="241"/>
  <c r="L401" i="241"/>
  <c r="M401" i="241"/>
  <c r="N401" i="241"/>
  <c r="O401" i="241"/>
  <c r="P401" i="241"/>
  <c r="E401" i="241"/>
  <c r="F366" i="241"/>
  <c r="G366" i="241"/>
  <c r="H366" i="241"/>
  <c r="I366" i="241"/>
  <c r="J366" i="241"/>
  <c r="K366" i="241"/>
  <c r="L366" i="241"/>
  <c r="M366" i="241"/>
  <c r="N366" i="241"/>
  <c r="O366" i="241"/>
  <c r="P366" i="241"/>
  <c r="E366" i="241"/>
  <c r="L212" i="234"/>
  <c r="P187" i="240"/>
  <c r="O187" i="240"/>
  <c r="N187" i="240"/>
  <c r="M187" i="240"/>
  <c r="L187" i="240"/>
  <c r="K187" i="240"/>
  <c r="J187" i="240"/>
  <c r="I187" i="240"/>
  <c r="H187" i="240"/>
  <c r="G187" i="240"/>
  <c r="F187" i="240"/>
  <c r="P522" i="240"/>
  <c r="O522" i="240"/>
  <c r="N522" i="240"/>
  <c r="M522" i="240"/>
  <c r="L522" i="240"/>
  <c r="K522" i="240"/>
  <c r="J522" i="240"/>
  <c r="I522" i="240"/>
  <c r="H522" i="240"/>
  <c r="G522" i="240"/>
  <c r="F522" i="240"/>
  <c r="E522" i="240"/>
  <c r="P479" i="240"/>
  <c r="O479" i="240"/>
  <c r="N479" i="240"/>
  <c r="M479" i="240"/>
  <c r="L479" i="240"/>
  <c r="K479" i="240"/>
  <c r="J479" i="240"/>
  <c r="I479" i="240"/>
  <c r="H479" i="240"/>
  <c r="G479" i="240"/>
  <c r="F479" i="240"/>
  <c r="E479" i="240"/>
  <c r="P478" i="240"/>
  <c r="O478" i="240"/>
  <c r="N478" i="240"/>
  <c r="M478" i="240"/>
  <c r="L478" i="240"/>
  <c r="K478" i="240"/>
  <c r="J478" i="240"/>
  <c r="I478" i="240"/>
  <c r="H478" i="240"/>
  <c r="G478" i="240"/>
  <c r="F478" i="240"/>
  <c r="E478" i="240"/>
  <c r="P476" i="240"/>
  <c r="O476" i="240"/>
  <c r="N476" i="240"/>
  <c r="M476" i="240"/>
  <c r="L476" i="240"/>
  <c r="K476" i="240"/>
  <c r="J476" i="240"/>
  <c r="I476" i="240"/>
  <c r="H476" i="240"/>
  <c r="G476" i="240"/>
  <c r="F476" i="240"/>
  <c r="E476" i="240"/>
  <c r="P475" i="240"/>
  <c r="O475" i="240"/>
  <c r="N475" i="240"/>
  <c r="M475" i="240"/>
  <c r="L475" i="240"/>
  <c r="K475" i="240"/>
  <c r="J475" i="240"/>
  <c r="I475" i="240"/>
  <c r="H475" i="240"/>
  <c r="G475" i="240"/>
  <c r="F475" i="240"/>
  <c r="E475" i="240"/>
  <c r="P474" i="240"/>
  <c r="O474" i="240"/>
  <c r="N474" i="240"/>
  <c r="M474" i="240"/>
  <c r="L474" i="240"/>
  <c r="K474" i="240"/>
  <c r="J474" i="240"/>
  <c r="I474" i="240"/>
  <c r="H474" i="240"/>
  <c r="G474" i="240"/>
  <c r="F474" i="240"/>
  <c r="E474" i="240"/>
  <c r="P473" i="240"/>
  <c r="O473" i="240"/>
  <c r="N473" i="240"/>
  <c r="M473" i="240"/>
  <c r="L473" i="240"/>
  <c r="K473" i="240"/>
  <c r="J473" i="240"/>
  <c r="I473" i="240"/>
  <c r="H473" i="240"/>
  <c r="G473" i="240"/>
  <c r="F473" i="240"/>
  <c r="E473" i="240"/>
  <c r="P472" i="240"/>
  <c r="O472" i="240"/>
  <c r="N472" i="240"/>
  <c r="M472" i="240"/>
  <c r="L472" i="240"/>
  <c r="K472" i="240"/>
  <c r="J472" i="240"/>
  <c r="I472" i="240"/>
  <c r="H472" i="240"/>
  <c r="G472" i="240"/>
  <c r="F472" i="240"/>
  <c r="E472" i="240"/>
  <c r="P471" i="240"/>
  <c r="O471" i="240"/>
  <c r="N471" i="240"/>
  <c r="M471" i="240"/>
  <c r="L471" i="240"/>
  <c r="K471" i="240"/>
  <c r="J471" i="240"/>
  <c r="I471" i="240"/>
  <c r="H471" i="240"/>
  <c r="G471" i="240"/>
  <c r="F471" i="240"/>
  <c r="E471" i="240"/>
  <c r="P470" i="240"/>
  <c r="O470" i="240"/>
  <c r="N470" i="240"/>
  <c r="M470" i="240"/>
  <c r="L470" i="240"/>
  <c r="K470" i="240"/>
  <c r="J470" i="240"/>
  <c r="I470" i="240"/>
  <c r="H470" i="240"/>
  <c r="G470" i="240"/>
  <c r="F470" i="240"/>
  <c r="E470" i="240"/>
  <c r="P469" i="240"/>
  <c r="O469" i="240"/>
  <c r="N469" i="240"/>
  <c r="M469" i="240"/>
  <c r="L469" i="240"/>
  <c r="K469" i="240"/>
  <c r="J469" i="240"/>
  <c r="I469" i="240"/>
  <c r="H469" i="240"/>
  <c r="G469" i="240"/>
  <c r="F469" i="240"/>
  <c r="E469" i="240"/>
  <c r="P468" i="240"/>
  <c r="O468" i="240"/>
  <c r="N468" i="240"/>
  <c r="M468" i="240"/>
  <c r="L468" i="240"/>
  <c r="K468" i="240"/>
  <c r="J468" i="240"/>
  <c r="I468" i="240"/>
  <c r="H468" i="240"/>
  <c r="G468" i="240"/>
  <c r="F468" i="240"/>
  <c r="E468" i="240"/>
  <c r="P466" i="240"/>
  <c r="O466" i="240"/>
  <c r="N466" i="240"/>
  <c r="M466" i="240"/>
  <c r="L466" i="240"/>
  <c r="K466" i="240"/>
  <c r="J466" i="240"/>
  <c r="I466" i="240"/>
  <c r="H466" i="240"/>
  <c r="G466" i="240"/>
  <c r="F466" i="240"/>
  <c r="E466" i="240"/>
  <c r="P448" i="240"/>
  <c r="O448" i="240"/>
  <c r="N448" i="240"/>
  <c r="M448" i="240"/>
  <c r="L448" i="240"/>
  <c r="K448" i="240"/>
  <c r="J448" i="240"/>
  <c r="I448" i="240"/>
  <c r="H448" i="240"/>
  <c r="G448" i="240"/>
  <c r="F448" i="240"/>
  <c r="E448" i="240"/>
  <c r="P447" i="240"/>
  <c r="O447" i="240"/>
  <c r="N447" i="240"/>
  <c r="M447" i="240"/>
  <c r="L447" i="240"/>
  <c r="K447" i="240"/>
  <c r="J447" i="240"/>
  <c r="I447" i="240"/>
  <c r="H447" i="240"/>
  <c r="G447" i="240"/>
  <c r="F447" i="240"/>
  <c r="E447" i="240"/>
  <c r="P433" i="240"/>
  <c r="O433" i="240"/>
  <c r="N433" i="240"/>
  <c r="M433" i="240"/>
  <c r="L433" i="240"/>
  <c r="K433" i="240"/>
  <c r="J433" i="240"/>
  <c r="I433" i="240"/>
  <c r="H433" i="240"/>
  <c r="G433" i="240"/>
  <c r="F433" i="240"/>
  <c r="E433" i="240"/>
  <c r="P432" i="240"/>
  <c r="O432" i="240"/>
  <c r="N432" i="240"/>
  <c r="M432" i="240"/>
  <c r="L432" i="240"/>
  <c r="K432" i="240"/>
  <c r="J432" i="240"/>
  <c r="I432" i="240"/>
  <c r="H432" i="240"/>
  <c r="G432" i="240"/>
  <c r="F432" i="240"/>
  <c r="E432" i="240"/>
  <c r="P431" i="240"/>
  <c r="O431" i="240"/>
  <c r="N431" i="240"/>
  <c r="M431" i="240"/>
  <c r="L431" i="240"/>
  <c r="K431" i="240"/>
  <c r="J431" i="240"/>
  <c r="I431" i="240"/>
  <c r="H431" i="240"/>
  <c r="G431" i="240"/>
  <c r="F431" i="240"/>
  <c r="E431" i="240"/>
  <c r="P430" i="240"/>
  <c r="O430" i="240"/>
  <c r="N430" i="240"/>
  <c r="M430" i="240"/>
  <c r="L430" i="240"/>
  <c r="K430" i="240"/>
  <c r="J430" i="240"/>
  <c r="I430" i="240"/>
  <c r="H430" i="240"/>
  <c r="G430" i="240"/>
  <c r="F430" i="240"/>
  <c r="E430" i="240"/>
  <c r="P417" i="240"/>
  <c r="O417" i="240"/>
  <c r="N417" i="240"/>
  <c r="M417" i="240"/>
  <c r="L417" i="240"/>
  <c r="K417" i="240"/>
  <c r="J417" i="240"/>
  <c r="I417" i="240"/>
  <c r="H417" i="240"/>
  <c r="G417" i="240"/>
  <c r="F417" i="240"/>
  <c r="E417" i="240"/>
  <c r="P416" i="240"/>
  <c r="O416" i="240"/>
  <c r="N416" i="240"/>
  <c r="M416" i="240"/>
  <c r="L416" i="240"/>
  <c r="K416" i="240"/>
  <c r="J416" i="240"/>
  <c r="I416" i="240"/>
  <c r="H416" i="240"/>
  <c r="G416" i="240"/>
  <c r="F416" i="240"/>
  <c r="E416" i="240"/>
  <c r="P414" i="240"/>
  <c r="O414" i="240"/>
  <c r="N414" i="240"/>
  <c r="M414" i="240"/>
  <c r="L414" i="240"/>
  <c r="K414" i="240"/>
  <c r="J414" i="240"/>
  <c r="I414" i="240"/>
  <c r="H414" i="240"/>
  <c r="G414" i="240"/>
  <c r="F414" i="240"/>
  <c r="E414" i="240"/>
  <c r="P412" i="240"/>
  <c r="O412" i="240"/>
  <c r="N412" i="240"/>
  <c r="M412" i="240"/>
  <c r="L412" i="240"/>
  <c r="K412" i="240"/>
  <c r="J412" i="240"/>
  <c r="I412" i="240"/>
  <c r="H412" i="240"/>
  <c r="G412" i="240"/>
  <c r="F412" i="240"/>
  <c r="E412" i="240"/>
  <c r="P411" i="240"/>
  <c r="O411" i="240"/>
  <c r="N411" i="240"/>
  <c r="M411" i="240"/>
  <c r="L411" i="240"/>
  <c r="K411" i="240"/>
  <c r="J411" i="240"/>
  <c r="I411" i="240"/>
  <c r="H411" i="240"/>
  <c r="G411" i="240"/>
  <c r="F411" i="240"/>
  <c r="E411" i="240"/>
  <c r="P410" i="240"/>
  <c r="O410" i="240"/>
  <c r="N410" i="240"/>
  <c r="M410" i="240"/>
  <c r="L410" i="240"/>
  <c r="K410" i="240"/>
  <c r="J410" i="240"/>
  <c r="I410" i="240"/>
  <c r="H410" i="240"/>
  <c r="G410" i="240"/>
  <c r="F410" i="240"/>
  <c r="E410" i="240"/>
  <c r="P409" i="240"/>
  <c r="O409" i="240"/>
  <c r="N409" i="240"/>
  <c r="M409" i="240"/>
  <c r="L409" i="240"/>
  <c r="K409" i="240"/>
  <c r="J409" i="240"/>
  <c r="I409" i="240"/>
  <c r="H409" i="240"/>
  <c r="G409" i="240"/>
  <c r="F409" i="240"/>
  <c r="E409" i="240"/>
  <c r="P408" i="240"/>
  <c r="O408" i="240"/>
  <c r="N408" i="240"/>
  <c r="M408" i="240"/>
  <c r="L408" i="240"/>
  <c r="K408" i="240"/>
  <c r="J408" i="240"/>
  <c r="I408" i="240"/>
  <c r="H408" i="240"/>
  <c r="G408" i="240"/>
  <c r="F408" i="240"/>
  <c r="E408" i="240"/>
  <c r="P407" i="240"/>
  <c r="O407" i="240"/>
  <c r="N407" i="240"/>
  <c r="M407" i="240"/>
  <c r="L407" i="240"/>
  <c r="K407" i="240"/>
  <c r="J407" i="240"/>
  <c r="I407" i="240"/>
  <c r="H407" i="240"/>
  <c r="G407" i="240"/>
  <c r="F407" i="240"/>
  <c r="E407" i="240"/>
  <c r="P406" i="240"/>
  <c r="O406" i="240"/>
  <c r="N406" i="240"/>
  <c r="M406" i="240"/>
  <c r="L406" i="240"/>
  <c r="K406" i="240"/>
  <c r="J406" i="240"/>
  <c r="I406" i="240"/>
  <c r="H406" i="240"/>
  <c r="G406" i="240"/>
  <c r="F406" i="240"/>
  <c r="E406" i="240"/>
  <c r="P404" i="240"/>
  <c r="O404" i="240"/>
  <c r="N404" i="240"/>
  <c r="M404" i="240"/>
  <c r="L404" i="240"/>
  <c r="K404" i="240"/>
  <c r="J404" i="240"/>
  <c r="I404" i="240"/>
  <c r="H404" i="240"/>
  <c r="G404" i="240"/>
  <c r="F404" i="240"/>
  <c r="E404" i="240"/>
  <c r="P403" i="240"/>
  <c r="O403" i="240"/>
  <c r="N403" i="240"/>
  <c r="M403" i="240"/>
  <c r="L403" i="240"/>
  <c r="K403" i="240"/>
  <c r="J403" i="240"/>
  <c r="I403" i="240"/>
  <c r="H403" i="240"/>
  <c r="G403" i="240"/>
  <c r="F403" i="240"/>
  <c r="E403" i="240"/>
  <c r="P402" i="240"/>
  <c r="O402" i="240"/>
  <c r="N402" i="240"/>
  <c r="M402" i="240"/>
  <c r="L402" i="240"/>
  <c r="K402" i="240"/>
  <c r="J402" i="240"/>
  <c r="I402" i="240"/>
  <c r="H402" i="240"/>
  <c r="G402" i="240"/>
  <c r="F402" i="240"/>
  <c r="E402" i="240"/>
  <c r="P365" i="240"/>
  <c r="O365" i="240"/>
  <c r="N365" i="240"/>
  <c r="M365" i="240"/>
  <c r="L365" i="240"/>
  <c r="K365" i="240"/>
  <c r="J365" i="240"/>
  <c r="I365" i="240"/>
  <c r="H365" i="240"/>
  <c r="G365" i="240"/>
  <c r="F365" i="240"/>
  <c r="E365" i="240"/>
  <c r="P364" i="240"/>
  <c r="O364" i="240"/>
  <c r="N364" i="240"/>
  <c r="M364" i="240"/>
  <c r="L364" i="240"/>
  <c r="K364" i="240"/>
  <c r="J364" i="240"/>
  <c r="I364" i="240"/>
  <c r="H364" i="240"/>
  <c r="G364" i="240"/>
  <c r="F364" i="240"/>
  <c r="E364" i="240"/>
  <c r="P363" i="240"/>
  <c r="O363" i="240"/>
  <c r="N363" i="240"/>
  <c r="M363" i="240"/>
  <c r="L363" i="240"/>
  <c r="K363" i="240"/>
  <c r="J363" i="240"/>
  <c r="I363" i="240"/>
  <c r="H363" i="240"/>
  <c r="G363" i="240"/>
  <c r="F363" i="240"/>
  <c r="E363" i="240"/>
  <c r="P362" i="240"/>
  <c r="O362" i="240"/>
  <c r="N362" i="240"/>
  <c r="M362" i="240"/>
  <c r="L362" i="240"/>
  <c r="K362" i="240"/>
  <c r="J362" i="240"/>
  <c r="I362" i="240"/>
  <c r="H362" i="240"/>
  <c r="G362" i="240"/>
  <c r="F362" i="240"/>
  <c r="E362" i="240"/>
  <c r="P361" i="240"/>
  <c r="O361" i="240"/>
  <c r="N361" i="240"/>
  <c r="M361" i="240"/>
  <c r="L361" i="240"/>
  <c r="K361" i="240"/>
  <c r="J361" i="240"/>
  <c r="I361" i="240"/>
  <c r="H361" i="240"/>
  <c r="G361" i="240"/>
  <c r="F361" i="240"/>
  <c r="E361" i="240"/>
  <c r="P360" i="240"/>
  <c r="O360" i="240"/>
  <c r="N360" i="240"/>
  <c r="M360" i="240"/>
  <c r="L360" i="240"/>
  <c r="K360" i="240"/>
  <c r="J360" i="240"/>
  <c r="I360" i="240"/>
  <c r="H360" i="240"/>
  <c r="G360" i="240"/>
  <c r="F360" i="240"/>
  <c r="E360" i="240"/>
  <c r="P359" i="240"/>
  <c r="O359" i="240"/>
  <c r="N359" i="240"/>
  <c r="M359" i="240"/>
  <c r="L359" i="240"/>
  <c r="K359" i="240"/>
  <c r="J359" i="240"/>
  <c r="I359" i="240"/>
  <c r="H359" i="240"/>
  <c r="G359" i="240"/>
  <c r="F359" i="240"/>
  <c r="E359" i="240"/>
  <c r="P283" i="240"/>
  <c r="O283" i="240"/>
  <c r="N283" i="240"/>
  <c r="M283" i="240"/>
  <c r="L283" i="240"/>
  <c r="K283" i="240"/>
  <c r="J283" i="240"/>
  <c r="I283" i="240"/>
  <c r="H283" i="240"/>
  <c r="G283" i="240"/>
  <c r="F283" i="240"/>
  <c r="E283" i="240"/>
  <c r="P274" i="240"/>
  <c r="O274" i="240"/>
  <c r="N274" i="240"/>
  <c r="M274" i="240"/>
  <c r="L274" i="240"/>
  <c r="K274" i="240"/>
  <c r="J274" i="240"/>
  <c r="I274" i="240"/>
  <c r="H274" i="240"/>
  <c r="G274" i="240"/>
  <c r="F274" i="240"/>
  <c r="E274" i="240"/>
  <c r="P244" i="240"/>
  <c r="O244" i="240"/>
  <c r="N244" i="240"/>
  <c r="M244" i="240"/>
  <c r="L244" i="240"/>
  <c r="K244" i="240"/>
  <c r="J244" i="240"/>
  <c r="I244" i="240"/>
  <c r="H244" i="240"/>
  <c r="G244" i="240"/>
  <c r="F244" i="240"/>
  <c r="E244" i="240"/>
  <c r="P243" i="240"/>
  <c r="O243" i="240"/>
  <c r="N243" i="240"/>
  <c r="M243" i="240"/>
  <c r="L243" i="240"/>
  <c r="K243" i="240"/>
  <c r="J243" i="240"/>
  <c r="I243" i="240"/>
  <c r="H243" i="240"/>
  <c r="G243" i="240"/>
  <c r="F243" i="240"/>
  <c r="E243" i="240"/>
  <c r="P242" i="240"/>
  <c r="O242" i="240"/>
  <c r="N242" i="240"/>
  <c r="M242" i="240"/>
  <c r="L242" i="240"/>
  <c r="K242" i="240"/>
  <c r="J242" i="240"/>
  <c r="I242" i="240"/>
  <c r="H242" i="240"/>
  <c r="G242" i="240"/>
  <c r="F242" i="240"/>
  <c r="E242" i="240"/>
  <c r="P241" i="240"/>
  <c r="O241" i="240"/>
  <c r="N241" i="240"/>
  <c r="M241" i="240"/>
  <c r="L241" i="240"/>
  <c r="K241" i="240"/>
  <c r="J241" i="240"/>
  <c r="I241" i="240"/>
  <c r="H241" i="240"/>
  <c r="G241" i="240"/>
  <c r="F241" i="240"/>
  <c r="E241" i="240"/>
  <c r="P240" i="240"/>
  <c r="O240" i="240"/>
  <c r="N240" i="240"/>
  <c r="M240" i="240"/>
  <c r="L240" i="240"/>
  <c r="K240" i="240"/>
  <c r="J240" i="240"/>
  <c r="I240" i="240"/>
  <c r="H240" i="240"/>
  <c r="G240" i="240"/>
  <c r="F240" i="240"/>
  <c r="E240" i="240"/>
  <c r="P239" i="240"/>
  <c r="O239" i="240"/>
  <c r="N239" i="240"/>
  <c r="M239" i="240"/>
  <c r="L239" i="240"/>
  <c r="K239" i="240"/>
  <c r="J239" i="240"/>
  <c r="I239" i="240"/>
  <c r="H239" i="240"/>
  <c r="G239" i="240"/>
  <c r="F239" i="240"/>
  <c r="E239" i="240"/>
  <c r="P238" i="240"/>
  <c r="O238" i="240"/>
  <c r="N238" i="240"/>
  <c r="M238" i="240"/>
  <c r="L238" i="240"/>
  <c r="K238" i="240"/>
  <c r="J238" i="240"/>
  <c r="I238" i="240"/>
  <c r="H238" i="240"/>
  <c r="G238" i="240"/>
  <c r="F238" i="240"/>
  <c r="E238" i="240"/>
  <c r="P237" i="240"/>
  <c r="O237" i="240"/>
  <c r="N237" i="240"/>
  <c r="M237" i="240"/>
  <c r="L237" i="240"/>
  <c r="K237" i="240"/>
  <c r="J237" i="240"/>
  <c r="I237" i="240"/>
  <c r="H237" i="240"/>
  <c r="G237" i="240"/>
  <c r="F237" i="240"/>
  <c r="E237" i="240"/>
  <c r="P236" i="240"/>
  <c r="O236" i="240"/>
  <c r="N236" i="240"/>
  <c r="M236" i="240"/>
  <c r="L236" i="240"/>
  <c r="K236" i="240"/>
  <c r="J236" i="240"/>
  <c r="I236" i="240"/>
  <c r="H236" i="240"/>
  <c r="G236" i="240"/>
  <c r="F236" i="240"/>
  <c r="E236" i="240"/>
  <c r="P235" i="240"/>
  <c r="O235" i="240"/>
  <c r="N235" i="240"/>
  <c r="M235" i="240"/>
  <c r="L235" i="240"/>
  <c r="K235" i="240"/>
  <c r="J235" i="240"/>
  <c r="I235" i="240"/>
  <c r="H235" i="240"/>
  <c r="G235" i="240"/>
  <c r="F235" i="240"/>
  <c r="E235" i="240"/>
  <c r="P234" i="240"/>
  <c r="O234" i="240"/>
  <c r="N234" i="240"/>
  <c r="M234" i="240"/>
  <c r="L234" i="240"/>
  <c r="K234" i="240"/>
  <c r="J234" i="240"/>
  <c r="I234" i="240"/>
  <c r="H234" i="240"/>
  <c r="G234" i="240"/>
  <c r="F234" i="240"/>
  <c r="E234" i="240"/>
  <c r="P233" i="240"/>
  <c r="O233" i="240"/>
  <c r="N233" i="240"/>
  <c r="M233" i="240"/>
  <c r="L233" i="240"/>
  <c r="K233" i="240"/>
  <c r="J233" i="240"/>
  <c r="I233" i="240"/>
  <c r="H233" i="240"/>
  <c r="G233" i="240"/>
  <c r="F233" i="240"/>
  <c r="E233" i="240"/>
  <c r="P232" i="240"/>
  <c r="O232" i="240"/>
  <c r="N232" i="240"/>
  <c r="M232" i="240"/>
  <c r="L232" i="240"/>
  <c r="K232" i="240"/>
  <c r="J232" i="240"/>
  <c r="I232" i="240"/>
  <c r="H232" i="240"/>
  <c r="G232" i="240"/>
  <c r="F232" i="240"/>
  <c r="E232" i="240"/>
  <c r="P231" i="240"/>
  <c r="O231" i="240"/>
  <c r="N231" i="240"/>
  <c r="M231" i="240"/>
  <c r="L231" i="240"/>
  <c r="K231" i="240"/>
  <c r="J231" i="240"/>
  <c r="I231" i="240"/>
  <c r="H231" i="240"/>
  <c r="G231" i="240"/>
  <c r="F231" i="240"/>
  <c r="E231" i="240"/>
  <c r="P230" i="240"/>
  <c r="O230" i="240"/>
  <c r="N230" i="240"/>
  <c r="M230" i="240"/>
  <c r="L230" i="240"/>
  <c r="K230" i="240"/>
  <c r="J230" i="240"/>
  <c r="I230" i="240"/>
  <c r="H230" i="240"/>
  <c r="G230" i="240"/>
  <c r="F230" i="240"/>
  <c r="E230" i="240"/>
  <c r="P229" i="240"/>
  <c r="O229" i="240"/>
  <c r="N229" i="240"/>
  <c r="M229" i="240"/>
  <c r="L229" i="240"/>
  <c r="K229" i="240"/>
  <c r="J229" i="240"/>
  <c r="I229" i="240"/>
  <c r="H229" i="240"/>
  <c r="G229" i="240"/>
  <c r="F229" i="240"/>
  <c r="E229" i="240"/>
  <c r="P225" i="240"/>
  <c r="O225" i="240"/>
  <c r="N225" i="240"/>
  <c r="M225" i="240"/>
  <c r="L225" i="240"/>
  <c r="K225" i="240"/>
  <c r="J225" i="240"/>
  <c r="I225" i="240"/>
  <c r="H225" i="240"/>
  <c r="G225" i="240"/>
  <c r="F225" i="240"/>
  <c r="E225" i="240"/>
  <c r="Q218" i="240"/>
  <c r="O212" i="234" s="1"/>
  <c r="P194" i="240"/>
  <c r="O194" i="240"/>
  <c r="N194" i="240"/>
  <c r="M194" i="240"/>
  <c r="L194" i="240"/>
  <c r="K194" i="240"/>
  <c r="J194" i="240"/>
  <c r="I194" i="240"/>
  <c r="H194" i="240"/>
  <c r="G194" i="240"/>
  <c r="F194" i="240"/>
  <c r="E194" i="240"/>
  <c r="P193" i="240"/>
  <c r="O193" i="240"/>
  <c r="N193" i="240"/>
  <c r="M193" i="240"/>
  <c r="L193" i="240"/>
  <c r="K193" i="240"/>
  <c r="J193" i="240"/>
  <c r="I193" i="240"/>
  <c r="H193" i="240"/>
  <c r="G193" i="240"/>
  <c r="F193" i="240"/>
  <c r="E193" i="240"/>
  <c r="P192" i="240"/>
  <c r="O192" i="240"/>
  <c r="N192" i="240"/>
  <c r="M192" i="240"/>
  <c r="L192" i="240"/>
  <c r="K192" i="240"/>
  <c r="J192" i="240"/>
  <c r="I192" i="240"/>
  <c r="H192" i="240"/>
  <c r="G192" i="240"/>
  <c r="F192" i="240"/>
  <c r="E192" i="240"/>
  <c r="P191" i="240"/>
  <c r="O191" i="240"/>
  <c r="N191" i="240"/>
  <c r="M191" i="240"/>
  <c r="L191" i="240"/>
  <c r="K191" i="240"/>
  <c r="J191" i="240"/>
  <c r="I191" i="240"/>
  <c r="H191" i="240"/>
  <c r="G191" i="240"/>
  <c r="F191" i="240"/>
  <c r="E191" i="240"/>
  <c r="P190" i="240"/>
  <c r="O190" i="240"/>
  <c r="N190" i="240"/>
  <c r="M190" i="240"/>
  <c r="L190" i="240"/>
  <c r="K190" i="240"/>
  <c r="J190" i="240"/>
  <c r="I190" i="240"/>
  <c r="H190" i="240"/>
  <c r="G190" i="240"/>
  <c r="F190" i="240"/>
  <c r="E190" i="240"/>
  <c r="P189" i="240"/>
  <c r="O189" i="240"/>
  <c r="N189" i="240"/>
  <c r="M189" i="240"/>
  <c r="L189" i="240"/>
  <c r="K189" i="240"/>
  <c r="J189" i="240"/>
  <c r="I189" i="240"/>
  <c r="H189" i="240"/>
  <c r="G189" i="240"/>
  <c r="F189" i="240"/>
  <c r="E189" i="240"/>
  <c r="P188" i="240"/>
  <c r="O188" i="240"/>
  <c r="N188" i="240"/>
  <c r="M188" i="240"/>
  <c r="L188" i="240"/>
  <c r="K188" i="240"/>
  <c r="J188" i="240"/>
  <c r="I188" i="240"/>
  <c r="H188" i="240"/>
  <c r="G188" i="240"/>
  <c r="F188" i="240"/>
  <c r="E188" i="240"/>
  <c r="E187" i="240"/>
  <c r="M212" i="234"/>
  <c r="Q144" i="241" l="1"/>
  <c r="P143" i="234" s="1"/>
  <c r="P154" i="233" l="1"/>
  <c r="T154" i="136" s="1"/>
  <c r="O154" i="233"/>
  <c r="S154" i="136" s="1"/>
  <c r="N154" i="233"/>
  <c r="R154" i="136" s="1"/>
  <c r="M154" i="233"/>
  <c r="Q154" i="136" s="1"/>
  <c r="L154" i="233"/>
  <c r="P154" i="136" s="1"/>
  <c r="K154" i="233"/>
  <c r="O154" i="136" s="1"/>
  <c r="J154" i="233"/>
  <c r="N154" i="136" s="1"/>
  <c r="I154" i="233"/>
  <c r="M154" i="136" s="1"/>
  <c r="H154" i="233"/>
  <c r="L154" i="136" s="1"/>
  <c r="G154" i="233"/>
  <c r="K154" i="136" s="1"/>
  <c r="F154" i="233"/>
  <c r="J154" i="136" s="1"/>
  <c r="I154" i="136"/>
  <c r="P142" i="233"/>
  <c r="T142" i="136" s="1"/>
  <c r="O142" i="233"/>
  <c r="S142" i="136" s="1"/>
  <c r="N142" i="233"/>
  <c r="R142" i="136" s="1"/>
  <c r="M142" i="233"/>
  <c r="Q142" i="136" s="1"/>
  <c r="L142" i="233"/>
  <c r="P142" i="136" s="1"/>
  <c r="K142" i="233"/>
  <c r="O142" i="136" s="1"/>
  <c r="J142" i="233"/>
  <c r="N142" i="136" s="1"/>
  <c r="I142" i="233"/>
  <c r="M142" i="136" s="1"/>
  <c r="H142" i="233"/>
  <c r="L142" i="136" s="1"/>
  <c r="G142" i="233"/>
  <c r="K142" i="136" s="1"/>
  <c r="F142" i="233"/>
  <c r="J142" i="136" s="1"/>
  <c r="E142" i="233"/>
  <c r="I142" i="136" s="1"/>
  <c r="P141" i="233"/>
  <c r="T141" i="136" s="1"/>
  <c r="O141" i="233"/>
  <c r="S141" i="136" s="1"/>
  <c r="N141" i="233"/>
  <c r="R141" i="136" s="1"/>
  <c r="M141" i="233"/>
  <c r="Q141" i="136" s="1"/>
  <c r="L141" i="233"/>
  <c r="P141" i="136" s="1"/>
  <c r="K141" i="233"/>
  <c r="O141" i="136" s="1"/>
  <c r="J141" i="233"/>
  <c r="N141" i="136" s="1"/>
  <c r="I141" i="233"/>
  <c r="M141" i="136" s="1"/>
  <c r="H141" i="233"/>
  <c r="L141" i="136" s="1"/>
  <c r="G141" i="233"/>
  <c r="K141" i="136" s="1"/>
  <c r="F141" i="233"/>
  <c r="J141" i="136" s="1"/>
  <c r="E141" i="233"/>
  <c r="I141" i="136" s="1"/>
  <c r="P10" i="233"/>
  <c r="O10" i="233"/>
  <c r="N10" i="233"/>
  <c r="M10" i="233"/>
  <c r="L10" i="233"/>
  <c r="K10" i="233"/>
  <c r="J10" i="233"/>
  <c r="I10" i="233"/>
  <c r="H10" i="233"/>
  <c r="G10" i="233"/>
  <c r="P128" i="233"/>
  <c r="T128" i="136" s="1"/>
  <c r="O128" i="233"/>
  <c r="S128" i="136" s="1"/>
  <c r="N128" i="233"/>
  <c r="R128" i="136" s="1"/>
  <c r="M128" i="233"/>
  <c r="Q128" i="136" s="1"/>
  <c r="L128" i="233"/>
  <c r="P128" i="136" s="1"/>
  <c r="K128" i="233"/>
  <c r="O128" i="136" s="1"/>
  <c r="J128" i="233"/>
  <c r="N128" i="136" s="1"/>
  <c r="I128" i="233"/>
  <c r="M128" i="136" s="1"/>
  <c r="H128" i="233"/>
  <c r="L128" i="136" s="1"/>
  <c r="G128" i="233"/>
  <c r="K128" i="136" s="1"/>
  <c r="F128" i="233"/>
  <c r="J128" i="136" s="1"/>
  <c r="E128" i="233"/>
  <c r="I128" i="136" s="1"/>
  <c r="P127" i="233"/>
  <c r="T127" i="136" s="1"/>
  <c r="O127" i="233"/>
  <c r="S127" i="136" s="1"/>
  <c r="N127" i="233"/>
  <c r="R127" i="136" s="1"/>
  <c r="M127" i="233"/>
  <c r="Q127" i="136" s="1"/>
  <c r="L127" i="233"/>
  <c r="P127" i="136" s="1"/>
  <c r="K127" i="233"/>
  <c r="O127" i="136" s="1"/>
  <c r="J127" i="233"/>
  <c r="N127" i="136" s="1"/>
  <c r="I127" i="233"/>
  <c r="M127" i="136" s="1"/>
  <c r="H127" i="233"/>
  <c r="L127" i="136" s="1"/>
  <c r="G127" i="233"/>
  <c r="K127" i="136" s="1"/>
  <c r="F127" i="233"/>
  <c r="J127" i="136" s="1"/>
  <c r="E127" i="233"/>
  <c r="I127" i="136" s="1"/>
  <c r="P126" i="233"/>
  <c r="T126" i="136" s="1"/>
  <c r="O126" i="233"/>
  <c r="S126" i="136" s="1"/>
  <c r="N126" i="233"/>
  <c r="R126" i="136" s="1"/>
  <c r="M126" i="233"/>
  <c r="Q126" i="136" s="1"/>
  <c r="L126" i="233"/>
  <c r="P126" i="136" s="1"/>
  <c r="K126" i="233"/>
  <c r="O126" i="136" s="1"/>
  <c r="J126" i="233"/>
  <c r="N126" i="136" s="1"/>
  <c r="I126" i="233"/>
  <c r="M126" i="136" s="1"/>
  <c r="H126" i="233"/>
  <c r="L126" i="136" s="1"/>
  <c r="G126" i="233"/>
  <c r="K126" i="136" s="1"/>
  <c r="F126" i="233"/>
  <c r="J126" i="136" s="1"/>
  <c r="E126" i="233"/>
  <c r="I126" i="136" s="1"/>
  <c r="P125" i="233"/>
  <c r="T125" i="136" s="1"/>
  <c r="O125" i="233"/>
  <c r="S125" i="136" s="1"/>
  <c r="N125" i="233"/>
  <c r="R125" i="136" s="1"/>
  <c r="M125" i="233"/>
  <c r="Q125" i="136" s="1"/>
  <c r="L125" i="233"/>
  <c r="P125" i="136" s="1"/>
  <c r="K125" i="233"/>
  <c r="O125" i="136" s="1"/>
  <c r="J125" i="233"/>
  <c r="N125" i="136" s="1"/>
  <c r="I125" i="233"/>
  <c r="M125" i="136" s="1"/>
  <c r="H125" i="233"/>
  <c r="L125" i="136" s="1"/>
  <c r="G125" i="233"/>
  <c r="K125" i="136" s="1"/>
  <c r="F125" i="233"/>
  <c r="J125" i="136" s="1"/>
  <c r="E125" i="233"/>
  <c r="I125" i="136" s="1"/>
  <c r="P124" i="233"/>
  <c r="T124" i="136" s="1"/>
  <c r="O124" i="233"/>
  <c r="S124" i="136" s="1"/>
  <c r="N124" i="233"/>
  <c r="R124" i="136" s="1"/>
  <c r="M124" i="233"/>
  <c r="Q124" i="136" s="1"/>
  <c r="L124" i="233"/>
  <c r="P124" i="136" s="1"/>
  <c r="K124" i="233"/>
  <c r="O124" i="136" s="1"/>
  <c r="J124" i="233"/>
  <c r="N124" i="136" s="1"/>
  <c r="I124" i="233"/>
  <c r="M124" i="136" s="1"/>
  <c r="H124" i="233"/>
  <c r="L124" i="136" s="1"/>
  <c r="G124" i="233"/>
  <c r="K124" i="136" s="1"/>
  <c r="F124" i="233"/>
  <c r="J124" i="136" s="1"/>
  <c r="E124" i="233"/>
  <c r="I124" i="136" s="1"/>
  <c r="P123" i="233"/>
  <c r="T123" i="136" s="1"/>
  <c r="O123" i="233"/>
  <c r="S123" i="136" s="1"/>
  <c r="N123" i="233"/>
  <c r="R123" i="136" s="1"/>
  <c r="M123" i="233"/>
  <c r="Q123" i="136" s="1"/>
  <c r="L123" i="233"/>
  <c r="P123" i="136" s="1"/>
  <c r="K123" i="233"/>
  <c r="O123" i="136" s="1"/>
  <c r="J123" i="233"/>
  <c r="N123" i="136" s="1"/>
  <c r="I123" i="233"/>
  <c r="M123" i="136" s="1"/>
  <c r="H123" i="233"/>
  <c r="L123" i="136" s="1"/>
  <c r="G123" i="233"/>
  <c r="K123" i="136" s="1"/>
  <c r="F123" i="233"/>
  <c r="J123" i="136" s="1"/>
  <c r="E123" i="233"/>
  <c r="I123" i="136" s="1"/>
  <c r="P122" i="233"/>
  <c r="T122" i="136" s="1"/>
  <c r="O122" i="233"/>
  <c r="S122" i="136" s="1"/>
  <c r="N122" i="233"/>
  <c r="R122" i="136" s="1"/>
  <c r="M122" i="233"/>
  <c r="Q122" i="136" s="1"/>
  <c r="L122" i="233"/>
  <c r="P122" i="136" s="1"/>
  <c r="K122" i="233"/>
  <c r="O122" i="136" s="1"/>
  <c r="J122" i="233"/>
  <c r="N122" i="136" s="1"/>
  <c r="I122" i="233"/>
  <c r="M122" i="136" s="1"/>
  <c r="H122" i="233"/>
  <c r="L122" i="136" s="1"/>
  <c r="G122" i="233"/>
  <c r="K122" i="136" s="1"/>
  <c r="F122" i="233"/>
  <c r="J122" i="136" s="1"/>
  <c r="E122" i="233"/>
  <c r="I122" i="136" s="1"/>
  <c r="P121" i="233"/>
  <c r="T121" i="136" s="1"/>
  <c r="O121" i="233"/>
  <c r="S121" i="136" s="1"/>
  <c r="N121" i="233"/>
  <c r="R121" i="136" s="1"/>
  <c r="M121" i="233"/>
  <c r="Q121" i="136" s="1"/>
  <c r="L121" i="233"/>
  <c r="P121" i="136" s="1"/>
  <c r="K121" i="233"/>
  <c r="O121" i="136" s="1"/>
  <c r="J121" i="233"/>
  <c r="N121" i="136" s="1"/>
  <c r="I121" i="233"/>
  <c r="M121" i="136" s="1"/>
  <c r="H121" i="233"/>
  <c r="L121" i="136" s="1"/>
  <c r="G121" i="233"/>
  <c r="K121" i="136" s="1"/>
  <c r="F121" i="233"/>
  <c r="J121" i="136" s="1"/>
  <c r="E121" i="233"/>
  <c r="I121" i="136" s="1"/>
  <c r="P120" i="233"/>
  <c r="T120" i="136" s="1"/>
  <c r="O120" i="233"/>
  <c r="S120" i="136" s="1"/>
  <c r="N120" i="233"/>
  <c r="R120" i="136" s="1"/>
  <c r="M120" i="233"/>
  <c r="Q120" i="136" s="1"/>
  <c r="L120" i="233"/>
  <c r="P120" i="136" s="1"/>
  <c r="K120" i="233"/>
  <c r="O120" i="136" s="1"/>
  <c r="J120" i="233"/>
  <c r="N120" i="136" s="1"/>
  <c r="I120" i="233"/>
  <c r="M120" i="136" s="1"/>
  <c r="H120" i="233"/>
  <c r="L120" i="136" s="1"/>
  <c r="G120" i="233"/>
  <c r="K120" i="136" s="1"/>
  <c r="F120" i="233"/>
  <c r="J120" i="136" s="1"/>
  <c r="E120" i="233"/>
  <c r="I120" i="136" s="1"/>
  <c r="P119" i="233"/>
  <c r="T119" i="136" s="1"/>
  <c r="O119" i="233"/>
  <c r="S119" i="136" s="1"/>
  <c r="N119" i="233"/>
  <c r="R119" i="136" s="1"/>
  <c r="M119" i="233"/>
  <c r="Q119" i="136" s="1"/>
  <c r="L119" i="233"/>
  <c r="P119" i="136" s="1"/>
  <c r="K119" i="233"/>
  <c r="O119" i="136" s="1"/>
  <c r="J119" i="233"/>
  <c r="N119" i="136" s="1"/>
  <c r="I119" i="233"/>
  <c r="M119" i="136" s="1"/>
  <c r="H119" i="233"/>
  <c r="L119" i="136" s="1"/>
  <c r="G119" i="233"/>
  <c r="K119" i="136" s="1"/>
  <c r="F119" i="233"/>
  <c r="J119" i="136" s="1"/>
  <c r="E119" i="233"/>
  <c r="I119" i="136" s="1"/>
  <c r="P118" i="233"/>
  <c r="T118" i="136" s="1"/>
  <c r="O118" i="233"/>
  <c r="S118" i="136" s="1"/>
  <c r="N118" i="233"/>
  <c r="R118" i="136" s="1"/>
  <c r="M118" i="233"/>
  <c r="Q118" i="136" s="1"/>
  <c r="L118" i="233"/>
  <c r="P118" i="136" s="1"/>
  <c r="K118" i="233"/>
  <c r="O118" i="136" s="1"/>
  <c r="J118" i="233"/>
  <c r="N118" i="136" s="1"/>
  <c r="I118" i="233"/>
  <c r="M118" i="136" s="1"/>
  <c r="H118" i="233"/>
  <c r="L118" i="136" s="1"/>
  <c r="G118" i="233"/>
  <c r="K118" i="136" s="1"/>
  <c r="F118" i="233"/>
  <c r="J118" i="136" s="1"/>
  <c r="E118" i="233"/>
  <c r="I118" i="136" s="1"/>
  <c r="P117" i="233"/>
  <c r="T117" i="136" s="1"/>
  <c r="O117" i="233"/>
  <c r="S117" i="136" s="1"/>
  <c r="N117" i="233"/>
  <c r="R117" i="136" s="1"/>
  <c r="M117" i="233"/>
  <c r="Q117" i="136" s="1"/>
  <c r="L117" i="233"/>
  <c r="P117" i="136" s="1"/>
  <c r="K117" i="233"/>
  <c r="O117" i="136" s="1"/>
  <c r="J117" i="233"/>
  <c r="N117" i="136" s="1"/>
  <c r="I117" i="233"/>
  <c r="M117" i="136" s="1"/>
  <c r="H117" i="233"/>
  <c r="L117" i="136" s="1"/>
  <c r="G117" i="233"/>
  <c r="K117" i="136" s="1"/>
  <c r="F117" i="233"/>
  <c r="J117" i="136" s="1"/>
  <c r="E117" i="233"/>
  <c r="I117" i="136" s="1"/>
  <c r="P115" i="233"/>
  <c r="T115" i="136" s="1"/>
  <c r="O115" i="233"/>
  <c r="S115" i="136" s="1"/>
  <c r="N115" i="233"/>
  <c r="R115" i="136" s="1"/>
  <c r="M115" i="233"/>
  <c r="Q115" i="136" s="1"/>
  <c r="L115" i="233"/>
  <c r="P115" i="136" s="1"/>
  <c r="K115" i="233"/>
  <c r="O115" i="136" s="1"/>
  <c r="J115" i="233"/>
  <c r="N115" i="136" s="1"/>
  <c r="I115" i="233"/>
  <c r="M115" i="136" s="1"/>
  <c r="H115" i="233"/>
  <c r="L115" i="136" s="1"/>
  <c r="G115" i="233"/>
  <c r="K115" i="136" s="1"/>
  <c r="F115" i="233"/>
  <c r="J115" i="136" s="1"/>
  <c r="E115" i="233"/>
  <c r="I115" i="136" s="1"/>
  <c r="P105" i="233"/>
  <c r="O105" i="233"/>
  <c r="N105" i="233"/>
  <c r="M105" i="233"/>
  <c r="L105" i="233"/>
  <c r="K105" i="233"/>
  <c r="J105" i="233"/>
  <c r="I105" i="233"/>
  <c r="H105" i="233"/>
  <c r="G105" i="233"/>
  <c r="F105" i="233"/>
  <c r="E105" i="233"/>
  <c r="P97" i="233"/>
  <c r="O97" i="233"/>
  <c r="N97" i="233"/>
  <c r="M97" i="233"/>
  <c r="L97" i="233"/>
  <c r="K97" i="233"/>
  <c r="J97" i="233"/>
  <c r="I97" i="233"/>
  <c r="H97" i="233"/>
  <c r="G97" i="233"/>
  <c r="F97" i="233"/>
  <c r="E97" i="233"/>
  <c r="P96" i="233"/>
  <c r="O96" i="233"/>
  <c r="N96" i="233"/>
  <c r="M96" i="233"/>
  <c r="L96" i="233"/>
  <c r="K96" i="233"/>
  <c r="J96" i="233"/>
  <c r="I96" i="233"/>
  <c r="H96" i="233"/>
  <c r="G96" i="233"/>
  <c r="F96" i="233"/>
  <c r="E96" i="233"/>
  <c r="P82" i="233"/>
  <c r="O82" i="233"/>
  <c r="N82" i="233"/>
  <c r="M82" i="233"/>
  <c r="L82" i="233"/>
  <c r="K82" i="233"/>
  <c r="J82" i="233"/>
  <c r="I82" i="233"/>
  <c r="H82" i="233"/>
  <c r="G82" i="233"/>
  <c r="F82" i="233"/>
  <c r="E82" i="233"/>
  <c r="P81" i="233"/>
  <c r="O81" i="233"/>
  <c r="N81" i="233"/>
  <c r="M81" i="233"/>
  <c r="L81" i="233"/>
  <c r="K81" i="233"/>
  <c r="J81" i="233"/>
  <c r="I81" i="233"/>
  <c r="H81" i="233"/>
  <c r="G81" i="233"/>
  <c r="F81" i="233"/>
  <c r="E81" i="233"/>
  <c r="P80" i="233"/>
  <c r="O80" i="233"/>
  <c r="N80" i="233"/>
  <c r="M80" i="233"/>
  <c r="L80" i="233"/>
  <c r="K80" i="233"/>
  <c r="J80" i="233"/>
  <c r="I80" i="233"/>
  <c r="H80" i="233"/>
  <c r="G80" i="233"/>
  <c r="F80" i="233"/>
  <c r="E80" i="233"/>
  <c r="P79" i="233"/>
  <c r="O79" i="233"/>
  <c r="N79" i="233"/>
  <c r="M79" i="233"/>
  <c r="L79" i="233"/>
  <c r="K79" i="233"/>
  <c r="J79" i="233"/>
  <c r="I79" i="233"/>
  <c r="H79" i="233"/>
  <c r="G79" i="233"/>
  <c r="F79" i="233"/>
  <c r="E79" i="233"/>
  <c r="P68" i="233"/>
  <c r="O68" i="233"/>
  <c r="N68" i="233"/>
  <c r="M68" i="233"/>
  <c r="L68" i="233"/>
  <c r="K68" i="233"/>
  <c r="J68" i="233"/>
  <c r="I68" i="233"/>
  <c r="H68" i="233"/>
  <c r="G68" i="233"/>
  <c r="F68" i="233"/>
  <c r="E68" i="233"/>
  <c r="P67" i="233"/>
  <c r="O67" i="233"/>
  <c r="N67" i="233"/>
  <c r="M67" i="233"/>
  <c r="L67" i="233"/>
  <c r="K67" i="233"/>
  <c r="J67" i="233"/>
  <c r="I67" i="233"/>
  <c r="H67" i="233"/>
  <c r="G67" i="233"/>
  <c r="F67" i="233"/>
  <c r="E67" i="233"/>
  <c r="P65" i="233"/>
  <c r="O65" i="233"/>
  <c r="N65" i="233"/>
  <c r="M65" i="233"/>
  <c r="L65" i="233"/>
  <c r="K65" i="233"/>
  <c r="J65" i="233"/>
  <c r="I65" i="233"/>
  <c r="H65" i="233"/>
  <c r="G65" i="233"/>
  <c r="F65" i="233"/>
  <c r="E65" i="233"/>
  <c r="P64" i="233"/>
  <c r="O64" i="233"/>
  <c r="N64" i="233"/>
  <c r="M64" i="233"/>
  <c r="L64" i="233"/>
  <c r="K64" i="233"/>
  <c r="J64" i="233"/>
  <c r="I64" i="233"/>
  <c r="H64" i="233"/>
  <c r="G64" i="233"/>
  <c r="F64" i="233"/>
  <c r="E64" i="233"/>
  <c r="P63" i="233"/>
  <c r="O63" i="233"/>
  <c r="N63" i="233"/>
  <c r="M63" i="233"/>
  <c r="L63" i="233"/>
  <c r="K63" i="233"/>
  <c r="J63" i="233"/>
  <c r="I63" i="233"/>
  <c r="H63" i="233"/>
  <c r="G63" i="233"/>
  <c r="F63" i="233"/>
  <c r="E63" i="233"/>
  <c r="P62" i="233"/>
  <c r="O62" i="233"/>
  <c r="N62" i="233"/>
  <c r="M62" i="233"/>
  <c r="L62" i="233"/>
  <c r="K62" i="233"/>
  <c r="J62" i="233"/>
  <c r="I62" i="233"/>
  <c r="H62" i="233"/>
  <c r="G62" i="233"/>
  <c r="F62" i="233"/>
  <c r="E62" i="233"/>
  <c r="P61" i="233"/>
  <c r="O61" i="233"/>
  <c r="N61" i="233"/>
  <c r="M61" i="233"/>
  <c r="L61" i="233"/>
  <c r="K61" i="233"/>
  <c r="J61" i="233"/>
  <c r="I61" i="233"/>
  <c r="H61" i="233"/>
  <c r="G61" i="233"/>
  <c r="F61" i="233"/>
  <c r="E61" i="233"/>
  <c r="P60" i="233"/>
  <c r="O60" i="233"/>
  <c r="N60" i="233"/>
  <c r="M60" i="233"/>
  <c r="L60" i="233"/>
  <c r="K60" i="233"/>
  <c r="J60" i="233"/>
  <c r="I60" i="233"/>
  <c r="H60" i="233"/>
  <c r="G60" i="233"/>
  <c r="F60" i="233"/>
  <c r="E60" i="233"/>
  <c r="P59" i="233"/>
  <c r="O59" i="233"/>
  <c r="N59" i="233"/>
  <c r="M59" i="233"/>
  <c r="L59" i="233"/>
  <c r="K59" i="233"/>
  <c r="J59" i="233"/>
  <c r="I59" i="233"/>
  <c r="H59" i="233"/>
  <c r="G59" i="233"/>
  <c r="F59" i="233"/>
  <c r="E59" i="233"/>
  <c r="P58" i="233"/>
  <c r="O58" i="233"/>
  <c r="N58" i="233"/>
  <c r="M58" i="233"/>
  <c r="L58" i="233"/>
  <c r="K58" i="233"/>
  <c r="J58" i="233"/>
  <c r="I58" i="233"/>
  <c r="H58" i="233"/>
  <c r="G58" i="233"/>
  <c r="F58" i="233"/>
  <c r="E58" i="233"/>
  <c r="P57" i="233"/>
  <c r="O57" i="233"/>
  <c r="N57" i="233"/>
  <c r="M57" i="233"/>
  <c r="L57" i="233"/>
  <c r="K57" i="233"/>
  <c r="J57" i="233"/>
  <c r="I57" i="233"/>
  <c r="H57" i="233"/>
  <c r="G57" i="233"/>
  <c r="F57" i="233"/>
  <c r="E57" i="233"/>
  <c r="P56" i="233"/>
  <c r="O56" i="233"/>
  <c r="N56" i="233"/>
  <c r="M56" i="233"/>
  <c r="L56" i="233"/>
  <c r="K56" i="233"/>
  <c r="J56" i="233"/>
  <c r="I56" i="233"/>
  <c r="H56" i="233"/>
  <c r="G56" i="233"/>
  <c r="F56" i="233"/>
  <c r="E56" i="233"/>
  <c r="P55" i="233"/>
  <c r="O55" i="233"/>
  <c r="N55" i="233"/>
  <c r="M55" i="233"/>
  <c r="L55" i="233"/>
  <c r="K55" i="233"/>
  <c r="J55" i="233"/>
  <c r="I55" i="233"/>
  <c r="H55" i="233"/>
  <c r="G55" i="233"/>
  <c r="F55" i="233"/>
  <c r="E55" i="233"/>
  <c r="P54" i="233"/>
  <c r="O54" i="233"/>
  <c r="N54" i="233"/>
  <c r="M54" i="233"/>
  <c r="L54" i="233"/>
  <c r="K54" i="233"/>
  <c r="J54" i="233"/>
  <c r="I54" i="233"/>
  <c r="H54" i="233"/>
  <c r="G54" i="233"/>
  <c r="F54" i="233"/>
  <c r="E54" i="233"/>
  <c r="P53" i="233"/>
  <c r="O53" i="233"/>
  <c r="N53" i="233"/>
  <c r="M53" i="233"/>
  <c r="L53" i="233"/>
  <c r="K53" i="233"/>
  <c r="J53" i="233"/>
  <c r="I53" i="233"/>
  <c r="H53" i="233"/>
  <c r="G53" i="233"/>
  <c r="F53" i="233"/>
  <c r="E53" i="233"/>
  <c r="P52" i="233"/>
  <c r="O52" i="233"/>
  <c r="N52" i="233"/>
  <c r="M52" i="233"/>
  <c r="L52" i="233"/>
  <c r="K52" i="233"/>
  <c r="J52" i="233"/>
  <c r="I52" i="233"/>
  <c r="H52" i="233"/>
  <c r="G52" i="233"/>
  <c r="F52" i="233"/>
  <c r="E52" i="233"/>
  <c r="P40" i="233"/>
  <c r="O40" i="233"/>
  <c r="N40" i="233"/>
  <c r="M40" i="233"/>
  <c r="L40" i="233"/>
  <c r="K40" i="233"/>
  <c r="J40" i="233"/>
  <c r="I40" i="233"/>
  <c r="H40" i="233"/>
  <c r="G40" i="233"/>
  <c r="F40" i="233"/>
  <c r="E40" i="233"/>
  <c r="P39" i="233"/>
  <c r="O39" i="233"/>
  <c r="N39" i="233"/>
  <c r="M39" i="233"/>
  <c r="L39" i="233"/>
  <c r="K39" i="233"/>
  <c r="J39" i="233"/>
  <c r="I39" i="233"/>
  <c r="H39" i="233"/>
  <c r="G39" i="233"/>
  <c r="F39" i="233"/>
  <c r="E39" i="233"/>
  <c r="P37" i="233"/>
  <c r="O37" i="233"/>
  <c r="N37" i="233"/>
  <c r="M37" i="233"/>
  <c r="L37" i="233"/>
  <c r="K37" i="233"/>
  <c r="J37" i="233"/>
  <c r="I37" i="233"/>
  <c r="H37" i="233"/>
  <c r="G37" i="233"/>
  <c r="F37" i="233"/>
  <c r="E37" i="233"/>
  <c r="P36" i="233"/>
  <c r="O36" i="233"/>
  <c r="N36" i="233"/>
  <c r="M36" i="233"/>
  <c r="L36" i="233"/>
  <c r="K36" i="233"/>
  <c r="J36" i="233"/>
  <c r="I36" i="233"/>
  <c r="H36" i="233"/>
  <c r="G36" i="233"/>
  <c r="F36" i="233"/>
  <c r="E36" i="233"/>
  <c r="P35" i="233"/>
  <c r="O35" i="233"/>
  <c r="N35" i="233"/>
  <c r="M35" i="233"/>
  <c r="L35" i="233"/>
  <c r="K35" i="233"/>
  <c r="J35" i="233"/>
  <c r="I35" i="233"/>
  <c r="H35" i="233"/>
  <c r="G35" i="233"/>
  <c r="F35" i="233"/>
  <c r="E35" i="233"/>
  <c r="P34" i="233"/>
  <c r="O34" i="233"/>
  <c r="N34" i="233"/>
  <c r="M34" i="233"/>
  <c r="L34" i="233"/>
  <c r="K34" i="233"/>
  <c r="J34" i="233"/>
  <c r="I34" i="233"/>
  <c r="H34" i="233"/>
  <c r="G34" i="233"/>
  <c r="F34" i="233"/>
  <c r="E34" i="233"/>
  <c r="P33" i="233"/>
  <c r="O33" i="233"/>
  <c r="N33" i="233"/>
  <c r="M33" i="233"/>
  <c r="L33" i="233"/>
  <c r="K33" i="233"/>
  <c r="J33" i="233"/>
  <c r="I33" i="233"/>
  <c r="H33" i="233"/>
  <c r="G33" i="233"/>
  <c r="F33" i="233"/>
  <c r="E33" i="233"/>
  <c r="P32" i="233"/>
  <c r="O32" i="233"/>
  <c r="N32" i="233"/>
  <c r="M32" i="233"/>
  <c r="L32" i="233"/>
  <c r="K32" i="233"/>
  <c r="J32" i="233"/>
  <c r="I32" i="233"/>
  <c r="H32" i="233"/>
  <c r="G32" i="233"/>
  <c r="F32" i="233"/>
  <c r="E32" i="233"/>
  <c r="P31" i="233"/>
  <c r="O31" i="233"/>
  <c r="N31" i="233"/>
  <c r="M31" i="233"/>
  <c r="L31" i="233"/>
  <c r="K31" i="233"/>
  <c r="J31" i="233"/>
  <c r="I31" i="233"/>
  <c r="H31" i="233"/>
  <c r="G31" i="233"/>
  <c r="F31" i="233"/>
  <c r="E31" i="233"/>
  <c r="P30" i="233"/>
  <c r="O30" i="233"/>
  <c r="N30" i="233"/>
  <c r="M30" i="233"/>
  <c r="L30" i="233"/>
  <c r="K30" i="233"/>
  <c r="J30" i="233"/>
  <c r="I30" i="233"/>
  <c r="H30" i="233"/>
  <c r="G30" i="233"/>
  <c r="F30" i="233"/>
  <c r="E30" i="233"/>
  <c r="P17" i="233"/>
  <c r="O17" i="233"/>
  <c r="N17" i="233"/>
  <c r="M17" i="233"/>
  <c r="L17" i="233"/>
  <c r="K17" i="233"/>
  <c r="J17" i="233"/>
  <c r="I17" i="233"/>
  <c r="H17" i="233"/>
  <c r="G17" i="233"/>
  <c r="F17" i="233"/>
  <c r="E17" i="233"/>
  <c r="P16" i="233"/>
  <c r="O16" i="233"/>
  <c r="N16" i="233"/>
  <c r="M16" i="233"/>
  <c r="L16" i="233"/>
  <c r="K16" i="233"/>
  <c r="J16" i="233"/>
  <c r="I16" i="233"/>
  <c r="H16" i="233"/>
  <c r="G16" i="233"/>
  <c r="F16" i="233"/>
  <c r="E16" i="233"/>
  <c r="P15" i="233"/>
  <c r="O15" i="233"/>
  <c r="N15" i="233"/>
  <c r="M15" i="233"/>
  <c r="L15" i="233"/>
  <c r="K15" i="233"/>
  <c r="J15" i="233"/>
  <c r="I15" i="233"/>
  <c r="H15" i="233"/>
  <c r="G15" i="233"/>
  <c r="F15" i="233"/>
  <c r="E15" i="233"/>
  <c r="P14" i="233"/>
  <c r="O14" i="233"/>
  <c r="N14" i="233"/>
  <c r="M14" i="233"/>
  <c r="L14" i="233"/>
  <c r="K14" i="233"/>
  <c r="J14" i="233"/>
  <c r="I14" i="233"/>
  <c r="H14" i="233"/>
  <c r="G14" i="233"/>
  <c r="F14" i="233"/>
  <c r="E14" i="233"/>
  <c r="P13" i="233"/>
  <c r="O13" i="233"/>
  <c r="N13" i="233"/>
  <c r="M13" i="233"/>
  <c r="L13" i="233"/>
  <c r="K13" i="233"/>
  <c r="J13" i="233"/>
  <c r="I13" i="233"/>
  <c r="H13" i="233"/>
  <c r="G13" i="233"/>
  <c r="F13" i="233"/>
  <c r="E13" i="233"/>
  <c r="P12" i="233"/>
  <c r="O12" i="233"/>
  <c r="N12" i="233"/>
  <c r="M12" i="233"/>
  <c r="L12" i="233"/>
  <c r="K12" i="233"/>
  <c r="J12" i="233"/>
  <c r="I12" i="233"/>
  <c r="H12" i="233"/>
  <c r="G12" i="233"/>
  <c r="F12" i="233"/>
  <c r="E12" i="233"/>
  <c r="P11" i="233"/>
  <c r="O11" i="233"/>
  <c r="N11" i="233"/>
  <c r="M11" i="233"/>
  <c r="L11" i="233"/>
  <c r="K11" i="233"/>
  <c r="J11" i="233"/>
  <c r="I11" i="233"/>
  <c r="H11" i="233"/>
  <c r="G11" i="233"/>
  <c r="F11" i="233"/>
  <c r="E11" i="233"/>
  <c r="F10" i="233"/>
  <c r="E10" i="233"/>
  <c r="Q142" i="233" l="1"/>
  <c r="J313" i="234"/>
  <c r="I313" i="234"/>
  <c r="P10" i="232"/>
  <c r="O10" i="232"/>
  <c r="N10" i="232"/>
  <c r="M10" i="232"/>
  <c r="L10" i="232"/>
  <c r="K10" i="232"/>
  <c r="J10" i="232"/>
  <c r="I10" i="232"/>
  <c r="H10" i="232"/>
  <c r="G10" i="232"/>
  <c r="F10" i="232"/>
  <c r="P128" i="232"/>
  <c r="T128" i="135" s="1"/>
  <c r="O128" i="232"/>
  <c r="S128" i="135" s="1"/>
  <c r="N128" i="232"/>
  <c r="R128" i="135" s="1"/>
  <c r="M128" i="232"/>
  <c r="Q128" i="135" s="1"/>
  <c r="L128" i="232"/>
  <c r="P128" i="135" s="1"/>
  <c r="K128" i="232"/>
  <c r="O128" i="135" s="1"/>
  <c r="J128" i="232"/>
  <c r="N128" i="135" s="1"/>
  <c r="I128" i="232"/>
  <c r="M128" i="135" s="1"/>
  <c r="H128" i="232"/>
  <c r="L128" i="135" s="1"/>
  <c r="G128" i="232"/>
  <c r="K128" i="135" s="1"/>
  <c r="F128" i="232"/>
  <c r="J128" i="135" s="1"/>
  <c r="E128" i="232"/>
  <c r="I128" i="135" s="1"/>
  <c r="P127" i="232"/>
  <c r="T127" i="135" s="1"/>
  <c r="O127" i="232"/>
  <c r="S127" i="135" s="1"/>
  <c r="N127" i="232"/>
  <c r="R127" i="135" s="1"/>
  <c r="M127" i="232"/>
  <c r="Q127" i="135" s="1"/>
  <c r="L127" i="232"/>
  <c r="P127" i="135" s="1"/>
  <c r="K127" i="232"/>
  <c r="O127" i="135" s="1"/>
  <c r="J127" i="232"/>
  <c r="N127" i="135" s="1"/>
  <c r="I127" i="232"/>
  <c r="M127" i="135" s="1"/>
  <c r="H127" i="232"/>
  <c r="L127" i="135" s="1"/>
  <c r="G127" i="232"/>
  <c r="K127" i="135" s="1"/>
  <c r="F127" i="232"/>
  <c r="J127" i="135" s="1"/>
  <c r="E127" i="232"/>
  <c r="I127" i="135" s="1"/>
  <c r="P126" i="232"/>
  <c r="T126" i="135" s="1"/>
  <c r="O126" i="232"/>
  <c r="S126" i="135" s="1"/>
  <c r="N126" i="232"/>
  <c r="R126" i="135" s="1"/>
  <c r="M126" i="232"/>
  <c r="Q126" i="135" s="1"/>
  <c r="L126" i="232"/>
  <c r="P126" i="135" s="1"/>
  <c r="K126" i="232"/>
  <c r="O126" i="135" s="1"/>
  <c r="J126" i="232"/>
  <c r="N126" i="135" s="1"/>
  <c r="I126" i="232"/>
  <c r="M126" i="135" s="1"/>
  <c r="H126" i="232"/>
  <c r="L126" i="135" s="1"/>
  <c r="G126" i="232"/>
  <c r="K126" i="135" s="1"/>
  <c r="F126" i="232"/>
  <c r="J126" i="135" s="1"/>
  <c r="E126" i="232"/>
  <c r="I126" i="135" s="1"/>
  <c r="P125" i="232"/>
  <c r="T125" i="135" s="1"/>
  <c r="O125" i="232"/>
  <c r="S125" i="135" s="1"/>
  <c r="N125" i="232"/>
  <c r="R125" i="135" s="1"/>
  <c r="M125" i="232"/>
  <c r="Q125" i="135" s="1"/>
  <c r="L125" i="232"/>
  <c r="P125" i="135" s="1"/>
  <c r="K125" i="232"/>
  <c r="O125" i="135" s="1"/>
  <c r="J125" i="232"/>
  <c r="N125" i="135" s="1"/>
  <c r="I125" i="232"/>
  <c r="M125" i="135" s="1"/>
  <c r="H125" i="232"/>
  <c r="L125" i="135" s="1"/>
  <c r="G125" i="232"/>
  <c r="K125" i="135" s="1"/>
  <c r="F125" i="232"/>
  <c r="J125" i="135" s="1"/>
  <c r="E125" i="232"/>
  <c r="I125" i="135" s="1"/>
  <c r="P124" i="232"/>
  <c r="T124" i="135" s="1"/>
  <c r="O124" i="232"/>
  <c r="S124" i="135" s="1"/>
  <c r="N124" i="232"/>
  <c r="R124" i="135" s="1"/>
  <c r="M124" i="232"/>
  <c r="Q124" i="135" s="1"/>
  <c r="L124" i="232"/>
  <c r="P124" i="135" s="1"/>
  <c r="K124" i="232"/>
  <c r="O124" i="135" s="1"/>
  <c r="J124" i="232"/>
  <c r="N124" i="135" s="1"/>
  <c r="I124" i="232"/>
  <c r="M124" i="135" s="1"/>
  <c r="H124" i="232"/>
  <c r="L124" i="135" s="1"/>
  <c r="G124" i="232"/>
  <c r="K124" i="135" s="1"/>
  <c r="F124" i="232"/>
  <c r="J124" i="135" s="1"/>
  <c r="E124" i="232"/>
  <c r="I124" i="135" s="1"/>
  <c r="P123" i="232"/>
  <c r="T123" i="135" s="1"/>
  <c r="O123" i="232"/>
  <c r="S123" i="135" s="1"/>
  <c r="N123" i="232"/>
  <c r="R123" i="135" s="1"/>
  <c r="M123" i="232"/>
  <c r="Q123" i="135" s="1"/>
  <c r="L123" i="232"/>
  <c r="P123" i="135" s="1"/>
  <c r="K123" i="232"/>
  <c r="O123" i="135" s="1"/>
  <c r="J123" i="232"/>
  <c r="N123" i="135" s="1"/>
  <c r="I123" i="232"/>
  <c r="M123" i="135" s="1"/>
  <c r="H123" i="232"/>
  <c r="L123" i="135" s="1"/>
  <c r="G123" i="232"/>
  <c r="K123" i="135" s="1"/>
  <c r="F123" i="232"/>
  <c r="J123" i="135" s="1"/>
  <c r="E123" i="232"/>
  <c r="I123" i="135" s="1"/>
  <c r="P122" i="232"/>
  <c r="T122" i="135" s="1"/>
  <c r="O122" i="232"/>
  <c r="S122" i="135" s="1"/>
  <c r="N122" i="232"/>
  <c r="R122" i="135" s="1"/>
  <c r="M122" i="232"/>
  <c r="Q122" i="135" s="1"/>
  <c r="L122" i="232"/>
  <c r="P122" i="135" s="1"/>
  <c r="K122" i="232"/>
  <c r="O122" i="135" s="1"/>
  <c r="J122" i="232"/>
  <c r="N122" i="135" s="1"/>
  <c r="I122" i="232"/>
  <c r="M122" i="135" s="1"/>
  <c r="H122" i="232"/>
  <c r="L122" i="135" s="1"/>
  <c r="G122" i="232"/>
  <c r="K122" i="135" s="1"/>
  <c r="F122" i="232"/>
  <c r="J122" i="135" s="1"/>
  <c r="E122" i="232"/>
  <c r="I122" i="135" s="1"/>
  <c r="P121" i="232"/>
  <c r="T121" i="135" s="1"/>
  <c r="O121" i="232"/>
  <c r="S121" i="135" s="1"/>
  <c r="N121" i="232"/>
  <c r="R121" i="135" s="1"/>
  <c r="M121" i="232"/>
  <c r="Q121" i="135" s="1"/>
  <c r="L121" i="232"/>
  <c r="P121" i="135" s="1"/>
  <c r="K121" i="232"/>
  <c r="O121" i="135" s="1"/>
  <c r="J121" i="232"/>
  <c r="N121" i="135" s="1"/>
  <c r="I121" i="232"/>
  <c r="M121" i="135" s="1"/>
  <c r="H121" i="232"/>
  <c r="L121" i="135" s="1"/>
  <c r="G121" i="232"/>
  <c r="K121" i="135" s="1"/>
  <c r="F121" i="232"/>
  <c r="J121" i="135" s="1"/>
  <c r="E121" i="232"/>
  <c r="I121" i="135" s="1"/>
  <c r="P120" i="232"/>
  <c r="T120" i="135" s="1"/>
  <c r="O120" i="232"/>
  <c r="S120" i="135" s="1"/>
  <c r="N120" i="232"/>
  <c r="R120" i="135" s="1"/>
  <c r="M120" i="232"/>
  <c r="Q120" i="135" s="1"/>
  <c r="L120" i="232"/>
  <c r="P120" i="135" s="1"/>
  <c r="K120" i="232"/>
  <c r="O120" i="135" s="1"/>
  <c r="J120" i="232"/>
  <c r="N120" i="135" s="1"/>
  <c r="I120" i="232"/>
  <c r="M120" i="135" s="1"/>
  <c r="H120" i="232"/>
  <c r="L120" i="135" s="1"/>
  <c r="G120" i="232"/>
  <c r="K120" i="135" s="1"/>
  <c r="F120" i="232"/>
  <c r="J120" i="135" s="1"/>
  <c r="E120" i="232"/>
  <c r="I120" i="135" s="1"/>
  <c r="P119" i="232"/>
  <c r="T119" i="135" s="1"/>
  <c r="O119" i="232"/>
  <c r="S119" i="135" s="1"/>
  <c r="N119" i="232"/>
  <c r="R119" i="135" s="1"/>
  <c r="M119" i="232"/>
  <c r="Q119" i="135" s="1"/>
  <c r="L119" i="232"/>
  <c r="P119" i="135" s="1"/>
  <c r="K119" i="232"/>
  <c r="O119" i="135" s="1"/>
  <c r="J119" i="232"/>
  <c r="N119" i="135" s="1"/>
  <c r="I119" i="232"/>
  <c r="M119" i="135" s="1"/>
  <c r="H119" i="232"/>
  <c r="L119" i="135" s="1"/>
  <c r="G119" i="232"/>
  <c r="K119" i="135" s="1"/>
  <c r="F119" i="232"/>
  <c r="J119" i="135" s="1"/>
  <c r="E119" i="232"/>
  <c r="I119" i="135" s="1"/>
  <c r="P118" i="232"/>
  <c r="T118" i="135" s="1"/>
  <c r="O118" i="232"/>
  <c r="S118" i="135" s="1"/>
  <c r="N118" i="232"/>
  <c r="R118" i="135" s="1"/>
  <c r="M118" i="232"/>
  <c r="Q118" i="135" s="1"/>
  <c r="L118" i="232"/>
  <c r="P118" i="135" s="1"/>
  <c r="K118" i="232"/>
  <c r="O118" i="135" s="1"/>
  <c r="J118" i="232"/>
  <c r="N118" i="135" s="1"/>
  <c r="I118" i="232"/>
  <c r="M118" i="135" s="1"/>
  <c r="H118" i="232"/>
  <c r="L118" i="135" s="1"/>
  <c r="G118" i="232"/>
  <c r="K118" i="135" s="1"/>
  <c r="F118" i="232"/>
  <c r="J118" i="135" s="1"/>
  <c r="E118" i="232"/>
  <c r="I118" i="135" s="1"/>
  <c r="P117" i="232"/>
  <c r="T117" i="135" s="1"/>
  <c r="O117" i="232"/>
  <c r="S117" i="135" s="1"/>
  <c r="N117" i="232"/>
  <c r="R117" i="135" s="1"/>
  <c r="M117" i="232"/>
  <c r="Q117" i="135" s="1"/>
  <c r="L117" i="232"/>
  <c r="P117" i="135" s="1"/>
  <c r="K117" i="232"/>
  <c r="O117" i="135" s="1"/>
  <c r="J117" i="232"/>
  <c r="N117" i="135" s="1"/>
  <c r="I117" i="232"/>
  <c r="M117" i="135" s="1"/>
  <c r="H117" i="232"/>
  <c r="L117" i="135" s="1"/>
  <c r="G117" i="232"/>
  <c r="K117" i="135" s="1"/>
  <c r="F117" i="232"/>
  <c r="J117" i="135" s="1"/>
  <c r="E117" i="232"/>
  <c r="I117" i="135" s="1"/>
  <c r="P115" i="232"/>
  <c r="T115" i="135" s="1"/>
  <c r="O115" i="232"/>
  <c r="S115" i="135" s="1"/>
  <c r="N115" i="232"/>
  <c r="R115" i="135" s="1"/>
  <c r="M115" i="232"/>
  <c r="Q115" i="135" s="1"/>
  <c r="L115" i="232"/>
  <c r="P115" i="135" s="1"/>
  <c r="K115" i="232"/>
  <c r="O115" i="135" s="1"/>
  <c r="J115" i="232"/>
  <c r="N115" i="135" s="1"/>
  <c r="I115" i="232"/>
  <c r="M115" i="135" s="1"/>
  <c r="H115" i="232"/>
  <c r="L115" i="135" s="1"/>
  <c r="G115" i="232"/>
  <c r="K115" i="135" s="1"/>
  <c r="F115" i="232"/>
  <c r="J115" i="135" s="1"/>
  <c r="E115" i="232"/>
  <c r="I115" i="135" s="1"/>
  <c r="P105" i="232"/>
  <c r="O105" i="232"/>
  <c r="N105" i="232"/>
  <c r="M105" i="232"/>
  <c r="L105" i="232"/>
  <c r="K105" i="232"/>
  <c r="J105" i="232"/>
  <c r="I105" i="232"/>
  <c r="H105" i="232"/>
  <c r="G105" i="232"/>
  <c r="F105" i="232"/>
  <c r="E105" i="232"/>
  <c r="P97" i="232"/>
  <c r="O97" i="232"/>
  <c r="N97" i="232"/>
  <c r="M97" i="232"/>
  <c r="L97" i="232"/>
  <c r="K97" i="232"/>
  <c r="J97" i="232"/>
  <c r="I97" i="232"/>
  <c r="H97" i="232"/>
  <c r="G97" i="232"/>
  <c r="F97" i="232"/>
  <c r="E97" i="232"/>
  <c r="P96" i="232"/>
  <c r="O96" i="232"/>
  <c r="N96" i="232"/>
  <c r="M96" i="232"/>
  <c r="L96" i="232"/>
  <c r="K96" i="232"/>
  <c r="J96" i="232"/>
  <c r="I96" i="232"/>
  <c r="H96" i="232"/>
  <c r="G96" i="232"/>
  <c r="F96" i="232"/>
  <c r="E96" i="232"/>
  <c r="P82" i="232"/>
  <c r="O82" i="232"/>
  <c r="N82" i="232"/>
  <c r="M82" i="232"/>
  <c r="L82" i="232"/>
  <c r="K82" i="232"/>
  <c r="J82" i="232"/>
  <c r="I82" i="232"/>
  <c r="H82" i="232"/>
  <c r="G82" i="232"/>
  <c r="F82" i="232"/>
  <c r="E82" i="232"/>
  <c r="P81" i="232"/>
  <c r="O81" i="232"/>
  <c r="N81" i="232"/>
  <c r="M81" i="232"/>
  <c r="L81" i="232"/>
  <c r="K81" i="232"/>
  <c r="J81" i="232"/>
  <c r="I81" i="232"/>
  <c r="H81" i="232"/>
  <c r="G81" i="232"/>
  <c r="F81" i="232"/>
  <c r="E81" i="232"/>
  <c r="P80" i="232"/>
  <c r="O80" i="232"/>
  <c r="N80" i="232"/>
  <c r="M80" i="232"/>
  <c r="L80" i="232"/>
  <c r="K80" i="232"/>
  <c r="J80" i="232"/>
  <c r="I80" i="232"/>
  <c r="H80" i="232"/>
  <c r="G80" i="232"/>
  <c r="F80" i="232"/>
  <c r="E80" i="232"/>
  <c r="P79" i="232"/>
  <c r="O79" i="232"/>
  <c r="N79" i="232"/>
  <c r="M79" i="232"/>
  <c r="L79" i="232"/>
  <c r="K79" i="232"/>
  <c r="J79" i="232"/>
  <c r="I79" i="232"/>
  <c r="H79" i="232"/>
  <c r="G79" i="232"/>
  <c r="F79" i="232"/>
  <c r="E79" i="232"/>
  <c r="P68" i="232"/>
  <c r="O68" i="232"/>
  <c r="N68" i="232"/>
  <c r="M68" i="232"/>
  <c r="L68" i="232"/>
  <c r="K68" i="232"/>
  <c r="J68" i="232"/>
  <c r="I68" i="232"/>
  <c r="H68" i="232"/>
  <c r="G68" i="232"/>
  <c r="F68" i="232"/>
  <c r="E68" i="232"/>
  <c r="P67" i="232"/>
  <c r="O67" i="232"/>
  <c r="N67" i="232"/>
  <c r="M67" i="232"/>
  <c r="L67" i="232"/>
  <c r="K67" i="232"/>
  <c r="J67" i="232"/>
  <c r="I67" i="232"/>
  <c r="H67" i="232"/>
  <c r="G67" i="232"/>
  <c r="F67" i="232"/>
  <c r="E67" i="232"/>
  <c r="P65" i="232"/>
  <c r="O65" i="232"/>
  <c r="N65" i="232"/>
  <c r="M65" i="232"/>
  <c r="L65" i="232"/>
  <c r="K65" i="232"/>
  <c r="J65" i="232"/>
  <c r="I65" i="232"/>
  <c r="H65" i="232"/>
  <c r="G65" i="232"/>
  <c r="F65" i="232"/>
  <c r="E65" i="232"/>
  <c r="P64" i="232"/>
  <c r="O64" i="232"/>
  <c r="N64" i="232"/>
  <c r="M64" i="232"/>
  <c r="L64" i="232"/>
  <c r="K64" i="232"/>
  <c r="J64" i="232"/>
  <c r="I64" i="232"/>
  <c r="H64" i="232"/>
  <c r="G64" i="232"/>
  <c r="F64" i="232"/>
  <c r="E64" i="232"/>
  <c r="P63" i="232"/>
  <c r="O63" i="232"/>
  <c r="N63" i="232"/>
  <c r="M63" i="232"/>
  <c r="L63" i="232"/>
  <c r="K63" i="232"/>
  <c r="J63" i="232"/>
  <c r="I63" i="232"/>
  <c r="H63" i="232"/>
  <c r="G63" i="232"/>
  <c r="F63" i="232"/>
  <c r="E63" i="232"/>
  <c r="P62" i="232"/>
  <c r="O62" i="232"/>
  <c r="N62" i="232"/>
  <c r="M62" i="232"/>
  <c r="L62" i="232"/>
  <c r="K62" i="232"/>
  <c r="J62" i="232"/>
  <c r="I62" i="232"/>
  <c r="H62" i="232"/>
  <c r="G62" i="232"/>
  <c r="F62" i="232"/>
  <c r="E62" i="232"/>
  <c r="P61" i="232"/>
  <c r="O61" i="232"/>
  <c r="N61" i="232"/>
  <c r="M61" i="232"/>
  <c r="L61" i="232"/>
  <c r="K61" i="232"/>
  <c r="J61" i="232"/>
  <c r="I61" i="232"/>
  <c r="H61" i="232"/>
  <c r="G61" i="232"/>
  <c r="F61" i="232"/>
  <c r="E61" i="232"/>
  <c r="P60" i="232"/>
  <c r="O60" i="232"/>
  <c r="N60" i="232"/>
  <c r="M60" i="232"/>
  <c r="L60" i="232"/>
  <c r="K60" i="232"/>
  <c r="J60" i="232"/>
  <c r="I60" i="232"/>
  <c r="H60" i="232"/>
  <c r="G60" i="232"/>
  <c r="F60" i="232"/>
  <c r="E60" i="232"/>
  <c r="P59" i="232"/>
  <c r="O59" i="232"/>
  <c r="N59" i="232"/>
  <c r="M59" i="232"/>
  <c r="L59" i="232"/>
  <c r="K59" i="232"/>
  <c r="J59" i="232"/>
  <c r="I59" i="232"/>
  <c r="H59" i="232"/>
  <c r="G59" i="232"/>
  <c r="F59" i="232"/>
  <c r="E59" i="232"/>
  <c r="P58" i="232"/>
  <c r="O58" i="232"/>
  <c r="N58" i="232"/>
  <c r="M58" i="232"/>
  <c r="L58" i="232"/>
  <c r="K58" i="232"/>
  <c r="J58" i="232"/>
  <c r="I58" i="232"/>
  <c r="H58" i="232"/>
  <c r="G58" i="232"/>
  <c r="F58" i="232"/>
  <c r="E58" i="232"/>
  <c r="P57" i="232"/>
  <c r="O57" i="232"/>
  <c r="N57" i="232"/>
  <c r="M57" i="232"/>
  <c r="L57" i="232"/>
  <c r="K57" i="232"/>
  <c r="J57" i="232"/>
  <c r="I57" i="232"/>
  <c r="H57" i="232"/>
  <c r="G57" i="232"/>
  <c r="F57" i="232"/>
  <c r="E57" i="232"/>
  <c r="P56" i="232"/>
  <c r="O56" i="232"/>
  <c r="N56" i="232"/>
  <c r="M56" i="232"/>
  <c r="L56" i="232"/>
  <c r="K56" i="232"/>
  <c r="J56" i="232"/>
  <c r="I56" i="232"/>
  <c r="H56" i="232"/>
  <c r="G56" i="232"/>
  <c r="F56" i="232"/>
  <c r="E56" i="232"/>
  <c r="P55" i="232"/>
  <c r="O55" i="232"/>
  <c r="N55" i="232"/>
  <c r="M55" i="232"/>
  <c r="L55" i="232"/>
  <c r="K55" i="232"/>
  <c r="J55" i="232"/>
  <c r="I55" i="232"/>
  <c r="H55" i="232"/>
  <c r="G55" i="232"/>
  <c r="F55" i="232"/>
  <c r="E55" i="232"/>
  <c r="P54" i="232"/>
  <c r="O54" i="232"/>
  <c r="N54" i="232"/>
  <c r="M54" i="232"/>
  <c r="L54" i="232"/>
  <c r="K54" i="232"/>
  <c r="J54" i="232"/>
  <c r="I54" i="232"/>
  <c r="H54" i="232"/>
  <c r="G54" i="232"/>
  <c r="F54" i="232"/>
  <c r="E54" i="232"/>
  <c r="P53" i="232"/>
  <c r="O53" i="232"/>
  <c r="N53" i="232"/>
  <c r="M53" i="232"/>
  <c r="L53" i="232"/>
  <c r="K53" i="232"/>
  <c r="J53" i="232"/>
  <c r="I53" i="232"/>
  <c r="H53" i="232"/>
  <c r="G53" i="232"/>
  <c r="F53" i="232"/>
  <c r="E53" i="232"/>
  <c r="P52" i="232"/>
  <c r="O52" i="232"/>
  <c r="N52" i="232"/>
  <c r="M52" i="232"/>
  <c r="L52" i="232"/>
  <c r="K52" i="232"/>
  <c r="J52" i="232"/>
  <c r="I52" i="232"/>
  <c r="H52" i="232"/>
  <c r="G52" i="232"/>
  <c r="F52" i="232"/>
  <c r="E52" i="232"/>
  <c r="P40" i="232"/>
  <c r="O40" i="232"/>
  <c r="N40" i="232"/>
  <c r="M40" i="232"/>
  <c r="L40" i="232"/>
  <c r="K40" i="232"/>
  <c r="J40" i="232"/>
  <c r="I40" i="232"/>
  <c r="H40" i="232"/>
  <c r="G40" i="232"/>
  <c r="F40" i="232"/>
  <c r="E40" i="232"/>
  <c r="P39" i="232"/>
  <c r="O39" i="232"/>
  <c r="N39" i="232"/>
  <c r="M39" i="232"/>
  <c r="L39" i="232"/>
  <c r="K39" i="232"/>
  <c r="J39" i="232"/>
  <c r="I39" i="232"/>
  <c r="H39" i="232"/>
  <c r="G39" i="232"/>
  <c r="F39" i="232"/>
  <c r="E39" i="232"/>
  <c r="P37" i="232"/>
  <c r="O37" i="232"/>
  <c r="N37" i="232"/>
  <c r="M37" i="232"/>
  <c r="L37" i="232"/>
  <c r="K37" i="232"/>
  <c r="J37" i="232"/>
  <c r="I37" i="232"/>
  <c r="H37" i="232"/>
  <c r="G37" i="232"/>
  <c r="F37" i="232"/>
  <c r="E37" i="232"/>
  <c r="P36" i="232"/>
  <c r="O36" i="232"/>
  <c r="N36" i="232"/>
  <c r="M36" i="232"/>
  <c r="L36" i="232"/>
  <c r="K36" i="232"/>
  <c r="J36" i="232"/>
  <c r="I36" i="232"/>
  <c r="H36" i="232"/>
  <c r="G36" i="232"/>
  <c r="F36" i="232"/>
  <c r="E36" i="232"/>
  <c r="P35" i="232"/>
  <c r="O35" i="232"/>
  <c r="N35" i="232"/>
  <c r="M35" i="232"/>
  <c r="L35" i="232"/>
  <c r="K35" i="232"/>
  <c r="J35" i="232"/>
  <c r="I35" i="232"/>
  <c r="H35" i="232"/>
  <c r="G35" i="232"/>
  <c r="F35" i="232"/>
  <c r="E35" i="232"/>
  <c r="P34" i="232"/>
  <c r="O34" i="232"/>
  <c r="N34" i="232"/>
  <c r="M34" i="232"/>
  <c r="L34" i="232"/>
  <c r="K34" i="232"/>
  <c r="J34" i="232"/>
  <c r="I34" i="232"/>
  <c r="H34" i="232"/>
  <c r="G34" i="232"/>
  <c r="F34" i="232"/>
  <c r="E34" i="232"/>
  <c r="P33" i="232"/>
  <c r="O33" i="232"/>
  <c r="N33" i="232"/>
  <c r="M33" i="232"/>
  <c r="L33" i="232"/>
  <c r="K33" i="232"/>
  <c r="J33" i="232"/>
  <c r="I33" i="232"/>
  <c r="H33" i="232"/>
  <c r="G33" i="232"/>
  <c r="F33" i="232"/>
  <c r="E33" i="232"/>
  <c r="P32" i="232"/>
  <c r="O32" i="232"/>
  <c r="N32" i="232"/>
  <c r="M32" i="232"/>
  <c r="L32" i="232"/>
  <c r="K32" i="232"/>
  <c r="J32" i="232"/>
  <c r="I32" i="232"/>
  <c r="H32" i="232"/>
  <c r="G32" i="232"/>
  <c r="F32" i="232"/>
  <c r="E32" i="232"/>
  <c r="P31" i="232"/>
  <c r="O31" i="232"/>
  <c r="N31" i="232"/>
  <c r="M31" i="232"/>
  <c r="L31" i="232"/>
  <c r="K31" i="232"/>
  <c r="J31" i="232"/>
  <c r="I31" i="232"/>
  <c r="H31" i="232"/>
  <c r="G31" i="232"/>
  <c r="F31" i="232"/>
  <c r="E31" i="232"/>
  <c r="P30" i="232"/>
  <c r="O30" i="232"/>
  <c r="N30" i="232"/>
  <c r="M30" i="232"/>
  <c r="L30" i="232"/>
  <c r="K30" i="232"/>
  <c r="J30" i="232"/>
  <c r="I30" i="232"/>
  <c r="H30" i="232"/>
  <c r="G30" i="232"/>
  <c r="F30" i="232"/>
  <c r="E30" i="232"/>
  <c r="P17" i="232"/>
  <c r="O17" i="232"/>
  <c r="N17" i="232"/>
  <c r="M17" i="232"/>
  <c r="L17" i="232"/>
  <c r="K17" i="232"/>
  <c r="J17" i="232"/>
  <c r="I17" i="232"/>
  <c r="H17" i="232"/>
  <c r="G17" i="232"/>
  <c r="F17" i="232"/>
  <c r="E17" i="232"/>
  <c r="P16" i="232"/>
  <c r="O16" i="232"/>
  <c r="N16" i="232"/>
  <c r="M16" i="232"/>
  <c r="L16" i="232"/>
  <c r="K16" i="232"/>
  <c r="J16" i="232"/>
  <c r="I16" i="232"/>
  <c r="H16" i="232"/>
  <c r="G16" i="232"/>
  <c r="F16" i="232"/>
  <c r="E16" i="232"/>
  <c r="P15" i="232"/>
  <c r="O15" i="232"/>
  <c r="N15" i="232"/>
  <c r="M15" i="232"/>
  <c r="L15" i="232"/>
  <c r="K15" i="232"/>
  <c r="J15" i="232"/>
  <c r="I15" i="232"/>
  <c r="H15" i="232"/>
  <c r="G15" i="232"/>
  <c r="F15" i="232"/>
  <c r="E15" i="232"/>
  <c r="P14" i="232"/>
  <c r="O14" i="232"/>
  <c r="N14" i="232"/>
  <c r="M14" i="232"/>
  <c r="L14" i="232"/>
  <c r="K14" i="232"/>
  <c r="J14" i="232"/>
  <c r="I14" i="232"/>
  <c r="H14" i="232"/>
  <c r="G14" i="232"/>
  <c r="F14" i="232"/>
  <c r="E14" i="232"/>
  <c r="P13" i="232"/>
  <c r="O13" i="232"/>
  <c r="N13" i="232"/>
  <c r="M13" i="232"/>
  <c r="L13" i="232"/>
  <c r="K13" i="232"/>
  <c r="J13" i="232"/>
  <c r="I13" i="232"/>
  <c r="H13" i="232"/>
  <c r="G13" i="232"/>
  <c r="F13" i="232"/>
  <c r="E13" i="232"/>
  <c r="P12" i="232"/>
  <c r="O12" i="232"/>
  <c r="N12" i="232"/>
  <c r="M12" i="232"/>
  <c r="L12" i="232"/>
  <c r="K12" i="232"/>
  <c r="J12" i="232"/>
  <c r="I12" i="232"/>
  <c r="H12" i="232"/>
  <c r="G12" i="232"/>
  <c r="F12" i="232"/>
  <c r="E12" i="232"/>
  <c r="P11" i="232"/>
  <c r="O11" i="232"/>
  <c r="N11" i="232"/>
  <c r="M11" i="232"/>
  <c r="L11" i="232"/>
  <c r="K11" i="232"/>
  <c r="J11" i="232"/>
  <c r="I11" i="232"/>
  <c r="H11" i="232"/>
  <c r="G11" i="232"/>
  <c r="F11" i="232"/>
  <c r="E11" i="232"/>
  <c r="E10" i="232"/>
  <c r="H158" i="234"/>
  <c r="P157" i="228"/>
  <c r="O157" i="228"/>
  <c r="N157" i="228"/>
  <c r="M157" i="228"/>
  <c r="L157" i="228"/>
  <c r="K157" i="228"/>
  <c r="J157" i="228"/>
  <c r="I157" i="228"/>
  <c r="H157" i="228"/>
  <c r="G157" i="228"/>
  <c r="F157" i="228"/>
  <c r="E157" i="228"/>
  <c r="J279" i="234"/>
  <c r="J280" i="234"/>
  <c r="J281" i="234"/>
  <c r="J282" i="234"/>
  <c r="I279" i="234"/>
  <c r="I280" i="234"/>
  <c r="I281" i="234"/>
  <c r="I282" i="234"/>
  <c r="J143" i="234"/>
  <c r="J144" i="234"/>
  <c r="J145" i="234"/>
  <c r="J146" i="234"/>
  <c r="J147" i="234"/>
  <c r="J148" i="234"/>
  <c r="J151" i="234"/>
  <c r="J152" i="234"/>
  <c r="J153" i="234"/>
  <c r="J154" i="234"/>
  <c r="J156" i="234"/>
  <c r="J157" i="234"/>
  <c r="J159" i="234"/>
  <c r="J160" i="234"/>
  <c r="I143" i="234"/>
  <c r="I144" i="234"/>
  <c r="I145" i="234"/>
  <c r="I146" i="234"/>
  <c r="I147" i="234"/>
  <c r="I148" i="234"/>
  <c r="I151" i="234"/>
  <c r="I152" i="234"/>
  <c r="I153" i="234"/>
  <c r="I154" i="234"/>
  <c r="I156" i="234"/>
  <c r="I157" i="234"/>
  <c r="I159" i="234"/>
  <c r="J169" i="234"/>
  <c r="J168" i="234"/>
  <c r="I169" i="234"/>
  <c r="K169" i="234" s="1"/>
  <c r="I168" i="234"/>
  <c r="E167" i="236"/>
  <c r="F167" i="236"/>
  <c r="G167" i="236"/>
  <c r="H167" i="236"/>
  <c r="I167" i="236"/>
  <c r="J167" i="236"/>
  <c r="K167" i="236"/>
  <c r="L167" i="236"/>
  <c r="M167" i="236"/>
  <c r="N167" i="236"/>
  <c r="O167" i="236"/>
  <c r="P167" i="236"/>
  <c r="Q506" i="236"/>
  <c r="E168" i="236"/>
  <c r="F168" i="236"/>
  <c r="G168" i="236"/>
  <c r="H168" i="236"/>
  <c r="I168" i="236"/>
  <c r="J168" i="236"/>
  <c r="K168" i="236"/>
  <c r="L168" i="236"/>
  <c r="M168" i="236"/>
  <c r="N168" i="236"/>
  <c r="O168" i="236"/>
  <c r="P168" i="236"/>
  <c r="E107" i="236"/>
  <c r="F107" i="236"/>
  <c r="G107" i="236"/>
  <c r="H107" i="236"/>
  <c r="I107" i="236"/>
  <c r="J107" i="236"/>
  <c r="K107" i="236"/>
  <c r="L107" i="236"/>
  <c r="M107" i="236"/>
  <c r="N107" i="236"/>
  <c r="O107" i="236"/>
  <c r="P107" i="236"/>
  <c r="E108" i="236"/>
  <c r="F108" i="236"/>
  <c r="G108" i="236"/>
  <c r="H108" i="236"/>
  <c r="I108" i="236"/>
  <c r="J108" i="236"/>
  <c r="K108" i="236"/>
  <c r="L108" i="236"/>
  <c r="M108" i="236"/>
  <c r="N108" i="236"/>
  <c r="O108" i="236"/>
  <c r="P108" i="236"/>
  <c r="E109" i="236"/>
  <c r="F109" i="236"/>
  <c r="G109" i="236"/>
  <c r="H109" i="236"/>
  <c r="I109" i="236"/>
  <c r="J109" i="236"/>
  <c r="K109" i="236"/>
  <c r="L109" i="236"/>
  <c r="M109" i="236"/>
  <c r="N109" i="236"/>
  <c r="O109" i="236"/>
  <c r="P109" i="236"/>
  <c r="E110" i="236"/>
  <c r="F110" i="236"/>
  <c r="G110" i="236"/>
  <c r="H110" i="236"/>
  <c r="I110" i="236"/>
  <c r="J110" i="236"/>
  <c r="K110" i="236"/>
  <c r="L110" i="236"/>
  <c r="M110" i="236"/>
  <c r="N110" i="236"/>
  <c r="O110" i="236"/>
  <c r="P110" i="236"/>
  <c r="E111" i="236"/>
  <c r="F111" i="236"/>
  <c r="G111" i="236"/>
  <c r="H111" i="236"/>
  <c r="I111" i="236"/>
  <c r="J111" i="236"/>
  <c r="K111" i="236"/>
  <c r="L111" i="236"/>
  <c r="M111" i="236"/>
  <c r="N111" i="236"/>
  <c r="O111" i="236"/>
  <c r="P111" i="236"/>
  <c r="E112" i="236"/>
  <c r="F112" i="236"/>
  <c r="G112" i="236"/>
  <c r="H112" i="236"/>
  <c r="I112" i="236"/>
  <c r="J112" i="236"/>
  <c r="K112" i="236"/>
  <c r="L112" i="236"/>
  <c r="M112" i="236"/>
  <c r="N112" i="236"/>
  <c r="O112" i="236"/>
  <c r="P112" i="236"/>
  <c r="E98" i="236"/>
  <c r="F98" i="236"/>
  <c r="G98" i="236"/>
  <c r="H98" i="236"/>
  <c r="I98" i="236"/>
  <c r="J98" i="236"/>
  <c r="K98" i="236"/>
  <c r="L98" i="236"/>
  <c r="M98" i="236"/>
  <c r="N98" i="236"/>
  <c r="O98" i="236"/>
  <c r="P98" i="236"/>
  <c r="E99" i="236"/>
  <c r="F99" i="236"/>
  <c r="G99" i="236"/>
  <c r="H99" i="236"/>
  <c r="I99" i="236"/>
  <c r="J99" i="236"/>
  <c r="K99" i="236"/>
  <c r="L99" i="236"/>
  <c r="M99" i="236"/>
  <c r="N99" i="236"/>
  <c r="O99" i="236"/>
  <c r="P99" i="236"/>
  <c r="E100" i="236"/>
  <c r="F100" i="236"/>
  <c r="G100" i="236"/>
  <c r="H100" i="236"/>
  <c r="I100" i="236"/>
  <c r="J100" i="236"/>
  <c r="K100" i="236"/>
  <c r="L100" i="236"/>
  <c r="M100" i="236"/>
  <c r="N100" i="236"/>
  <c r="O100" i="236"/>
  <c r="P100" i="236"/>
  <c r="E101" i="236"/>
  <c r="F101" i="236"/>
  <c r="G101" i="236"/>
  <c r="H101" i="236"/>
  <c r="I101" i="236"/>
  <c r="J101" i="236"/>
  <c r="K101" i="236"/>
  <c r="L101" i="236"/>
  <c r="M101" i="236"/>
  <c r="N101" i="236"/>
  <c r="O101" i="236"/>
  <c r="P101" i="236"/>
  <c r="E102" i="236"/>
  <c r="F102" i="236"/>
  <c r="G102" i="236"/>
  <c r="H102" i="236"/>
  <c r="I102" i="236"/>
  <c r="J102" i="236"/>
  <c r="K102" i="236"/>
  <c r="L102" i="236"/>
  <c r="M102" i="236"/>
  <c r="N102" i="236"/>
  <c r="O102" i="236"/>
  <c r="P102" i="236"/>
  <c r="E81" i="236"/>
  <c r="F81" i="236"/>
  <c r="G81" i="236"/>
  <c r="H81" i="236"/>
  <c r="I81" i="236"/>
  <c r="J81" i="236"/>
  <c r="K81" i="236"/>
  <c r="L81" i="236"/>
  <c r="M81" i="236"/>
  <c r="N81" i="236"/>
  <c r="O81" i="236"/>
  <c r="P81" i="236"/>
  <c r="E83" i="236"/>
  <c r="F83" i="236"/>
  <c r="G83" i="236"/>
  <c r="H83" i="236"/>
  <c r="I83" i="236"/>
  <c r="J83" i="236"/>
  <c r="K83" i="236"/>
  <c r="L83" i="236"/>
  <c r="M83" i="236"/>
  <c r="N83" i="236"/>
  <c r="O83" i="236"/>
  <c r="P83" i="236"/>
  <c r="E84" i="236"/>
  <c r="F84" i="236"/>
  <c r="G84" i="236"/>
  <c r="H84" i="236"/>
  <c r="I84" i="236"/>
  <c r="J84" i="236"/>
  <c r="K84" i="236"/>
  <c r="L84" i="236"/>
  <c r="M84" i="236"/>
  <c r="N84" i="236"/>
  <c r="O84" i="236"/>
  <c r="P84" i="236"/>
  <c r="E85" i="236"/>
  <c r="F85" i="236"/>
  <c r="G85" i="236"/>
  <c r="H85" i="236"/>
  <c r="I85" i="236"/>
  <c r="J85" i="236"/>
  <c r="K85" i="236"/>
  <c r="L85" i="236"/>
  <c r="M85" i="236"/>
  <c r="N85" i="236"/>
  <c r="O85" i="236"/>
  <c r="P85" i="236"/>
  <c r="E86" i="236"/>
  <c r="F86" i="236"/>
  <c r="G86" i="236"/>
  <c r="H86" i="236"/>
  <c r="I86" i="236"/>
  <c r="J86" i="236"/>
  <c r="K86" i="236"/>
  <c r="L86" i="236"/>
  <c r="M86" i="236"/>
  <c r="N86" i="236"/>
  <c r="O86" i="236"/>
  <c r="P86" i="236"/>
  <c r="E87" i="236"/>
  <c r="F87" i="236"/>
  <c r="G87" i="236"/>
  <c r="H87" i="236"/>
  <c r="I87" i="236"/>
  <c r="J87" i="236"/>
  <c r="K87" i="236"/>
  <c r="L87" i="236"/>
  <c r="M87" i="236"/>
  <c r="N87" i="236"/>
  <c r="O87" i="236"/>
  <c r="P87" i="236"/>
  <c r="E88" i="236"/>
  <c r="F88" i="236"/>
  <c r="G88" i="236"/>
  <c r="H88" i="236"/>
  <c r="I88" i="236"/>
  <c r="J88" i="236"/>
  <c r="K88" i="236"/>
  <c r="L88" i="236"/>
  <c r="M88" i="236"/>
  <c r="N88" i="236"/>
  <c r="O88" i="236"/>
  <c r="P88" i="236"/>
  <c r="E89" i="236"/>
  <c r="F89" i="236"/>
  <c r="G89" i="236"/>
  <c r="H89" i="236"/>
  <c r="I89" i="236"/>
  <c r="J89" i="236"/>
  <c r="K89" i="236"/>
  <c r="L89" i="236"/>
  <c r="M89" i="236"/>
  <c r="N89" i="236"/>
  <c r="O89" i="236"/>
  <c r="P89" i="236"/>
  <c r="E90" i="236"/>
  <c r="F90" i="236"/>
  <c r="G90" i="236"/>
  <c r="H90" i="236"/>
  <c r="I90" i="236"/>
  <c r="J90" i="236"/>
  <c r="K90" i="236"/>
  <c r="L90" i="236"/>
  <c r="M90" i="236"/>
  <c r="N90" i="236"/>
  <c r="O90" i="236"/>
  <c r="P90" i="236"/>
  <c r="E91" i="236"/>
  <c r="F91" i="236"/>
  <c r="G91" i="236"/>
  <c r="H91" i="236"/>
  <c r="I91" i="236"/>
  <c r="J91" i="236"/>
  <c r="K91" i="236"/>
  <c r="L91" i="236"/>
  <c r="M91" i="236"/>
  <c r="N91" i="236"/>
  <c r="O91" i="236"/>
  <c r="P91" i="236"/>
  <c r="E92" i="236"/>
  <c r="F92" i="236"/>
  <c r="G92" i="236"/>
  <c r="H92" i="236"/>
  <c r="I92" i="236"/>
  <c r="J92" i="236"/>
  <c r="K92" i="236"/>
  <c r="L92" i="236"/>
  <c r="M92" i="236"/>
  <c r="N92" i="236"/>
  <c r="O92" i="236"/>
  <c r="P92" i="236"/>
  <c r="E74" i="236"/>
  <c r="F74" i="236"/>
  <c r="G74" i="236"/>
  <c r="H74" i="236"/>
  <c r="I74" i="236"/>
  <c r="J74" i="236"/>
  <c r="K74" i="236"/>
  <c r="L74" i="236"/>
  <c r="M74" i="236"/>
  <c r="N74" i="236"/>
  <c r="O74" i="236"/>
  <c r="P74" i="236"/>
  <c r="E75" i="236"/>
  <c r="F75" i="236"/>
  <c r="G75" i="236"/>
  <c r="H75" i="236"/>
  <c r="I75" i="236"/>
  <c r="J75" i="236"/>
  <c r="K75" i="236"/>
  <c r="L75" i="236"/>
  <c r="M75" i="236"/>
  <c r="N75" i="236"/>
  <c r="O75" i="236"/>
  <c r="P75" i="236"/>
  <c r="E76" i="236"/>
  <c r="F76" i="236"/>
  <c r="G76" i="236"/>
  <c r="H76" i="236"/>
  <c r="I76" i="236"/>
  <c r="J76" i="236"/>
  <c r="K76" i="236"/>
  <c r="L76" i="236"/>
  <c r="M76" i="236"/>
  <c r="N76" i="236"/>
  <c r="O76" i="236"/>
  <c r="P76" i="236"/>
  <c r="E32" i="236"/>
  <c r="F32" i="236"/>
  <c r="G32" i="236"/>
  <c r="H32" i="236"/>
  <c r="I32" i="236"/>
  <c r="J32" i="236"/>
  <c r="K32" i="236"/>
  <c r="L32" i="236"/>
  <c r="M32" i="236"/>
  <c r="N32" i="236"/>
  <c r="O32" i="236"/>
  <c r="P32" i="236"/>
  <c r="E33" i="236"/>
  <c r="F33" i="236"/>
  <c r="G33" i="236"/>
  <c r="H33" i="236"/>
  <c r="I33" i="236"/>
  <c r="J33" i="236"/>
  <c r="K33" i="236"/>
  <c r="L33" i="236"/>
  <c r="M33" i="236"/>
  <c r="N33" i="236"/>
  <c r="O33" i="236"/>
  <c r="P33" i="236"/>
  <c r="E34" i="236"/>
  <c r="F34" i="236"/>
  <c r="G34" i="236"/>
  <c r="H34" i="236"/>
  <c r="I34" i="236"/>
  <c r="J34" i="236"/>
  <c r="K34" i="236"/>
  <c r="L34" i="236"/>
  <c r="M34" i="236"/>
  <c r="N34" i="236"/>
  <c r="O34" i="236"/>
  <c r="P34" i="236"/>
  <c r="E35" i="236"/>
  <c r="F35" i="236"/>
  <c r="G35" i="236"/>
  <c r="H35" i="236"/>
  <c r="I35" i="236"/>
  <c r="J35" i="236"/>
  <c r="K35" i="236"/>
  <c r="L35" i="236"/>
  <c r="M35" i="236"/>
  <c r="N35" i="236"/>
  <c r="O35" i="236"/>
  <c r="P35" i="236"/>
  <c r="E36" i="236"/>
  <c r="F36" i="236"/>
  <c r="G36" i="236"/>
  <c r="H36" i="236"/>
  <c r="I36" i="236"/>
  <c r="J36" i="236"/>
  <c r="K36" i="236"/>
  <c r="L36" i="236"/>
  <c r="M36" i="236"/>
  <c r="N36" i="236"/>
  <c r="O36" i="236"/>
  <c r="P36" i="236"/>
  <c r="E37" i="236"/>
  <c r="F37" i="236"/>
  <c r="G37" i="236"/>
  <c r="H37" i="236"/>
  <c r="I37" i="236"/>
  <c r="J37" i="236"/>
  <c r="K37" i="236"/>
  <c r="L37" i="236"/>
  <c r="M37" i="236"/>
  <c r="N37" i="236"/>
  <c r="O37" i="236"/>
  <c r="P37" i="236"/>
  <c r="E38" i="236"/>
  <c r="F38" i="236"/>
  <c r="G38" i="236"/>
  <c r="H38" i="236"/>
  <c r="I38" i="236"/>
  <c r="J38" i="236"/>
  <c r="K38" i="236"/>
  <c r="L38" i="236"/>
  <c r="M38" i="236"/>
  <c r="N38" i="236"/>
  <c r="O38" i="236"/>
  <c r="P38" i="236"/>
  <c r="E39" i="236"/>
  <c r="F39" i="236"/>
  <c r="G39" i="236"/>
  <c r="H39" i="236"/>
  <c r="I39" i="236"/>
  <c r="J39" i="236"/>
  <c r="K39" i="236"/>
  <c r="L39" i="236"/>
  <c r="M39" i="236"/>
  <c r="N39" i="236"/>
  <c r="O39" i="236"/>
  <c r="P39" i="236"/>
  <c r="E41" i="236"/>
  <c r="F41" i="236"/>
  <c r="G41" i="236"/>
  <c r="H41" i="236"/>
  <c r="I41" i="236"/>
  <c r="J41" i="236"/>
  <c r="K41" i="236"/>
  <c r="L41" i="236"/>
  <c r="M41" i="236"/>
  <c r="N41" i="236"/>
  <c r="O41" i="236"/>
  <c r="P41" i="236"/>
  <c r="E43" i="236"/>
  <c r="F43" i="236"/>
  <c r="G43" i="236"/>
  <c r="H43" i="236"/>
  <c r="I43" i="236"/>
  <c r="J43" i="236"/>
  <c r="K43" i="236"/>
  <c r="L43" i="236"/>
  <c r="M43" i="236"/>
  <c r="N43" i="236"/>
  <c r="O43" i="236"/>
  <c r="P43" i="236"/>
  <c r="E44" i="236"/>
  <c r="F44" i="236"/>
  <c r="G44" i="236"/>
  <c r="H44" i="236"/>
  <c r="I44" i="236"/>
  <c r="J44" i="236"/>
  <c r="K44" i="236"/>
  <c r="L44" i="236"/>
  <c r="M44" i="236"/>
  <c r="N44" i="236"/>
  <c r="O44" i="236"/>
  <c r="P44" i="236"/>
  <c r="E45" i="236"/>
  <c r="F45" i="236"/>
  <c r="G45" i="236"/>
  <c r="H45" i="236"/>
  <c r="I45" i="236"/>
  <c r="J45" i="236"/>
  <c r="K45" i="236"/>
  <c r="L45" i="236"/>
  <c r="M45" i="236"/>
  <c r="N45" i="236"/>
  <c r="O45" i="236"/>
  <c r="P45" i="236"/>
  <c r="E46" i="236"/>
  <c r="F46" i="236"/>
  <c r="G46" i="236"/>
  <c r="H46" i="236"/>
  <c r="I46" i="236"/>
  <c r="J46" i="236"/>
  <c r="K46" i="236"/>
  <c r="L46" i="236"/>
  <c r="M46" i="236"/>
  <c r="N46" i="236"/>
  <c r="O46" i="236"/>
  <c r="P46" i="236"/>
  <c r="E47" i="236"/>
  <c r="F47" i="236"/>
  <c r="G47" i="236"/>
  <c r="H47" i="236"/>
  <c r="I47" i="236"/>
  <c r="J47" i="236"/>
  <c r="K47" i="236"/>
  <c r="L47" i="236"/>
  <c r="M47" i="236"/>
  <c r="N47" i="236"/>
  <c r="O47" i="236"/>
  <c r="P47" i="236"/>
  <c r="E18" i="236"/>
  <c r="F18" i="236"/>
  <c r="G18" i="236"/>
  <c r="H18" i="236"/>
  <c r="I18" i="236"/>
  <c r="J18" i="236"/>
  <c r="K18" i="236"/>
  <c r="L18" i="236"/>
  <c r="M18" i="236"/>
  <c r="N18" i="236"/>
  <c r="O18" i="236"/>
  <c r="P18" i="236"/>
  <c r="E19" i="236"/>
  <c r="F19" i="236"/>
  <c r="G19" i="236"/>
  <c r="H19" i="236"/>
  <c r="I19" i="236"/>
  <c r="J19" i="236"/>
  <c r="K19" i="236"/>
  <c r="L19" i="236"/>
  <c r="M19" i="236"/>
  <c r="N19" i="236"/>
  <c r="O19" i="236"/>
  <c r="P19" i="236"/>
  <c r="E20" i="236"/>
  <c r="F20" i="236"/>
  <c r="G20" i="236"/>
  <c r="H20" i="236"/>
  <c r="I20" i="236"/>
  <c r="J20" i="236"/>
  <c r="K20" i="236"/>
  <c r="L20" i="236"/>
  <c r="M20" i="236"/>
  <c r="N20" i="236"/>
  <c r="O20" i="236"/>
  <c r="P20" i="236"/>
  <c r="E21" i="236"/>
  <c r="F21" i="236"/>
  <c r="G21" i="236"/>
  <c r="H21" i="236"/>
  <c r="I21" i="236"/>
  <c r="J21" i="236"/>
  <c r="K21" i="236"/>
  <c r="L21" i="236"/>
  <c r="M21" i="236"/>
  <c r="N21" i="236"/>
  <c r="O21" i="236"/>
  <c r="P21" i="236"/>
  <c r="E22" i="236"/>
  <c r="F22" i="236"/>
  <c r="G22" i="236"/>
  <c r="H22" i="236"/>
  <c r="I22" i="236"/>
  <c r="J22" i="236"/>
  <c r="K22" i="236"/>
  <c r="L22" i="236"/>
  <c r="M22" i="236"/>
  <c r="N22" i="236"/>
  <c r="O22" i="236"/>
  <c r="P22" i="236"/>
  <c r="E23" i="236"/>
  <c r="F23" i="236"/>
  <c r="G23" i="236"/>
  <c r="H23" i="236"/>
  <c r="I23" i="236"/>
  <c r="J23" i="236"/>
  <c r="K23" i="236"/>
  <c r="L23" i="236"/>
  <c r="M23" i="236"/>
  <c r="N23" i="236"/>
  <c r="O23" i="236"/>
  <c r="P23" i="236"/>
  <c r="E24" i="236"/>
  <c r="F24" i="236"/>
  <c r="G24" i="236"/>
  <c r="H24" i="236"/>
  <c r="I24" i="236"/>
  <c r="J24" i="236"/>
  <c r="K24" i="236"/>
  <c r="L24" i="236"/>
  <c r="M24" i="236"/>
  <c r="N24" i="236"/>
  <c r="O24" i="236"/>
  <c r="P24" i="236"/>
  <c r="E25" i="236"/>
  <c r="F25" i="236"/>
  <c r="G25" i="236"/>
  <c r="H25" i="236"/>
  <c r="I25" i="236"/>
  <c r="J25" i="236"/>
  <c r="K25" i="236"/>
  <c r="L25" i="236"/>
  <c r="M25" i="236"/>
  <c r="N25" i="236"/>
  <c r="O25" i="236"/>
  <c r="P25" i="236"/>
  <c r="E26" i="236"/>
  <c r="F26" i="236"/>
  <c r="G26" i="236"/>
  <c r="H26" i="236"/>
  <c r="I26" i="236"/>
  <c r="J26" i="236"/>
  <c r="K26" i="236"/>
  <c r="L26" i="236"/>
  <c r="M26" i="236"/>
  <c r="N26" i="236"/>
  <c r="O26" i="236"/>
  <c r="P26" i="236"/>
  <c r="E27" i="236"/>
  <c r="F27" i="236"/>
  <c r="G27" i="236"/>
  <c r="H27" i="236"/>
  <c r="I27" i="236"/>
  <c r="J27" i="236"/>
  <c r="K27" i="236"/>
  <c r="L27" i="236"/>
  <c r="M27" i="236"/>
  <c r="N27" i="236"/>
  <c r="O27" i="236"/>
  <c r="P27" i="236"/>
  <c r="E28" i="236"/>
  <c r="F28" i="236"/>
  <c r="G28" i="236"/>
  <c r="H28" i="236"/>
  <c r="I28" i="236"/>
  <c r="J28" i="236"/>
  <c r="K28" i="236"/>
  <c r="L28" i="236"/>
  <c r="M28" i="236"/>
  <c r="N28" i="236"/>
  <c r="O28" i="236"/>
  <c r="P28" i="236"/>
  <c r="E508" i="236"/>
  <c r="P508" i="236"/>
  <c r="P169" i="236" s="1"/>
  <c r="P170" i="236" s="1"/>
  <c r="O508" i="236"/>
  <c r="O169" i="236" s="1"/>
  <c r="O170" i="236" s="1"/>
  <c r="N508" i="236"/>
  <c r="N169" i="236" s="1"/>
  <c r="N170" i="236" s="1"/>
  <c r="M508" i="236"/>
  <c r="M169" i="236" s="1"/>
  <c r="M170" i="236" s="1"/>
  <c r="L508" i="236"/>
  <c r="L169" i="236" s="1"/>
  <c r="K508" i="236"/>
  <c r="J508" i="236"/>
  <c r="J169" i="236" s="1"/>
  <c r="J170" i="236" s="1"/>
  <c r="I508" i="236"/>
  <c r="I169" i="236" s="1"/>
  <c r="I170" i="236" s="1"/>
  <c r="H508" i="236"/>
  <c r="H169" i="236" s="1"/>
  <c r="H170" i="236" s="1"/>
  <c r="G508" i="236"/>
  <c r="G169" i="236" s="1"/>
  <c r="G170" i="236" s="1"/>
  <c r="F508" i="236"/>
  <c r="E146" i="236"/>
  <c r="F146" i="236"/>
  <c r="G146" i="236"/>
  <c r="H146" i="236"/>
  <c r="I146" i="236"/>
  <c r="J146" i="236"/>
  <c r="K146" i="236"/>
  <c r="L146" i="236"/>
  <c r="M146" i="236"/>
  <c r="N146" i="236"/>
  <c r="O146" i="236"/>
  <c r="P146" i="236"/>
  <c r="E147" i="236"/>
  <c r="F147" i="236"/>
  <c r="G147" i="236"/>
  <c r="H147" i="236"/>
  <c r="I147" i="236"/>
  <c r="J147" i="236"/>
  <c r="K147" i="236"/>
  <c r="L147" i="236"/>
  <c r="M147" i="236"/>
  <c r="N147" i="236"/>
  <c r="O147" i="236"/>
  <c r="P147" i="236"/>
  <c r="E150" i="236"/>
  <c r="F150" i="236"/>
  <c r="G150" i="236"/>
  <c r="H150" i="236"/>
  <c r="I150" i="236"/>
  <c r="J150" i="236"/>
  <c r="K150" i="236"/>
  <c r="L150" i="236"/>
  <c r="M150" i="236"/>
  <c r="N150" i="236"/>
  <c r="O150" i="236"/>
  <c r="P150" i="236"/>
  <c r="E151" i="236"/>
  <c r="F151" i="236"/>
  <c r="G151" i="236"/>
  <c r="H151" i="236"/>
  <c r="I151" i="236"/>
  <c r="J151" i="236"/>
  <c r="K151" i="236"/>
  <c r="L151" i="236"/>
  <c r="M151" i="236"/>
  <c r="N151" i="236"/>
  <c r="O151" i="236"/>
  <c r="P151" i="236"/>
  <c r="E152" i="236"/>
  <c r="F152" i="236"/>
  <c r="G152" i="236"/>
  <c r="H152" i="236"/>
  <c r="I152" i="236"/>
  <c r="J152" i="236"/>
  <c r="K152" i="236"/>
  <c r="L152" i="236"/>
  <c r="M152" i="236"/>
  <c r="N152" i="236"/>
  <c r="O152" i="236"/>
  <c r="P152" i="236"/>
  <c r="E153" i="236"/>
  <c r="F153" i="236"/>
  <c r="G153" i="236"/>
  <c r="H153" i="236"/>
  <c r="I153" i="236"/>
  <c r="J153" i="236"/>
  <c r="K153" i="236"/>
  <c r="L153" i="236"/>
  <c r="M153" i="236"/>
  <c r="N153" i="236"/>
  <c r="O153" i="236"/>
  <c r="P153" i="236"/>
  <c r="E155" i="236"/>
  <c r="F155" i="236"/>
  <c r="G155" i="236"/>
  <c r="H155" i="236"/>
  <c r="I155" i="236"/>
  <c r="J155" i="236"/>
  <c r="K155" i="236"/>
  <c r="L155" i="236"/>
  <c r="M155" i="236"/>
  <c r="N155" i="236"/>
  <c r="O155" i="236"/>
  <c r="P155" i="236"/>
  <c r="Q616" i="236"/>
  <c r="Q617" i="236"/>
  <c r="Q618" i="236"/>
  <c r="Q619" i="236"/>
  <c r="Q620" i="236"/>
  <c r="E657" i="236"/>
  <c r="F657" i="236"/>
  <c r="G657" i="236"/>
  <c r="H657" i="236"/>
  <c r="I657" i="236"/>
  <c r="J657" i="236"/>
  <c r="K657" i="236"/>
  <c r="L657" i="236"/>
  <c r="M657" i="236"/>
  <c r="N657" i="236"/>
  <c r="O657" i="236"/>
  <c r="P657" i="236"/>
  <c r="E658" i="236"/>
  <c r="F658" i="236"/>
  <c r="G658" i="236"/>
  <c r="H658" i="236"/>
  <c r="I658" i="236"/>
  <c r="J658" i="236"/>
  <c r="K658" i="236"/>
  <c r="L658" i="236"/>
  <c r="M658" i="236"/>
  <c r="N658" i="236"/>
  <c r="O658" i="236"/>
  <c r="P658" i="236"/>
  <c r="Q320" i="236"/>
  <c r="Q321" i="236"/>
  <c r="Q322" i="236"/>
  <c r="Q323" i="236"/>
  <c r="Q325" i="236"/>
  <c r="E324" i="236"/>
  <c r="F324" i="236"/>
  <c r="G324" i="236"/>
  <c r="H324" i="236"/>
  <c r="I324" i="236"/>
  <c r="J324" i="236"/>
  <c r="K324" i="236"/>
  <c r="L324" i="236"/>
  <c r="M324" i="236"/>
  <c r="N324" i="236"/>
  <c r="O324" i="236"/>
  <c r="P324" i="236"/>
  <c r="P319" i="236"/>
  <c r="E319" i="236"/>
  <c r="F319" i="236"/>
  <c r="G319" i="236"/>
  <c r="H319" i="236"/>
  <c r="I319" i="236"/>
  <c r="J319" i="236"/>
  <c r="K319" i="236"/>
  <c r="L319" i="236"/>
  <c r="M319" i="236"/>
  <c r="N319" i="236"/>
  <c r="O319" i="236"/>
  <c r="Q316" i="236"/>
  <c r="Q317" i="236"/>
  <c r="E318" i="236"/>
  <c r="F318" i="236"/>
  <c r="G318" i="236"/>
  <c r="H318" i="236"/>
  <c r="I318" i="236"/>
  <c r="J318" i="236"/>
  <c r="K318" i="236"/>
  <c r="L318" i="236"/>
  <c r="M318" i="236"/>
  <c r="N318" i="236"/>
  <c r="O318" i="236"/>
  <c r="P318" i="236"/>
  <c r="Q489" i="236"/>
  <c r="Q490" i="236"/>
  <c r="Q491" i="236"/>
  <c r="Q492" i="236"/>
  <c r="Q494" i="236"/>
  <c r="E493" i="236"/>
  <c r="F493" i="236"/>
  <c r="G493" i="236"/>
  <c r="H493" i="236"/>
  <c r="I493" i="236"/>
  <c r="J493" i="236"/>
  <c r="K493" i="236"/>
  <c r="L493" i="236"/>
  <c r="M493" i="236"/>
  <c r="N493" i="236"/>
  <c r="O493" i="236"/>
  <c r="P493" i="236"/>
  <c r="E488" i="236"/>
  <c r="F488" i="236"/>
  <c r="G488" i="236"/>
  <c r="H488" i="236"/>
  <c r="I488" i="236"/>
  <c r="J488" i="236"/>
  <c r="K488" i="236"/>
  <c r="L488" i="236"/>
  <c r="M488" i="236"/>
  <c r="N488" i="236"/>
  <c r="O488" i="236"/>
  <c r="P488" i="236"/>
  <c r="P487" i="236"/>
  <c r="Q495" i="236"/>
  <c r="Q485" i="236"/>
  <c r="Q486" i="236"/>
  <c r="Q446" i="236"/>
  <c r="Q447" i="236"/>
  <c r="Q449" i="236"/>
  <c r="E487" i="236"/>
  <c r="F487" i="236"/>
  <c r="G487" i="236"/>
  <c r="H487" i="236"/>
  <c r="I487" i="236"/>
  <c r="J487" i="236"/>
  <c r="K487" i="236"/>
  <c r="L487" i="236"/>
  <c r="M487" i="236"/>
  <c r="N487" i="236"/>
  <c r="O487" i="236"/>
  <c r="H156" i="226"/>
  <c r="H155" i="226"/>
  <c r="H106" i="124"/>
  <c r="H107" i="226" s="1"/>
  <c r="H105" i="124"/>
  <c r="H106" i="226" s="1"/>
  <c r="H97" i="124"/>
  <c r="H98" i="226" s="1"/>
  <c r="H96" i="124"/>
  <c r="H97" i="226" s="1"/>
  <c r="H52" i="124"/>
  <c r="H53" i="226" s="1"/>
  <c r="H53" i="124"/>
  <c r="H54" i="226" s="1"/>
  <c r="H54" i="124"/>
  <c r="H55" i="226" s="1"/>
  <c r="H55" i="124"/>
  <c r="H56" i="226" s="1"/>
  <c r="H56" i="124"/>
  <c r="H57" i="226" s="1"/>
  <c r="H57" i="124"/>
  <c r="H58" i="226" s="1"/>
  <c r="H58" i="124"/>
  <c r="H59" i="226" s="1"/>
  <c r="H59" i="124"/>
  <c r="H60" i="226" s="1"/>
  <c r="H60" i="124"/>
  <c r="H62" i="226" s="1"/>
  <c r="H61" i="124"/>
  <c r="H63" i="226" s="1"/>
  <c r="H62" i="124"/>
  <c r="H64" i="226" s="1"/>
  <c r="H63" i="124"/>
  <c r="H65" i="226" s="1"/>
  <c r="H64" i="124"/>
  <c r="H66" i="226" s="1"/>
  <c r="H65" i="124"/>
  <c r="H67" i="226" s="1"/>
  <c r="H66" i="124"/>
  <c r="H68" i="226" s="1"/>
  <c r="H67" i="124"/>
  <c r="H69" i="226" s="1"/>
  <c r="H68" i="124"/>
  <c r="H70" i="226" s="1"/>
  <c r="H69" i="124"/>
  <c r="H71" i="226" s="1"/>
  <c r="H70" i="124"/>
  <c r="H72" i="226" s="1"/>
  <c r="H71" i="124"/>
  <c r="H73" i="226" s="1"/>
  <c r="H72" i="124"/>
  <c r="H74" i="226" s="1"/>
  <c r="H73" i="124"/>
  <c r="H75" i="226" s="1"/>
  <c r="H74" i="124"/>
  <c r="H75" i="124"/>
  <c r="H76" i="124"/>
  <c r="H79" i="124"/>
  <c r="H80" i="226" s="1"/>
  <c r="H80" i="124"/>
  <c r="H81" i="226" s="1"/>
  <c r="H81" i="124"/>
  <c r="H82" i="226" s="1"/>
  <c r="H82" i="124"/>
  <c r="H83" i="226" s="1"/>
  <c r="H83" i="124"/>
  <c r="H84" i="226" s="1"/>
  <c r="H51" i="124"/>
  <c r="H52" i="226" s="1"/>
  <c r="H30" i="124"/>
  <c r="H31" i="226" s="1"/>
  <c r="H31" i="124"/>
  <c r="H32" i="226" s="1"/>
  <c r="H32" i="124"/>
  <c r="H33" i="226" s="1"/>
  <c r="H33" i="124"/>
  <c r="H34" i="226" s="1"/>
  <c r="H34" i="124"/>
  <c r="H35" i="226" s="1"/>
  <c r="H35" i="124"/>
  <c r="H36" i="226" s="1"/>
  <c r="H36" i="124"/>
  <c r="H37" i="226" s="1"/>
  <c r="H29" i="124"/>
  <c r="H30" i="226" s="1"/>
  <c r="H10" i="124"/>
  <c r="H11" i="226" s="1"/>
  <c r="H11" i="124"/>
  <c r="H12" i="226" s="1"/>
  <c r="H12" i="124"/>
  <c r="H13" i="226" s="1"/>
  <c r="H13" i="124"/>
  <c r="H14" i="226" s="1"/>
  <c r="H14" i="124"/>
  <c r="H15" i="226" s="1"/>
  <c r="H15" i="124"/>
  <c r="H16" i="226" s="1"/>
  <c r="H16" i="124"/>
  <c r="H17" i="226" s="1"/>
  <c r="H9" i="124"/>
  <c r="H10" i="226" s="1"/>
  <c r="H142" i="226"/>
  <c r="H117" i="226"/>
  <c r="H118" i="226"/>
  <c r="H119" i="226"/>
  <c r="H120" i="226"/>
  <c r="H121" i="226"/>
  <c r="H122" i="226"/>
  <c r="H123" i="226"/>
  <c r="H124" i="226"/>
  <c r="H125" i="226"/>
  <c r="H126" i="226"/>
  <c r="H127" i="226"/>
  <c r="H128" i="226"/>
  <c r="H129" i="226"/>
  <c r="H130" i="226"/>
  <c r="H131" i="226"/>
  <c r="H116" i="226"/>
  <c r="H108" i="226"/>
  <c r="H38" i="226"/>
  <c r="H39" i="226"/>
  <c r="H40" i="226"/>
  <c r="H41" i="226"/>
  <c r="H42" i="226"/>
  <c r="I511" i="234" l="1"/>
  <c r="K169" i="236"/>
  <c r="J511" i="234"/>
  <c r="I154" i="236"/>
  <c r="H154" i="236"/>
  <c r="I320" i="234"/>
  <c r="J491" i="234"/>
  <c r="J496" i="234"/>
  <c r="I321" i="234"/>
  <c r="J154" i="236"/>
  <c r="I326" i="234"/>
  <c r="I490" i="234"/>
  <c r="J490" i="234"/>
  <c r="J320" i="234"/>
  <c r="E149" i="236"/>
  <c r="I491" i="234"/>
  <c r="I496" i="234"/>
  <c r="J321" i="234"/>
  <c r="P154" i="236"/>
  <c r="J326" i="234"/>
  <c r="F149" i="236"/>
  <c r="O149" i="236"/>
  <c r="N154" i="236"/>
  <c r="M148" i="236"/>
  <c r="O154" i="236"/>
  <c r="L149" i="236"/>
  <c r="M154" i="236"/>
  <c r="L148" i="236"/>
  <c r="K149" i="236"/>
  <c r="L154" i="236"/>
  <c r="Q658" i="236"/>
  <c r="Q657" i="236"/>
  <c r="J149" i="236"/>
  <c r="K154" i="236"/>
  <c r="K148" i="236"/>
  <c r="H148" i="236"/>
  <c r="I149" i="236"/>
  <c r="N149" i="236"/>
  <c r="G148" i="236"/>
  <c r="H149" i="236"/>
  <c r="M149" i="236"/>
  <c r="F148" i="236"/>
  <c r="G149" i="236"/>
  <c r="E148" i="236"/>
  <c r="G154" i="236"/>
  <c r="P148" i="236"/>
  <c r="F154" i="236"/>
  <c r="O148" i="236"/>
  <c r="P149" i="236"/>
  <c r="E154" i="236"/>
  <c r="J148" i="236"/>
  <c r="N148" i="236"/>
  <c r="I148" i="236"/>
  <c r="K170" i="236"/>
  <c r="L170" i="236"/>
  <c r="Q508" i="236"/>
  <c r="F169" i="236"/>
  <c r="F170" i="236" s="1"/>
  <c r="E169" i="236"/>
  <c r="Q319" i="236"/>
  <c r="Q324" i="236"/>
  <c r="Q318" i="236"/>
  <c r="Q488" i="236"/>
  <c r="Q493" i="236"/>
  <c r="Q487" i="236"/>
  <c r="Q448" i="236"/>
  <c r="H31" i="58"/>
  <c r="J82" i="226"/>
  <c r="J84" i="226"/>
  <c r="J85" i="226"/>
  <c r="J86" i="226"/>
  <c r="J87" i="226"/>
  <c r="J88" i="226"/>
  <c r="J89" i="226"/>
  <c r="J90" i="226"/>
  <c r="J91" i="226"/>
  <c r="J92" i="226"/>
  <c r="J93" i="226"/>
  <c r="J133" i="226"/>
  <c r="J134" i="226"/>
  <c r="J135" i="226"/>
  <c r="J136" i="226"/>
  <c r="J137" i="226"/>
  <c r="J138" i="226"/>
  <c r="J139" i="226"/>
  <c r="I133" i="226"/>
  <c r="I134" i="226"/>
  <c r="I135" i="226"/>
  <c r="I136" i="226"/>
  <c r="I137" i="226"/>
  <c r="I138" i="226"/>
  <c r="I139" i="226"/>
  <c r="P142" i="228"/>
  <c r="T140" i="131" s="1"/>
  <c r="O142" i="228"/>
  <c r="S140" i="131" s="1"/>
  <c r="N142" i="228"/>
  <c r="R140" i="131" s="1"/>
  <c r="M142" i="228"/>
  <c r="Q140" i="131" s="1"/>
  <c r="L142" i="228"/>
  <c r="P140" i="131" s="1"/>
  <c r="K142" i="228"/>
  <c r="O140" i="131" s="1"/>
  <c r="J142" i="228"/>
  <c r="N140" i="131" s="1"/>
  <c r="I142" i="228"/>
  <c r="M140" i="131" s="1"/>
  <c r="H142" i="228"/>
  <c r="L140" i="131" s="1"/>
  <c r="G142" i="228"/>
  <c r="K140" i="131" s="1"/>
  <c r="F142" i="228"/>
  <c r="J140" i="131" s="1"/>
  <c r="E142" i="228"/>
  <c r="I140" i="131" s="1"/>
  <c r="I130" i="226"/>
  <c r="I131" i="226"/>
  <c r="K320" i="234" l="1"/>
  <c r="K326" i="234"/>
  <c r="K321" i="234"/>
  <c r="J150" i="234"/>
  <c r="I155" i="234"/>
  <c r="I150" i="234"/>
  <c r="J149" i="234"/>
  <c r="I149" i="234"/>
  <c r="J155" i="234"/>
  <c r="Q169" i="236"/>
  <c r="E170" i="236"/>
  <c r="J142" i="226"/>
  <c r="Q142" i="228"/>
  <c r="I142" i="226"/>
  <c r="J103" i="226"/>
  <c r="I103" i="226"/>
  <c r="J102" i="226"/>
  <c r="I102" i="226"/>
  <c r="J101" i="226"/>
  <c r="I101" i="226"/>
  <c r="J100" i="226"/>
  <c r="I100" i="226"/>
  <c r="J99" i="226"/>
  <c r="I99" i="226"/>
  <c r="J39" i="226"/>
  <c r="J40" i="226"/>
  <c r="J41" i="226"/>
  <c r="J42" i="226"/>
  <c r="J44" i="226"/>
  <c r="J45" i="226"/>
  <c r="J46" i="226"/>
  <c r="J47" i="226"/>
  <c r="I39" i="226"/>
  <c r="I40" i="226"/>
  <c r="I41" i="226"/>
  <c r="I42" i="226"/>
  <c r="I44" i="226"/>
  <c r="I45" i="226"/>
  <c r="I46" i="226"/>
  <c r="I47" i="226"/>
  <c r="I253" i="234"/>
  <c r="J253" i="234"/>
  <c r="J214" i="234"/>
  <c r="J215" i="234"/>
  <c r="I214" i="234"/>
  <c r="I215" i="234"/>
  <c r="J189" i="234"/>
  <c r="J190" i="234"/>
  <c r="I189" i="234"/>
  <c r="I190" i="234"/>
  <c r="I191" i="234"/>
  <c r="I192" i="234"/>
  <c r="I193" i="234"/>
  <c r="I194" i="234"/>
  <c r="I195" i="234"/>
  <c r="I196" i="234"/>
  <c r="I197" i="234"/>
  <c r="I198" i="234"/>
  <c r="J39" i="234"/>
  <c r="J41" i="234"/>
  <c r="J43" i="234"/>
  <c r="J44" i="234"/>
  <c r="J45" i="234"/>
  <c r="J46" i="234"/>
  <c r="J47" i="234"/>
  <c r="I39" i="234"/>
  <c r="I41" i="234"/>
  <c r="I43" i="234"/>
  <c r="I44" i="234"/>
  <c r="I45" i="234"/>
  <c r="I46" i="234"/>
  <c r="I47" i="234"/>
  <c r="E132" i="236"/>
  <c r="F132" i="236"/>
  <c r="G132" i="236"/>
  <c r="H132" i="236"/>
  <c r="I132" i="236"/>
  <c r="J132" i="236"/>
  <c r="K132" i="236"/>
  <c r="L132" i="236"/>
  <c r="M132" i="236"/>
  <c r="N132" i="236"/>
  <c r="O132" i="236"/>
  <c r="P132" i="236"/>
  <c r="E133" i="236"/>
  <c r="F133" i="236"/>
  <c r="G133" i="236"/>
  <c r="H133" i="236"/>
  <c r="I133" i="236"/>
  <c r="J133" i="236"/>
  <c r="K133" i="236"/>
  <c r="L133" i="236"/>
  <c r="M133" i="236"/>
  <c r="N133" i="236"/>
  <c r="O133" i="236"/>
  <c r="P133" i="236"/>
  <c r="E134" i="236"/>
  <c r="F134" i="236"/>
  <c r="G134" i="236"/>
  <c r="H134" i="236"/>
  <c r="I134" i="236"/>
  <c r="J134" i="236"/>
  <c r="K134" i="236"/>
  <c r="L134" i="236"/>
  <c r="M134" i="236"/>
  <c r="N134" i="236"/>
  <c r="O134" i="236"/>
  <c r="P134" i="236"/>
  <c r="E135" i="236"/>
  <c r="F135" i="236"/>
  <c r="G135" i="236"/>
  <c r="H135" i="236"/>
  <c r="I135" i="236"/>
  <c r="J135" i="236"/>
  <c r="K135" i="236"/>
  <c r="L135" i="236"/>
  <c r="M135" i="236"/>
  <c r="N135" i="236"/>
  <c r="O135" i="236"/>
  <c r="P135" i="236"/>
  <c r="E136" i="236"/>
  <c r="F136" i="236"/>
  <c r="G136" i="236"/>
  <c r="H136" i="236"/>
  <c r="I136" i="236"/>
  <c r="J136" i="236"/>
  <c r="K136" i="236"/>
  <c r="L136" i="236"/>
  <c r="M136" i="236"/>
  <c r="N136" i="236"/>
  <c r="O136" i="236"/>
  <c r="P136" i="236"/>
  <c r="Q438" i="236"/>
  <c r="Q439" i="236"/>
  <c r="F31" i="236"/>
  <c r="G31" i="236"/>
  <c r="H31" i="236"/>
  <c r="I31" i="236"/>
  <c r="J31" i="236"/>
  <c r="K31" i="236"/>
  <c r="L31" i="236"/>
  <c r="M31" i="236"/>
  <c r="N31" i="236"/>
  <c r="O31" i="236"/>
  <c r="P31" i="236"/>
  <c r="E144" i="236"/>
  <c r="F144" i="236"/>
  <c r="G144" i="236"/>
  <c r="H144" i="236"/>
  <c r="I144" i="236"/>
  <c r="J144" i="236"/>
  <c r="K144" i="236"/>
  <c r="L144" i="236"/>
  <c r="M144" i="236"/>
  <c r="N144" i="236"/>
  <c r="O144" i="236"/>
  <c r="P144" i="236"/>
  <c r="E145" i="236"/>
  <c r="F145" i="236"/>
  <c r="G145" i="236"/>
  <c r="H145" i="236"/>
  <c r="I145" i="236"/>
  <c r="J145" i="236"/>
  <c r="K145" i="236"/>
  <c r="L145" i="236"/>
  <c r="M145" i="236"/>
  <c r="N145" i="236"/>
  <c r="O145" i="236"/>
  <c r="P145" i="236"/>
  <c r="E156" i="236"/>
  <c r="F156" i="236"/>
  <c r="G156" i="236"/>
  <c r="H156" i="236"/>
  <c r="I156" i="236"/>
  <c r="J156" i="236"/>
  <c r="K156" i="236"/>
  <c r="L156" i="236"/>
  <c r="M156" i="236"/>
  <c r="N156" i="236"/>
  <c r="O156" i="236"/>
  <c r="P156" i="236"/>
  <c r="E158" i="236"/>
  <c r="F158" i="236"/>
  <c r="G158" i="236"/>
  <c r="H158" i="236"/>
  <c r="I158" i="236"/>
  <c r="J158" i="236"/>
  <c r="K158" i="236"/>
  <c r="L158" i="236"/>
  <c r="M158" i="236"/>
  <c r="N158" i="236"/>
  <c r="O158" i="236"/>
  <c r="P158" i="236"/>
  <c r="E159" i="236"/>
  <c r="F159" i="236"/>
  <c r="G159" i="236"/>
  <c r="H159" i="236"/>
  <c r="I159" i="236"/>
  <c r="J159" i="236"/>
  <c r="K159" i="236"/>
  <c r="L159" i="236"/>
  <c r="M159" i="236"/>
  <c r="N159" i="236"/>
  <c r="O159" i="236"/>
  <c r="P159" i="236"/>
  <c r="E160" i="236"/>
  <c r="F160" i="236"/>
  <c r="G160" i="236"/>
  <c r="H160" i="236"/>
  <c r="I160" i="236"/>
  <c r="J160" i="236"/>
  <c r="K160" i="236"/>
  <c r="L160" i="236"/>
  <c r="M160" i="236"/>
  <c r="N160" i="236"/>
  <c r="O160" i="236"/>
  <c r="P160" i="236"/>
  <c r="E161" i="236"/>
  <c r="F161" i="236"/>
  <c r="G161" i="236"/>
  <c r="H161" i="236"/>
  <c r="I161" i="236"/>
  <c r="J161" i="236"/>
  <c r="K161" i="236"/>
  <c r="L161" i="236"/>
  <c r="M161" i="236"/>
  <c r="N161" i="236"/>
  <c r="O161" i="236"/>
  <c r="P161" i="236"/>
  <c r="E162" i="236"/>
  <c r="F162" i="236"/>
  <c r="G162" i="236"/>
  <c r="H162" i="236"/>
  <c r="I162" i="236"/>
  <c r="J162" i="236"/>
  <c r="K162" i="236"/>
  <c r="L162" i="236"/>
  <c r="M162" i="236"/>
  <c r="N162" i="236"/>
  <c r="O162" i="236"/>
  <c r="P162" i="236"/>
  <c r="E163" i="236"/>
  <c r="F163" i="236"/>
  <c r="G163" i="236"/>
  <c r="H163" i="236"/>
  <c r="I163" i="236"/>
  <c r="J163" i="236"/>
  <c r="K163" i="236"/>
  <c r="L163" i="236"/>
  <c r="M163" i="236"/>
  <c r="N163" i="236"/>
  <c r="O163" i="236"/>
  <c r="P163" i="236"/>
  <c r="E164" i="236"/>
  <c r="F164" i="236"/>
  <c r="G164" i="236"/>
  <c r="H164" i="236"/>
  <c r="I164" i="236"/>
  <c r="J164" i="236"/>
  <c r="K164" i="236"/>
  <c r="L164" i="236"/>
  <c r="M164" i="236"/>
  <c r="N164" i="236"/>
  <c r="O164" i="236"/>
  <c r="P164" i="236"/>
  <c r="Q656" i="236"/>
  <c r="Q659" i="236"/>
  <c r="Q660" i="236"/>
  <c r="Q661" i="236"/>
  <c r="Q662" i="236"/>
  <c r="Q663" i="236"/>
  <c r="Q664" i="236"/>
  <c r="Q665" i="236"/>
  <c r="Q655" i="236"/>
  <c r="Q547" i="236"/>
  <c r="Q549" i="236"/>
  <c r="Q551" i="236"/>
  <c r="Q552" i="236"/>
  <c r="Q553" i="236"/>
  <c r="Q554" i="236"/>
  <c r="Q555" i="236"/>
  <c r="Q556" i="236"/>
  <c r="E615" i="236"/>
  <c r="F615" i="236"/>
  <c r="G615" i="236"/>
  <c r="H615" i="236"/>
  <c r="I615" i="236"/>
  <c r="J615" i="236"/>
  <c r="K615" i="236"/>
  <c r="L615" i="236"/>
  <c r="M615" i="236"/>
  <c r="N615" i="236"/>
  <c r="O615" i="236"/>
  <c r="P615" i="236"/>
  <c r="E614" i="236"/>
  <c r="F614" i="236"/>
  <c r="G614" i="236"/>
  <c r="H614" i="236"/>
  <c r="I614" i="236"/>
  <c r="J614" i="236"/>
  <c r="K614" i="236"/>
  <c r="L614" i="236"/>
  <c r="M614" i="236"/>
  <c r="N614" i="236"/>
  <c r="O614" i="236"/>
  <c r="P614" i="236"/>
  <c r="E550" i="236"/>
  <c r="F550" i="236"/>
  <c r="G550" i="236"/>
  <c r="H550" i="236"/>
  <c r="I550" i="236"/>
  <c r="J550" i="236"/>
  <c r="K550" i="236"/>
  <c r="L550" i="236"/>
  <c r="M550" i="236"/>
  <c r="N550" i="236"/>
  <c r="O550" i="236"/>
  <c r="P550" i="236"/>
  <c r="P548" i="236"/>
  <c r="P40" i="236" s="1"/>
  <c r="O548" i="236"/>
  <c r="O40" i="236" s="1"/>
  <c r="N548" i="236"/>
  <c r="N40" i="236" s="1"/>
  <c r="M548" i="236"/>
  <c r="M40" i="236" s="1"/>
  <c r="L548" i="236"/>
  <c r="L40" i="236" s="1"/>
  <c r="K548" i="236"/>
  <c r="J548" i="236"/>
  <c r="J40" i="236" s="1"/>
  <c r="I548" i="236"/>
  <c r="I40" i="236" s="1"/>
  <c r="H548" i="236"/>
  <c r="H40" i="236" s="1"/>
  <c r="G548" i="236"/>
  <c r="G40" i="236" s="1"/>
  <c r="F548" i="236"/>
  <c r="F40" i="236" s="1"/>
  <c r="E548" i="236"/>
  <c r="E606" i="236"/>
  <c r="F606" i="236"/>
  <c r="G606" i="236"/>
  <c r="H606" i="236"/>
  <c r="I606" i="236"/>
  <c r="J606" i="236"/>
  <c r="K606" i="236"/>
  <c r="L606" i="236"/>
  <c r="M606" i="236"/>
  <c r="N606" i="236"/>
  <c r="O606" i="236"/>
  <c r="P606" i="236"/>
  <c r="P605" i="236"/>
  <c r="O605" i="236"/>
  <c r="N605" i="236"/>
  <c r="M605" i="236"/>
  <c r="L605" i="236"/>
  <c r="K605" i="236"/>
  <c r="J605" i="236"/>
  <c r="I605" i="236"/>
  <c r="H605" i="236"/>
  <c r="G605" i="236"/>
  <c r="F605" i="236"/>
  <c r="E605" i="236"/>
  <c r="E576" i="236"/>
  <c r="F576" i="236"/>
  <c r="G576" i="236"/>
  <c r="H576" i="236"/>
  <c r="I576" i="236"/>
  <c r="J576" i="236"/>
  <c r="K576" i="236"/>
  <c r="L576" i="236"/>
  <c r="M576" i="236"/>
  <c r="N576" i="236"/>
  <c r="O576" i="236"/>
  <c r="P576" i="236"/>
  <c r="P575" i="236"/>
  <c r="O575" i="236"/>
  <c r="N575" i="236"/>
  <c r="M575" i="236"/>
  <c r="L575" i="236"/>
  <c r="K575" i="236"/>
  <c r="J575" i="236"/>
  <c r="I575" i="236"/>
  <c r="H575" i="236"/>
  <c r="G575" i="236"/>
  <c r="F575" i="236"/>
  <c r="E575" i="236"/>
  <c r="Q593" i="236"/>
  <c r="Q592" i="236"/>
  <c r="Q590" i="236"/>
  <c r="Q567" i="236"/>
  <c r="Q568" i="236"/>
  <c r="E569" i="236"/>
  <c r="F569" i="236"/>
  <c r="G569" i="236"/>
  <c r="H569" i="236"/>
  <c r="I569" i="236"/>
  <c r="J569" i="236"/>
  <c r="K569" i="236"/>
  <c r="L569" i="236"/>
  <c r="M569" i="236"/>
  <c r="N569" i="236"/>
  <c r="O569" i="236"/>
  <c r="P569" i="236"/>
  <c r="E563" i="236"/>
  <c r="F563" i="236"/>
  <c r="G563" i="236"/>
  <c r="H563" i="236"/>
  <c r="I563" i="236"/>
  <c r="J563" i="236"/>
  <c r="K563" i="236"/>
  <c r="L563" i="236"/>
  <c r="M563" i="236"/>
  <c r="N563" i="236"/>
  <c r="O563" i="236"/>
  <c r="P563" i="236"/>
  <c r="E566" i="236"/>
  <c r="F566" i="236"/>
  <c r="G566" i="236"/>
  <c r="H566" i="236"/>
  <c r="I566" i="236"/>
  <c r="J566" i="236"/>
  <c r="K566" i="236"/>
  <c r="L566" i="236"/>
  <c r="M566" i="236"/>
  <c r="N566" i="236"/>
  <c r="O566" i="236"/>
  <c r="P566" i="236"/>
  <c r="E564" i="236"/>
  <c r="F564" i="236"/>
  <c r="G564" i="236"/>
  <c r="H564" i="236"/>
  <c r="I564" i="236"/>
  <c r="J564" i="236"/>
  <c r="K564" i="236"/>
  <c r="L564" i="236"/>
  <c r="M564" i="236"/>
  <c r="N564" i="236"/>
  <c r="O564" i="236"/>
  <c r="P564" i="236"/>
  <c r="E565" i="236"/>
  <c r="F565" i="236"/>
  <c r="G565" i="236"/>
  <c r="H565" i="236"/>
  <c r="I565" i="236"/>
  <c r="J565" i="236"/>
  <c r="K565" i="236"/>
  <c r="L565" i="236"/>
  <c r="M565" i="236"/>
  <c r="N565" i="236"/>
  <c r="O565" i="236"/>
  <c r="P565" i="236"/>
  <c r="E562" i="236"/>
  <c r="F562" i="236"/>
  <c r="G562" i="236"/>
  <c r="H562" i="236"/>
  <c r="I562" i="236"/>
  <c r="J562" i="236"/>
  <c r="K562" i="236"/>
  <c r="L562" i="236"/>
  <c r="M562" i="236"/>
  <c r="N562" i="236"/>
  <c r="O562" i="236"/>
  <c r="P562" i="236"/>
  <c r="Q583" i="236"/>
  <c r="E561" i="236"/>
  <c r="F561" i="236"/>
  <c r="G561" i="236"/>
  <c r="H561" i="236"/>
  <c r="I561" i="236"/>
  <c r="J561" i="236"/>
  <c r="K561" i="236"/>
  <c r="L561" i="236"/>
  <c r="M561" i="236"/>
  <c r="N561" i="236"/>
  <c r="O561" i="236"/>
  <c r="P561" i="236"/>
  <c r="E581" i="236"/>
  <c r="F581" i="236"/>
  <c r="G581" i="236"/>
  <c r="H581" i="236"/>
  <c r="I581" i="236"/>
  <c r="J581" i="236"/>
  <c r="K581" i="236"/>
  <c r="L581" i="236"/>
  <c r="M581" i="236"/>
  <c r="N581" i="236"/>
  <c r="O581" i="236"/>
  <c r="P581" i="236"/>
  <c r="E582" i="236"/>
  <c r="F582" i="236"/>
  <c r="G582" i="236"/>
  <c r="H582" i="236"/>
  <c r="I582" i="236"/>
  <c r="J582" i="236"/>
  <c r="K582" i="236"/>
  <c r="L582" i="236"/>
  <c r="M582" i="236"/>
  <c r="N582" i="236"/>
  <c r="O582" i="236"/>
  <c r="P582" i="236"/>
  <c r="E580" i="236"/>
  <c r="F580" i="236"/>
  <c r="G580" i="236"/>
  <c r="H580" i="236"/>
  <c r="I580" i="236"/>
  <c r="J580" i="236"/>
  <c r="K580" i="236"/>
  <c r="L580" i="236"/>
  <c r="M580" i="236"/>
  <c r="N580" i="236"/>
  <c r="O580" i="236"/>
  <c r="P580" i="236"/>
  <c r="E578" i="236"/>
  <c r="F578" i="236"/>
  <c r="G578" i="236"/>
  <c r="H578" i="236"/>
  <c r="I578" i="236"/>
  <c r="J578" i="236"/>
  <c r="K578" i="236"/>
  <c r="L578" i="236"/>
  <c r="M578" i="236"/>
  <c r="N578" i="236"/>
  <c r="O578" i="236"/>
  <c r="P578" i="236"/>
  <c r="E579" i="236"/>
  <c r="F579" i="236"/>
  <c r="G579" i="236"/>
  <c r="H579" i="236"/>
  <c r="I579" i="236"/>
  <c r="J579" i="236"/>
  <c r="K579" i="236"/>
  <c r="L579" i="236"/>
  <c r="M579" i="236"/>
  <c r="N579" i="236"/>
  <c r="O579" i="236"/>
  <c r="P579" i="236"/>
  <c r="E577" i="236"/>
  <c r="F577" i="236"/>
  <c r="G577" i="236"/>
  <c r="H577" i="236"/>
  <c r="I577" i="236"/>
  <c r="J577" i="236"/>
  <c r="K577" i="236"/>
  <c r="L577" i="236"/>
  <c r="M577" i="236"/>
  <c r="N577" i="236"/>
  <c r="O577" i="236"/>
  <c r="P577" i="236"/>
  <c r="E571" i="236"/>
  <c r="F571" i="236"/>
  <c r="G571" i="236"/>
  <c r="H571" i="236"/>
  <c r="I571" i="236"/>
  <c r="J571" i="236"/>
  <c r="K571" i="236"/>
  <c r="L571" i="236"/>
  <c r="M571" i="236"/>
  <c r="N571" i="236"/>
  <c r="O571" i="236"/>
  <c r="P571" i="236"/>
  <c r="E572" i="236"/>
  <c r="F572" i="236"/>
  <c r="G572" i="236"/>
  <c r="H572" i="236"/>
  <c r="I572" i="236"/>
  <c r="J572" i="236"/>
  <c r="K572" i="236"/>
  <c r="L572" i="236"/>
  <c r="M572" i="236"/>
  <c r="N572" i="236"/>
  <c r="O572" i="236"/>
  <c r="P572" i="236"/>
  <c r="E573" i="236"/>
  <c r="F573" i="236"/>
  <c r="G573" i="236"/>
  <c r="H573" i="236"/>
  <c r="I573" i="236"/>
  <c r="J573" i="236"/>
  <c r="K573" i="236"/>
  <c r="L573" i="236"/>
  <c r="M573" i="236"/>
  <c r="N573" i="236"/>
  <c r="O573" i="236"/>
  <c r="P573" i="236"/>
  <c r="E574" i="236"/>
  <c r="F574" i="236"/>
  <c r="G574" i="236"/>
  <c r="H574" i="236"/>
  <c r="I574" i="236"/>
  <c r="J574" i="236"/>
  <c r="K574" i="236"/>
  <c r="L574" i="236"/>
  <c r="M574" i="236"/>
  <c r="N574" i="236"/>
  <c r="O574" i="236"/>
  <c r="P574" i="236"/>
  <c r="E570" i="236"/>
  <c r="F570" i="236"/>
  <c r="G570" i="236"/>
  <c r="H570" i="236"/>
  <c r="I570" i="236"/>
  <c r="J570" i="236"/>
  <c r="K570" i="236"/>
  <c r="L570" i="236"/>
  <c r="M570" i="236"/>
  <c r="N570" i="236"/>
  <c r="O570" i="236"/>
  <c r="P570" i="236"/>
  <c r="E589" i="236"/>
  <c r="F589" i="236"/>
  <c r="G589" i="236"/>
  <c r="H589" i="236"/>
  <c r="I589" i="236"/>
  <c r="J589" i="236"/>
  <c r="K589" i="236"/>
  <c r="L589" i="236"/>
  <c r="M589" i="236"/>
  <c r="N589" i="236"/>
  <c r="O589" i="236"/>
  <c r="P589" i="236"/>
  <c r="E588" i="236"/>
  <c r="F588" i="236"/>
  <c r="G588" i="236"/>
  <c r="H588" i="236"/>
  <c r="I588" i="236"/>
  <c r="J588" i="236"/>
  <c r="K588" i="236"/>
  <c r="L588" i="236"/>
  <c r="M588" i="236"/>
  <c r="N588" i="236"/>
  <c r="O588" i="236"/>
  <c r="P588" i="236"/>
  <c r="P591" i="236"/>
  <c r="O591" i="236"/>
  <c r="N591" i="236"/>
  <c r="M591" i="236"/>
  <c r="L591" i="236"/>
  <c r="K591" i="236"/>
  <c r="J591" i="236"/>
  <c r="I591" i="236"/>
  <c r="H591" i="236"/>
  <c r="G591" i="236"/>
  <c r="F591" i="236"/>
  <c r="E591" i="236"/>
  <c r="Q480" i="236"/>
  <c r="P445" i="236"/>
  <c r="P444" i="236"/>
  <c r="E445" i="236"/>
  <c r="F445" i="236"/>
  <c r="G445" i="236"/>
  <c r="H445" i="236"/>
  <c r="I445" i="236"/>
  <c r="J445" i="236"/>
  <c r="K445" i="236"/>
  <c r="L445" i="236"/>
  <c r="M445" i="236"/>
  <c r="N445" i="236"/>
  <c r="O445" i="236"/>
  <c r="E444" i="236"/>
  <c r="F444" i="236"/>
  <c r="G444" i="236"/>
  <c r="H444" i="236"/>
  <c r="I444" i="236"/>
  <c r="J444" i="236"/>
  <c r="K444" i="236"/>
  <c r="L444" i="236"/>
  <c r="M444" i="236"/>
  <c r="N444" i="236"/>
  <c r="O444" i="236"/>
  <c r="Q471" i="236"/>
  <c r="Q472" i="236"/>
  <c r="Q473" i="236"/>
  <c r="Q474" i="236"/>
  <c r="Q475" i="236"/>
  <c r="Q476" i="236"/>
  <c r="P397" i="236"/>
  <c r="E397" i="236"/>
  <c r="F397" i="236"/>
  <c r="G397" i="236"/>
  <c r="H397" i="236"/>
  <c r="I397" i="236"/>
  <c r="J397" i="236"/>
  <c r="K397" i="236"/>
  <c r="L397" i="236"/>
  <c r="M397" i="236"/>
  <c r="N397" i="236"/>
  <c r="O397" i="236"/>
  <c r="P398" i="236"/>
  <c r="E398" i="236"/>
  <c r="F398" i="236"/>
  <c r="G398" i="236"/>
  <c r="H398" i="236"/>
  <c r="I398" i="236"/>
  <c r="J398" i="236"/>
  <c r="K398" i="236"/>
  <c r="L398" i="236"/>
  <c r="M398" i="236"/>
  <c r="N398" i="236"/>
  <c r="O398" i="236"/>
  <c r="Q497" i="236"/>
  <c r="Q498" i="236"/>
  <c r="P470" i="236"/>
  <c r="P131" i="236" s="1"/>
  <c r="E470" i="236"/>
  <c r="F470" i="236"/>
  <c r="F131" i="236" s="1"/>
  <c r="G470" i="236"/>
  <c r="G131" i="236" s="1"/>
  <c r="H470" i="236"/>
  <c r="H131" i="236" s="1"/>
  <c r="I470" i="236"/>
  <c r="I131" i="236" s="1"/>
  <c r="J470" i="236"/>
  <c r="J131" i="236" s="1"/>
  <c r="K470" i="236"/>
  <c r="L470" i="236"/>
  <c r="L131" i="236" s="1"/>
  <c r="M470" i="236"/>
  <c r="M131" i="236" s="1"/>
  <c r="N470" i="236"/>
  <c r="N131" i="236" s="1"/>
  <c r="O470" i="236"/>
  <c r="O131" i="236" s="1"/>
  <c r="E496" i="236"/>
  <c r="F496" i="236"/>
  <c r="F157" i="236" s="1"/>
  <c r="G496" i="236"/>
  <c r="G157" i="236" s="1"/>
  <c r="H496" i="236"/>
  <c r="H157" i="236" s="1"/>
  <c r="I496" i="236"/>
  <c r="I157" i="236" s="1"/>
  <c r="J496" i="236"/>
  <c r="J157" i="236" s="1"/>
  <c r="K496" i="236"/>
  <c r="L496" i="236"/>
  <c r="L157" i="236" s="1"/>
  <c r="M496" i="236"/>
  <c r="M157" i="236" s="1"/>
  <c r="N496" i="236"/>
  <c r="N157" i="236" s="1"/>
  <c r="O496" i="236"/>
  <c r="O157" i="236" s="1"/>
  <c r="P496" i="236"/>
  <c r="E436" i="236"/>
  <c r="F436" i="236"/>
  <c r="G436" i="236"/>
  <c r="H436" i="236"/>
  <c r="I436" i="236"/>
  <c r="J436" i="236"/>
  <c r="K436" i="236"/>
  <c r="L436" i="236"/>
  <c r="M436" i="236"/>
  <c r="N436" i="236"/>
  <c r="O436" i="236"/>
  <c r="P436" i="236"/>
  <c r="Q422" i="236"/>
  <c r="Q423" i="236"/>
  <c r="Q424" i="236"/>
  <c r="Q425" i="236"/>
  <c r="Q426" i="236"/>
  <c r="Q427" i="236"/>
  <c r="Q428" i="236"/>
  <c r="Q429" i="236"/>
  <c r="Q430" i="236"/>
  <c r="E435" i="236"/>
  <c r="F435" i="236"/>
  <c r="G435" i="236"/>
  <c r="H435" i="236"/>
  <c r="I435" i="236"/>
  <c r="J435" i="236"/>
  <c r="K435" i="236"/>
  <c r="L435" i="236"/>
  <c r="M435" i="236"/>
  <c r="N435" i="236"/>
  <c r="O435" i="236"/>
  <c r="P435" i="236"/>
  <c r="P419" i="236"/>
  <c r="Q420" i="236"/>
  <c r="E419" i="236"/>
  <c r="F419" i="236"/>
  <c r="G419" i="236"/>
  <c r="H419" i="236"/>
  <c r="I419" i="236"/>
  <c r="J419" i="236"/>
  <c r="K419" i="236"/>
  <c r="L419" i="236"/>
  <c r="M419" i="236"/>
  <c r="N419" i="236"/>
  <c r="O419" i="236"/>
  <c r="E418" i="236"/>
  <c r="F418" i="236"/>
  <c r="G418" i="236"/>
  <c r="H418" i="236"/>
  <c r="I418" i="236"/>
  <c r="J418" i="236"/>
  <c r="K418" i="236"/>
  <c r="L418" i="236"/>
  <c r="M418" i="236"/>
  <c r="N418" i="236"/>
  <c r="O418" i="236"/>
  <c r="P418" i="236"/>
  <c r="E421" i="236"/>
  <c r="F421" i="236"/>
  <c r="G421" i="236"/>
  <c r="H421" i="236"/>
  <c r="I421" i="236"/>
  <c r="J421" i="236"/>
  <c r="K421" i="236"/>
  <c r="L421" i="236"/>
  <c r="M421" i="236"/>
  <c r="N421" i="236"/>
  <c r="O421" i="236"/>
  <c r="P421" i="236"/>
  <c r="E400" i="236"/>
  <c r="F400" i="236"/>
  <c r="G400" i="236"/>
  <c r="H400" i="236"/>
  <c r="I400" i="236"/>
  <c r="J400" i="236"/>
  <c r="K400" i="236"/>
  <c r="L400" i="236"/>
  <c r="M400" i="236"/>
  <c r="N400" i="236"/>
  <c r="O400" i="236"/>
  <c r="P400" i="236"/>
  <c r="E401" i="236"/>
  <c r="F401" i="236"/>
  <c r="G401" i="236"/>
  <c r="H401" i="236"/>
  <c r="I401" i="236"/>
  <c r="J401" i="236"/>
  <c r="K401" i="236"/>
  <c r="L401" i="236"/>
  <c r="M401" i="236"/>
  <c r="N401" i="236"/>
  <c r="O401" i="236"/>
  <c r="P401" i="236"/>
  <c r="E402" i="236"/>
  <c r="F402" i="236"/>
  <c r="G402" i="236"/>
  <c r="H402" i="236"/>
  <c r="I402" i="236"/>
  <c r="J402" i="236"/>
  <c r="K402" i="236"/>
  <c r="L402" i="236"/>
  <c r="M402" i="236"/>
  <c r="N402" i="236"/>
  <c r="O402" i="236"/>
  <c r="P402" i="236"/>
  <c r="E399" i="236"/>
  <c r="F399" i="236"/>
  <c r="G399" i="236"/>
  <c r="H399" i="236"/>
  <c r="I399" i="236"/>
  <c r="J399" i="236"/>
  <c r="K399" i="236"/>
  <c r="L399" i="236"/>
  <c r="M399" i="236"/>
  <c r="N399" i="236"/>
  <c r="O399" i="236"/>
  <c r="P399" i="236"/>
  <c r="E403" i="236"/>
  <c r="F403" i="236"/>
  <c r="G403" i="236"/>
  <c r="H403" i="236"/>
  <c r="I403" i="236"/>
  <c r="J403" i="236"/>
  <c r="K403" i="236"/>
  <c r="L403" i="236"/>
  <c r="M403" i="236"/>
  <c r="N403" i="236"/>
  <c r="O403" i="236"/>
  <c r="P403" i="236"/>
  <c r="P404" i="236"/>
  <c r="O404" i="236"/>
  <c r="N404" i="236"/>
  <c r="M404" i="236"/>
  <c r="L404" i="236"/>
  <c r="K404" i="236"/>
  <c r="J404" i="236"/>
  <c r="I404" i="236"/>
  <c r="H404" i="236"/>
  <c r="G404" i="236"/>
  <c r="F404" i="236"/>
  <c r="E404" i="236"/>
  <c r="P410" i="236"/>
  <c r="E407" i="236"/>
  <c r="F407" i="236"/>
  <c r="G407" i="236"/>
  <c r="H407" i="236"/>
  <c r="I407" i="236"/>
  <c r="J407" i="236"/>
  <c r="K407" i="236"/>
  <c r="L407" i="236"/>
  <c r="M407" i="236"/>
  <c r="N407" i="236"/>
  <c r="O407" i="236"/>
  <c r="P407" i="236"/>
  <c r="E408" i="236"/>
  <c r="F408" i="236"/>
  <c r="G408" i="236"/>
  <c r="H408" i="236"/>
  <c r="I408" i="236"/>
  <c r="J408" i="236"/>
  <c r="K408" i="236"/>
  <c r="L408" i="236"/>
  <c r="M408" i="236"/>
  <c r="N408" i="236"/>
  <c r="O408" i="236"/>
  <c r="P408" i="236"/>
  <c r="E409" i="236"/>
  <c r="F409" i="236"/>
  <c r="G409" i="236"/>
  <c r="H409" i="236"/>
  <c r="I409" i="236"/>
  <c r="J409" i="236"/>
  <c r="K409" i="236"/>
  <c r="L409" i="236"/>
  <c r="M409" i="236"/>
  <c r="N409" i="236"/>
  <c r="O409" i="236"/>
  <c r="P409" i="236"/>
  <c r="E410" i="236"/>
  <c r="F410" i="236"/>
  <c r="G410" i="236"/>
  <c r="H410" i="236"/>
  <c r="I410" i="236"/>
  <c r="J410" i="236"/>
  <c r="K410" i="236"/>
  <c r="L410" i="236"/>
  <c r="M410" i="236"/>
  <c r="N410" i="236"/>
  <c r="O410" i="236"/>
  <c r="E411" i="236"/>
  <c r="F411" i="236"/>
  <c r="G411" i="236"/>
  <c r="H411" i="236"/>
  <c r="I411" i="236"/>
  <c r="J411" i="236"/>
  <c r="K411" i="236"/>
  <c r="L411" i="236"/>
  <c r="M411" i="236"/>
  <c r="N411" i="236"/>
  <c r="O411" i="236"/>
  <c r="P411" i="236"/>
  <c r="E412" i="236"/>
  <c r="F412" i="236"/>
  <c r="G412" i="236"/>
  <c r="H412" i="236"/>
  <c r="I412" i="236"/>
  <c r="J412" i="236"/>
  <c r="K412" i="236"/>
  <c r="L412" i="236"/>
  <c r="M412" i="236"/>
  <c r="N412" i="236"/>
  <c r="O412" i="236"/>
  <c r="P412" i="236"/>
  <c r="E405" i="236"/>
  <c r="F405" i="236"/>
  <c r="G405" i="236"/>
  <c r="H405" i="236"/>
  <c r="I405" i="236"/>
  <c r="J405" i="236"/>
  <c r="K405" i="236"/>
  <c r="L405" i="236"/>
  <c r="M405" i="236"/>
  <c r="N405" i="236"/>
  <c r="O405" i="236"/>
  <c r="P405" i="236"/>
  <c r="E406" i="236"/>
  <c r="F406" i="236"/>
  <c r="G406" i="236"/>
  <c r="H406" i="236"/>
  <c r="I406" i="236"/>
  <c r="J406" i="236"/>
  <c r="K406" i="236"/>
  <c r="L406" i="236"/>
  <c r="M406" i="236"/>
  <c r="N406" i="236"/>
  <c r="O406" i="236"/>
  <c r="P406" i="236"/>
  <c r="E394" i="236"/>
  <c r="F394" i="236"/>
  <c r="G394" i="236"/>
  <c r="H394" i="236"/>
  <c r="I394" i="236"/>
  <c r="J394" i="236"/>
  <c r="K394" i="236"/>
  <c r="L394" i="236"/>
  <c r="M394" i="236"/>
  <c r="N394" i="236"/>
  <c r="O394" i="236"/>
  <c r="P394" i="236"/>
  <c r="E396" i="236"/>
  <c r="F396" i="236"/>
  <c r="G396" i="236"/>
  <c r="H396" i="236"/>
  <c r="I396" i="236"/>
  <c r="J396" i="236"/>
  <c r="K396" i="236"/>
  <c r="L396" i="236"/>
  <c r="M396" i="236"/>
  <c r="N396" i="236"/>
  <c r="O396" i="236"/>
  <c r="P396" i="236"/>
  <c r="P393" i="236"/>
  <c r="O393" i="236"/>
  <c r="N393" i="236"/>
  <c r="M393" i="236"/>
  <c r="L393" i="236"/>
  <c r="K393" i="236"/>
  <c r="J393" i="236"/>
  <c r="I393" i="236"/>
  <c r="H393" i="236"/>
  <c r="G393" i="236"/>
  <c r="F393" i="236"/>
  <c r="E393" i="236"/>
  <c r="P395" i="236"/>
  <c r="O395" i="236"/>
  <c r="N395" i="236"/>
  <c r="M395" i="236"/>
  <c r="L395" i="236"/>
  <c r="K395" i="236"/>
  <c r="J395" i="236"/>
  <c r="I395" i="236"/>
  <c r="H395" i="236"/>
  <c r="G395" i="236"/>
  <c r="F395" i="236"/>
  <c r="E395" i="236"/>
  <c r="E392" i="236"/>
  <c r="F392" i="236"/>
  <c r="G392" i="236"/>
  <c r="H392" i="236"/>
  <c r="I392" i="236"/>
  <c r="J392" i="236"/>
  <c r="K392" i="236"/>
  <c r="L392" i="236"/>
  <c r="M392" i="236"/>
  <c r="N392" i="236"/>
  <c r="O392" i="236"/>
  <c r="P392" i="236"/>
  <c r="P391" i="236"/>
  <c r="O391" i="236"/>
  <c r="N391" i="236"/>
  <c r="M391" i="236"/>
  <c r="L391" i="236"/>
  <c r="K391" i="236"/>
  <c r="J391" i="236"/>
  <c r="I391" i="236"/>
  <c r="H391" i="236"/>
  <c r="G391" i="236"/>
  <c r="F391" i="236"/>
  <c r="E391" i="236"/>
  <c r="E387" i="236"/>
  <c r="F387" i="236"/>
  <c r="G387" i="236"/>
  <c r="H387" i="236"/>
  <c r="I387" i="236"/>
  <c r="J387" i="236"/>
  <c r="K387" i="236"/>
  <c r="L387" i="236"/>
  <c r="M387" i="236"/>
  <c r="N387" i="236"/>
  <c r="O387" i="236"/>
  <c r="P387" i="236"/>
  <c r="E351" i="236"/>
  <c r="F351" i="236"/>
  <c r="G351" i="236"/>
  <c r="H351" i="236"/>
  <c r="I351" i="236"/>
  <c r="J351" i="236"/>
  <c r="K351" i="236"/>
  <c r="L351" i="236"/>
  <c r="M351" i="236"/>
  <c r="N351" i="236"/>
  <c r="O351" i="236"/>
  <c r="P351" i="236"/>
  <c r="E352" i="236"/>
  <c r="F352" i="236"/>
  <c r="G352" i="236"/>
  <c r="H352" i="236"/>
  <c r="I352" i="236"/>
  <c r="J352" i="236"/>
  <c r="K352" i="236"/>
  <c r="L352" i="236"/>
  <c r="M352" i="236"/>
  <c r="N352" i="236"/>
  <c r="O352" i="236"/>
  <c r="P352" i="236"/>
  <c r="E353" i="236"/>
  <c r="F353" i="236"/>
  <c r="G353" i="236"/>
  <c r="H353" i="236"/>
  <c r="I353" i="236"/>
  <c r="J353" i="236"/>
  <c r="K353" i="236"/>
  <c r="L353" i="236"/>
  <c r="M353" i="236"/>
  <c r="N353" i="236"/>
  <c r="O353" i="236"/>
  <c r="P353" i="236"/>
  <c r="E354" i="236"/>
  <c r="F354" i="236"/>
  <c r="G354" i="236"/>
  <c r="H354" i="236"/>
  <c r="I354" i="236"/>
  <c r="J354" i="236"/>
  <c r="K354" i="236"/>
  <c r="L354" i="236"/>
  <c r="M354" i="236"/>
  <c r="N354" i="236"/>
  <c r="O354" i="236"/>
  <c r="P354" i="236"/>
  <c r="E355" i="236"/>
  <c r="F355" i="236"/>
  <c r="G355" i="236"/>
  <c r="H355" i="236"/>
  <c r="I355" i="236"/>
  <c r="J355" i="236"/>
  <c r="K355" i="236"/>
  <c r="L355" i="236"/>
  <c r="M355" i="236"/>
  <c r="N355" i="236"/>
  <c r="O355" i="236"/>
  <c r="P355" i="236"/>
  <c r="E356" i="236"/>
  <c r="F356" i="236"/>
  <c r="G356" i="236"/>
  <c r="H356" i="236"/>
  <c r="I356" i="236"/>
  <c r="J356" i="236"/>
  <c r="K356" i="236"/>
  <c r="L356" i="236"/>
  <c r="M356" i="236"/>
  <c r="N356" i="236"/>
  <c r="O356" i="236"/>
  <c r="P356" i="236"/>
  <c r="P350" i="236"/>
  <c r="O350" i="236"/>
  <c r="N350" i="236"/>
  <c r="M350" i="236"/>
  <c r="L350" i="236"/>
  <c r="K350" i="236"/>
  <c r="J350" i="236"/>
  <c r="I350" i="236"/>
  <c r="H350" i="236"/>
  <c r="G350" i="236"/>
  <c r="F350" i="236"/>
  <c r="E350" i="236"/>
  <c r="F309" i="236"/>
  <c r="G309" i="236"/>
  <c r="H309" i="236"/>
  <c r="I309" i="236"/>
  <c r="J309" i="236"/>
  <c r="K309" i="236"/>
  <c r="L309" i="236"/>
  <c r="M309" i="236"/>
  <c r="N309" i="236"/>
  <c r="O309" i="236"/>
  <c r="P309" i="236"/>
  <c r="E309" i="236"/>
  <c r="Q326" i="236"/>
  <c r="E276" i="236"/>
  <c r="F276" i="236"/>
  <c r="G276" i="236"/>
  <c r="H276" i="236"/>
  <c r="I276" i="236"/>
  <c r="J276" i="236"/>
  <c r="K276" i="236"/>
  <c r="L276" i="236"/>
  <c r="M276" i="236"/>
  <c r="N276" i="236"/>
  <c r="O276" i="236"/>
  <c r="P276" i="236"/>
  <c r="P275" i="236"/>
  <c r="O275" i="236"/>
  <c r="N275" i="236"/>
  <c r="M275" i="236"/>
  <c r="L275" i="236"/>
  <c r="K275" i="236"/>
  <c r="J275" i="236"/>
  <c r="I275" i="236"/>
  <c r="H275" i="236"/>
  <c r="G275" i="236"/>
  <c r="F275" i="236"/>
  <c r="E275" i="236"/>
  <c r="E267" i="236"/>
  <c r="F267" i="236"/>
  <c r="G267" i="236"/>
  <c r="H267" i="236"/>
  <c r="I267" i="236"/>
  <c r="J267" i="236"/>
  <c r="K267" i="236"/>
  <c r="L267" i="236"/>
  <c r="M267" i="236"/>
  <c r="N267" i="236"/>
  <c r="O267" i="236"/>
  <c r="P267" i="236"/>
  <c r="P266" i="236"/>
  <c r="O266" i="236"/>
  <c r="N266" i="236"/>
  <c r="M266" i="236"/>
  <c r="L266" i="236"/>
  <c r="K266" i="236"/>
  <c r="J266" i="236"/>
  <c r="I266" i="236"/>
  <c r="H266" i="236"/>
  <c r="G266" i="236"/>
  <c r="F266" i="236"/>
  <c r="E266" i="236"/>
  <c r="Q251" i="236"/>
  <c r="E252" i="236"/>
  <c r="F252" i="236"/>
  <c r="G252" i="236"/>
  <c r="H252" i="236"/>
  <c r="I252" i="236"/>
  <c r="J252" i="236"/>
  <c r="K252" i="236"/>
  <c r="L252" i="236"/>
  <c r="M252" i="236"/>
  <c r="N252" i="236"/>
  <c r="O252" i="236"/>
  <c r="P252" i="236"/>
  <c r="E249" i="236"/>
  <c r="F249" i="236"/>
  <c r="G249" i="236"/>
  <c r="H249" i="236"/>
  <c r="I249" i="236"/>
  <c r="J249" i="236"/>
  <c r="K249" i="236"/>
  <c r="L249" i="236"/>
  <c r="M249" i="236"/>
  <c r="N249" i="236"/>
  <c r="O249" i="236"/>
  <c r="P249" i="236"/>
  <c r="P250" i="236"/>
  <c r="O250" i="236"/>
  <c r="N250" i="236"/>
  <c r="M250" i="236"/>
  <c r="L250" i="236"/>
  <c r="K250" i="236"/>
  <c r="J250" i="236"/>
  <c r="I250" i="236"/>
  <c r="H250" i="236"/>
  <c r="G250" i="236"/>
  <c r="F250" i="236"/>
  <c r="E250" i="236"/>
  <c r="P228" i="236"/>
  <c r="O228" i="236"/>
  <c r="N228" i="236"/>
  <c r="M228" i="236"/>
  <c r="L228" i="236"/>
  <c r="K228" i="236"/>
  <c r="J228" i="236"/>
  <c r="I228" i="236"/>
  <c r="H228" i="236"/>
  <c r="G228" i="236"/>
  <c r="F228" i="236"/>
  <c r="E228" i="236"/>
  <c r="P227" i="236"/>
  <c r="O227" i="236"/>
  <c r="N227" i="236"/>
  <c r="M227" i="236"/>
  <c r="L227" i="236"/>
  <c r="K227" i="236"/>
  <c r="J227" i="236"/>
  <c r="J58" i="236" s="1"/>
  <c r="I227" i="236"/>
  <c r="H227" i="236"/>
  <c r="G227" i="236"/>
  <c r="F227" i="236"/>
  <c r="E227" i="236"/>
  <c r="E230" i="236"/>
  <c r="F230" i="236"/>
  <c r="G230" i="236"/>
  <c r="H230" i="236"/>
  <c r="I230" i="236"/>
  <c r="J230" i="236"/>
  <c r="K230" i="236"/>
  <c r="L230" i="236"/>
  <c r="M230" i="236"/>
  <c r="N230" i="236"/>
  <c r="O230" i="236"/>
  <c r="P230" i="236"/>
  <c r="E231" i="236"/>
  <c r="F231" i="236"/>
  <c r="G231" i="236"/>
  <c r="H231" i="236"/>
  <c r="I231" i="236"/>
  <c r="J231" i="236"/>
  <c r="K231" i="236"/>
  <c r="L231" i="236"/>
  <c r="M231" i="236"/>
  <c r="N231" i="236"/>
  <c r="O231" i="236"/>
  <c r="P231" i="236"/>
  <c r="E232" i="236"/>
  <c r="F232" i="236"/>
  <c r="G232" i="236"/>
  <c r="H232" i="236"/>
  <c r="I232" i="236"/>
  <c r="J232" i="236"/>
  <c r="K232" i="236"/>
  <c r="L232" i="236"/>
  <c r="M232" i="236"/>
  <c r="N232" i="236"/>
  <c r="O232" i="236"/>
  <c r="P232" i="236"/>
  <c r="E233" i="236"/>
  <c r="F233" i="236"/>
  <c r="G233" i="236"/>
  <c r="H233" i="236"/>
  <c r="I233" i="236"/>
  <c r="J233" i="236"/>
  <c r="K233" i="236"/>
  <c r="L233" i="236"/>
  <c r="M233" i="236"/>
  <c r="N233" i="236"/>
  <c r="O233" i="236"/>
  <c r="P233" i="236"/>
  <c r="P234" i="236"/>
  <c r="O234" i="236"/>
  <c r="N234" i="236"/>
  <c r="M234" i="236"/>
  <c r="L234" i="236"/>
  <c r="K234" i="236"/>
  <c r="J234" i="236"/>
  <c r="I234" i="236"/>
  <c r="H234" i="236"/>
  <c r="G234" i="236"/>
  <c r="F234" i="236"/>
  <c r="E234" i="236"/>
  <c r="E239" i="236"/>
  <c r="F239" i="236"/>
  <c r="G239" i="236"/>
  <c r="H239" i="236"/>
  <c r="I239" i="236"/>
  <c r="J239" i="236"/>
  <c r="K239" i="236"/>
  <c r="L239" i="236"/>
  <c r="M239" i="236"/>
  <c r="N239" i="236"/>
  <c r="O239" i="236"/>
  <c r="P239" i="236"/>
  <c r="E237" i="236"/>
  <c r="F237" i="236"/>
  <c r="G237" i="236"/>
  <c r="H237" i="236"/>
  <c r="I237" i="236"/>
  <c r="J237" i="236"/>
  <c r="K237" i="236"/>
  <c r="L237" i="236"/>
  <c r="M237" i="236"/>
  <c r="N237" i="236"/>
  <c r="O237" i="236"/>
  <c r="P237" i="236"/>
  <c r="E238" i="236"/>
  <c r="F238" i="236"/>
  <c r="G238" i="236"/>
  <c r="H238" i="236"/>
  <c r="I238" i="236"/>
  <c r="J238" i="236"/>
  <c r="K238" i="236"/>
  <c r="L238" i="236"/>
  <c r="M238" i="236"/>
  <c r="N238" i="236"/>
  <c r="O238" i="236"/>
  <c r="P238" i="236"/>
  <c r="E240" i="236"/>
  <c r="F240" i="236"/>
  <c r="G240" i="236"/>
  <c r="H240" i="236"/>
  <c r="I240" i="236"/>
  <c r="J240" i="236"/>
  <c r="K240" i="236"/>
  <c r="L240" i="236"/>
  <c r="M240" i="236"/>
  <c r="N240" i="236"/>
  <c r="O240" i="236"/>
  <c r="P240" i="236"/>
  <c r="E241" i="236"/>
  <c r="F241" i="236"/>
  <c r="G241" i="236"/>
  <c r="H241" i="236"/>
  <c r="I241" i="236"/>
  <c r="J241" i="236"/>
  <c r="K241" i="236"/>
  <c r="L241" i="236"/>
  <c r="M241" i="236"/>
  <c r="N241" i="236"/>
  <c r="O241" i="236"/>
  <c r="P241" i="236"/>
  <c r="E242" i="236"/>
  <c r="F242" i="236"/>
  <c r="G242" i="236"/>
  <c r="H242" i="236"/>
  <c r="I242" i="236"/>
  <c r="J242" i="236"/>
  <c r="K242" i="236"/>
  <c r="L242" i="236"/>
  <c r="M242" i="236"/>
  <c r="N242" i="236"/>
  <c r="O242" i="236"/>
  <c r="P242" i="236"/>
  <c r="E229" i="236"/>
  <c r="F229" i="236"/>
  <c r="G229" i="236"/>
  <c r="H229" i="236"/>
  <c r="I229" i="236"/>
  <c r="J229" i="236"/>
  <c r="K229" i="236"/>
  <c r="L229" i="236"/>
  <c r="M229" i="236"/>
  <c r="N229" i="236"/>
  <c r="O229" i="236"/>
  <c r="P229" i="236"/>
  <c r="E235" i="236"/>
  <c r="F235" i="236"/>
  <c r="G235" i="236"/>
  <c r="H235" i="236"/>
  <c r="I235" i="236"/>
  <c r="J235" i="236"/>
  <c r="K235" i="236"/>
  <c r="L235" i="236"/>
  <c r="M235" i="236"/>
  <c r="N235" i="236"/>
  <c r="O235" i="236"/>
  <c r="P235" i="236"/>
  <c r="E236" i="236"/>
  <c r="F236" i="236"/>
  <c r="G236" i="236"/>
  <c r="H236" i="236"/>
  <c r="I236" i="236"/>
  <c r="J236" i="236"/>
  <c r="K236" i="236"/>
  <c r="L236" i="236"/>
  <c r="M236" i="236"/>
  <c r="N236" i="236"/>
  <c r="O236" i="236"/>
  <c r="P236" i="236"/>
  <c r="E223" i="236"/>
  <c r="F223" i="236"/>
  <c r="G223" i="236"/>
  <c r="H223" i="236"/>
  <c r="I223" i="236"/>
  <c r="J223" i="236"/>
  <c r="K223" i="236"/>
  <c r="L223" i="236"/>
  <c r="M223" i="236"/>
  <c r="N223" i="236"/>
  <c r="O223" i="236"/>
  <c r="P223" i="236"/>
  <c r="E226" i="236"/>
  <c r="F226" i="236"/>
  <c r="G226" i="236"/>
  <c r="H226" i="236"/>
  <c r="I226" i="236"/>
  <c r="J226" i="236"/>
  <c r="K226" i="236"/>
  <c r="L226" i="236"/>
  <c r="M226" i="236"/>
  <c r="N226" i="236"/>
  <c r="O226" i="236"/>
  <c r="P226" i="236"/>
  <c r="E224" i="236"/>
  <c r="F224" i="236"/>
  <c r="G224" i="236"/>
  <c r="H224" i="236"/>
  <c r="I224" i="236"/>
  <c r="J224" i="236"/>
  <c r="K224" i="236"/>
  <c r="L224" i="236"/>
  <c r="M224" i="236"/>
  <c r="N224" i="236"/>
  <c r="O224" i="236"/>
  <c r="P224" i="236"/>
  <c r="E225" i="236"/>
  <c r="F225" i="236"/>
  <c r="G225" i="236"/>
  <c r="H225" i="236"/>
  <c r="I225" i="236"/>
  <c r="J225" i="236"/>
  <c r="K225" i="236"/>
  <c r="L225" i="236"/>
  <c r="M225" i="236"/>
  <c r="N225" i="236"/>
  <c r="O225" i="236"/>
  <c r="P225" i="236"/>
  <c r="E222" i="236"/>
  <c r="F222" i="236"/>
  <c r="G222" i="236"/>
  <c r="H222" i="236"/>
  <c r="I222" i="236"/>
  <c r="J222" i="236"/>
  <c r="K222" i="236"/>
  <c r="L222" i="236"/>
  <c r="M222" i="236"/>
  <c r="N222" i="236"/>
  <c r="O222" i="236"/>
  <c r="P222" i="236"/>
  <c r="P221" i="236"/>
  <c r="O221" i="236"/>
  <c r="N221" i="236"/>
  <c r="M221" i="236"/>
  <c r="L221" i="236"/>
  <c r="K221" i="236"/>
  <c r="J221" i="236"/>
  <c r="I221" i="236"/>
  <c r="H221" i="236"/>
  <c r="G221" i="236"/>
  <c r="F221" i="236"/>
  <c r="E221" i="236"/>
  <c r="Q189" i="236"/>
  <c r="E211" i="236"/>
  <c r="F211" i="236"/>
  <c r="G211" i="236"/>
  <c r="H211" i="236"/>
  <c r="I211" i="236"/>
  <c r="J211" i="236"/>
  <c r="K211" i="236"/>
  <c r="L211" i="236"/>
  <c r="L42" i="236" s="1"/>
  <c r="M211" i="236"/>
  <c r="N211" i="236"/>
  <c r="O211" i="236"/>
  <c r="P211" i="236"/>
  <c r="E181" i="236"/>
  <c r="F181" i="236"/>
  <c r="G181" i="236"/>
  <c r="H181" i="236"/>
  <c r="I181" i="236"/>
  <c r="J181" i="236"/>
  <c r="K181" i="236"/>
  <c r="L181" i="236"/>
  <c r="M181" i="236"/>
  <c r="N181" i="236"/>
  <c r="O181" i="236"/>
  <c r="P181" i="236"/>
  <c r="E182" i="236"/>
  <c r="F182" i="236"/>
  <c r="G182" i="236"/>
  <c r="H182" i="236"/>
  <c r="I182" i="236"/>
  <c r="J182" i="236"/>
  <c r="K182" i="236"/>
  <c r="L182" i="236"/>
  <c r="M182" i="236"/>
  <c r="N182" i="236"/>
  <c r="O182" i="236"/>
  <c r="P182" i="236"/>
  <c r="E183" i="236"/>
  <c r="F183" i="236"/>
  <c r="G183" i="236"/>
  <c r="H183" i="236"/>
  <c r="I183" i="236"/>
  <c r="J183" i="236"/>
  <c r="K183" i="236"/>
  <c r="L183" i="236"/>
  <c r="M183" i="236"/>
  <c r="N183" i="236"/>
  <c r="O183" i="236"/>
  <c r="P183" i="236"/>
  <c r="E184" i="236"/>
  <c r="F184" i="236"/>
  <c r="G184" i="236"/>
  <c r="H184" i="236"/>
  <c r="I184" i="236"/>
  <c r="J184" i="236"/>
  <c r="K184" i="236"/>
  <c r="L184" i="236"/>
  <c r="M184" i="236"/>
  <c r="N184" i="236"/>
  <c r="O184" i="236"/>
  <c r="P184" i="236"/>
  <c r="E185" i="236"/>
  <c r="F185" i="236"/>
  <c r="G185" i="236"/>
  <c r="H185" i="236"/>
  <c r="I185" i="236"/>
  <c r="J185" i="236"/>
  <c r="K185" i="236"/>
  <c r="L185" i="236"/>
  <c r="M185" i="236"/>
  <c r="N185" i="236"/>
  <c r="O185" i="236"/>
  <c r="P185" i="236"/>
  <c r="E186" i="236"/>
  <c r="F186" i="236"/>
  <c r="G186" i="236"/>
  <c r="H186" i="236"/>
  <c r="I186" i="236"/>
  <c r="J186" i="236"/>
  <c r="K186" i="236"/>
  <c r="L186" i="236"/>
  <c r="M186" i="236"/>
  <c r="N186" i="236"/>
  <c r="O186" i="236"/>
  <c r="P186" i="236"/>
  <c r="P180" i="236"/>
  <c r="O180" i="236"/>
  <c r="N180" i="236"/>
  <c r="M180" i="236"/>
  <c r="L180" i="236"/>
  <c r="K180" i="236"/>
  <c r="J180" i="236"/>
  <c r="I180" i="236"/>
  <c r="H180" i="236"/>
  <c r="G180" i="236"/>
  <c r="F180" i="236"/>
  <c r="E180" i="236"/>
  <c r="K105" i="228"/>
  <c r="L105" i="228"/>
  <c r="M105" i="228"/>
  <c r="N105" i="228"/>
  <c r="O105" i="228"/>
  <c r="P105" i="228"/>
  <c r="K106" i="228"/>
  <c r="L106" i="228"/>
  <c r="M106" i="228"/>
  <c r="N106" i="228"/>
  <c r="O106" i="228"/>
  <c r="P106" i="228"/>
  <c r="G105" i="228"/>
  <c r="H105" i="228"/>
  <c r="I105" i="228"/>
  <c r="J105" i="228"/>
  <c r="G106" i="228"/>
  <c r="H106" i="228"/>
  <c r="I106" i="228"/>
  <c r="J106" i="228"/>
  <c r="F105" i="228"/>
  <c r="F106" i="228"/>
  <c r="E105" i="228"/>
  <c r="E106" i="228"/>
  <c r="P38" i="228"/>
  <c r="T37" i="131" s="1"/>
  <c r="O38" i="228"/>
  <c r="S37" i="131" s="1"/>
  <c r="N38" i="228"/>
  <c r="R37" i="131" s="1"/>
  <c r="M38" i="228"/>
  <c r="Q37" i="131" s="1"/>
  <c r="L38" i="228"/>
  <c r="P37" i="131" s="1"/>
  <c r="K38" i="228"/>
  <c r="O37" i="131" s="1"/>
  <c r="J38" i="228"/>
  <c r="N37" i="131" s="1"/>
  <c r="I38" i="228"/>
  <c r="M37" i="131" s="1"/>
  <c r="H38" i="228"/>
  <c r="L37" i="131" s="1"/>
  <c r="G38" i="228"/>
  <c r="K37" i="131" s="1"/>
  <c r="F38" i="228"/>
  <c r="J37" i="131" s="1"/>
  <c r="E38" i="228"/>
  <c r="I37" i="131" s="1"/>
  <c r="E59" i="228"/>
  <c r="F59" i="228"/>
  <c r="G59" i="228"/>
  <c r="H59" i="228"/>
  <c r="I59" i="228"/>
  <c r="J59" i="228"/>
  <c r="K59" i="228"/>
  <c r="L59" i="228"/>
  <c r="M59" i="228"/>
  <c r="N59" i="228"/>
  <c r="O59" i="228"/>
  <c r="P59" i="228"/>
  <c r="E58" i="228"/>
  <c r="F58" i="228"/>
  <c r="G58" i="228"/>
  <c r="H58" i="228"/>
  <c r="I58" i="228"/>
  <c r="J58" i="228"/>
  <c r="K58" i="228"/>
  <c r="L58" i="228"/>
  <c r="M58" i="228"/>
  <c r="N58" i="228"/>
  <c r="O58" i="228"/>
  <c r="P58" i="228"/>
  <c r="E131" i="228"/>
  <c r="I130" i="131" s="1"/>
  <c r="F131" i="228"/>
  <c r="J130" i="131" s="1"/>
  <c r="G131" i="228"/>
  <c r="K130" i="131" s="1"/>
  <c r="H131" i="228"/>
  <c r="L130" i="131" s="1"/>
  <c r="I131" i="228"/>
  <c r="M130" i="131" s="1"/>
  <c r="J131" i="228"/>
  <c r="N130" i="131" s="1"/>
  <c r="K131" i="228"/>
  <c r="O130" i="131" s="1"/>
  <c r="L131" i="228"/>
  <c r="P130" i="131" s="1"/>
  <c r="M131" i="228"/>
  <c r="Q130" i="131" s="1"/>
  <c r="N131" i="228"/>
  <c r="R130" i="131" s="1"/>
  <c r="O131" i="228"/>
  <c r="S130" i="131" s="1"/>
  <c r="P131" i="228"/>
  <c r="T130" i="131" s="1"/>
  <c r="E96" i="228"/>
  <c r="F96" i="228"/>
  <c r="G96" i="228"/>
  <c r="H96" i="228"/>
  <c r="I96" i="228"/>
  <c r="J96" i="228"/>
  <c r="K96" i="228"/>
  <c r="L96" i="228"/>
  <c r="M96" i="228"/>
  <c r="N96" i="228"/>
  <c r="O96" i="228"/>
  <c r="P96" i="228"/>
  <c r="E97" i="228"/>
  <c r="F97" i="228"/>
  <c r="G97" i="228"/>
  <c r="H97" i="228"/>
  <c r="I97" i="228"/>
  <c r="J97" i="228"/>
  <c r="K97" i="228"/>
  <c r="L97" i="228"/>
  <c r="M97" i="228"/>
  <c r="N97" i="228"/>
  <c r="O97" i="228"/>
  <c r="P97" i="228"/>
  <c r="E82" i="228"/>
  <c r="F82" i="228"/>
  <c r="G82" i="228"/>
  <c r="H82" i="228"/>
  <c r="I82" i="228"/>
  <c r="J82" i="228"/>
  <c r="K82" i="228"/>
  <c r="L82" i="228"/>
  <c r="M82" i="228"/>
  <c r="N82" i="228"/>
  <c r="O82" i="228"/>
  <c r="P82" i="228"/>
  <c r="K80" i="228"/>
  <c r="L80" i="228"/>
  <c r="M80" i="228"/>
  <c r="N80" i="228"/>
  <c r="O80" i="228"/>
  <c r="P80" i="228"/>
  <c r="G80" i="228"/>
  <c r="H80" i="228"/>
  <c r="I80" i="228"/>
  <c r="J80" i="228"/>
  <c r="E80" i="228"/>
  <c r="F80" i="228"/>
  <c r="P79" i="228"/>
  <c r="O79" i="228"/>
  <c r="N79" i="228"/>
  <c r="M79" i="228"/>
  <c r="L79" i="228"/>
  <c r="K79" i="228"/>
  <c r="J79" i="228"/>
  <c r="I79" i="228"/>
  <c r="H79" i="228"/>
  <c r="G79" i="228"/>
  <c r="F79" i="228"/>
  <c r="E79" i="228"/>
  <c r="L69" i="228"/>
  <c r="M69" i="228"/>
  <c r="N69" i="228"/>
  <c r="O69" i="228"/>
  <c r="P69" i="228"/>
  <c r="L70" i="228"/>
  <c r="M70" i="228"/>
  <c r="N70" i="228"/>
  <c r="O70" i="228"/>
  <c r="P70" i="228"/>
  <c r="L71" i="228"/>
  <c r="M71" i="228"/>
  <c r="N71" i="228"/>
  <c r="O71" i="228"/>
  <c r="P71" i="228"/>
  <c r="L72" i="228"/>
  <c r="M72" i="228"/>
  <c r="N72" i="228"/>
  <c r="O72" i="228"/>
  <c r="P72" i="228"/>
  <c r="L73" i="228"/>
  <c r="M73" i="228"/>
  <c r="N73" i="228"/>
  <c r="O73" i="228"/>
  <c r="P73" i="228"/>
  <c r="L74" i="228"/>
  <c r="M74" i="228"/>
  <c r="N74" i="228"/>
  <c r="O74" i="228"/>
  <c r="P74" i="228"/>
  <c r="P68" i="228"/>
  <c r="O68" i="228"/>
  <c r="N68" i="228"/>
  <c r="M68" i="228"/>
  <c r="L68" i="228"/>
  <c r="L64" i="228"/>
  <c r="M64" i="228"/>
  <c r="N64" i="228"/>
  <c r="O64" i="228"/>
  <c r="P64" i="228"/>
  <c r="L65" i="228"/>
  <c r="M65" i="228"/>
  <c r="N65" i="228"/>
  <c r="O65" i="228"/>
  <c r="P65" i="228"/>
  <c r="L63" i="228"/>
  <c r="M63" i="228"/>
  <c r="N63" i="228"/>
  <c r="O63" i="228"/>
  <c r="P63" i="228"/>
  <c r="L62" i="228"/>
  <c r="M62" i="228"/>
  <c r="N62" i="228"/>
  <c r="O62" i="228"/>
  <c r="P62" i="228"/>
  <c r="P61" i="228"/>
  <c r="O61" i="228"/>
  <c r="N61" i="228"/>
  <c r="M61" i="228"/>
  <c r="L61" i="228"/>
  <c r="L67" i="228"/>
  <c r="M67" i="228"/>
  <c r="N67" i="228"/>
  <c r="O67" i="228"/>
  <c r="P67" i="228"/>
  <c r="L66" i="228"/>
  <c r="M66" i="228"/>
  <c r="N66" i="228"/>
  <c r="O66" i="228"/>
  <c r="P66" i="228"/>
  <c r="L60" i="228"/>
  <c r="M60" i="228"/>
  <c r="N60" i="228"/>
  <c r="O60" i="228"/>
  <c r="P60" i="228"/>
  <c r="L54" i="228"/>
  <c r="M54" i="228"/>
  <c r="N54" i="228"/>
  <c r="O54" i="228"/>
  <c r="P54" i="228"/>
  <c r="L57" i="228"/>
  <c r="M57" i="228"/>
  <c r="N57" i="228"/>
  <c r="O57" i="228"/>
  <c r="P57" i="228"/>
  <c r="L55" i="228"/>
  <c r="M55" i="228"/>
  <c r="N55" i="228"/>
  <c r="O55" i="228"/>
  <c r="P55" i="228"/>
  <c r="L56" i="228"/>
  <c r="M56" i="228"/>
  <c r="N56" i="228"/>
  <c r="O56" i="228"/>
  <c r="P56" i="228"/>
  <c r="L53" i="228"/>
  <c r="M53" i="228"/>
  <c r="N53" i="228"/>
  <c r="O53" i="228"/>
  <c r="P53" i="228"/>
  <c r="P52" i="228"/>
  <c r="O52" i="228"/>
  <c r="N52" i="228"/>
  <c r="M52" i="228"/>
  <c r="L52" i="228"/>
  <c r="K69" i="228"/>
  <c r="K70" i="228"/>
  <c r="K71" i="228"/>
  <c r="K72" i="228"/>
  <c r="K73" i="228"/>
  <c r="K74" i="228"/>
  <c r="K68" i="228"/>
  <c r="K67" i="228"/>
  <c r="K66" i="228"/>
  <c r="K65" i="228"/>
  <c r="K64" i="228"/>
  <c r="K63" i="228"/>
  <c r="K62" i="228"/>
  <c r="K61" i="228"/>
  <c r="K60" i="228"/>
  <c r="J69" i="228"/>
  <c r="J70" i="228"/>
  <c r="J71" i="228"/>
  <c r="J72" i="228"/>
  <c r="J73" i="228"/>
  <c r="J74" i="228"/>
  <c r="J68" i="228"/>
  <c r="J67" i="228"/>
  <c r="J66" i="228"/>
  <c r="J65" i="228"/>
  <c r="J64" i="228"/>
  <c r="J63" i="228"/>
  <c r="J62" i="228"/>
  <c r="J61" i="228"/>
  <c r="J60" i="228"/>
  <c r="I74" i="228"/>
  <c r="I73" i="228"/>
  <c r="I72" i="228"/>
  <c r="I71" i="228"/>
  <c r="I70" i="228"/>
  <c r="I69" i="228"/>
  <c r="I68" i="228"/>
  <c r="I67" i="228"/>
  <c r="I66" i="228"/>
  <c r="I65" i="228"/>
  <c r="I64" i="228"/>
  <c r="I63" i="228"/>
  <c r="I62" i="228"/>
  <c r="I61" i="228"/>
  <c r="I60" i="228"/>
  <c r="K57" i="228"/>
  <c r="K56" i="228"/>
  <c r="K55" i="228"/>
  <c r="J57" i="228"/>
  <c r="J56" i="228"/>
  <c r="J55" i="228"/>
  <c r="I57" i="228"/>
  <c r="I56" i="228"/>
  <c r="I55" i="228"/>
  <c r="K54" i="228"/>
  <c r="J54" i="228"/>
  <c r="I54" i="228"/>
  <c r="I53" i="228"/>
  <c r="J53" i="228"/>
  <c r="K53" i="228"/>
  <c r="K52" i="228"/>
  <c r="J52" i="228"/>
  <c r="I52" i="228"/>
  <c r="H69" i="228"/>
  <c r="H70" i="228"/>
  <c r="H71" i="228"/>
  <c r="H72" i="228"/>
  <c r="H73" i="228"/>
  <c r="H74" i="228"/>
  <c r="H68" i="228"/>
  <c r="H67" i="228"/>
  <c r="H66" i="228"/>
  <c r="H65" i="228"/>
  <c r="H64" i="228"/>
  <c r="H63" i="228"/>
  <c r="H62" i="228"/>
  <c r="H61" i="228"/>
  <c r="H60" i="228"/>
  <c r="H57" i="228"/>
  <c r="H56" i="228"/>
  <c r="H55" i="228"/>
  <c r="H54" i="228"/>
  <c r="H53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7" i="228"/>
  <c r="G56" i="228"/>
  <c r="G55" i="228"/>
  <c r="G54" i="228"/>
  <c r="G53" i="228"/>
  <c r="H52" i="228"/>
  <c r="G52" i="228"/>
  <c r="F74" i="228"/>
  <c r="F73" i="228"/>
  <c r="F72" i="228"/>
  <c r="F71" i="228"/>
  <c r="F70" i="228"/>
  <c r="F69" i="228"/>
  <c r="F68" i="228"/>
  <c r="F67" i="228"/>
  <c r="F66" i="228"/>
  <c r="F65" i="228"/>
  <c r="F64" i="228"/>
  <c r="F63" i="228"/>
  <c r="F62" i="228"/>
  <c r="F61" i="228"/>
  <c r="F60" i="228"/>
  <c r="F57" i="228"/>
  <c r="F56" i="228"/>
  <c r="F55" i="228"/>
  <c r="F54" i="228"/>
  <c r="F53" i="228"/>
  <c r="F52" i="228"/>
  <c r="E60" i="228"/>
  <c r="E71" i="228"/>
  <c r="E72" i="228"/>
  <c r="E73" i="228"/>
  <c r="E74" i="228"/>
  <c r="E69" i="228"/>
  <c r="E70" i="228"/>
  <c r="E68" i="228"/>
  <c r="E64" i="228"/>
  <c r="E65" i="228"/>
  <c r="E63" i="228"/>
  <c r="E62" i="228"/>
  <c r="E61" i="228"/>
  <c r="E66" i="228"/>
  <c r="E67" i="228"/>
  <c r="E57" i="228"/>
  <c r="E54" i="228"/>
  <c r="E55" i="228"/>
  <c r="E56" i="228"/>
  <c r="E53" i="228"/>
  <c r="E52" i="228"/>
  <c r="Q30" i="228"/>
  <c r="H11" i="228"/>
  <c r="I11" i="228"/>
  <c r="J11" i="228"/>
  <c r="K11" i="228"/>
  <c r="L11" i="228"/>
  <c r="M11" i="228"/>
  <c r="N11" i="228"/>
  <c r="O11" i="228"/>
  <c r="P11" i="228"/>
  <c r="H12" i="228"/>
  <c r="I12" i="228"/>
  <c r="J12" i="228"/>
  <c r="K12" i="228"/>
  <c r="L12" i="228"/>
  <c r="M12" i="228"/>
  <c r="N12" i="228"/>
  <c r="O12" i="228"/>
  <c r="P12" i="228"/>
  <c r="H13" i="228"/>
  <c r="I13" i="228"/>
  <c r="J13" i="228"/>
  <c r="K13" i="228"/>
  <c r="L13" i="228"/>
  <c r="M13" i="228"/>
  <c r="N13" i="228"/>
  <c r="O13" i="228"/>
  <c r="P13" i="228"/>
  <c r="H14" i="228"/>
  <c r="I14" i="228"/>
  <c r="J14" i="228"/>
  <c r="K14" i="228"/>
  <c r="L14" i="228"/>
  <c r="M14" i="228"/>
  <c r="N14" i="228"/>
  <c r="O14" i="228"/>
  <c r="P14" i="228"/>
  <c r="H15" i="228"/>
  <c r="I15" i="228"/>
  <c r="J15" i="228"/>
  <c r="K15" i="228"/>
  <c r="L15" i="228"/>
  <c r="M15" i="228"/>
  <c r="N15" i="228"/>
  <c r="O15" i="228"/>
  <c r="P15" i="228"/>
  <c r="H16" i="228"/>
  <c r="I16" i="228"/>
  <c r="J16" i="228"/>
  <c r="K16" i="228"/>
  <c r="L16" i="228"/>
  <c r="M16" i="228"/>
  <c r="N16" i="228"/>
  <c r="O16" i="228"/>
  <c r="P16" i="228"/>
  <c r="P10" i="228"/>
  <c r="O10" i="228"/>
  <c r="N10" i="228"/>
  <c r="M10" i="228"/>
  <c r="L10" i="228"/>
  <c r="K10" i="228"/>
  <c r="J10" i="228"/>
  <c r="I10" i="228"/>
  <c r="H10" i="228"/>
  <c r="G11" i="228"/>
  <c r="G12" i="228"/>
  <c r="G13" i="228"/>
  <c r="G14" i="228"/>
  <c r="G15" i="228"/>
  <c r="G16" i="228"/>
  <c r="G10" i="228"/>
  <c r="F11" i="228"/>
  <c r="F12" i="228"/>
  <c r="F13" i="228"/>
  <c r="F14" i="228"/>
  <c r="F15" i="228"/>
  <c r="F16" i="228"/>
  <c r="F10" i="228"/>
  <c r="E11" i="228"/>
  <c r="E12" i="228"/>
  <c r="E13" i="228"/>
  <c r="E14" i="228"/>
  <c r="E15" i="228"/>
  <c r="E16" i="228"/>
  <c r="E10" i="228"/>
  <c r="O42" i="236" l="1"/>
  <c r="G56" i="236"/>
  <c r="N59" i="236"/>
  <c r="G54" i="236"/>
  <c r="J80" i="236"/>
  <c r="K82" i="236"/>
  <c r="N58" i="236"/>
  <c r="J59" i="236"/>
  <c r="P42" i="236"/>
  <c r="O58" i="236"/>
  <c r="O80" i="236"/>
  <c r="P17" i="236"/>
  <c r="P15" i="236"/>
  <c r="P13" i="236"/>
  <c r="P59" i="236"/>
  <c r="K80" i="236"/>
  <c r="O16" i="236"/>
  <c r="O14" i="236"/>
  <c r="O12" i="236"/>
  <c r="N17" i="236"/>
  <c r="N16" i="236"/>
  <c r="N15" i="236"/>
  <c r="N14" i="236"/>
  <c r="N13" i="236"/>
  <c r="N12" i="236"/>
  <c r="O67" i="236"/>
  <c r="F65" i="236"/>
  <c r="P106" i="236"/>
  <c r="O106" i="236"/>
  <c r="M58" i="236"/>
  <c r="M59" i="236"/>
  <c r="F66" i="236"/>
  <c r="F73" i="236"/>
  <c r="F72" i="236"/>
  <c r="F64" i="236"/>
  <c r="F63" i="236"/>
  <c r="F62" i="236"/>
  <c r="F61" i="236"/>
  <c r="G106" i="236"/>
  <c r="U130" i="131"/>
  <c r="E14" i="236"/>
  <c r="E12" i="236"/>
  <c r="F71" i="236"/>
  <c r="F69" i="236"/>
  <c r="F68" i="236"/>
  <c r="F70" i="236"/>
  <c r="P66" i="236"/>
  <c r="J358" i="234"/>
  <c r="J357" i="234"/>
  <c r="J356" i="234"/>
  <c r="J355" i="234"/>
  <c r="J354" i="234"/>
  <c r="G42" i="236"/>
  <c r="M80" i="236"/>
  <c r="F17" i="236"/>
  <c r="F16" i="236"/>
  <c r="N53" i="236"/>
  <c r="N55" i="236"/>
  <c r="N57" i="236"/>
  <c r="N66" i="236"/>
  <c r="N60" i="236"/>
  <c r="J353" i="234"/>
  <c r="E16" i="236"/>
  <c r="F53" i="236"/>
  <c r="F56" i="236"/>
  <c r="F55" i="236"/>
  <c r="F57" i="236"/>
  <c r="F60" i="236"/>
  <c r="I473" i="234"/>
  <c r="E80" i="236"/>
  <c r="K42" i="236"/>
  <c r="I58" i="236"/>
  <c r="I59" i="236"/>
  <c r="I80" i="236"/>
  <c r="J17" i="236"/>
  <c r="J16" i="236"/>
  <c r="J15" i="236"/>
  <c r="J14" i="236"/>
  <c r="J13" i="236"/>
  <c r="J12" i="236"/>
  <c r="J53" i="236"/>
  <c r="J55" i="236"/>
  <c r="J57" i="236"/>
  <c r="J66" i="236"/>
  <c r="J60" i="236"/>
  <c r="J73" i="236"/>
  <c r="J72" i="236"/>
  <c r="J64" i="236"/>
  <c r="J63" i="236"/>
  <c r="J62" i="236"/>
  <c r="J61" i="236"/>
  <c r="J82" i="236"/>
  <c r="I71" i="236"/>
  <c r="I69" i="236"/>
  <c r="I68" i="236"/>
  <c r="I70" i="236"/>
  <c r="J409" i="234"/>
  <c r="I235" i="234"/>
  <c r="G16" i="236"/>
  <c r="G14" i="236"/>
  <c r="G12" i="236"/>
  <c r="J352" i="234"/>
  <c r="J394" i="234"/>
  <c r="J398" i="234"/>
  <c r="J396" i="234"/>
  <c r="J407" i="234"/>
  <c r="J438" i="234"/>
  <c r="J383" i="234"/>
  <c r="I224" i="234"/>
  <c r="E66" i="236"/>
  <c r="I237" i="234"/>
  <c r="H15" i="236"/>
  <c r="H13" i="236"/>
  <c r="F15" i="236"/>
  <c r="F14" i="236"/>
  <c r="F13" i="236"/>
  <c r="F12" i="236"/>
  <c r="G57" i="236"/>
  <c r="G67" i="236"/>
  <c r="G60" i="236"/>
  <c r="N65" i="236"/>
  <c r="N80" i="236"/>
  <c r="K40" i="236"/>
  <c r="J40" i="234" s="1"/>
  <c r="J381" i="234"/>
  <c r="I238" i="234"/>
  <c r="J448" i="234"/>
  <c r="P53" i="236"/>
  <c r="P55" i="236"/>
  <c r="I236" i="234"/>
  <c r="E58" i="236"/>
  <c r="I229" i="234"/>
  <c r="E59" i="236"/>
  <c r="I230" i="234"/>
  <c r="I413" i="234"/>
  <c r="I412" i="234"/>
  <c r="I411" i="234"/>
  <c r="I410" i="234"/>
  <c r="I422" i="234"/>
  <c r="I401" i="234"/>
  <c r="I400" i="234"/>
  <c r="J447" i="234"/>
  <c r="I225" i="234"/>
  <c r="I234" i="234"/>
  <c r="O56" i="236"/>
  <c r="O64" i="236"/>
  <c r="O62" i="236"/>
  <c r="O61" i="236"/>
  <c r="F59" i="236"/>
  <c r="F80" i="236"/>
  <c r="I358" i="234"/>
  <c r="I357" i="234"/>
  <c r="I356" i="234"/>
  <c r="I355" i="234"/>
  <c r="I354" i="234"/>
  <c r="I353" i="234"/>
  <c r="I395" i="234"/>
  <c r="I399" i="234"/>
  <c r="I397" i="234"/>
  <c r="I409" i="234"/>
  <c r="I408" i="234"/>
  <c r="I415" i="234"/>
  <c r="I414" i="234"/>
  <c r="I406" i="234"/>
  <c r="I402" i="234"/>
  <c r="I405" i="234"/>
  <c r="I404" i="234"/>
  <c r="I403" i="234"/>
  <c r="I424" i="234"/>
  <c r="I421" i="234"/>
  <c r="I227" i="234"/>
  <c r="E73" i="236"/>
  <c r="I244" i="234"/>
  <c r="I232" i="234"/>
  <c r="I499" i="234"/>
  <c r="O60" i="236"/>
  <c r="O72" i="236"/>
  <c r="N56" i="236"/>
  <c r="N73" i="236"/>
  <c r="N72" i="236"/>
  <c r="N71" i="236"/>
  <c r="N69" i="236"/>
  <c r="N68" i="236"/>
  <c r="N70" i="236"/>
  <c r="N64" i="236"/>
  <c r="N63" i="236"/>
  <c r="N62" i="236"/>
  <c r="N61" i="236"/>
  <c r="G58" i="236"/>
  <c r="I352" i="234"/>
  <c r="I394" i="234"/>
  <c r="I398" i="234"/>
  <c r="I396" i="234"/>
  <c r="I407" i="234"/>
  <c r="I438" i="234"/>
  <c r="I383" i="234"/>
  <c r="I243" i="234"/>
  <c r="E62" i="236"/>
  <c r="I233" i="234"/>
  <c r="I439" i="234"/>
  <c r="O57" i="236"/>
  <c r="M54" i="236"/>
  <c r="M71" i="236"/>
  <c r="M69" i="236"/>
  <c r="M68" i="236"/>
  <c r="M70" i="236"/>
  <c r="E40" i="236"/>
  <c r="I40" i="234" s="1"/>
  <c r="I381" i="234"/>
  <c r="I226" i="234"/>
  <c r="E69" i="236"/>
  <c r="I240" i="234"/>
  <c r="O54" i="236"/>
  <c r="F58" i="236"/>
  <c r="K17" i="236"/>
  <c r="K15" i="236"/>
  <c r="K13" i="236"/>
  <c r="J473" i="234"/>
  <c r="I231" i="234"/>
  <c r="E70" i="236"/>
  <c r="I241" i="234"/>
  <c r="K53" i="236"/>
  <c r="J224" i="234"/>
  <c r="K56" i="236"/>
  <c r="J227" i="234"/>
  <c r="K55" i="236"/>
  <c r="J226" i="234"/>
  <c r="J228" i="234"/>
  <c r="K54" i="236"/>
  <c r="J225" i="234"/>
  <c r="J238" i="234"/>
  <c r="J237" i="234"/>
  <c r="K60" i="236"/>
  <c r="J231" i="234"/>
  <c r="K73" i="236"/>
  <c r="J244" i="234"/>
  <c r="J243" i="234"/>
  <c r="J242" i="234"/>
  <c r="K69" i="236"/>
  <c r="J240" i="234"/>
  <c r="J239" i="234"/>
  <c r="J241" i="234"/>
  <c r="J65" i="236"/>
  <c r="J235" i="234"/>
  <c r="K63" i="236"/>
  <c r="J234" i="234"/>
  <c r="J233" i="234"/>
  <c r="J232" i="234"/>
  <c r="L106" i="236"/>
  <c r="J439" i="234"/>
  <c r="J499" i="234"/>
  <c r="I448" i="234"/>
  <c r="I228" i="234"/>
  <c r="E68" i="236"/>
  <c r="I239" i="234"/>
  <c r="I42" i="236"/>
  <c r="J54" i="236"/>
  <c r="J71" i="236"/>
  <c r="J69" i="236"/>
  <c r="J68" i="236"/>
  <c r="J70" i="236"/>
  <c r="K65" i="236"/>
  <c r="J236" i="234"/>
  <c r="J229" i="234"/>
  <c r="K59" i="236"/>
  <c r="J230" i="234"/>
  <c r="J413" i="234"/>
  <c r="J412" i="234"/>
  <c r="J411" i="234"/>
  <c r="J410" i="234"/>
  <c r="J422" i="234"/>
  <c r="J401" i="234"/>
  <c r="J400" i="234"/>
  <c r="I447" i="234"/>
  <c r="E71" i="236"/>
  <c r="I242" i="234"/>
  <c r="H17" i="236"/>
  <c r="H42" i="236"/>
  <c r="J395" i="234"/>
  <c r="J399" i="234"/>
  <c r="J397" i="234"/>
  <c r="J408" i="234"/>
  <c r="J415" i="234"/>
  <c r="J414" i="234"/>
  <c r="J406" i="234"/>
  <c r="J402" i="234"/>
  <c r="J405" i="234"/>
  <c r="J404" i="234"/>
  <c r="J403" i="234"/>
  <c r="J424" i="234"/>
  <c r="J421" i="234"/>
  <c r="O69" i="236"/>
  <c r="K68" i="236"/>
  <c r="K61" i="236"/>
  <c r="H106" i="236"/>
  <c r="E65" i="236"/>
  <c r="M65" i="236"/>
  <c r="E67" i="236"/>
  <c r="O73" i="236"/>
  <c r="K72" i="236"/>
  <c r="O71" i="236"/>
  <c r="O68" i="236"/>
  <c r="K70" i="236"/>
  <c r="K64" i="236"/>
  <c r="O63" i="236"/>
  <c r="K62" i="236"/>
  <c r="M56" i="236"/>
  <c r="E42" i="236"/>
  <c r="O65" i="236"/>
  <c r="K58" i="236"/>
  <c r="G59" i="236"/>
  <c r="O59" i="236"/>
  <c r="P16" i="236"/>
  <c r="H16" i="236"/>
  <c r="P14" i="236"/>
  <c r="H14" i="236"/>
  <c r="P12" i="236"/>
  <c r="H12" i="236"/>
  <c r="P56" i="236"/>
  <c r="P57" i="236"/>
  <c r="P67" i="236"/>
  <c r="H67" i="236"/>
  <c r="P60" i="236"/>
  <c r="P82" i="236"/>
  <c r="H82" i="236"/>
  <c r="F67" i="236"/>
  <c r="E72" i="236"/>
  <c r="E64" i="236"/>
  <c r="P58" i="236"/>
  <c r="F106" i="236"/>
  <c r="O17" i="236"/>
  <c r="G17" i="236"/>
  <c r="K16" i="236"/>
  <c r="O15" i="236"/>
  <c r="G15" i="236"/>
  <c r="K14" i="236"/>
  <c r="O13" i="236"/>
  <c r="G13" i="236"/>
  <c r="K12" i="236"/>
  <c r="P54" i="236"/>
  <c r="F42" i="236"/>
  <c r="O53" i="236"/>
  <c r="G53" i="236"/>
  <c r="O55" i="236"/>
  <c r="G55" i="236"/>
  <c r="K57" i="236"/>
  <c r="K67" i="236"/>
  <c r="O66" i="236"/>
  <c r="E17" i="236"/>
  <c r="E15" i="236"/>
  <c r="E13" i="236"/>
  <c r="J56" i="236"/>
  <c r="N54" i="236"/>
  <c r="F54" i="236"/>
  <c r="E63" i="236"/>
  <c r="E61" i="236"/>
  <c r="I106" i="236"/>
  <c r="I67" i="236"/>
  <c r="I66" i="236"/>
  <c r="I73" i="236"/>
  <c r="I72" i="236"/>
  <c r="L65" i="236"/>
  <c r="I64" i="236"/>
  <c r="I63" i="236"/>
  <c r="I62" i="236"/>
  <c r="I61" i="236"/>
  <c r="I82" i="236"/>
  <c r="J106" i="236"/>
  <c r="E53" i="236"/>
  <c r="E56" i="236"/>
  <c r="E55" i="236"/>
  <c r="E57" i="236"/>
  <c r="E54" i="236"/>
  <c r="E60" i="236"/>
  <c r="P65" i="236"/>
  <c r="P80" i="236"/>
  <c r="E82" i="236"/>
  <c r="P73" i="236"/>
  <c r="P72" i="236"/>
  <c r="P71" i="236"/>
  <c r="P69" i="236"/>
  <c r="P68" i="236"/>
  <c r="P70" i="236"/>
  <c r="P64" i="236"/>
  <c r="P63" i="236"/>
  <c r="P62" i="236"/>
  <c r="P61" i="236"/>
  <c r="H58" i="236"/>
  <c r="H59" i="236"/>
  <c r="L56" i="236"/>
  <c r="L54" i="236"/>
  <c r="J42" i="236"/>
  <c r="K66" i="236"/>
  <c r="I17" i="236"/>
  <c r="I16" i="236"/>
  <c r="I15" i="236"/>
  <c r="I14" i="236"/>
  <c r="I13" i="236"/>
  <c r="I12" i="236"/>
  <c r="J67" i="236"/>
  <c r="I53" i="236"/>
  <c r="I56" i="236"/>
  <c r="I55" i="236"/>
  <c r="I57" i="236"/>
  <c r="I54" i="236"/>
  <c r="I60" i="236"/>
  <c r="L58" i="236"/>
  <c r="L59" i="236"/>
  <c r="L80" i="236"/>
  <c r="K157" i="236"/>
  <c r="H53" i="236"/>
  <c r="H56" i="236"/>
  <c r="H55" i="236"/>
  <c r="H57" i="236"/>
  <c r="H54" i="236"/>
  <c r="H66" i="236"/>
  <c r="H60" i="236"/>
  <c r="H73" i="236"/>
  <c r="H72" i="236"/>
  <c r="H71" i="236"/>
  <c r="H69" i="236"/>
  <c r="H68" i="236"/>
  <c r="H70" i="236"/>
  <c r="H64" i="236"/>
  <c r="H63" i="236"/>
  <c r="H62" i="236"/>
  <c r="H61" i="236"/>
  <c r="G66" i="236"/>
  <c r="G73" i="236"/>
  <c r="G72" i="236"/>
  <c r="G71" i="236"/>
  <c r="G69" i="236"/>
  <c r="G68" i="236"/>
  <c r="G64" i="236"/>
  <c r="G63" i="236"/>
  <c r="G62" i="236"/>
  <c r="G61" i="236"/>
  <c r="K106" i="236"/>
  <c r="J278" i="234"/>
  <c r="E106" i="236"/>
  <c r="I278" i="234"/>
  <c r="N42" i="236"/>
  <c r="M17" i="236"/>
  <c r="M16" i="236"/>
  <c r="M15" i="236"/>
  <c r="M14" i="236"/>
  <c r="M13" i="236"/>
  <c r="M12" i="236"/>
  <c r="M42" i="236"/>
  <c r="N67" i="236"/>
  <c r="G65" i="236"/>
  <c r="G80" i="236"/>
  <c r="L17" i="236"/>
  <c r="L16" i="236"/>
  <c r="L15" i="236"/>
  <c r="L14" i="236"/>
  <c r="L13" i="236"/>
  <c r="L12" i="236"/>
  <c r="M53" i="236"/>
  <c r="M55" i="236"/>
  <c r="M57" i="236"/>
  <c r="M67" i="236"/>
  <c r="M66" i="236"/>
  <c r="M60" i="236"/>
  <c r="M73" i="236"/>
  <c r="M72" i="236"/>
  <c r="H65" i="236"/>
  <c r="M64" i="236"/>
  <c r="M63" i="236"/>
  <c r="M62" i="236"/>
  <c r="M61" i="236"/>
  <c r="H80" i="236"/>
  <c r="M82" i="236"/>
  <c r="N106" i="236"/>
  <c r="L53" i="236"/>
  <c r="L55" i="236"/>
  <c r="L57" i="236"/>
  <c r="L67" i="236"/>
  <c r="L66" i="236"/>
  <c r="L60" i="236"/>
  <c r="L73" i="236"/>
  <c r="L72" i="236"/>
  <c r="L71" i="236"/>
  <c r="L69" i="236"/>
  <c r="L68" i="236"/>
  <c r="L70" i="236"/>
  <c r="I65" i="236"/>
  <c r="L64" i="236"/>
  <c r="L63" i="236"/>
  <c r="L62" i="236"/>
  <c r="L61" i="236"/>
  <c r="L79" i="236"/>
  <c r="L82" i="236"/>
  <c r="M106" i="236"/>
  <c r="N82" i="236"/>
  <c r="F82" i="236"/>
  <c r="Q615" i="236"/>
  <c r="K71" i="236"/>
  <c r="O70" i="236"/>
  <c r="G70" i="236"/>
  <c r="O82" i="236"/>
  <c r="G82" i="236"/>
  <c r="E96" i="236"/>
  <c r="M96" i="236"/>
  <c r="H105" i="236"/>
  <c r="F52" i="236"/>
  <c r="N52" i="236"/>
  <c r="E52" i="236"/>
  <c r="M52" i="236"/>
  <c r="J105" i="236"/>
  <c r="K96" i="236"/>
  <c r="J43" i="226"/>
  <c r="J269" i="234"/>
  <c r="G52" i="236"/>
  <c r="O52" i="236"/>
  <c r="J79" i="236"/>
  <c r="I79" i="236"/>
  <c r="E105" i="236"/>
  <c r="I80" i="226"/>
  <c r="J83" i="226"/>
  <c r="J97" i="226"/>
  <c r="J58" i="226"/>
  <c r="H96" i="236"/>
  <c r="P96" i="236"/>
  <c r="P105" i="236"/>
  <c r="I105" i="236"/>
  <c r="I43" i="226"/>
  <c r="M105" i="236"/>
  <c r="I254" i="234"/>
  <c r="J96" i="236"/>
  <c r="P103" i="228"/>
  <c r="P52" i="236"/>
  <c r="I96" i="236"/>
  <c r="F79" i="236"/>
  <c r="I132" i="226"/>
  <c r="H52" i="236"/>
  <c r="J268" i="234"/>
  <c r="L96" i="236"/>
  <c r="L105" i="236"/>
  <c r="N79" i="236"/>
  <c r="J277" i="234"/>
  <c r="N103" i="228"/>
  <c r="J52" i="236"/>
  <c r="O79" i="236"/>
  <c r="G79" i="236"/>
  <c r="J81" i="226"/>
  <c r="J59" i="226"/>
  <c r="J106" i="226"/>
  <c r="F96" i="236"/>
  <c r="N96" i="236"/>
  <c r="F105" i="236"/>
  <c r="N105" i="236"/>
  <c r="Q445" i="236"/>
  <c r="I98" i="226"/>
  <c r="L52" i="236"/>
  <c r="M79" i="236"/>
  <c r="G96" i="236"/>
  <c r="O96" i="236"/>
  <c r="G105" i="236"/>
  <c r="O105" i="236"/>
  <c r="I52" i="236"/>
  <c r="K105" i="236"/>
  <c r="P79" i="236"/>
  <c r="H79" i="236"/>
  <c r="I269" i="234"/>
  <c r="J98" i="226"/>
  <c r="J254" i="234"/>
  <c r="I268" i="234"/>
  <c r="I277" i="234"/>
  <c r="I97" i="226"/>
  <c r="I58" i="226"/>
  <c r="Q569" i="236"/>
  <c r="I251" i="234"/>
  <c r="E79" i="236"/>
  <c r="E131" i="236"/>
  <c r="Q106" i="228"/>
  <c r="I107" i="226"/>
  <c r="I81" i="226"/>
  <c r="J107" i="226"/>
  <c r="J213" i="234"/>
  <c r="I252" i="234"/>
  <c r="Q570" i="236"/>
  <c r="Q579" i="236"/>
  <c r="Q562" i="236"/>
  <c r="Q564" i="236"/>
  <c r="K52" i="236"/>
  <c r="I59" i="226"/>
  <c r="Q59" i="228"/>
  <c r="I106" i="226"/>
  <c r="I213" i="234"/>
  <c r="J251" i="234"/>
  <c r="K79" i="236"/>
  <c r="P157" i="236"/>
  <c r="K131" i="236"/>
  <c r="J80" i="226"/>
  <c r="Q444" i="236"/>
  <c r="Q571" i="236"/>
  <c r="Q580" i="236"/>
  <c r="Q581" i="236"/>
  <c r="Q614" i="236"/>
  <c r="Q58" i="228"/>
  <c r="Q588" i="236"/>
  <c r="J252" i="234"/>
  <c r="J132" i="226"/>
  <c r="Q563" i="236"/>
  <c r="E157" i="236"/>
  <c r="I158" i="234" s="1"/>
  <c r="Q591" i="236"/>
  <c r="Q577" i="236"/>
  <c r="Q582" i="236"/>
  <c r="Q565" i="236"/>
  <c r="Q566" i="236"/>
  <c r="Q550" i="236"/>
  <c r="Q548" i="236"/>
  <c r="Q589" i="236"/>
  <c r="Q561" i="236"/>
  <c r="P504" i="236"/>
  <c r="Q470" i="236"/>
  <c r="Q392" i="236"/>
  <c r="Q496" i="236"/>
  <c r="Q410" i="236"/>
  <c r="Q407" i="236"/>
  <c r="Q421" i="236"/>
  <c r="Q398" i="236"/>
  <c r="Q397" i="236"/>
  <c r="Q396" i="236"/>
  <c r="Q394" i="236"/>
  <c r="Q406" i="236"/>
  <c r="Q405" i="236"/>
  <c r="Q412" i="236"/>
  <c r="Q403" i="236"/>
  <c r="Q399" i="236"/>
  <c r="Q418" i="236"/>
  <c r="Q391" i="236"/>
  <c r="Q435" i="236"/>
  <c r="Q436" i="236"/>
  <c r="Q395" i="236"/>
  <c r="Q393" i="236"/>
  <c r="Q404" i="236"/>
  <c r="Q411" i="236"/>
  <c r="Q409" i="236"/>
  <c r="Q408" i="236"/>
  <c r="Q419" i="236"/>
  <c r="Q402" i="236"/>
  <c r="Q401" i="236"/>
  <c r="Q400" i="236"/>
  <c r="Q229" i="236"/>
  <c r="Q211" i="236"/>
  <c r="Q230" i="236"/>
  <c r="Q225" i="236"/>
  <c r="Q224" i="236"/>
  <c r="Q223" i="236"/>
  <c r="Q250" i="236"/>
  <c r="Q240" i="236"/>
  <c r="Q238" i="236"/>
  <c r="Q233" i="236"/>
  <c r="Q237" i="236"/>
  <c r="Q236" i="236"/>
  <c r="Q232" i="236"/>
  <c r="Q249" i="236"/>
  <c r="Q235" i="236"/>
  <c r="Q231" i="236"/>
  <c r="Q226" i="236"/>
  <c r="Q242" i="236"/>
  <c r="Q239" i="236"/>
  <c r="Q241" i="236"/>
  <c r="Q228" i="236"/>
  <c r="Q227" i="236"/>
  <c r="Q234" i="236"/>
  <c r="M103" i="228"/>
  <c r="L103" i="228"/>
  <c r="G103" i="228"/>
  <c r="F103" i="228"/>
  <c r="E103" i="228"/>
  <c r="I103" i="228"/>
  <c r="Q97" i="228"/>
  <c r="Q96" i="228"/>
  <c r="O103" i="228"/>
  <c r="K103" i="228"/>
  <c r="J103" i="228"/>
  <c r="H103" i="228"/>
  <c r="Q79" i="228"/>
  <c r="Q80" i="228"/>
  <c r="K35" i="58"/>
  <c r="K31" i="58"/>
  <c r="K30" i="58"/>
  <c r="K29" i="58"/>
  <c r="J158" i="234" l="1"/>
  <c r="I42" i="234"/>
  <c r="J42" i="234"/>
  <c r="L130" i="207" l="1"/>
  <c r="K130" i="207"/>
  <c r="L129" i="207"/>
  <c r="K129" i="207"/>
  <c r="L128" i="207"/>
  <c r="K128" i="207"/>
  <c r="L126" i="207"/>
  <c r="L124" i="207"/>
  <c r="K124" i="207"/>
  <c r="L123" i="207"/>
  <c r="K123" i="207"/>
  <c r="L122" i="207"/>
  <c r="K122" i="207"/>
  <c r="L120" i="207"/>
  <c r="K120" i="207"/>
  <c r="L119" i="207"/>
  <c r="K119" i="207"/>
  <c r="L118" i="207"/>
  <c r="K118" i="207"/>
  <c r="L116" i="207"/>
  <c r="K116" i="207"/>
  <c r="L115" i="207"/>
  <c r="K115" i="207"/>
  <c r="L114" i="207"/>
  <c r="L113" i="207"/>
  <c r="L112" i="207"/>
  <c r="L110" i="207"/>
  <c r="K110" i="207"/>
  <c r="L109" i="207"/>
  <c r="K109" i="207"/>
  <c r="L108" i="207"/>
  <c r="K108" i="207"/>
  <c r="L106" i="207"/>
  <c r="K106" i="207"/>
  <c r="L105" i="207"/>
  <c r="K105" i="207"/>
  <c r="L104" i="207"/>
  <c r="K104" i="207"/>
  <c r="L102" i="207"/>
  <c r="K102" i="207"/>
  <c r="L101" i="207"/>
  <c r="K101" i="207"/>
  <c r="L100" i="207"/>
  <c r="K100" i="207"/>
  <c r="L98" i="207"/>
  <c r="K98" i="207"/>
  <c r="L97" i="207"/>
  <c r="K97" i="207"/>
  <c r="L96" i="207"/>
  <c r="K96" i="207"/>
  <c r="L94" i="207"/>
  <c r="K94" i="207"/>
  <c r="L93" i="207"/>
  <c r="K93" i="207"/>
  <c r="L92" i="207"/>
  <c r="K92" i="207"/>
  <c r="L90" i="207"/>
  <c r="K90" i="207"/>
  <c r="L88" i="207"/>
  <c r="K88" i="207"/>
  <c r="L87" i="207"/>
  <c r="K87" i="207"/>
  <c r="L86" i="207"/>
  <c r="K86" i="207"/>
  <c r="L84" i="207"/>
  <c r="L83" i="207"/>
  <c r="L82" i="207"/>
  <c r="L80" i="207"/>
  <c r="K80" i="207"/>
  <c r="L79" i="207"/>
  <c r="K79" i="207"/>
  <c r="L77" i="207"/>
  <c r="L76" i="207"/>
  <c r="L75" i="207"/>
  <c r="L73" i="207"/>
  <c r="K73" i="207"/>
  <c r="L72" i="207"/>
  <c r="K72" i="207"/>
  <c r="L71" i="207"/>
  <c r="K71" i="207"/>
  <c r="L66" i="207"/>
  <c r="K66" i="207"/>
  <c r="L65" i="207"/>
  <c r="K65" i="207"/>
  <c r="L64" i="207"/>
  <c r="K64" i="207"/>
  <c r="L63" i="207"/>
  <c r="K63" i="207"/>
  <c r="L61" i="207"/>
  <c r="K61" i="207"/>
  <c r="L59" i="207"/>
  <c r="K59" i="207"/>
  <c r="L58" i="207"/>
  <c r="K58" i="207"/>
  <c r="L57" i="207"/>
  <c r="K57" i="207"/>
  <c r="L55" i="207"/>
  <c r="K55" i="207"/>
  <c r="L54" i="207"/>
  <c r="K54" i="207"/>
  <c r="L53" i="207"/>
  <c r="K53" i="207"/>
  <c r="K50" i="207"/>
  <c r="L44" i="207"/>
  <c r="K44" i="207"/>
  <c r="L43" i="207"/>
  <c r="K43" i="207"/>
  <c r="L41" i="207"/>
  <c r="K41" i="207"/>
  <c r="L40" i="207"/>
  <c r="K40" i="207"/>
  <c r="L39" i="207"/>
  <c r="K39" i="207"/>
  <c r="L38" i="207"/>
  <c r="K38" i="207"/>
  <c r="L37" i="207"/>
  <c r="K37" i="207"/>
  <c r="L36" i="207"/>
  <c r="K36" i="207"/>
  <c r="L34" i="207"/>
  <c r="K34" i="207"/>
  <c r="L33" i="207"/>
  <c r="K33" i="207"/>
  <c r="L32" i="207"/>
  <c r="K32" i="207"/>
  <c r="L30" i="207"/>
  <c r="K30" i="207"/>
  <c r="L29" i="207"/>
  <c r="K29" i="207"/>
  <c r="L28" i="207"/>
  <c r="K28" i="207"/>
  <c r="L27" i="207"/>
  <c r="K27" i="207"/>
  <c r="L26" i="207"/>
  <c r="K26" i="207"/>
  <c r="L24" i="207"/>
  <c r="K24" i="207"/>
  <c r="K21" i="207"/>
  <c r="K20" i="207"/>
  <c r="K19" i="207"/>
  <c r="K18" i="207"/>
  <c r="K17" i="207"/>
  <c r="K15" i="207"/>
  <c r="K14" i="207"/>
  <c r="K12" i="207"/>
  <c r="K11" i="207"/>
  <c r="K56" i="58" l="1"/>
  <c r="M212" i="257" l="1"/>
  <c r="I209" i="257"/>
  <c r="E209" i="257"/>
  <c r="K208" i="257"/>
  <c r="J208" i="257"/>
  <c r="I208" i="257"/>
  <c r="G208" i="257"/>
  <c r="E208" i="257"/>
  <c r="K207" i="257"/>
  <c r="J207" i="257"/>
  <c r="I207" i="257"/>
  <c r="G207" i="257"/>
  <c r="E207" i="257"/>
  <c r="K206" i="257"/>
  <c r="J206" i="257"/>
  <c r="I206" i="257"/>
  <c r="G206" i="257"/>
  <c r="E206" i="257"/>
  <c r="I205" i="257"/>
  <c r="E205" i="257"/>
  <c r="I204" i="257"/>
  <c r="E204" i="257"/>
  <c r="K203" i="257"/>
  <c r="J203" i="257"/>
  <c r="I203" i="257"/>
  <c r="G203" i="257"/>
  <c r="F203" i="257"/>
  <c r="E203" i="257"/>
  <c r="D203" i="257"/>
  <c r="I202" i="257"/>
  <c r="E202" i="257"/>
  <c r="I201" i="257"/>
  <c r="E201" i="257"/>
  <c r="K200" i="257"/>
  <c r="J200" i="257"/>
  <c r="I200" i="257"/>
  <c r="G200" i="257"/>
  <c r="F200" i="257"/>
  <c r="E200" i="257"/>
  <c r="D200" i="257"/>
  <c r="K197" i="257"/>
  <c r="J197" i="257"/>
  <c r="I197" i="257"/>
  <c r="G197" i="257"/>
  <c r="E197" i="257"/>
  <c r="K196" i="257"/>
  <c r="J196" i="257"/>
  <c r="I196" i="257"/>
  <c r="G196" i="257"/>
  <c r="E196" i="257"/>
  <c r="K195" i="257"/>
  <c r="J195" i="257"/>
  <c r="I195" i="257"/>
  <c r="G195" i="257"/>
  <c r="E195" i="257"/>
  <c r="K194" i="257"/>
  <c r="J194" i="257"/>
  <c r="I194" i="257"/>
  <c r="G194" i="257"/>
  <c r="E194" i="257"/>
  <c r="K193" i="257"/>
  <c r="J193" i="257"/>
  <c r="I193" i="257"/>
  <c r="G193" i="257"/>
  <c r="E193" i="257"/>
  <c r="K192" i="257"/>
  <c r="J192" i="257"/>
  <c r="I192" i="257"/>
  <c r="G192" i="257"/>
  <c r="E192" i="257"/>
  <c r="K191" i="257"/>
  <c r="J191" i="257"/>
  <c r="I191" i="257"/>
  <c r="G191" i="257"/>
  <c r="E191" i="257"/>
  <c r="K190" i="257"/>
  <c r="J190" i="257"/>
  <c r="I190" i="257"/>
  <c r="G190" i="257"/>
  <c r="E190" i="257"/>
  <c r="K189" i="257"/>
  <c r="J189" i="257"/>
  <c r="I189" i="257"/>
  <c r="G189" i="257"/>
  <c r="E189" i="257"/>
  <c r="K188" i="257"/>
  <c r="J188" i="257"/>
  <c r="I188" i="257"/>
  <c r="G188" i="257"/>
  <c r="E188" i="257"/>
  <c r="K187" i="257"/>
  <c r="I187" i="257"/>
  <c r="G187" i="257"/>
  <c r="E187" i="257"/>
  <c r="K186" i="257"/>
  <c r="I186" i="257"/>
  <c r="G186" i="257"/>
  <c r="E186" i="257"/>
  <c r="K185" i="257"/>
  <c r="I185" i="257"/>
  <c r="G185" i="257"/>
  <c r="E185" i="257"/>
  <c r="I184" i="257"/>
  <c r="E184" i="257"/>
  <c r="I183" i="257"/>
  <c r="E183" i="257"/>
  <c r="K182" i="257"/>
  <c r="J182" i="257"/>
  <c r="I182" i="257"/>
  <c r="G182" i="257"/>
  <c r="F182" i="257"/>
  <c r="E182" i="257"/>
  <c r="D182" i="257"/>
  <c r="K181" i="257"/>
  <c r="I181" i="257"/>
  <c r="G181" i="257"/>
  <c r="E181" i="257"/>
  <c r="K180" i="257"/>
  <c r="I180" i="257"/>
  <c r="G180" i="257"/>
  <c r="E180" i="257"/>
  <c r="K179" i="257"/>
  <c r="I179" i="257"/>
  <c r="G179" i="257"/>
  <c r="E179" i="257"/>
  <c r="I178" i="257"/>
  <c r="E178" i="257"/>
  <c r="I177" i="257"/>
  <c r="E177" i="257"/>
  <c r="K176" i="257"/>
  <c r="I176" i="257"/>
  <c r="G176" i="257"/>
  <c r="E176" i="257"/>
  <c r="K175" i="257"/>
  <c r="I175" i="257"/>
  <c r="G175" i="257"/>
  <c r="E175" i="257"/>
  <c r="K174" i="257"/>
  <c r="I174" i="257"/>
  <c r="G174" i="257"/>
  <c r="E174" i="257"/>
  <c r="K173" i="257"/>
  <c r="I173" i="257"/>
  <c r="G173" i="257"/>
  <c r="E173" i="257"/>
  <c r="I170" i="257"/>
  <c r="E170" i="257"/>
  <c r="I169" i="257"/>
  <c r="E169" i="257"/>
  <c r="M168" i="257"/>
  <c r="M167" i="257"/>
  <c r="J165" i="257"/>
  <c r="F165" i="257"/>
  <c r="D165" i="257"/>
  <c r="I163" i="257"/>
  <c r="E163" i="257"/>
  <c r="K162" i="257"/>
  <c r="J162" i="257"/>
  <c r="I162" i="257"/>
  <c r="G162" i="257"/>
  <c r="F162" i="257"/>
  <c r="E162" i="257"/>
  <c r="D162" i="257"/>
  <c r="K161" i="257"/>
  <c r="J161" i="257"/>
  <c r="I161" i="257"/>
  <c r="G161" i="257"/>
  <c r="F161" i="257"/>
  <c r="E161" i="257"/>
  <c r="D161" i="257"/>
  <c r="K160" i="257"/>
  <c r="J160" i="257"/>
  <c r="I160" i="257"/>
  <c r="G160" i="257"/>
  <c r="F160" i="257"/>
  <c r="E160" i="257"/>
  <c r="D160" i="257"/>
  <c r="I159" i="257"/>
  <c r="E159" i="257"/>
  <c r="I158" i="257"/>
  <c r="E158" i="257"/>
  <c r="I157" i="257"/>
  <c r="E157" i="257"/>
  <c r="I156" i="257"/>
  <c r="E156" i="257"/>
  <c r="K155" i="257"/>
  <c r="J155" i="257"/>
  <c r="I155" i="257"/>
  <c r="G155" i="257"/>
  <c r="F155" i="257"/>
  <c r="E155" i="257"/>
  <c r="D155" i="257"/>
  <c r="K154" i="257"/>
  <c r="J154" i="257"/>
  <c r="I154" i="257"/>
  <c r="G154" i="257"/>
  <c r="F154" i="257"/>
  <c r="E154" i="257"/>
  <c r="D154" i="257"/>
  <c r="K153" i="257"/>
  <c r="J153" i="257"/>
  <c r="I153" i="257"/>
  <c r="G153" i="257"/>
  <c r="F153" i="257"/>
  <c r="E153" i="257"/>
  <c r="D153" i="257"/>
  <c r="K152" i="257"/>
  <c r="J152" i="257"/>
  <c r="I152" i="257"/>
  <c r="G152" i="257"/>
  <c r="F152" i="257"/>
  <c r="E152" i="257"/>
  <c r="D152" i="257"/>
  <c r="K151" i="257"/>
  <c r="J151" i="257"/>
  <c r="I151" i="257"/>
  <c r="G151" i="257"/>
  <c r="F151" i="257"/>
  <c r="E151" i="257"/>
  <c r="D151" i="257"/>
  <c r="K150" i="257"/>
  <c r="J150" i="257"/>
  <c r="I150" i="257"/>
  <c r="G150" i="257"/>
  <c r="E150" i="257"/>
  <c r="K149" i="257"/>
  <c r="J149" i="257"/>
  <c r="I149" i="257"/>
  <c r="G149" i="257"/>
  <c r="E149" i="257"/>
  <c r="K148" i="257"/>
  <c r="J148" i="257"/>
  <c r="I148" i="257"/>
  <c r="G148" i="257"/>
  <c r="E148" i="257"/>
  <c r="K147" i="257"/>
  <c r="J147" i="257"/>
  <c r="G147" i="257"/>
  <c r="K146" i="257"/>
  <c r="J146" i="257"/>
  <c r="G146" i="257"/>
  <c r="K145" i="257"/>
  <c r="I145" i="257"/>
  <c r="G145" i="257"/>
  <c r="E145" i="257"/>
  <c r="K144" i="257"/>
  <c r="G144" i="257"/>
  <c r="K143" i="257"/>
  <c r="G143" i="257"/>
  <c r="K142" i="257"/>
  <c r="G142" i="257"/>
  <c r="I139" i="257"/>
  <c r="E139" i="257"/>
  <c r="K138" i="257"/>
  <c r="J138" i="257"/>
  <c r="I138" i="257"/>
  <c r="G138" i="257"/>
  <c r="F138" i="257"/>
  <c r="E138" i="257"/>
  <c r="D138" i="257"/>
  <c r="K137" i="257"/>
  <c r="J137" i="257"/>
  <c r="I137" i="257"/>
  <c r="G137" i="257"/>
  <c r="F137" i="257"/>
  <c r="E137" i="257"/>
  <c r="D137" i="257"/>
  <c r="K136" i="257"/>
  <c r="J136" i="257"/>
  <c r="I136" i="257"/>
  <c r="G136" i="257"/>
  <c r="F136" i="257"/>
  <c r="E136" i="257"/>
  <c r="D136" i="257"/>
  <c r="K135" i="257"/>
  <c r="J135" i="257"/>
  <c r="I135" i="257"/>
  <c r="G135" i="257"/>
  <c r="F135" i="257"/>
  <c r="E135" i="257"/>
  <c r="D135" i="257"/>
  <c r="K134" i="257"/>
  <c r="J134" i="257"/>
  <c r="I134" i="257"/>
  <c r="G134" i="257"/>
  <c r="F134" i="257"/>
  <c r="E134" i="257"/>
  <c r="D134" i="257"/>
  <c r="K133" i="257"/>
  <c r="I133" i="257"/>
  <c r="G133" i="257"/>
  <c r="E133" i="257"/>
  <c r="K132" i="257"/>
  <c r="I132" i="257"/>
  <c r="G132" i="257"/>
  <c r="E132" i="257"/>
  <c r="K131" i="257"/>
  <c r="I131" i="257"/>
  <c r="G131" i="257"/>
  <c r="E131" i="257"/>
  <c r="K130" i="257"/>
  <c r="J130" i="257"/>
  <c r="I130" i="257"/>
  <c r="G130" i="257"/>
  <c r="F130" i="257"/>
  <c r="E130" i="257"/>
  <c r="D130" i="257"/>
  <c r="K129" i="257"/>
  <c r="J129" i="257"/>
  <c r="I129" i="257"/>
  <c r="G129" i="257"/>
  <c r="F129" i="257"/>
  <c r="E129" i="257"/>
  <c r="D129" i="257"/>
  <c r="K128" i="257"/>
  <c r="J128" i="257"/>
  <c r="I128" i="257"/>
  <c r="G128" i="257"/>
  <c r="F128" i="257"/>
  <c r="E128" i="257"/>
  <c r="D128" i="257"/>
  <c r="I127" i="257"/>
  <c r="E127" i="257"/>
  <c r="I126" i="257"/>
  <c r="E126" i="257"/>
  <c r="I125" i="257"/>
  <c r="E125" i="257"/>
  <c r="M124" i="257"/>
  <c r="M123" i="257"/>
  <c r="K121" i="257"/>
  <c r="J121" i="257"/>
  <c r="I121" i="257"/>
  <c r="G121" i="257"/>
  <c r="F121" i="257"/>
  <c r="E121" i="257"/>
  <c r="D121" i="257"/>
  <c r="K120" i="257"/>
  <c r="J120" i="257"/>
  <c r="I120" i="257"/>
  <c r="G120" i="257"/>
  <c r="F120" i="257"/>
  <c r="E120" i="257"/>
  <c r="D120" i="257"/>
  <c r="K119" i="257"/>
  <c r="J119" i="257"/>
  <c r="I119" i="257"/>
  <c r="G119" i="257"/>
  <c r="F119" i="257"/>
  <c r="E119" i="257"/>
  <c r="D119" i="257"/>
  <c r="K118" i="257"/>
  <c r="J118" i="257"/>
  <c r="I118" i="257"/>
  <c r="G118" i="257"/>
  <c r="F118" i="257"/>
  <c r="E118" i="257"/>
  <c r="D118" i="257"/>
  <c r="K117" i="257"/>
  <c r="J117" i="257"/>
  <c r="I117" i="257"/>
  <c r="G117" i="257"/>
  <c r="F117" i="257"/>
  <c r="E117" i="257"/>
  <c r="D117" i="257"/>
  <c r="I116" i="257"/>
  <c r="E116" i="257"/>
  <c r="I115" i="257"/>
  <c r="E115" i="257"/>
  <c r="I114" i="257"/>
  <c r="E114" i="257"/>
  <c r="K113" i="257"/>
  <c r="J113" i="257"/>
  <c r="I113" i="257"/>
  <c r="G113" i="257"/>
  <c r="F113" i="257"/>
  <c r="E113" i="257"/>
  <c r="D113" i="257"/>
  <c r="K112" i="257"/>
  <c r="J112" i="257"/>
  <c r="I112" i="257"/>
  <c r="G112" i="257"/>
  <c r="F112" i="257"/>
  <c r="E112" i="257"/>
  <c r="D112" i="257"/>
  <c r="K111" i="257"/>
  <c r="J111" i="257"/>
  <c r="I111" i="257"/>
  <c r="G111" i="257"/>
  <c r="F111" i="257"/>
  <c r="E111" i="257"/>
  <c r="D111" i="257"/>
  <c r="I110" i="257"/>
  <c r="E110" i="257"/>
  <c r="I109" i="257"/>
  <c r="E109" i="257"/>
  <c r="I108" i="257"/>
  <c r="E108" i="257"/>
  <c r="I107" i="257"/>
  <c r="E107" i="257"/>
  <c r="K106" i="257"/>
  <c r="I106" i="257"/>
  <c r="G106" i="257"/>
  <c r="E106" i="257"/>
  <c r="K105" i="257"/>
  <c r="I105" i="257"/>
  <c r="G105" i="257"/>
  <c r="E105" i="257"/>
  <c r="K104" i="257"/>
  <c r="I104" i="257"/>
  <c r="G104" i="257"/>
  <c r="E104" i="257"/>
  <c r="I103" i="257"/>
  <c r="E103" i="257"/>
  <c r="I102" i="257"/>
  <c r="E102" i="257"/>
  <c r="K101" i="257"/>
  <c r="I101" i="257"/>
  <c r="G101" i="257"/>
  <c r="E101" i="257"/>
  <c r="K100" i="257"/>
  <c r="I100" i="257"/>
  <c r="G100" i="257"/>
  <c r="E100" i="257"/>
  <c r="K99" i="257"/>
  <c r="I99" i="257"/>
  <c r="G99" i="257"/>
  <c r="E99" i="257"/>
  <c r="I98" i="257"/>
  <c r="E98" i="257"/>
  <c r="I97" i="257"/>
  <c r="E97" i="257"/>
  <c r="K96" i="257"/>
  <c r="I96" i="257"/>
  <c r="G96" i="257"/>
  <c r="E96" i="257"/>
  <c r="K95" i="257"/>
  <c r="I95" i="257"/>
  <c r="G95" i="257"/>
  <c r="E95" i="257"/>
  <c r="K94" i="257"/>
  <c r="I94" i="257"/>
  <c r="G94" i="257"/>
  <c r="E94" i="257"/>
  <c r="I93" i="257"/>
  <c r="E93" i="257"/>
  <c r="I92" i="257"/>
  <c r="E92" i="257"/>
  <c r="K91" i="257"/>
  <c r="I91" i="257"/>
  <c r="G91" i="257"/>
  <c r="E91" i="257"/>
  <c r="K90" i="257"/>
  <c r="I90" i="257"/>
  <c r="G90" i="257"/>
  <c r="E90" i="257"/>
  <c r="K89" i="257"/>
  <c r="I89" i="257"/>
  <c r="G89" i="257"/>
  <c r="E89" i="257"/>
  <c r="K88" i="257"/>
  <c r="I88" i="257"/>
  <c r="G88" i="257"/>
  <c r="E88" i="257"/>
  <c r="I87" i="257"/>
  <c r="E87" i="257"/>
  <c r="I86" i="257"/>
  <c r="E86" i="257"/>
  <c r="K85" i="257"/>
  <c r="I85" i="257"/>
  <c r="G85" i="257"/>
  <c r="E85" i="257"/>
  <c r="K84" i="257"/>
  <c r="I84" i="257"/>
  <c r="G84" i="257"/>
  <c r="E84" i="257"/>
  <c r="K83" i="257"/>
  <c r="I83" i="257"/>
  <c r="G83" i="257"/>
  <c r="E83" i="257"/>
  <c r="K82" i="257"/>
  <c r="I82" i="257"/>
  <c r="G82" i="257"/>
  <c r="E82" i="257"/>
  <c r="K81" i="257"/>
  <c r="I81" i="257"/>
  <c r="G81" i="257"/>
  <c r="E81" i="257"/>
  <c r="K80" i="257"/>
  <c r="I80" i="257"/>
  <c r="G80" i="257"/>
  <c r="E80" i="257"/>
  <c r="I79" i="257"/>
  <c r="E79" i="257"/>
  <c r="I78" i="257"/>
  <c r="E78" i="257"/>
  <c r="I77" i="257"/>
  <c r="E77" i="257"/>
  <c r="I76" i="257"/>
  <c r="E76" i="257"/>
  <c r="M75" i="257"/>
  <c r="M74" i="257"/>
  <c r="M73" i="257"/>
  <c r="M71" i="257"/>
  <c r="K63" i="257"/>
  <c r="J63" i="257"/>
  <c r="I63" i="257"/>
  <c r="G63" i="257"/>
  <c r="F63" i="257"/>
  <c r="E63" i="257"/>
  <c r="D63" i="257"/>
  <c r="I62" i="257"/>
  <c r="E62" i="257"/>
  <c r="I61" i="257"/>
  <c r="E61" i="257"/>
  <c r="I60" i="257"/>
  <c r="E60" i="257"/>
  <c r="I59" i="257"/>
  <c r="E59" i="257"/>
  <c r="J54" i="257"/>
  <c r="I54" i="257"/>
  <c r="F54" i="257"/>
  <c r="E54" i="257"/>
  <c r="D54" i="257"/>
  <c r="J53" i="257"/>
  <c r="I53" i="257"/>
  <c r="F53" i="257"/>
  <c r="E53" i="257"/>
  <c r="D53" i="257"/>
  <c r="K52" i="257"/>
  <c r="J52" i="257"/>
  <c r="I52" i="257"/>
  <c r="G52" i="257"/>
  <c r="F52" i="257"/>
  <c r="E52" i="257"/>
  <c r="D52" i="257"/>
  <c r="J51" i="257"/>
  <c r="I51" i="257"/>
  <c r="F51" i="257"/>
  <c r="E51" i="257"/>
  <c r="D51" i="257"/>
  <c r="K50" i="257"/>
  <c r="J50" i="257"/>
  <c r="I50" i="257"/>
  <c r="G50" i="257"/>
  <c r="F50" i="257"/>
  <c r="E50" i="257"/>
  <c r="D50" i="257"/>
  <c r="K49" i="257"/>
  <c r="J49" i="257"/>
  <c r="I49" i="257"/>
  <c r="G49" i="257"/>
  <c r="F49" i="257"/>
  <c r="E49" i="257"/>
  <c r="D49" i="257"/>
  <c r="J48" i="257"/>
  <c r="I48" i="257"/>
  <c r="F48" i="257"/>
  <c r="E48" i="257"/>
  <c r="D48" i="257"/>
  <c r="J47" i="257"/>
  <c r="I47" i="257"/>
  <c r="F47" i="257"/>
  <c r="E47" i="257"/>
  <c r="D47" i="257"/>
  <c r="K43" i="257"/>
  <c r="I43" i="257"/>
  <c r="G43" i="257"/>
  <c r="E43" i="257"/>
  <c r="K42" i="257"/>
  <c r="G42" i="257"/>
  <c r="K41" i="257"/>
  <c r="I41" i="257"/>
  <c r="G41" i="257"/>
  <c r="E41" i="257"/>
  <c r="K40" i="257"/>
  <c r="G40" i="257"/>
  <c r="K39" i="257"/>
  <c r="I39" i="257"/>
  <c r="G39" i="257"/>
  <c r="E39" i="257"/>
  <c r="K38" i="257"/>
  <c r="G38" i="257"/>
  <c r="K37" i="257"/>
  <c r="G37" i="257"/>
  <c r="K19" i="257"/>
  <c r="G19" i="257"/>
  <c r="K16" i="257"/>
  <c r="G16" i="257"/>
  <c r="D216" i="256"/>
  <c r="L49" i="257" l="1"/>
  <c r="M49" i="257" s="1"/>
  <c r="L190" i="257"/>
  <c r="L208" i="257"/>
  <c r="H113" i="257"/>
  <c r="M118" i="256"/>
  <c r="H182" i="257"/>
  <c r="L188" i="257"/>
  <c r="L196" i="257"/>
  <c r="L207" i="257"/>
  <c r="M119" i="256"/>
  <c r="M206" i="256"/>
  <c r="H153" i="257"/>
  <c r="M110" i="256"/>
  <c r="L112" i="257"/>
  <c r="M112" i="257" s="1"/>
  <c r="M153" i="256"/>
  <c r="M50" i="256"/>
  <c r="M111" i="256"/>
  <c r="M152" i="256"/>
  <c r="M158" i="256"/>
  <c r="M204" i="256"/>
  <c r="H112" i="257"/>
  <c r="H121" i="257"/>
  <c r="L129" i="257"/>
  <c r="M129" i="257" s="1"/>
  <c r="L135" i="257"/>
  <c r="M135" i="257" s="1"/>
  <c r="H118" i="257"/>
  <c r="L111" i="257"/>
  <c r="M111" i="257" s="1"/>
  <c r="H138" i="257"/>
  <c r="H151" i="257"/>
  <c r="M160" i="256"/>
  <c r="L119" i="257"/>
  <c r="M119" i="257" s="1"/>
  <c r="H137" i="257"/>
  <c r="L153" i="257"/>
  <c r="M153" i="257" s="1"/>
  <c r="H162" i="257"/>
  <c r="L194" i="257"/>
  <c r="H136" i="257"/>
  <c r="H161" i="257"/>
  <c r="M61" i="256"/>
  <c r="M109" i="256"/>
  <c r="M194" i="256"/>
  <c r="H117" i="257"/>
  <c r="L120" i="257"/>
  <c r="M120" i="257" s="1"/>
  <c r="L149" i="257"/>
  <c r="H152" i="257"/>
  <c r="L155" i="257"/>
  <c r="M155" i="257" s="1"/>
  <c r="L161" i="257"/>
  <c r="M161" i="257" s="1"/>
  <c r="L195" i="257"/>
  <c r="L148" i="257"/>
  <c r="H135" i="257"/>
  <c r="M135" i="256"/>
  <c r="M191" i="256"/>
  <c r="M195" i="256"/>
  <c r="L52" i="257"/>
  <c r="M52" i="257" s="1"/>
  <c r="H120" i="257"/>
  <c r="H134" i="257"/>
  <c r="L137" i="257"/>
  <c r="M137" i="257" s="1"/>
  <c r="H155" i="257"/>
  <c r="H50" i="257"/>
  <c r="H119" i="257"/>
  <c r="H154" i="257"/>
  <c r="M48" i="256"/>
  <c r="M117" i="256"/>
  <c r="M151" i="256"/>
  <c r="H52" i="257"/>
  <c r="H63" i="257"/>
  <c r="L191" i="257"/>
  <c r="M116" i="256"/>
  <c r="M205" i="256"/>
  <c r="L128" i="257"/>
  <c r="M128" i="257" s="1"/>
  <c r="L130" i="257"/>
  <c r="M130" i="257" s="1"/>
  <c r="L138" i="257"/>
  <c r="M138" i="257" s="1"/>
  <c r="L160" i="257"/>
  <c r="M160" i="257" s="1"/>
  <c r="L182" i="257"/>
  <c r="M182" i="257" s="1"/>
  <c r="L193" i="257"/>
  <c r="H200" i="257"/>
  <c r="M136" i="256"/>
  <c r="E122" i="257"/>
  <c r="L117" i="257"/>
  <c r="M117" i="257" s="1"/>
  <c r="L118" i="257"/>
  <c r="M118" i="257" s="1"/>
  <c r="L121" i="257"/>
  <c r="M121" i="257" s="1"/>
  <c r="L136" i="257"/>
  <c r="M136" i="257" s="1"/>
  <c r="L152" i="257"/>
  <c r="M152" i="257" s="1"/>
  <c r="L192" i="257"/>
  <c r="L206" i="257"/>
  <c r="H128" i="257"/>
  <c r="I122" i="257"/>
  <c r="L150" i="257"/>
  <c r="L151" i="257"/>
  <c r="M151" i="257" s="1"/>
  <c r="L189" i="257"/>
  <c r="M193" i="256"/>
  <c r="L113" i="257"/>
  <c r="M113" i="257" s="1"/>
  <c r="L200" i="257"/>
  <c r="M200" i="257" s="1"/>
  <c r="H203" i="257"/>
  <c r="L50" i="257"/>
  <c r="M50" i="257" s="1"/>
  <c r="M134" i="256"/>
  <c r="M159" i="256"/>
  <c r="M192" i="256"/>
  <c r="H129" i="257"/>
  <c r="H130" i="257"/>
  <c r="L197" i="257"/>
  <c r="L134" i="257"/>
  <c r="M134" i="257" s="1"/>
  <c r="L154" i="257"/>
  <c r="M154" i="257" s="1"/>
  <c r="L162" i="257"/>
  <c r="M162" i="257" s="1"/>
  <c r="H49" i="257"/>
  <c r="L63" i="257"/>
  <c r="M63" i="257" s="1"/>
  <c r="H111" i="257"/>
  <c r="H160" i="257"/>
  <c r="L203" i="257"/>
  <c r="M203" i="257" s="1"/>
  <c r="M201" i="256"/>
  <c r="J120" i="256"/>
  <c r="G210" i="211" l="1"/>
  <c r="F210" i="211"/>
  <c r="D210" i="211"/>
  <c r="G209" i="211"/>
  <c r="F209" i="211"/>
  <c r="E209" i="211"/>
  <c r="D209" i="211"/>
  <c r="G208" i="211"/>
  <c r="F208" i="211"/>
  <c r="E208" i="211"/>
  <c r="D208" i="211"/>
  <c r="G207" i="211"/>
  <c r="F207" i="211"/>
  <c r="E207" i="211"/>
  <c r="D207" i="211"/>
  <c r="G206" i="211"/>
  <c r="F206" i="211"/>
  <c r="E206" i="211"/>
  <c r="D206" i="211"/>
  <c r="G205" i="211"/>
  <c r="F205" i="211"/>
  <c r="E205" i="211"/>
  <c r="D205" i="211"/>
  <c r="G204" i="211"/>
  <c r="F204" i="211"/>
  <c r="E204" i="211"/>
  <c r="D204" i="211"/>
  <c r="G203" i="211"/>
  <c r="F203" i="211"/>
  <c r="E203" i="211"/>
  <c r="D203" i="211"/>
  <c r="G202" i="211"/>
  <c r="F202" i="211"/>
  <c r="E202" i="211"/>
  <c r="D202" i="211"/>
  <c r="G201" i="211"/>
  <c r="F201" i="211"/>
  <c r="E201" i="211"/>
  <c r="D201" i="211"/>
  <c r="G200" i="211"/>
  <c r="F200" i="211"/>
  <c r="E200" i="211"/>
  <c r="D200" i="211"/>
  <c r="G199" i="211"/>
  <c r="F199" i="211"/>
  <c r="D199" i="211"/>
  <c r="G198" i="211"/>
  <c r="F198" i="211"/>
  <c r="D198" i="211"/>
  <c r="G197" i="211"/>
  <c r="F197" i="211"/>
  <c r="E197" i="211"/>
  <c r="D197" i="211"/>
  <c r="G196" i="211"/>
  <c r="F196" i="211"/>
  <c r="E196" i="211"/>
  <c r="D196" i="211"/>
  <c r="G195" i="211"/>
  <c r="F195" i="211"/>
  <c r="E195" i="211"/>
  <c r="D195" i="211"/>
  <c r="G194" i="211"/>
  <c r="F194" i="211"/>
  <c r="E194" i="211"/>
  <c r="D194" i="211"/>
  <c r="G193" i="211"/>
  <c r="F193" i="211"/>
  <c r="E193" i="211"/>
  <c r="D193" i="211"/>
  <c r="G192" i="211"/>
  <c r="F192" i="211"/>
  <c r="E192" i="211"/>
  <c r="D192" i="211"/>
  <c r="G191" i="211"/>
  <c r="F191" i="211"/>
  <c r="E191" i="211"/>
  <c r="D191" i="211"/>
  <c r="G190" i="211"/>
  <c r="F190" i="211"/>
  <c r="E190" i="211"/>
  <c r="D190" i="211"/>
  <c r="G189" i="211"/>
  <c r="F189" i="211"/>
  <c r="E189" i="211"/>
  <c r="D189" i="211"/>
  <c r="G188" i="211"/>
  <c r="F188" i="211"/>
  <c r="E188" i="211"/>
  <c r="D188" i="211"/>
  <c r="G187" i="211"/>
  <c r="F187" i="211"/>
  <c r="E187" i="211"/>
  <c r="D187" i="211"/>
  <c r="G186" i="211"/>
  <c r="F186" i="211"/>
  <c r="E186" i="211"/>
  <c r="D186" i="211"/>
  <c r="G185" i="211"/>
  <c r="F185" i="211"/>
  <c r="E185" i="211"/>
  <c r="D185" i="211"/>
  <c r="G184" i="211"/>
  <c r="F184" i="211"/>
  <c r="E184" i="211"/>
  <c r="D184" i="211"/>
  <c r="G183" i="211"/>
  <c r="F183" i="211"/>
  <c r="E183" i="211"/>
  <c r="D183" i="211"/>
  <c r="G182" i="211"/>
  <c r="F182" i="211"/>
  <c r="E182" i="211"/>
  <c r="D182" i="211"/>
  <c r="G181" i="211"/>
  <c r="F181" i="211"/>
  <c r="E181" i="211"/>
  <c r="D181" i="211"/>
  <c r="G180" i="211"/>
  <c r="F180" i="211"/>
  <c r="E180" i="211"/>
  <c r="D180" i="211"/>
  <c r="G179" i="211"/>
  <c r="F179" i="211"/>
  <c r="E179" i="211"/>
  <c r="D179" i="211"/>
  <c r="G178" i="211"/>
  <c r="F178" i="211"/>
  <c r="E178" i="211"/>
  <c r="D178" i="211"/>
  <c r="G177" i="211"/>
  <c r="F177" i="211"/>
  <c r="E177" i="211"/>
  <c r="D177" i="211"/>
  <c r="G176" i="211"/>
  <c r="F176" i="211"/>
  <c r="E176" i="211"/>
  <c r="D176" i="211"/>
  <c r="G175" i="211"/>
  <c r="F175" i="211"/>
  <c r="E175" i="211"/>
  <c r="D175" i="211"/>
  <c r="G174" i="211"/>
  <c r="F174" i="211"/>
  <c r="E174" i="211"/>
  <c r="D174" i="211"/>
  <c r="G173" i="211"/>
  <c r="F173" i="211"/>
  <c r="E173" i="211"/>
  <c r="D173" i="211"/>
  <c r="G172" i="211"/>
  <c r="F172" i="211"/>
  <c r="E172" i="211"/>
  <c r="D172" i="211"/>
  <c r="G171" i="211"/>
  <c r="F171" i="211"/>
  <c r="E171" i="211"/>
  <c r="D171" i="211"/>
  <c r="G170" i="211"/>
  <c r="F170" i="211"/>
  <c r="E170" i="211"/>
  <c r="D170" i="211"/>
  <c r="G169" i="211"/>
  <c r="F169" i="211"/>
  <c r="E169" i="211"/>
  <c r="D169" i="211"/>
  <c r="G165" i="211"/>
  <c r="F165" i="211"/>
  <c r="E165" i="211"/>
  <c r="D165" i="211"/>
  <c r="G164" i="211"/>
  <c r="F164" i="211"/>
  <c r="D164" i="211"/>
  <c r="G163" i="211"/>
  <c r="F163" i="211"/>
  <c r="E163" i="211"/>
  <c r="D163" i="211"/>
  <c r="G162" i="211"/>
  <c r="F162" i="211"/>
  <c r="E162" i="211"/>
  <c r="D162" i="211"/>
  <c r="G161" i="211"/>
  <c r="F161" i="211"/>
  <c r="E161" i="211"/>
  <c r="D161" i="211"/>
  <c r="G160" i="211"/>
  <c r="F160" i="211"/>
  <c r="E160" i="211"/>
  <c r="D160" i="211"/>
  <c r="G159" i="211"/>
  <c r="F159" i="211"/>
  <c r="E159" i="211"/>
  <c r="D159" i="211"/>
  <c r="G158" i="211"/>
  <c r="F158" i="211"/>
  <c r="E158" i="211"/>
  <c r="D158" i="211"/>
  <c r="G157" i="211"/>
  <c r="F157" i="211"/>
  <c r="E157" i="211"/>
  <c r="D157" i="211"/>
  <c r="G156" i="211"/>
  <c r="F156" i="211"/>
  <c r="E156" i="211"/>
  <c r="D156" i="211"/>
  <c r="G155" i="211"/>
  <c r="F155" i="211"/>
  <c r="E155" i="211"/>
  <c r="D155" i="211"/>
  <c r="G154" i="211"/>
  <c r="F154" i="211"/>
  <c r="E154" i="211"/>
  <c r="D154" i="211"/>
  <c r="G153" i="211"/>
  <c r="F153" i="211"/>
  <c r="E153" i="211"/>
  <c r="D153" i="211"/>
  <c r="G152" i="211"/>
  <c r="F152" i="211"/>
  <c r="E152" i="211"/>
  <c r="D152" i="211"/>
  <c r="G151" i="211"/>
  <c r="F151" i="211"/>
  <c r="E151" i="211"/>
  <c r="D151" i="211"/>
  <c r="G150" i="211"/>
  <c r="F150" i="211"/>
  <c r="E150" i="211"/>
  <c r="D150" i="211"/>
  <c r="G149" i="211"/>
  <c r="F149" i="211"/>
  <c r="E149" i="211"/>
  <c r="D149" i="211"/>
  <c r="G148" i="211"/>
  <c r="F148" i="211"/>
  <c r="E148" i="211"/>
  <c r="D148" i="211"/>
  <c r="G147" i="211"/>
  <c r="F147" i="211"/>
  <c r="D147" i="211"/>
  <c r="G146" i="211"/>
  <c r="F146" i="211"/>
  <c r="D146" i="211"/>
  <c r="G145" i="211"/>
  <c r="F145" i="211"/>
  <c r="E145" i="211"/>
  <c r="D145" i="211"/>
  <c r="G144" i="211"/>
  <c r="F144" i="211"/>
  <c r="D144" i="211"/>
  <c r="G143" i="211"/>
  <c r="F143" i="211"/>
  <c r="D143" i="211"/>
  <c r="G142" i="211"/>
  <c r="F142" i="211"/>
  <c r="D142" i="211"/>
  <c r="G141" i="211"/>
  <c r="F141" i="211"/>
  <c r="D141" i="211"/>
  <c r="G140" i="211"/>
  <c r="F140" i="211"/>
  <c r="D140" i="211"/>
  <c r="G139" i="211"/>
  <c r="F139" i="211"/>
  <c r="E139" i="211"/>
  <c r="D139" i="211"/>
  <c r="G138" i="211"/>
  <c r="F138" i="211"/>
  <c r="E138" i="211"/>
  <c r="D138" i="211"/>
  <c r="G137" i="211"/>
  <c r="F137" i="211"/>
  <c r="E137" i="211"/>
  <c r="D137" i="211"/>
  <c r="G136" i="211"/>
  <c r="F136" i="211"/>
  <c r="E136" i="211"/>
  <c r="D136" i="211"/>
  <c r="G135" i="211"/>
  <c r="F135" i="211"/>
  <c r="E135" i="211"/>
  <c r="D135" i="211"/>
  <c r="G134" i="211"/>
  <c r="F134" i="211"/>
  <c r="E134" i="211"/>
  <c r="D134" i="211"/>
  <c r="G133" i="211"/>
  <c r="F133" i="211"/>
  <c r="E133" i="211"/>
  <c r="D133" i="211"/>
  <c r="G132" i="211"/>
  <c r="F132" i="211"/>
  <c r="E132" i="211"/>
  <c r="D132" i="211"/>
  <c r="G131" i="211"/>
  <c r="F131" i="211"/>
  <c r="E131" i="211"/>
  <c r="D131" i="211"/>
  <c r="G130" i="211"/>
  <c r="F130" i="211"/>
  <c r="E130" i="211"/>
  <c r="D130" i="211"/>
  <c r="G129" i="211"/>
  <c r="F129" i="211"/>
  <c r="E129" i="211"/>
  <c r="D129" i="211"/>
  <c r="G128" i="211"/>
  <c r="F128" i="211"/>
  <c r="E128" i="211"/>
  <c r="D128" i="211"/>
  <c r="G127" i="211"/>
  <c r="F127" i="211"/>
  <c r="E127" i="211"/>
  <c r="D127" i="211"/>
  <c r="G126" i="211"/>
  <c r="F126" i="211"/>
  <c r="E126" i="211"/>
  <c r="D126" i="211"/>
  <c r="G125" i="211"/>
  <c r="F125" i="211"/>
  <c r="E125" i="211"/>
  <c r="D125" i="211"/>
  <c r="G121" i="211"/>
  <c r="F121" i="211"/>
  <c r="E121" i="211"/>
  <c r="D121" i="211"/>
  <c r="G120" i="211"/>
  <c r="F120" i="211"/>
  <c r="E120" i="211"/>
  <c r="D120" i="211"/>
  <c r="G119" i="211"/>
  <c r="F119" i="211"/>
  <c r="E119" i="211"/>
  <c r="D119" i="211"/>
  <c r="G118" i="211"/>
  <c r="F118" i="211"/>
  <c r="E118" i="211"/>
  <c r="D118" i="211"/>
  <c r="G117" i="211"/>
  <c r="F117" i="211"/>
  <c r="E117" i="211"/>
  <c r="D117" i="211"/>
  <c r="G116" i="211"/>
  <c r="F116" i="211"/>
  <c r="E116" i="211"/>
  <c r="D116" i="211"/>
  <c r="G115" i="211"/>
  <c r="F115" i="211"/>
  <c r="E115" i="211"/>
  <c r="D115" i="211"/>
  <c r="G114" i="211"/>
  <c r="F114" i="211"/>
  <c r="E114" i="211"/>
  <c r="D114" i="211"/>
  <c r="G113" i="211"/>
  <c r="F113" i="211"/>
  <c r="E113" i="211"/>
  <c r="D113" i="211"/>
  <c r="G112" i="211"/>
  <c r="F112" i="211"/>
  <c r="E112" i="211"/>
  <c r="D112" i="211"/>
  <c r="G111" i="211"/>
  <c r="F111" i="211"/>
  <c r="E111" i="211"/>
  <c r="D111" i="211"/>
  <c r="G110" i="211"/>
  <c r="F110" i="211"/>
  <c r="E110" i="211"/>
  <c r="D110" i="211"/>
  <c r="G109" i="211"/>
  <c r="F109" i="211"/>
  <c r="E109" i="211"/>
  <c r="D109" i="211"/>
  <c r="G108" i="211"/>
  <c r="F108" i="211"/>
  <c r="E108" i="211"/>
  <c r="D108" i="211"/>
  <c r="G107" i="211"/>
  <c r="F107" i="211"/>
  <c r="E107" i="211"/>
  <c r="D107" i="211"/>
  <c r="G106" i="211"/>
  <c r="F106" i="211"/>
  <c r="E106" i="211"/>
  <c r="D106" i="211"/>
  <c r="G105" i="211"/>
  <c r="F105" i="211"/>
  <c r="E105" i="211"/>
  <c r="D105" i="211"/>
  <c r="G104" i="211"/>
  <c r="F104" i="211"/>
  <c r="E104" i="211"/>
  <c r="D104" i="211"/>
  <c r="G103" i="211"/>
  <c r="F103" i="211"/>
  <c r="E103" i="211"/>
  <c r="D103" i="211"/>
  <c r="G102" i="211"/>
  <c r="F102" i="211"/>
  <c r="E102" i="211"/>
  <c r="D102" i="211"/>
  <c r="G101" i="211"/>
  <c r="F101" i="211"/>
  <c r="E101" i="211"/>
  <c r="D101" i="211"/>
  <c r="G100" i="211"/>
  <c r="F100" i="211"/>
  <c r="E100" i="211"/>
  <c r="D100" i="211"/>
  <c r="G99" i="211"/>
  <c r="F99" i="211"/>
  <c r="E99" i="211"/>
  <c r="D99" i="211"/>
  <c r="G98" i="211"/>
  <c r="F98" i="211"/>
  <c r="E98" i="211"/>
  <c r="D98" i="211"/>
  <c r="G97" i="211"/>
  <c r="F97" i="211"/>
  <c r="E97" i="211"/>
  <c r="D97" i="211"/>
  <c r="G96" i="211"/>
  <c r="F96" i="211"/>
  <c r="E96" i="211"/>
  <c r="D96" i="211"/>
  <c r="G95" i="211"/>
  <c r="F95" i="211"/>
  <c r="E95" i="211"/>
  <c r="D95" i="211"/>
  <c r="G94" i="211"/>
  <c r="F94" i="211"/>
  <c r="E94" i="211"/>
  <c r="D94" i="211"/>
  <c r="G93" i="211"/>
  <c r="F93" i="211"/>
  <c r="E93" i="211"/>
  <c r="D93" i="211"/>
  <c r="G92" i="211"/>
  <c r="F92" i="211"/>
  <c r="E92" i="211"/>
  <c r="D92" i="211"/>
  <c r="G91" i="211"/>
  <c r="F91" i="211"/>
  <c r="E91" i="211"/>
  <c r="D91" i="211"/>
  <c r="G90" i="211"/>
  <c r="F90" i="211"/>
  <c r="E90" i="211"/>
  <c r="D90" i="211"/>
  <c r="G89" i="211"/>
  <c r="F89" i="211"/>
  <c r="E89" i="211"/>
  <c r="D89" i="211"/>
  <c r="G88" i="211"/>
  <c r="F88" i="211"/>
  <c r="E88" i="211"/>
  <c r="D88" i="211"/>
  <c r="G87" i="211"/>
  <c r="F87" i="211"/>
  <c r="E87" i="211"/>
  <c r="D87" i="211"/>
  <c r="G86" i="211"/>
  <c r="F86" i="211"/>
  <c r="E86" i="211"/>
  <c r="D86" i="211"/>
  <c r="G85" i="211"/>
  <c r="F85" i="211"/>
  <c r="E85" i="211"/>
  <c r="D85" i="211"/>
  <c r="G84" i="211"/>
  <c r="F84" i="211"/>
  <c r="E84" i="211"/>
  <c r="D84" i="211"/>
  <c r="G83" i="211"/>
  <c r="F83" i="211"/>
  <c r="E83" i="211"/>
  <c r="D83" i="211"/>
  <c r="G82" i="211"/>
  <c r="F82" i="211"/>
  <c r="E82" i="211"/>
  <c r="D82" i="211"/>
  <c r="G81" i="211"/>
  <c r="F81" i="211"/>
  <c r="E81" i="211"/>
  <c r="D81" i="211"/>
  <c r="G80" i="211"/>
  <c r="F80" i="211"/>
  <c r="E80" i="211"/>
  <c r="D80" i="211"/>
  <c r="G79" i="211"/>
  <c r="F79" i="211"/>
  <c r="E79" i="211"/>
  <c r="D79" i="211"/>
  <c r="G78" i="211"/>
  <c r="F78" i="211"/>
  <c r="E78" i="211"/>
  <c r="D78" i="211"/>
  <c r="G77" i="211"/>
  <c r="F77" i="211"/>
  <c r="E77" i="211"/>
  <c r="D77" i="211"/>
  <c r="G76" i="211"/>
  <c r="F76" i="211"/>
  <c r="E76" i="211"/>
  <c r="D76" i="211"/>
  <c r="G70" i="211"/>
  <c r="F70" i="211"/>
  <c r="D70" i="211"/>
  <c r="G69" i="211"/>
  <c r="F69" i="211"/>
  <c r="D69" i="211"/>
  <c r="G68" i="211"/>
  <c r="F68" i="211"/>
  <c r="D68" i="211"/>
  <c r="G67" i="211"/>
  <c r="F67" i="211"/>
  <c r="D67" i="211"/>
  <c r="G66" i="211"/>
  <c r="F66" i="211"/>
  <c r="D66" i="211"/>
  <c r="G65" i="211"/>
  <c r="F65" i="211"/>
  <c r="D65" i="211"/>
  <c r="G64" i="211"/>
  <c r="F64" i="211"/>
  <c r="D64" i="211"/>
  <c r="G63" i="211"/>
  <c r="F63" i="211"/>
  <c r="E63" i="211"/>
  <c r="D63" i="211"/>
  <c r="G62" i="211"/>
  <c r="F62" i="211"/>
  <c r="E62" i="211"/>
  <c r="D62" i="211"/>
  <c r="G61" i="211"/>
  <c r="F61" i="211"/>
  <c r="E61" i="211"/>
  <c r="D61" i="211"/>
  <c r="G60" i="211"/>
  <c r="F60" i="211"/>
  <c r="E60" i="211"/>
  <c r="D60" i="211"/>
  <c r="G59" i="211"/>
  <c r="F59" i="211"/>
  <c r="E59" i="211"/>
  <c r="D59" i="211"/>
  <c r="G58" i="211"/>
  <c r="F58" i="211"/>
  <c r="D58" i="211"/>
  <c r="G57" i="211"/>
  <c r="F57" i="211"/>
  <c r="D57" i="211"/>
  <c r="G56" i="211"/>
  <c r="F56" i="211"/>
  <c r="D56" i="211"/>
  <c r="G55" i="211"/>
  <c r="F55" i="211"/>
  <c r="D55" i="211"/>
  <c r="G54" i="211"/>
  <c r="F54" i="211"/>
  <c r="E54" i="211"/>
  <c r="D54" i="211"/>
  <c r="G53" i="211"/>
  <c r="F53" i="211"/>
  <c r="E53" i="211"/>
  <c r="D53" i="211"/>
  <c r="G52" i="211"/>
  <c r="F52" i="211"/>
  <c r="E52" i="211"/>
  <c r="D52" i="211"/>
  <c r="G51" i="211"/>
  <c r="F51" i="211"/>
  <c r="E51" i="211"/>
  <c r="D51" i="211"/>
  <c r="G50" i="211"/>
  <c r="F50" i="211"/>
  <c r="E50" i="211"/>
  <c r="D50" i="211"/>
  <c r="G49" i="211"/>
  <c r="F49" i="211"/>
  <c r="E49" i="211"/>
  <c r="D49" i="211"/>
  <c r="G48" i="211"/>
  <c r="F48" i="211"/>
  <c r="E48" i="211"/>
  <c r="D48" i="211"/>
  <c r="G47" i="211"/>
  <c r="F47" i="211"/>
  <c r="E47" i="211"/>
  <c r="D47" i="211"/>
  <c r="G46" i="211"/>
  <c r="F46" i="211"/>
  <c r="D46" i="211"/>
  <c r="G45" i="211"/>
  <c r="F45" i="211"/>
  <c r="D45" i="211"/>
  <c r="G44" i="211"/>
  <c r="F44" i="211"/>
  <c r="D44" i="211"/>
  <c r="G43" i="211"/>
  <c r="F43" i="211"/>
  <c r="E43" i="211"/>
  <c r="D43" i="211"/>
  <c r="G42" i="211"/>
  <c r="F42" i="211"/>
  <c r="D42" i="211"/>
  <c r="G41" i="211"/>
  <c r="F41" i="211"/>
  <c r="E41" i="211"/>
  <c r="D41" i="211"/>
  <c r="G40" i="211"/>
  <c r="F40" i="211"/>
  <c r="D40" i="211"/>
  <c r="G39" i="211"/>
  <c r="F39" i="211"/>
  <c r="E39" i="211"/>
  <c r="D39" i="211"/>
  <c r="G38" i="211"/>
  <c r="F38" i="211"/>
  <c r="D38" i="211"/>
  <c r="G37" i="211"/>
  <c r="F37" i="211"/>
  <c r="D37" i="211"/>
  <c r="G36" i="211"/>
  <c r="F36" i="211"/>
  <c r="D36" i="211"/>
  <c r="G35" i="211"/>
  <c r="F35" i="211"/>
  <c r="D35" i="211"/>
  <c r="G34" i="211"/>
  <c r="F34" i="211"/>
  <c r="D34" i="211"/>
  <c r="G33" i="211"/>
  <c r="F33" i="211"/>
  <c r="D33" i="211"/>
  <c r="G32" i="211"/>
  <c r="F32" i="211"/>
  <c r="D32" i="211"/>
  <c r="G31" i="211"/>
  <c r="F31" i="211"/>
  <c r="D31" i="211"/>
  <c r="G30" i="211"/>
  <c r="F30" i="211"/>
  <c r="D30" i="211"/>
  <c r="G29" i="211"/>
  <c r="F29" i="211"/>
  <c r="D29" i="211"/>
  <c r="G28" i="211"/>
  <c r="F28" i="211"/>
  <c r="D28" i="211"/>
  <c r="G27" i="211"/>
  <c r="F27" i="211"/>
  <c r="D27" i="211"/>
  <c r="G26" i="211"/>
  <c r="F26" i="211"/>
  <c r="D26" i="211"/>
  <c r="G25" i="211"/>
  <c r="F25" i="211"/>
  <c r="D25" i="211"/>
  <c r="G24" i="211"/>
  <c r="F24" i="211"/>
  <c r="D24" i="211"/>
  <c r="G23" i="211"/>
  <c r="F23" i="211"/>
  <c r="D23" i="211"/>
  <c r="G22" i="211"/>
  <c r="F22" i="211"/>
  <c r="D22" i="211"/>
  <c r="G21" i="211"/>
  <c r="F21" i="211"/>
  <c r="D21" i="211"/>
  <c r="G20" i="211"/>
  <c r="F20" i="211"/>
  <c r="D20" i="211"/>
  <c r="G19" i="211"/>
  <c r="F19" i="211"/>
  <c r="D19" i="211"/>
  <c r="G18" i="211"/>
  <c r="F18" i="211"/>
  <c r="D18" i="211"/>
  <c r="G17" i="211"/>
  <c r="F17" i="211"/>
  <c r="D17" i="211"/>
  <c r="G16" i="211"/>
  <c r="F16" i="211"/>
  <c r="D16" i="211"/>
  <c r="G15" i="211"/>
  <c r="F15" i="211"/>
  <c r="D15" i="211"/>
  <c r="G14" i="211"/>
  <c r="F14" i="211"/>
  <c r="D14" i="211"/>
  <c r="G13" i="211"/>
  <c r="F13" i="211"/>
  <c r="D13" i="211"/>
  <c r="G12" i="211"/>
  <c r="F12" i="211"/>
  <c r="D12" i="211"/>
  <c r="G11" i="211"/>
  <c r="F11" i="211"/>
  <c r="D11" i="211"/>
  <c r="D216" i="255"/>
  <c r="L208" i="255"/>
  <c r="K208" i="255"/>
  <c r="F208" i="255"/>
  <c r="E208" i="255"/>
  <c r="D208" i="255"/>
  <c r="L207" i="255"/>
  <c r="K207" i="255"/>
  <c r="J207" i="255"/>
  <c r="F207" i="255"/>
  <c r="E207" i="255"/>
  <c r="D207" i="255"/>
  <c r="L206" i="255"/>
  <c r="K206" i="255"/>
  <c r="J206" i="255"/>
  <c r="F206" i="255"/>
  <c r="E206" i="255"/>
  <c r="D206" i="255"/>
  <c r="L205" i="255"/>
  <c r="K205" i="255"/>
  <c r="J205" i="255"/>
  <c r="F205" i="255"/>
  <c r="E205" i="255"/>
  <c r="D205" i="255"/>
  <c r="L204" i="255"/>
  <c r="K204" i="255"/>
  <c r="J204" i="255"/>
  <c r="F204" i="255"/>
  <c r="E204" i="255"/>
  <c r="D204" i="255"/>
  <c r="L203" i="255"/>
  <c r="K203" i="255"/>
  <c r="J203" i="255"/>
  <c r="F203" i="255"/>
  <c r="E203" i="255"/>
  <c r="D203" i="255"/>
  <c r="L202" i="255"/>
  <c r="K202" i="255"/>
  <c r="J202" i="255"/>
  <c r="F202" i="255"/>
  <c r="E202" i="255"/>
  <c r="D202" i="255"/>
  <c r="L201" i="255"/>
  <c r="K201" i="255"/>
  <c r="J201" i="255"/>
  <c r="F201" i="255"/>
  <c r="E201" i="255"/>
  <c r="D201" i="255"/>
  <c r="L200" i="255"/>
  <c r="K200" i="255"/>
  <c r="J200" i="255"/>
  <c r="F200" i="255"/>
  <c r="E200" i="255"/>
  <c r="D200" i="255"/>
  <c r="L199" i="255"/>
  <c r="K199" i="255"/>
  <c r="J199" i="255"/>
  <c r="F199" i="255"/>
  <c r="E199" i="255"/>
  <c r="D199" i="255"/>
  <c r="L198" i="255"/>
  <c r="K198" i="255"/>
  <c r="J198" i="255"/>
  <c r="F198" i="255"/>
  <c r="E198" i="255"/>
  <c r="D198" i="255"/>
  <c r="L197" i="255"/>
  <c r="K197" i="255"/>
  <c r="F197" i="255"/>
  <c r="E197" i="255"/>
  <c r="D197" i="255"/>
  <c r="L196" i="255"/>
  <c r="K196" i="255"/>
  <c r="F196" i="255"/>
  <c r="E196" i="255"/>
  <c r="D196" i="255"/>
  <c r="L195" i="255"/>
  <c r="K195" i="255"/>
  <c r="J195" i="255"/>
  <c r="F195" i="255"/>
  <c r="E195" i="255"/>
  <c r="D195" i="255"/>
  <c r="L194" i="255"/>
  <c r="K194" i="255"/>
  <c r="J194" i="255"/>
  <c r="F194" i="255"/>
  <c r="E194" i="255"/>
  <c r="D194" i="255"/>
  <c r="L193" i="255"/>
  <c r="K193" i="255"/>
  <c r="J193" i="255"/>
  <c r="F193" i="255"/>
  <c r="E193" i="255"/>
  <c r="D193" i="255"/>
  <c r="L192" i="255"/>
  <c r="K192" i="255"/>
  <c r="J192" i="255"/>
  <c r="F192" i="255"/>
  <c r="E192" i="255"/>
  <c r="D192" i="255"/>
  <c r="L191" i="255"/>
  <c r="K191" i="255"/>
  <c r="J191" i="255"/>
  <c r="F191" i="255"/>
  <c r="E191" i="255"/>
  <c r="D191" i="255"/>
  <c r="L190" i="255"/>
  <c r="K190" i="255"/>
  <c r="J190" i="255"/>
  <c r="F190" i="255"/>
  <c r="E190" i="255"/>
  <c r="D190" i="255"/>
  <c r="L189" i="255"/>
  <c r="K189" i="255"/>
  <c r="J189" i="255"/>
  <c r="F189" i="255"/>
  <c r="E189" i="255"/>
  <c r="D189" i="255"/>
  <c r="L188" i="255"/>
  <c r="K188" i="255"/>
  <c r="J188" i="255"/>
  <c r="F188" i="255"/>
  <c r="E188" i="255"/>
  <c r="D188" i="255"/>
  <c r="L187" i="255"/>
  <c r="K187" i="255"/>
  <c r="J187" i="255"/>
  <c r="F187" i="255"/>
  <c r="E187" i="255"/>
  <c r="D187" i="255"/>
  <c r="L186" i="255"/>
  <c r="K186" i="255"/>
  <c r="J186" i="255"/>
  <c r="F186" i="255"/>
  <c r="E186" i="255"/>
  <c r="D186" i="255"/>
  <c r="L185" i="255"/>
  <c r="K185" i="255"/>
  <c r="J185" i="255"/>
  <c r="F185" i="255"/>
  <c r="E185" i="255"/>
  <c r="D185" i="255"/>
  <c r="L184" i="255"/>
  <c r="K184" i="255"/>
  <c r="J184" i="255"/>
  <c r="F184" i="255"/>
  <c r="E184" i="255"/>
  <c r="D184" i="255"/>
  <c r="L183" i="255"/>
  <c r="K183" i="255"/>
  <c r="J183" i="255"/>
  <c r="F183" i="255"/>
  <c r="E183" i="255"/>
  <c r="D183" i="255"/>
  <c r="L182" i="255"/>
  <c r="K182" i="255"/>
  <c r="J182" i="255"/>
  <c r="F182" i="255"/>
  <c r="E182" i="255"/>
  <c r="D182" i="255"/>
  <c r="L181" i="255"/>
  <c r="K181" i="255"/>
  <c r="J181" i="255"/>
  <c r="F181" i="255"/>
  <c r="E181" i="255"/>
  <c r="D181" i="255"/>
  <c r="L180" i="255"/>
  <c r="K180" i="255"/>
  <c r="J180" i="255"/>
  <c r="F180" i="255"/>
  <c r="E180" i="255"/>
  <c r="D180" i="255"/>
  <c r="L179" i="255"/>
  <c r="K179" i="255"/>
  <c r="J179" i="255"/>
  <c r="F179" i="255"/>
  <c r="E179" i="255"/>
  <c r="D179" i="255"/>
  <c r="L178" i="255"/>
  <c r="K178" i="255"/>
  <c r="J178" i="255"/>
  <c r="F178" i="255"/>
  <c r="E178" i="255"/>
  <c r="D178" i="255"/>
  <c r="L177" i="255"/>
  <c r="K177" i="255"/>
  <c r="J177" i="255"/>
  <c r="F177" i="255"/>
  <c r="E177" i="255"/>
  <c r="D177" i="255"/>
  <c r="L176" i="255"/>
  <c r="K176" i="255"/>
  <c r="J176" i="255"/>
  <c r="F176" i="255"/>
  <c r="E176" i="255"/>
  <c r="D176" i="255"/>
  <c r="L175" i="255"/>
  <c r="K175" i="255"/>
  <c r="J175" i="255"/>
  <c r="F175" i="255"/>
  <c r="E175" i="255"/>
  <c r="D175" i="255"/>
  <c r="L174" i="255"/>
  <c r="K174" i="255"/>
  <c r="J174" i="255"/>
  <c r="F174" i="255"/>
  <c r="E174" i="255"/>
  <c r="D174" i="255"/>
  <c r="L173" i="255"/>
  <c r="K173" i="255"/>
  <c r="J173" i="255"/>
  <c r="F173" i="255"/>
  <c r="E173" i="255"/>
  <c r="D173" i="255"/>
  <c r="L172" i="255"/>
  <c r="K172" i="255"/>
  <c r="J172" i="255"/>
  <c r="F172" i="255"/>
  <c r="E172" i="255"/>
  <c r="D172" i="255"/>
  <c r="L171" i="255"/>
  <c r="K171" i="255"/>
  <c r="J171" i="255"/>
  <c r="F171" i="255"/>
  <c r="E171" i="255"/>
  <c r="D171" i="255"/>
  <c r="L170" i="255"/>
  <c r="K170" i="255"/>
  <c r="J170" i="255"/>
  <c r="F170" i="255"/>
  <c r="E170" i="255"/>
  <c r="D170" i="255"/>
  <c r="L169" i="255"/>
  <c r="K169" i="255"/>
  <c r="J169" i="255"/>
  <c r="F169" i="255"/>
  <c r="E169" i="255"/>
  <c r="D169" i="255"/>
  <c r="L168" i="255"/>
  <c r="K168" i="255"/>
  <c r="J168" i="255"/>
  <c r="F168" i="255"/>
  <c r="E168" i="255"/>
  <c r="D168" i="255"/>
  <c r="L167" i="255"/>
  <c r="K167" i="255"/>
  <c r="J167" i="255"/>
  <c r="F167" i="255"/>
  <c r="E167" i="255"/>
  <c r="D167" i="255"/>
  <c r="L163" i="255"/>
  <c r="K163" i="255"/>
  <c r="J163" i="255"/>
  <c r="F163" i="255"/>
  <c r="E163" i="255"/>
  <c r="D163" i="255"/>
  <c r="L162" i="255"/>
  <c r="K162" i="255"/>
  <c r="F162" i="255"/>
  <c r="E162" i="255"/>
  <c r="D162" i="255"/>
  <c r="L161" i="255"/>
  <c r="K161" i="255"/>
  <c r="J161" i="255"/>
  <c r="F161" i="255"/>
  <c r="E161" i="255"/>
  <c r="D161" i="255"/>
  <c r="L160" i="255"/>
  <c r="K160" i="255"/>
  <c r="J160" i="255"/>
  <c r="F160" i="255"/>
  <c r="E160" i="255"/>
  <c r="D160" i="255"/>
  <c r="L159" i="255"/>
  <c r="K159" i="255"/>
  <c r="J159" i="255"/>
  <c r="F159" i="255"/>
  <c r="E159" i="255"/>
  <c r="D159" i="255"/>
  <c r="L158" i="255"/>
  <c r="K158" i="255"/>
  <c r="J158" i="255"/>
  <c r="F158" i="255"/>
  <c r="E158" i="255"/>
  <c r="D158" i="255"/>
  <c r="L157" i="255"/>
  <c r="K157" i="255"/>
  <c r="J157" i="255"/>
  <c r="F157" i="255"/>
  <c r="E157" i="255"/>
  <c r="D157" i="255"/>
  <c r="L156" i="255"/>
  <c r="K156" i="255"/>
  <c r="J156" i="255"/>
  <c r="F156" i="255"/>
  <c r="E156" i="255"/>
  <c r="D156" i="255"/>
  <c r="L155" i="255"/>
  <c r="K155" i="255"/>
  <c r="J155" i="255"/>
  <c r="F155" i="255"/>
  <c r="E155" i="255"/>
  <c r="D155" i="255"/>
  <c r="L154" i="255"/>
  <c r="K154" i="255"/>
  <c r="J154" i="255"/>
  <c r="F154" i="255"/>
  <c r="E154" i="255"/>
  <c r="D154" i="255"/>
  <c r="L153" i="255"/>
  <c r="K153" i="255"/>
  <c r="J153" i="255"/>
  <c r="F153" i="255"/>
  <c r="E153" i="255"/>
  <c r="D153" i="255"/>
  <c r="L152" i="255"/>
  <c r="K152" i="255"/>
  <c r="J152" i="255"/>
  <c r="F152" i="255"/>
  <c r="E152" i="255"/>
  <c r="D152" i="255"/>
  <c r="L151" i="255"/>
  <c r="K151" i="255"/>
  <c r="J151" i="255"/>
  <c r="F151" i="255"/>
  <c r="E151" i="255"/>
  <c r="D151" i="255"/>
  <c r="L150" i="255"/>
  <c r="K150" i="255"/>
  <c r="J150" i="255"/>
  <c r="F150" i="255"/>
  <c r="E150" i="255"/>
  <c r="D150" i="255"/>
  <c r="L149" i="255"/>
  <c r="K149" i="255"/>
  <c r="J149" i="255"/>
  <c r="F149" i="255"/>
  <c r="E149" i="255"/>
  <c r="D149" i="255"/>
  <c r="L148" i="255"/>
  <c r="K148" i="255"/>
  <c r="J148" i="255"/>
  <c r="F148" i="255"/>
  <c r="E148" i="255"/>
  <c r="D148" i="255"/>
  <c r="L147" i="255"/>
  <c r="K147" i="255"/>
  <c r="J147" i="255"/>
  <c r="F147" i="255"/>
  <c r="E147" i="255"/>
  <c r="D147" i="255"/>
  <c r="L146" i="255"/>
  <c r="K146" i="255"/>
  <c r="J146" i="255"/>
  <c r="F146" i="255"/>
  <c r="E146" i="255"/>
  <c r="D146" i="255"/>
  <c r="L145" i="255"/>
  <c r="K145" i="255"/>
  <c r="F145" i="255"/>
  <c r="E145" i="255"/>
  <c r="D145" i="255"/>
  <c r="L144" i="255"/>
  <c r="K144" i="255"/>
  <c r="F144" i="255"/>
  <c r="E144" i="255"/>
  <c r="D144" i="255"/>
  <c r="L143" i="255"/>
  <c r="K143" i="255"/>
  <c r="J143" i="255"/>
  <c r="F143" i="255"/>
  <c r="E143" i="255"/>
  <c r="D143" i="255"/>
  <c r="L142" i="255"/>
  <c r="K142" i="255"/>
  <c r="F142" i="255"/>
  <c r="E142" i="255"/>
  <c r="D142" i="255"/>
  <c r="L141" i="255"/>
  <c r="K141" i="255"/>
  <c r="F141" i="255"/>
  <c r="E141" i="255"/>
  <c r="D141" i="255"/>
  <c r="L140" i="255"/>
  <c r="K140" i="255"/>
  <c r="F140" i="255"/>
  <c r="E140" i="255"/>
  <c r="D140" i="255"/>
  <c r="L139" i="255"/>
  <c r="K139" i="255"/>
  <c r="F139" i="255"/>
  <c r="E139" i="255"/>
  <c r="D139" i="255"/>
  <c r="L138" i="255"/>
  <c r="K138" i="255"/>
  <c r="F138" i="255"/>
  <c r="E138" i="255"/>
  <c r="D138" i="255"/>
  <c r="L137" i="255"/>
  <c r="K137" i="255"/>
  <c r="J137" i="255"/>
  <c r="F137" i="255"/>
  <c r="E137" i="255"/>
  <c r="D137" i="255"/>
  <c r="L136" i="255"/>
  <c r="K136" i="255"/>
  <c r="J136" i="255"/>
  <c r="F136" i="255"/>
  <c r="E136" i="255"/>
  <c r="D136" i="255"/>
  <c r="L135" i="255"/>
  <c r="K135" i="255"/>
  <c r="J135" i="255"/>
  <c r="F135" i="255"/>
  <c r="E135" i="255"/>
  <c r="D135" i="255"/>
  <c r="L134" i="255"/>
  <c r="K134" i="255"/>
  <c r="J134" i="255"/>
  <c r="F134" i="255"/>
  <c r="E134" i="255"/>
  <c r="D134" i="255"/>
  <c r="L133" i="255"/>
  <c r="K133" i="255"/>
  <c r="J133" i="255"/>
  <c r="F133" i="255"/>
  <c r="E133" i="255"/>
  <c r="D133" i="255"/>
  <c r="L132" i="255"/>
  <c r="K132" i="255"/>
  <c r="J132" i="255"/>
  <c r="F132" i="255"/>
  <c r="E132" i="255"/>
  <c r="D132" i="255"/>
  <c r="L131" i="255"/>
  <c r="K131" i="255"/>
  <c r="J131" i="255"/>
  <c r="F131" i="255"/>
  <c r="E131" i="255"/>
  <c r="D131" i="255"/>
  <c r="L130" i="255"/>
  <c r="K130" i="255"/>
  <c r="J130" i="255"/>
  <c r="F130" i="255"/>
  <c r="E130" i="255"/>
  <c r="D130" i="255"/>
  <c r="L129" i="255"/>
  <c r="K129" i="255"/>
  <c r="J129" i="255"/>
  <c r="F129" i="255"/>
  <c r="E129" i="255"/>
  <c r="D129" i="255"/>
  <c r="L128" i="255"/>
  <c r="K128" i="255"/>
  <c r="J128" i="255"/>
  <c r="F128" i="255"/>
  <c r="E128" i="255"/>
  <c r="D128" i="255"/>
  <c r="L127" i="255"/>
  <c r="K127" i="255"/>
  <c r="J127" i="255"/>
  <c r="F127" i="255"/>
  <c r="E127" i="255"/>
  <c r="D127" i="255"/>
  <c r="L126" i="255"/>
  <c r="K126" i="255"/>
  <c r="J126" i="255"/>
  <c r="F126" i="255"/>
  <c r="E126" i="255"/>
  <c r="D126" i="255"/>
  <c r="L125" i="255"/>
  <c r="K125" i="255"/>
  <c r="J125" i="255"/>
  <c r="F125" i="255"/>
  <c r="E125" i="255"/>
  <c r="D125" i="255"/>
  <c r="L124" i="255"/>
  <c r="K124" i="255"/>
  <c r="J124" i="255"/>
  <c r="F124" i="255"/>
  <c r="E124" i="255"/>
  <c r="D124" i="255"/>
  <c r="L123" i="255"/>
  <c r="K123" i="255"/>
  <c r="J123" i="255"/>
  <c r="F123" i="255"/>
  <c r="E123" i="255"/>
  <c r="D123" i="255"/>
  <c r="L119" i="255"/>
  <c r="K119" i="255"/>
  <c r="J119" i="255"/>
  <c r="F119" i="255"/>
  <c r="E119" i="255"/>
  <c r="D119" i="255"/>
  <c r="L118" i="255"/>
  <c r="K118" i="255"/>
  <c r="J118" i="255"/>
  <c r="F118" i="255"/>
  <c r="E118" i="255"/>
  <c r="D118" i="255"/>
  <c r="L117" i="255"/>
  <c r="K117" i="255"/>
  <c r="J117" i="255"/>
  <c r="F117" i="255"/>
  <c r="E117" i="255"/>
  <c r="D117" i="255"/>
  <c r="L116" i="255"/>
  <c r="K116" i="255"/>
  <c r="J116" i="255"/>
  <c r="F116" i="255"/>
  <c r="E116" i="255"/>
  <c r="D116" i="255"/>
  <c r="L115" i="255"/>
  <c r="K115" i="255"/>
  <c r="J115" i="255"/>
  <c r="F115" i="255"/>
  <c r="E115" i="255"/>
  <c r="D115" i="255"/>
  <c r="L114" i="255"/>
  <c r="K114" i="255"/>
  <c r="J114" i="255"/>
  <c r="F114" i="255"/>
  <c r="E114" i="255"/>
  <c r="D114" i="255"/>
  <c r="L113" i="255"/>
  <c r="K113" i="255"/>
  <c r="J113" i="255"/>
  <c r="F113" i="255"/>
  <c r="E113" i="255"/>
  <c r="D113" i="255"/>
  <c r="L112" i="255"/>
  <c r="K112" i="255"/>
  <c r="J112" i="255"/>
  <c r="F112" i="255"/>
  <c r="E112" i="255"/>
  <c r="D112" i="255"/>
  <c r="L111" i="255"/>
  <c r="K111" i="255"/>
  <c r="J111" i="255"/>
  <c r="F111" i="255"/>
  <c r="E111" i="255"/>
  <c r="D111" i="255"/>
  <c r="L110" i="255"/>
  <c r="K110" i="255"/>
  <c r="J110" i="255"/>
  <c r="F110" i="255"/>
  <c r="E110" i="255"/>
  <c r="D110" i="255"/>
  <c r="L109" i="255"/>
  <c r="K109" i="255"/>
  <c r="J109" i="255"/>
  <c r="F109" i="255"/>
  <c r="E109" i="255"/>
  <c r="D109" i="255"/>
  <c r="L108" i="255"/>
  <c r="K108" i="255"/>
  <c r="J108" i="255"/>
  <c r="F108" i="255"/>
  <c r="E108" i="255"/>
  <c r="D108" i="255"/>
  <c r="L107" i="255"/>
  <c r="K107" i="255"/>
  <c r="J107" i="255"/>
  <c r="F107" i="255"/>
  <c r="E107" i="255"/>
  <c r="D107" i="255"/>
  <c r="L106" i="255"/>
  <c r="K106" i="255"/>
  <c r="J106" i="255"/>
  <c r="F106" i="255"/>
  <c r="E106" i="255"/>
  <c r="D106" i="255"/>
  <c r="L105" i="255"/>
  <c r="K105" i="255"/>
  <c r="J105" i="255"/>
  <c r="F105" i="255"/>
  <c r="E105" i="255"/>
  <c r="D105" i="255"/>
  <c r="L104" i="255"/>
  <c r="K104" i="255"/>
  <c r="J104" i="255"/>
  <c r="F104" i="255"/>
  <c r="E104" i="255"/>
  <c r="D104" i="255"/>
  <c r="L103" i="255"/>
  <c r="K103" i="255"/>
  <c r="J103" i="255"/>
  <c r="F103" i="255"/>
  <c r="E103" i="255"/>
  <c r="D103" i="255"/>
  <c r="L102" i="255"/>
  <c r="K102" i="255"/>
  <c r="J102" i="255"/>
  <c r="F102" i="255"/>
  <c r="E102" i="255"/>
  <c r="D102" i="255"/>
  <c r="L101" i="255"/>
  <c r="K101" i="255"/>
  <c r="J101" i="255"/>
  <c r="F101" i="255"/>
  <c r="E101" i="255"/>
  <c r="D101" i="255"/>
  <c r="L100" i="255"/>
  <c r="K100" i="255"/>
  <c r="J100" i="255"/>
  <c r="F100" i="255"/>
  <c r="E100" i="255"/>
  <c r="D100" i="255"/>
  <c r="L99" i="255"/>
  <c r="K99" i="255"/>
  <c r="J99" i="255"/>
  <c r="F99" i="255"/>
  <c r="E99" i="255"/>
  <c r="D99" i="255"/>
  <c r="L98" i="255"/>
  <c r="K98" i="255"/>
  <c r="J98" i="255"/>
  <c r="F98" i="255"/>
  <c r="E98" i="255"/>
  <c r="D98" i="255"/>
  <c r="L97" i="255"/>
  <c r="K97" i="255"/>
  <c r="J97" i="255"/>
  <c r="F97" i="255"/>
  <c r="E97" i="255"/>
  <c r="D97" i="255"/>
  <c r="L96" i="255"/>
  <c r="K96" i="255"/>
  <c r="J96" i="255"/>
  <c r="F96" i="255"/>
  <c r="E96" i="255"/>
  <c r="D96" i="255"/>
  <c r="L95" i="255"/>
  <c r="K95" i="255"/>
  <c r="J95" i="255"/>
  <c r="F95" i="255"/>
  <c r="E95" i="255"/>
  <c r="D95" i="255"/>
  <c r="L94" i="255"/>
  <c r="K94" i="255"/>
  <c r="J94" i="255"/>
  <c r="F94" i="255"/>
  <c r="E94" i="255"/>
  <c r="D94" i="255"/>
  <c r="L93" i="255"/>
  <c r="K93" i="255"/>
  <c r="J93" i="255"/>
  <c r="F93" i="255"/>
  <c r="E93" i="255"/>
  <c r="D93" i="255"/>
  <c r="L92" i="255"/>
  <c r="K92" i="255"/>
  <c r="J92" i="255"/>
  <c r="F92" i="255"/>
  <c r="E92" i="255"/>
  <c r="D92" i="255"/>
  <c r="L91" i="255"/>
  <c r="K91" i="255"/>
  <c r="J91" i="255"/>
  <c r="F91" i="255"/>
  <c r="E91" i="255"/>
  <c r="D91" i="255"/>
  <c r="L90" i="255"/>
  <c r="K90" i="255"/>
  <c r="J90" i="255"/>
  <c r="F90" i="255"/>
  <c r="E90" i="255"/>
  <c r="D90" i="255"/>
  <c r="L89" i="255"/>
  <c r="K89" i="255"/>
  <c r="J89" i="255"/>
  <c r="F89" i="255"/>
  <c r="E89" i="255"/>
  <c r="D89" i="255"/>
  <c r="L88" i="255"/>
  <c r="K88" i="255"/>
  <c r="J88" i="255"/>
  <c r="F88" i="255"/>
  <c r="E88" i="255"/>
  <c r="D88" i="255"/>
  <c r="L87" i="255"/>
  <c r="K87" i="255"/>
  <c r="J87" i="255"/>
  <c r="F87" i="255"/>
  <c r="E87" i="255"/>
  <c r="D87" i="255"/>
  <c r="L86" i="255"/>
  <c r="K86" i="255"/>
  <c r="J86" i="255"/>
  <c r="F86" i="255"/>
  <c r="E86" i="255"/>
  <c r="D86" i="255"/>
  <c r="L85" i="255"/>
  <c r="K85" i="255"/>
  <c r="J85" i="255"/>
  <c r="F85" i="255"/>
  <c r="E85" i="255"/>
  <c r="D85" i="255"/>
  <c r="L84" i="255"/>
  <c r="K84" i="255"/>
  <c r="J84" i="255"/>
  <c r="F84" i="255"/>
  <c r="E84" i="255"/>
  <c r="D84" i="255"/>
  <c r="L83" i="255"/>
  <c r="K83" i="255"/>
  <c r="J83" i="255"/>
  <c r="F83" i="255"/>
  <c r="E83" i="255"/>
  <c r="D83" i="255"/>
  <c r="L82" i="255"/>
  <c r="K82" i="255"/>
  <c r="J82" i="255"/>
  <c r="F82" i="255"/>
  <c r="E82" i="255"/>
  <c r="D82" i="255"/>
  <c r="L81" i="255"/>
  <c r="K81" i="255"/>
  <c r="J81" i="255"/>
  <c r="F81" i="255"/>
  <c r="E81" i="255"/>
  <c r="D81" i="255"/>
  <c r="L80" i="255"/>
  <c r="K80" i="255"/>
  <c r="J80" i="255"/>
  <c r="F80" i="255"/>
  <c r="E80" i="255"/>
  <c r="D80" i="255"/>
  <c r="L79" i="255"/>
  <c r="K79" i="255"/>
  <c r="J79" i="255"/>
  <c r="F79" i="255"/>
  <c r="E79" i="255"/>
  <c r="D79" i="255"/>
  <c r="L78" i="255"/>
  <c r="K78" i="255"/>
  <c r="J78" i="255"/>
  <c r="F78" i="255"/>
  <c r="E78" i="255"/>
  <c r="D78" i="255"/>
  <c r="L77" i="255"/>
  <c r="K77" i="255"/>
  <c r="J77" i="255"/>
  <c r="F77" i="255"/>
  <c r="E77" i="255"/>
  <c r="D77" i="255"/>
  <c r="L76" i="255"/>
  <c r="K76" i="255"/>
  <c r="J76" i="255"/>
  <c r="F76" i="255"/>
  <c r="E76" i="255"/>
  <c r="D76" i="255"/>
  <c r="L75" i="255"/>
  <c r="K75" i="255"/>
  <c r="J75" i="255"/>
  <c r="F75" i="255"/>
  <c r="E75" i="255"/>
  <c r="D75" i="255"/>
  <c r="L74" i="255"/>
  <c r="K74" i="255"/>
  <c r="J74" i="255"/>
  <c r="F74" i="255"/>
  <c r="E74" i="255"/>
  <c r="D74" i="255"/>
  <c r="L68" i="255"/>
  <c r="K68" i="255"/>
  <c r="F68" i="255"/>
  <c r="E68" i="255"/>
  <c r="D68" i="255"/>
  <c r="L67" i="255"/>
  <c r="K67" i="255"/>
  <c r="F67" i="255"/>
  <c r="E67" i="255"/>
  <c r="D67" i="255"/>
  <c r="L66" i="255"/>
  <c r="K66" i="255"/>
  <c r="F66" i="255"/>
  <c r="E66" i="255"/>
  <c r="D66" i="255"/>
  <c r="L65" i="255"/>
  <c r="K65" i="255"/>
  <c r="F65" i="255"/>
  <c r="E65" i="255"/>
  <c r="D65" i="255"/>
  <c r="L64" i="255"/>
  <c r="K64" i="255"/>
  <c r="F64" i="255"/>
  <c r="E64" i="255"/>
  <c r="D64" i="255"/>
  <c r="L63" i="255"/>
  <c r="K63" i="255"/>
  <c r="F63" i="255"/>
  <c r="E63" i="255"/>
  <c r="D63" i="255"/>
  <c r="L62" i="255"/>
  <c r="K62" i="255"/>
  <c r="F62" i="255"/>
  <c r="E62" i="255"/>
  <c r="D62" i="255"/>
  <c r="L61" i="255"/>
  <c r="K61" i="255"/>
  <c r="J61" i="255"/>
  <c r="F61" i="255"/>
  <c r="E61" i="255"/>
  <c r="D61" i="255"/>
  <c r="L60" i="255"/>
  <c r="K60" i="255"/>
  <c r="J60" i="255"/>
  <c r="F60" i="255"/>
  <c r="E60" i="255"/>
  <c r="D60" i="255"/>
  <c r="L59" i="255"/>
  <c r="K59" i="255"/>
  <c r="J59" i="255"/>
  <c r="F59" i="255"/>
  <c r="E59" i="255"/>
  <c r="D59" i="255"/>
  <c r="L58" i="255"/>
  <c r="K58" i="255"/>
  <c r="J58" i="255"/>
  <c r="F58" i="255"/>
  <c r="E58" i="255"/>
  <c r="D58" i="255"/>
  <c r="L57" i="255"/>
  <c r="K57" i="255"/>
  <c r="J57" i="255"/>
  <c r="F57" i="255"/>
  <c r="E57" i="255"/>
  <c r="D57" i="255"/>
  <c r="L56" i="255"/>
  <c r="K56" i="255"/>
  <c r="F56" i="255"/>
  <c r="E56" i="255"/>
  <c r="D56" i="255"/>
  <c r="L55" i="255"/>
  <c r="K55" i="255"/>
  <c r="F55" i="255"/>
  <c r="E55" i="255"/>
  <c r="D55" i="255"/>
  <c r="L54" i="255"/>
  <c r="K54" i="255"/>
  <c r="F54" i="255"/>
  <c r="E54" i="255"/>
  <c r="D54" i="255"/>
  <c r="L53" i="255"/>
  <c r="K53" i="255"/>
  <c r="F53" i="255"/>
  <c r="E53" i="255"/>
  <c r="D53" i="255"/>
  <c r="L52" i="255"/>
  <c r="K52" i="255"/>
  <c r="J52" i="255"/>
  <c r="F52" i="255"/>
  <c r="E52" i="255"/>
  <c r="D52" i="255"/>
  <c r="L51" i="255"/>
  <c r="K51" i="255"/>
  <c r="J51" i="255"/>
  <c r="F51" i="255"/>
  <c r="E51" i="255"/>
  <c r="D51" i="255"/>
  <c r="L50" i="255"/>
  <c r="K50" i="255"/>
  <c r="J50" i="255"/>
  <c r="F50" i="255"/>
  <c r="E50" i="255"/>
  <c r="D50" i="255"/>
  <c r="L49" i="255"/>
  <c r="K49" i="255"/>
  <c r="J49" i="255"/>
  <c r="F49" i="255"/>
  <c r="E49" i="255"/>
  <c r="D49" i="255"/>
  <c r="L48" i="255"/>
  <c r="K48" i="255"/>
  <c r="J48" i="255"/>
  <c r="F48" i="255"/>
  <c r="E48" i="255"/>
  <c r="D48" i="255"/>
  <c r="L47" i="255"/>
  <c r="K47" i="255"/>
  <c r="J47" i="255"/>
  <c r="F47" i="255"/>
  <c r="E47" i="255"/>
  <c r="D47" i="255"/>
  <c r="L46" i="255"/>
  <c r="K46" i="255"/>
  <c r="J46" i="255"/>
  <c r="F46" i="255"/>
  <c r="E46" i="255"/>
  <c r="D46" i="255"/>
  <c r="L45" i="255"/>
  <c r="K45" i="255"/>
  <c r="J45" i="255"/>
  <c r="F45" i="255"/>
  <c r="E45" i="255"/>
  <c r="D45" i="255"/>
  <c r="L44" i="255"/>
  <c r="K44" i="255"/>
  <c r="F44" i="255"/>
  <c r="E44" i="255"/>
  <c r="D44" i="255"/>
  <c r="L43" i="255"/>
  <c r="K43" i="255"/>
  <c r="F43" i="255"/>
  <c r="E43" i="255"/>
  <c r="D43" i="255"/>
  <c r="L42" i="255"/>
  <c r="K42" i="255"/>
  <c r="F42" i="255"/>
  <c r="E42" i="255"/>
  <c r="D42" i="255"/>
  <c r="L41" i="255"/>
  <c r="K41" i="255"/>
  <c r="J41" i="255"/>
  <c r="F41" i="255"/>
  <c r="E41" i="255"/>
  <c r="D41" i="255"/>
  <c r="L40" i="255"/>
  <c r="K40" i="255"/>
  <c r="F40" i="255"/>
  <c r="E40" i="255"/>
  <c r="D40" i="255"/>
  <c r="L39" i="255"/>
  <c r="K39" i="255"/>
  <c r="J39" i="255"/>
  <c r="F39" i="255"/>
  <c r="E39" i="255"/>
  <c r="D39" i="255"/>
  <c r="L38" i="255"/>
  <c r="K38" i="255"/>
  <c r="F38" i="255"/>
  <c r="E38" i="255"/>
  <c r="D38" i="255"/>
  <c r="L37" i="255"/>
  <c r="K37" i="255"/>
  <c r="J37" i="255"/>
  <c r="F37" i="255"/>
  <c r="E37" i="255"/>
  <c r="D37" i="255"/>
  <c r="L36" i="255"/>
  <c r="K36" i="255"/>
  <c r="F36" i="255"/>
  <c r="E36" i="255"/>
  <c r="D36" i="255"/>
  <c r="L35" i="255"/>
  <c r="K35" i="255"/>
  <c r="F35" i="255"/>
  <c r="E35" i="255"/>
  <c r="D35" i="255"/>
  <c r="L34" i="255"/>
  <c r="K34" i="255"/>
  <c r="F34" i="255"/>
  <c r="E34" i="255"/>
  <c r="D34" i="255"/>
  <c r="L33" i="255"/>
  <c r="K33" i="255"/>
  <c r="F33" i="255"/>
  <c r="E33" i="255"/>
  <c r="D33" i="255"/>
  <c r="L32" i="255"/>
  <c r="K32" i="255"/>
  <c r="F32" i="255"/>
  <c r="E32" i="255"/>
  <c r="D32" i="255"/>
  <c r="L31" i="255"/>
  <c r="K31" i="255"/>
  <c r="F31" i="255"/>
  <c r="E31" i="255"/>
  <c r="D31" i="255"/>
  <c r="L30" i="255"/>
  <c r="K30" i="255"/>
  <c r="F30" i="255"/>
  <c r="E30" i="255"/>
  <c r="D30" i="255"/>
  <c r="L29" i="255"/>
  <c r="K29" i="255"/>
  <c r="F29" i="255"/>
  <c r="E29" i="255"/>
  <c r="D29" i="255"/>
  <c r="L28" i="255"/>
  <c r="K28" i="255"/>
  <c r="F28" i="255"/>
  <c r="E28" i="255"/>
  <c r="D28" i="255"/>
  <c r="L27" i="255"/>
  <c r="K27" i="255"/>
  <c r="F27" i="255"/>
  <c r="E27" i="255"/>
  <c r="D27" i="255"/>
  <c r="L26" i="255"/>
  <c r="K26" i="255"/>
  <c r="F26" i="255"/>
  <c r="E26" i="255"/>
  <c r="D26" i="255"/>
  <c r="L25" i="255"/>
  <c r="K25" i="255"/>
  <c r="F25" i="255"/>
  <c r="E25" i="255"/>
  <c r="D25" i="255"/>
  <c r="L24" i="255"/>
  <c r="K24" i="255"/>
  <c r="F24" i="255"/>
  <c r="E24" i="255"/>
  <c r="D24" i="255"/>
  <c r="L23" i="255"/>
  <c r="K23" i="255"/>
  <c r="F23" i="255"/>
  <c r="E23" i="255"/>
  <c r="D23" i="255"/>
  <c r="L22" i="255"/>
  <c r="K22" i="255"/>
  <c r="F22" i="255"/>
  <c r="E22" i="255"/>
  <c r="D22" i="255"/>
  <c r="L21" i="255"/>
  <c r="K21" i="255"/>
  <c r="F21" i="255"/>
  <c r="E21" i="255"/>
  <c r="D21" i="255"/>
  <c r="L20" i="255"/>
  <c r="K20" i="255"/>
  <c r="F20" i="255"/>
  <c r="E20" i="255"/>
  <c r="D20" i="255"/>
  <c r="L19" i="255"/>
  <c r="K19" i="255"/>
  <c r="F19" i="255"/>
  <c r="E19" i="255"/>
  <c r="D19" i="255"/>
  <c r="L18" i="255"/>
  <c r="K18" i="255"/>
  <c r="F18" i="255"/>
  <c r="E18" i="255"/>
  <c r="D18" i="255"/>
  <c r="L17" i="255"/>
  <c r="K17" i="255"/>
  <c r="F17" i="255"/>
  <c r="E17" i="255"/>
  <c r="D17" i="255"/>
  <c r="L16" i="255"/>
  <c r="K16" i="255"/>
  <c r="F16" i="255"/>
  <c r="E16" i="255"/>
  <c r="D16" i="255"/>
  <c r="L15" i="255"/>
  <c r="K15" i="255"/>
  <c r="F15" i="255"/>
  <c r="E15" i="255"/>
  <c r="D15" i="255"/>
  <c r="L14" i="255"/>
  <c r="K14" i="255"/>
  <c r="F14" i="255"/>
  <c r="E14" i="255"/>
  <c r="D14" i="255"/>
  <c r="L13" i="255"/>
  <c r="K13" i="255"/>
  <c r="F13" i="255"/>
  <c r="E13" i="255"/>
  <c r="D13" i="255"/>
  <c r="L12" i="255"/>
  <c r="K12" i="255"/>
  <c r="F12" i="255"/>
  <c r="E12" i="255"/>
  <c r="D12" i="255"/>
  <c r="L11" i="255"/>
  <c r="K11" i="255"/>
  <c r="F11" i="255"/>
  <c r="E11" i="255"/>
  <c r="D11" i="255"/>
  <c r="L10" i="255"/>
  <c r="K10" i="255"/>
  <c r="F10" i="255"/>
  <c r="E10" i="255"/>
  <c r="D10" i="255"/>
  <c r="L9" i="255"/>
  <c r="K9" i="255"/>
  <c r="F9" i="255"/>
  <c r="E9" i="255"/>
  <c r="D9" i="255"/>
  <c r="N135" i="207"/>
  <c r="N136" i="207"/>
  <c r="F66" i="212"/>
  <c r="F67" i="212"/>
  <c r="F68" i="212"/>
  <c r="F69" i="212"/>
  <c r="F70" i="212"/>
  <c r="F71" i="212"/>
  <c r="F72" i="212"/>
  <c r="F73" i="212"/>
  <c r="F74" i="212"/>
  <c r="F75" i="212"/>
  <c r="F65" i="212"/>
  <c r="D66" i="212"/>
  <c r="D67" i="212"/>
  <c r="D68" i="212"/>
  <c r="D69" i="212"/>
  <c r="D70" i="212"/>
  <c r="D71" i="212"/>
  <c r="D72" i="212"/>
  <c r="D73" i="212"/>
  <c r="D74" i="212"/>
  <c r="D75" i="212"/>
  <c r="D65" i="212"/>
  <c r="M177" i="255" l="1"/>
  <c r="M185" i="255"/>
  <c r="M75" i="255"/>
  <c r="M79" i="255"/>
  <c r="M201" i="255"/>
  <c r="M83" i="255"/>
  <c r="M57" i="255"/>
  <c r="M61" i="255"/>
  <c r="M110" i="255"/>
  <c r="M148" i="255"/>
  <c r="M152" i="255"/>
  <c r="M156" i="255"/>
  <c r="M76" i="255"/>
  <c r="L70" i="255"/>
  <c r="M135" i="255"/>
  <c r="M143" i="255"/>
  <c r="M49" i="255"/>
  <c r="M159" i="255"/>
  <c r="M59" i="255"/>
  <c r="M136" i="255"/>
  <c r="M149" i="255"/>
  <c r="M93" i="255"/>
  <c r="F209" i="255"/>
  <c r="M204" i="255"/>
  <c r="M41" i="255"/>
  <c r="M47" i="255"/>
  <c r="M116" i="255"/>
  <c r="L164" i="255"/>
  <c r="M127" i="255"/>
  <c r="M147" i="255"/>
  <c r="M151" i="255"/>
  <c r="M199" i="255"/>
  <c r="M74" i="255"/>
  <c r="M157" i="255"/>
  <c r="M137" i="255"/>
  <c r="M146" i="255"/>
  <c r="M150" i="255"/>
  <c r="M154" i="255"/>
  <c r="M169" i="255"/>
  <c r="M205" i="255"/>
  <c r="M192" i="255"/>
  <c r="M77" i="255"/>
  <c r="M81" i="255"/>
  <c r="M85" i="255"/>
  <c r="M193" i="255"/>
  <c r="F70" i="255"/>
  <c r="M50" i="255"/>
  <c r="M52" i="255"/>
  <c r="M112" i="255"/>
  <c r="M114" i="255"/>
  <c r="M118" i="255"/>
  <c r="M123" i="255"/>
  <c r="M125" i="255"/>
  <c r="D209" i="255"/>
  <c r="M186" i="255"/>
  <c r="M188" i="255"/>
  <c r="M190" i="255"/>
  <c r="M202" i="255"/>
  <c r="K70" i="255"/>
  <c r="M48" i="255"/>
  <c r="K164" i="255"/>
  <c r="M129" i="255"/>
  <c r="M131" i="255"/>
  <c r="M133" i="255"/>
  <c r="E209" i="255"/>
  <c r="M184" i="255"/>
  <c r="M194" i="255"/>
  <c r="M200" i="255"/>
  <c r="M206" i="255"/>
  <c r="M87" i="255"/>
  <c r="M89" i="255"/>
  <c r="M91" i="255"/>
  <c r="M160" i="255"/>
  <c r="K209" i="255"/>
  <c r="M171" i="255"/>
  <c r="M173" i="255"/>
  <c r="M175" i="255"/>
  <c r="M45" i="255"/>
  <c r="D120" i="255"/>
  <c r="M95" i="255"/>
  <c r="M97" i="255"/>
  <c r="M99" i="255"/>
  <c r="M101" i="255"/>
  <c r="M103" i="255"/>
  <c r="M105" i="255"/>
  <c r="M107" i="255"/>
  <c r="M109" i="255"/>
  <c r="M158" i="255"/>
  <c r="L209" i="255"/>
  <c r="M179" i="255"/>
  <c r="M181" i="255"/>
  <c r="M183" i="255"/>
  <c r="M51" i="255"/>
  <c r="E120" i="255"/>
  <c r="M111" i="255"/>
  <c r="M113" i="255"/>
  <c r="M115" i="255"/>
  <c r="M117" i="255"/>
  <c r="M119" i="255"/>
  <c r="M124" i="255"/>
  <c r="M126" i="255"/>
  <c r="M187" i="255"/>
  <c r="M189" i="255"/>
  <c r="M203" i="255"/>
  <c r="F120" i="255"/>
  <c r="M128" i="255"/>
  <c r="M130" i="255"/>
  <c r="M132" i="255"/>
  <c r="M134" i="255"/>
  <c r="M191" i="255"/>
  <c r="M195" i="255"/>
  <c r="M207" i="255"/>
  <c r="M37" i="255"/>
  <c r="M39" i="255"/>
  <c r="M58" i="255"/>
  <c r="M60" i="255"/>
  <c r="K120" i="255"/>
  <c r="M78" i="255"/>
  <c r="M80" i="255"/>
  <c r="M82" i="255"/>
  <c r="M84" i="255"/>
  <c r="D164" i="255"/>
  <c r="M153" i="255"/>
  <c r="M155" i="255"/>
  <c r="M163" i="255"/>
  <c r="M168" i="255"/>
  <c r="D70" i="255"/>
  <c r="L120" i="255"/>
  <c r="M86" i="255"/>
  <c r="M88" i="255"/>
  <c r="M90" i="255"/>
  <c r="M92" i="255"/>
  <c r="E164" i="255"/>
  <c r="M161" i="255"/>
  <c r="M170" i="255"/>
  <c r="M172" i="255"/>
  <c r="M174" i="255"/>
  <c r="M176" i="255"/>
  <c r="E70" i="255"/>
  <c r="M46" i="255"/>
  <c r="M94" i="255"/>
  <c r="M96" i="255"/>
  <c r="M98" i="255"/>
  <c r="M100" i="255"/>
  <c r="M102" i="255"/>
  <c r="M104" i="255"/>
  <c r="M106" i="255"/>
  <c r="M108" i="255"/>
  <c r="F164" i="255"/>
  <c r="M178" i="255"/>
  <c r="M180" i="255"/>
  <c r="M182" i="255"/>
  <c r="M198" i="255"/>
  <c r="J120" i="255"/>
  <c r="M167" i="255"/>
  <c r="D76" i="212"/>
  <c r="G75" i="212"/>
  <c r="I75" i="212" s="1"/>
  <c r="J75" i="212" s="1"/>
  <c r="G74" i="212"/>
  <c r="I74" i="212" s="1"/>
  <c r="J74" i="212" s="1"/>
  <c r="G73" i="212"/>
  <c r="I73" i="212" s="1"/>
  <c r="J73" i="212" s="1"/>
  <c r="G72" i="212"/>
  <c r="I72" i="212" s="1"/>
  <c r="J72" i="212" s="1"/>
  <c r="G71" i="212"/>
  <c r="I71" i="212" s="1"/>
  <c r="J71" i="212" s="1"/>
  <c r="G70" i="212"/>
  <c r="I70" i="212" s="1"/>
  <c r="J70" i="212" s="1"/>
  <c r="G69" i="212"/>
  <c r="I69" i="212" s="1"/>
  <c r="J69" i="212" s="1"/>
  <c r="G68" i="212"/>
  <c r="I68" i="212" s="1"/>
  <c r="J68" i="212" s="1"/>
  <c r="G67" i="212"/>
  <c r="I67" i="212" s="1"/>
  <c r="J67" i="212" s="1"/>
  <c r="G66" i="212"/>
  <c r="I66" i="212" s="1"/>
  <c r="J66" i="212" s="1"/>
  <c r="G65" i="212"/>
  <c r="F37" i="212"/>
  <c r="F36" i="212"/>
  <c r="F35" i="212"/>
  <c r="F34" i="212"/>
  <c r="F33" i="212"/>
  <c r="F32" i="212"/>
  <c r="F31" i="212"/>
  <c r="D37" i="212"/>
  <c r="D36" i="212"/>
  <c r="D31" i="212"/>
  <c r="D32" i="212"/>
  <c r="D33" i="212"/>
  <c r="D34" i="212"/>
  <c r="D35" i="212"/>
  <c r="D30" i="212"/>
  <c r="F28" i="212"/>
  <c r="F29" i="212"/>
  <c r="F27" i="212"/>
  <c r="D28" i="212"/>
  <c r="D29" i="212"/>
  <c r="D27" i="212"/>
  <c r="K211" i="255" l="1"/>
  <c r="K212" i="255" s="1"/>
  <c r="L211" i="255"/>
  <c r="L212" i="255" s="1"/>
  <c r="F211" i="255"/>
  <c r="F212" i="255" s="1"/>
  <c r="M120" i="255"/>
  <c r="D211" i="255"/>
  <c r="D212" i="255" s="1"/>
  <c r="E211" i="255"/>
  <c r="E212" i="255" s="1"/>
  <c r="I65" i="212"/>
  <c r="G76" i="212"/>
  <c r="G77" i="212" s="1"/>
  <c r="I77" i="212" s="1"/>
  <c r="J77" i="212" s="1"/>
  <c r="F76" i="212"/>
  <c r="J65" i="212" l="1"/>
  <c r="I76" i="212"/>
  <c r="J76" i="212" s="1"/>
  <c r="G39" i="212" l="1"/>
  <c r="I39" i="212" s="1"/>
  <c r="J39" i="212" s="1"/>
  <c r="G35" i="212"/>
  <c r="I35" i="212" s="1"/>
  <c r="J35" i="212" s="1"/>
  <c r="G28" i="212"/>
  <c r="I28" i="212" s="1"/>
  <c r="J28" i="212" s="1"/>
  <c r="D38" i="212"/>
  <c r="G32" i="212" l="1"/>
  <c r="I32" i="212" s="1"/>
  <c r="J32" i="212" s="1"/>
  <c r="G36" i="212"/>
  <c r="I36" i="212" s="1"/>
  <c r="J36" i="212" s="1"/>
  <c r="G29" i="212"/>
  <c r="I29" i="212" s="1"/>
  <c r="J29" i="212" s="1"/>
  <c r="G33" i="212"/>
  <c r="I33" i="212" s="1"/>
  <c r="J33" i="212" s="1"/>
  <c r="G34" i="212"/>
  <c r="I34" i="212" s="1"/>
  <c r="J34" i="212" s="1"/>
  <c r="G37" i="212"/>
  <c r="I37" i="212" s="1"/>
  <c r="J37" i="212" s="1"/>
  <c r="G27" i="212"/>
  <c r="I27" i="212" s="1"/>
  <c r="J27" i="212" l="1"/>
  <c r="Q7" i="243" l="1"/>
  <c r="B8" i="243"/>
  <c r="B9" i="243" s="1"/>
  <c r="B10" i="243" s="1"/>
  <c r="B11" i="243" s="1"/>
  <c r="B12" i="243" s="1"/>
  <c r="B13" i="243" s="1"/>
  <c r="B14" i="243" s="1"/>
  <c r="B15" i="243" s="1"/>
  <c r="B17" i="243" s="1"/>
  <c r="B18" i="243" s="1"/>
  <c r="B19" i="243" s="1"/>
  <c r="B20" i="243" s="1"/>
  <c r="B21" i="243" s="1"/>
  <c r="B23" i="243" s="1"/>
  <c r="B24" i="243" s="1"/>
  <c r="B25" i="243" s="1"/>
  <c r="B26" i="243" s="1"/>
  <c r="B27" i="243" s="1"/>
  <c r="B28" i="243" s="1"/>
  <c r="B30" i="243" s="1"/>
  <c r="B31" i="243" s="1"/>
  <c r="B32" i="243" s="1"/>
  <c r="B33" i="243" s="1"/>
  <c r="B35" i="243" s="1"/>
  <c r="B36" i="243" s="1"/>
  <c r="B37" i="243" s="1"/>
  <c r="B38" i="243" s="1"/>
  <c r="B39" i="243" s="1"/>
  <c r="Q8" i="243"/>
  <c r="Q9" i="243"/>
  <c r="F10" i="242" s="1"/>
  <c r="G10" i="242" s="1"/>
  <c r="Q10" i="243"/>
  <c r="Q11" i="243"/>
  <c r="E12" i="243"/>
  <c r="F12" i="243"/>
  <c r="G12" i="243"/>
  <c r="H12" i="243"/>
  <c r="I12" i="243"/>
  <c r="J12" i="243"/>
  <c r="K12" i="243"/>
  <c r="L12" i="243"/>
  <c r="M12" i="243"/>
  <c r="N12" i="243"/>
  <c r="O12" i="243"/>
  <c r="P12" i="243"/>
  <c r="Q13" i="243"/>
  <c r="F14" i="242" s="1"/>
  <c r="G14" i="242" s="1"/>
  <c r="Q14" i="243"/>
  <c r="F15" i="242" s="1"/>
  <c r="G15" i="242" s="1"/>
  <c r="Q15" i="243"/>
  <c r="F16" i="242" s="1"/>
  <c r="E17" i="243"/>
  <c r="F17" i="243"/>
  <c r="G17" i="243"/>
  <c r="H17" i="243"/>
  <c r="I17" i="243"/>
  <c r="J17" i="243"/>
  <c r="K17" i="243"/>
  <c r="L17" i="243"/>
  <c r="M17" i="243"/>
  <c r="N17" i="243"/>
  <c r="O17" i="243"/>
  <c r="P17" i="243"/>
  <c r="E18" i="243"/>
  <c r="F18" i="243"/>
  <c r="G18" i="243"/>
  <c r="H18" i="243"/>
  <c r="I18" i="243"/>
  <c r="J18" i="243"/>
  <c r="K18" i="243"/>
  <c r="L18" i="243"/>
  <c r="M18" i="243"/>
  <c r="N18" i="243"/>
  <c r="O18" i="243"/>
  <c r="P18" i="243"/>
  <c r="E20" i="243"/>
  <c r="F20" i="243"/>
  <c r="G20" i="243"/>
  <c r="H20" i="243"/>
  <c r="I20" i="243"/>
  <c r="J20" i="243"/>
  <c r="K20" i="243"/>
  <c r="L20" i="243"/>
  <c r="M20" i="243"/>
  <c r="N20" i="243"/>
  <c r="O20" i="243"/>
  <c r="P20" i="243"/>
  <c r="Q23" i="243"/>
  <c r="F24" i="242" s="1"/>
  <c r="G24" i="242" s="1"/>
  <c r="Q24" i="243"/>
  <c r="F25" i="242" s="1"/>
  <c r="G25" i="242" s="1"/>
  <c r="E25" i="243"/>
  <c r="F25" i="243"/>
  <c r="G25" i="243"/>
  <c r="H25" i="243"/>
  <c r="I25" i="243"/>
  <c r="J25" i="243"/>
  <c r="K25" i="243"/>
  <c r="L25" i="243"/>
  <c r="M25" i="243"/>
  <c r="N25" i="243"/>
  <c r="O25" i="243"/>
  <c r="P25" i="243"/>
  <c r="Q26" i="243"/>
  <c r="F27" i="242" s="1"/>
  <c r="G27" i="242" s="1"/>
  <c r="E27" i="243"/>
  <c r="F27" i="243"/>
  <c r="G27" i="243"/>
  <c r="H27" i="243"/>
  <c r="I27" i="243"/>
  <c r="J27" i="243"/>
  <c r="K27" i="243"/>
  <c r="L27" i="243"/>
  <c r="M27" i="243"/>
  <c r="N27" i="243"/>
  <c r="O27" i="243"/>
  <c r="P27" i="243"/>
  <c r="Q28" i="243"/>
  <c r="Q30" i="243"/>
  <c r="E31" i="243"/>
  <c r="F31" i="243"/>
  <c r="G31" i="243"/>
  <c r="H31" i="243"/>
  <c r="I31" i="243"/>
  <c r="J31" i="243"/>
  <c r="K31" i="243"/>
  <c r="L31" i="243"/>
  <c r="M31" i="243"/>
  <c r="N31" i="243"/>
  <c r="O31" i="243"/>
  <c r="P31" i="243"/>
  <c r="Q32" i="243"/>
  <c r="E33" i="243"/>
  <c r="F33" i="243"/>
  <c r="G33" i="243"/>
  <c r="H33" i="243"/>
  <c r="I33" i="243"/>
  <c r="J33" i="243"/>
  <c r="K33" i="243"/>
  <c r="L33" i="243"/>
  <c r="M33" i="243"/>
  <c r="N33" i="243"/>
  <c r="O33" i="243"/>
  <c r="P33" i="243"/>
  <c r="Q34" i="243"/>
  <c r="Q35" i="243"/>
  <c r="F37" i="242" s="1"/>
  <c r="Q36" i="243"/>
  <c r="Q37" i="243"/>
  <c r="F39" i="242" s="1"/>
  <c r="Q38" i="243"/>
  <c r="F40" i="242" s="1"/>
  <c r="Q39" i="243"/>
  <c r="F41" i="242" s="1"/>
  <c r="E44" i="243"/>
  <c r="F44" i="243"/>
  <c r="G44" i="243"/>
  <c r="H44" i="243"/>
  <c r="I44" i="243"/>
  <c r="J44" i="243"/>
  <c r="K44" i="243"/>
  <c r="L44" i="243"/>
  <c r="M44" i="243"/>
  <c r="N44" i="243"/>
  <c r="O44" i="243"/>
  <c r="P44" i="243"/>
  <c r="B45" i="243"/>
  <c r="B46" i="243" s="1"/>
  <c r="B47" i="243" s="1"/>
  <c r="B48" i="243" s="1"/>
  <c r="B49" i="243" s="1"/>
  <c r="B50" i="243" s="1"/>
  <c r="B51" i="243" s="1"/>
  <c r="B52" i="243" s="1"/>
  <c r="B54" i="243" s="1"/>
  <c r="B55" i="243" s="1"/>
  <c r="B56" i="243" s="1"/>
  <c r="B57" i="243" s="1"/>
  <c r="B58" i="243" s="1"/>
  <c r="B60" i="243" s="1"/>
  <c r="B61" i="243" s="1"/>
  <c r="B62" i="243" s="1"/>
  <c r="B63" i="243" s="1"/>
  <c r="B64" i="243" s="1"/>
  <c r="B65" i="243" s="1"/>
  <c r="B68" i="243" s="1"/>
  <c r="B69" i="243" s="1"/>
  <c r="B70" i="243" s="1"/>
  <c r="B71" i="243" s="1"/>
  <c r="B73" i="243" s="1"/>
  <c r="B74" i="243" s="1"/>
  <c r="B75" i="243" s="1"/>
  <c r="B76" i="243" s="1"/>
  <c r="B77" i="243" s="1"/>
  <c r="E46" i="243"/>
  <c r="F46" i="243"/>
  <c r="G46" i="243"/>
  <c r="H46" i="243"/>
  <c r="I46" i="243"/>
  <c r="J46" i="243"/>
  <c r="K46" i="243"/>
  <c r="L46" i="243"/>
  <c r="M46" i="243"/>
  <c r="N46" i="243"/>
  <c r="O46" i="243"/>
  <c r="P46" i="243"/>
  <c r="E48" i="243"/>
  <c r="F48" i="243"/>
  <c r="G48" i="243"/>
  <c r="H48" i="243"/>
  <c r="I48" i="243"/>
  <c r="J48" i="243"/>
  <c r="K48" i="243"/>
  <c r="L48" i="243"/>
  <c r="M48" i="243"/>
  <c r="N48" i="243"/>
  <c r="O48" i="243"/>
  <c r="P48" i="243"/>
  <c r="E49" i="243"/>
  <c r="F49" i="243"/>
  <c r="G49" i="243"/>
  <c r="H49" i="243"/>
  <c r="I49" i="243"/>
  <c r="J49" i="243"/>
  <c r="K49" i="243"/>
  <c r="L49" i="243"/>
  <c r="M49" i="243"/>
  <c r="N49" i="243"/>
  <c r="O49" i="243"/>
  <c r="P49" i="243"/>
  <c r="E51" i="243"/>
  <c r="F51" i="243"/>
  <c r="G51" i="243"/>
  <c r="H51" i="243"/>
  <c r="I51" i="243"/>
  <c r="J51" i="243"/>
  <c r="K51" i="243"/>
  <c r="L51" i="243"/>
  <c r="M51" i="243"/>
  <c r="N51" i="243"/>
  <c r="O51" i="243"/>
  <c r="P51" i="243"/>
  <c r="E54" i="243"/>
  <c r="F54" i="243"/>
  <c r="G54" i="243"/>
  <c r="H54" i="243"/>
  <c r="I54" i="243"/>
  <c r="J54" i="243"/>
  <c r="K54" i="243"/>
  <c r="L54" i="243"/>
  <c r="M54" i="243"/>
  <c r="N54" i="243"/>
  <c r="O54" i="243"/>
  <c r="P54" i="243"/>
  <c r="E55" i="243"/>
  <c r="F55" i="243"/>
  <c r="G55" i="243"/>
  <c r="H55" i="243"/>
  <c r="I55" i="243"/>
  <c r="J55" i="243"/>
  <c r="K55" i="243"/>
  <c r="L55" i="243"/>
  <c r="M55" i="243"/>
  <c r="N55" i="243"/>
  <c r="O55" i="243"/>
  <c r="P55" i="243"/>
  <c r="E57" i="243"/>
  <c r="F57" i="243"/>
  <c r="G57" i="243"/>
  <c r="H57" i="243"/>
  <c r="H56" i="243" s="1"/>
  <c r="I57" i="243"/>
  <c r="J57" i="243"/>
  <c r="K57" i="243"/>
  <c r="L57" i="243"/>
  <c r="M57" i="243"/>
  <c r="N57" i="243"/>
  <c r="O57" i="243"/>
  <c r="P57" i="243"/>
  <c r="E60" i="243"/>
  <c r="F60" i="243"/>
  <c r="G60" i="243"/>
  <c r="H60" i="243"/>
  <c r="I60" i="243"/>
  <c r="J60" i="243"/>
  <c r="K60" i="243"/>
  <c r="L60" i="243"/>
  <c r="M60" i="243"/>
  <c r="N60" i="243"/>
  <c r="O60" i="243"/>
  <c r="P60" i="243"/>
  <c r="Q61" i="243"/>
  <c r="K25" i="242" s="1"/>
  <c r="E62" i="243"/>
  <c r="F62" i="243"/>
  <c r="G62" i="243"/>
  <c r="H62" i="243"/>
  <c r="I62" i="243"/>
  <c r="J62" i="243"/>
  <c r="K62" i="243"/>
  <c r="L62" i="243"/>
  <c r="M62" i="243"/>
  <c r="N62" i="243"/>
  <c r="O62" i="243"/>
  <c r="P62" i="243"/>
  <c r="E64" i="243"/>
  <c r="F64" i="243"/>
  <c r="G64" i="243"/>
  <c r="H64" i="243"/>
  <c r="I64" i="243"/>
  <c r="J64" i="243"/>
  <c r="K64" i="243"/>
  <c r="L64" i="243"/>
  <c r="M64" i="243"/>
  <c r="N64" i="243"/>
  <c r="O64" i="243"/>
  <c r="P64" i="243"/>
  <c r="E67" i="243"/>
  <c r="F67" i="243"/>
  <c r="G67" i="243"/>
  <c r="H67" i="243"/>
  <c r="I67" i="243"/>
  <c r="J67" i="243"/>
  <c r="K67" i="243"/>
  <c r="L67" i="243"/>
  <c r="M67" i="243"/>
  <c r="N67" i="243"/>
  <c r="O67" i="243"/>
  <c r="P67" i="243"/>
  <c r="Q68" i="243"/>
  <c r="K32" i="242" s="1"/>
  <c r="E69" i="243"/>
  <c r="F69" i="243"/>
  <c r="G69" i="243"/>
  <c r="H69" i="243"/>
  <c r="I69" i="243"/>
  <c r="J69" i="243"/>
  <c r="K69" i="243"/>
  <c r="L69" i="243"/>
  <c r="M69" i="243"/>
  <c r="N69" i="243"/>
  <c r="O69" i="243"/>
  <c r="P69" i="243"/>
  <c r="E71" i="243"/>
  <c r="F71" i="243"/>
  <c r="G71" i="243"/>
  <c r="H71" i="243"/>
  <c r="I71" i="243"/>
  <c r="J71" i="243"/>
  <c r="K71" i="243"/>
  <c r="L71" i="243"/>
  <c r="M71" i="243"/>
  <c r="N71" i="243"/>
  <c r="O71" i="243"/>
  <c r="P71" i="243"/>
  <c r="B82" i="243"/>
  <c r="B83" i="243" s="1"/>
  <c r="B84" i="243" s="1"/>
  <c r="B85" i="243" s="1"/>
  <c r="B86" i="243" s="1"/>
  <c r="B87" i="243" s="1"/>
  <c r="B88" i="243" s="1"/>
  <c r="B89" i="243" s="1"/>
  <c r="B91" i="243" s="1"/>
  <c r="B92" i="243" s="1"/>
  <c r="B93" i="243" s="1"/>
  <c r="B94" i="243" s="1"/>
  <c r="B95" i="243" s="1"/>
  <c r="B97" i="243" s="1"/>
  <c r="B98" i="243" s="1"/>
  <c r="B99" i="243" s="1"/>
  <c r="B100" i="243" s="1"/>
  <c r="B101" i="243" s="1"/>
  <c r="B102" i="243" s="1"/>
  <c r="B105" i="243" s="1"/>
  <c r="B106" i="243" s="1"/>
  <c r="B107" i="243" s="1"/>
  <c r="B108" i="243" s="1"/>
  <c r="B110" i="243" s="1"/>
  <c r="B111" i="243" s="1"/>
  <c r="B112" i="243" s="1"/>
  <c r="B113" i="243" s="1"/>
  <c r="B114" i="243" s="1"/>
  <c r="Q98" i="243"/>
  <c r="L25" i="242" s="1"/>
  <c r="Q105" i="243"/>
  <c r="L32" i="242" s="1"/>
  <c r="Q109" i="243"/>
  <c r="F8" i="242"/>
  <c r="G8" i="242" s="1"/>
  <c r="B9" i="242"/>
  <c r="F9" i="242"/>
  <c r="G9" i="242" s="1"/>
  <c r="B10" i="242"/>
  <c r="H10" i="242"/>
  <c r="H9" i="242" s="1"/>
  <c r="B11" i="242"/>
  <c r="F11" i="242"/>
  <c r="B12" i="242"/>
  <c r="F12" i="242"/>
  <c r="G12" i="242" s="1"/>
  <c r="H12" i="242"/>
  <c r="H37" i="242" s="1"/>
  <c r="B13" i="242"/>
  <c r="H13" i="242"/>
  <c r="B14" i="242"/>
  <c r="B15" i="242"/>
  <c r="B16" i="242" s="1"/>
  <c r="B18" i="242" s="1"/>
  <c r="B19" i="242" s="1"/>
  <c r="B20" i="242" s="1"/>
  <c r="B21" i="242" s="1"/>
  <c r="B22" i="242" s="1"/>
  <c r="B24" i="242" s="1"/>
  <c r="B25" i="242" s="1"/>
  <c r="B26" i="242" s="1"/>
  <c r="B27" i="242" s="1"/>
  <c r="B28" i="242" s="1"/>
  <c r="B29" i="242" s="1"/>
  <c r="B32" i="242" s="1"/>
  <c r="B33" i="242" s="1"/>
  <c r="B34" i="242" s="1"/>
  <c r="B35" i="242" s="1"/>
  <c r="B37" i="242" s="1"/>
  <c r="B38" i="242" s="1"/>
  <c r="B39" i="242" s="1"/>
  <c r="B40" i="242" s="1"/>
  <c r="B41" i="242" s="1"/>
  <c r="H15" i="242"/>
  <c r="H18" i="242"/>
  <c r="H19" i="242"/>
  <c r="H21" i="242"/>
  <c r="H24" i="242"/>
  <c r="I25" i="242"/>
  <c r="J25" i="242"/>
  <c r="H26" i="242"/>
  <c r="H27" i="242"/>
  <c r="H28" i="242"/>
  <c r="F29" i="242"/>
  <c r="F31" i="242"/>
  <c r="H31" i="242"/>
  <c r="F32" i="242"/>
  <c r="G32" i="242" s="1"/>
  <c r="I32" i="242"/>
  <c r="J32" i="242"/>
  <c r="H33" i="242"/>
  <c r="F34" i="242"/>
  <c r="G34" i="242" s="1"/>
  <c r="H35" i="242"/>
  <c r="F38" i="242"/>
  <c r="J37" i="136"/>
  <c r="K37" i="136"/>
  <c r="L37" i="136"/>
  <c r="M37" i="136"/>
  <c r="N37" i="136"/>
  <c r="O37" i="136"/>
  <c r="P37" i="136"/>
  <c r="Q37" i="136"/>
  <c r="R37" i="136"/>
  <c r="S37" i="136"/>
  <c r="T37" i="136"/>
  <c r="I37" i="136"/>
  <c r="J37" i="135"/>
  <c r="K37" i="135"/>
  <c r="L37" i="135"/>
  <c r="M37" i="135"/>
  <c r="N37" i="135"/>
  <c r="O37" i="135"/>
  <c r="P37" i="135"/>
  <c r="Q37" i="135"/>
  <c r="R37" i="135"/>
  <c r="S37" i="135"/>
  <c r="T37" i="135"/>
  <c r="I37" i="135"/>
  <c r="J37" i="134"/>
  <c r="K37" i="134"/>
  <c r="L37" i="134"/>
  <c r="M37" i="134"/>
  <c r="N37" i="134"/>
  <c r="O37" i="134"/>
  <c r="P37" i="134"/>
  <c r="Q37" i="134"/>
  <c r="R37" i="134"/>
  <c r="S37" i="134"/>
  <c r="T37" i="134"/>
  <c r="I37" i="134"/>
  <c r="J37" i="132"/>
  <c r="K37" i="132"/>
  <c r="L37" i="132"/>
  <c r="M37" i="132"/>
  <c r="N37" i="132"/>
  <c r="O37" i="132"/>
  <c r="P37" i="132"/>
  <c r="Q37" i="132"/>
  <c r="R37" i="132"/>
  <c r="S37" i="132"/>
  <c r="T37" i="132"/>
  <c r="I37" i="132"/>
  <c r="H73" i="243" l="1"/>
  <c r="H45" i="243"/>
  <c r="F56" i="243"/>
  <c r="I73" i="243"/>
  <c r="N56" i="243"/>
  <c r="E19" i="243"/>
  <c r="Q19" i="243" s="1"/>
  <c r="F20" i="242" s="1"/>
  <c r="G20" i="242" s="1"/>
  <c r="J70" i="243"/>
  <c r="K73" i="243"/>
  <c r="P63" i="243"/>
  <c r="I45" i="243"/>
  <c r="J47" i="243"/>
  <c r="J52" i="243" s="1"/>
  <c r="J75" i="243" s="1"/>
  <c r="F45" i="243"/>
  <c r="I31" i="242"/>
  <c r="M70" i="243"/>
  <c r="E70" i="243"/>
  <c r="J63" i="243"/>
  <c r="E73" i="243"/>
  <c r="H70" i="243"/>
  <c r="M63" i="243"/>
  <c r="E63" i="243"/>
  <c r="J58" i="243"/>
  <c r="L63" i="243"/>
  <c r="N70" i="243"/>
  <c r="F70" i="243"/>
  <c r="K63" i="243"/>
  <c r="N58" i="243"/>
  <c r="N47" i="243"/>
  <c r="N50" i="243" s="1"/>
  <c r="K65" i="243"/>
  <c r="O65" i="243"/>
  <c r="P73" i="243"/>
  <c r="L58" i="243"/>
  <c r="O45" i="243"/>
  <c r="J20" i="242"/>
  <c r="J10" i="242"/>
  <c r="P70" i="243"/>
  <c r="K47" i="243"/>
  <c r="K50" i="243" s="1"/>
  <c r="J27" i="242"/>
  <c r="M74" i="243"/>
  <c r="O63" i="243"/>
  <c r="L70" i="243"/>
  <c r="J26" i="242"/>
  <c r="J74" i="243"/>
  <c r="G63" i="243"/>
  <c r="P45" i="243"/>
  <c r="N45" i="243"/>
  <c r="G73" i="243"/>
  <c r="O70" i="243"/>
  <c r="Q64" i="243"/>
  <c r="K28" i="242" s="1"/>
  <c r="K70" i="243"/>
  <c r="I19" i="242"/>
  <c r="I15" i="242"/>
  <c r="J31" i="242"/>
  <c r="J9" i="242"/>
  <c r="L47" i="243"/>
  <c r="L52" i="243" s="1"/>
  <c r="L75" i="243" s="1"/>
  <c r="E21" i="243"/>
  <c r="Q21" i="243" s="1"/>
  <c r="F22" i="242" s="1"/>
  <c r="I33" i="242"/>
  <c r="I28" i="242"/>
  <c r="J8" i="242"/>
  <c r="F58" i="243"/>
  <c r="I21" i="242"/>
  <c r="G70" i="243"/>
  <c r="J65" i="243"/>
  <c r="P56" i="243"/>
  <c r="Q62" i="243"/>
  <c r="K26" i="242" s="1"/>
  <c r="I63" i="243"/>
  <c r="F47" i="243"/>
  <c r="F50" i="243" s="1"/>
  <c r="Q20" i="243"/>
  <c r="F21" i="242" s="1"/>
  <c r="G21" i="242" s="1"/>
  <c r="J33" i="242"/>
  <c r="G74" i="243"/>
  <c r="F74" i="243"/>
  <c r="H63" i="243"/>
  <c r="O47" i="243"/>
  <c r="O52" i="243" s="1"/>
  <c r="O75" i="243" s="1"/>
  <c r="I10" i="242"/>
  <c r="J35" i="242"/>
  <c r="I26" i="242"/>
  <c r="J12" i="242"/>
  <c r="G65" i="243"/>
  <c r="E74" i="243"/>
  <c r="I56" i="243"/>
  <c r="K56" i="243"/>
  <c r="M47" i="243"/>
  <c r="M52" i="243" s="1"/>
  <c r="M75" i="243" s="1"/>
  <c r="Q44" i="243"/>
  <c r="K8" i="242" s="1"/>
  <c r="I35" i="242"/>
  <c r="Q67" i="243"/>
  <c r="K31" i="242" s="1"/>
  <c r="I70" i="243"/>
  <c r="Q55" i="243"/>
  <c r="K19" i="242" s="1"/>
  <c r="L74" i="243"/>
  <c r="G47" i="243"/>
  <c r="G50" i="243" s="1"/>
  <c r="K45" i="243"/>
  <c r="O74" i="243"/>
  <c r="H22" i="242"/>
  <c r="Q46" i="243"/>
  <c r="K10" i="242" s="1"/>
  <c r="G45" i="243"/>
  <c r="Q33" i="243"/>
  <c r="F35" i="242" s="1"/>
  <c r="G35" i="242" s="1"/>
  <c r="Q31" i="243"/>
  <c r="F33" i="242" s="1"/>
  <c r="G33" i="242" s="1"/>
  <c r="Q18" i="243"/>
  <c r="F19" i="242" s="1"/>
  <c r="G19" i="242" s="1"/>
  <c r="J24" i="242"/>
  <c r="F65" i="243"/>
  <c r="M56" i="243"/>
  <c r="O58" i="243"/>
  <c r="G56" i="243"/>
  <c r="I12" i="242"/>
  <c r="I34" i="242"/>
  <c r="O73" i="243"/>
  <c r="P58" i="243"/>
  <c r="H58" i="243"/>
  <c r="N74" i="243"/>
  <c r="I13" i="242"/>
  <c r="N73" i="243"/>
  <c r="F73" i="243"/>
  <c r="N65" i="243"/>
  <c r="Q60" i="243"/>
  <c r="K24" i="242" s="1"/>
  <c r="I65" i="243"/>
  <c r="K58" i="243"/>
  <c r="E56" i="243"/>
  <c r="I20" i="242"/>
  <c r="I58" i="243"/>
  <c r="P47" i="243"/>
  <c r="Q25" i="243"/>
  <c r="F26" i="242" s="1"/>
  <c r="G26" i="242" s="1"/>
  <c r="Q17" i="243"/>
  <c r="F18" i="242" s="1"/>
  <c r="G18" i="242" s="1"/>
  <c r="G37" i="242" s="1"/>
  <c r="H20" i="242"/>
  <c r="H34" i="242"/>
  <c r="J34" i="242"/>
  <c r="I27" i="242"/>
  <c r="J18" i="242"/>
  <c r="J15" i="242"/>
  <c r="L65" i="243"/>
  <c r="N63" i="243"/>
  <c r="F63" i="243"/>
  <c r="P65" i="243"/>
  <c r="H65" i="243"/>
  <c r="G58" i="243"/>
  <c r="J21" i="242"/>
  <c r="L56" i="243"/>
  <c r="J73" i="243"/>
  <c r="J13" i="242"/>
  <c r="Q48" i="243"/>
  <c r="K12" i="242" s="1"/>
  <c r="M45" i="243"/>
  <c r="E45" i="243"/>
  <c r="I47" i="243"/>
  <c r="I52" i="243" s="1"/>
  <c r="I75" i="243" s="1"/>
  <c r="Q27" i="243"/>
  <c r="F28" i="242" s="1"/>
  <c r="G28" i="242" s="1"/>
  <c r="K74" i="243"/>
  <c r="Q69" i="243"/>
  <c r="K33" i="242" s="1"/>
  <c r="O56" i="243"/>
  <c r="Q51" i="243"/>
  <c r="M73" i="243"/>
  <c r="Q71" i="243"/>
  <c r="M65" i="243"/>
  <c r="E65" i="243"/>
  <c r="I24" i="242"/>
  <c r="Q57" i="243"/>
  <c r="M58" i="243"/>
  <c r="J19" i="242"/>
  <c r="E58" i="243"/>
  <c r="H47" i="243"/>
  <c r="J28" i="242"/>
  <c r="H38" i="242"/>
  <c r="I9" i="242"/>
  <c r="I74" i="243"/>
  <c r="L73" i="243"/>
  <c r="J56" i="243"/>
  <c r="P74" i="243"/>
  <c r="H74" i="243"/>
  <c r="J45" i="243"/>
  <c r="L45" i="243"/>
  <c r="I8" i="242"/>
  <c r="E47" i="243"/>
  <c r="E50" i="243" s="1"/>
  <c r="I18" i="242"/>
  <c r="Q54" i="243"/>
  <c r="K18" i="242" s="1"/>
  <c r="Q49" i="243"/>
  <c r="K13" i="242" s="1"/>
  <c r="Q12" i="243"/>
  <c r="F13" i="242" s="1"/>
  <c r="G13" i="242" s="1"/>
  <c r="G11" i="242"/>
  <c r="H11" i="242"/>
  <c r="H29" i="242"/>
  <c r="E19" i="241"/>
  <c r="F19" i="241"/>
  <c r="G19" i="241"/>
  <c r="H19" i="241"/>
  <c r="I19" i="241"/>
  <c r="J19" i="241"/>
  <c r="K19" i="241"/>
  <c r="L19" i="241"/>
  <c r="M19" i="241"/>
  <c r="N19" i="241"/>
  <c r="O19" i="241"/>
  <c r="P19" i="241"/>
  <c r="E20" i="241"/>
  <c r="F20" i="241"/>
  <c r="G20" i="241"/>
  <c r="H20" i="241"/>
  <c r="I20" i="241"/>
  <c r="J20" i="241"/>
  <c r="K20" i="241"/>
  <c r="L20" i="241"/>
  <c r="M20" i="241"/>
  <c r="N20" i="241"/>
  <c r="O20" i="241"/>
  <c r="P20" i="241"/>
  <c r="E21" i="241"/>
  <c r="F21" i="241"/>
  <c r="G21" i="241"/>
  <c r="H21" i="241"/>
  <c r="I21" i="241"/>
  <c r="J21" i="241"/>
  <c r="K21" i="241"/>
  <c r="L21" i="241"/>
  <c r="M21" i="241"/>
  <c r="N21" i="241"/>
  <c r="O21" i="241"/>
  <c r="P21" i="241"/>
  <c r="Q21" i="241"/>
  <c r="E22" i="241"/>
  <c r="F22" i="241"/>
  <c r="G22" i="241"/>
  <c r="H22" i="241"/>
  <c r="I22" i="241"/>
  <c r="J22" i="241"/>
  <c r="K22" i="241"/>
  <c r="L22" i="241"/>
  <c r="M22" i="241"/>
  <c r="N22" i="241"/>
  <c r="O22" i="241"/>
  <c r="P22" i="241"/>
  <c r="E23" i="241"/>
  <c r="F23" i="241"/>
  <c r="Q23" i="241" s="1"/>
  <c r="G23" i="241"/>
  <c r="H23" i="241"/>
  <c r="I23" i="241"/>
  <c r="J23" i="241"/>
  <c r="K23" i="241"/>
  <c r="L23" i="241"/>
  <c r="M23" i="241"/>
  <c r="N23" i="241"/>
  <c r="O23" i="241"/>
  <c r="P23" i="241"/>
  <c r="E24" i="241"/>
  <c r="F24" i="241"/>
  <c r="G24" i="241"/>
  <c r="H24" i="241"/>
  <c r="I24" i="241"/>
  <c r="J24" i="241"/>
  <c r="K24" i="241"/>
  <c r="L24" i="241"/>
  <c r="M24" i="241"/>
  <c r="N24" i="241"/>
  <c r="O24" i="241"/>
  <c r="P24" i="241"/>
  <c r="E25" i="241"/>
  <c r="F25" i="241"/>
  <c r="G25" i="241"/>
  <c r="H25" i="241"/>
  <c r="I25" i="241"/>
  <c r="J25" i="241"/>
  <c r="K25" i="241"/>
  <c r="L25" i="241"/>
  <c r="M25" i="241"/>
  <c r="N25" i="241"/>
  <c r="O25" i="241"/>
  <c r="P25" i="241"/>
  <c r="Q25" i="241"/>
  <c r="E26" i="241"/>
  <c r="F26" i="241"/>
  <c r="G26" i="241"/>
  <c r="H26" i="241"/>
  <c r="I26" i="241"/>
  <c r="J26" i="241"/>
  <c r="K26" i="241"/>
  <c r="L26" i="241"/>
  <c r="M26" i="241"/>
  <c r="N26" i="241"/>
  <c r="O26" i="241"/>
  <c r="P26" i="241"/>
  <c r="E27" i="241"/>
  <c r="F27" i="241"/>
  <c r="G27" i="241"/>
  <c r="H27" i="241"/>
  <c r="I27" i="241"/>
  <c r="J27" i="241"/>
  <c r="K27" i="241"/>
  <c r="L27" i="241"/>
  <c r="M27" i="241"/>
  <c r="N27" i="241"/>
  <c r="O27" i="241"/>
  <c r="P27" i="241"/>
  <c r="E28" i="241"/>
  <c r="F28" i="241"/>
  <c r="G28" i="241"/>
  <c r="H28" i="241"/>
  <c r="I28" i="241"/>
  <c r="J28" i="241"/>
  <c r="K28" i="241"/>
  <c r="L28" i="241"/>
  <c r="M28" i="241"/>
  <c r="N28" i="241"/>
  <c r="O28" i="241"/>
  <c r="P28" i="241"/>
  <c r="E31" i="241"/>
  <c r="F31" i="241"/>
  <c r="G31" i="241"/>
  <c r="H31" i="241"/>
  <c r="I31" i="241"/>
  <c r="J31" i="241"/>
  <c r="K31" i="241"/>
  <c r="L31" i="241"/>
  <c r="M31" i="241"/>
  <c r="N31" i="241"/>
  <c r="O31" i="241"/>
  <c r="P31" i="241"/>
  <c r="E32" i="241"/>
  <c r="F32" i="241"/>
  <c r="G32" i="241"/>
  <c r="H32" i="241"/>
  <c r="I32" i="241"/>
  <c r="J32" i="241"/>
  <c r="K32" i="241"/>
  <c r="L32" i="241"/>
  <c r="M32" i="241"/>
  <c r="N32" i="241"/>
  <c r="O32" i="241"/>
  <c r="P32" i="241"/>
  <c r="E33" i="241"/>
  <c r="Q33" i="241" s="1"/>
  <c r="F33" i="241"/>
  <c r="G33" i="241"/>
  <c r="H33" i="241"/>
  <c r="I33" i="241"/>
  <c r="J33" i="241"/>
  <c r="K33" i="241"/>
  <c r="L33" i="241"/>
  <c r="M33" i="241"/>
  <c r="N33" i="241"/>
  <c r="O33" i="241"/>
  <c r="P33" i="241"/>
  <c r="E34" i="241"/>
  <c r="F34" i="241"/>
  <c r="G34" i="241"/>
  <c r="H34" i="241"/>
  <c r="I34" i="241"/>
  <c r="J34" i="241"/>
  <c r="K34" i="241"/>
  <c r="L34" i="241"/>
  <c r="M34" i="241"/>
  <c r="Q34" i="241" s="1"/>
  <c r="N34" i="241"/>
  <c r="O34" i="241"/>
  <c r="P34" i="241"/>
  <c r="E35" i="241"/>
  <c r="F35" i="241"/>
  <c r="G35" i="241"/>
  <c r="H35" i="241"/>
  <c r="I35" i="241"/>
  <c r="J35" i="241"/>
  <c r="K35" i="241"/>
  <c r="L35" i="241"/>
  <c r="M35" i="241"/>
  <c r="N35" i="241"/>
  <c r="O35" i="241"/>
  <c r="P35" i="241"/>
  <c r="E36" i="241"/>
  <c r="F36" i="241"/>
  <c r="G36" i="241"/>
  <c r="H36" i="241"/>
  <c r="I36" i="241"/>
  <c r="J36" i="241"/>
  <c r="K36" i="241"/>
  <c r="L36" i="241"/>
  <c r="M36" i="241"/>
  <c r="N36" i="241"/>
  <c r="O36" i="241"/>
  <c r="P36" i="241"/>
  <c r="E37" i="241"/>
  <c r="F37" i="241"/>
  <c r="G37" i="241"/>
  <c r="H37" i="241"/>
  <c r="I37" i="241"/>
  <c r="J37" i="241"/>
  <c r="K37" i="241"/>
  <c r="L37" i="241"/>
  <c r="M37" i="241"/>
  <c r="N37" i="241"/>
  <c r="O37" i="241"/>
  <c r="P37" i="241"/>
  <c r="E38" i="241"/>
  <c r="F38" i="241"/>
  <c r="G38" i="241"/>
  <c r="H38" i="241"/>
  <c r="I38" i="241"/>
  <c r="J38" i="241"/>
  <c r="K38" i="241"/>
  <c r="L38" i="241"/>
  <c r="M38" i="241"/>
  <c r="N38" i="241"/>
  <c r="O38" i="241"/>
  <c r="P38" i="241"/>
  <c r="Q38" i="241"/>
  <c r="E39" i="241"/>
  <c r="F39" i="241"/>
  <c r="G39" i="241"/>
  <c r="Q39" i="241" s="1"/>
  <c r="H39" i="241"/>
  <c r="I39" i="241"/>
  <c r="J39" i="241"/>
  <c r="K39" i="241"/>
  <c r="L39" i="241"/>
  <c r="M39" i="241"/>
  <c r="N39" i="241"/>
  <c r="O39" i="241"/>
  <c r="P39" i="241"/>
  <c r="E40" i="241"/>
  <c r="F40" i="241"/>
  <c r="Q40" i="241" s="1"/>
  <c r="G40" i="241"/>
  <c r="H40" i="241"/>
  <c r="I40" i="241"/>
  <c r="J40" i="241"/>
  <c r="K40" i="241"/>
  <c r="L40" i="241"/>
  <c r="M40" i="241"/>
  <c r="N40" i="241"/>
  <c r="O40" i="241"/>
  <c r="P40" i="241"/>
  <c r="E41" i="241"/>
  <c r="F41" i="241"/>
  <c r="G41" i="241"/>
  <c r="H41" i="241"/>
  <c r="I41" i="241"/>
  <c r="J41" i="241"/>
  <c r="K41" i="241"/>
  <c r="L41" i="241"/>
  <c r="M41" i="241"/>
  <c r="N41" i="241"/>
  <c r="O41" i="241"/>
  <c r="P41" i="241"/>
  <c r="E42" i="241"/>
  <c r="F42" i="241"/>
  <c r="G42" i="241"/>
  <c r="H42" i="241"/>
  <c r="I42" i="241"/>
  <c r="J42" i="241"/>
  <c r="K42" i="241"/>
  <c r="L42" i="241"/>
  <c r="M42" i="241"/>
  <c r="N42" i="241"/>
  <c r="O42" i="241"/>
  <c r="P42" i="241"/>
  <c r="E43" i="241"/>
  <c r="F43" i="241"/>
  <c r="G43" i="241"/>
  <c r="H43" i="241"/>
  <c r="I43" i="241"/>
  <c r="J43" i="241"/>
  <c r="K43" i="241"/>
  <c r="L43" i="241"/>
  <c r="M43" i="241"/>
  <c r="N43" i="241"/>
  <c r="O43" i="241"/>
  <c r="P43" i="241"/>
  <c r="E44" i="241"/>
  <c r="Q44" i="241" s="1"/>
  <c r="F44" i="241"/>
  <c r="G44" i="241"/>
  <c r="H44" i="241"/>
  <c r="I44" i="241"/>
  <c r="J44" i="241"/>
  <c r="K44" i="241"/>
  <c r="L44" i="241"/>
  <c r="M44" i="241"/>
  <c r="N44" i="241"/>
  <c r="O44" i="241"/>
  <c r="P44" i="241"/>
  <c r="E45" i="241"/>
  <c r="F45" i="241"/>
  <c r="G45" i="241"/>
  <c r="H45" i="241"/>
  <c r="I45" i="241"/>
  <c r="J45" i="241"/>
  <c r="K45" i="241"/>
  <c r="L45" i="241"/>
  <c r="M45" i="241"/>
  <c r="N45" i="241"/>
  <c r="O45" i="241"/>
  <c r="P45" i="241"/>
  <c r="E46" i="241"/>
  <c r="F46" i="241"/>
  <c r="G46" i="241"/>
  <c r="H46" i="241"/>
  <c r="I46" i="241"/>
  <c r="J46" i="241"/>
  <c r="K46" i="241"/>
  <c r="L46" i="241"/>
  <c r="M46" i="241"/>
  <c r="N46" i="241"/>
  <c r="O46" i="241"/>
  <c r="P46" i="241"/>
  <c r="E47" i="241"/>
  <c r="F47" i="241"/>
  <c r="G47" i="241"/>
  <c r="H47" i="241"/>
  <c r="I47" i="241"/>
  <c r="J47" i="241"/>
  <c r="K47" i="241"/>
  <c r="L47" i="241"/>
  <c r="M47" i="241"/>
  <c r="N47" i="241"/>
  <c r="O47" i="241"/>
  <c r="P47" i="241"/>
  <c r="E48" i="241"/>
  <c r="F48" i="241"/>
  <c r="G48" i="241"/>
  <c r="H48" i="241"/>
  <c r="I48" i="241"/>
  <c r="J48" i="241"/>
  <c r="K48" i="241"/>
  <c r="L48" i="241"/>
  <c r="M48" i="241"/>
  <c r="N48" i="241"/>
  <c r="O48" i="241"/>
  <c r="P48" i="241"/>
  <c r="E70" i="241"/>
  <c r="F70" i="241"/>
  <c r="G70" i="241"/>
  <c r="H70" i="241"/>
  <c r="I70" i="241"/>
  <c r="J70" i="241"/>
  <c r="K70" i="241"/>
  <c r="L70" i="241"/>
  <c r="M70" i="241"/>
  <c r="N70" i="241"/>
  <c r="O70" i="241"/>
  <c r="P70" i="241"/>
  <c r="E71" i="241"/>
  <c r="F71" i="241"/>
  <c r="G71" i="241"/>
  <c r="H71" i="241"/>
  <c r="I71" i="241"/>
  <c r="J71" i="241"/>
  <c r="K71" i="241"/>
  <c r="L71" i="241"/>
  <c r="M71" i="241"/>
  <c r="N71" i="241"/>
  <c r="O71" i="241"/>
  <c r="P71" i="241"/>
  <c r="E72" i="241"/>
  <c r="F72" i="241"/>
  <c r="G72" i="241"/>
  <c r="H72" i="241"/>
  <c r="I72" i="241"/>
  <c r="J72" i="241"/>
  <c r="K72" i="241"/>
  <c r="L72" i="241"/>
  <c r="M72" i="241"/>
  <c r="N72" i="241"/>
  <c r="O72" i="241"/>
  <c r="P72" i="241"/>
  <c r="Q72" i="241"/>
  <c r="E73" i="241"/>
  <c r="F73" i="241"/>
  <c r="G73" i="241"/>
  <c r="H73" i="241"/>
  <c r="I73" i="241"/>
  <c r="J73" i="241"/>
  <c r="K73" i="241"/>
  <c r="L73" i="241"/>
  <c r="M73" i="241"/>
  <c r="N73" i="241"/>
  <c r="O73" i="241"/>
  <c r="P73" i="241"/>
  <c r="E74" i="241"/>
  <c r="F74" i="241"/>
  <c r="Q74" i="241" s="1"/>
  <c r="G74" i="241"/>
  <c r="H74" i="241"/>
  <c r="I74" i="241"/>
  <c r="J74" i="241"/>
  <c r="K74" i="241"/>
  <c r="L74" i="241"/>
  <c r="M74" i="241"/>
  <c r="N74" i="241"/>
  <c r="O74" i="241"/>
  <c r="P74" i="241"/>
  <c r="E75" i="241"/>
  <c r="F75" i="241"/>
  <c r="G75" i="241"/>
  <c r="H75" i="241"/>
  <c r="I75" i="241"/>
  <c r="J75" i="241"/>
  <c r="K75" i="241"/>
  <c r="L75" i="241"/>
  <c r="M75" i="241"/>
  <c r="N75" i="241"/>
  <c r="O75" i="241"/>
  <c r="P75" i="241"/>
  <c r="E76" i="241"/>
  <c r="F76" i="241"/>
  <c r="G76" i="241"/>
  <c r="H76" i="241"/>
  <c r="I76" i="241"/>
  <c r="J76" i="241"/>
  <c r="K76" i="241"/>
  <c r="L76" i="241"/>
  <c r="M76" i="241"/>
  <c r="N76" i="241"/>
  <c r="O76" i="241"/>
  <c r="P76" i="241"/>
  <c r="Q76" i="241"/>
  <c r="E77" i="241"/>
  <c r="Q77" i="241" s="1"/>
  <c r="F77" i="241"/>
  <c r="G77" i="241"/>
  <c r="H77" i="241"/>
  <c r="I77" i="241"/>
  <c r="J77" i="241"/>
  <c r="K77" i="241"/>
  <c r="L77" i="241"/>
  <c r="M77" i="241"/>
  <c r="N77" i="241"/>
  <c r="O77" i="241"/>
  <c r="P77" i="241"/>
  <c r="E78" i="241"/>
  <c r="F78" i="241"/>
  <c r="G78" i="241"/>
  <c r="H78" i="241"/>
  <c r="I78" i="241"/>
  <c r="J78" i="241"/>
  <c r="K78" i="241"/>
  <c r="L78" i="241"/>
  <c r="M78" i="241"/>
  <c r="N78" i="241"/>
  <c r="O78" i="241"/>
  <c r="P78" i="241"/>
  <c r="E85" i="241"/>
  <c r="Q85" i="241" s="1"/>
  <c r="F85" i="241"/>
  <c r="G85" i="241"/>
  <c r="H85" i="241"/>
  <c r="I85" i="241"/>
  <c r="J85" i="241"/>
  <c r="K85" i="241"/>
  <c r="L85" i="241"/>
  <c r="M85" i="241"/>
  <c r="N85" i="241"/>
  <c r="O85" i="241"/>
  <c r="P85" i="241"/>
  <c r="E86" i="241"/>
  <c r="F86" i="241"/>
  <c r="G86" i="241"/>
  <c r="H86" i="241"/>
  <c r="I86" i="241"/>
  <c r="J86" i="241"/>
  <c r="K86" i="241"/>
  <c r="L86" i="241"/>
  <c r="M86" i="241"/>
  <c r="N86" i="241"/>
  <c r="O86" i="241"/>
  <c r="P86" i="241"/>
  <c r="E87" i="241"/>
  <c r="F87" i="241"/>
  <c r="G87" i="241"/>
  <c r="H87" i="241"/>
  <c r="I87" i="241"/>
  <c r="J87" i="241"/>
  <c r="K87" i="241"/>
  <c r="L87" i="241"/>
  <c r="M87" i="241"/>
  <c r="N87" i="241"/>
  <c r="O87" i="241"/>
  <c r="P87" i="241"/>
  <c r="E88" i="241"/>
  <c r="F88" i="241"/>
  <c r="G88" i="241"/>
  <c r="H88" i="241"/>
  <c r="I88" i="241"/>
  <c r="J88" i="241"/>
  <c r="K88" i="241"/>
  <c r="L88" i="241"/>
  <c r="M88" i="241"/>
  <c r="N88" i="241"/>
  <c r="O88" i="241"/>
  <c r="P88" i="241"/>
  <c r="E89" i="241"/>
  <c r="Q89" i="241" s="1"/>
  <c r="F89" i="241"/>
  <c r="G89" i="241"/>
  <c r="H89" i="241"/>
  <c r="I89" i="241"/>
  <c r="J89" i="241"/>
  <c r="K89" i="241"/>
  <c r="L89" i="241"/>
  <c r="M89" i="241"/>
  <c r="N89" i="241"/>
  <c r="O89" i="241"/>
  <c r="P89" i="241"/>
  <c r="E90" i="241"/>
  <c r="F90" i="241"/>
  <c r="G90" i="241"/>
  <c r="Q90" i="241" s="1"/>
  <c r="H90" i="241"/>
  <c r="I90" i="241"/>
  <c r="J90" i="241"/>
  <c r="K90" i="241"/>
  <c r="L90" i="241"/>
  <c r="M90" i="241"/>
  <c r="N90" i="241"/>
  <c r="O90" i="241"/>
  <c r="P90" i="241"/>
  <c r="E91" i="241"/>
  <c r="F91" i="241"/>
  <c r="G91" i="241"/>
  <c r="H91" i="241"/>
  <c r="I91" i="241"/>
  <c r="J91" i="241"/>
  <c r="K91" i="241"/>
  <c r="L91" i="241"/>
  <c r="M91" i="241"/>
  <c r="N91" i="241"/>
  <c r="O91" i="241"/>
  <c r="P91" i="241"/>
  <c r="E92" i="241"/>
  <c r="F92" i="241"/>
  <c r="G92" i="241"/>
  <c r="H92" i="241"/>
  <c r="I92" i="241"/>
  <c r="J92" i="241"/>
  <c r="K92" i="241"/>
  <c r="L92" i="241"/>
  <c r="M92" i="241"/>
  <c r="N92" i="241"/>
  <c r="O92" i="241"/>
  <c r="P92" i="241"/>
  <c r="E93" i="241"/>
  <c r="F93" i="241"/>
  <c r="G93" i="241"/>
  <c r="H93" i="241"/>
  <c r="I93" i="241"/>
  <c r="J93" i="241"/>
  <c r="K93" i="241"/>
  <c r="L93" i="241"/>
  <c r="M93" i="241"/>
  <c r="N93" i="241"/>
  <c r="O93" i="241"/>
  <c r="P93" i="241"/>
  <c r="Q93" i="241"/>
  <c r="E94" i="241"/>
  <c r="Q94" i="241" s="1"/>
  <c r="F94" i="241"/>
  <c r="G94" i="241"/>
  <c r="H94" i="241"/>
  <c r="I94" i="241"/>
  <c r="J94" i="241"/>
  <c r="K94" i="241"/>
  <c r="L94" i="241"/>
  <c r="M94" i="241"/>
  <c r="N94" i="241"/>
  <c r="O94" i="241"/>
  <c r="P94" i="241"/>
  <c r="E100" i="241"/>
  <c r="F100" i="241"/>
  <c r="G100" i="241"/>
  <c r="H100" i="241"/>
  <c r="I100" i="241"/>
  <c r="J100" i="241"/>
  <c r="K100" i="241"/>
  <c r="L100" i="241"/>
  <c r="M100" i="241"/>
  <c r="N100" i="241"/>
  <c r="O100" i="241"/>
  <c r="P100" i="241"/>
  <c r="E101" i="241"/>
  <c r="F101" i="241"/>
  <c r="G101" i="241"/>
  <c r="H101" i="241"/>
  <c r="I101" i="241"/>
  <c r="J101" i="241"/>
  <c r="K101" i="241"/>
  <c r="L101" i="241"/>
  <c r="M101" i="241"/>
  <c r="N101" i="241"/>
  <c r="O101" i="241"/>
  <c r="P101" i="241"/>
  <c r="E102" i="241"/>
  <c r="Q102" i="241" s="1"/>
  <c r="F102" i="241"/>
  <c r="G102" i="241"/>
  <c r="H102" i="241"/>
  <c r="I102" i="241"/>
  <c r="J102" i="241"/>
  <c r="K102" i="241"/>
  <c r="L102" i="241"/>
  <c r="M102" i="241"/>
  <c r="N102" i="241"/>
  <c r="O102" i="241"/>
  <c r="P102" i="241"/>
  <c r="E103" i="241"/>
  <c r="F103" i="241"/>
  <c r="G103" i="241"/>
  <c r="H103" i="241"/>
  <c r="I103" i="241"/>
  <c r="J103" i="241"/>
  <c r="K103" i="241"/>
  <c r="L103" i="241"/>
  <c r="M103" i="241"/>
  <c r="N103" i="241"/>
  <c r="O103" i="241"/>
  <c r="P103" i="241"/>
  <c r="E104" i="241"/>
  <c r="F104" i="241"/>
  <c r="G104" i="241"/>
  <c r="H104" i="241"/>
  <c r="I104" i="241"/>
  <c r="J104" i="241"/>
  <c r="K104" i="241"/>
  <c r="L104" i="241"/>
  <c r="M104" i="241"/>
  <c r="N104" i="241"/>
  <c r="O104" i="241"/>
  <c r="P104" i="241"/>
  <c r="E108" i="241"/>
  <c r="F108" i="241"/>
  <c r="G108" i="241"/>
  <c r="H108" i="241"/>
  <c r="I108" i="241"/>
  <c r="J108" i="241"/>
  <c r="K108" i="241"/>
  <c r="L108" i="241"/>
  <c r="M108" i="241"/>
  <c r="N108" i="241"/>
  <c r="O108" i="241"/>
  <c r="P108" i="241"/>
  <c r="E109" i="241"/>
  <c r="F109" i="241"/>
  <c r="G109" i="241"/>
  <c r="H109" i="241"/>
  <c r="I109" i="241"/>
  <c r="J109" i="241"/>
  <c r="K109" i="241"/>
  <c r="L109" i="241"/>
  <c r="M109" i="241"/>
  <c r="N109" i="241"/>
  <c r="O109" i="241"/>
  <c r="P109" i="241"/>
  <c r="E110" i="241"/>
  <c r="F110" i="241"/>
  <c r="G110" i="241"/>
  <c r="H110" i="241"/>
  <c r="I110" i="241"/>
  <c r="J110" i="241"/>
  <c r="K110" i="241"/>
  <c r="L110" i="241"/>
  <c r="M110" i="241"/>
  <c r="N110" i="241"/>
  <c r="O110" i="241"/>
  <c r="P110" i="241"/>
  <c r="E111" i="241"/>
  <c r="F111" i="241"/>
  <c r="G111" i="241"/>
  <c r="H111" i="241"/>
  <c r="I111" i="241"/>
  <c r="J111" i="241"/>
  <c r="K111" i="241"/>
  <c r="L111" i="241"/>
  <c r="M111" i="241"/>
  <c r="N111" i="241"/>
  <c r="O111" i="241"/>
  <c r="P111" i="241"/>
  <c r="Q111" i="241"/>
  <c r="E112" i="241"/>
  <c r="F112" i="241"/>
  <c r="G112" i="241"/>
  <c r="H112" i="241"/>
  <c r="I112" i="241"/>
  <c r="J112" i="241"/>
  <c r="K112" i="241"/>
  <c r="L112" i="241"/>
  <c r="M112" i="241"/>
  <c r="N112" i="241"/>
  <c r="O112" i="241"/>
  <c r="P112" i="241"/>
  <c r="E113" i="241"/>
  <c r="F113" i="241"/>
  <c r="G113" i="241"/>
  <c r="H113" i="241"/>
  <c r="I113" i="241"/>
  <c r="J113" i="241"/>
  <c r="K113" i="241"/>
  <c r="L113" i="241"/>
  <c r="M113" i="241"/>
  <c r="N113" i="241"/>
  <c r="O113" i="241"/>
  <c r="P113" i="241"/>
  <c r="E114" i="241"/>
  <c r="F114" i="241"/>
  <c r="G114" i="241"/>
  <c r="H114" i="241"/>
  <c r="I114" i="241"/>
  <c r="J114" i="241"/>
  <c r="K114" i="241"/>
  <c r="L114" i="241"/>
  <c r="M114" i="241"/>
  <c r="N114" i="241"/>
  <c r="O114" i="241"/>
  <c r="P114" i="241"/>
  <c r="E118" i="241"/>
  <c r="F118" i="241"/>
  <c r="G118" i="241"/>
  <c r="H118" i="241"/>
  <c r="I118" i="241"/>
  <c r="J118" i="241"/>
  <c r="K118" i="241"/>
  <c r="L118" i="241"/>
  <c r="M118" i="241"/>
  <c r="N118" i="241"/>
  <c r="O118" i="241"/>
  <c r="P118" i="241"/>
  <c r="E128" i="241"/>
  <c r="F128" i="241"/>
  <c r="G128" i="241"/>
  <c r="H128" i="241"/>
  <c r="I128" i="241"/>
  <c r="J128" i="241"/>
  <c r="K128" i="241"/>
  <c r="L128" i="241"/>
  <c r="M128" i="241"/>
  <c r="N128" i="241"/>
  <c r="O128" i="241"/>
  <c r="P128" i="241"/>
  <c r="Q128" i="241"/>
  <c r="E131" i="241"/>
  <c r="F131" i="241"/>
  <c r="G131" i="241"/>
  <c r="H131" i="241"/>
  <c r="I131" i="241"/>
  <c r="J131" i="241"/>
  <c r="K131" i="241"/>
  <c r="L131" i="241"/>
  <c r="M131" i="241"/>
  <c r="N131" i="241"/>
  <c r="O131" i="241"/>
  <c r="P131" i="241"/>
  <c r="Q131" i="241"/>
  <c r="E132" i="241"/>
  <c r="F132" i="241"/>
  <c r="G132" i="241"/>
  <c r="H132" i="241"/>
  <c r="I132" i="241"/>
  <c r="J132" i="241"/>
  <c r="K132" i="241"/>
  <c r="Q132" i="241" s="1"/>
  <c r="L132" i="241"/>
  <c r="M132" i="241"/>
  <c r="N132" i="241"/>
  <c r="O132" i="241"/>
  <c r="P132" i="241"/>
  <c r="E133" i="241"/>
  <c r="F133" i="241"/>
  <c r="G133" i="241"/>
  <c r="H133" i="241"/>
  <c r="I133" i="241"/>
  <c r="J133" i="241"/>
  <c r="K133" i="241"/>
  <c r="L133" i="241"/>
  <c r="M133" i="241"/>
  <c r="N133" i="241"/>
  <c r="O133" i="241"/>
  <c r="P133" i="241"/>
  <c r="E134" i="241"/>
  <c r="F134" i="241"/>
  <c r="G134" i="241"/>
  <c r="H134" i="241"/>
  <c r="I134" i="241"/>
  <c r="J134" i="241"/>
  <c r="Q134" i="241" s="1"/>
  <c r="K134" i="241"/>
  <c r="L134" i="241"/>
  <c r="M134" i="241"/>
  <c r="N134" i="241"/>
  <c r="O134" i="241"/>
  <c r="P134" i="241"/>
  <c r="E135" i="241"/>
  <c r="F135" i="241"/>
  <c r="G135" i="241"/>
  <c r="H135" i="241"/>
  <c r="I135" i="241"/>
  <c r="J135" i="241"/>
  <c r="K135" i="241"/>
  <c r="L135" i="241"/>
  <c r="M135" i="241"/>
  <c r="N135" i="241"/>
  <c r="O135" i="241"/>
  <c r="P135" i="241"/>
  <c r="E136" i="241"/>
  <c r="F136" i="241"/>
  <c r="G136" i="241"/>
  <c r="H136" i="241"/>
  <c r="I136" i="241"/>
  <c r="J136" i="241"/>
  <c r="K136" i="241"/>
  <c r="L136" i="241"/>
  <c r="M136" i="241"/>
  <c r="N136" i="241"/>
  <c r="O136" i="241"/>
  <c r="P136" i="241"/>
  <c r="Q136" i="241"/>
  <c r="E137" i="241"/>
  <c r="Q137" i="241" s="1"/>
  <c r="F137" i="241"/>
  <c r="G137" i="241"/>
  <c r="H137" i="241"/>
  <c r="I137" i="241"/>
  <c r="J137" i="241"/>
  <c r="K137" i="241"/>
  <c r="L137" i="241"/>
  <c r="M137" i="241"/>
  <c r="N137" i="241"/>
  <c r="O137" i="241"/>
  <c r="P137" i="241"/>
  <c r="E138" i="241"/>
  <c r="F138" i="241"/>
  <c r="G138" i="241"/>
  <c r="H138" i="241"/>
  <c r="I138" i="241"/>
  <c r="J138" i="241"/>
  <c r="K138" i="241"/>
  <c r="L138" i="241"/>
  <c r="M138" i="241"/>
  <c r="N138" i="241"/>
  <c r="O138" i="241"/>
  <c r="P138" i="241"/>
  <c r="E139" i="241"/>
  <c r="F139" i="241"/>
  <c r="G139" i="241"/>
  <c r="H139" i="241"/>
  <c r="I139" i="241"/>
  <c r="J139" i="241"/>
  <c r="Q139" i="241" s="1"/>
  <c r="K139" i="241"/>
  <c r="L139" i="241"/>
  <c r="M139" i="241"/>
  <c r="N139" i="241"/>
  <c r="O139" i="241"/>
  <c r="P139" i="241"/>
  <c r="E140" i="241"/>
  <c r="Q140" i="241" s="1"/>
  <c r="F140" i="241"/>
  <c r="G140" i="241"/>
  <c r="H140" i="241"/>
  <c r="I140" i="241"/>
  <c r="J140" i="241"/>
  <c r="K140" i="241"/>
  <c r="L140" i="241"/>
  <c r="M140" i="241"/>
  <c r="N140" i="241"/>
  <c r="O140" i="241"/>
  <c r="P140" i="241"/>
  <c r="E166" i="241"/>
  <c r="F166" i="241"/>
  <c r="G166" i="241"/>
  <c r="H166" i="241"/>
  <c r="I166" i="241"/>
  <c r="J166" i="241"/>
  <c r="K166" i="241"/>
  <c r="L166" i="241"/>
  <c r="M166" i="241"/>
  <c r="N166" i="241"/>
  <c r="O166" i="241"/>
  <c r="P166" i="241"/>
  <c r="E167" i="241"/>
  <c r="F167" i="241"/>
  <c r="G167" i="241"/>
  <c r="H167" i="241"/>
  <c r="I167" i="241"/>
  <c r="J167" i="241"/>
  <c r="K167" i="241"/>
  <c r="L167" i="241"/>
  <c r="M167" i="241"/>
  <c r="N167" i="241"/>
  <c r="O167" i="241"/>
  <c r="P167" i="241"/>
  <c r="Q167" i="241"/>
  <c r="E168" i="241"/>
  <c r="Q168" i="241" s="1"/>
  <c r="F168" i="241"/>
  <c r="G168" i="241"/>
  <c r="H168" i="241"/>
  <c r="I168" i="241"/>
  <c r="J168" i="241"/>
  <c r="K168" i="241"/>
  <c r="L168" i="241"/>
  <c r="M168" i="241"/>
  <c r="N168" i="241"/>
  <c r="O168" i="241"/>
  <c r="P168" i="241"/>
  <c r="E169" i="241"/>
  <c r="F169" i="241"/>
  <c r="G169" i="241"/>
  <c r="H169" i="241"/>
  <c r="I169" i="241"/>
  <c r="J169" i="241"/>
  <c r="K169" i="241"/>
  <c r="L169" i="241"/>
  <c r="M169" i="241"/>
  <c r="N169" i="241"/>
  <c r="O169" i="241"/>
  <c r="P169" i="241"/>
  <c r="E170" i="241"/>
  <c r="F170" i="241"/>
  <c r="G170" i="241"/>
  <c r="H170" i="241"/>
  <c r="I170" i="241"/>
  <c r="J170" i="241"/>
  <c r="Q170" i="241" s="1"/>
  <c r="K170" i="241"/>
  <c r="L170" i="241"/>
  <c r="M170" i="241"/>
  <c r="N170" i="241"/>
  <c r="O170" i="241"/>
  <c r="P170" i="241"/>
  <c r="E171" i="241"/>
  <c r="Q171" i="241" s="1"/>
  <c r="F171" i="241"/>
  <c r="G171" i="241"/>
  <c r="H171" i="241"/>
  <c r="I171" i="241"/>
  <c r="J171" i="241"/>
  <c r="K171" i="241"/>
  <c r="L171" i="241"/>
  <c r="M171" i="241"/>
  <c r="N171" i="241"/>
  <c r="O171" i="241"/>
  <c r="P171" i="241"/>
  <c r="E172" i="241"/>
  <c r="F172" i="241"/>
  <c r="G172" i="241"/>
  <c r="H172" i="241"/>
  <c r="I172" i="241"/>
  <c r="J172" i="241"/>
  <c r="K172" i="241"/>
  <c r="L172" i="241"/>
  <c r="M172" i="241"/>
  <c r="N172" i="241"/>
  <c r="O172" i="241"/>
  <c r="P172" i="241"/>
  <c r="E187" i="241"/>
  <c r="F187" i="241"/>
  <c r="G187" i="241"/>
  <c r="H187" i="241"/>
  <c r="I187" i="241"/>
  <c r="J187" i="241"/>
  <c r="K187" i="241"/>
  <c r="L187" i="241"/>
  <c r="M187" i="241"/>
  <c r="N187" i="241"/>
  <c r="O187" i="241"/>
  <c r="P187" i="241"/>
  <c r="E188" i="241"/>
  <c r="F188" i="241"/>
  <c r="G188" i="241"/>
  <c r="H188" i="241"/>
  <c r="I188" i="241"/>
  <c r="J188" i="241"/>
  <c r="K188" i="241"/>
  <c r="L188" i="241"/>
  <c r="M188" i="241"/>
  <c r="N188" i="241"/>
  <c r="O188" i="241"/>
  <c r="P188" i="241"/>
  <c r="E189" i="241"/>
  <c r="F189" i="241"/>
  <c r="G189" i="241"/>
  <c r="H189" i="241"/>
  <c r="I189" i="241"/>
  <c r="J189" i="241"/>
  <c r="K189" i="241"/>
  <c r="L189" i="241"/>
  <c r="M189" i="241"/>
  <c r="N189" i="241"/>
  <c r="O189" i="241"/>
  <c r="P189" i="241"/>
  <c r="E190" i="241"/>
  <c r="F190" i="241"/>
  <c r="G190" i="241"/>
  <c r="H190" i="241"/>
  <c r="I190" i="241"/>
  <c r="J190" i="241"/>
  <c r="K190" i="241"/>
  <c r="L190" i="241"/>
  <c r="M190" i="241"/>
  <c r="N190" i="241"/>
  <c r="O190" i="241"/>
  <c r="P190" i="241"/>
  <c r="E191" i="241"/>
  <c r="F191" i="241"/>
  <c r="G191" i="241"/>
  <c r="H191" i="241"/>
  <c r="I191" i="241"/>
  <c r="J191" i="241"/>
  <c r="K191" i="241"/>
  <c r="L191" i="241"/>
  <c r="M191" i="241"/>
  <c r="N191" i="241"/>
  <c r="O191" i="241"/>
  <c r="P191" i="241"/>
  <c r="E192" i="241"/>
  <c r="F192" i="241"/>
  <c r="G192" i="241"/>
  <c r="H192" i="241"/>
  <c r="I192" i="241"/>
  <c r="J192" i="241"/>
  <c r="K192" i="241"/>
  <c r="L192" i="241"/>
  <c r="M192" i="241"/>
  <c r="N192" i="241"/>
  <c r="O192" i="241"/>
  <c r="P192" i="241"/>
  <c r="E193" i="241"/>
  <c r="F193" i="241"/>
  <c r="G193" i="241"/>
  <c r="H193" i="241"/>
  <c r="I193" i="241"/>
  <c r="J193" i="241"/>
  <c r="K193" i="241"/>
  <c r="L193" i="241"/>
  <c r="M193" i="241"/>
  <c r="N193" i="241"/>
  <c r="O193" i="241"/>
  <c r="P193" i="241"/>
  <c r="E194" i="241"/>
  <c r="F194" i="241"/>
  <c r="G194" i="241"/>
  <c r="H194" i="241"/>
  <c r="I194" i="241"/>
  <c r="J194" i="241"/>
  <c r="K194" i="241"/>
  <c r="L194" i="241"/>
  <c r="M194" i="241"/>
  <c r="N194" i="241"/>
  <c r="O194" i="241"/>
  <c r="P194" i="241"/>
  <c r="Q195" i="241"/>
  <c r="P189" i="234" s="1"/>
  <c r="Q196" i="241"/>
  <c r="P190" i="234" s="1"/>
  <c r="Q197" i="241"/>
  <c r="P191" i="234" s="1"/>
  <c r="Q198" i="241"/>
  <c r="P192" i="234" s="1"/>
  <c r="Q199" i="241"/>
  <c r="P193" i="234" s="1"/>
  <c r="Q200" i="241"/>
  <c r="P194" i="234" s="1"/>
  <c r="Q201" i="241"/>
  <c r="P195" i="234" s="1"/>
  <c r="Q202" i="241"/>
  <c r="P196" i="234" s="1"/>
  <c r="Q203" i="241"/>
  <c r="P197" i="234" s="1"/>
  <c r="Q204" i="241"/>
  <c r="P198" i="234" s="1"/>
  <c r="Q207" i="241"/>
  <c r="Q208" i="241"/>
  <c r="Q209" i="241"/>
  <c r="Q210" i="241"/>
  <c r="Q211" i="241"/>
  <c r="Q212" i="241"/>
  <c r="Q213" i="241"/>
  <c r="Q214" i="241"/>
  <c r="Q215" i="241"/>
  <c r="Q216" i="241"/>
  <c r="Q217" i="241"/>
  <c r="Q218" i="241"/>
  <c r="P212" i="234" s="1"/>
  <c r="Q219" i="241"/>
  <c r="Q220" i="241"/>
  <c r="Q221" i="241"/>
  <c r="Q222" i="241"/>
  <c r="Q223" i="241"/>
  <c r="Q224" i="241"/>
  <c r="E225" i="241"/>
  <c r="F225" i="241"/>
  <c r="G225" i="241"/>
  <c r="H225" i="241"/>
  <c r="I225" i="241"/>
  <c r="J225" i="241"/>
  <c r="K225" i="241"/>
  <c r="L225" i="241"/>
  <c r="M225" i="241"/>
  <c r="N225" i="241"/>
  <c r="O225" i="241"/>
  <c r="P225" i="241"/>
  <c r="E229" i="241"/>
  <c r="F229" i="241"/>
  <c r="G229" i="241"/>
  <c r="H229" i="241"/>
  <c r="I229" i="241"/>
  <c r="J229" i="241"/>
  <c r="K229" i="241"/>
  <c r="L229" i="241"/>
  <c r="M229" i="241"/>
  <c r="N229" i="241"/>
  <c r="O229" i="241"/>
  <c r="P229" i="241"/>
  <c r="E230" i="241"/>
  <c r="F230" i="241"/>
  <c r="G230" i="241"/>
  <c r="H230" i="241"/>
  <c r="I230" i="241"/>
  <c r="J230" i="241"/>
  <c r="K230" i="241"/>
  <c r="L230" i="241"/>
  <c r="M230" i="241"/>
  <c r="N230" i="241"/>
  <c r="O230" i="241"/>
  <c r="P230" i="241"/>
  <c r="E231" i="241"/>
  <c r="F231" i="241"/>
  <c r="G231" i="241"/>
  <c r="H231" i="241"/>
  <c r="I231" i="241"/>
  <c r="J231" i="241"/>
  <c r="K231" i="241"/>
  <c r="L231" i="241"/>
  <c r="M231" i="241"/>
  <c r="N231" i="241"/>
  <c r="O231" i="241"/>
  <c r="P231" i="241"/>
  <c r="E232" i="241"/>
  <c r="F232" i="241"/>
  <c r="G232" i="241"/>
  <c r="H232" i="241"/>
  <c r="I232" i="241"/>
  <c r="J232" i="241"/>
  <c r="K232" i="241"/>
  <c r="L232" i="241"/>
  <c r="M232" i="241"/>
  <c r="N232" i="241"/>
  <c r="O232" i="241"/>
  <c r="P232" i="241"/>
  <c r="E233" i="241"/>
  <c r="F233" i="241"/>
  <c r="G233" i="241"/>
  <c r="H233" i="241"/>
  <c r="H57" i="241" s="1"/>
  <c r="I233" i="241"/>
  <c r="J233" i="241"/>
  <c r="K233" i="241"/>
  <c r="L233" i="241"/>
  <c r="M233" i="241"/>
  <c r="N233" i="241"/>
  <c r="O233" i="241"/>
  <c r="P233" i="241"/>
  <c r="E234" i="241"/>
  <c r="F234" i="241"/>
  <c r="G234" i="241"/>
  <c r="H234" i="241"/>
  <c r="I234" i="241"/>
  <c r="J234" i="241"/>
  <c r="K234" i="241"/>
  <c r="L234" i="241"/>
  <c r="M234" i="241"/>
  <c r="N234" i="241"/>
  <c r="O234" i="241"/>
  <c r="P234" i="241"/>
  <c r="E235" i="241"/>
  <c r="F235" i="241"/>
  <c r="G235" i="241"/>
  <c r="H235" i="241"/>
  <c r="I235" i="241"/>
  <c r="J235" i="241"/>
  <c r="K235" i="241"/>
  <c r="L235" i="241"/>
  <c r="M235" i="241"/>
  <c r="N235" i="241"/>
  <c r="O235" i="241"/>
  <c r="P235" i="241"/>
  <c r="E236" i="241"/>
  <c r="F236" i="241"/>
  <c r="G236" i="241"/>
  <c r="H236" i="241"/>
  <c r="I236" i="241"/>
  <c r="J236" i="241"/>
  <c r="K236" i="241"/>
  <c r="L236" i="241"/>
  <c r="M236" i="241"/>
  <c r="N236" i="241"/>
  <c r="O236" i="241"/>
  <c r="P236" i="241"/>
  <c r="E237" i="241"/>
  <c r="F237" i="241"/>
  <c r="G237" i="241"/>
  <c r="H237" i="241"/>
  <c r="I237" i="241"/>
  <c r="J237" i="241"/>
  <c r="K237" i="241"/>
  <c r="L237" i="241"/>
  <c r="M237" i="241"/>
  <c r="N237" i="241"/>
  <c r="O237" i="241"/>
  <c r="P237" i="241"/>
  <c r="E238" i="241"/>
  <c r="F238" i="241"/>
  <c r="G238" i="241"/>
  <c r="H238" i="241"/>
  <c r="I238" i="241"/>
  <c r="J238" i="241"/>
  <c r="K238" i="241"/>
  <c r="L238" i="241"/>
  <c r="M238" i="241"/>
  <c r="N238" i="241"/>
  <c r="O238" i="241"/>
  <c r="P238" i="241"/>
  <c r="E239" i="241"/>
  <c r="F239" i="241"/>
  <c r="G239" i="241"/>
  <c r="H239" i="241"/>
  <c r="I239" i="241"/>
  <c r="J239" i="241"/>
  <c r="K239" i="241"/>
  <c r="L239" i="241"/>
  <c r="M239" i="241"/>
  <c r="N239" i="241"/>
  <c r="O239" i="241"/>
  <c r="P239" i="241"/>
  <c r="E240" i="241"/>
  <c r="F240" i="241"/>
  <c r="G240" i="241"/>
  <c r="H240" i="241"/>
  <c r="I240" i="241"/>
  <c r="J240" i="241"/>
  <c r="K240" i="241"/>
  <c r="L240" i="241"/>
  <c r="M240" i="241"/>
  <c r="N240" i="241"/>
  <c r="O240" i="241"/>
  <c r="P240" i="241"/>
  <c r="E241" i="241"/>
  <c r="E65" i="241" s="1"/>
  <c r="F241" i="241"/>
  <c r="F65" i="241" s="1"/>
  <c r="G241" i="241"/>
  <c r="G65" i="241" s="1"/>
  <c r="H241" i="241"/>
  <c r="H65" i="241" s="1"/>
  <c r="I241" i="241"/>
  <c r="I65" i="241" s="1"/>
  <c r="J241" i="241"/>
  <c r="J65" i="241" s="1"/>
  <c r="K241" i="241"/>
  <c r="K65" i="241" s="1"/>
  <c r="L241" i="241"/>
  <c r="L65" i="241" s="1"/>
  <c r="M241" i="241"/>
  <c r="M65" i="241" s="1"/>
  <c r="N241" i="241"/>
  <c r="N65" i="241" s="1"/>
  <c r="O241" i="241"/>
  <c r="O65" i="241" s="1"/>
  <c r="P241" i="241"/>
  <c r="P65" i="241" s="1"/>
  <c r="E242" i="241"/>
  <c r="F242" i="241"/>
  <c r="G242" i="241"/>
  <c r="H242" i="241"/>
  <c r="I242" i="241"/>
  <c r="J242" i="241"/>
  <c r="K242" i="241"/>
  <c r="L242" i="241"/>
  <c r="M242" i="241"/>
  <c r="N242" i="241"/>
  <c r="O242" i="241"/>
  <c r="P242" i="241"/>
  <c r="E243" i="241"/>
  <c r="E67" i="241" s="1"/>
  <c r="F243" i="241"/>
  <c r="F67" i="241" s="1"/>
  <c r="G243" i="241"/>
  <c r="G67" i="241" s="1"/>
  <c r="H243" i="241"/>
  <c r="H67" i="241" s="1"/>
  <c r="I243" i="241"/>
  <c r="I67" i="241" s="1"/>
  <c r="J243" i="241"/>
  <c r="J67" i="241" s="1"/>
  <c r="K243" i="241"/>
  <c r="K67" i="241" s="1"/>
  <c r="L243" i="241"/>
  <c r="L67" i="241" s="1"/>
  <c r="M243" i="241"/>
  <c r="M67" i="241" s="1"/>
  <c r="N243" i="241"/>
  <c r="N67" i="241" s="1"/>
  <c r="O243" i="241"/>
  <c r="O67" i="241" s="1"/>
  <c r="P243" i="241"/>
  <c r="P67" i="241" s="1"/>
  <c r="E244" i="241"/>
  <c r="F244" i="241"/>
  <c r="G244" i="241"/>
  <c r="H244" i="241"/>
  <c r="I244" i="241"/>
  <c r="J244" i="241"/>
  <c r="K244" i="241"/>
  <c r="L244" i="241"/>
  <c r="M244" i="241"/>
  <c r="N244" i="241"/>
  <c r="O244" i="241"/>
  <c r="P244" i="241"/>
  <c r="Q245" i="241"/>
  <c r="P239" i="234" s="1"/>
  <c r="Q246" i="241"/>
  <c r="P240" i="234" s="1"/>
  <c r="Q247" i="241"/>
  <c r="P241" i="234" s="1"/>
  <c r="Q248" i="241"/>
  <c r="P242" i="234" s="1"/>
  <c r="Q249" i="241"/>
  <c r="P243" i="234" s="1"/>
  <c r="Q250" i="241"/>
  <c r="P244" i="234" s="1"/>
  <c r="Q251" i="241"/>
  <c r="P245" i="234" s="1"/>
  <c r="Q252" i="241"/>
  <c r="P246" i="234" s="1"/>
  <c r="Q253" i="241"/>
  <c r="P247" i="234" s="1"/>
  <c r="Q254" i="241"/>
  <c r="P248" i="234" s="1"/>
  <c r="Q257" i="241"/>
  <c r="Q258" i="241"/>
  <c r="Q259" i="241"/>
  <c r="Q260" i="241"/>
  <c r="Q261" i="241"/>
  <c r="Q262" i="241"/>
  <c r="Q263" i="241"/>
  <c r="Q264" i="241"/>
  <c r="Q265" i="241"/>
  <c r="Q266" i="241"/>
  <c r="Q267" i="241"/>
  <c r="Q268" i="241"/>
  <c r="Q269" i="241"/>
  <c r="Q270" i="241"/>
  <c r="E271" i="241"/>
  <c r="F271" i="241"/>
  <c r="G271" i="241"/>
  <c r="H271" i="241"/>
  <c r="I271" i="241"/>
  <c r="J271" i="241"/>
  <c r="Q271" i="241" s="1"/>
  <c r="K271" i="241"/>
  <c r="L271" i="241"/>
  <c r="M271" i="241"/>
  <c r="N271" i="241"/>
  <c r="O271" i="241"/>
  <c r="P271" i="241"/>
  <c r="E274" i="241"/>
  <c r="E281" i="241" s="1"/>
  <c r="F274" i="241"/>
  <c r="G274" i="241"/>
  <c r="H274" i="241"/>
  <c r="I274" i="241"/>
  <c r="I281" i="241" s="1"/>
  <c r="J274" i="241"/>
  <c r="J281" i="241" s="1"/>
  <c r="K274" i="241"/>
  <c r="K281" i="241" s="1"/>
  <c r="L274" i="241"/>
  <c r="L281" i="241" s="1"/>
  <c r="M274" i="241"/>
  <c r="M281" i="241" s="1"/>
  <c r="N274" i="241"/>
  <c r="O274" i="241"/>
  <c r="P274" i="241"/>
  <c r="Q275" i="241"/>
  <c r="Q276" i="241"/>
  <c r="Q277" i="241"/>
  <c r="Q278" i="241"/>
  <c r="Q279" i="241"/>
  <c r="Q280" i="241"/>
  <c r="E283" i="241"/>
  <c r="F283" i="241"/>
  <c r="G283" i="241"/>
  <c r="H283" i="241"/>
  <c r="I283" i="241"/>
  <c r="I291" i="241" s="1"/>
  <c r="J283" i="241"/>
  <c r="J291" i="241" s="1"/>
  <c r="K283" i="241"/>
  <c r="K291" i="241" s="1"/>
  <c r="L283" i="241"/>
  <c r="L291" i="241" s="1"/>
  <c r="M283" i="241"/>
  <c r="N283" i="241"/>
  <c r="O283" i="241"/>
  <c r="P283" i="241"/>
  <c r="Q284" i="241"/>
  <c r="Q285" i="241"/>
  <c r="Q286" i="241"/>
  <c r="Q287" i="241"/>
  <c r="Q288" i="241"/>
  <c r="Q289" i="241"/>
  <c r="Q290" i="241"/>
  <c r="Q293" i="241"/>
  <c r="Q294" i="241"/>
  <c r="Q295" i="241"/>
  <c r="Q296" i="241"/>
  <c r="Q297" i="241"/>
  <c r="Q298" i="241"/>
  <c r="Q299" i="241"/>
  <c r="Q300" i="241"/>
  <c r="Q301" i="241"/>
  <c r="Q302" i="241"/>
  <c r="Q303" i="241"/>
  <c r="Q304" i="241"/>
  <c r="Q305" i="241"/>
  <c r="Q306" i="241"/>
  <c r="Q307" i="241"/>
  <c r="Q308" i="241"/>
  <c r="Q309" i="241"/>
  <c r="Q310" i="241"/>
  <c r="Q311" i="241"/>
  <c r="Q312" i="241"/>
  <c r="Q313" i="241"/>
  <c r="Q314" i="241"/>
  <c r="Q315" i="241"/>
  <c r="Q316" i="241"/>
  <c r="E317" i="241"/>
  <c r="F317" i="241"/>
  <c r="G317" i="241"/>
  <c r="H317" i="241"/>
  <c r="I317" i="241"/>
  <c r="J317" i="241"/>
  <c r="K317" i="241"/>
  <c r="L317" i="241"/>
  <c r="M317" i="241"/>
  <c r="N317" i="241"/>
  <c r="O317" i="241"/>
  <c r="P317" i="241"/>
  <c r="Q319" i="241"/>
  <c r="Q320" i="241"/>
  <c r="Q321" i="241"/>
  <c r="Q322" i="241"/>
  <c r="Q338" i="241"/>
  <c r="Q339" i="241"/>
  <c r="Q340" i="241"/>
  <c r="Q341" i="241"/>
  <c r="Q342" i="241"/>
  <c r="Q343" i="241"/>
  <c r="Q344" i="241"/>
  <c r="E345" i="241"/>
  <c r="F345" i="241"/>
  <c r="G345" i="241"/>
  <c r="H345" i="241"/>
  <c r="I345" i="241"/>
  <c r="J345" i="241"/>
  <c r="K345" i="241"/>
  <c r="L345" i="241"/>
  <c r="M345" i="241"/>
  <c r="N345" i="241"/>
  <c r="O345" i="241"/>
  <c r="P345" i="241"/>
  <c r="E359" i="241"/>
  <c r="F359" i="241"/>
  <c r="G359" i="241"/>
  <c r="H359" i="241"/>
  <c r="I359" i="241"/>
  <c r="J359" i="241"/>
  <c r="K359" i="241"/>
  <c r="L359" i="241"/>
  <c r="M359" i="241"/>
  <c r="N359" i="241"/>
  <c r="O359" i="241"/>
  <c r="P359" i="241"/>
  <c r="E360" i="241"/>
  <c r="F360" i="241"/>
  <c r="G360" i="241"/>
  <c r="H360" i="241"/>
  <c r="I360" i="241"/>
  <c r="J360" i="241"/>
  <c r="K360" i="241"/>
  <c r="L360" i="241"/>
  <c r="M360" i="241"/>
  <c r="N360" i="241"/>
  <c r="O360" i="241"/>
  <c r="P360" i="241"/>
  <c r="E361" i="241"/>
  <c r="F361" i="241"/>
  <c r="G361" i="241"/>
  <c r="H361" i="241"/>
  <c r="I361" i="241"/>
  <c r="J361" i="241"/>
  <c r="K361" i="241"/>
  <c r="L361" i="241"/>
  <c r="M361" i="241"/>
  <c r="N361" i="241"/>
  <c r="O361" i="241"/>
  <c r="P361" i="241"/>
  <c r="E362" i="241"/>
  <c r="F362" i="241"/>
  <c r="G362" i="241"/>
  <c r="H362" i="241"/>
  <c r="I362" i="241"/>
  <c r="J362" i="241"/>
  <c r="K362" i="241"/>
  <c r="L362" i="241"/>
  <c r="M362" i="241"/>
  <c r="N362" i="241"/>
  <c r="O362" i="241"/>
  <c r="P362" i="241"/>
  <c r="E363" i="241"/>
  <c r="F363" i="241"/>
  <c r="G363" i="241"/>
  <c r="H363" i="241"/>
  <c r="I363" i="241"/>
  <c r="J363" i="241"/>
  <c r="K363" i="241"/>
  <c r="L363" i="241"/>
  <c r="M363" i="241"/>
  <c r="N363" i="241"/>
  <c r="O363" i="241"/>
  <c r="P363" i="241"/>
  <c r="E364" i="241"/>
  <c r="F364" i="241"/>
  <c r="G364" i="241"/>
  <c r="H364" i="241"/>
  <c r="I364" i="241"/>
  <c r="J364" i="241"/>
  <c r="K364" i="241"/>
  <c r="L364" i="241"/>
  <c r="M364" i="241"/>
  <c r="N364" i="241"/>
  <c r="O364" i="241"/>
  <c r="P364" i="241"/>
  <c r="E365" i="241"/>
  <c r="F365" i="241"/>
  <c r="G365" i="241"/>
  <c r="H365" i="241"/>
  <c r="I365" i="241"/>
  <c r="J365" i="241"/>
  <c r="K365" i="241"/>
  <c r="L365" i="241"/>
  <c r="M365" i="241"/>
  <c r="N365" i="241"/>
  <c r="O365" i="241"/>
  <c r="P365" i="241"/>
  <c r="Q367" i="241"/>
  <c r="P360" i="234" s="1"/>
  <c r="Q368" i="241"/>
  <c r="P361" i="234" s="1"/>
  <c r="Q369" i="241"/>
  <c r="P362" i="234" s="1"/>
  <c r="Q370" i="241"/>
  <c r="P363" i="234" s="1"/>
  <c r="Q371" i="241"/>
  <c r="P364" i="234" s="1"/>
  <c r="Q372" i="241"/>
  <c r="P365" i="234" s="1"/>
  <c r="Q373" i="241"/>
  <c r="P366" i="234" s="1"/>
  <c r="Q374" i="241"/>
  <c r="P367" i="234" s="1"/>
  <c r="Q375" i="241"/>
  <c r="P368" i="234" s="1"/>
  <c r="Q376" i="241"/>
  <c r="P369" i="234" s="1"/>
  <c r="Q379" i="241"/>
  <c r="Q380" i="241"/>
  <c r="Q381" i="241"/>
  <c r="Q382" i="241"/>
  <c r="Q383" i="241"/>
  <c r="Q384" i="241"/>
  <c r="Q385" i="241"/>
  <c r="Q386" i="241"/>
  <c r="Q387" i="241"/>
  <c r="Q388" i="241"/>
  <c r="Q389" i="241"/>
  <c r="Q390" i="241"/>
  <c r="Q391" i="241"/>
  <c r="Q392" i="241"/>
  <c r="Q393" i="241"/>
  <c r="Q394" i="241"/>
  <c r="Q395" i="241"/>
  <c r="Q396" i="241"/>
  <c r="E397" i="241"/>
  <c r="F397" i="241"/>
  <c r="G397" i="241"/>
  <c r="H397" i="241"/>
  <c r="I397" i="241"/>
  <c r="J397" i="241"/>
  <c r="K397" i="241"/>
  <c r="L397" i="241"/>
  <c r="M397" i="241"/>
  <c r="N397" i="241"/>
  <c r="O397" i="241"/>
  <c r="P397" i="241"/>
  <c r="Q397" i="241"/>
  <c r="E402" i="241"/>
  <c r="F402" i="241"/>
  <c r="G402" i="241"/>
  <c r="H402" i="241"/>
  <c r="I402" i="241"/>
  <c r="J402" i="241"/>
  <c r="K402" i="241"/>
  <c r="L402" i="241"/>
  <c r="M402" i="241"/>
  <c r="N402" i="241"/>
  <c r="O402" i="241"/>
  <c r="P402" i="241"/>
  <c r="E403" i="241"/>
  <c r="F403" i="241"/>
  <c r="G403" i="241"/>
  <c r="H403" i="241"/>
  <c r="I403" i="241"/>
  <c r="J403" i="241"/>
  <c r="K403" i="241"/>
  <c r="L403" i="241"/>
  <c r="M403" i="241"/>
  <c r="N403" i="241"/>
  <c r="O403" i="241"/>
  <c r="P403" i="241"/>
  <c r="E404" i="241"/>
  <c r="F404" i="241"/>
  <c r="G404" i="241"/>
  <c r="H404" i="241"/>
  <c r="I404" i="241"/>
  <c r="J404" i="241"/>
  <c r="K404" i="241"/>
  <c r="L404" i="241"/>
  <c r="M404" i="241"/>
  <c r="N404" i="241"/>
  <c r="O404" i="241"/>
  <c r="P404" i="241"/>
  <c r="E406" i="241"/>
  <c r="F406" i="241"/>
  <c r="G406" i="241"/>
  <c r="H406" i="241"/>
  <c r="I406" i="241"/>
  <c r="J406" i="241"/>
  <c r="K406" i="241"/>
  <c r="L406" i="241"/>
  <c r="M406" i="241"/>
  <c r="N406" i="241"/>
  <c r="O406" i="241"/>
  <c r="P406" i="241"/>
  <c r="E407" i="241"/>
  <c r="F407" i="241"/>
  <c r="G407" i="241"/>
  <c r="H407" i="241"/>
  <c r="I407" i="241"/>
  <c r="J407" i="241"/>
  <c r="K407" i="241"/>
  <c r="L407" i="241"/>
  <c r="M407" i="241"/>
  <c r="N407" i="241"/>
  <c r="O407" i="241"/>
  <c r="P407" i="241"/>
  <c r="E408" i="241"/>
  <c r="F408" i="241"/>
  <c r="G408" i="241"/>
  <c r="H408" i="241"/>
  <c r="I408" i="241"/>
  <c r="J408" i="241"/>
  <c r="K408" i="241"/>
  <c r="L408" i="241"/>
  <c r="M408" i="241"/>
  <c r="N408" i="241"/>
  <c r="O408" i="241"/>
  <c r="P408" i="241"/>
  <c r="E409" i="241"/>
  <c r="F409" i="241"/>
  <c r="G409" i="241"/>
  <c r="H409" i="241"/>
  <c r="I409" i="241"/>
  <c r="J409" i="241"/>
  <c r="K409" i="241"/>
  <c r="L409" i="241"/>
  <c r="M409" i="241"/>
  <c r="N409" i="241"/>
  <c r="O409" i="241"/>
  <c r="P409" i="241"/>
  <c r="E410" i="241"/>
  <c r="F410" i="241"/>
  <c r="G410" i="241"/>
  <c r="H410" i="241"/>
  <c r="I410" i="241"/>
  <c r="J410" i="241"/>
  <c r="K410" i="241"/>
  <c r="L410" i="241"/>
  <c r="M410" i="241"/>
  <c r="N410" i="241"/>
  <c r="O410" i="241"/>
  <c r="P410" i="241"/>
  <c r="E411" i="241"/>
  <c r="F411" i="241"/>
  <c r="G411" i="241"/>
  <c r="H411" i="241"/>
  <c r="I411" i="241"/>
  <c r="J411" i="241"/>
  <c r="K411" i="241"/>
  <c r="L411" i="241"/>
  <c r="M411" i="241"/>
  <c r="N411" i="241"/>
  <c r="O411" i="241"/>
  <c r="P411" i="241"/>
  <c r="E412" i="241"/>
  <c r="F412" i="241"/>
  <c r="G412" i="241"/>
  <c r="H412" i="241"/>
  <c r="I412" i="241"/>
  <c r="J412" i="241"/>
  <c r="K412" i="241"/>
  <c r="L412" i="241"/>
  <c r="M412" i="241"/>
  <c r="N412" i="241"/>
  <c r="O412" i="241"/>
  <c r="P412" i="241"/>
  <c r="Q413" i="241"/>
  <c r="P406" i="234" s="1"/>
  <c r="E414" i="241"/>
  <c r="F414" i="241"/>
  <c r="G414" i="241"/>
  <c r="H414" i="241"/>
  <c r="I414" i="241"/>
  <c r="J414" i="241"/>
  <c r="K414" i="241"/>
  <c r="L414" i="241"/>
  <c r="M414" i="241"/>
  <c r="N414" i="241"/>
  <c r="O414" i="241"/>
  <c r="P414" i="241"/>
  <c r="Q415" i="241"/>
  <c r="P408" i="234" s="1"/>
  <c r="E416" i="241"/>
  <c r="F416" i="241"/>
  <c r="G416" i="241"/>
  <c r="H416" i="241"/>
  <c r="I416" i="241"/>
  <c r="J416" i="241"/>
  <c r="K416" i="241"/>
  <c r="L416" i="241"/>
  <c r="M416" i="241"/>
  <c r="N416" i="241"/>
  <c r="O416" i="241"/>
  <c r="P416" i="241"/>
  <c r="E417" i="241"/>
  <c r="E69" i="241" s="1"/>
  <c r="F417" i="241"/>
  <c r="F69" i="241" s="1"/>
  <c r="G417" i="241"/>
  <c r="G69" i="241" s="1"/>
  <c r="H417" i="241"/>
  <c r="H69" i="241" s="1"/>
  <c r="I417" i="241"/>
  <c r="I69" i="241" s="1"/>
  <c r="J417" i="241"/>
  <c r="J69" i="241" s="1"/>
  <c r="K417" i="241"/>
  <c r="K69" i="241" s="1"/>
  <c r="L417" i="241"/>
  <c r="L69" i="241" s="1"/>
  <c r="M417" i="241"/>
  <c r="M69" i="241" s="1"/>
  <c r="N417" i="241"/>
  <c r="N69" i="241" s="1"/>
  <c r="O417" i="241"/>
  <c r="O69" i="241" s="1"/>
  <c r="P417" i="241"/>
  <c r="P69" i="241" s="1"/>
  <c r="Q418" i="241"/>
  <c r="P411" i="234" s="1"/>
  <c r="Q419" i="241"/>
  <c r="P412" i="234" s="1"/>
  <c r="Q420" i="241"/>
  <c r="P413" i="234" s="1"/>
  <c r="Q421" i="241"/>
  <c r="P414" i="234" s="1"/>
  <c r="Q422" i="241"/>
  <c r="P415" i="234" s="1"/>
  <c r="Q423" i="241"/>
  <c r="P416" i="234" s="1"/>
  <c r="Q424" i="241"/>
  <c r="P417" i="234" s="1"/>
  <c r="Q425" i="241"/>
  <c r="P418" i="234" s="1"/>
  <c r="Q426" i="241"/>
  <c r="Q427" i="241"/>
  <c r="E430" i="241"/>
  <c r="E81" i="241" s="1"/>
  <c r="F430" i="241"/>
  <c r="F81" i="241" s="1"/>
  <c r="G430" i="241"/>
  <c r="G81" i="241" s="1"/>
  <c r="H430" i="241"/>
  <c r="I430" i="241"/>
  <c r="I81" i="241" s="1"/>
  <c r="J430" i="241"/>
  <c r="J81" i="241" s="1"/>
  <c r="K430" i="241"/>
  <c r="K81" i="241" s="1"/>
  <c r="L430" i="241"/>
  <c r="L81" i="241" s="1"/>
  <c r="M430" i="241"/>
  <c r="M81" i="241" s="1"/>
  <c r="N430" i="241"/>
  <c r="N81" i="241" s="1"/>
  <c r="O430" i="241"/>
  <c r="O81" i="241" s="1"/>
  <c r="P430" i="241"/>
  <c r="P81" i="241" s="1"/>
  <c r="E431" i="241"/>
  <c r="F431" i="241"/>
  <c r="F82" i="241" s="1"/>
  <c r="G431" i="241"/>
  <c r="G82" i="241" s="1"/>
  <c r="H431" i="241"/>
  <c r="H82" i="241" s="1"/>
  <c r="I431" i="241"/>
  <c r="I82" i="241" s="1"/>
  <c r="J431" i="241"/>
  <c r="J82" i="241" s="1"/>
  <c r="K431" i="241"/>
  <c r="K82" i="241" s="1"/>
  <c r="L431" i="241"/>
  <c r="L82" i="241" s="1"/>
  <c r="M431" i="241"/>
  <c r="N431" i="241"/>
  <c r="N82" i="241" s="1"/>
  <c r="O431" i="241"/>
  <c r="O82" i="241" s="1"/>
  <c r="P431" i="241"/>
  <c r="P82" i="241" s="1"/>
  <c r="E432" i="241"/>
  <c r="E83" i="241" s="1"/>
  <c r="F432" i="241"/>
  <c r="F83" i="241" s="1"/>
  <c r="G432" i="241"/>
  <c r="G83" i="241" s="1"/>
  <c r="H432" i="241"/>
  <c r="H83" i="241" s="1"/>
  <c r="I432" i="241"/>
  <c r="I83" i="241" s="1"/>
  <c r="J432" i="241"/>
  <c r="J83" i="241" s="1"/>
  <c r="K432" i="241"/>
  <c r="K83" i="241" s="1"/>
  <c r="L432" i="241"/>
  <c r="L83" i="241" s="1"/>
  <c r="M432" i="241"/>
  <c r="M83" i="241" s="1"/>
  <c r="N432" i="241"/>
  <c r="N83" i="241" s="1"/>
  <c r="O432" i="241"/>
  <c r="O83" i="241" s="1"/>
  <c r="P432" i="241"/>
  <c r="P83" i="241" s="1"/>
  <c r="E433" i="241"/>
  <c r="E84" i="241" s="1"/>
  <c r="F433" i="241"/>
  <c r="F84" i="241" s="1"/>
  <c r="G433" i="241"/>
  <c r="G84" i="241" s="1"/>
  <c r="H433" i="241"/>
  <c r="H84" i="241" s="1"/>
  <c r="I433" i="241"/>
  <c r="I84" i="241" s="1"/>
  <c r="J433" i="241"/>
  <c r="J84" i="241" s="1"/>
  <c r="K433" i="241"/>
  <c r="K84" i="241" s="1"/>
  <c r="L433" i="241"/>
  <c r="L84" i="241" s="1"/>
  <c r="M433" i="241"/>
  <c r="M84" i="241" s="1"/>
  <c r="N433" i="241"/>
  <c r="N84" i="241" s="1"/>
  <c r="O433" i="241"/>
  <c r="O84" i="241" s="1"/>
  <c r="P433" i="241"/>
  <c r="P84" i="241" s="1"/>
  <c r="Q434" i="241"/>
  <c r="Q435" i="241"/>
  <c r="Q436" i="241"/>
  <c r="Q437" i="241"/>
  <c r="Q438" i="241"/>
  <c r="Q439" i="241"/>
  <c r="Q440" i="241"/>
  <c r="Q441" i="241"/>
  <c r="U441" i="241"/>
  <c r="Q442" i="241"/>
  <c r="U442" i="241"/>
  <c r="U443" i="241" s="1"/>
  <c r="Q443" i="241"/>
  <c r="E447" i="241"/>
  <c r="F447" i="241"/>
  <c r="G447" i="241"/>
  <c r="H447" i="241"/>
  <c r="I447" i="241"/>
  <c r="J447" i="241"/>
  <c r="K447" i="241"/>
  <c r="L447" i="241"/>
  <c r="M447" i="241"/>
  <c r="N447" i="241"/>
  <c r="O447" i="241"/>
  <c r="P447" i="241"/>
  <c r="E448" i="241"/>
  <c r="E99" i="241" s="1"/>
  <c r="F448" i="241"/>
  <c r="F99" i="241" s="1"/>
  <c r="G448" i="241"/>
  <c r="G99" i="241" s="1"/>
  <c r="H448" i="241"/>
  <c r="H99" i="241" s="1"/>
  <c r="I448" i="241"/>
  <c r="I99" i="241" s="1"/>
  <c r="J448" i="241"/>
  <c r="J99" i="241" s="1"/>
  <c r="K448" i="241"/>
  <c r="K99" i="241" s="1"/>
  <c r="L448" i="241"/>
  <c r="L99" i="241" s="1"/>
  <c r="M448" i="241"/>
  <c r="M99" i="241" s="1"/>
  <c r="N448" i="241"/>
  <c r="N99" i="241" s="1"/>
  <c r="O448" i="241"/>
  <c r="O99" i="241" s="1"/>
  <c r="P448" i="241"/>
  <c r="P99" i="241" s="1"/>
  <c r="E456" i="241"/>
  <c r="E464" i="241" s="1"/>
  <c r="F456" i="241"/>
  <c r="F464" i="241" s="1"/>
  <c r="G456" i="241"/>
  <c r="G464" i="241" s="1"/>
  <c r="H456" i="241"/>
  <c r="H464" i="241" s="1"/>
  <c r="I456" i="241"/>
  <c r="I464" i="241" s="1"/>
  <c r="J456" i="241"/>
  <c r="J464" i="241" s="1"/>
  <c r="K456" i="241"/>
  <c r="K464" i="241" s="1"/>
  <c r="L456" i="241"/>
  <c r="L464" i="241" s="1"/>
  <c r="M456" i="241"/>
  <c r="M464" i="241" s="1"/>
  <c r="N456" i="241"/>
  <c r="N464" i="241" s="1"/>
  <c r="O456" i="241"/>
  <c r="O464" i="241" s="1"/>
  <c r="P456" i="241"/>
  <c r="P464" i="241" s="1"/>
  <c r="Q459" i="241"/>
  <c r="Q460" i="241"/>
  <c r="Q461" i="241"/>
  <c r="Q462" i="241"/>
  <c r="Q463" i="241"/>
  <c r="E466" i="241"/>
  <c r="E117" i="241" s="1"/>
  <c r="F466" i="241"/>
  <c r="F117" i="241" s="1"/>
  <c r="G466" i="241"/>
  <c r="G117" i="241" s="1"/>
  <c r="H466" i="241"/>
  <c r="H117" i="241" s="1"/>
  <c r="I466" i="241"/>
  <c r="I117" i="241" s="1"/>
  <c r="J466" i="241"/>
  <c r="J117" i="241" s="1"/>
  <c r="K466" i="241"/>
  <c r="K117" i="241" s="1"/>
  <c r="L466" i="241"/>
  <c r="L117" i="241" s="1"/>
  <c r="M466" i="241"/>
  <c r="M117" i="241" s="1"/>
  <c r="N466" i="241"/>
  <c r="N117" i="241" s="1"/>
  <c r="O466" i="241"/>
  <c r="O117" i="241" s="1"/>
  <c r="P466" i="241"/>
  <c r="P117" i="241" s="1"/>
  <c r="E468" i="241"/>
  <c r="E119" i="241" s="1"/>
  <c r="F468" i="241"/>
  <c r="F119" i="241" s="1"/>
  <c r="G468" i="241"/>
  <c r="G119" i="241" s="1"/>
  <c r="H468" i="241"/>
  <c r="H119" i="241" s="1"/>
  <c r="I468" i="241"/>
  <c r="I119" i="241" s="1"/>
  <c r="J468" i="241"/>
  <c r="J119" i="241" s="1"/>
  <c r="K468" i="241"/>
  <c r="K119" i="241" s="1"/>
  <c r="L468" i="241"/>
  <c r="L119" i="241" s="1"/>
  <c r="M468" i="241"/>
  <c r="M119" i="241" s="1"/>
  <c r="N468" i="241"/>
  <c r="N119" i="241" s="1"/>
  <c r="O468" i="241"/>
  <c r="O119" i="241" s="1"/>
  <c r="P468" i="241"/>
  <c r="P119" i="241" s="1"/>
  <c r="Y468" i="241"/>
  <c r="Z468" i="241"/>
  <c r="E469" i="241"/>
  <c r="F469" i="241"/>
  <c r="F120" i="241" s="1"/>
  <c r="G469" i="241"/>
  <c r="G120" i="241" s="1"/>
  <c r="H469" i="241"/>
  <c r="H120" i="241" s="1"/>
  <c r="I469" i="241"/>
  <c r="I120" i="241" s="1"/>
  <c r="J469" i="241"/>
  <c r="J120" i="241" s="1"/>
  <c r="K469" i="241"/>
  <c r="K120" i="241" s="1"/>
  <c r="L469" i="241"/>
  <c r="L120" i="241" s="1"/>
  <c r="M469" i="241"/>
  <c r="M120" i="241" s="1"/>
  <c r="N469" i="241"/>
  <c r="N120" i="241" s="1"/>
  <c r="O469" i="241"/>
  <c r="O120" i="241" s="1"/>
  <c r="P469" i="241"/>
  <c r="P120" i="241" s="1"/>
  <c r="E470" i="241"/>
  <c r="E121" i="241" s="1"/>
  <c r="F470" i="241"/>
  <c r="F121" i="241" s="1"/>
  <c r="G470" i="241"/>
  <c r="G121" i="241" s="1"/>
  <c r="H470" i="241"/>
  <c r="H121" i="241" s="1"/>
  <c r="I470" i="241"/>
  <c r="I121" i="241" s="1"/>
  <c r="J470" i="241"/>
  <c r="J121" i="241" s="1"/>
  <c r="K470" i="241"/>
  <c r="K121" i="241" s="1"/>
  <c r="L470" i="241"/>
  <c r="L121" i="241" s="1"/>
  <c r="M470" i="241"/>
  <c r="M121" i="241" s="1"/>
  <c r="N470" i="241"/>
  <c r="N121" i="241" s="1"/>
  <c r="O470" i="241"/>
  <c r="O121" i="241" s="1"/>
  <c r="P470" i="241"/>
  <c r="P121" i="241" s="1"/>
  <c r="E472" i="241"/>
  <c r="F472" i="241"/>
  <c r="F123" i="241" s="1"/>
  <c r="G472" i="241"/>
  <c r="G123" i="241" s="1"/>
  <c r="H472" i="241"/>
  <c r="H123" i="241" s="1"/>
  <c r="I472" i="241"/>
  <c r="I123" i="241" s="1"/>
  <c r="J472" i="241"/>
  <c r="J123" i="241" s="1"/>
  <c r="K472" i="241"/>
  <c r="K123" i="241" s="1"/>
  <c r="L472" i="241"/>
  <c r="L123" i="241" s="1"/>
  <c r="M472" i="241"/>
  <c r="M123" i="241" s="1"/>
  <c r="N472" i="241"/>
  <c r="N123" i="241" s="1"/>
  <c r="O472" i="241"/>
  <c r="O123" i="241" s="1"/>
  <c r="P472" i="241"/>
  <c r="P123" i="241" s="1"/>
  <c r="E473" i="241"/>
  <c r="E124" i="241" s="1"/>
  <c r="F473" i="241"/>
  <c r="F124" i="241" s="1"/>
  <c r="G473" i="241"/>
  <c r="G124" i="241" s="1"/>
  <c r="H473" i="241"/>
  <c r="H124" i="241" s="1"/>
  <c r="I473" i="241"/>
  <c r="I124" i="241" s="1"/>
  <c r="J473" i="241"/>
  <c r="J124" i="241" s="1"/>
  <c r="K473" i="241"/>
  <c r="K124" i="241" s="1"/>
  <c r="L473" i="241"/>
  <c r="L124" i="241" s="1"/>
  <c r="M473" i="241"/>
  <c r="M124" i="241" s="1"/>
  <c r="N473" i="241"/>
  <c r="N124" i="241" s="1"/>
  <c r="O473" i="241"/>
  <c r="O124" i="241" s="1"/>
  <c r="P473" i="241"/>
  <c r="P124" i="241" s="1"/>
  <c r="E474" i="241"/>
  <c r="E125" i="241" s="1"/>
  <c r="F474" i="241"/>
  <c r="F125" i="241" s="1"/>
  <c r="G474" i="241"/>
  <c r="G125" i="241" s="1"/>
  <c r="H474" i="241"/>
  <c r="H125" i="241" s="1"/>
  <c r="I474" i="241"/>
  <c r="I125" i="241" s="1"/>
  <c r="J474" i="241"/>
  <c r="J125" i="241" s="1"/>
  <c r="K474" i="241"/>
  <c r="K125" i="241" s="1"/>
  <c r="L474" i="241"/>
  <c r="L125" i="241" s="1"/>
  <c r="M474" i="241"/>
  <c r="M125" i="241" s="1"/>
  <c r="N474" i="241"/>
  <c r="N125" i="241" s="1"/>
  <c r="O474" i="241"/>
  <c r="O125" i="241" s="1"/>
  <c r="P474" i="241"/>
  <c r="P125" i="241" s="1"/>
  <c r="E475" i="241"/>
  <c r="E126" i="241" s="1"/>
  <c r="F475" i="241"/>
  <c r="F126" i="241" s="1"/>
  <c r="G475" i="241"/>
  <c r="G126" i="241" s="1"/>
  <c r="H475" i="241"/>
  <c r="H126" i="241" s="1"/>
  <c r="I475" i="241"/>
  <c r="I126" i="241" s="1"/>
  <c r="J475" i="241"/>
  <c r="J126" i="241" s="1"/>
  <c r="K475" i="241"/>
  <c r="K126" i="241" s="1"/>
  <c r="L475" i="241"/>
  <c r="L126" i="241" s="1"/>
  <c r="M475" i="241"/>
  <c r="M126" i="241" s="1"/>
  <c r="N475" i="241"/>
  <c r="N126" i="241" s="1"/>
  <c r="O475" i="241"/>
  <c r="O126" i="241" s="1"/>
  <c r="P475" i="241"/>
  <c r="P126" i="241" s="1"/>
  <c r="E476" i="241"/>
  <c r="E127" i="241" s="1"/>
  <c r="F476" i="241"/>
  <c r="F127" i="241" s="1"/>
  <c r="G476" i="241"/>
  <c r="G127" i="241" s="1"/>
  <c r="H476" i="241"/>
  <c r="H127" i="241" s="1"/>
  <c r="I476" i="241"/>
  <c r="I127" i="241" s="1"/>
  <c r="J476" i="241"/>
  <c r="J127" i="241" s="1"/>
  <c r="K476" i="241"/>
  <c r="K127" i="241" s="1"/>
  <c r="L476" i="241"/>
  <c r="L127" i="241" s="1"/>
  <c r="M476" i="241"/>
  <c r="M127" i="241" s="1"/>
  <c r="N476" i="241"/>
  <c r="N127" i="241" s="1"/>
  <c r="O476" i="241"/>
  <c r="O127" i="241" s="1"/>
  <c r="P476" i="241"/>
  <c r="P127" i="241" s="1"/>
  <c r="Q477" i="241"/>
  <c r="P468" i="234" s="1"/>
  <c r="E478" i="241"/>
  <c r="E129" i="241" s="1"/>
  <c r="F478" i="241"/>
  <c r="F129" i="241" s="1"/>
  <c r="G478" i="241"/>
  <c r="G129" i="241" s="1"/>
  <c r="H478" i="241"/>
  <c r="H129" i="241" s="1"/>
  <c r="I478" i="241"/>
  <c r="I129" i="241" s="1"/>
  <c r="J478" i="241"/>
  <c r="J129" i="241" s="1"/>
  <c r="K478" i="241"/>
  <c r="K129" i="241" s="1"/>
  <c r="L478" i="241"/>
  <c r="L129" i="241" s="1"/>
  <c r="M478" i="241"/>
  <c r="M129" i="241" s="1"/>
  <c r="N478" i="241"/>
  <c r="N129" i="241" s="1"/>
  <c r="O478" i="241"/>
  <c r="O129" i="241" s="1"/>
  <c r="P478" i="241"/>
  <c r="P129" i="241" s="1"/>
  <c r="E479" i="241"/>
  <c r="E130" i="241" s="1"/>
  <c r="F479" i="241"/>
  <c r="F130" i="241" s="1"/>
  <c r="G479" i="241"/>
  <c r="G130" i="241" s="1"/>
  <c r="H479" i="241"/>
  <c r="H130" i="241" s="1"/>
  <c r="I479" i="241"/>
  <c r="I130" i="241" s="1"/>
  <c r="J479" i="241"/>
  <c r="J130" i="241" s="1"/>
  <c r="K479" i="241"/>
  <c r="K130" i="241" s="1"/>
  <c r="L479" i="241"/>
  <c r="L130" i="241" s="1"/>
  <c r="M479" i="241"/>
  <c r="M130" i="241" s="1"/>
  <c r="N479" i="241"/>
  <c r="N130" i="241" s="1"/>
  <c r="O479" i="241"/>
  <c r="O130" i="241" s="1"/>
  <c r="P479" i="241"/>
  <c r="P130" i="241" s="1"/>
  <c r="Q480" i="241"/>
  <c r="P471" i="234" s="1"/>
  <c r="Q481" i="241"/>
  <c r="P472" i="234" s="1"/>
  <c r="Q482" i="241"/>
  <c r="P473" i="234" s="1"/>
  <c r="Q483" i="241"/>
  <c r="P474" i="234" s="1"/>
  <c r="Q484" i="241"/>
  <c r="P475" i="234" s="1"/>
  <c r="Q485" i="241"/>
  <c r="P476" i="234" s="1"/>
  <c r="Q486" i="241"/>
  <c r="P477" i="234" s="1"/>
  <c r="Q487" i="241"/>
  <c r="P478" i="234" s="1"/>
  <c r="Q488" i="241"/>
  <c r="P479" i="234" s="1"/>
  <c r="Q489" i="241"/>
  <c r="P480" i="234" s="1"/>
  <c r="Q493" i="241"/>
  <c r="P499" i="234" s="1"/>
  <c r="Q494" i="241"/>
  <c r="Q512" i="241"/>
  <c r="Q513" i="241"/>
  <c r="Q514" i="241"/>
  <c r="Q515" i="241"/>
  <c r="Q516" i="241"/>
  <c r="Q517" i="241"/>
  <c r="Q518" i="241"/>
  <c r="Q519" i="241"/>
  <c r="E19" i="240"/>
  <c r="F19" i="240"/>
  <c r="G19" i="240"/>
  <c r="H19" i="240"/>
  <c r="I19" i="240"/>
  <c r="J19" i="240"/>
  <c r="K19" i="240"/>
  <c r="L19" i="240"/>
  <c r="Q19" i="240" s="1"/>
  <c r="M19" i="240"/>
  <c r="N19" i="240"/>
  <c r="O19" i="240"/>
  <c r="P19" i="240"/>
  <c r="E20" i="240"/>
  <c r="F20" i="240"/>
  <c r="G20" i="240"/>
  <c r="H20" i="240"/>
  <c r="I20" i="240"/>
  <c r="J20" i="240"/>
  <c r="K20" i="240"/>
  <c r="L20" i="240"/>
  <c r="M20" i="240"/>
  <c r="N20" i="240"/>
  <c r="O20" i="240"/>
  <c r="P20" i="240"/>
  <c r="E21" i="240"/>
  <c r="F21" i="240"/>
  <c r="G21" i="240"/>
  <c r="H21" i="240"/>
  <c r="I21" i="240"/>
  <c r="J21" i="240"/>
  <c r="K21" i="240"/>
  <c r="L21" i="240"/>
  <c r="M21" i="240"/>
  <c r="N21" i="240"/>
  <c r="O21" i="240"/>
  <c r="P21" i="240"/>
  <c r="E22" i="240"/>
  <c r="F22" i="240"/>
  <c r="G22" i="240"/>
  <c r="H22" i="240"/>
  <c r="I22" i="240"/>
  <c r="J22" i="240"/>
  <c r="K22" i="240"/>
  <c r="L22" i="240"/>
  <c r="M22" i="240"/>
  <c r="N22" i="240"/>
  <c r="O22" i="240"/>
  <c r="P22" i="240"/>
  <c r="E23" i="240"/>
  <c r="F23" i="240"/>
  <c r="G23" i="240"/>
  <c r="H23" i="240"/>
  <c r="I23" i="240"/>
  <c r="J23" i="240"/>
  <c r="K23" i="240"/>
  <c r="L23" i="240"/>
  <c r="M23" i="240"/>
  <c r="N23" i="240"/>
  <c r="O23" i="240"/>
  <c r="P23" i="240"/>
  <c r="E24" i="240"/>
  <c r="F24" i="240"/>
  <c r="G24" i="240"/>
  <c r="H24" i="240"/>
  <c r="I24" i="240"/>
  <c r="J24" i="240"/>
  <c r="K24" i="240"/>
  <c r="L24" i="240"/>
  <c r="M24" i="240"/>
  <c r="N24" i="240"/>
  <c r="O24" i="240"/>
  <c r="P24" i="240"/>
  <c r="E25" i="240"/>
  <c r="F25" i="240"/>
  <c r="G25" i="240"/>
  <c r="H25" i="240"/>
  <c r="I25" i="240"/>
  <c r="J25" i="240"/>
  <c r="K25" i="240"/>
  <c r="L25" i="240"/>
  <c r="M25" i="240"/>
  <c r="N25" i="240"/>
  <c r="O25" i="240"/>
  <c r="P25" i="240"/>
  <c r="E26" i="240"/>
  <c r="F26" i="240"/>
  <c r="G26" i="240"/>
  <c r="H26" i="240"/>
  <c r="Q26" i="240" s="1"/>
  <c r="O26" i="234" s="1"/>
  <c r="I26" i="240"/>
  <c r="J26" i="240"/>
  <c r="K26" i="240"/>
  <c r="L26" i="240"/>
  <c r="M26" i="240"/>
  <c r="N26" i="240"/>
  <c r="O26" i="240"/>
  <c r="P26" i="240"/>
  <c r="E27" i="240"/>
  <c r="F27" i="240"/>
  <c r="G27" i="240"/>
  <c r="H27" i="240"/>
  <c r="I27" i="240"/>
  <c r="J27" i="240"/>
  <c r="K27" i="240"/>
  <c r="L27" i="240"/>
  <c r="M27" i="240"/>
  <c r="N27" i="240"/>
  <c r="O27" i="240"/>
  <c r="P27" i="240"/>
  <c r="E28" i="240"/>
  <c r="F28" i="240"/>
  <c r="G28" i="240"/>
  <c r="H28" i="240"/>
  <c r="I28" i="240"/>
  <c r="J28" i="240"/>
  <c r="K28" i="240"/>
  <c r="L28" i="240"/>
  <c r="M28" i="240"/>
  <c r="N28" i="240"/>
  <c r="O28" i="240"/>
  <c r="P28" i="240"/>
  <c r="E31" i="240"/>
  <c r="F31" i="240"/>
  <c r="G31" i="240"/>
  <c r="H31" i="240"/>
  <c r="I31" i="240"/>
  <c r="J31" i="240"/>
  <c r="K31" i="240"/>
  <c r="L31" i="240"/>
  <c r="M31" i="240"/>
  <c r="N31" i="240"/>
  <c r="O31" i="240"/>
  <c r="P31" i="240"/>
  <c r="E32" i="240"/>
  <c r="F32" i="240"/>
  <c r="G32" i="240"/>
  <c r="H32" i="240"/>
  <c r="I32" i="240"/>
  <c r="J32" i="240"/>
  <c r="K32" i="240"/>
  <c r="L32" i="240"/>
  <c r="M32" i="240"/>
  <c r="N32" i="240"/>
  <c r="O32" i="240"/>
  <c r="P32" i="240"/>
  <c r="E33" i="240"/>
  <c r="F33" i="240"/>
  <c r="G33" i="240"/>
  <c r="H33" i="240"/>
  <c r="I33" i="240"/>
  <c r="J33" i="240"/>
  <c r="K33" i="240"/>
  <c r="L33" i="240"/>
  <c r="M33" i="240"/>
  <c r="N33" i="240"/>
  <c r="O33" i="240"/>
  <c r="P33" i="240"/>
  <c r="E34" i="240"/>
  <c r="F34" i="240"/>
  <c r="G34" i="240"/>
  <c r="H34" i="240"/>
  <c r="I34" i="240"/>
  <c r="J34" i="240"/>
  <c r="K34" i="240"/>
  <c r="L34" i="240"/>
  <c r="M34" i="240"/>
  <c r="N34" i="240"/>
  <c r="O34" i="240"/>
  <c r="P34" i="240"/>
  <c r="E35" i="240"/>
  <c r="F35" i="240"/>
  <c r="Q35" i="240" s="1"/>
  <c r="O35" i="234" s="1"/>
  <c r="G35" i="240"/>
  <c r="H35" i="240"/>
  <c r="I35" i="240"/>
  <c r="J35" i="240"/>
  <c r="K35" i="240"/>
  <c r="L35" i="240"/>
  <c r="M35" i="240"/>
  <c r="N35" i="240"/>
  <c r="O35" i="240"/>
  <c r="P35" i="240"/>
  <c r="E36" i="240"/>
  <c r="F36" i="240"/>
  <c r="G36" i="240"/>
  <c r="H36" i="240"/>
  <c r="I36" i="240"/>
  <c r="J36" i="240"/>
  <c r="K36" i="240"/>
  <c r="L36" i="240"/>
  <c r="M36" i="240"/>
  <c r="N36" i="240"/>
  <c r="O36" i="240"/>
  <c r="P36" i="240"/>
  <c r="E37" i="240"/>
  <c r="F37" i="240"/>
  <c r="G37" i="240"/>
  <c r="H37" i="240"/>
  <c r="I37" i="240"/>
  <c r="J37" i="240"/>
  <c r="K37" i="240"/>
  <c r="L37" i="240"/>
  <c r="M37" i="240"/>
  <c r="N37" i="240"/>
  <c r="O37" i="240"/>
  <c r="P37" i="240"/>
  <c r="E38" i="240"/>
  <c r="F38" i="240"/>
  <c r="G38" i="240"/>
  <c r="H38" i="240"/>
  <c r="I38" i="240"/>
  <c r="J38" i="240"/>
  <c r="K38" i="240"/>
  <c r="L38" i="240"/>
  <c r="M38" i="240"/>
  <c r="N38" i="240"/>
  <c r="O38" i="240"/>
  <c r="P38" i="240"/>
  <c r="E39" i="240"/>
  <c r="F39" i="240"/>
  <c r="G39" i="240"/>
  <c r="H39" i="240"/>
  <c r="I39" i="240"/>
  <c r="J39" i="240"/>
  <c r="K39" i="240"/>
  <c r="L39" i="240"/>
  <c r="M39" i="240"/>
  <c r="N39" i="240"/>
  <c r="O39" i="240"/>
  <c r="P39" i="240"/>
  <c r="E40" i="240"/>
  <c r="F40" i="240"/>
  <c r="G40" i="240"/>
  <c r="H40" i="240"/>
  <c r="I40" i="240"/>
  <c r="J40" i="240"/>
  <c r="K40" i="240"/>
  <c r="L40" i="240"/>
  <c r="M40" i="240"/>
  <c r="N40" i="240"/>
  <c r="O40" i="240"/>
  <c r="P40" i="240"/>
  <c r="E41" i="240"/>
  <c r="F41" i="240"/>
  <c r="G41" i="240"/>
  <c r="H41" i="240"/>
  <c r="I41" i="240"/>
  <c r="J41" i="240"/>
  <c r="K41" i="240"/>
  <c r="L41" i="240"/>
  <c r="M41" i="240"/>
  <c r="N41" i="240"/>
  <c r="O41" i="240"/>
  <c r="P41" i="240"/>
  <c r="E42" i="240"/>
  <c r="F42" i="240"/>
  <c r="G42" i="240"/>
  <c r="H42" i="240"/>
  <c r="I42" i="240"/>
  <c r="J42" i="240"/>
  <c r="K42" i="240"/>
  <c r="L42" i="240"/>
  <c r="M42" i="240"/>
  <c r="N42" i="240"/>
  <c r="O42" i="240"/>
  <c r="P42" i="240"/>
  <c r="E43" i="240"/>
  <c r="F43" i="240"/>
  <c r="G43" i="240"/>
  <c r="H43" i="240"/>
  <c r="I43" i="240"/>
  <c r="J43" i="240"/>
  <c r="Q43" i="240" s="1"/>
  <c r="O43" i="234" s="1"/>
  <c r="K43" i="240"/>
  <c r="L43" i="240"/>
  <c r="M43" i="240"/>
  <c r="N43" i="240"/>
  <c r="O43" i="240"/>
  <c r="P43" i="240"/>
  <c r="E44" i="240"/>
  <c r="F44" i="240"/>
  <c r="G44" i="240"/>
  <c r="H44" i="240"/>
  <c r="I44" i="240"/>
  <c r="J44" i="240"/>
  <c r="K44" i="240"/>
  <c r="L44" i="240"/>
  <c r="M44" i="240"/>
  <c r="N44" i="240"/>
  <c r="O44" i="240"/>
  <c r="P44" i="240"/>
  <c r="E45" i="240"/>
  <c r="F45" i="240"/>
  <c r="G45" i="240"/>
  <c r="H45" i="240"/>
  <c r="I45" i="240"/>
  <c r="J45" i="240"/>
  <c r="K45" i="240"/>
  <c r="L45" i="240"/>
  <c r="M45" i="240"/>
  <c r="N45" i="240"/>
  <c r="O45" i="240"/>
  <c r="P45" i="240"/>
  <c r="E46" i="240"/>
  <c r="F46" i="240"/>
  <c r="G46" i="240"/>
  <c r="H46" i="240"/>
  <c r="I46" i="240"/>
  <c r="J46" i="240"/>
  <c r="K46" i="240"/>
  <c r="L46" i="240"/>
  <c r="M46" i="240"/>
  <c r="N46" i="240"/>
  <c r="O46" i="240"/>
  <c r="P46" i="240"/>
  <c r="E47" i="240"/>
  <c r="F47" i="240"/>
  <c r="G47" i="240"/>
  <c r="H47" i="240"/>
  <c r="I47" i="240"/>
  <c r="J47" i="240"/>
  <c r="K47" i="240"/>
  <c r="L47" i="240"/>
  <c r="M47" i="240"/>
  <c r="N47" i="240"/>
  <c r="O47" i="240"/>
  <c r="P47" i="240"/>
  <c r="E48" i="240"/>
  <c r="F48" i="240"/>
  <c r="G48" i="240"/>
  <c r="H48" i="240"/>
  <c r="I48" i="240"/>
  <c r="J48" i="240"/>
  <c r="K48" i="240"/>
  <c r="L48" i="240"/>
  <c r="M48" i="240"/>
  <c r="N48" i="240"/>
  <c r="O48" i="240"/>
  <c r="P48" i="240"/>
  <c r="E70" i="240"/>
  <c r="F70" i="240"/>
  <c r="G70" i="240"/>
  <c r="H70" i="240"/>
  <c r="I70" i="240"/>
  <c r="J70" i="240"/>
  <c r="K70" i="240"/>
  <c r="L70" i="240"/>
  <c r="M70" i="240"/>
  <c r="N70" i="240"/>
  <c r="O70" i="240"/>
  <c r="P70" i="240"/>
  <c r="E71" i="240"/>
  <c r="F71" i="240"/>
  <c r="G71" i="240"/>
  <c r="H71" i="240"/>
  <c r="I71" i="240"/>
  <c r="J71" i="240"/>
  <c r="K71" i="240"/>
  <c r="L71" i="240"/>
  <c r="M71" i="240"/>
  <c r="N71" i="240"/>
  <c r="O71" i="240"/>
  <c r="P71" i="240"/>
  <c r="E72" i="240"/>
  <c r="F72" i="240"/>
  <c r="G72" i="240"/>
  <c r="H72" i="240"/>
  <c r="I72" i="240"/>
  <c r="J72" i="240"/>
  <c r="K72" i="240"/>
  <c r="L72" i="240"/>
  <c r="M72" i="240"/>
  <c r="N72" i="240"/>
  <c r="O72" i="240"/>
  <c r="P72" i="240"/>
  <c r="E73" i="240"/>
  <c r="F73" i="240"/>
  <c r="G73" i="240"/>
  <c r="H73" i="240"/>
  <c r="I73" i="240"/>
  <c r="J73" i="240"/>
  <c r="K73" i="240"/>
  <c r="L73" i="240"/>
  <c r="M73" i="240"/>
  <c r="N73" i="240"/>
  <c r="O73" i="240"/>
  <c r="P73" i="240"/>
  <c r="E74" i="240"/>
  <c r="F74" i="240"/>
  <c r="G74" i="240"/>
  <c r="H74" i="240"/>
  <c r="I74" i="240"/>
  <c r="J74" i="240"/>
  <c r="K74" i="240"/>
  <c r="L74" i="240"/>
  <c r="M74" i="240"/>
  <c r="N74" i="240"/>
  <c r="O74" i="240"/>
  <c r="P74" i="240"/>
  <c r="E75" i="240"/>
  <c r="F75" i="240"/>
  <c r="G75" i="240"/>
  <c r="H75" i="240"/>
  <c r="I75" i="240"/>
  <c r="J75" i="240"/>
  <c r="K75" i="240"/>
  <c r="L75" i="240"/>
  <c r="M75" i="240"/>
  <c r="N75" i="240"/>
  <c r="O75" i="240"/>
  <c r="P75" i="240"/>
  <c r="E76" i="240"/>
  <c r="F76" i="240"/>
  <c r="G76" i="240"/>
  <c r="H76" i="240"/>
  <c r="I76" i="240"/>
  <c r="J76" i="240"/>
  <c r="K76" i="240"/>
  <c r="L76" i="240"/>
  <c r="M76" i="240"/>
  <c r="N76" i="240"/>
  <c r="O76" i="240"/>
  <c r="P76" i="240"/>
  <c r="E77" i="240"/>
  <c r="F77" i="240"/>
  <c r="G77" i="240"/>
  <c r="H77" i="240"/>
  <c r="I77" i="240"/>
  <c r="J77" i="240"/>
  <c r="K77" i="240"/>
  <c r="L77" i="240"/>
  <c r="M77" i="240"/>
  <c r="N77" i="240"/>
  <c r="O77" i="240"/>
  <c r="P77" i="240"/>
  <c r="E78" i="240"/>
  <c r="F78" i="240"/>
  <c r="G78" i="240"/>
  <c r="H78" i="240"/>
  <c r="I78" i="240"/>
  <c r="Q78" i="240" s="1"/>
  <c r="O77" i="234" s="1"/>
  <c r="J78" i="240"/>
  <c r="K78" i="240"/>
  <c r="L78" i="240"/>
  <c r="M78" i="240"/>
  <c r="N78" i="240"/>
  <c r="O78" i="240"/>
  <c r="P78" i="240"/>
  <c r="E85" i="240"/>
  <c r="F85" i="240"/>
  <c r="G85" i="240"/>
  <c r="H85" i="240"/>
  <c r="I85" i="240"/>
  <c r="J85" i="240"/>
  <c r="K85" i="240"/>
  <c r="L85" i="240"/>
  <c r="M85" i="240"/>
  <c r="N85" i="240"/>
  <c r="O85" i="240"/>
  <c r="P85" i="240"/>
  <c r="E86" i="240"/>
  <c r="F86" i="240"/>
  <c r="G86" i="240"/>
  <c r="H86" i="240"/>
  <c r="Q86" i="240" s="1"/>
  <c r="O85" i="234" s="1"/>
  <c r="I86" i="240"/>
  <c r="J86" i="240"/>
  <c r="K86" i="240"/>
  <c r="L86" i="240"/>
  <c r="M86" i="240"/>
  <c r="N86" i="240"/>
  <c r="O86" i="240"/>
  <c r="P86" i="240"/>
  <c r="E87" i="240"/>
  <c r="F87" i="240"/>
  <c r="G87" i="240"/>
  <c r="H87" i="240"/>
  <c r="I87" i="240"/>
  <c r="J87" i="240"/>
  <c r="K87" i="240"/>
  <c r="L87" i="240"/>
  <c r="M87" i="240"/>
  <c r="N87" i="240"/>
  <c r="O87" i="240"/>
  <c r="P87" i="240"/>
  <c r="E88" i="240"/>
  <c r="F88" i="240"/>
  <c r="G88" i="240"/>
  <c r="H88" i="240"/>
  <c r="I88" i="240"/>
  <c r="J88" i="240"/>
  <c r="K88" i="240"/>
  <c r="L88" i="240"/>
  <c r="M88" i="240"/>
  <c r="N88" i="240"/>
  <c r="O88" i="240"/>
  <c r="P88" i="240"/>
  <c r="E89" i="240"/>
  <c r="F89" i="240"/>
  <c r="G89" i="240"/>
  <c r="H89" i="240"/>
  <c r="I89" i="240"/>
  <c r="J89" i="240"/>
  <c r="K89" i="240"/>
  <c r="L89" i="240"/>
  <c r="M89" i="240"/>
  <c r="N89" i="240"/>
  <c r="O89" i="240"/>
  <c r="P89" i="240"/>
  <c r="E90" i="240"/>
  <c r="F90" i="240"/>
  <c r="G90" i="240"/>
  <c r="H90" i="240"/>
  <c r="I90" i="240"/>
  <c r="J90" i="240"/>
  <c r="K90" i="240"/>
  <c r="L90" i="240"/>
  <c r="M90" i="240"/>
  <c r="N90" i="240"/>
  <c r="O90" i="240"/>
  <c r="P90" i="240"/>
  <c r="E91" i="240"/>
  <c r="F91" i="240"/>
  <c r="G91" i="240"/>
  <c r="Q91" i="240" s="1"/>
  <c r="O90" i="234" s="1"/>
  <c r="H91" i="240"/>
  <c r="I91" i="240"/>
  <c r="J91" i="240"/>
  <c r="K91" i="240"/>
  <c r="L91" i="240"/>
  <c r="M91" i="240"/>
  <c r="N91" i="240"/>
  <c r="O91" i="240"/>
  <c r="P91" i="240"/>
  <c r="E92" i="240"/>
  <c r="F92" i="240"/>
  <c r="G92" i="240"/>
  <c r="H92" i="240"/>
  <c r="I92" i="240"/>
  <c r="J92" i="240"/>
  <c r="K92" i="240"/>
  <c r="L92" i="240"/>
  <c r="M92" i="240"/>
  <c r="N92" i="240"/>
  <c r="O92" i="240"/>
  <c r="P92" i="240"/>
  <c r="E93" i="240"/>
  <c r="F93" i="240"/>
  <c r="Q93" i="240" s="1"/>
  <c r="O92" i="234" s="1"/>
  <c r="G93" i="240"/>
  <c r="H93" i="240"/>
  <c r="I93" i="240"/>
  <c r="J93" i="240"/>
  <c r="K93" i="240"/>
  <c r="L93" i="240"/>
  <c r="M93" i="240"/>
  <c r="N93" i="240"/>
  <c r="O93" i="240"/>
  <c r="P93" i="240"/>
  <c r="E94" i="240"/>
  <c r="F94" i="240"/>
  <c r="G94" i="240"/>
  <c r="H94" i="240"/>
  <c r="I94" i="240"/>
  <c r="J94" i="240"/>
  <c r="K94" i="240"/>
  <c r="L94" i="240"/>
  <c r="M94" i="240"/>
  <c r="N94" i="240"/>
  <c r="O94" i="240"/>
  <c r="P94" i="240"/>
  <c r="E100" i="240"/>
  <c r="F100" i="240"/>
  <c r="G100" i="240"/>
  <c r="H100" i="240"/>
  <c r="I100" i="240"/>
  <c r="J100" i="240"/>
  <c r="K100" i="240"/>
  <c r="L100" i="240"/>
  <c r="M100" i="240"/>
  <c r="N100" i="240"/>
  <c r="O100" i="240"/>
  <c r="P100" i="240"/>
  <c r="E101" i="240"/>
  <c r="F101" i="240"/>
  <c r="G101" i="240"/>
  <c r="H101" i="240"/>
  <c r="I101" i="240"/>
  <c r="J101" i="240"/>
  <c r="K101" i="240"/>
  <c r="L101" i="240"/>
  <c r="M101" i="240"/>
  <c r="N101" i="240"/>
  <c r="O101" i="240"/>
  <c r="P101" i="240"/>
  <c r="E102" i="240"/>
  <c r="F102" i="240"/>
  <c r="G102" i="240"/>
  <c r="H102" i="240"/>
  <c r="I102" i="240"/>
  <c r="J102" i="240"/>
  <c r="K102" i="240"/>
  <c r="L102" i="240"/>
  <c r="M102" i="240"/>
  <c r="N102" i="240"/>
  <c r="O102" i="240"/>
  <c r="P102" i="240"/>
  <c r="Q102" i="240"/>
  <c r="O101" i="234" s="1"/>
  <c r="E103" i="240"/>
  <c r="F103" i="240"/>
  <c r="G103" i="240"/>
  <c r="H103" i="240"/>
  <c r="I103" i="240"/>
  <c r="J103" i="240"/>
  <c r="K103" i="240"/>
  <c r="L103" i="240"/>
  <c r="M103" i="240"/>
  <c r="N103" i="240"/>
  <c r="O103" i="240"/>
  <c r="P103" i="240"/>
  <c r="E104" i="240"/>
  <c r="F104" i="240"/>
  <c r="G104" i="240"/>
  <c r="H104" i="240"/>
  <c r="I104" i="240"/>
  <c r="J104" i="240"/>
  <c r="K104" i="240"/>
  <c r="L104" i="240"/>
  <c r="M104" i="240"/>
  <c r="N104" i="240"/>
  <c r="O104" i="240"/>
  <c r="P104" i="240"/>
  <c r="E108" i="240"/>
  <c r="F108" i="240"/>
  <c r="G108" i="240"/>
  <c r="H108" i="240"/>
  <c r="I108" i="240"/>
  <c r="J108" i="240"/>
  <c r="K108" i="240"/>
  <c r="L108" i="240"/>
  <c r="M108" i="240"/>
  <c r="N108" i="240"/>
  <c r="O108" i="240"/>
  <c r="P108" i="240"/>
  <c r="E109" i="240"/>
  <c r="F109" i="240"/>
  <c r="G109" i="240"/>
  <c r="H109" i="240"/>
  <c r="I109" i="240"/>
  <c r="J109" i="240"/>
  <c r="K109" i="240"/>
  <c r="L109" i="240"/>
  <c r="M109" i="240"/>
  <c r="N109" i="240"/>
  <c r="O109" i="240"/>
  <c r="P109" i="240"/>
  <c r="E110" i="240"/>
  <c r="F110" i="240"/>
  <c r="G110" i="240"/>
  <c r="H110" i="240"/>
  <c r="I110" i="240"/>
  <c r="J110" i="240"/>
  <c r="K110" i="240"/>
  <c r="L110" i="240"/>
  <c r="M110" i="240"/>
  <c r="N110" i="240"/>
  <c r="O110" i="240"/>
  <c r="P110" i="240"/>
  <c r="E111" i="240"/>
  <c r="F111" i="240"/>
  <c r="G111" i="240"/>
  <c r="H111" i="240"/>
  <c r="I111" i="240"/>
  <c r="J111" i="240"/>
  <c r="K111" i="240"/>
  <c r="L111" i="240"/>
  <c r="M111" i="240"/>
  <c r="N111" i="240"/>
  <c r="O111" i="240"/>
  <c r="P111" i="240"/>
  <c r="E112" i="240"/>
  <c r="F112" i="240"/>
  <c r="G112" i="240"/>
  <c r="H112" i="240"/>
  <c r="I112" i="240"/>
  <c r="J112" i="240"/>
  <c r="K112" i="240"/>
  <c r="L112" i="240"/>
  <c r="M112" i="240"/>
  <c r="N112" i="240"/>
  <c r="O112" i="240"/>
  <c r="P112" i="240"/>
  <c r="E113" i="240"/>
  <c r="F113" i="240"/>
  <c r="G113" i="240"/>
  <c r="H113" i="240"/>
  <c r="I113" i="240"/>
  <c r="J113" i="240"/>
  <c r="K113" i="240"/>
  <c r="L113" i="240"/>
  <c r="M113" i="240"/>
  <c r="N113" i="240"/>
  <c r="O113" i="240"/>
  <c r="P113" i="240"/>
  <c r="E114" i="240"/>
  <c r="F114" i="240"/>
  <c r="G114" i="240"/>
  <c r="H114" i="240"/>
  <c r="I114" i="240"/>
  <c r="J114" i="240"/>
  <c r="K114" i="240"/>
  <c r="L114" i="240"/>
  <c r="M114" i="240"/>
  <c r="N114" i="240"/>
  <c r="O114" i="240"/>
  <c r="P114" i="240"/>
  <c r="E118" i="240"/>
  <c r="F118" i="240"/>
  <c r="G118" i="240"/>
  <c r="H118" i="240"/>
  <c r="I118" i="240"/>
  <c r="J118" i="240"/>
  <c r="K118" i="240"/>
  <c r="L118" i="240"/>
  <c r="M118" i="240"/>
  <c r="N118" i="240"/>
  <c r="O118" i="240"/>
  <c r="P118" i="240"/>
  <c r="E128" i="240"/>
  <c r="F128" i="240"/>
  <c r="G128" i="240"/>
  <c r="H128" i="240"/>
  <c r="I128" i="240"/>
  <c r="J128" i="240"/>
  <c r="K128" i="240"/>
  <c r="L128" i="240"/>
  <c r="M128" i="240"/>
  <c r="N128" i="240"/>
  <c r="O128" i="240"/>
  <c r="P128" i="240"/>
  <c r="E131" i="240"/>
  <c r="F131" i="240"/>
  <c r="G131" i="240"/>
  <c r="H131" i="240"/>
  <c r="I131" i="240"/>
  <c r="J131" i="240"/>
  <c r="K131" i="240"/>
  <c r="L131" i="240"/>
  <c r="M131" i="240"/>
  <c r="N131" i="240"/>
  <c r="O131" i="240"/>
  <c r="P131" i="240"/>
  <c r="E132" i="240"/>
  <c r="F132" i="240"/>
  <c r="G132" i="240"/>
  <c r="H132" i="240"/>
  <c r="I132" i="240"/>
  <c r="J132" i="240"/>
  <c r="K132" i="240"/>
  <c r="L132" i="240"/>
  <c r="M132" i="240"/>
  <c r="N132" i="240"/>
  <c r="O132" i="240"/>
  <c r="P132" i="240"/>
  <c r="E133" i="240"/>
  <c r="F133" i="240"/>
  <c r="G133" i="240"/>
  <c r="H133" i="240"/>
  <c r="I133" i="240"/>
  <c r="J133" i="240"/>
  <c r="K133" i="240"/>
  <c r="L133" i="240"/>
  <c r="M133" i="240"/>
  <c r="N133" i="240"/>
  <c r="O133" i="240"/>
  <c r="P133" i="240"/>
  <c r="E134" i="240"/>
  <c r="F134" i="240"/>
  <c r="Q134" i="240" s="1"/>
  <c r="O133" i="234" s="1"/>
  <c r="G134" i="240"/>
  <c r="H134" i="240"/>
  <c r="I134" i="240"/>
  <c r="J134" i="240"/>
  <c r="K134" i="240"/>
  <c r="L134" i="240"/>
  <c r="M134" i="240"/>
  <c r="N134" i="240"/>
  <c r="O134" i="240"/>
  <c r="P134" i="240"/>
  <c r="E135" i="240"/>
  <c r="F135" i="240"/>
  <c r="G135" i="240"/>
  <c r="H135" i="240"/>
  <c r="I135" i="240"/>
  <c r="J135" i="240"/>
  <c r="K135" i="240"/>
  <c r="L135" i="240"/>
  <c r="M135" i="240"/>
  <c r="N135" i="240"/>
  <c r="O135" i="240"/>
  <c r="P135" i="240"/>
  <c r="E136" i="240"/>
  <c r="F136" i="240"/>
  <c r="G136" i="240"/>
  <c r="H136" i="240"/>
  <c r="I136" i="240"/>
  <c r="J136" i="240"/>
  <c r="K136" i="240"/>
  <c r="L136" i="240"/>
  <c r="M136" i="240"/>
  <c r="N136" i="240"/>
  <c r="O136" i="240"/>
  <c r="P136" i="240"/>
  <c r="E137" i="240"/>
  <c r="F137" i="240"/>
  <c r="G137" i="240"/>
  <c r="H137" i="240"/>
  <c r="I137" i="240"/>
  <c r="J137" i="240"/>
  <c r="K137" i="240"/>
  <c r="L137" i="240"/>
  <c r="M137" i="240"/>
  <c r="N137" i="240"/>
  <c r="O137" i="240"/>
  <c r="P137" i="240"/>
  <c r="E138" i="240"/>
  <c r="F138" i="240"/>
  <c r="G138" i="240"/>
  <c r="H138" i="240"/>
  <c r="I138" i="240"/>
  <c r="J138" i="240"/>
  <c r="K138" i="240"/>
  <c r="L138" i="240"/>
  <c r="M138" i="240"/>
  <c r="N138" i="240"/>
  <c r="O138" i="240"/>
  <c r="P138" i="240"/>
  <c r="E139" i="240"/>
  <c r="F139" i="240"/>
  <c r="G139" i="240"/>
  <c r="H139" i="240"/>
  <c r="I139" i="240"/>
  <c r="J139" i="240"/>
  <c r="K139" i="240"/>
  <c r="L139" i="240"/>
  <c r="M139" i="240"/>
  <c r="N139" i="240"/>
  <c r="O139" i="240"/>
  <c r="P139" i="240"/>
  <c r="E140" i="240"/>
  <c r="F140" i="240"/>
  <c r="G140" i="240"/>
  <c r="H140" i="240"/>
  <c r="I140" i="240"/>
  <c r="J140" i="240"/>
  <c r="K140" i="240"/>
  <c r="L140" i="240"/>
  <c r="M140" i="240"/>
  <c r="N140" i="240"/>
  <c r="O140" i="240"/>
  <c r="P140" i="240"/>
  <c r="E166" i="240"/>
  <c r="F166" i="240"/>
  <c r="G166" i="240"/>
  <c r="H166" i="240"/>
  <c r="I166" i="240"/>
  <c r="J166" i="240"/>
  <c r="K166" i="240"/>
  <c r="L166" i="240"/>
  <c r="M166" i="240"/>
  <c r="N166" i="240"/>
  <c r="O166" i="240"/>
  <c r="P166" i="240"/>
  <c r="E167" i="240"/>
  <c r="F167" i="240"/>
  <c r="G167" i="240"/>
  <c r="H167" i="240"/>
  <c r="I167" i="240"/>
  <c r="J167" i="240"/>
  <c r="K167" i="240"/>
  <c r="L167" i="240"/>
  <c r="M167" i="240"/>
  <c r="N167" i="240"/>
  <c r="O167" i="240"/>
  <c r="P167" i="240"/>
  <c r="E168" i="240"/>
  <c r="F168" i="240"/>
  <c r="G168" i="240"/>
  <c r="H168" i="240"/>
  <c r="I168" i="240"/>
  <c r="J168" i="240"/>
  <c r="K168" i="240"/>
  <c r="L168" i="240"/>
  <c r="M168" i="240"/>
  <c r="N168" i="240"/>
  <c r="O168" i="240"/>
  <c r="P168" i="240"/>
  <c r="E169" i="240"/>
  <c r="F169" i="240"/>
  <c r="G169" i="240"/>
  <c r="H169" i="240"/>
  <c r="I169" i="240"/>
  <c r="J169" i="240"/>
  <c r="K169" i="240"/>
  <c r="L169" i="240"/>
  <c r="M169" i="240"/>
  <c r="N169" i="240"/>
  <c r="O169" i="240"/>
  <c r="P169" i="240"/>
  <c r="E170" i="240"/>
  <c r="F170" i="240"/>
  <c r="G170" i="240"/>
  <c r="H170" i="240"/>
  <c r="I170" i="240"/>
  <c r="J170" i="240"/>
  <c r="K170" i="240"/>
  <c r="L170" i="240"/>
  <c r="M170" i="240"/>
  <c r="N170" i="240"/>
  <c r="O170" i="240"/>
  <c r="P170" i="240"/>
  <c r="E171" i="240"/>
  <c r="F171" i="240"/>
  <c r="G171" i="240"/>
  <c r="H171" i="240"/>
  <c r="I171" i="240"/>
  <c r="J171" i="240"/>
  <c r="K171" i="240"/>
  <c r="L171" i="240"/>
  <c r="M171" i="240"/>
  <c r="N171" i="240"/>
  <c r="O171" i="240"/>
  <c r="P171" i="240"/>
  <c r="E172" i="240"/>
  <c r="F172" i="240"/>
  <c r="G172" i="240"/>
  <c r="H172" i="240"/>
  <c r="I172" i="240"/>
  <c r="J172" i="240"/>
  <c r="K172" i="240"/>
  <c r="L172" i="240"/>
  <c r="M172" i="240"/>
  <c r="N172" i="240"/>
  <c r="O172" i="240"/>
  <c r="P172" i="240"/>
  <c r="Q195" i="240"/>
  <c r="O189" i="234" s="1"/>
  <c r="Q196" i="240"/>
  <c r="O190" i="234" s="1"/>
  <c r="Q197" i="240"/>
  <c r="O191" i="234" s="1"/>
  <c r="Q198" i="240"/>
  <c r="O192" i="234" s="1"/>
  <c r="Q199" i="240"/>
  <c r="O193" i="234" s="1"/>
  <c r="Q200" i="240"/>
  <c r="O194" i="234" s="1"/>
  <c r="Q201" i="240"/>
  <c r="O195" i="234" s="1"/>
  <c r="Q202" i="240"/>
  <c r="O196" i="234" s="1"/>
  <c r="Q203" i="240"/>
  <c r="O197" i="234" s="1"/>
  <c r="Q204" i="240"/>
  <c r="O198" i="234" s="1"/>
  <c r="Q207" i="240"/>
  <c r="O201" i="234" s="1"/>
  <c r="Q208" i="240"/>
  <c r="O202" i="234" s="1"/>
  <c r="Q209" i="240"/>
  <c r="O203" i="234" s="1"/>
  <c r="Q210" i="240"/>
  <c r="O204" i="234" s="1"/>
  <c r="Q211" i="240"/>
  <c r="O205" i="234" s="1"/>
  <c r="Q212" i="240"/>
  <c r="O206" i="234" s="1"/>
  <c r="Q213" i="240"/>
  <c r="O207" i="234" s="1"/>
  <c r="Q214" i="240"/>
  <c r="O208" i="234" s="1"/>
  <c r="Q215" i="240"/>
  <c r="O209" i="234" s="1"/>
  <c r="Q216" i="240"/>
  <c r="O210" i="234" s="1"/>
  <c r="Q217" i="240"/>
  <c r="O211" i="234" s="1"/>
  <c r="Q219" i="240"/>
  <c r="O213" i="234" s="1"/>
  <c r="Q220" i="240"/>
  <c r="O214" i="234" s="1"/>
  <c r="Q221" i="240"/>
  <c r="O215" i="234" s="1"/>
  <c r="Q222" i="240"/>
  <c r="O216" i="234" s="1"/>
  <c r="Q223" i="240"/>
  <c r="O217" i="234" s="1"/>
  <c r="Q224" i="240"/>
  <c r="O218" i="234" s="1"/>
  <c r="E65" i="240"/>
  <c r="F65" i="240"/>
  <c r="G65" i="240"/>
  <c r="H65" i="240"/>
  <c r="I65" i="240"/>
  <c r="J65" i="240"/>
  <c r="K65" i="240"/>
  <c r="L65" i="240"/>
  <c r="M65" i="240"/>
  <c r="N65" i="240"/>
  <c r="O65" i="240"/>
  <c r="P65" i="240"/>
  <c r="E67" i="240"/>
  <c r="F67" i="240"/>
  <c r="G67" i="240"/>
  <c r="H67" i="240"/>
  <c r="I67" i="240"/>
  <c r="J67" i="240"/>
  <c r="K67" i="240"/>
  <c r="L67" i="240"/>
  <c r="M67" i="240"/>
  <c r="N67" i="240"/>
  <c r="O67" i="240"/>
  <c r="P67" i="240"/>
  <c r="Q245" i="240"/>
  <c r="O239" i="234" s="1"/>
  <c r="Q246" i="240"/>
  <c r="O240" i="234" s="1"/>
  <c r="Q247" i="240"/>
  <c r="O241" i="234" s="1"/>
  <c r="Q248" i="240"/>
  <c r="O242" i="234" s="1"/>
  <c r="Q249" i="240"/>
  <c r="O243" i="234" s="1"/>
  <c r="Q250" i="240"/>
  <c r="O244" i="234" s="1"/>
  <c r="Q251" i="240"/>
  <c r="O245" i="234" s="1"/>
  <c r="Q252" i="240"/>
  <c r="O246" i="234" s="1"/>
  <c r="Q253" i="240"/>
  <c r="O247" i="234" s="1"/>
  <c r="Q254" i="240"/>
  <c r="O248" i="234" s="1"/>
  <c r="Q257" i="240"/>
  <c r="O251" i="234" s="1"/>
  <c r="Q258" i="240"/>
  <c r="O252" i="234" s="1"/>
  <c r="Q259" i="240"/>
  <c r="O253" i="234" s="1"/>
  <c r="Q260" i="240"/>
  <c r="O254" i="234" s="1"/>
  <c r="Q261" i="240"/>
  <c r="O255" i="234" s="1"/>
  <c r="Q262" i="240"/>
  <c r="O256" i="234" s="1"/>
  <c r="Q263" i="240"/>
  <c r="O257" i="234" s="1"/>
  <c r="Q264" i="240"/>
  <c r="O258" i="234" s="1"/>
  <c r="Q265" i="240"/>
  <c r="O259" i="234" s="1"/>
  <c r="Q266" i="240"/>
  <c r="O260" i="234" s="1"/>
  <c r="Q267" i="240"/>
  <c r="O261" i="234" s="1"/>
  <c r="Q268" i="240"/>
  <c r="O262" i="234" s="1"/>
  <c r="Q269" i="240"/>
  <c r="O263" i="234" s="1"/>
  <c r="Q270" i="240"/>
  <c r="O264" i="234" s="1"/>
  <c r="E271" i="240"/>
  <c r="F271" i="240"/>
  <c r="G271" i="240"/>
  <c r="H271" i="240"/>
  <c r="I271" i="240"/>
  <c r="J271" i="240"/>
  <c r="K271" i="240"/>
  <c r="L271" i="240"/>
  <c r="M271" i="240"/>
  <c r="N271" i="240"/>
  <c r="O271" i="240"/>
  <c r="P271" i="240"/>
  <c r="E281" i="240"/>
  <c r="F281" i="240"/>
  <c r="G281" i="240"/>
  <c r="H281" i="240"/>
  <c r="J281" i="240"/>
  <c r="M281" i="240"/>
  <c r="N281" i="240"/>
  <c r="O281" i="240"/>
  <c r="P281" i="240"/>
  <c r="Q275" i="240"/>
  <c r="O269" i="234" s="1"/>
  <c r="Q276" i="240"/>
  <c r="O270" i="234" s="1"/>
  <c r="Q277" i="240"/>
  <c r="O271" i="234" s="1"/>
  <c r="Q278" i="240"/>
  <c r="O272" i="234" s="1"/>
  <c r="Q279" i="240"/>
  <c r="O273" i="234" s="1"/>
  <c r="Q280" i="240"/>
  <c r="O274" i="234" s="1"/>
  <c r="F291" i="240"/>
  <c r="G291" i="240"/>
  <c r="H291" i="240"/>
  <c r="J291" i="240"/>
  <c r="M291" i="240"/>
  <c r="N291" i="240"/>
  <c r="O291" i="240"/>
  <c r="P291" i="240"/>
  <c r="Q284" i="240"/>
  <c r="O278" i="234" s="1"/>
  <c r="Q285" i="240"/>
  <c r="O279" i="234" s="1"/>
  <c r="Q286" i="240"/>
  <c r="O280" i="234" s="1"/>
  <c r="Q287" i="240"/>
  <c r="O281" i="234" s="1"/>
  <c r="Q288" i="240"/>
  <c r="O282" i="234" s="1"/>
  <c r="Q289" i="240"/>
  <c r="O283" i="234" s="1"/>
  <c r="Q290" i="240"/>
  <c r="O284" i="234" s="1"/>
  <c r="Q293" i="240"/>
  <c r="O287" i="234" s="1"/>
  <c r="Q294" i="240"/>
  <c r="O288" i="234" s="1"/>
  <c r="Q295" i="240"/>
  <c r="O289" i="234" s="1"/>
  <c r="Q296" i="240"/>
  <c r="O290" i="234" s="1"/>
  <c r="Q297" i="240"/>
  <c r="O291" i="234" s="1"/>
  <c r="Q298" i="240"/>
  <c r="O292" i="234" s="1"/>
  <c r="Q299" i="240"/>
  <c r="O293" i="234" s="1"/>
  <c r="Q300" i="240"/>
  <c r="O294" i="234" s="1"/>
  <c r="Q301" i="240"/>
  <c r="O295" i="234" s="1"/>
  <c r="Q302" i="240"/>
  <c r="O296" i="234" s="1"/>
  <c r="Q303" i="240"/>
  <c r="O297" i="234" s="1"/>
  <c r="Q304" i="240"/>
  <c r="O298" i="234" s="1"/>
  <c r="Q305" i="240"/>
  <c r="O299" i="234" s="1"/>
  <c r="Q306" i="240"/>
  <c r="O300" i="234" s="1"/>
  <c r="Q307" i="240"/>
  <c r="O301" i="234" s="1"/>
  <c r="Q308" i="240"/>
  <c r="O302" i="234" s="1"/>
  <c r="Q309" i="240"/>
  <c r="O303" i="234" s="1"/>
  <c r="Q310" i="240"/>
  <c r="O304" i="234" s="1"/>
  <c r="Q311" i="240"/>
  <c r="O305" i="234" s="1"/>
  <c r="Q312" i="240"/>
  <c r="O306" i="234" s="1"/>
  <c r="Q313" i="240"/>
  <c r="O307" i="234" s="1"/>
  <c r="Q314" i="240"/>
  <c r="O308" i="234" s="1"/>
  <c r="Q315" i="240"/>
  <c r="O309" i="234" s="1"/>
  <c r="Q316" i="240"/>
  <c r="O310" i="234" s="1"/>
  <c r="E317" i="240"/>
  <c r="F317" i="240"/>
  <c r="G317" i="240"/>
  <c r="H317" i="240"/>
  <c r="I317" i="240"/>
  <c r="J317" i="240"/>
  <c r="K317" i="240"/>
  <c r="L317" i="240"/>
  <c r="M317" i="240"/>
  <c r="N317" i="240"/>
  <c r="O317" i="240"/>
  <c r="P317" i="240"/>
  <c r="Q319" i="240"/>
  <c r="O313" i="234" s="1"/>
  <c r="Q321" i="240"/>
  <c r="O315" i="234" s="1"/>
  <c r="Q322" i="240"/>
  <c r="O316" i="234" s="1"/>
  <c r="Q338" i="240"/>
  <c r="O332" i="234" s="1"/>
  <c r="Q339" i="240"/>
  <c r="O333" i="234" s="1"/>
  <c r="Q340" i="240"/>
  <c r="O334" i="234" s="1"/>
  <c r="Q341" i="240"/>
  <c r="O335" i="234" s="1"/>
  <c r="Q342" i="240"/>
  <c r="O336" i="234" s="1"/>
  <c r="Q343" i="240"/>
  <c r="Q344" i="240"/>
  <c r="E345" i="240"/>
  <c r="F345" i="240"/>
  <c r="G345" i="240"/>
  <c r="H345" i="240"/>
  <c r="I345" i="240"/>
  <c r="J345" i="240"/>
  <c r="K345" i="240"/>
  <c r="L345" i="240"/>
  <c r="M345" i="240"/>
  <c r="N345" i="240"/>
  <c r="O345" i="240"/>
  <c r="P345" i="240"/>
  <c r="Q347" i="240"/>
  <c r="O339" i="234" s="1"/>
  <c r="Q348" i="240"/>
  <c r="E349" i="240"/>
  <c r="F349" i="240"/>
  <c r="G349" i="240"/>
  <c r="H349" i="240"/>
  <c r="I349" i="240"/>
  <c r="J349" i="240"/>
  <c r="K349" i="240"/>
  <c r="L349" i="240"/>
  <c r="M349" i="240"/>
  <c r="N349" i="240"/>
  <c r="O349" i="240"/>
  <c r="P349" i="240"/>
  <c r="Q367" i="240"/>
  <c r="O360" i="234" s="1"/>
  <c r="Q368" i="240"/>
  <c r="O361" i="234" s="1"/>
  <c r="Q369" i="240"/>
  <c r="O362" i="234" s="1"/>
  <c r="Q370" i="240"/>
  <c r="O363" i="234" s="1"/>
  <c r="Q371" i="240"/>
  <c r="O364" i="234" s="1"/>
  <c r="Q372" i="240"/>
  <c r="O365" i="234" s="1"/>
  <c r="Q373" i="240"/>
  <c r="O366" i="234" s="1"/>
  <c r="Q374" i="240"/>
  <c r="O367" i="234" s="1"/>
  <c r="Q375" i="240"/>
  <c r="O368" i="234" s="1"/>
  <c r="Q376" i="240"/>
  <c r="O369" i="234" s="1"/>
  <c r="Q379" i="240"/>
  <c r="O372" i="234" s="1"/>
  <c r="Q380" i="240"/>
  <c r="O373" i="234" s="1"/>
  <c r="Q381" i="240"/>
  <c r="O374" i="234" s="1"/>
  <c r="Q382" i="240"/>
  <c r="O375" i="234" s="1"/>
  <c r="Q383" i="240"/>
  <c r="O376" i="234" s="1"/>
  <c r="Q384" i="240"/>
  <c r="O377" i="234" s="1"/>
  <c r="Q385" i="240"/>
  <c r="O378" i="234" s="1"/>
  <c r="Q386" i="240"/>
  <c r="O379" i="234" s="1"/>
  <c r="Q387" i="240"/>
  <c r="O380" i="234" s="1"/>
  <c r="Q388" i="240"/>
  <c r="O381" i="234" s="1"/>
  <c r="Q389" i="240"/>
  <c r="O382" i="234" s="1"/>
  <c r="Q390" i="240"/>
  <c r="O383" i="234" s="1"/>
  <c r="Q391" i="240"/>
  <c r="O384" i="234" s="1"/>
  <c r="Q392" i="240"/>
  <c r="O385" i="234" s="1"/>
  <c r="Q393" i="240"/>
  <c r="O386" i="234" s="1"/>
  <c r="Q394" i="240"/>
  <c r="O387" i="234" s="1"/>
  <c r="Q395" i="240"/>
  <c r="O388" i="234" s="1"/>
  <c r="Q396" i="240"/>
  <c r="O389" i="234" s="1"/>
  <c r="E397" i="240"/>
  <c r="F397" i="240"/>
  <c r="G397" i="240"/>
  <c r="H397" i="240"/>
  <c r="I397" i="240"/>
  <c r="J397" i="240"/>
  <c r="K397" i="240"/>
  <c r="K49" i="240" s="1"/>
  <c r="L397" i="240"/>
  <c r="M397" i="240"/>
  <c r="N397" i="240"/>
  <c r="O397" i="240"/>
  <c r="P397" i="240"/>
  <c r="Q413" i="240"/>
  <c r="O406" i="234" s="1"/>
  <c r="Q415" i="240"/>
  <c r="O408" i="234" s="1"/>
  <c r="F69" i="240"/>
  <c r="G69" i="240"/>
  <c r="H69" i="240"/>
  <c r="I69" i="240"/>
  <c r="J69" i="240"/>
  <c r="K69" i="240"/>
  <c r="L69" i="240"/>
  <c r="M69" i="240"/>
  <c r="N69" i="240"/>
  <c r="O69" i="240"/>
  <c r="P69" i="240"/>
  <c r="Q418" i="240"/>
  <c r="O411" i="234" s="1"/>
  <c r="Q419" i="240"/>
  <c r="O412" i="234" s="1"/>
  <c r="Q420" i="240"/>
  <c r="O413" i="234" s="1"/>
  <c r="Q421" i="240"/>
  <c r="O414" i="234" s="1"/>
  <c r="Q422" i="240"/>
  <c r="O415" i="234" s="1"/>
  <c r="Q423" i="240"/>
  <c r="O416" i="234" s="1"/>
  <c r="Q424" i="240"/>
  <c r="O417" i="234" s="1"/>
  <c r="Q425" i="240"/>
  <c r="O418" i="234" s="1"/>
  <c r="Q426" i="240"/>
  <c r="Q427" i="240"/>
  <c r="E81" i="240"/>
  <c r="F81" i="240"/>
  <c r="G81" i="240"/>
  <c r="H81" i="240"/>
  <c r="I81" i="240"/>
  <c r="J81" i="240"/>
  <c r="L81" i="240"/>
  <c r="M81" i="240"/>
  <c r="N81" i="240"/>
  <c r="O81" i="240"/>
  <c r="P81" i="240"/>
  <c r="F82" i="240"/>
  <c r="G82" i="240"/>
  <c r="H82" i="240"/>
  <c r="I82" i="240"/>
  <c r="J82" i="240"/>
  <c r="K82" i="240"/>
  <c r="N82" i="240"/>
  <c r="O82" i="240"/>
  <c r="P82" i="240"/>
  <c r="E83" i="240"/>
  <c r="F83" i="240"/>
  <c r="G83" i="240"/>
  <c r="H83" i="240"/>
  <c r="I83" i="240"/>
  <c r="J83" i="240"/>
  <c r="K83" i="240"/>
  <c r="L83" i="240"/>
  <c r="M83" i="240"/>
  <c r="N83" i="240"/>
  <c r="O83" i="240"/>
  <c r="P83" i="240"/>
  <c r="E84" i="240"/>
  <c r="F84" i="240"/>
  <c r="G84" i="240"/>
  <c r="H84" i="240"/>
  <c r="I84" i="240"/>
  <c r="J84" i="240"/>
  <c r="K84" i="240"/>
  <c r="L84" i="240"/>
  <c r="M84" i="240"/>
  <c r="N84" i="240"/>
  <c r="O84" i="240"/>
  <c r="P84" i="240"/>
  <c r="Q434" i="240"/>
  <c r="O425" i="234" s="1"/>
  <c r="Q435" i="240"/>
  <c r="O426" i="234" s="1"/>
  <c r="Q436" i="240"/>
  <c r="O427" i="234" s="1"/>
  <c r="Q437" i="240"/>
  <c r="O428" i="234" s="1"/>
  <c r="Q438" i="240"/>
  <c r="O429" i="234" s="1"/>
  <c r="Q439" i="240"/>
  <c r="O430" i="234" s="1"/>
  <c r="Q440" i="240"/>
  <c r="O431" i="234" s="1"/>
  <c r="Q441" i="240"/>
  <c r="O432" i="234" s="1"/>
  <c r="U441" i="240"/>
  <c r="U442" i="240" s="1"/>
  <c r="U443" i="240" s="1"/>
  <c r="Q442" i="240"/>
  <c r="O433" i="234" s="1"/>
  <c r="Q443" i="240"/>
  <c r="O434" i="234" s="1"/>
  <c r="E99" i="240"/>
  <c r="F99" i="240"/>
  <c r="G99" i="240"/>
  <c r="H99" i="240"/>
  <c r="I99" i="240"/>
  <c r="J99" i="240"/>
  <c r="K99" i="240"/>
  <c r="L99" i="240"/>
  <c r="M99" i="240"/>
  <c r="N99" i="240"/>
  <c r="O99" i="240"/>
  <c r="P99" i="240"/>
  <c r="E464" i="240"/>
  <c r="F464" i="240"/>
  <c r="G464" i="240"/>
  <c r="H464" i="240"/>
  <c r="I464" i="240"/>
  <c r="J464" i="240"/>
  <c r="K464" i="240"/>
  <c r="L464" i="240"/>
  <c r="M464" i="240"/>
  <c r="N464" i="240"/>
  <c r="O464" i="240"/>
  <c r="P464" i="240"/>
  <c r="Q459" i="240"/>
  <c r="O450" i="234" s="1"/>
  <c r="Q460" i="240"/>
  <c r="O451" i="234" s="1"/>
  <c r="Q461" i="240"/>
  <c r="O452" i="234" s="1"/>
  <c r="Q462" i="240"/>
  <c r="O453" i="234" s="1"/>
  <c r="Q463" i="240"/>
  <c r="O454" i="234" s="1"/>
  <c r="E117" i="240"/>
  <c r="F117" i="240"/>
  <c r="H117" i="240"/>
  <c r="I117" i="240"/>
  <c r="J117" i="240"/>
  <c r="K117" i="240"/>
  <c r="M117" i="240"/>
  <c r="N117" i="240"/>
  <c r="P117" i="240"/>
  <c r="F119" i="240"/>
  <c r="G119" i="240"/>
  <c r="H119" i="240"/>
  <c r="I119" i="240"/>
  <c r="J119" i="240"/>
  <c r="K119" i="240"/>
  <c r="L119" i="240"/>
  <c r="M119" i="240"/>
  <c r="N119" i="240"/>
  <c r="O119" i="240"/>
  <c r="P119" i="240"/>
  <c r="F120" i="240"/>
  <c r="G120" i="240"/>
  <c r="H120" i="240"/>
  <c r="I120" i="240"/>
  <c r="J120" i="240"/>
  <c r="K120" i="240"/>
  <c r="L120" i="240"/>
  <c r="M120" i="240"/>
  <c r="N120" i="240"/>
  <c r="O120" i="240"/>
  <c r="P120" i="240"/>
  <c r="E121" i="240"/>
  <c r="F121" i="240"/>
  <c r="G121" i="240"/>
  <c r="H121" i="240"/>
  <c r="I121" i="240"/>
  <c r="J121" i="240"/>
  <c r="K121" i="240"/>
  <c r="L121" i="240"/>
  <c r="M121" i="240"/>
  <c r="N121" i="240"/>
  <c r="O121" i="240"/>
  <c r="P121" i="240"/>
  <c r="E122" i="240"/>
  <c r="F122" i="240"/>
  <c r="G122" i="240"/>
  <c r="H122" i="240"/>
  <c r="I122" i="240"/>
  <c r="J122" i="240"/>
  <c r="K122" i="240"/>
  <c r="L122" i="240"/>
  <c r="M122" i="240"/>
  <c r="N122" i="240"/>
  <c r="O122" i="240"/>
  <c r="P122" i="240"/>
  <c r="E123" i="240"/>
  <c r="F123" i="240"/>
  <c r="G123" i="240"/>
  <c r="H123" i="240"/>
  <c r="I123" i="240"/>
  <c r="J123" i="240"/>
  <c r="K123" i="240"/>
  <c r="L123" i="240"/>
  <c r="M123" i="240"/>
  <c r="N123" i="240"/>
  <c r="O123" i="240"/>
  <c r="P123" i="240"/>
  <c r="E124" i="240"/>
  <c r="F124" i="240"/>
  <c r="G124" i="240"/>
  <c r="H124" i="240"/>
  <c r="I124" i="240"/>
  <c r="J124" i="240"/>
  <c r="K124" i="240"/>
  <c r="L124" i="240"/>
  <c r="M124" i="240"/>
  <c r="N124" i="240"/>
  <c r="O124" i="240"/>
  <c r="P124" i="240"/>
  <c r="E125" i="240"/>
  <c r="F125" i="240"/>
  <c r="G125" i="240"/>
  <c r="H125" i="240"/>
  <c r="I125" i="240"/>
  <c r="J125" i="240"/>
  <c r="K125" i="240"/>
  <c r="L125" i="240"/>
  <c r="M125" i="240"/>
  <c r="N125" i="240"/>
  <c r="O125" i="240"/>
  <c r="P125" i="240"/>
  <c r="E126" i="240"/>
  <c r="F126" i="240"/>
  <c r="G126" i="240"/>
  <c r="H126" i="240"/>
  <c r="I126" i="240"/>
  <c r="J126" i="240"/>
  <c r="K126" i="240"/>
  <c r="L126" i="240"/>
  <c r="M126" i="240"/>
  <c r="N126" i="240"/>
  <c r="O126" i="240"/>
  <c r="P126" i="240"/>
  <c r="F127" i="240"/>
  <c r="G127" i="240"/>
  <c r="H127" i="240"/>
  <c r="I127" i="240"/>
  <c r="J127" i="240"/>
  <c r="K127" i="240"/>
  <c r="L127" i="240"/>
  <c r="M127" i="240"/>
  <c r="N127" i="240"/>
  <c r="O127" i="240"/>
  <c r="P127" i="240"/>
  <c r="Q477" i="240"/>
  <c r="O468" i="234" s="1"/>
  <c r="E129" i="240"/>
  <c r="F129" i="240"/>
  <c r="G129" i="240"/>
  <c r="H129" i="240"/>
  <c r="I129" i="240"/>
  <c r="J129" i="240"/>
  <c r="K129" i="240"/>
  <c r="L129" i="240"/>
  <c r="M129" i="240"/>
  <c r="N129" i="240"/>
  <c r="O129" i="240"/>
  <c r="P129" i="240"/>
  <c r="E130" i="240"/>
  <c r="F130" i="240"/>
  <c r="G130" i="240"/>
  <c r="H130" i="240"/>
  <c r="I130" i="240"/>
  <c r="J130" i="240"/>
  <c r="K130" i="240"/>
  <c r="L130" i="240"/>
  <c r="M130" i="240"/>
  <c r="N130" i="240"/>
  <c r="O130" i="240"/>
  <c r="P130" i="240"/>
  <c r="Q480" i="240"/>
  <c r="O471" i="234" s="1"/>
  <c r="Q481" i="240"/>
  <c r="O472" i="234" s="1"/>
  <c r="Q482" i="240"/>
  <c r="O473" i="234" s="1"/>
  <c r="Q483" i="240"/>
  <c r="O474" i="234" s="1"/>
  <c r="Q484" i="240"/>
  <c r="O475" i="234" s="1"/>
  <c r="Q485" i="240"/>
  <c r="O476" i="234" s="1"/>
  <c r="Q486" i="240"/>
  <c r="O477" i="234" s="1"/>
  <c r="Q487" i="240"/>
  <c r="O478" i="234" s="1"/>
  <c r="Q488" i="240"/>
  <c r="O479" i="234" s="1"/>
  <c r="Q489" i="240"/>
  <c r="O480" i="234" s="1"/>
  <c r="Q494" i="240"/>
  <c r="Q512" i="240"/>
  <c r="Q513" i="240"/>
  <c r="Q514" i="240"/>
  <c r="Q515" i="240"/>
  <c r="Q516" i="240"/>
  <c r="Q517" i="240"/>
  <c r="Q518" i="240"/>
  <c r="Q519" i="240"/>
  <c r="E175" i="240"/>
  <c r="F175" i="240"/>
  <c r="G175" i="240"/>
  <c r="H175" i="240"/>
  <c r="J175" i="240"/>
  <c r="K175" i="240"/>
  <c r="M175" i="240"/>
  <c r="N175" i="240"/>
  <c r="O175" i="240"/>
  <c r="P175" i="240"/>
  <c r="E19" i="239"/>
  <c r="F19" i="239"/>
  <c r="G19" i="239"/>
  <c r="H19" i="239"/>
  <c r="I19" i="239"/>
  <c r="J19" i="239"/>
  <c r="K19" i="239"/>
  <c r="L19" i="239"/>
  <c r="M19" i="239"/>
  <c r="N19" i="239"/>
  <c r="O19" i="239"/>
  <c r="P19" i="239"/>
  <c r="E20" i="239"/>
  <c r="F20" i="239"/>
  <c r="G20" i="239"/>
  <c r="H20" i="239"/>
  <c r="I20" i="239"/>
  <c r="J20" i="239"/>
  <c r="K20" i="239"/>
  <c r="L20" i="239"/>
  <c r="M20" i="239"/>
  <c r="N20" i="239"/>
  <c r="O20" i="239"/>
  <c r="P20" i="239"/>
  <c r="E21" i="239"/>
  <c r="F21" i="239"/>
  <c r="G21" i="239"/>
  <c r="H21" i="239"/>
  <c r="I21" i="239"/>
  <c r="J21" i="239"/>
  <c r="Q21" i="239" s="1"/>
  <c r="K21" i="239"/>
  <c r="L21" i="239"/>
  <c r="M21" i="239"/>
  <c r="N21" i="239"/>
  <c r="O21" i="239"/>
  <c r="P21" i="239"/>
  <c r="E22" i="239"/>
  <c r="F22" i="239"/>
  <c r="G22" i="239"/>
  <c r="H22" i="239"/>
  <c r="I22" i="239"/>
  <c r="J22" i="239"/>
  <c r="K22" i="239"/>
  <c r="L22" i="239"/>
  <c r="M22" i="239"/>
  <c r="N22" i="239"/>
  <c r="O22" i="239"/>
  <c r="P22" i="239"/>
  <c r="E23" i="239"/>
  <c r="F23" i="239"/>
  <c r="G23" i="239"/>
  <c r="H23" i="239"/>
  <c r="I23" i="239"/>
  <c r="J23" i="239"/>
  <c r="Q23" i="239" s="1"/>
  <c r="N23" i="234" s="1"/>
  <c r="K23" i="239"/>
  <c r="L23" i="239"/>
  <c r="M23" i="239"/>
  <c r="N23" i="239"/>
  <c r="O23" i="239"/>
  <c r="P23" i="239"/>
  <c r="E24" i="239"/>
  <c r="F24" i="239"/>
  <c r="G24" i="239"/>
  <c r="H24" i="239"/>
  <c r="I24" i="239"/>
  <c r="J24" i="239"/>
  <c r="K24" i="239"/>
  <c r="L24" i="239"/>
  <c r="M24" i="239"/>
  <c r="N24" i="239"/>
  <c r="O24" i="239"/>
  <c r="P24" i="239"/>
  <c r="E25" i="239"/>
  <c r="F25" i="239"/>
  <c r="G25" i="239"/>
  <c r="H25" i="239"/>
  <c r="I25" i="239"/>
  <c r="J25" i="239"/>
  <c r="K25" i="239"/>
  <c r="L25" i="239"/>
  <c r="M25" i="239"/>
  <c r="N25" i="239"/>
  <c r="O25" i="239"/>
  <c r="P25" i="239"/>
  <c r="E26" i="239"/>
  <c r="F26" i="239"/>
  <c r="G26" i="239"/>
  <c r="H26" i="239"/>
  <c r="I26" i="239"/>
  <c r="J26" i="239"/>
  <c r="K26" i="239"/>
  <c r="L26" i="239"/>
  <c r="M26" i="239"/>
  <c r="N26" i="239"/>
  <c r="O26" i="239"/>
  <c r="P26" i="239"/>
  <c r="E27" i="239"/>
  <c r="F27" i="239"/>
  <c r="G27" i="239"/>
  <c r="H27" i="239"/>
  <c r="I27" i="239"/>
  <c r="J27" i="239"/>
  <c r="K27" i="239"/>
  <c r="L27" i="239"/>
  <c r="M27" i="239"/>
  <c r="N27" i="239"/>
  <c r="O27" i="239"/>
  <c r="P27" i="239"/>
  <c r="E28" i="239"/>
  <c r="F28" i="239"/>
  <c r="Q28" i="239" s="1"/>
  <c r="N28" i="234" s="1"/>
  <c r="G28" i="239"/>
  <c r="H28" i="239"/>
  <c r="I28" i="239"/>
  <c r="J28" i="239"/>
  <c r="K28" i="239"/>
  <c r="L28" i="239"/>
  <c r="M28" i="239"/>
  <c r="N28" i="239"/>
  <c r="O28" i="239"/>
  <c r="P28" i="239"/>
  <c r="E31" i="239"/>
  <c r="F31" i="239"/>
  <c r="G31" i="239"/>
  <c r="H31" i="239"/>
  <c r="I31" i="239"/>
  <c r="J31" i="239"/>
  <c r="K31" i="239"/>
  <c r="L31" i="239"/>
  <c r="M31" i="239"/>
  <c r="N31" i="239"/>
  <c r="O31" i="239"/>
  <c r="P31" i="239"/>
  <c r="E32" i="239"/>
  <c r="F32" i="239"/>
  <c r="G32" i="239"/>
  <c r="H32" i="239"/>
  <c r="I32" i="239"/>
  <c r="J32" i="239"/>
  <c r="K32" i="239"/>
  <c r="L32" i="239"/>
  <c r="M32" i="239"/>
  <c r="N32" i="239"/>
  <c r="O32" i="239"/>
  <c r="P32" i="239"/>
  <c r="E33" i="239"/>
  <c r="F33" i="239"/>
  <c r="G33" i="239"/>
  <c r="H33" i="239"/>
  <c r="I33" i="239"/>
  <c r="J33" i="239"/>
  <c r="K33" i="239"/>
  <c r="L33" i="239"/>
  <c r="M33" i="239"/>
  <c r="N33" i="239"/>
  <c r="O33" i="239"/>
  <c r="P33" i="239"/>
  <c r="E34" i="239"/>
  <c r="F34" i="239"/>
  <c r="G34" i="239"/>
  <c r="H34" i="239"/>
  <c r="I34" i="239"/>
  <c r="J34" i="239"/>
  <c r="K34" i="239"/>
  <c r="L34" i="239"/>
  <c r="M34" i="239"/>
  <c r="N34" i="239"/>
  <c r="O34" i="239"/>
  <c r="P34" i="239"/>
  <c r="E35" i="239"/>
  <c r="F35" i="239"/>
  <c r="G35" i="239"/>
  <c r="H35" i="239"/>
  <c r="Q35" i="239" s="1"/>
  <c r="N35" i="234" s="1"/>
  <c r="I35" i="239"/>
  <c r="J35" i="239"/>
  <c r="K35" i="239"/>
  <c r="L35" i="239"/>
  <c r="M35" i="239"/>
  <c r="N35" i="239"/>
  <c r="O35" i="239"/>
  <c r="P35" i="239"/>
  <c r="E36" i="239"/>
  <c r="F36" i="239"/>
  <c r="G36" i="239"/>
  <c r="H36" i="239"/>
  <c r="I36" i="239"/>
  <c r="J36" i="239"/>
  <c r="K36" i="239"/>
  <c r="L36" i="239"/>
  <c r="M36" i="239"/>
  <c r="N36" i="239"/>
  <c r="O36" i="239"/>
  <c r="P36" i="239"/>
  <c r="E37" i="239"/>
  <c r="F37" i="239"/>
  <c r="G37" i="239"/>
  <c r="Q37" i="239" s="1"/>
  <c r="H37" i="239"/>
  <c r="I37" i="239"/>
  <c r="J37" i="239"/>
  <c r="K37" i="239"/>
  <c r="L37" i="239"/>
  <c r="M37" i="239"/>
  <c r="N37" i="239"/>
  <c r="O37" i="239"/>
  <c r="P37" i="239"/>
  <c r="E38" i="239"/>
  <c r="F38" i="239"/>
  <c r="G38" i="239"/>
  <c r="H38" i="239"/>
  <c r="I38" i="239"/>
  <c r="J38" i="239"/>
  <c r="K38" i="239"/>
  <c r="L38" i="239"/>
  <c r="M38" i="239"/>
  <c r="N38" i="239"/>
  <c r="O38" i="239"/>
  <c r="P38" i="239"/>
  <c r="E39" i="239"/>
  <c r="F39" i="239"/>
  <c r="G39" i="239"/>
  <c r="H39" i="239"/>
  <c r="I39" i="239"/>
  <c r="J39" i="239"/>
  <c r="K39" i="239"/>
  <c r="L39" i="239"/>
  <c r="M39" i="239"/>
  <c r="N39" i="239"/>
  <c r="O39" i="239"/>
  <c r="P39" i="239"/>
  <c r="E40" i="239"/>
  <c r="F40" i="239"/>
  <c r="G40" i="239"/>
  <c r="H40" i="239"/>
  <c r="I40" i="239"/>
  <c r="J40" i="239"/>
  <c r="K40" i="239"/>
  <c r="L40" i="239"/>
  <c r="M40" i="239"/>
  <c r="N40" i="239"/>
  <c r="O40" i="239"/>
  <c r="P40" i="239"/>
  <c r="Q40" i="239"/>
  <c r="E41" i="239"/>
  <c r="F41" i="239"/>
  <c r="G41" i="239"/>
  <c r="H41" i="239"/>
  <c r="I41" i="239"/>
  <c r="J41" i="239"/>
  <c r="K41" i="239"/>
  <c r="L41" i="239"/>
  <c r="M41" i="239"/>
  <c r="N41" i="239"/>
  <c r="O41" i="239"/>
  <c r="P41" i="239"/>
  <c r="E42" i="239"/>
  <c r="F42" i="239"/>
  <c r="G42" i="239"/>
  <c r="H42" i="239"/>
  <c r="I42" i="239"/>
  <c r="J42" i="239"/>
  <c r="K42" i="239"/>
  <c r="L42" i="239"/>
  <c r="M42" i="239"/>
  <c r="N42" i="239"/>
  <c r="O42" i="239"/>
  <c r="P42" i="239"/>
  <c r="E43" i="239"/>
  <c r="F43" i="239"/>
  <c r="G43" i="239"/>
  <c r="H43" i="239"/>
  <c r="I43" i="239"/>
  <c r="J43" i="239"/>
  <c r="K43" i="239"/>
  <c r="L43" i="239"/>
  <c r="M43" i="239"/>
  <c r="N43" i="239"/>
  <c r="O43" i="239"/>
  <c r="P43" i="239"/>
  <c r="E44" i="239"/>
  <c r="F44" i="239"/>
  <c r="G44" i="239"/>
  <c r="H44" i="239"/>
  <c r="I44" i="239"/>
  <c r="J44" i="239"/>
  <c r="K44" i="239"/>
  <c r="L44" i="239"/>
  <c r="M44" i="239"/>
  <c r="N44" i="239"/>
  <c r="O44" i="239"/>
  <c r="P44" i="239"/>
  <c r="E45" i="239"/>
  <c r="F45" i="239"/>
  <c r="Q45" i="239" s="1"/>
  <c r="G45" i="239"/>
  <c r="H45" i="239"/>
  <c r="I45" i="239"/>
  <c r="J45" i="239"/>
  <c r="K45" i="239"/>
  <c r="L45" i="239"/>
  <c r="M45" i="239"/>
  <c r="N45" i="239"/>
  <c r="O45" i="239"/>
  <c r="P45" i="239"/>
  <c r="E46" i="239"/>
  <c r="F46" i="239"/>
  <c r="Q46" i="239" s="1"/>
  <c r="N46" i="234" s="1"/>
  <c r="G46" i="239"/>
  <c r="H46" i="239"/>
  <c r="I46" i="239"/>
  <c r="J46" i="239"/>
  <c r="K46" i="239"/>
  <c r="L46" i="239"/>
  <c r="M46" i="239"/>
  <c r="N46" i="239"/>
  <c r="O46" i="239"/>
  <c r="P46" i="239"/>
  <c r="E47" i="239"/>
  <c r="F47" i="239"/>
  <c r="G47" i="239"/>
  <c r="H47" i="239"/>
  <c r="I47" i="239"/>
  <c r="J47" i="239"/>
  <c r="K47" i="239"/>
  <c r="L47" i="239"/>
  <c r="M47" i="239"/>
  <c r="N47" i="239"/>
  <c r="O47" i="239"/>
  <c r="P47" i="239"/>
  <c r="E48" i="239"/>
  <c r="Q48" i="239" s="1"/>
  <c r="F48" i="239"/>
  <c r="G48" i="239"/>
  <c r="H48" i="239"/>
  <c r="I48" i="239"/>
  <c r="J48" i="239"/>
  <c r="K48" i="239"/>
  <c r="L48" i="239"/>
  <c r="M48" i="239"/>
  <c r="N48" i="239"/>
  <c r="O48" i="239"/>
  <c r="P48" i="239"/>
  <c r="E70" i="239"/>
  <c r="F70" i="239"/>
  <c r="G70" i="239"/>
  <c r="H70" i="239"/>
  <c r="I70" i="239"/>
  <c r="J70" i="239"/>
  <c r="K70" i="239"/>
  <c r="L70" i="239"/>
  <c r="M70" i="239"/>
  <c r="N70" i="239"/>
  <c r="O70" i="239"/>
  <c r="P70" i="239"/>
  <c r="Q70" i="239"/>
  <c r="E71" i="239"/>
  <c r="F71" i="239"/>
  <c r="G71" i="239"/>
  <c r="H71" i="239"/>
  <c r="I71" i="239"/>
  <c r="J71" i="239"/>
  <c r="K71" i="239"/>
  <c r="L71" i="239"/>
  <c r="M71" i="239"/>
  <c r="N71" i="239"/>
  <c r="O71" i="239"/>
  <c r="P71" i="239"/>
  <c r="E72" i="239"/>
  <c r="F72" i="239"/>
  <c r="G72" i="239"/>
  <c r="H72" i="239"/>
  <c r="I72" i="239"/>
  <c r="J72" i="239"/>
  <c r="K72" i="239"/>
  <c r="L72" i="239"/>
  <c r="M72" i="239"/>
  <c r="N72" i="239"/>
  <c r="O72" i="239"/>
  <c r="P72" i="239"/>
  <c r="E73" i="239"/>
  <c r="F73" i="239"/>
  <c r="G73" i="239"/>
  <c r="H73" i="239"/>
  <c r="I73" i="239"/>
  <c r="J73" i="239"/>
  <c r="K73" i="239"/>
  <c r="L73" i="239"/>
  <c r="M73" i="239"/>
  <c r="N73" i="239"/>
  <c r="O73" i="239"/>
  <c r="P73" i="239"/>
  <c r="E74" i="239"/>
  <c r="F74" i="239"/>
  <c r="G74" i="239"/>
  <c r="H74" i="239"/>
  <c r="I74" i="239"/>
  <c r="J74" i="239"/>
  <c r="K74" i="239"/>
  <c r="L74" i="239"/>
  <c r="M74" i="239"/>
  <c r="N74" i="239"/>
  <c r="O74" i="239"/>
  <c r="P74" i="239"/>
  <c r="E75" i="239"/>
  <c r="F75" i="239"/>
  <c r="G75" i="239"/>
  <c r="H75" i="239"/>
  <c r="I75" i="239"/>
  <c r="J75" i="239"/>
  <c r="K75" i="239"/>
  <c r="L75" i="239"/>
  <c r="M75" i="239"/>
  <c r="N75" i="239"/>
  <c r="O75" i="239"/>
  <c r="P75" i="239"/>
  <c r="E76" i="239"/>
  <c r="F76" i="239"/>
  <c r="G76" i="239"/>
  <c r="H76" i="239"/>
  <c r="I76" i="239"/>
  <c r="J76" i="239"/>
  <c r="K76" i="239"/>
  <c r="L76" i="239"/>
  <c r="M76" i="239"/>
  <c r="N76" i="239"/>
  <c r="O76" i="239"/>
  <c r="P76" i="239"/>
  <c r="E77" i="239"/>
  <c r="F77" i="239"/>
  <c r="G77" i="239"/>
  <c r="H77" i="239"/>
  <c r="I77" i="239"/>
  <c r="J77" i="239"/>
  <c r="K77" i="239"/>
  <c r="L77" i="239"/>
  <c r="M77" i="239"/>
  <c r="N77" i="239"/>
  <c r="O77" i="239"/>
  <c r="P77" i="239"/>
  <c r="Q77" i="239"/>
  <c r="E78" i="239"/>
  <c r="F78" i="239"/>
  <c r="G78" i="239"/>
  <c r="H78" i="239"/>
  <c r="I78" i="239"/>
  <c r="J78" i="239"/>
  <c r="K78" i="239"/>
  <c r="L78" i="239"/>
  <c r="M78" i="239"/>
  <c r="N78" i="239"/>
  <c r="O78" i="239"/>
  <c r="P78" i="239"/>
  <c r="E85" i="239"/>
  <c r="F85" i="239"/>
  <c r="G85" i="239"/>
  <c r="H85" i="239"/>
  <c r="I85" i="239"/>
  <c r="J85" i="239"/>
  <c r="K85" i="239"/>
  <c r="L85" i="239"/>
  <c r="M85" i="239"/>
  <c r="N85" i="239"/>
  <c r="O85" i="239"/>
  <c r="P85" i="239"/>
  <c r="E86" i="239"/>
  <c r="F86" i="239"/>
  <c r="G86" i="239"/>
  <c r="H86" i="239"/>
  <c r="I86" i="239"/>
  <c r="J86" i="239"/>
  <c r="K86" i="239"/>
  <c r="L86" i="239"/>
  <c r="M86" i="239"/>
  <c r="N86" i="239"/>
  <c r="O86" i="239"/>
  <c r="P86" i="239"/>
  <c r="E87" i="239"/>
  <c r="F87" i="239"/>
  <c r="G87" i="239"/>
  <c r="H87" i="239"/>
  <c r="I87" i="239"/>
  <c r="J87" i="239"/>
  <c r="K87" i="239"/>
  <c r="L87" i="239"/>
  <c r="M87" i="239"/>
  <c r="N87" i="239"/>
  <c r="O87" i="239"/>
  <c r="P87" i="239"/>
  <c r="E88" i="239"/>
  <c r="F88" i="239"/>
  <c r="G88" i="239"/>
  <c r="H88" i="239"/>
  <c r="I88" i="239"/>
  <c r="J88" i="239"/>
  <c r="K88" i="239"/>
  <c r="L88" i="239"/>
  <c r="Q88" i="239" s="1"/>
  <c r="N87" i="234" s="1"/>
  <c r="M88" i="239"/>
  <c r="N88" i="239"/>
  <c r="O88" i="239"/>
  <c r="P88" i="239"/>
  <c r="E89" i="239"/>
  <c r="F89" i="239"/>
  <c r="G89" i="239"/>
  <c r="H89" i="239"/>
  <c r="I89" i="239"/>
  <c r="J89" i="239"/>
  <c r="K89" i="239"/>
  <c r="L89" i="239"/>
  <c r="M89" i="239"/>
  <c r="N89" i="239"/>
  <c r="O89" i="239"/>
  <c r="P89" i="239"/>
  <c r="E90" i="239"/>
  <c r="F90" i="239"/>
  <c r="G90" i="239"/>
  <c r="H90" i="239"/>
  <c r="I90" i="239"/>
  <c r="J90" i="239"/>
  <c r="K90" i="239"/>
  <c r="L90" i="239"/>
  <c r="M90" i="239"/>
  <c r="N90" i="239"/>
  <c r="O90" i="239"/>
  <c r="P90" i="239"/>
  <c r="E91" i="239"/>
  <c r="F91" i="239"/>
  <c r="G91" i="239"/>
  <c r="H91" i="239"/>
  <c r="I91" i="239"/>
  <c r="Q91" i="239" s="1"/>
  <c r="N90" i="234" s="1"/>
  <c r="J91" i="239"/>
  <c r="K91" i="239"/>
  <c r="L91" i="239"/>
  <c r="M91" i="239"/>
  <c r="N91" i="239"/>
  <c r="O91" i="239"/>
  <c r="P91" i="239"/>
  <c r="E92" i="239"/>
  <c r="F92" i="239"/>
  <c r="G92" i="239"/>
  <c r="H92" i="239"/>
  <c r="I92" i="239"/>
  <c r="J92" i="239"/>
  <c r="K92" i="239"/>
  <c r="L92" i="239"/>
  <c r="M92" i="239"/>
  <c r="N92" i="239"/>
  <c r="O92" i="239"/>
  <c r="P92" i="239"/>
  <c r="E93" i="239"/>
  <c r="F93" i="239"/>
  <c r="G93" i="239"/>
  <c r="H93" i="239"/>
  <c r="I93" i="239"/>
  <c r="J93" i="239"/>
  <c r="K93" i="239"/>
  <c r="L93" i="239"/>
  <c r="M93" i="239"/>
  <c r="N93" i="239"/>
  <c r="O93" i="239"/>
  <c r="P93" i="239"/>
  <c r="E94" i="239"/>
  <c r="F94" i="239"/>
  <c r="G94" i="239"/>
  <c r="H94" i="239"/>
  <c r="I94" i="239"/>
  <c r="J94" i="239"/>
  <c r="K94" i="239"/>
  <c r="L94" i="239"/>
  <c r="M94" i="239"/>
  <c r="N94" i="239"/>
  <c r="O94" i="239"/>
  <c r="P94" i="239"/>
  <c r="E100" i="239"/>
  <c r="F100" i="239"/>
  <c r="G100" i="239"/>
  <c r="H100" i="239"/>
  <c r="I100" i="239"/>
  <c r="J100" i="239"/>
  <c r="K100" i="239"/>
  <c r="L100" i="239"/>
  <c r="M100" i="239"/>
  <c r="N100" i="239"/>
  <c r="O100" i="239"/>
  <c r="P100" i="239"/>
  <c r="E101" i="239"/>
  <c r="F101" i="239"/>
  <c r="G101" i="239"/>
  <c r="H101" i="239"/>
  <c r="I101" i="239"/>
  <c r="J101" i="239"/>
  <c r="K101" i="239"/>
  <c r="L101" i="239"/>
  <c r="M101" i="239"/>
  <c r="N101" i="239"/>
  <c r="O101" i="239"/>
  <c r="P101" i="239"/>
  <c r="E102" i="239"/>
  <c r="F102" i="239"/>
  <c r="G102" i="239"/>
  <c r="H102" i="239"/>
  <c r="I102" i="239"/>
  <c r="J102" i="239"/>
  <c r="K102" i="239"/>
  <c r="L102" i="239"/>
  <c r="M102" i="239"/>
  <c r="N102" i="239"/>
  <c r="O102" i="239"/>
  <c r="P102" i="239"/>
  <c r="E103" i="239"/>
  <c r="F103" i="239"/>
  <c r="G103" i="239"/>
  <c r="H103" i="239"/>
  <c r="I103" i="239"/>
  <c r="J103" i="239"/>
  <c r="K103" i="239"/>
  <c r="L103" i="239"/>
  <c r="M103" i="239"/>
  <c r="N103" i="239"/>
  <c r="O103" i="239"/>
  <c r="P103" i="239"/>
  <c r="E104" i="239"/>
  <c r="F104" i="239"/>
  <c r="G104" i="239"/>
  <c r="H104" i="239"/>
  <c r="I104" i="239"/>
  <c r="J104" i="239"/>
  <c r="K104" i="239"/>
  <c r="L104" i="239"/>
  <c r="M104" i="239"/>
  <c r="N104" i="239"/>
  <c r="O104" i="239"/>
  <c r="P104" i="239"/>
  <c r="E108" i="239"/>
  <c r="F108" i="239"/>
  <c r="G108" i="239"/>
  <c r="H108" i="239"/>
  <c r="I108" i="239"/>
  <c r="J108" i="239"/>
  <c r="K108" i="239"/>
  <c r="L108" i="239"/>
  <c r="M108" i="239"/>
  <c r="N108" i="239"/>
  <c r="O108" i="239"/>
  <c r="P108" i="239"/>
  <c r="E109" i="239"/>
  <c r="F109" i="239"/>
  <c r="G109" i="239"/>
  <c r="H109" i="239"/>
  <c r="I109" i="239"/>
  <c r="J109" i="239"/>
  <c r="K109" i="239"/>
  <c r="L109" i="239"/>
  <c r="M109" i="239"/>
  <c r="N109" i="239"/>
  <c r="O109" i="239"/>
  <c r="P109" i="239"/>
  <c r="E110" i="239"/>
  <c r="F110" i="239"/>
  <c r="G110" i="239"/>
  <c r="H110" i="239"/>
  <c r="I110" i="239"/>
  <c r="J110" i="239"/>
  <c r="K110" i="239"/>
  <c r="L110" i="239"/>
  <c r="M110" i="239"/>
  <c r="N110" i="239"/>
  <c r="O110" i="239"/>
  <c r="P110" i="239"/>
  <c r="E111" i="239"/>
  <c r="F111" i="239"/>
  <c r="G111" i="239"/>
  <c r="H111" i="239"/>
  <c r="I111" i="239"/>
  <c r="J111" i="239"/>
  <c r="K111" i="239"/>
  <c r="L111" i="239"/>
  <c r="M111" i="239"/>
  <c r="N111" i="239"/>
  <c r="O111" i="239"/>
  <c r="P111" i="239"/>
  <c r="E112" i="239"/>
  <c r="F112" i="239"/>
  <c r="G112" i="239"/>
  <c r="H112" i="239"/>
  <c r="I112" i="239"/>
  <c r="J112" i="239"/>
  <c r="K112" i="239"/>
  <c r="L112" i="239"/>
  <c r="M112" i="239"/>
  <c r="N112" i="239"/>
  <c r="O112" i="239"/>
  <c r="P112" i="239"/>
  <c r="E113" i="239"/>
  <c r="F113" i="239"/>
  <c r="G113" i="239"/>
  <c r="H113" i="239"/>
  <c r="I113" i="239"/>
  <c r="J113" i="239"/>
  <c r="K113" i="239"/>
  <c r="L113" i="239"/>
  <c r="M113" i="239"/>
  <c r="N113" i="239"/>
  <c r="O113" i="239"/>
  <c r="P113" i="239"/>
  <c r="E114" i="239"/>
  <c r="F114" i="239"/>
  <c r="G114" i="239"/>
  <c r="H114" i="239"/>
  <c r="I114" i="239"/>
  <c r="J114" i="239"/>
  <c r="K114" i="239"/>
  <c r="L114" i="239"/>
  <c r="M114" i="239"/>
  <c r="N114" i="239"/>
  <c r="O114" i="239"/>
  <c r="P114" i="239"/>
  <c r="E118" i="239"/>
  <c r="F118" i="239"/>
  <c r="G118" i="239"/>
  <c r="Q118" i="239" s="1"/>
  <c r="N117" i="234" s="1"/>
  <c r="H118" i="239"/>
  <c r="I118" i="239"/>
  <c r="J118" i="239"/>
  <c r="K118" i="239"/>
  <c r="L118" i="239"/>
  <c r="M118" i="239"/>
  <c r="N118" i="239"/>
  <c r="O118" i="239"/>
  <c r="P118" i="239"/>
  <c r="E128" i="239"/>
  <c r="F128" i="239"/>
  <c r="G128" i="239"/>
  <c r="H128" i="239"/>
  <c r="I128" i="239"/>
  <c r="J128" i="239"/>
  <c r="K128" i="239"/>
  <c r="L128" i="239"/>
  <c r="M128" i="239"/>
  <c r="N128" i="239"/>
  <c r="O128" i="239"/>
  <c r="P128" i="239"/>
  <c r="E131" i="239"/>
  <c r="F131" i="239"/>
  <c r="G131" i="239"/>
  <c r="Q131" i="239" s="1"/>
  <c r="N130" i="234" s="1"/>
  <c r="H131" i="239"/>
  <c r="I131" i="239"/>
  <c r="J131" i="239"/>
  <c r="K131" i="239"/>
  <c r="L131" i="239"/>
  <c r="M131" i="239"/>
  <c r="N131" i="239"/>
  <c r="O131" i="239"/>
  <c r="P131" i="239"/>
  <c r="E132" i="239"/>
  <c r="F132" i="239"/>
  <c r="G132" i="239"/>
  <c r="H132" i="239"/>
  <c r="I132" i="239"/>
  <c r="J132" i="239"/>
  <c r="K132" i="239"/>
  <c r="L132" i="239"/>
  <c r="M132" i="239"/>
  <c r="N132" i="239"/>
  <c r="O132" i="239"/>
  <c r="P132" i="239"/>
  <c r="E133" i="239"/>
  <c r="Q133" i="239" s="1"/>
  <c r="F133" i="239"/>
  <c r="G133" i="239"/>
  <c r="H133" i="239"/>
  <c r="I133" i="239"/>
  <c r="J133" i="239"/>
  <c r="K133" i="239"/>
  <c r="L133" i="239"/>
  <c r="M133" i="239"/>
  <c r="N133" i="239"/>
  <c r="O133" i="239"/>
  <c r="P133" i="239"/>
  <c r="E134" i="239"/>
  <c r="F134" i="239"/>
  <c r="G134" i="239"/>
  <c r="H134" i="239"/>
  <c r="I134" i="239"/>
  <c r="J134" i="239"/>
  <c r="K134" i="239"/>
  <c r="L134" i="239"/>
  <c r="M134" i="239"/>
  <c r="N134" i="239"/>
  <c r="O134" i="239"/>
  <c r="P134" i="239"/>
  <c r="E135" i="239"/>
  <c r="F135" i="239"/>
  <c r="G135" i="239"/>
  <c r="H135" i="239"/>
  <c r="I135" i="239"/>
  <c r="J135" i="239"/>
  <c r="K135" i="239"/>
  <c r="L135" i="239"/>
  <c r="M135" i="239"/>
  <c r="N135" i="239"/>
  <c r="O135" i="239"/>
  <c r="P135" i="239"/>
  <c r="E136" i="239"/>
  <c r="F136" i="239"/>
  <c r="G136" i="239"/>
  <c r="H136" i="239"/>
  <c r="I136" i="239"/>
  <c r="J136" i="239"/>
  <c r="K136" i="239"/>
  <c r="L136" i="239"/>
  <c r="M136" i="239"/>
  <c r="N136" i="239"/>
  <c r="O136" i="239"/>
  <c r="P136" i="239"/>
  <c r="E137" i="239"/>
  <c r="F137" i="239"/>
  <c r="G137" i="239"/>
  <c r="H137" i="239"/>
  <c r="I137" i="239"/>
  <c r="J137" i="239"/>
  <c r="K137" i="239"/>
  <c r="L137" i="239"/>
  <c r="M137" i="239"/>
  <c r="N137" i="239"/>
  <c r="O137" i="239"/>
  <c r="P137" i="239"/>
  <c r="E138" i="239"/>
  <c r="F138" i="239"/>
  <c r="G138" i="239"/>
  <c r="H138" i="239"/>
  <c r="I138" i="239"/>
  <c r="J138" i="239"/>
  <c r="K138" i="239"/>
  <c r="L138" i="239"/>
  <c r="M138" i="239"/>
  <c r="N138" i="239"/>
  <c r="O138" i="239"/>
  <c r="P138" i="239"/>
  <c r="Q138" i="239"/>
  <c r="E139" i="239"/>
  <c r="F139" i="239"/>
  <c r="G139" i="239"/>
  <c r="H139" i="239"/>
  <c r="I139" i="239"/>
  <c r="J139" i="239"/>
  <c r="K139" i="239"/>
  <c r="L139" i="239"/>
  <c r="M139" i="239"/>
  <c r="N139" i="239"/>
  <c r="O139" i="239"/>
  <c r="P139" i="239"/>
  <c r="E140" i="239"/>
  <c r="F140" i="239"/>
  <c r="G140" i="239"/>
  <c r="H140" i="239"/>
  <c r="I140" i="239"/>
  <c r="J140" i="239"/>
  <c r="K140" i="239"/>
  <c r="L140" i="239"/>
  <c r="M140" i="239"/>
  <c r="N140" i="239"/>
  <c r="O140" i="239"/>
  <c r="P140" i="239"/>
  <c r="E166" i="239"/>
  <c r="F166" i="239"/>
  <c r="G166" i="239"/>
  <c r="H166" i="239"/>
  <c r="I166" i="239"/>
  <c r="J166" i="239"/>
  <c r="K166" i="239"/>
  <c r="L166" i="239"/>
  <c r="M166" i="239"/>
  <c r="N166" i="239"/>
  <c r="O166" i="239"/>
  <c r="P166" i="239"/>
  <c r="E167" i="239"/>
  <c r="F167" i="239"/>
  <c r="G167" i="239"/>
  <c r="H167" i="239"/>
  <c r="I167" i="239"/>
  <c r="J167" i="239"/>
  <c r="K167" i="239"/>
  <c r="L167" i="239"/>
  <c r="M167" i="239"/>
  <c r="N167" i="239"/>
  <c r="O167" i="239"/>
  <c r="P167" i="239"/>
  <c r="E168" i="239"/>
  <c r="F168" i="239"/>
  <c r="Q168" i="239" s="1"/>
  <c r="G168" i="239"/>
  <c r="H168" i="239"/>
  <c r="I168" i="239"/>
  <c r="J168" i="239"/>
  <c r="K168" i="239"/>
  <c r="L168" i="239"/>
  <c r="M168" i="239"/>
  <c r="N168" i="239"/>
  <c r="O168" i="239"/>
  <c r="P168" i="239"/>
  <c r="E169" i="239"/>
  <c r="F169" i="239"/>
  <c r="G169" i="239"/>
  <c r="H169" i="239"/>
  <c r="I169" i="239"/>
  <c r="J169" i="239"/>
  <c r="K169" i="239"/>
  <c r="L169" i="239"/>
  <c r="M169" i="239"/>
  <c r="N169" i="239"/>
  <c r="O169" i="239"/>
  <c r="P169" i="239"/>
  <c r="E170" i="239"/>
  <c r="F170" i="239"/>
  <c r="G170" i="239"/>
  <c r="H170" i="239"/>
  <c r="I170" i="239"/>
  <c r="J170" i="239"/>
  <c r="K170" i="239"/>
  <c r="L170" i="239"/>
  <c r="M170" i="239"/>
  <c r="N170" i="239"/>
  <c r="O170" i="239"/>
  <c r="P170" i="239"/>
  <c r="E171" i="239"/>
  <c r="F171" i="239"/>
  <c r="G171" i="239"/>
  <c r="H171" i="239"/>
  <c r="I171" i="239"/>
  <c r="J171" i="239"/>
  <c r="K171" i="239"/>
  <c r="L171" i="239"/>
  <c r="M171" i="239"/>
  <c r="N171" i="239"/>
  <c r="O171" i="239"/>
  <c r="P171" i="239"/>
  <c r="E172" i="239"/>
  <c r="F172" i="239"/>
  <c r="G172" i="239"/>
  <c r="H172" i="239"/>
  <c r="I172" i="239"/>
  <c r="J172" i="239"/>
  <c r="K172" i="239"/>
  <c r="L172" i="239"/>
  <c r="M172" i="239"/>
  <c r="N172" i="239"/>
  <c r="O172" i="239"/>
  <c r="P172" i="239"/>
  <c r="E187" i="239"/>
  <c r="F187" i="239"/>
  <c r="G187" i="239"/>
  <c r="H187" i="239"/>
  <c r="I187" i="239"/>
  <c r="J187" i="239"/>
  <c r="K187" i="239"/>
  <c r="L187" i="239"/>
  <c r="M187" i="239"/>
  <c r="N187" i="239"/>
  <c r="O187" i="239"/>
  <c r="P187" i="239"/>
  <c r="E188" i="239"/>
  <c r="F188" i="239"/>
  <c r="G188" i="239"/>
  <c r="H188" i="239"/>
  <c r="I188" i="239"/>
  <c r="J188" i="239"/>
  <c r="K188" i="239"/>
  <c r="L188" i="239"/>
  <c r="M188" i="239"/>
  <c r="N188" i="239"/>
  <c r="O188" i="239"/>
  <c r="P188" i="239"/>
  <c r="E189" i="239"/>
  <c r="F189" i="239"/>
  <c r="G189" i="239"/>
  <c r="H189" i="239"/>
  <c r="I189" i="239"/>
  <c r="J189" i="239"/>
  <c r="K189" i="239"/>
  <c r="L189" i="239"/>
  <c r="M189" i="239"/>
  <c r="N189" i="239"/>
  <c r="O189" i="239"/>
  <c r="P189" i="239"/>
  <c r="E190" i="239"/>
  <c r="F190" i="239"/>
  <c r="G190" i="239"/>
  <c r="H190" i="239"/>
  <c r="I190" i="239"/>
  <c r="J190" i="239"/>
  <c r="K190" i="239"/>
  <c r="L190" i="239"/>
  <c r="M190" i="239"/>
  <c r="N190" i="239"/>
  <c r="O190" i="239"/>
  <c r="P190" i="239"/>
  <c r="E191" i="239"/>
  <c r="F191" i="239"/>
  <c r="G191" i="239"/>
  <c r="H191" i="239"/>
  <c r="I191" i="239"/>
  <c r="J191" i="239"/>
  <c r="K191" i="239"/>
  <c r="L191" i="239"/>
  <c r="M191" i="239"/>
  <c r="N191" i="239"/>
  <c r="O191" i="239"/>
  <c r="P191" i="239"/>
  <c r="E192" i="239"/>
  <c r="F192" i="239"/>
  <c r="G192" i="239"/>
  <c r="H192" i="239"/>
  <c r="I192" i="239"/>
  <c r="J192" i="239"/>
  <c r="K192" i="239"/>
  <c r="L192" i="239"/>
  <c r="M192" i="239"/>
  <c r="N192" i="239"/>
  <c r="O192" i="239"/>
  <c r="P192" i="239"/>
  <c r="E193" i="239"/>
  <c r="F193" i="239"/>
  <c r="G193" i="239"/>
  <c r="H193" i="239"/>
  <c r="I193" i="239"/>
  <c r="J193" i="239"/>
  <c r="K193" i="239"/>
  <c r="L193" i="239"/>
  <c r="M193" i="239"/>
  <c r="N193" i="239"/>
  <c r="O193" i="239"/>
  <c r="P193" i="239"/>
  <c r="E194" i="239"/>
  <c r="F194" i="239"/>
  <c r="G194" i="239"/>
  <c r="H194" i="239"/>
  <c r="I194" i="239"/>
  <c r="J194" i="239"/>
  <c r="K194" i="239"/>
  <c r="L194" i="239"/>
  <c r="M194" i="239"/>
  <c r="N194" i="239"/>
  <c r="O194" i="239"/>
  <c r="P194" i="239"/>
  <c r="Q195" i="239"/>
  <c r="N189" i="234" s="1"/>
  <c r="Q196" i="239"/>
  <c r="N190" i="234" s="1"/>
  <c r="Q197" i="239"/>
  <c r="N191" i="234" s="1"/>
  <c r="Q198" i="239"/>
  <c r="N192" i="234" s="1"/>
  <c r="Q199" i="239"/>
  <c r="N193" i="234" s="1"/>
  <c r="Q200" i="239"/>
  <c r="N194" i="234" s="1"/>
  <c r="Q201" i="239"/>
  <c r="N195" i="234" s="1"/>
  <c r="Q202" i="239"/>
  <c r="N196" i="234" s="1"/>
  <c r="Q203" i="239"/>
  <c r="N197" i="234" s="1"/>
  <c r="Q204" i="239"/>
  <c r="N198" i="234" s="1"/>
  <c r="Q207" i="239"/>
  <c r="N201" i="234" s="1"/>
  <c r="Q208" i="239"/>
  <c r="N202" i="234" s="1"/>
  <c r="Q209" i="239"/>
  <c r="N203" i="234" s="1"/>
  <c r="Q210" i="239"/>
  <c r="N204" i="234" s="1"/>
  <c r="Q211" i="239"/>
  <c r="N205" i="234" s="1"/>
  <c r="Q212" i="239"/>
  <c r="N206" i="234" s="1"/>
  <c r="Q213" i="239"/>
  <c r="N207" i="234" s="1"/>
  <c r="Q214" i="239"/>
  <c r="N208" i="234" s="1"/>
  <c r="Q215" i="239"/>
  <c r="N209" i="234" s="1"/>
  <c r="Q216" i="239"/>
  <c r="N210" i="234" s="1"/>
  <c r="Q217" i="239"/>
  <c r="N211" i="234" s="1"/>
  <c r="Q218" i="239"/>
  <c r="N212" i="234" s="1"/>
  <c r="Q219" i="239"/>
  <c r="N213" i="234" s="1"/>
  <c r="Q220" i="239"/>
  <c r="N214" i="234" s="1"/>
  <c r="Q221" i="239"/>
  <c r="N215" i="234" s="1"/>
  <c r="Q222" i="239"/>
  <c r="N216" i="234" s="1"/>
  <c r="Q223" i="239"/>
  <c r="N217" i="234" s="1"/>
  <c r="Q224" i="239"/>
  <c r="N218" i="234" s="1"/>
  <c r="E225" i="239"/>
  <c r="F225" i="239"/>
  <c r="G225" i="239"/>
  <c r="H225" i="239"/>
  <c r="I225" i="239"/>
  <c r="J225" i="239"/>
  <c r="K225" i="239"/>
  <c r="L225" i="239"/>
  <c r="M225" i="239"/>
  <c r="N225" i="239"/>
  <c r="O225" i="239"/>
  <c r="P225" i="239"/>
  <c r="E229" i="239"/>
  <c r="F229" i="239"/>
  <c r="G229" i="239"/>
  <c r="H229" i="239"/>
  <c r="I229" i="239"/>
  <c r="J229" i="239"/>
  <c r="K229" i="239"/>
  <c r="L229" i="239"/>
  <c r="M229" i="239"/>
  <c r="N229" i="239"/>
  <c r="O229" i="239"/>
  <c r="P229" i="239"/>
  <c r="E230" i="239"/>
  <c r="F230" i="239"/>
  <c r="G230" i="239"/>
  <c r="H230" i="239"/>
  <c r="I230" i="239"/>
  <c r="J230" i="239"/>
  <c r="K230" i="239"/>
  <c r="L230" i="239"/>
  <c r="M230" i="239"/>
  <c r="N230" i="239"/>
  <c r="O230" i="239"/>
  <c r="P230" i="239"/>
  <c r="E231" i="239"/>
  <c r="F231" i="239"/>
  <c r="G231" i="239"/>
  <c r="H231" i="239"/>
  <c r="I231" i="239"/>
  <c r="J231" i="239"/>
  <c r="K231" i="239"/>
  <c r="L231" i="239"/>
  <c r="M231" i="239"/>
  <c r="N231" i="239"/>
  <c r="O231" i="239"/>
  <c r="P231" i="239"/>
  <c r="E232" i="239"/>
  <c r="F232" i="239"/>
  <c r="G232" i="239"/>
  <c r="H232" i="239"/>
  <c r="I232" i="239"/>
  <c r="J232" i="239"/>
  <c r="K232" i="239"/>
  <c r="L232" i="239"/>
  <c r="M232" i="239"/>
  <c r="N232" i="239"/>
  <c r="O232" i="239"/>
  <c r="P232" i="239"/>
  <c r="E233" i="239"/>
  <c r="F233" i="239"/>
  <c r="G233" i="239"/>
  <c r="H233" i="239"/>
  <c r="I233" i="239"/>
  <c r="J233" i="239"/>
  <c r="K233" i="239"/>
  <c r="L233" i="239"/>
  <c r="M233" i="239"/>
  <c r="N233" i="239"/>
  <c r="O233" i="239"/>
  <c r="P233" i="239"/>
  <c r="E234" i="239"/>
  <c r="F234" i="239"/>
  <c r="G234" i="239"/>
  <c r="H234" i="239"/>
  <c r="I234" i="239"/>
  <c r="J234" i="239"/>
  <c r="K234" i="239"/>
  <c r="L234" i="239"/>
  <c r="M234" i="239"/>
  <c r="N234" i="239"/>
  <c r="O234" i="239"/>
  <c r="P234" i="239"/>
  <c r="E235" i="239"/>
  <c r="F235" i="239"/>
  <c r="G235" i="239"/>
  <c r="H235" i="239"/>
  <c r="I235" i="239"/>
  <c r="J235" i="239"/>
  <c r="K235" i="239"/>
  <c r="L235" i="239"/>
  <c r="M235" i="239"/>
  <c r="N235" i="239"/>
  <c r="O235" i="239"/>
  <c r="P235" i="239"/>
  <c r="E236" i="239"/>
  <c r="F236" i="239"/>
  <c r="G236" i="239"/>
  <c r="H236" i="239"/>
  <c r="I236" i="239"/>
  <c r="J236" i="239"/>
  <c r="K236" i="239"/>
  <c r="L236" i="239"/>
  <c r="M236" i="239"/>
  <c r="N236" i="239"/>
  <c r="O236" i="239"/>
  <c r="P236" i="239"/>
  <c r="E237" i="239"/>
  <c r="F237" i="239"/>
  <c r="G237" i="239"/>
  <c r="H237" i="239"/>
  <c r="I237" i="239"/>
  <c r="J237" i="239"/>
  <c r="K237" i="239"/>
  <c r="L237" i="239"/>
  <c r="M237" i="239"/>
  <c r="N237" i="239"/>
  <c r="O237" i="239"/>
  <c r="P237" i="239"/>
  <c r="E238" i="239"/>
  <c r="F238" i="239"/>
  <c r="G238" i="239"/>
  <c r="H238" i="239"/>
  <c r="I238" i="239"/>
  <c r="J238" i="239"/>
  <c r="K238" i="239"/>
  <c r="L238" i="239"/>
  <c r="M238" i="239"/>
  <c r="N238" i="239"/>
  <c r="O238" i="239"/>
  <c r="P238" i="239"/>
  <c r="E239" i="239"/>
  <c r="F239" i="239"/>
  <c r="G239" i="239"/>
  <c r="H239" i="239"/>
  <c r="I239" i="239"/>
  <c r="J239" i="239"/>
  <c r="K239" i="239"/>
  <c r="L239" i="239"/>
  <c r="M239" i="239"/>
  <c r="N239" i="239"/>
  <c r="O239" i="239"/>
  <c r="P239" i="239"/>
  <c r="E240" i="239"/>
  <c r="F240" i="239"/>
  <c r="G240" i="239"/>
  <c r="H240" i="239"/>
  <c r="I240" i="239"/>
  <c r="J240" i="239"/>
  <c r="K240" i="239"/>
  <c r="L240" i="239"/>
  <c r="M240" i="239"/>
  <c r="N240" i="239"/>
  <c r="O240" i="239"/>
  <c r="P240" i="239"/>
  <c r="E241" i="239"/>
  <c r="F241" i="239"/>
  <c r="F65" i="239" s="1"/>
  <c r="G241" i="239"/>
  <c r="G65" i="239" s="1"/>
  <c r="H241" i="239"/>
  <c r="H65" i="239" s="1"/>
  <c r="I241" i="239"/>
  <c r="I65" i="239" s="1"/>
  <c r="J241" i="239"/>
  <c r="J65" i="239" s="1"/>
  <c r="K241" i="239"/>
  <c r="K65" i="239" s="1"/>
  <c r="L241" i="239"/>
  <c r="L65" i="239" s="1"/>
  <c r="M241" i="239"/>
  <c r="M65" i="239" s="1"/>
  <c r="N241" i="239"/>
  <c r="N65" i="239" s="1"/>
  <c r="O241" i="239"/>
  <c r="O65" i="239" s="1"/>
  <c r="P241" i="239"/>
  <c r="P65" i="239" s="1"/>
  <c r="E242" i="239"/>
  <c r="F242" i="239"/>
  <c r="G242" i="239"/>
  <c r="H242" i="239"/>
  <c r="I242" i="239"/>
  <c r="J242" i="239"/>
  <c r="K242" i="239"/>
  <c r="L242" i="239"/>
  <c r="M242" i="239"/>
  <c r="N242" i="239"/>
  <c r="O242" i="239"/>
  <c r="P242" i="239"/>
  <c r="E243" i="239"/>
  <c r="E67" i="239" s="1"/>
  <c r="F243" i="239"/>
  <c r="F67" i="239" s="1"/>
  <c r="G243" i="239"/>
  <c r="G67" i="239" s="1"/>
  <c r="H243" i="239"/>
  <c r="H67" i="239" s="1"/>
  <c r="I243" i="239"/>
  <c r="I67" i="239" s="1"/>
  <c r="J243" i="239"/>
  <c r="J67" i="239" s="1"/>
  <c r="K243" i="239"/>
  <c r="K67" i="239" s="1"/>
  <c r="L243" i="239"/>
  <c r="L67" i="239" s="1"/>
  <c r="M243" i="239"/>
  <c r="M67" i="239" s="1"/>
  <c r="N243" i="239"/>
  <c r="N67" i="239" s="1"/>
  <c r="O243" i="239"/>
  <c r="O67" i="239" s="1"/>
  <c r="P243" i="239"/>
  <c r="P67" i="239" s="1"/>
  <c r="E244" i="239"/>
  <c r="F244" i="239"/>
  <c r="G244" i="239"/>
  <c r="H244" i="239"/>
  <c r="I244" i="239"/>
  <c r="J244" i="239"/>
  <c r="K244" i="239"/>
  <c r="L244" i="239"/>
  <c r="M244" i="239"/>
  <c r="N244" i="239"/>
  <c r="O244" i="239"/>
  <c r="P244" i="239"/>
  <c r="Q245" i="239"/>
  <c r="N239" i="234" s="1"/>
  <c r="Q246" i="239"/>
  <c r="N240" i="234" s="1"/>
  <c r="Q247" i="239"/>
  <c r="N241" i="234" s="1"/>
  <c r="Q248" i="239"/>
  <c r="N242" i="234" s="1"/>
  <c r="Q249" i="239"/>
  <c r="N243" i="234" s="1"/>
  <c r="Q250" i="239"/>
  <c r="N244" i="234" s="1"/>
  <c r="Q251" i="239"/>
  <c r="N245" i="234" s="1"/>
  <c r="Q252" i="239"/>
  <c r="N246" i="234" s="1"/>
  <c r="Q253" i="239"/>
  <c r="N247" i="234" s="1"/>
  <c r="Q254" i="239"/>
  <c r="N248" i="234" s="1"/>
  <c r="Q257" i="239"/>
  <c r="N251" i="234" s="1"/>
  <c r="Q258" i="239"/>
  <c r="N252" i="234" s="1"/>
  <c r="Q259" i="239"/>
  <c r="N253" i="234" s="1"/>
  <c r="Q260" i="239"/>
  <c r="N254" i="234" s="1"/>
  <c r="Q261" i="239"/>
  <c r="N255" i="234" s="1"/>
  <c r="Q262" i="239"/>
  <c r="N256" i="234" s="1"/>
  <c r="Q263" i="239"/>
  <c r="N257" i="234" s="1"/>
  <c r="Q264" i="239"/>
  <c r="N258" i="234" s="1"/>
  <c r="Q265" i="239"/>
  <c r="N259" i="234" s="1"/>
  <c r="Q266" i="239"/>
  <c r="N260" i="234" s="1"/>
  <c r="Q267" i="239"/>
  <c r="N261" i="234" s="1"/>
  <c r="Q268" i="239"/>
  <c r="N262" i="234" s="1"/>
  <c r="Q269" i="239"/>
  <c r="N263" i="234" s="1"/>
  <c r="Q270" i="239"/>
  <c r="N264" i="234" s="1"/>
  <c r="E271" i="239"/>
  <c r="F271" i="239"/>
  <c r="Q271" i="239" s="1"/>
  <c r="N265" i="234" s="1"/>
  <c r="G271" i="239"/>
  <c r="H271" i="239"/>
  <c r="I271" i="239"/>
  <c r="J271" i="239"/>
  <c r="K271" i="239"/>
  <c r="L271" i="239"/>
  <c r="M271" i="239"/>
  <c r="N271" i="239"/>
  <c r="O271" i="239"/>
  <c r="P271" i="239"/>
  <c r="E274" i="239"/>
  <c r="E281" i="239" s="1"/>
  <c r="F274" i="239"/>
  <c r="F281" i="239" s="1"/>
  <c r="G274" i="239"/>
  <c r="H274" i="239"/>
  <c r="I274" i="239"/>
  <c r="J274" i="239"/>
  <c r="K274" i="239"/>
  <c r="K281" i="239" s="1"/>
  <c r="L274" i="239"/>
  <c r="L281" i="239" s="1"/>
  <c r="M274" i="239"/>
  <c r="M281" i="239" s="1"/>
  <c r="N274" i="239"/>
  <c r="N281" i="239" s="1"/>
  <c r="O274" i="239"/>
  <c r="P274" i="239"/>
  <c r="Q275" i="239"/>
  <c r="N269" i="234" s="1"/>
  <c r="Q276" i="239"/>
  <c r="N270" i="234" s="1"/>
  <c r="Q277" i="239"/>
  <c r="N271" i="234" s="1"/>
  <c r="Q278" i="239"/>
  <c r="N272" i="234" s="1"/>
  <c r="Q279" i="239"/>
  <c r="N273" i="234" s="1"/>
  <c r="Q280" i="239"/>
  <c r="N274" i="234" s="1"/>
  <c r="E283" i="239"/>
  <c r="F283" i="239"/>
  <c r="F291" i="239" s="1"/>
  <c r="G283" i="239"/>
  <c r="G291" i="239" s="1"/>
  <c r="H283" i="239"/>
  <c r="I283" i="239"/>
  <c r="I291" i="239" s="1"/>
  <c r="J283" i="239"/>
  <c r="K283" i="239"/>
  <c r="K291" i="239" s="1"/>
  <c r="L283" i="239"/>
  <c r="L291" i="239" s="1"/>
  <c r="M283" i="239"/>
  <c r="M291" i="239" s="1"/>
  <c r="N283" i="239"/>
  <c r="N291" i="239" s="1"/>
  <c r="O283" i="239"/>
  <c r="P283" i="239"/>
  <c r="Q284" i="239"/>
  <c r="N278" i="234" s="1"/>
  <c r="Q285" i="239"/>
  <c r="N279" i="234" s="1"/>
  <c r="Q286" i="239"/>
  <c r="N280" i="234" s="1"/>
  <c r="Q287" i="239"/>
  <c r="N281" i="234" s="1"/>
  <c r="Q288" i="239"/>
  <c r="N282" i="234" s="1"/>
  <c r="Q289" i="239"/>
  <c r="N283" i="234" s="1"/>
  <c r="Q290" i="239"/>
  <c r="N284" i="234" s="1"/>
  <c r="Q293" i="239"/>
  <c r="N287" i="234" s="1"/>
  <c r="Q294" i="239"/>
  <c r="N288" i="234" s="1"/>
  <c r="Q295" i="239"/>
  <c r="N289" i="234" s="1"/>
  <c r="Q296" i="239"/>
  <c r="N290" i="234" s="1"/>
  <c r="Q297" i="239"/>
  <c r="N291" i="234" s="1"/>
  <c r="Q298" i="239"/>
  <c r="N292" i="234" s="1"/>
  <c r="Q299" i="239"/>
  <c r="N293" i="234" s="1"/>
  <c r="Q300" i="239"/>
  <c r="N294" i="234" s="1"/>
  <c r="Q301" i="239"/>
  <c r="N295" i="234" s="1"/>
  <c r="Q302" i="239"/>
  <c r="N296" i="234" s="1"/>
  <c r="Q303" i="239"/>
  <c r="N297" i="234" s="1"/>
  <c r="Q304" i="239"/>
  <c r="N298" i="234" s="1"/>
  <c r="Q305" i="239"/>
  <c r="N299" i="234" s="1"/>
  <c r="Q306" i="239"/>
  <c r="N300" i="234" s="1"/>
  <c r="Q307" i="239"/>
  <c r="N301" i="234" s="1"/>
  <c r="Q308" i="239"/>
  <c r="N302" i="234" s="1"/>
  <c r="Q309" i="239"/>
  <c r="N303" i="234" s="1"/>
  <c r="Q310" i="239"/>
  <c r="N304" i="234" s="1"/>
  <c r="Q311" i="239"/>
  <c r="N305" i="234" s="1"/>
  <c r="Q312" i="239"/>
  <c r="N306" i="234" s="1"/>
  <c r="Q313" i="239"/>
  <c r="N307" i="234" s="1"/>
  <c r="Q314" i="239"/>
  <c r="N308" i="234" s="1"/>
  <c r="Q315" i="239"/>
  <c r="N309" i="234" s="1"/>
  <c r="Q316" i="239"/>
  <c r="N310" i="234" s="1"/>
  <c r="E317" i="239"/>
  <c r="F317" i="239"/>
  <c r="G317" i="239"/>
  <c r="H317" i="239"/>
  <c r="I317" i="239"/>
  <c r="J317" i="239"/>
  <c r="K317" i="239"/>
  <c r="L317" i="239"/>
  <c r="M317" i="239"/>
  <c r="N317" i="239"/>
  <c r="O317" i="239"/>
  <c r="P317" i="239"/>
  <c r="Q319" i="239"/>
  <c r="N313" i="234" s="1"/>
  <c r="Q320" i="239"/>
  <c r="N314" i="234" s="1"/>
  <c r="Q321" i="239"/>
  <c r="N315" i="234" s="1"/>
  <c r="Q322" i="239"/>
  <c r="N316" i="234" s="1"/>
  <c r="Q338" i="239"/>
  <c r="N332" i="234" s="1"/>
  <c r="Q339" i="239"/>
  <c r="N333" i="234" s="1"/>
  <c r="Q340" i="239"/>
  <c r="N334" i="234" s="1"/>
  <c r="Q341" i="239"/>
  <c r="N335" i="234" s="1"/>
  <c r="Q342" i="239"/>
  <c r="N336" i="234" s="1"/>
  <c r="Q343" i="239"/>
  <c r="Q344" i="239"/>
  <c r="E345" i="239"/>
  <c r="F345" i="239"/>
  <c r="G345" i="239"/>
  <c r="H345" i="239"/>
  <c r="I345" i="239"/>
  <c r="J345" i="239"/>
  <c r="K345" i="239"/>
  <c r="L345" i="239"/>
  <c r="M345" i="239"/>
  <c r="N345" i="239"/>
  <c r="O345" i="239"/>
  <c r="P345" i="239"/>
  <c r="Q347" i="239"/>
  <c r="N339" i="234" s="1"/>
  <c r="Q348" i="239"/>
  <c r="N340" i="234" s="1"/>
  <c r="E349" i="239"/>
  <c r="F349" i="239"/>
  <c r="G349" i="239"/>
  <c r="H349" i="239"/>
  <c r="I349" i="239"/>
  <c r="J349" i="239"/>
  <c r="K349" i="239"/>
  <c r="L349" i="239"/>
  <c r="M349" i="239"/>
  <c r="N349" i="239"/>
  <c r="O349" i="239"/>
  <c r="P349" i="239"/>
  <c r="E359" i="239"/>
  <c r="F359" i="239"/>
  <c r="G359" i="239"/>
  <c r="H359" i="239"/>
  <c r="I359" i="239"/>
  <c r="J359" i="239"/>
  <c r="K359" i="239"/>
  <c r="L359" i="239"/>
  <c r="M359" i="239"/>
  <c r="N359" i="239"/>
  <c r="O359" i="239"/>
  <c r="P359" i="239"/>
  <c r="E360" i="239"/>
  <c r="F360" i="239"/>
  <c r="G360" i="239"/>
  <c r="H360" i="239"/>
  <c r="I360" i="239"/>
  <c r="J360" i="239"/>
  <c r="K360" i="239"/>
  <c r="L360" i="239"/>
  <c r="M360" i="239"/>
  <c r="N360" i="239"/>
  <c r="O360" i="239"/>
  <c r="P360" i="239"/>
  <c r="E361" i="239"/>
  <c r="F361" i="239"/>
  <c r="G361" i="239"/>
  <c r="H361" i="239"/>
  <c r="I361" i="239"/>
  <c r="J361" i="239"/>
  <c r="K361" i="239"/>
  <c r="L361" i="239"/>
  <c r="M361" i="239"/>
  <c r="N361" i="239"/>
  <c r="O361" i="239"/>
  <c r="P361" i="239"/>
  <c r="E362" i="239"/>
  <c r="F362" i="239"/>
  <c r="G362" i="239"/>
  <c r="H362" i="239"/>
  <c r="I362" i="239"/>
  <c r="J362" i="239"/>
  <c r="K362" i="239"/>
  <c r="L362" i="239"/>
  <c r="M362" i="239"/>
  <c r="N362" i="239"/>
  <c r="O362" i="239"/>
  <c r="P362" i="239"/>
  <c r="E363" i="239"/>
  <c r="F363" i="239"/>
  <c r="G363" i="239"/>
  <c r="H363" i="239"/>
  <c r="I363" i="239"/>
  <c r="J363" i="239"/>
  <c r="K363" i="239"/>
  <c r="L363" i="239"/>
  <c r="M363" i="239"/>
  <c r="N363" i="239"/>
  <c r="O363" i="239"/>
  <c r="P363" i="239"/>
  <c r="E364" i="239"/>
  <c r="F364" i="239"/>
  <c r="G364" i="239"/>
  <c r="H364" i="239"/>
  <c r="I364" i="239"/>
  <c r="J364" i="239"/>
  <c r="K364" i="239"/>
  <c r="L364" i="239"/>
  <c r="M364" i="239"/>
  <c r="N364" i="239"/>
  <c r="O364" i="239"/>
  <c r="P364" i="239"/>
  <c r="E365" i="239"/>
  <c r="F365" i="239"/>
  <c r="G365" i="239"/>
  <c r="H365" i="239"/>
  <c r="I365" i="239"/>
  <c r="J365" i="239"/>
  <c r="K365" i="239"/>
  <c r="L365" i="239"/>
  <c r="M365" i="239"/>
  <c r="N365" i="239"/>
  <c r="O365" i="239"/>
  <c r="P365" i="239"/>
  <c r="Q367" i="239"/>
  <c r="N360" i="234" s="1"/>
  <c r="Q368" i="239"/>
  <c r="N361" i="234" s="1"/>
  <c r="Q369" i="239"/>
  <c r="N362" i="234" s="1"/>
  <c r="Q370" i="239"/>
  <c r="N363" i="234" s="1"/>
  <c r="Q371" i="239"/>
  <c r="N364" i="234" s="1"/>
  <c r="Q372" i="239"/>
  <c r="N365" i="234" s="1"/>
  <c r="Q373" i="239"/>
  <c r="N366" i="234" s="1"/>
  <c r="Q374" i="239"/>
  <c r="N367" i="234" s="1"/>
  <c r="Q375" i="239"/>
  <c r="N368" i="234" s="1"/>
  <c r="Q376" i="239"/>
  <c r="N369" i="234" s="1"/>
  <c r="Q379" i="239"/>
  <c r="N372" i="234" s="1"/>
  <c r="Q380" i="239"/>
  <c r="N373" i="234" s="1"/>
  <c r="Q381" i="239"/>
  <c r="N374" i="234" s="1"/>
  <c r="Q382" i="239"/>
  <c r="N375" i="234" s="1"/>
  <c r="Q383" i="239"/>
  <c r="N376" i="234" s="1"/>
  <c r="Q384" i="239"/>
  <c r="N377" i="234" s="1"/>
  <c r="Q385" i="239"/>
  <c r="N378" i="234" s="1"/>
  <c r="Q386" i="239"/>
  <c r="N379" i="234" s="1"/>
  <c r="Q387" i="239"/>
  <c r="N380" i="234" s="1"/>
  <c r="Q388" i="239"/>
  <c r="N381" i="234" s="1"/>
  <c r="Q389" i="239"/>
  <c r="N382" i="234" s="1"/>
  <c r="Q390" i="239"/>
  <c r="N383" i="234" s="1"/>
  <c r="Q391" i="239"/>
  <c r="N384" i="234" s="1"/>
  <c r="Q392" i="239"/>
  <c r="N385" i="234" s="1"/>
  <c r="Q393" i="239"/>
  <c r="N386" i="234" s="1"/>
  <c r="Q394" i="239"/>
  <c r="N387" i="234" s="1"/>
  <c r="Q395" i="239"/>
  <c r="N388" i="234" s="1"/>
  <c r="Q396" i="239"/>
  <c r="N389" i="234" s="1"/>
  <c r="E397" i="239"/>
  <c r="F397" i="239"/>
  <c r="G397" i="239"/>
  <c r="H397" i="239"/>
  <c r="I397" i="239"/>
  <c r="J397" i="239"/>
  <c r="K397" i="239"/>
  <c r="L397" i="239"/>
  <c r="M397" i="239"/>
  <c r="N397" i="239"/>
  <c r="O397" i="239"/>
  <c r="P397" i="239"/>
  <c r="E402" i="239"/>
  <c r="F402" i="239"/>
  <c r="G402" i="239"/>
  <c r="H402" i="239"/>
  <c r="I402" i="239"/>
  <c r="J402" i="239"/>
  <c r="K402" i="239"/>
  <c r="L402" i="239"/>
  <c r="M402" i="239"/>
  <c r="N402" i="239"/>
  <c r="O402" i="239"/>
  <c r="P402" i="239"/>
  <c r="E403" i="239"/>
  <c r="F403" i="239"/>
  <c r="G403" i="239"/>
  <c r="H403" i="239"/>
  <c r="I403" i="239"/>
  <c r="J403" i="239"/>
  <c r="K403" i="239"/>
  <c r="L403" i="239"/>
  <c r="M403" i="239"/>
  <c r="N403" i="239"/>
  <c r="O403" i="239"/>
  <c r="P403" i="239"/>
  <c r="E404" i="239"/>
  <c r="F404" i="239"/>
  <c r="G404" i="239"/>
  <c r="H404" i="239"/>
  <c r="I404" i="239"/>
  <c r="J404" i="239"/>
  <c r="K404" i="239"/>
  <c r="L404" i="239"/>
  <c r="M404" i="239"/>
  <c r="N404" i="239"/>
  <c r="O404" i="239"/>
  <c r="P404" i="239"/>
  <c r="E406" i="239"/>
  <c r="F406" i="239"/>
  <c r="G406" i="239"/>
  <c r="H406" i="239"/>
  <c r="I406" i="239"/>
  <c r="J406" i="239"/>
  <c r="K406" i="239"/>
  <c r="L406" i="239"/>
  <c r="M406" i="239"/>
  <c r="N406" i="239"/>
  <c r="O406" i="239"/>
  <c r="P406" i="239"/>
  <c r="E407" i="239"/>
  <c r="F407" i="239"/>
  <c r="G407" i="239"/>
  <c r="H407" i="239"/>
  <c r="I407" i="239"/>
  <c r="J407" i="239"/>
  <c r="K407" i="239"/>
  <c r="L407" i="239"/>
  <c r="M407" i="239"/>
  <c r="N407" i="239"/>
  <c r="O407" i="239"/>
  <c r="P407" i="239"/>
  <c r="E408" i="239"/>
  <c r="F408" i="239"/>
  <c r="G408" i="239"/>
  <c r="H408" i="239"/>
  <c r="I408" i="239"/>
  <c r="J408" i="239"/>
  <c r="K408" i="239"/>
  <c r="L408" i="239"/>
  <c r="M408" i="239"/>
  <c r="N408" i="239"/>
  <c r="O408" i="239"/>
  <c r="P408" i="239"/>
  <c r="E409" i="239"/>
  <c r="F409" i="239"/>
  <c r="G409" i="239"/>
  <c r="H409" i="239"/>
  <c r="I409" i="239"/>
  <c r="J409" i="239"/>
  <c r="K409" i="239"/>
  <c r="L409" i="239"/>
  <c r="M409" i="239"/>
  <c r="N409" i="239"/>
  <c r="O409" i="239"/>
  <c r="P409" i="239"/>
  <c r="E410" i="239"/>
  <c r="F410" i="239"/>
  <c r="G410" i="239"/>
  <c r="H410" i="239"/>
  <c r="I410" i="239"/>
  <c r="J410" i="239"/>
  <c r="K410" i="239"/>
  <c r="L410" i="239"/>
  <c r="M410" i="239"/>
  <c r="N410" i="239"/>
  <c r="O410" i="239"/>
  <c r="P410" i="239"/>
  <c r="E411" i="239"/>
  <c r="F411" i="239"/>
  <c r="G411" i="239"/>
  <c r="H411" i="239"/>
  <c r="I411" i="239"/>
  <c r="J411" i="239"/>
  <c r="K411" i="239"/>
  <c r="L411" i="239"/>
  <c r="M411" i="239"/>
  <c r="N411" i="239"/>
  <c r="O411" i="239"/>
  <c r="P411" i="239"/>
  <c r="E412" i="239"/>
  <c r="F412" i="239"/>
  <c r="G412" i="239"/>
  <c r="H412" i="239"/>
  <c r="I412" i="239"/>
  <c r="J412" i="239"/>
  <c r="K412" i="239"/>
  <c r="L412" i="239"/>
  <c r="M412" i="239"/>
  <c r="N412" i="239"/>
  <c r="O412" i="239"/>
  <c r="P412" i="239"/>
  <c r="Q413" i="239"/>
  <c r="N406" i="234" s="1"/>
  <c r="E414" i="239"/>
  <c r="F414" i="239"/>
  <c r="G414" i="239"/>
  <c r="H414" i="239"/>
  <c r="I414" i="239"/>
  <c r="J414" i="239"/>
  <c r="K414" i="239"/>
  <c r="L414" i="239"/>
  <c r="M414" i="239"/>
  <c r="N414" i="239"/>
  <c r="O414" i="239"/>
  <c r="P414" i="239"/>
  <c r="Q415" i="239"/>
  <c r="N408" i="234" s="1"/>
  <c r="E416" i="239"/>
  <c r="F416" i="239"/>
  <c r="G416" i="239"/>
  <c r="H416" i="239"/>
  <c r="I416" i="239"/>
  <c r="J416" i="239"/>
  <c r="K416" i="239"/>
  <c r="L416" i="239"/>
  <c r="M416" i="239"/>
  <c r="N416" i="239"/>
  <c r="O416" i="239"/>
  <c r="P416" i="239"/>
  <c r="E417" i="239"/>
  <c r="E69" i="239" s="1"/>
  <c r="F417" i="239"/>
  <c r="F69" i="239" s="1"/>
  <c r="G417" i="239"/>
  <c r="G69" i="239" s="1"/>
  <c r="H417" i="239"/>
  <c r="H69" i="239" s="1"/>
  <c r="I417" i="239"/>
  <c r="I69" i="239" s="1"/>
  <c r="J417" i="239"/>
  <c r="J69" i="239" s="1"/>
  <c r="K417" i="239"/>
  <c r="K69" i="239" s="1"/>
  <c r="L417" i="239"/>
  <c r="L69" i="239" s="1"/>
  <c r="M417" i="239"/>
  <c r="M69" i="239" s="1"/>
  <c r="N417" i="239"/>
  <c r="N69" i="239" s="1"/>
  <c r="O417" i="239"/>
  <c r="O69" i="239" s="1"/>
  <c r="P417" i="239"/>
  <c r="P69" i="239" s="1"/>
  <c r="Q418" i="239"/>
  <c r="N411" i="234" s="1"/>
  <c r="Q419" i="239"/>
  <c r="N412" i="234" s="1"/>
  <c r="Q420" i="239"/>
  <c r="N413" i="234" s="1"/>
  <c r="Q421" i="239"/>
  <c r="N414" i="234" s="1"/>
  <c r="Q422" i="239"/>
  <c r="N415" i="234" s="1"/>
  <c r="Q423" i="239"/>
  <c r="N416" i="234" s="1"/>
  <c r="Q424" i="239"/>
  <c r="N417" i="234" s="1"/>
  <c r="Q425" i="239"/>
  <c r="N418" i="234" s="1"/>
  <c r="Q426" i="239"/>
  <c r="Q427" i="239"/>
  <c r="E430" i="239"/>
  <c r="E81" i="239" s="1"/>
  <c r="F430" i="239"/>
  <c r="F81" i="239" s="1"/>
  <c r="G430" i="239"/>
  <c r="G81" i="239" s="1"/>
  <c r="H430" i="239"/>
  <c r="H81" i="239" s="1"/>
  <c r="I430" i="239"/>
  <c r="I81" i="239" s="1"/>
  <c r="J430" i="239"/>
  <c r="J81" i="239" s="1"/>
  <c r="K430" i="239"/>
  <c r="K81" i="239" s="1"/>
  <c r="L430" i="239"/>
  <c r="L81" i="239" s="1"/>
  <c r="M430" i="239"/>
  <c r="M81" i="239" s="1"/>
  <c r="N430" i="239"/>
  <c r="N81" i="239" s="1"/>
  <c r="O430" i="239"/>
  <c r="O81" i="239" s="1"/>
  <c r="P430" i="239"/>
  <c r="P81" i="239" s="1"/>
  <c r="E431" i="239"/>
  <c r="E82" i="239" s="1"/>
  <c r="F431" i="239"/>
  <c r="F82" i="239" s="1"/>
  <c r="G431" i="239"/>
  <c r="G82" i="239" s="1"/>
  <c r="H431" i="239"/>
  <c r="H82" i="239" s="1"/>
  <c r="I431" i="239"/>
  <c r="I82" i="239" s="1"/>
  <c r="J431" i="239"/>
  <c r="J82" i="239" s="1"/>
  <c r="K431" i="239"/>
  <c r="K82" i="239" s="1"/>
  <c r="L431" i="239"/>
  <c r="L82" i="239" s="1"/>
  <c r="M431" i="239"/>
  <c r="M82" i="239" s="1"/>
  <c r="N431" i="239"/>
  <c r="N82" i="239" s="1"/>
  <c r="O431" i="239"/>
  <c r="O82" i="239" s="1"/>
  <c r="P431" i="239"/>
  <c r="P82" i="239" s="1"/>
  <c r="E432" i="239"/>
  <c r="E83" i="239" s="1"/>
  <c r="F432" i="239"/>
  <c r="F83" i="239" s="1"/>
  <c r="G432" i="239"/>
  <c r="G83" i="239" s="1"/>
  <c r="H432" i="239"/>
  <c r="H83" i="239" s="1"/>
  <c r="I432" i="239"/>
  <c r="I83" i="239" s="1"/>
  <c r="J432" i="239"/>
  <c r="J83" i="239" s="1"/>
  <c r="K432" i="239"/>
  <c r="K83" i="239" s="1"/>
  <c r="L432" i="239"/>
  <c r="L83" i="239" s="1"/>
  <c r="M432" i="239"/>
  <c r="M83" i="239" s="1"/>
  <c r="N432" i="239"/>
  <c r="N83" i="239" s="1"/>
  <c r="O432" i="239"/>
  <c r="O83" i="239" s="1"/>
  <c r="P432" i="239"/>
  <c r="P83" i="239" s="1"/>
  <c r="E433" i="239"/>
  <c r="E84" i="239" s="1"/>
  <c r="F433" i="239"/>
  <c r="F84" i="239" s="1"/>
  <c r="G433" i="239"/>
  <c r="G84" i="239" s="1"/>
  <c r="H433" i="239"/>
  <c r="H84" i="239" s="1"/>
  <c r="I433" i="239"/>
  <c r="I84" i="239" s="1"/>
  <c r="J433" i="239"/>
  <c r="J84" i="239" s="1"/>
  <c r="K433" i="239"/>
  <c r="K84" i="239" s="1"/>
  <c r="L433" i="239"/>
  <c r="L84" i="239" s="1"/>
  <c r="M433" i="239"/>
  <c r="M84" i="239" s="1"/>
  <c r="N433" i="239"/>
  <c r="N84" i="239" s="1"/>
  <c r="O433" i="239"/>
  <c r="O84" i="239" s="1"/>
  <c r="P433" i="239"/>
  <c r="P84" i="239" s="1"/>
  <c r="Q434" i="239"/>
  <c r="N425" i="234" s="1"/>
  <c r="Q435" i="239"/>
  <c r="N426" i="234" s="1"/>
  <c r="Q436" i="239"/>
  <c r="N427" i="234" s="1"/>
  <c r="Q437" i="239"/>
  <c r="N428" i="234" s="1"/>
  <c r="Q438" i="239"/>
  <c r="N429" i="234" s="1"/>
  <c r="Q439" i="239"/>
  <c r="N430" i="234" s="1"/>
  <c r="Q440" i="239"/>
  <c r="N431" i="234" s="1"/>
  <c r="Q441" i="239"/>
  <c r="N432" i="234" s="1"/>
  <c r="U441" i="239"/>
  <c r="U442" i="239" s="1"/>
  <c r="U443" i="239" s="1"/>
  <c r="Q442" i="239"/>
  <c r="N433" i="234" s="1"/>
  <c r="Q443" i="239"/>
  <c r="N434" i="234" s="1"/>
  <c r="E447" i="239"/>
  <c r="F447" i="239"/>
  <c r="G447" i="239"/>
  <c r="H447" i="239"/>
  <c r="I447" i="239"/>
  <c r="J447" i="239"/>
  <c r="K447" i="239"/>
  <c r="L447" i="239"/>
  <c r="M447" i="239"/>
  <c r="N447" i="239"/>
  <c r="O447" i="239"/>
  <c r="P447" i="239"/>
  <c r="E448" i="239"/>
  <c r="E99" i="239" s="1"/>
  <c r="F448" i="239"/>
  <c r="F99" i="239" s="1"/>
  <c r="G448" i="239"/>
  <c r="G99" i="239" s="1"/>
  <c r="H448" i="239"/>
  <c r="H99" i="239" s="1"/>
  <c r="I448" i="239"/>
  <c r="I99" i="239" s="1"/>
  <c r="J448" i="239"/>
  <c r="J99" i="239" s="1"/>
  <c r="K448" i="239"/>
  <c r="K99" i="239" s="1"/>
  <c r="L448" i="239"/>
  <c r="L99" i="239" s="1"/>
  <c r="M448" i="239"/>
  <c r="M99" i="239" s="1"/>
  <c r="N448" i="239"/>
  <c r="N99" i="239" s="1"/>
  <c r="O448" i="239"/>
  <c r="O99" i="239" s="1"/>
  <c r="P448" i="239"/>
  <c r="P99" i="239" s="1"/>
  <c r="E456" i="239"/>
  <c r="E464" i="239" s="1"/>
  <c r="F456" i="239"/>
  <c r="F464" i="239" s="1"/>
  <c r="G456" i="239"/>
  <c r="G464" i="239" s="1"/>
  <c r="H456" i="239"/>
  <c r="H464" i="239" s="1"/>
  <c r="I456" i="239"/>
  <c r="I464" i="239" s="1"/>
  <c r="J456" i="239"/>
  <c r="J464" i="239" s="1"/>
  <c r="K456" i="239"/>
  <c r="K464" i="239" s="1"/>
  <c r="L456" i="239"/>
  <c r="L464" i="239" s="1"/>
  <c r="M456" i="239"/>
  <c r="M464" i="239" s="1"/>
  <c r="N456" i="239"/>
  <c r="N464" i="239" s="1"/>
  <c r="O456" i="239"/>
  <c r="O464" i="239" s="1"/>
  <c r="P456" i="239"/>
  <c r="P464" i="239" s="1"/>
  <c r="Q459" i="239"/>
  <c r="N450" i="234" s="1"/>
  <c r="Q460" i="239"/>
  <c r="N451" i="234" s="1"/>
  <c r="Q461" i="239"/>
  <c r="N452" i="234" s="1"/>
  <c r="Q462" i="239"/>
  <c r="N453" i="234" s="1"/>
  <c r="Q463" i="239"/>
  <c r="N454" i="234" s="1"/>
  <c r="E466" i="239"/>
  <c r="E117" i="239" s="1"/>
  <c r="F466" i="239"/>
  <c r="F117" i="239" s="1"/>
  <c r="G466" i="239"/>
  <c r="G117" i="239" s="1"/>
  <c r="H466" i="239"/>
  <c r="H117" i="239" s="1"/>
  <c r="I466" i="239"/>
  <c r="I117" i="239" s="1"/>
  <c r="J466" i="239"/>
  <c r="J117" i="239" s="1"/>
  <c r="K466" i="239"/>
  <c r="K117" i="239" s="1"/>
  <c r="L466" i="239"/>
  <c r="L117" i="239" s="1"/>
  <c r="M466" i="239"/>
  <c r="M117" i="239" s="1"/>
  <c r="N466" i="239"/>
  <c r="N117" i="239" s="1"/>
  <c r="O466" i="239"/>
  <c r="O117" i="239" s="1"/>
  <c r="P466" i="239"/>
  <c r="P117" i="239" s="1"/>
  <c r="E468" i="239"/>
  <c r="E119" i="239" s="1"/>
  <c r="F468" i="239"/>
  <c r="F119" i="239" s="1"/>
  <c r="G468" i="239"/>
  <c r="G119" i="239" s="1"/>
  <c r="H468" i="239"/>
  <c r="H119" i="239" s="1"/>
  <c r="I468" i="239"/>
  <c r="I119" i="239" s="1"/>
  <c r="J468" i="239"/>
  <c r="J119" i="239" s="1"/>
  <c r="K468" i="239"/>
  <c r="K119" i="239" s="1"/>
  <c r="L468" i="239"/>
  <c r="L119" i="239" s="1"/>
  <c r="M468" i="239"/>
  <c r="M119" i="239" s="1"/>
  <c r="N468" i="239"/>
  <c r="N119" i="239" s="1"/>
  <c r="O468" i="239"/>
  <c r="O119" i="239" s="1"/>
  <c r="P468" i="239"/>
  <c r="P119" i="239" s="1"/>
  <c r="E469" i="239"/>
  <c r="E120" i="239" s="1"/>
  <c r="F469" i="239"/>
  <c r="F120" i="239" s="1"/>
  <c r="G469" i="239"/>
  <c r="G120" i="239" s="1"/>
  <c r="H469" i="239"/>
  <c r="H120" i="239" s="1"/>
  <c r="I469" i="239"/>
  <c r="I120" i="239" s="1"/>
  <c r="J469" i="239"/>
  <c r="J120" i="239" s="1"/>
  <c r="K469" i="239"/>
  <c r="K120" i="239" s="1"/>
  <c r="L469" i="239"/>
  <c r="L120" i="239" s="1"/>
  <c r="M469" i="239"/>
  <c r="M120" i="239" s="1"/>
  <c r="N469" i="239"/>
  <c r="N120" i="239" s="1"/>
  <c r="O469" i="239"/>
  <c r="O120" i="239" s="1"/>
  <c r="P469" i="239"/>
  <c r="P120" i="239" s="1"/>
  <c r="E470" i="239"/>
  <c r="E121" i="239" s="1"/>
  <c r="F470" i="239"/>
  <c r="F121" i="239" s="1"/>
  <c r="G470" i="239"/>
  <c r="G121" i="239" s="1"/>
  <c r="H470" i="239"/>
  <c r="H121" i="239" s="1"/>
  <c r="I470" i="239"/>
  <c r="I121" i="239" s="1"/>
  <c r="J470" i="239"/>
  <c r="J121" i="239" s="1"/>
  <c r="K470" i="239"/>
  <c r="K121" i="239" s="1"/>
  <c r="L470" i="239"/>
  <c r="L121" i="239" s="1"/>
  <c r="M470" i="239"/>
  <c r="M121" i="239" s="1"/>
  <c r="N470" i="239"/>
  <c r="N121" i="239" s="1"/>
  <c r="O470" i="239"/>
  <c r="O121" i="239" s="1"/>
  <c r="P470" i="239"/>
  <c r="P121" i="239" s="1"/>
  <c r="E471" i="239"/>
  <c r="E122" i="239" s="1"/>
  <c r="F471" i="239"/>
  <c r="F122" i="239" s="1"/>
  <c r="G471" i="239"/>
  <c r="G122" i="239" s="1"/>
  <c r="H471" i="239"/>
  <c r="H122" i="239" s="1"/>
  <c r="I471" i="239"/>
  <c r="I122" i="239" s="1"/>
  <c r="J471" i="239"/>
  <c r="J122" i="239" s="1"/>
  <c r="K471" i="239"/>
  <c r="K122" i="239" s="1"/>
  <c r="L471" i="239"/>
  <c r="L122" i="239" s="1"/>
  <c r="M471" i="239"/>
  <c r="M122" i="239" s="1"/>
  <c r="N471" i="239"/>
  <c r="N122" i="239" s="1"/>
  <c r="O471" i="239"/>
  <c r="O122" i="239" s="1"/>
  <c r="P471" i="239"/>
  <c r="P122" i="239" s="1"/>
  <c r="E472" i="239"/>
  <c r="E123" i="239" s="1"/>
  <c r="F472" i="239"/>
  <c r="F123" i="239" s="1"/>
  <c r="G472" i="239"/>
  <c r="G123" i="239" s="1"/>
  <c r="H472" i="239"/>
  <c r="H123" i="239" s="1"/>
  <c r="I472" i="239"/>
  <c r="I123" i="239" s="1"/>
  <c r="J472" i="239"/>
  <c r="J123" i="239" s="1"/>
  <c r="K472" i="239"/>
  <c r="K123" i="239" s="1"/>
  <c r="L472" i="239"/>
  <c r="L123" i="239" s="1"/>
  <c r="M472" i="239"/>
  <c r="M123" i="239" s="1"/>
  <c r="N472" i="239"/>
  <c r="N123" i="239" s="1"/>
  <c r="O472" i="239"/>
  <c r="O123" i="239" s="1"/>
  <c r="P472" i="239"/>
  <c r="P123" i="239" s="1"/>
  <c r="E473" i="239"/>
  <c r="E124" i="239" s="1"/>
  <c r="F473" i="239"/>
  <c r="F124" i="239" s="1"/>
  <c r="G473" i="239"/>
  <c r="G124" i="239" s="1"/>
  <c r="H473" i="239"/>
  <c r="H124" i="239" s="1"/>
  <c r="I473" i="239"/>
  <c r="I124" i="239" s="1"/>
  <c r="J473" i="239"/>
  <c r="J124" i="239" s="1"/>
  <c r="K473" i="239"/>
  <c r="K124" i="239" s="1"/>
  <c r="L473" i="239"/>
  <c r="L124" i="239" s="1"/>
  <c r="M473" i="239"/>
  <c r="M124" i="239" s="1"/>
  <c r="N473" i="239"/>
  <c r="N124" i="239" s="1"/>
  <c r="O473" i="239"/>
  <c r="O124" i="239" s="1"/>
  <c r="P473" i="239"/>
  <c r="P124" i="239" s="1"/>
  <c r="E474" i="239"/>
  <c r="E125" i="239" s="1"/>
  <c r="F474" i="239"/>
  <c r="F125" i="239" s="1"/>
  <c r="G474" i="239"/>
  <c r="G125" i="239" s="1"/>
  <c r="H474" i="239"/>
  <c r="H125" i="239" s="1"/>
  <c r="I474" i="239"/>
  <c r="I125" i="239" s="1"/>
  <c r="J474" i="239"/>
  <c r="J125" i="239" s="1"/>
  <c r="K474" i="239"/>
  <c r="K125" i="239" s="1"/>
  <c r="L474" i="239"/>
  <c r="L125" i="239" s="1"/>
  <c r="M474" i="239"/>
  <c r="M125" i="239" s="1"/>
  <c r="N474" i="239"/>
  <c r="N125" i="239" s="1"/>
  <c r="O474" i="239"/>
  <c r="O125" i="239" s="1"/>
  <c r="P474" i="239"/>
  <c r="P125" i="239" s="1"/>
  <c r="E475" i="239"/>
  <c r="E126" i="239" s="1"/>
  <c r="F475" i="239"/>
  <c r="F126" i="239" s="1"/>
  <c r="G475" i="239"/>
  <c r="G126" i="239" s="1"/>
  <c r="H475" i="239"/>
  <c r="H126" i="239" s="1"/>
  <c r="I475" i="239"/>
  <c r="I126" i="239" s="1"/>
  <c r="J475" i="239"/>
  <c r="J126" i="239" s="1"/>
  <c r="K475" i="239"/>
  <c r="K126" i="239" s="1"/>
  <c r="L475" i="239"/>
  <c r="L126" i="239" s="1"/>
  <c r="M475" i="239"/>
  <c r="M126" i="239" s="1"/>
  <c r="N475" i="239"/>
  <c r="N126" i="239" s="1"/>
  <c r="O475" i="239"/>
  <c r="O126" i="239" s="1"/>
  <c r="P475" i="239"/>
  <c r="P126" i="239" s="1"/>
  <c r="E476" i="239"/>
  <c r="E127" i="239" s="1"/>
  <c r="F476" i="239"/>
  <c r="F127" i="239" s="1"/>
  <c r="G476" i="239"/>
  <c r="G127" i="239" s="1"/>
  <c r="H476" i="239"/>
  <c r="H127" i="239" s="1"/>
  <c r="I476" i="239"/>
  <c r="I127" i="239" s="1"/>
  <c r="J476" i="239"/>
  <c r="J127" i="239" s="1"/>
  <c r="K476" i="239"/>
  <c r="K127" i="239" s="1"/>
  <c r="L476" i="239"/>
  <c r="L127" i="239" s="1"/>
  <c r="M476" i="239"/>
  <c r="M127" i="239" s="1"/>
  <c r="N476" i="239"/>
  <c r="N127" i="239" s="1"/>
  <c r="O476" i="239"/>
  <c r="O127" i="239" s="1"/>
  <c r="P476" i="239"/>
  <c r="P127" i="239" s="1"/>
  <c r="Q477" i="239"/>
  <c r="N468" i="234" s="1"/>
  <c r="E478" i="239"/>
  <c r="E129" i="239" s="1"/>
  <c r="F478" i="239"/>
  <c r="F129" i="239" s="1"/>
  <c r="G478" i="239"/>
  <c r="G129" i="239" s="1"/>
  <c r="H478" i="239"/>
  <c r="H129" i="239" s="1"/>
  <c r="I478" i="239"/>
  <c r="I129" i="239" s="1"/>
  <c r="J478" i="239"/>
  <c r="J129" i="239" s="1"/>
  <c r="K478" i="239"/>
  <c r="K129" i="239" s="1"/>
  <c r="L478" i="239"/>
  <c r="L129" i="239" s="1"/>
  <c r="M478" i="239"/>
  <c r="M129" i="239" s="1"/>
  <c r="N478" i="239"/>
  <c r="N129" i="239" s="1"/>
  <c r="O478" i="239"/>
  <c r="O129" i="239" s="1"/>
  <c r="P478" i="239"/>
  <c r="P129" i="239" s="1"/>
  <c r="E479" i="239"/>
  <c r="E130" i="239" s="1"/>
  <c r="F479" i="239"/>
  <c r="F130" i="239" s="1"/>
  <c r="G479" i="239"/>
  <c r="G130" i="239" s="1"/>
  <c r="H479" i="239"/>
  <c r="H130" i="239" s="1"/>
  <c r="I479" i="239"/>
  <c r="I130" i="239" s="1"/>
  <c r="J479" i="239"/>
  <c r="J130" i="239" s="1"/>
  <c r="K479" i="239"/>
  <c r="K130" i="239" s="1"/>
  <c r="L479" i="239"/>
  <c r="L130" i="239" s="1"/>
  <c r="M479" i="239"/>
  <c r="M130" i="239" s="1"/>
  <c r="N479" i="239"/>
  <c r="N130" i="239" s="1"/>
  <c r="O479" i="239"/>
  <c r="O130" i="239" s="1"/>
  <c r="P479" i="239"/>
  <c r="P130" i="239" s="1"/>
  <c r="Q480" i="239"/>
  <c r="N471" i="234" s="1"/>
  <c r="Q481" i="239"/>
  <c r="N472" i="234" s="1"/>
  <c r="Q482" i="239"/>
  <c r="N473" i="234" s="1"/>
  <c r="Q483" i="239"/>
  <c r="N474" i="234" s="1"/>
  <c r="Q484" i="239"/>
  <c r="N475" i="234" s="1"/>
  <c r="Q485" i="239"/>
  <c r="N476" i="234" s="1"/>
  <c r="Q486" i="239"/>
  <c r="N477" i="234" s="1"/>
  <c r="Q487" i="239"/>
  <c r="N478" i="234" s="1"/>
  <c r="Q488" i="239"/>
  <c r="N479" i="234" s="1"/>
  <c r="Q489" i="239"/>
  <c r="N480" i="234" s="1"/>
  <c r="Q494" i="239"/>
  <c r="Q512" i="239"/>
  <c r="Q513" i="239"/>
  <c r="Q514" i="239"/>
  <c r="Q515" i="239"/>
  <c r="Q516" i="239"/>
  <c r="Q517" i="239"/>
  <c r="Q518" i="239"/>
  <c r="Q519" i="239"/>
  <c r="E522" i="239"/>
  <c r="E175" i="239" s="1"/>
  <c r="F522" i="239"/>
  <c r="F175" i="239" s="1"/>
  <c r="G522" i="239"/>
  <c r="G175" i="239" s="1"/>
  <c r="H522" i="239"/>
  <c r="H175" i="239" s="1"/>
  <c r="I522" i="239"/>
  <c r="I175" i="239" s="1"/>
  <c r="J522" i="239"/>
  <c r="J175" i="239" s="1"/>
  <c r="K522" i="239"/>
  <c r="K175" i="239" s="1"/>
  <c r="L522" i="239"/>
  <c r="L175" i="239" s="1"/>
  <c r="M522" i="239"/>
  <c r="M175" i="239" s="1"/>
  <c r="N522" i="239"/>
  <c r="N175" i="239" s="1"/>
  <c r="O522" i="239"/>
  <c r="O175" i="239" s="1"/>
  <c r="P522" i="239"/>
  <c r="P175" i="239" s="1"/>
  <c r="M189" i="234"/>
  <c r="M190" i="234"/>
  <c r="M191" i="234"/>
  <c r="M192" i="234"/>
  <c r="M193" i="234"/>
  <c r="M194" i="234"/>
  <c r="M195" i="234"/>
  <c r="M196" i="234"/>
  <c r="M197" i="234"/>
  <c r="M198" i="234"/>
  <c r="M239" i="234"/>
  <c r="M240" i="234"/>
  <c r="M241" i="234"/>
  <c r="M242" i="234"/>
  <c r="M243" i="234"/>
  <c r="M244" i="234"/>
  <c r="M245" i="234"/>
  <c r="M246" i="234"/>
  <c r="M247" i="234"/>
  <c r="M248" i="234"/>
  <c r="M360" i="234"/>
  <c r="M361" i="234"/>
  <c r="M362" i="234"/>
  <c r="M363" i="234"/>
  <c r="M364" i="234"/>
  <c r="M365" i="234"/>
  <c r="M366" i="234"/>
  <c r="M367" i="234"/>
  <c r="M368" i="234"/>
  <c r="M369" i="234"/>
  <c r="M406" i="234"/>
  <c r="M408" i="234"/>
  <c r="M411" i="234"/>
  <c r="M412" i="234"/>
  <c r="M413" i="234"/>
  <c r="M414" i="234"/>
  <c r="M415" i="234"/>
  <c r="M416" i="234"/>
  <c r="M417" i="234"/>
  <c r="M418" i="234"/>
  <c r="M468" i="234"/>
  <c r="M471" i="234"/>
  <c r="M472" i="234"/>
  <c r="M473" i="234"/>
  <c r="M474" i="234"/>
  <c r="M475" i="234"/>
  <c r="M476" i="234"/>
  <c r="M477" i="234"/>
  <c r="M478" i="234"/>
  <c r="M479" i="234"/>
  <c r="M480" i="234"/>
  <c r="E19" i="237"/>
  <c r="F19" i="237"/>
  <c r="G19" i="237"/>
  <c r="H19" i="237"/>
  <c r="I19" i="237"/>
  <c r="J19" i="237"/>
  <c r="K19" i="237"/>
  <c r="L19" i="237"/>
  <c r="M19" i="237"/>
  <c r="N19" i="237"/>
  <c r="O19" i="237"/>
  <c r="P19" i="237"/>
  <c r="E20" i="237"/>
  <c r="F20" i="237"/>
  <c r="G20" i="237"/>
  <c r="H20" i="237"/>
  <c r="I20" i="237"/>
  <c r="J20" i="237"/>
  <c r="K20" i="237"/>
  <c r="L20" i="237"/>
  <c r="M20" i="237"/>
  <c r="N20" i="237"/>
  <c r="O20" i="237"/>
  <c r="P20" i="237"/>
  <c r="E21" i="237"/>
  <c r="F21" i="237"/>
  <c r="G21" i="237"/>
  <c r="H21" i="237"/>
  <c r="I21" i="237"/>
  <c r="J21" i="237"/>
  <c r="K21" i="237"/>
  <c r="L21" i="237"/>
  <c r="M21" i="237"/>
  <c r="N21" i="237"/>
  <c r="O21" i="237"/>
  <c r="P21" i="237"/>
  <c r="E22" i="237"/>
  <c r="F22" i="237"/>
  <c r="G22" i="237"/>
  <c r="H22" i="237"/>
  <c r="I22" i="237"/>
  <c r="J22" i="237"/>
  <c r="K22" i="237"/>
  <c r="L22" i="237"/>
  <c r="M22" i="237"/>
  <c r="N22" i="237"/>
  <c r="O22" i="237"/>
  <c r="P22" i="237"/>
  <c r="E23" i="237"/>
  <c r="F23" i="237"/>
  <c r="G23" i="237"/>
  <c r="H23" i="237"/>
  <c r="I23" i="237"/>
  <c r="J23" i="237"/>
  <c r="K23" i="237"/>
  <c r="L23" i="237"/>
  <c r="M23" i="237"/>
  <c r="N23" i="237"/>
  <c r="O23" i="237"/>
  <c r="P23" i="237"/>
  <c r="E24" i="237"/>
  <c r="F24" i="237"/>
  <c r="G24" i="237"/>
  <c r="H24" i="237"/>
  <c r="I24" i="237"/>
  <c r="J24" i="237"/>
  <c r="K24" i="237"/>
  <c r="L24" i="237"/>
  <c r="M24" i="237"/>
  <c r="N24" i="237"/>
  <c r="O24" i="237"/>
  <c r="P24" i="237"/>
  <c r="E25" i="237"/>
  <c r="F25" i="237"/>
  <c r="G25" i="237"/>
  <c r="H25" i="237"/>
  <c r="I25" i="237"/>
  <c r="J25" i="237"/>
  <c r="K25" i="237"/>
  <c r="L25" i="237"/>
  <c r="M25" i="237"/>
  <c r="N25" i="237"/>
  <c r="O25" i="237"/>
  <c r="P25" i="237"/>
  <c r="E26" i="237"/>
  <c r="F26" i="237"/>
  <c r="G26" i="237"/>
  <c r="H26" i="237"/>
  <c r="I26" i="237"/>
  <c r="J26" i="237"/>
  <c r="K26" i="237"/>
  <c r="L26" i="237"/>
  <c r="M26" i="237"/>
  <c r="N26" i="237"/>
  <c r="O26" i="237"/>
  <c r="P26" i="237"/>
  <c r="E27" i="237"/>
  <c r="F27" i="237"/>
  <c r="G27" i="237"/>
  <c r="H27" i="237"/>
  <c r="I27" i="237"/>
  <c r="J27" i="237"/>
  <c r="K27" i="237"/>
  <c r="L27" i="237"/>
  <c r="M27" i="237"/>
  <c r="N27" i="237"/>
  <c r="O27" i="237"/>
  <c r="P27" i="237"/>
  <c r="E28" i="237"/>
  <c r="F28" i="237"/>
  <c r="G28" i="237"/>
  <c r="H28" i="237"/>
  <c r="I28" i="237"/>
  <c r="J28" i="237"/>
  <c r="K28" i="237"/>
  <c r="L28" i="237"/>
  <c r="M28" i="237"/>
  <c r="N28" i="237"/>
  <c r="O28" i="237"/>
  <c r="P28" i="237"/>
  <c r="E39" i="237"/>
  <c r="F39" i="237"/>
  <c r="G39" i="237"/>
  <c r="H39" i="237"/>
  <c r="I39" i="237"/>
  <c r="J39" i="237"/>
  <c r="K39" i="237"/>
  <c r="L39" i="237"/>
  <c r="M39" i="237"/>
  <c r="N39" i="237"/>
  <c r="O39" i="237"/>
  <c r="P39" i="237"/>
  <c r="E42" i="237"/>
  <c r="F42" i="237"/>
  <c r="G42" i="237"/>
  <c r="H42" i="237"/>
  <c r="I42" i="237"/>
  <c r="J42" i="237"/>
  <c r="K42" i="237"/>
  <c r="L42" i="237"/>
  <c r="M42" i="237"/>
  <c r="N42" i="237"/>
  <c r="O42" i="237"/>
  <c r="P42" i="237"/>
  <c r="E43" i="237"/>
  <c r="F43" i="237"/>
  <c r="G43" i="237"/>
  <c r="H43" i="237"/>
  <c r="I43" i="237"/>
  <c r="J43" i="237"/>
  <c r="K43" i="237"/>
  <c r="L43" i="237"/>
  <c r="M43" i="237"/>
  <c r="N43" i="237"/>
  <c r="O43" i="237"/>
  <c r="P43" i="237"/>
  <c r="E44" i="237"/>
  <c r="F44" i="237"/>
  <c r="G44" i="237"/>
  <c r="H44" i="237"/>
  <c r="I44" i="237"/>
  <c r="J44" i="237"/>
  <c r="K44" i="237"/>
  <c r="L44" i="237"/>
  <c r="M44" i="237"/>
  <c r="N44" i="237"/>
  <c r="O44" i="237"/>
  <c r="P44" i="237"/>
  <c r="E45" i="237"/>
  <c r="F45" i="237"/>
  <c r="G45" i="237"/>
  <c r="H45" i="237"/>
  <c r="I45" i="237"/>
  <c r="J45" i="237"/>
  <c r="K45" i="237"/>
  <c r="L45" i="237"/>
  <c r="M45" i="237"/>
  <c r="N45" i="237"/>
  <c r="O45" i="237"/>
  <c r="P45" i="237"/>
  <c r="E46" i="237"/>
  <c r="F46" i="237"/>
  <c r="G46" i="237"/>
  <c r="H46" i="237"/>
  <c r="I46" i="237"/>
  <c r="J46" i="237"/>
  <c r="K46" i="237"/>
  <c r="L46" i="237"/>
  <c r="M46" i="237"/>
  <c r="N46" i="237"/>
  <c r="O46" i="237"/>
  <c r="P46" i="237"/>
  <c r="E47" i="237"/>
  <c r="F47" i="237"/>
  <c r="G47" i="237"/>
  <c r="H47" i="237"/>
  <c r="I47" i="237"/>
  <c r="J47" i="237"/>
  <c r="K47" i="237"/>
  <c r="L47" i="237"/>
  <c r="M47" i="237"/>
  <c r="N47" i="237"/>
  <c r="O47" i="237"/>
  <c r="P47" i="237"/>
  <c r="E48" i="237"/>
  <c r="F48" i="237"/>
  <c r="G48" i="237"/>
  <c r="H48" i="237"/>
  <c r="I48" i="237"/>
  <c r="J48" i="237"/>
  <c r="K48" i="237"/>
  <c r="L48" i="237"/>
  <c r="M48" i="237"/>
  <c r="N48" i="237"/>
  <c r="O48" i="237"/>
  <c r="P48" i="237"/>
  <c r="E69" i="237"/>
  <c r="F69" i="237"/>
  <c r="G69" i="237"/>
  <c r="H69" i="237"/>
  <c r="I69" i="237"/>
  <c r="J69" i="237"/>
  <c r="K69" i="237"/>
  <c r="L69" i="237"/>
  <c r="M69" i="237"/>
  <c r="N69" i="237"/>
  <c r="O69" i="237"/>
  <c r="P69" i="237"/>
  <c r="E70" i="237"/>
  <c r="F70" i="237"/>
  <c r="G70" i="237"/>
  <c r="H70" i="237"/>
  <c r="I70" i="237"/>
  <c r="J70" i="237"/>
  <c r="K70" i="237"/>
  <c r="L70" i="237"/>
  <c r="M70" i="237"/>
  <c r="N70" i="237"/>
  <c r="O70" i="237"/>
  <c r="P70" i="237"/>
  <c r="E71" i="237"/>
  <c r="F71" i="237"/>
  <c r="G71" i="237"/>
  <c r="H71" i="237"/>
  <c r="I71" i="237"/>
  <c r="J71" i="237"/>
  <c r="K71" i="237"/>
  <c r="L71" i="237"/>
  <c r="M71" i="237"/>
  <c r="N71" i="237"/>
  <c r="O71" i="237"/>
  <c r="P71" i="237"/>
  <c r="E72" i="237"/>
  <c r="F72" i="237"/>
  <c r="G72" i="237"/>
  <c r="H72" i="237"/>
  <c r="I72" i="237"/>
  <c r="J72" i="237"/>
  <c r="K72" i="237"/>
  <c r="L72" i="237"/>
  <c r="M72" i="237"/>
  <c r="N72" i="237"/>
  <c r="O72" i="237"/>
  <c r="P72" i="237"/>
  <c r="E73" i="237"/>
  <c r="F73" i="237"/>
  <c r="G73" i="237"/>
  <c r="H73" i="237"/>
  <c r="I73" i="237"/>
  <c r="J73" i="237"/>
  <c r="K73" i="237"/>
  <c r="L73" i="237"/>
  <c r="M73" i="237"/>
  <c r="N73" i="237"/>
  <c r="O73" i="237"/>
  <c r="P73" i="237"/>
  <c r="E74" i="237"/>
  <c r="F74" i="237"/>
  <c r="G74" i="237"/>
  <c r="H74" i="237"/>
  <c r="I74" i="237"/>
  <c r="J74" i="237"/>
  <c r="K74" i="237"/>
  <c r="L74" i="237"/>
  <c r="M74" i="237"/>
  <c r="N74" i="237"/>
  <c r="O74" i="237"/>
  <c r="P74" i="237"/>
  <c r="E75" i="237"/>
  <c r="F75" i="237"/>
  <c r="G75" i="237"/>
  <c r="H75" i="237"/>
  <c r="I75" i="237"/>
  <c r="J75" i="237"/>
  <c r="K75" i="237"/>
  <c r="L75" i="237"/>
  <c r="M75" i="237"/>
  <c r="N75" i="237"/>
  <c r="O75" i="237"/>
  <c r="P75" i="237"/>
  <c r="E76" i="237"/>
  <c r="F76" i="237"/>
  <c r="G76" i="237"/>
  <c r="H76" i="237"/>
  <c r="I76" i="237"/>
  <c r="J76" i="237"/>
  <c r="K76" i="237"/>
  <c r="L76" i="237"/>
  <c r="M76" i="237"/>
  <c r="N76" i="237"/>
  <c r="O76" i="237"/>
  <c r="P76" i="237"/>
  <c r="E77" i="237"/>
  <c r="F77" i="237"/>
  <c r="G77" i="237"/>
  <c r="H77" i="237"/>
  <c r="I77" i="237"/>
  <c r="J77" i="237"/>
  <c r="K77" i="237"/>
  <c r="L77" i="237"/>
  <c r="M77" i="237"/>
  <c r="N77" i="237"/>
  <c r="O77" i="237"/>
  <c r="P77" i="237"/>
  <c r="E84" i="237"/>
  <c r="F84" i="237"/>
  <c r="G84" i="237"/>
  <c r="H84" i="237"/>
  <c r="I84" i="237"/>
  <c r="J84" i="237"/>
  <c r="K84" i="237"/>
  <c r="L84" i="237"/>
  <c r="M84" i="237"/>
  <c r="N84" i="237"/>
  <c r="O84" i="237"/>
  <c r="P84" i="237"/>
  <c r="E85" i="237"/>
  <c r="F85" i="237"/>
  <c r="G85" i="237"/>
  <c r="H85" i="237"/>
  <c r="I85" i="237"/>
  <c r="J85" i="237"/>
  <c r="K85" i="237"/>
  <c r="L85" i="237"/>
  <c r="M85" i="237"/>
  <c r="N85" i="237"/>
  <c r="O85" i="237"/>
  <c r="P85" i="237"/>
  <c r="E86" i="237"/>
  <c r="F86" i="237"/>
  <c r="G86" i="237"/>
  <c r="H86" i="237"/>
  <c r="I86" i="237"/>
  <c r="J86" i="237"/>
  <c r="K86" i="237"/>
  <c r="L86" i="237"/>
  <c r="M86" i="237"/>
  <c r="N86" i="237"/>
  <c r="O86" i="237"/>
  <c r="P86" i="237"/>
  <c r="E87" i="237"/>
  <c r="F87" i="237"/>
  <c r="G87" i="237"/>
  <c r="H87" i="237"/>
  <c r="I87" i="237"/>
  <c r="J87" i="237"/>
  <c r="K87" i="237"/>
  <c r="L87" i="237"/>
  <c r="M87" i="237"/>
  <c r="N87" i="237"/>
  <c r="O87" i="237"/>
  <c r="P87" i="237"/>
  <c r="E88" i="237"/>
  <c r="F88" i="237"/>
  <c r="G88" i="237"/>
  <c r="H88" i="237"/>
  <c r="I88" i="237"/>
  <c r="J88" i="237"/>
  <c r="K88" i="237"/>
  <c r="L88" i="237"/>
  <c r="M88" i="237"/>
  <c r="N88" i="237"/>
  <c r="O88" i="237"/>
  <c r="P88" i="237"/>
  <c r="E89" i="237"/>
  <c r="F89" i="237"/>
  <c r="G89" i="237"/>
  <c r="H89" i="237"/>
  <c r="I89" i="237"/>
  <c r="J89" i="237"/>
  <c r="K89" i="237"/>
  <c r="L89" i="237"/>
  <c r="M89" i="237"/>
  <c r="N89" i="237"/>
  <c r="O89" i="237"/>
  <c r="P89" i="237"/>
  <c r="E90" i="237"/>
  <c r="F90" i="237"/>
  <c r="G90" i="237"/>
  <c r="H90" i="237"/>
  <c r="I90" i="237"/>
  <c r="J90" i="237"/>
  <c r="K90" i="237"/>
  <c r="L90" i="237"/>
  <c r="M90" i="237"/>
  <c r="N90" i="237"/>
  <c r="O90" i="237"/>
  <c r="P90" i="237"/>
  <c r="E91" i="237"/>
  <c r="F91" i="237"/>
  <c r="G91" i="237"/>
  <c r="H91" i="237"/>
  <c r="I91" i="237"/>
  <c r="J91" i="237"/>
  <c r="K91" i="237"/>
  <c r="L91" i="237"/>
  <c r="M91" i="237"/>
  <c r="N91" i="237"/>
  <c r="O91" i="237"/>
  <c r="P91" i="237"/>
  <c r="E92" i="237"/>
  <c r="F92" i="237"/>
  <c r="G92" i="237"/>
  <c r="H92" i="237"/>
  <c r="I92" i="237"/>
  <c r="J92" i="237"/>
  <c r="K92" i="237"/>
  <c r="L92" i="237"/>
  <c r="M92" i="237"/>
  <c r="N92" i="237"/>
  <c r="O92" i="237"/>
  <c r="P92" i="237"/>
  <c r="E93" i="237"/>
  <c r="F93" i="237"/>
  <c r="G93" i="237"/>
  <c r="H93" i="237"/>
  <c r="I93" i="237"/>
  <c r="J93" i="237"/>
  <c r="K93" i="237"/>
  <c r="L93" i="237"/>
  <c r="M93" i="237"/>
  <c r="N93" i="237"/>
  <c r="O93" i="237"/>
  <c r="P93" i="237"/>
  <c r="E99" i="237"/>
  <c r="F99" i="237"/>
  <c r="G99" i="237"/>
  <c r="H99" i="237"/>
  <c r="I99" i="237"/>
  <c r="J99" i="237"/>
  <c r="K99" i="237"/>
  <c r="L99" i="237"/>
  <c r="M99" i="237"/>
  <c r="N99" i="237"/>
  <c r="O99" i="237"/>
  <c r="P99" i="237"/>
  <c r="E100" i="237"/>
  <c r="F100" i="237"/>
  <c r="G100" i="237"/>
  <c r="H100" i="237"/>
  <c r="I100" i="237"/>
  <c r="J100" i="237"/>
  <c r="K100" i="237"/>
  <c r="L100" i="237"/>
  <c r="M100" i="237"/>
  <c r="N100" i="237"/>
  <c r="O100" i="237"/>
  <c r="P100" i="237"/>
  <c r="E101" i="237"/>
  <c r="F101" i="237"/>
  <c r="G101" i="237"/>
  <c r="H101" i="237"/>
  <c r="I101" i="237"/>
  <c r="J101" i="237"/>
  <c r="K101" i="237"/>
  <c r="L101" i="237"/>
  <c r="M101" i="237"/>
  <c r="N101" i="237"/>
  <c r="O101" i="237"/>
  <c r="P101" i="237"/>
  <c r="E102" i="237"/>
  <c r="F102" i="237"/>
  <c r="G102" i="237"/>
  <c r="H102" i="237"/>
  <c r="I102" i="237"/>
  <c r="J102" i="237"/>
  <c r="K102" i="237"/>
  <c r="L102" i="237"/>
  <c r="M102" i="237"/>
  <c r="N102" i="237"/>
  <c r="O102" i="237"/>
  <c r="P102" i="237"/>
  <c r="E103" i="237"/>
  <c r="F103" i="237"/>
  <c r="G103" i="237"/>
  <c r="H103" i="237"/>
  <c r="I103" i="237"/>
  <c r="J103" i="237"/>
  <c r="K103" i="237"/>
  <c r="L103" i="237"/>
  <c r="M103" i="237"/>
  <c r="N103" i="237"/>
  <c r="O103" i="237"/>
  <c r="P103" i="237"/>
  <c r="E107" i="237"/>
  <c r="F107" i="237"/>
  <c r="G107" i="237"/>
  <c r="H107" i="237"/>
  <c r="I107" i="237"/>
  <c r="J107" i="237"/>
  <c r="K107" i="237"/>
  <c r="L107" i="237"/>
  <c r="M107" i="237"/>
  <c r="N107" i="237"/>
  <c r="O107" i="237"/>
  <c r="P107" i="237"/>
  <c r="E108" i="237"/>
  <c r="F108" i="237"/>
  <c r="G108" i="237"/>
  <c r="H108" i="237"/>
  <c r="I108" i="237"/>
  <c r="J108" i="237"/>
  <c r="K108" i="237"/>
  <c r="L108" i="237"/>
  <c r="M108" i="237"/>
  <c r="N108" i="237"/>
  <c r="O108" i="237"/>
  <c r="P108" i="237"/>
  <c r="E109" i="237"/>
  <c r="F109" i="237"/>
  <c r="G109" i="237"/>
  <c r="H109" i="237"/>
  <c r="I109" i="237"/>
  <c r="J109" i="237"/>
  <c r="K109" i="237"/>
  <c r="L109" i="237"/>
  <c r="M109" i="237"/>
  <c r="N109" i="237"/>
  <c r="O109" i="237"/>
  <c r="P109" i="237"/>
  <c r="E110" i="237"/>
  <c r="F110" i="237"/>
  <c r="G110" i="237"/>
  <c r="H110" i="237"/>
  <c r="I110" i="237"/>
  <c r="J110" i="237"/>
  <c r="K110" i="237"/>
  <c r="L110" i="237"/>
  <c r="M110" i="237"/>
  <c r="N110" i="237"/>
  <c r="O110" i="237"/>
  <c r="P110" i="237"/>
  <c r="E111" i="237"/>
  <c r="F111" i="237"/>
  <c r="G111" i="237"/>
  <c r="H111" i="237"/>
  <c r="I111" i="237"/>
  <c r="J111" i="237"/>
  <c r="K111" i="237"/>
  <c r="L111" i="237"/>
  <c r="M111" i="237"/>
  <c r="N111" i="237"/>
  <c r="O111" i="237"/>
  <c r="P111" i="237"/>
  <c r="E112" i="237"/>
  <c r="F112" i="237"/>
  <c r="G112" i="237"/>
  <c r="H112" i="237"/>
  <c r="I112" i="237"/>
  <c r="J112" i="237"/>
  <c r="K112" i="237"/>
  <c r="L112" i="237"/>
  <c r="M112" i="237"/>
  <c r="N112" i="237"/>
  <c r="O112" i="237"/>
  <c r="P112" i="237"/>
  <c r="E113" i="237"/>
  <c r="F113" i="237"/>
  <c r="G113" i="237"/>
  <c r="H113" i="237"/>
  <c r="I113" i="237"/>
  <c r="J113" i="237"/>
  <c r="K113" i="237"/>
  <c r="L113" i="237"/>
  <c r="M113" i="237"/>
  <c r="N113" i="237"/>
  <c r="O113" i="237"/>
  <c r="P113" i="237"/>
  <c r="E117" i="237"/>
  <c r="F117" i="237"/>
  <c r="G117" i="237"/>
  <c r="H117" i="237"/>
  <c r="I117" i="237"/>
  <c r="J117" i="237"/>
  <c r="K117" i="237"/>
  <c r="L117" i="237"/>
  <c r="M117" i="237"/>
  <c r="N117" i="237"/>
  <c r="O117" i="237"/>
  <c r="P117" i="237"/>
  <c r="E127" i="237"/>
  <c r="F127" i="237"/>
  <c r="G127" i="237"/>
  <c r="H127" i="237"/>
  <c r="I127" i="237"/>
  <c r="J127" i="237"/>
  <c r="K127" i="237"/>
  <c r="L127" i="237"/>
  <c r="M127" i="237"/>
  <c r="N127" i="237"/>
  <c r="O127" i="237"/>
  <c r="P127" i="237"/>
  <c r="E130" i="237"/>
  <c r="F130" i="237"/>
  <c r="G130" i="237"/>
  <c r="H130" i="237"/>
  <c r="I130" i="237"/>
  <c r="J130" i="237"/>
  <c r="K130" i="237"/>
  <c r="L130" i="237"/>
  <c r="M130" i="237"/>
  <c r="N130" i="237"/>
  <c r="O130" i="237"/>
  <c r="P130" i="237"/>
  <c r="E131" i="237"/>
  <c r="F131" i="237"/>
  <c r="G131" i="237"/>
  <c r="H131" i="237"/>
  <c r="I131" i="237"/>
  <c r="J131" i="237"/>
  <c r="K131" i="237"/>
  <c r="L131" i="237"/>
  <c r="M131" i="237"/>
  <c r="N131" i="237"/>
  <c r="O131" i="237"/>
  <c r="P131" i="237"/>
  <c r="E132" i="237"/>
  <c r="F132" i="237"/>
  <c r="G132" i="237"/>
  <c r="H132" i="237"/>
  <c r="I132" i="237"/>
  <c r="J132" i="237"/>
  <c r="K132" i="237"/>
  <c r="L132" i="237"/>
  <c r="M132" i="237"/>
  <c r="N132" i="237"/>
  <c r="O132" i="237"/>
  <c r="P132" i="237"/>
  <c r="E133" i="237"/>
  <c r="F133" i="237"/>
  <c r="G133" i="237"/>
  <c r="H133" i="237"/>
  <c r="I133" i="237"/>
  <c r="J133" i="237"/>
  <c r="K133" i="237"/>
  <c r="L133" i="237"/>
  <c r="M133" i="237"/>
  <c r="N133" i="237"/>
  <c r="O133" i="237"/>
  <c r="P133" i="237"/>
  <c r="E134" i="237"/>
  <c r="F134" i="237"/>
  <c r="G134" i="237"/>
  <c r="H134" i="237"/>
  <c r="I134" i="237"/>
  <c r="J134" i="237"/>
  <c r="K134" i="237"/>
  <c r="L134" i="237"/>
  <c r="M134" i="237"/>
  <c r="N134" i="237"/>
  <c r="O134" i="237"/>
  <c r="P134" i="237"/>
  <c r="E135" i="237"/>
  <c r="F135" i="237"/>
  <c r="G135" i="237"/>
  <c r="H135" i="237"/>
  <c r="I135" i="237"/>
  <c r="J135" i="237"/>
  <c r="K135" i="237"/>
  <c r="L135" i="237"/>
  <c r="M135" i="237"/>
  <c r="N135" i="237"/>
  <c r="O135" i="237"/>
  <c r="P135" i="237"/>
  <c r="E136" i="237"/>
  <c r="F136" i="237"/>
  <c r="G136" i="237"/>
  <c r="H136" i="237"/>
  <c r="I136" i="237"/>
  <c r="J136" i="237"/>
  <c r="K136" i="237"/>
  <c r="L136" i="237"/>
  <c r="M136" i="237"/>
  <c r="N136" i="237"/>
  <c r="O136" i="237"/>
  <c r="P136" i="237"/>
  <c r="E137" i="237"/>
  <c r="F137" i="237"/>
  <c r="G137" i="237"/>
  <c r="H137" i="237"/>
  <c r="I137" i="237"/>
  <c r="J137" i="237"/>
  <c r="K137" i="237"/>
  <c r="L137" i="237"/>
  <c r="M137" i="237"/>
  <c r="N137" i="237"/>
  <c r="O137" i="237"/>
  <c r="P137" i="237"/>
  <c r="E138" i="237"/>
  <c r="F138" i="237"/>
  <c r="G138" i="237"/>
  <c r="H138" i="237"/>
  <c r="I138" i="237"/>
  <c r="J138" i="237"/>
  <c r="K138" i="237"/>
  <c r="L138" i="237"/>
  <c r="M138" i="237"/>
  <c r="N138" i="237"/>
  <c r="O138" i="237"/>
  <c r="P138" i="237"/>
  <c r="E139" i="237"/>
  <c r="F139" i="237"/>
  <c r="G139" i="237"/>
  <c r="H139" i="237"/>
  <c r="I139" i="237"/>
  <c r="J139" i="237"/>
  <c r="K139" i="237"/>
  <c r="L139" i="237"/>
  <c r="M139" i="237"/>
  <c r="N139" i="237"/>
  <c r="O139" i="237"/>
  <c r="P139" i="237"/>
  <c r="E144" i="237"/>
  <c r="F144" i="237"/>
  <c r="G144" i="237"/>
  <c r="H144" i="237"/>
  <c r="I144" i="237"/>
  <c r="J144" i="237"/>
  <c r="K144" i="237"/>
  <c r="L144" i="237"/>
  <c r="M144" i="237"/>
  <c r="N144" i="237"/>
  <c r="O144" i="237"/>
  <c r="P144" i="237"/>
  <c r="E145" i="237"/>
  <c r="F145" i="237"/>
  <c r="G145" i="237"/>
  <c r="H145" i="237"/>
  <c r="I145" i="237"/>
  <c r="J145" i="237"/>
  <c r="K145" i="237"/>
  <c r="L145" i="237"/>
  <c r="M145" i="237"/>
  <c r="N145" i="237"/>
  <c r="O145" i="237"/>
  <c r="P145" i="237"/>
  <c r="E165" i="237"/>
  <c r="F165" i="237"/>
  <c r="G165" i="237"/>
  <c r="H165" i="237"/>
  <c r="I165" i="237"/>
  <c r="J165" i="237"/>
  <c r="K165" i="237"/>
  <c r="L165" i="237"/>
  <c r="M165" i="237"/>
  <c r="N165" i="237"/>
  <c r="O165" i="237"/>
  <c r="P165" i="237"/>
  <c r="E166" i="237"/>
  <c r="F166" i="237"/>
  <c r="G166" i="237"/>
  <c r="H166" i="237"/>
  <c r="I166" i="237"/>
  <c r="J166" i="237"/>
  <c r="K166" i="237"/>
  <c r="L166" i="237"/>
  <c r="M166" i="237"/>
  <c r="N166" i="237"/>
  <c r="O166" i="237"/>
  <c r="P166" i="237"/>
  <c r="E167" i="237"/>
  <c r="F167" i="237"/>
  <c r="G167" i="237"/>
  <c r="H167" i="237"/>
  <c r="I167" i="237"/>
  <c r="J167" i="237"/>
  <c r="K167" i="237"/>
  <c r="L167" i="237"/>
  <c r="M167" i="237"/>
  <c r="N167" i="237"/>
  <c r="O167" i="237"/>
  <c r="P167" i="237"/>
  <c r="E168" i="237"/>
  <c r="F168" i="237"/>
  <c r="G168" i="237"/>
  <c r="H168" i="237"/>
  <c r="I168" i="237"/>
  <c r="J168" i="237"/>
  <c r="K168" i="237"/>
  <c r="L168" i="237"/>
  <c r="M168" i="237"/>
  <c r="N168" i="237"/>
  <c r="O168" i="237"/>
  <c r="P168" i="237"/>
  <c r="E169" i="237"/>
  <c r="F169" i="237"/>
  <c r="G169" i="237"/>
  <c r="H169" i="237"/>
  <c r="I169" i="237"/>
  <c r="J169" i="237"/>
  <c r="K169" i="237"/>
  <c r="L169" i="237"/>
  <c r="M169" i="237"/>
  <c r="N169" i="237"/>
  <c r="O169" i="237"/>
  <c r="P169" i="237"/>
  <c r="E170" i="237"/>
  <c r="F170" i="237"/>
  <c r="G170" i="237"/>
  <c r="H170" i="237"/>
  <c r="I170" i="237"/>
  <c r="J170" i="237"/>
  <c r="K170" i="237"/>
  <c r="L170" i="237"/>
  <c r="M170" i="237"/>
  <c r="N170" i="237"/>
  <c r="O170" i="237"/>
  <c r="P170" i="237"/>
  <c r="E171" i="237"/>
  <c r="F171" i="237"/>
  <c r="G171" i="237"/>
  <c r="H171" i="237"/>
  <c r="I171" i="237"/>
  <c r="J171" i="237"/>
  <c r="K171" i="237"/>
  <c r="L171" i="237"/>
  <c r="M171" i="237"/>
  <c r="N171" i="237"/>
  <c r="O171" i="237"/>
  <c r="P171" i="237"/>
  <c r="Q194" i="237"/>
  <c r="L189" i="234" s="1"/>
  <c r="Q195" i="237"/>
  <c r="L190" i="234" s="1"/>
  <c r="Q196" i="237"/>
  <c r="L191" i="234" s="1"/>
  <c r="Q197" i="237"/>
  <c r="L192" i="234" s="1"/>
  <c r="Q198" i="237"/>
  <c r="L193" i="234" s="1"/>
  <c r="Q199" i="237"/>
  <c r="L194" i="234" s="1"/>
  <c r="Q200" i="237"/>
  <c r="L195" i="234" s="1"/>
  <c r="Q201" i="237"/>
  <c r="L196" i="234" s="1"/>
  <c r="Q202" i="237"/>
  <c r="L197" i="234" s="1"/>
  <c r="Q203" i="237"/>
  <c r="L198" i="234" s="1"/>
  <c r="Q244" i="237"/>
  <c r="L240" i="234" s="1"/>
  <c r="Q245" i="237"/>
  <c r="L241" i="234" s="1"/>
  <c r="Q246" i="237"/>
  <c r="L242" i="234" s="1"/>
  <c r="Q247" i="237"/>
  <c r="L243" i="234" s="1"/>
  <c r="Q248" i="237"/>
  <c r="L244" i="234" s="1"/>
  <c r="Q249" i="237"/>
  <c r="L245" i="234" s="1"/>
  <c r="Q250" i="237"/>
  <c r="L246" i="234" s="1"/>
  <c r="Q251" i="237"/>
  <c r="L247" i="234" s="1"/>
  <c r="Q252" i="237"/>
  <c r="L248" i="234" s="1"/>
  <c r="Q255" i="237"/>
  <c r="L251" i="234" s="1"/>
  <c r="Q256" i="237"/>
  <c r="L252" i="234" s="1"/>
  <c r="Q257" i="237"/>
  <c r="L253" i="234" s="1"/>
  <c r="Q258" i="237"/>
  <c r="L254" i="234" s="1"/>
  <c r="Q259" i="237"/>
  <c r="L255" i="234" s="1"/>
  <c r="Q260" i="237"/>
  <c r="L256" i="234" s="1"/>
  <c r="Q261" i="237"/>
  <c r="L257" i="234" s="1"/>
  <c r="Q262" i="237"/>
  <c r="L258" i="234" s="1"/>
  <c r="Q263" i="237"/>
  <c r="L259" i="234" s="1"/>
  <c r="Q264" i="237"/>
  <c r="L260" i="234" s="1"/>
  <c r="Q265" i="237"/>
  <c r="L261" i="234" s="1"/>
  <c r="Q266" i="237"/>
  <c r="L262" i="234" s="1"/>
  <c r="Q267" i="237"/>
  <c r="L263" i="234" s="1"/>
  <c r="Q268" i="237"/>
  <c r="L264" i="234" s="1"/>
  <c r="E269" i="237"/>
  <c r="F269" i="237"/>
  <c r="G269" i="237"/>
  <c r="H269" i="237"/>
  <c r="I269" i="237"/>
  <c r="J269" i="237"/>
  <c r="K269" i="237"/>
  <c r="L269" i="237"/>
  <c r="M269" i="237"/>
  <c r="N269" i="237"/>
  <c r="O269" i="237"/>
  <c r="P269" i="237"/>
  <c r="Q273" i="237"/>
  <c r="L269" i="234" s="1"/>
  <c r="Q274" i="237"/>
  <c r="L270" i="234" s="1"/>
  <c r="Q275" i="237"/>
  <c r="L271" i="234" s="1"/>
  <c r="Q276" i="237"/>
  <c r="L272" i="234" s="1"/>
  <c r="Q277" i="237"/>
  <c r="L273" i="234" s="1"/>
  <c r="Q278" i="237"/>
  <c r="L274" i="234" s="1"/>
  <c r="Q282" i="237"/>
  <c r="L278" i="234" s="1"/>
  <c r="Q283" i="237"/>
  <c r="L279" i="234" s="1"/>
  <c r="Q284" i="237"/>
  <c r="L280" i="234" s="1"/>
  <c r="Q285" i="237"/>
  <c r="L281" i="234" s="1"/>
  <c r="Q286" i="237"/>
  <c r="L282" i="234" s="1"/>
  <c r="Q287" i="237"/>
  <c r="L283" i="234" s="1"/>
  <c r="Q288" i="237"/>
  <c r="L284" i="234" s="1"/>
  <c r="Q291" i="237"/>
  <c r="L287" i="234" s="1"/>
  <c r="Q292" i="237"/>
  <c r="L288" i="234" s="1"/>
  <c r="Q293" i="237"/>
  <c r="L289" i="234" s="1"/>
  <c r="Q294" i="237"/>
  <c r="L290" i="234" s="1"/>
  <c r="Q295" i="237"/>
  <c r="L291" i="234" s="1"/>
  <c r="Q296" i="237"/>
  <c r="L292" i="234" s="1"/>
  <c r="Q297" i="237"/>
  <c r="L293" i="234" s="1"/>
  <c r="Q298" i="237"/>
  <c r="L294" i="234" s="1"/>
  <c r="Q299" i="237"/>
  <c r="L295" i="234" s="1"/>
  <c r="Q300" i="237"/>
  <c r="L296" i="234" s="1"/>
  <c r="Q301" i="237"/>
  <c r="L297" i="234" s="1"/>
  <c r="Q302" i="237"/>
  <c r="L298" i="234" s="1"/>
  <c r="Q303" i="237"/>
  <c r="L299" i="234" s="1"/>
  <c r="Q304" i="237"/>
  <c r="L300" i="234" s="1"/>
  <c r="Q305" i="237"/>
  <c r="L301" i="234" s="1"/>
  <c r="Q306" i="237"/>
  <c r="L302" i="234" s="1"/>
  <c r="Q307" i="237"/>
  <c r="L303" i="234" s="1"/>
  <c r="Q308" i="237"/>
  <c r="L304" i="234" s="1"/>
  <c r="Q309" i="237"/>
  <c r="L305" i="234" s="1"/>
  <c r="Q310" i="237"/>
  <c r="L306" i="234" s="1"/>
  <c r="Q311" i="237"/>
  <c r="L307" i="234" s="1"/>
  <c r="Q312" i="237"/>
  <c r="L308" i="234" s="1"/>
  <c r="Q313" i="237"/>
  <c r="L309" i="234" s="1"/>
  <c r="Q314" i="237"/>
  <c r="L310" i="234" s="1"/>
  <c r="E315" i="237"/>
  <c r="F315" i="237"/>
  <c r="G315" i="237"/>
  <c r="H315" i="237"/>
  <c r="I315" i="237"/>
  <c r="J315" i="237"/>
  <c r="K315" i="237"/>
  <c r="L315" i="237"/>
  <c r="M315" i="237"/>
  <c r="N315" i="237"/>
  <c r="O315" i="237"/>
  <c r="P315" i="237"/>
  <c r="Q317" i="237"/>
  <c r="L313" i="234" s="1"/>
  <c r="Q318" i="237"/>
  <c r="L314" i="234" s="1"/>
  <c r="Q319" i="237"/>
  <c r="L315" i="234" s="1"/>
  <c r="Q320" i="237"/>
  <c r="L316" i="234" s="1"/>
  <c r="Q336" i="237"/>
  <c r="L332" i="234" s="1"/>
  <c r="Q337" i="237"/>
  <c r="L333" i="234" s="1"/>
  <c r="Q338" i="237"/>
  <c r="L334" i="234" s="1"/>
  <c r="Q339" i="237"/>
  <c r="L335" i="234" s="1"/>
  <c r="Q340" i="237"/>
  <c r="L336" i="234" s="1"/>
  <c r="Q341" i="237"/>
  <c r="Q342" i="237"/>
  <c r="E343" i="237"/>
  <c r="F343" i="237"/>
  <c r="G343" i="237"/>
  <c r="H343" i="237"/>
  <c r="I343" i="237"/>
  <c r="J343" i="237"/>
  <c r="K343" i="237"/>
  <c r="L343" i="237"/>
  <c r="M343" i="237"/>
  <c r="N343" i="237"/>
  <c r="O343" i="237"/>
  <c r="P343" i="237"/>
  <c r="Q345" i="237"/>
  <c r="Q346" i="237"/>
  <c r="L340" i="234" s="1"/>
  <c r="E347" i="237"/>
  <c r="F347" i="237"/>
  <c r="G347" i="237"/>
  <c r="H347" i="237"/>
  <c r="I347" i="237"/>
  <c r="J347" i="237"/>
  <c r="K347" i="237"/>
  <c r="L347" i="237"/>
  <c r="M347" i="237"/>
  <c r="N347" i="237"/>
  <c r="O347" i="237"/>
  <c r="P347" i="237"/>
  <c r="Q365" i="237"/>
  <c r="L360" i="234" s="1"/>
  <c r="Q366" i="237"/>
  <c r="L361" i="234" s="1"/>
  <c r="Q367" i="237"/>
  <c r="L362" i="234" s="1"/>
  <c r="Q368" i="237"/>
  <c r="L363" i="234" s="1"/>
  <c r="Q369" i="237"/>
  <c r="L364" i="234" s="1"/>
  <c r="Q370" i="237"/>
  <c r="L365" i="234" s="1"/>
  <c r="Q371" i="237"/>
  <c r="L366" i="234" s="1"/>
  <c r="Q372" i="237"/>
  <c r="L367" i="234" s="1"/>
  <c r="Q373" i="237"/>
  <c r="L368" i="234" s="1"/>
  <c r="Q374" i="237"/>
  <c r="L369" i="234" s="1"/>
  <c r="Q377" i="237"/>
  <c r="L372" i="234" s="1"/>
  <c r="Q378" i="237"/>
  <c r="L373" i="234" s="1"/>
  <c r="Q379" i="237"/>
  <c r="L374" i="234" s="1"/>
  <c r="Q380" i="237"/>
  <c r="L375" i="234" s="1"/>
  <c r="Q381" i="237"/>
  <c r="L376" i="234" s="1"/>
  <c r="Q382" i="237"/>
  <c r="L377" i="234" s="1"/>
  <c r="Q383" i="237"/>
  <c r="L378" i="234" s="1"/>
  <c r="Q384" i="237"/>
  <c r="L379" i="234" s="1"/>
  <c r="Q385" i="237"/>
  <c r="L380" i="234" s="1"/>
  <c r="Q386" i="237"/>
  <c r="L381" i="234" s="1"/>
  <c r="Q387" i="237"/>
  <c r="L382" i="234" s="1"/>
  <c r="Q388" i="237"/>
  <c r="L383" i="234" s="1"/>
  <c r="Q389" i="237"/>
  <c r="L384" i="234" s="1"/>
  <c r="Q390" i="237"/>
  <c r="L385" i="234" s="1"/>
  <c r="Q391" i="237"/>
  <c r="L386" i="234" s="1"/>
  <c r="Q392" i="237"/>
  <c r="L387" i="234" s="1"/>
  <c r="Q393" i="237"/>
  <c r="L388" i="234" s="1"/>
  <c r="Q394" i="237"/>
  <c r="L389" i="234" s="1"/>
  <c r="E395" i="237"/>
  <c r="F395" i="237"/>
  <c r="G395" i="237"/>
  <c r="H395" i="237"/>
  <c r="I395" i="237"/>
  <c r="J395" i="237"/>
  <c r="K395" i="237"/>
  <c r="L395" i="237"/>
  <c r="M395" i="237"/>
  <c r="N395" i="237"/>
  <c r="O395" i="237"/>
  <c r="P395" i="237"/>
  <c r="Q415" i="237"/>
  <c r="L411" i="234" s="1"/>
  <c r="Q416" i="237"/>
  <c r="L412" i="234" s="1"/>
  <c r="Q417" i="237"/>
  <c r="L413" i="234" s="1"/>
  <c r="Q418" i="237"/>
  <c r="L414" i="234" s="1"/>
  <c r="Q419" i="237"/>
  <c r="L415" i="234" s="1"/>
  <c r="Q420" i="237"/>
  <c r="L416" i="234" s="1"/>
  <c r="Q421" i="237"/>
  <c r="L417" i="234" s="1"/>
  <c r="Q422" i="237"/>
  <c r="L418" i="234" s="1"/>
  <c r="Q423" i="237"/>
  <c r="Q424" i="237"/>
  <c r="Q431" i="237"/>
  <c r="L425" i="234" s="1"/>
  <c r="Q432" i="237"/>
  <c r="L426" i="234" s="1"/>
  <c r="Q433" i="237"/>
  <c r="L427" i="234" s="1"/>
  <c r="Q434" i="237"/>
  <c r="L428" i="234" s="1"/>
  <c r="Q435" i="237"/>
  <c r="L429" i="234" s="1"/>
  <c r="Q436" i="237"/>
  <c r="L430" i="234" s="1"/>
  <c r="Q437" i="237"/>
  <c r="L431" i="234" s="1"/>
  <c r="Q438" i="237"/>
  <c r="L432" i="234" s="1"/>
  <c r="U438" i="237"/>
  <c r="Q439" i="237"/>
  <c r="L433" i="234" s="1"/>
  <c r="U439" i="237"/>
  <c r="Q440" i="237"/>
  <c r="L434" i="234" s="1"/>
  <c r="Q456" i="237"/>
  <c r="L450" i="234" s="1"/>
  <c r="Q457" i="237"/>
  <c r="L451" i="234" s="1"/>
  <c r="Q458" i="237"/>
  <c r="L452" i="234" s="1"/>
  <c r="Q459" i="237"/>
  <c r="L453" i="234" s="1"/>
  <c r="Q460" i="237"/>
  <c r="L454" i="234" s="1"/>
  <c r="Q474" i="237"/>
  <c r="L468" i="234" s="1"/>
  <c r="Q477" i="237"/>
  <c r="L471" i="234" s="1"/>
  <c r="Q478" i="237"/>
  <c r="L472" i="234" s="1"/>
  <c r="Q479" i="237"/>
  <c r="L473" i="234" s="1"/>
  <c r="Q480" i="237"/>
  <c r="L474" i="234" s="1"/>
  <c r="Q481" i="237"/>
  <c r="L475" i="234" s="1"/>
  <c r="Q482" i="237"/>
  <c r="L476" i="234" s="1"/>
  <c r="Q483" i="237"/>
  <c r="L477" i="234" s="1"/>
  <c r="Q484" i="237"/>
  <c r="L478" i="234" s="1"/>
  <c r="Q485" i="237"/>
  <c r="L479" i="234" s="1"/>
  <c r="Q486" i="237"/>
  <c r="L480" i="234" s="1"/>
  <c r="Q509" i="237"/>
  <c r="Q510" i="237"/>
  <c r="Q511" i="237"/>
  <c r="Q512" i="237"/>
  <c r="Q513" i="237"/>
  <c r="Q514" i="237"/>
  <c r="Q515" i="237"/>
  <c r="Q516" i="237"/>
  <c r="E31" i="236"/>
  <c r="I92" i="234"/>
  <c r="E115" i="236"/>
  <c r="F115" i="236"/>
  <c r="G115" i="236"/>
  <c r="H115" i="236"/>
  <c r="I115" i="236"/>
  <c r="J115" i="236"/>
  <c r="K115" i="236"/>
  <c r="L115" i="236"/>
  <c r="M115" i="236"/>
  <c r="N115" i="236"/>
  <c r="O115" i="236"/>
  <c r="P115" i="236"/>
  <c r="E116" i="236"/>
  <c r="F116" i="236"/>
  <c r="G116" i="236"/>
  <c r="H116" i="236"/>
  <c r="I116" i="236"/>
  <c r="J116" i="236"/>
  <c r="K116" i="236"/>
  <c r="L116" i="236"/>
  <c r="M116" i="236"/>
  <c r="N116" i="236"/>
  <c r="O116" i="236"/>
  <c r="P116" i="236"/>
  <c r="E117" i="236"/>
  <c r="F117" i="236"/>
  <c r="G117" i="236"/>
  <c r="H117" i="236"/>
  <c r="I117" i="236"/>
  <c r="J117" i="236"/>
  <c r="K117" i="236"/>
  <c r="L117" i="236"/>
  <c r="M117" i="236"/>
  <c r="N117" i="236"/>
  <c r="O117" i="236"/>
  <c r="P117" i="236"/>
  <c r="E118" i="236"/>
  <c r="F118" i="236"/>
  <c r="G118" i="236"/>
  <c r="H118" i="236"/>
  <c r="I118" i="236"/>
  <c r="J118" i="236"/>
  <c r="K118" i="236"/>
  <c r="L118" i="236"/>
  <c r="M118" i="236"/>
  <c r="N118" i="236"/>
  <c r="O118" i="236"/>
  <c r="P118" i="236"/>
  <c r="E119" i="236"/>
  <c r="F119" i="236"/>
  <c r="G119" i="236"/>
  <c r="H119" i="236"/>
  <c r="I119" i="236"/>
  <c r="J119" i="236"/>
  <c r="K119" i="236"/>
  <c r="L119" i="236"/>
  <c r="M119" i="236"/>
  <c r="N119" i="236"/>
  <c r="O119" i="236"/>
  <c r="P119" i="236"/>
  <c r="E120" i="236"/>
  <c r="F120" i="236"/>
  <c r="G120" i="236"/>
  <c r="H120" i="236"/>
  <c r="I120" i="236"/>
  <c r="J120" i="236"/>
  <c r="K120" i="236"/>
  <c r="L120" i="236"/>
  <c r="M120" i="236"/>
  <c r="N120" i="236"/>
  <c r="O120" i="236"/>
  <c r="P120" i="236"/>
  <c r="E121" i="236"/>
  <c r="F121" i="236"/>
  <c r="G121" i="236"/>
  <c r="H121" i="236"/>
  <c r="I121" i="236"/>
  <c r="J121" i="236"/>
  <c r="K121" i="236"/>
  <c r="L121" i="236"/>
  <c r="M121" i="236"/>
  <c r="N121" i="236"/>
  <c r="O121" i="236"/>
  <c r="P121" i="236"/>
  <c r="E122" i="236"/>
  <c r="F122" i="236"/>
  <c r="G122" i="236"/>
  <c r="H122" i="236"/>
  <c r="I122" i="236"/>
  <c r="J122" i="236"/>
  <c r="K122" i="236"/>
  <c r="L122" i="236"/>
  <c r="M122" i="236"/>
  <c r="N122" i="236"/>
  <c r="O122" i="236"/>
  <c r="P122" i="236"/>
  <c r="E123" i="236"/>
  <c r="F123" i="236"/>
  <c r="G123" i="236"/>
  <c r="H123" i="236"/>
  <c r="I123" i="236"/>
  <c r="J123" i="236"/>
  <c r="K123" i="236"/>
  <c r="L123" i="236"/>
  <c r="M123" i="236"/>
  <c r="N123" i="236"/>
  <c r="O123" i="236"/>
  <c r="P123" i="236"/>
  <c r="E124" i="236"/>
  <c r="F124" i="236"/>
  <c r="G124" i="236"/>
  <c r="H124" i="236"/>
  <c r="I124" i="236"/>
  <c r="J124" i="236"/>
  <c r="K124" i="236"/>
  <c r="L124" i="236"/>
  <c r="M124" i="236"/>
  <c r="N124" i="236"/>
  <c r="O124" i="236"/>
  <c r="P124" i="236"/>
  <c r="E125" i="236"/>
  <c r="F125" i="236"/>
  <c r="G125" i="236"/>
  <c r="H125" i="236"/>
  <c r="I125" i="236"/>
  <c r="J125" i="236"/>
  <c r="K125" i="236"/>
  <c r="L125" i="236"/>
  <c r="M125" i="236"/>
  <c r="N125" i="236"/>
  <c r="O125" i="236"/>
  <c r="P125" i="236"/>
  <c r="E126" i="236"/>
  <c r="F126" i="236"/>
  <c r="G126" i="236"/>
  <c r="H126" i="236"/>
  <c r="I126" i="236"/>
  <c r="J126" i="236"/>
  <c r="K126" i="236"/>
  <c r="L126" i="236"/>
  <c r="M126" i="236"/>
  <c r="N126" i="236"/>
  <c r="O126" i="236"/>
  <c r="P126" i="236"/>
  <c r="E127" i="236"/>
  <c r="F127" i="236"/>
  <c r="G127" i="236"/>
  <c r="H127" i="236"/>
  <c r="I127" i="236"/>
  <c r="J127" i="236"/>
  <c r="K127" i="236"/>
  <c r="L127" i="236"/>
  <c r="M127" i="236"/>
  <c r="N127" i="236"/>
  <c r="O127" i="236"/>
  <c r="P127" i="236"/>
  <c r="E128" i="236"/>
  <c r="F128" i="236"/>
  <c r="G128" i="236"/>
  <c r="H128" i="236"/>
  <c r="I128" i="236"/>
  <c r="J128" i="236"/>
  <c r="K128" i="236"/>
  <c r="L128" i="236"/>
  <c r="M128" i="236"/>
  <c r="N128" i="236"/>
  <c r="O128" i="236"/>
  <c r="P128" i="236"/>
  <c r="E129" i="236"/>
  <c r="F129" i="236"/>
  <c r="G129" i="236"/>
  <c r="H129" i="236"/>
  <c r="I129" i="236"/>
  <c r="J129" i="236"/>
  <c r="K129" i="236"/>
  <c r="L129" i="236"/>
  <c r="M129" i="236"/>
  <c r="N129" i="236"/>
  <c r="O129" i="236"/>
  <c r="P129" i="236"/>
  <c r="E130" i="236"/>
  <c r="F130" i="236"/>
  <c r="G130" i="236"/>
  <c r="H130" i="236"/>
  <c r="I130" i="236"/>
  <c r="J130" i="236"/>
  <c r="K130" i="236"/>
  <c r="L130" i="236"/>
  <c r="M130" i="236"/>
  <c r="N130" i="236"/>
  <c r="O130" i="236"/>
  <c r="P130" i="236"/>
  <c r="E137" i="236"/>
  <c r="F137" i="236"/>
  <c r="G137" i="236"/>
  <c r="H137" i="236"/>
  <c r="I137" i="236"/>
  <c r="J137" i="236"/>
  <c r="K137" i="236"/>
  <c r="L137" i="236"/>
  <c r="M137" i="236"/>
  <c r="N137" i="236"/>
  <c r="O137" i="236"/>
  <c r="P137" i="236"/>
  <c r="E138" i="236"/>
  <c r="F138" i="236"/>
  <c r="G138" i="236"/>
  <c r="H138" i="236"/>
  <c r="I138" i="236"/>
  <c r="J138" i="236"/>
  <c r="K138" i="236"/>
  <c r="L138" i="236"/>
  <c r="M138" i="236"/>
  <c r="N138" i="236"/>
  <c r="O138" i="236"/>
  <c r="P138" i="236"/>
  <c r="J139" i="234" s="1"/>
  <c r="E142" i="236"/>
  <c r="F142" i="236"/>
  <c r="G142" i="236"/>
  <c r="H142" i="236"/>
  <c r="I142" i="236"/>
  <c r="J142" i="236"/>
  <c r="K142" i="236"/>
  <c r="L142" i="236"/>
  <c r="M142" i="236"/>
  <c r="N142" i="236"/>
  <c r="O142" i="236"/>
  <c r="P142" i="236"/>
  <c r="E143" i="236"/>
  <c r="F143" i="236"/>
  <c r="G143" i="236"/>
  <c r="H143" i="236"/>
  <c r="I143" i="236"/>
  <c r="J143" i="236"/>
  <c r="K143" i="236"/>
  <c r="L143" i="236"/>
  <c r="M143" i="236"/>
  <c r="N143" i="236"/>
  <c r="O143" i="236"/>
  <c r="P143" i="236"/>
  <c r="Q187" i="236"/>
  <c r="Q188" i="236"/>
  <c r="Q190" i="236"/>
  <c r="Q191" i="236"/>
  <c r="Q192" i="236"/>
  <c r="Q193" i="236"/>
  <c r="Q194" i="236"/>
  <c r="Q195" i="236"/>
  <c r="Q196" i="236"/>
  <c r="Q197" i="236"/>
  <c r="Q200" i="236"/>
  <c r="Q201" i="236"/>
  <c r="Q202" i="236"/>
  <c r="Q203" i="236"/>
  <c r="Q204" i="236"/>
  <c r="Q205" i="236"/>
  <c r="Q206" i="236"/>
  <c r="Q207" i="236"/>
  <c r="Q208" i="236"/>
  <c r="Q209" i="236"/>
  <c r="Q210" i="236"/>
  <c r="Q212" i="236"/>
  <c r="Q213" i="236"/>
  <c r="Q214" i="236"/>
  <c r="Q215" i="236"/>
  <c r="Q216" i="236"/>
  <c r="Q243" i="236"/>
  <c r="Q244" i="236"/>
  <c r="Q245" i="236"/>
  <c r="Q246" i="236"/>
  <c r="Q253" i="236"/>
  <c r="Q254" i="236"/>
  <c r="Q255" i="236"/>
  <c r="Q256" i="236"/>
  <c r="Q257" i="236"/>
  <c r="Q258" i="236"/>
  <c r="Q259" i="236"/>
  <c r="Q260" i="236"/>
  <c r="Q261" i="236"/>
  <c r="Q262" i="236"/>
  <c r="H273" i="236"/>
  <c r="J273" i="236"/>
  <c r="Q268" i="236"/>
  <c r="Q269" i="236"/>
  <c r="Q270" i="236"/>
  <c r="Q271" i="236"/>
  <c r="Q272" i="236"/>
  <c r="K283" i="236"/>
  <c r="Q277" i="236"/>
  <c r="Q278" i="236"/>
  <c r="Q279" i="236"/>
  <c r="Q280" i="236"/>
  <c r="Q281" i="236"/>
  <c r="Q282" i="236"/>
  <c r="Q285" i="236"/>
  <c r="Q286" i="236"/>
  <c r="Q287" i="236"/>
  <c r="Q288" i="236"/>
  <c r="Q289" i="236"/>
  <c r="Q290" i="236"/>
  <c r="Q291" i="236"/>
  <c r="Q292" i="236"/>
  <c r="Q293" i="236"/>
  <c r="Q294" i="236"/>
  <c r="Q295" i="236"/>
  <c r="Q296" i="236"/>
  <c r="Q297" i="236"/>
  <c r="Q298" i="236"/>
  <c r="Q299" i="236"/>
  <c r="Q300" i="236"/>
  <c r="Q301" i="236"/>
  <c r="Q302" i="236"/>
  <c r="Q303" i="236"/>
  <c r="Q304" i="236"/>
  <c r="Q305" i="236"/>
  <c r="Q306" i="236"/>
  <c r="Q307" i="236"/>
  <c r="Q308" i="236"/>
  <c r="Q311" i="236"/>
  <c r="Q312" i="236"/>
  <c r="Q313" i="236"/>
  <c r="Q314" i="236"/>
  <c r="Q315" i="236"/>
  <c r="Q327" i="236"/>
  <c r="Q328" i="236"/>
  <c r="Q329" i="236"/>
  <c r="Q330" i="236"/>
  <c r="Q331" i="236"/>
  <c r="Q332" i="236"/>
  <c r="Q333" i="236"/>
  <c r="Q334" i="236"/>
  <c r="Q337" i="236"/>
  <c r="Q338" i="236"/>
  <c r="E340" i="236"/>
  <c r="F340" i="236"/>
  <c r="G340" i="236"/>
  <c r="H340" i="236"/>
  <c r="I340" i="236"/>
  <c r="J340" i="236"/>
  <c r="K340" i="236"/>
  <c r="L340" i="236"/>
  <c r="M340" i="236"/>
  <c r="N340" i="236"/>
  <c r="O340" i="236"/>
  <c r="P340" i="236"/>
  <c r="Q357" i="236"/>
  <c r="Q358" i="236"/>
  <c r="Q359" i="236"/>
  <c r="Q360" i="236"/>
  <c r="Q361" i="236"/>
  <c r="Q362" i="236"/>
  <c r="Q363" i="236"/>
  <c r="Q364" i="236"/>
  <c r="Q365" i="236"/>
  <c r="Q366" i="236"/>
  <c r="Q367" i="236"/>
  <c r="Q370" i="236"/>
  <c r="Q371" i="236"/>
  <c r="Q372" i="236"/>
  <c r="Q373" i="236"/>
  <c r="Q374" i="236"/>
  <c r="Q375" i="236"/>
  <c r="Q376" i="236"/>
  <c r="Q377" i="236"/>
  <c r="Q378" i="236"/>
  <c r="Q379" i="236"/>
  <c r="Q380" i="236"/>
  <c r="Q381" i="236"/>
  <c r="Q382" i="236"/>
  <c r="Q383" i="236"/>
  <c r="Q384" i="236"/>
  <c r="Q385" i="236"/>
  <c r="Q386" i="236"/>
  <c r="O416" i="236"/>
  <c r="Q413" i="236"/>
  <c r="Q414" i="236"/>
  <c r="Q415" i="236"/>
  <c r="Q431" i="236"/>
  <c r="Q437" i="236"/>
  <c r="Q440" i="236"/>
  <c r="Q441" i="236"/>
  <c r="Q450" i="236"/>
  <c r="Q451" i="236"/>
  <c r="Q454" i="236"/>
  <c r="Q455" i="236"/>
  <c r="Q456" i="236"/>
  <c r="Q457" i="236"/>
  <c r="Q458" i="236"/>
  <c r="Q459" i="236"/>
  <c r="Q460" i="236"/>
  <c r="Q461" i="236"/>
  <c r="Q462" i="236"/>
  <c r="Q463" i="236"/>
  <c r="Q464" i="236"/>
  <c r="Q465" i="236"/>
  <c r="Q466" i="236"/>
  <c r="Q467" i="236"/>
  <c r="Q468" i="236"/>
  <c r="Q469" i="236"/>
  <c r="Q477" i="236"/>
  <c r="E141" i="236"/>
  <c r="H141" i="236"/>
  <c r="I141" i="236"/>
  <c r="J141" i="236"/>
  <c r="K141" i="236"/>
  <c r="L141" i="236"/>
  <c r="M141" i="236"/>
  <c r="P141" i="236"/>
  <c r="Q481" i="236"/>
  <c r="Q482" i="236"/>
  <c r="Q483" i="236"/>
  <c r="Q484" i="236"/>
  <c r="Q499" i="236"/>
  <c r="Q500" i="236"/>
  <c r="Q501" i="236"/>
  <c r="Q502" i="236"/>
  <c r="Q503" i="236"/>
  <c r="Q507" i="236"/>
  <c r="E509" i="236"/>
  <c r="F509" i="236"/>
  <c r="G509" i="236"/>
  <c r="H509" i="236"/>
  <c r="I509" i="236"/>
  <c r="J509" i="236"/>
  <c r="K509" i="236"/>
  <c r="L509" i="236"/>
  <c r="M509" i="236"/>
  <c r="N509" i="236"/>
  <c r="O509" i="236"/>
  <c r="P509" i="236"/>
  <c r="Q519" i="236"/>
  <c r="Q520" i="236"/>
  <c r="Q521" i="236"/>
  <c r="Q522" i="236"/>
  <c r="Q523" i="236"/>
  <c r="Q524" i="236"/>
  <c r="Q525" i="236"/>
  <c r="Q526" i="236"/>
  <c r="Q527" i="236"/>
  <c r="Q528" i="236"/>
  <c r="Q529" i="236"/>
  <c r="Q530" i="236"/>
  <c r="Q531" i="236"/>
  <c r="Q532" i="236"/>
  <c r="Q533" i="236"/>
  <c r="Q534" i="236"/>
  <c r="Q535" i="236"/>
  <c r="Q536" i="236"/>
  <c r="E537" i="236"/>
  <c r="F537" i="236"/>
  <c r="G537" i="236"/>
  <c r="H537" i="236"/>
  <c r="I537" i="236"/>
  <c r="J537" i="236"/>
  <c r="K537" i="236"/>
  <c r="L537" i="236"/>
  <c r="M537" i="236"/>
  <c r="N537" i="236"/>
  <c r="O537" i="236"/>
  <c r="P537" i="236"/>
  <c r="Q539" i="236"/>
  <c r="Q540" i="236"/>
  <c r="Q541" i="236"/>
  <c r="Q542" i="236"/>
  <c r="Q543" i="236"/>
  <c r="Q544" i="236"/>
  <c r="Q545" i="236"/>
  <c r="Q546" i="236"/>
  <c r="Q584" i="236"/>
  <c r="Q585" i="236"/>
  <c r="Q594" i="236"/>
  <c r="Q595" i="236"/>
  <c r="Q596" i="236"/>
  <c r="Q597" i="236"/>
  <c r="Q598" i="236"/>
  <c r="Q599" i="236"/>
  <c r="Q600" i="236"/>
  <c r="Q601" i="236"/>
  <c r="Q621" i="236"/>
  <c r="Q624" i="236"/>
  <c r="Q625" i="236"/>
  <c r="Q626" i="236"/>
  <c r="Q627" i="236"/>
  <c r="Q628" i="236"/>
  <c r="Q629" i="236"/>
  <c r="Q630" i="236"/>
  <c r="Q631" i="236"/>
  <c r="Q632" i="236"/>
  <c r="Q633" i="236"/>
  <c r="Q634" i="236"/>
  <c r="Q635" i="236"/>
  <c r="Q636" i="236"/>
  <c r="Q637" i="236"/>
  <c r="Q638" i="236"/>
  <c r="Q639" i="236"/>
  <c r="Q640" i="236"/>
  <c r="Q641" i="236"/>
  <c r="Q642" i="236"/>
  <c r="Q643" i="236"/>
  <c r="Q644" i="236"/>
  <c r="Q645" i="236"/>
  <c r="Q646" i="236"/>
  <c r="Q647" i="236"/>
  <c r="E648" i="236"/>
  <c r="F648" i="236"/>
  <c r="G648" i="236"/>
  <c r="H648" i="236"/>
  <c r="I648" i="236"/>
  <c r="J648" i="236"/>
  <c r="K648" i="236"/>
  <c r="L648" i="236"/>
  <c r="M648" i="236"/>
  <c r="N648" i="236"/>
  <c r="O648" i="236"/>
  <c r="P648" i="236"/>
  <c r="Q650" i="236"/>
  <c r="Q651" i="236"/>
  <c r="Q652" i="236"/>
  <c r="Q653" i="236"/>
  <c r="Q654" i="236"/>
  <c r="Q666" i="236"/>
  <c r="Q667" i="236"/>
  <c r="Q668" i="236"/>
  <c r="Q669" i="236"/>
  <c r="Q670" i="236"/>
  <c r="Q671" i="236"/>
  <c r="Q672" i="236"/>
  <c r="Q673" i="236"/>
  <c r="Q676" i="236"/>
  <c r="Q678" i="236"/>
  <c r="E679" i="236"/>
  <c r="F679" i="236"/>
  <c r="G679" i="236"/>
  <c r="H679" i="236"/>
  <c r="I679" i="236"/>
  <c r="J679" i="236"/>
  <c r="K679" i="236"/>
  <c r="L679" i="236"/>
  <c r="M679" i="236"/>
  <c r="N679" i="236"/>
  <c r="O679" i="236"/>
  <c r="P679" i="236"/>
  <c r="E18" i="235"/>
  <c r="F18" i="235"/>
  <c r="G18" i="235"/>
  <c r="H18" i="235"/>
  <c r="I18" i="235"/>
  <c r="J18" i="235"/>
  <c r="K18" i="235"/>
  <c r="L18" i="235"/>
  <c r="M18" i="235"/>
  <c r="N18" i="235"/>
  <c r="O18" i="235"/>
  <c r="P18" i="235"/>
  <c r="E19" i="235"/>
  <c r="F19" i="235"/>
  <c r="G19" i="235"/>
  <c r="H19" i="235"/>
  <c r="I19" i="235"/>
  <c r="J19" i="235"/>
  <c r="K19" i="235"/>
  <c r="L19" i="235"/>
  <c r="M19" i="235"/>
  <c r="N19" i="235"/>
  <c r="O19" i="235"/>
  <c r="E20" i="235"/>
  <c r="Q20" i="235" s="1"/>
  <c r="F20" i="235"/>
  <c r="G20" i="235"/>
  <c r="H20" i="235"/>
  <c r="I20" i="235"/>
  <c r="J20" i="235"/>
  <c r="K20" i="235"/>
  <c r="L20" i="235"/>
  <c r="M20" i="235"/>
  <c r="N20" i="235"/>
  <c r="O20" i="235"/>
  <c r="P20" i="235"/>
  <c r="E21" i="235"/>
  <c r="Q21" i="235" s="1"/>
  <c r="F21" i="235"/>
  <c r="G21" i="235"/>
  <c r="H21" i="235"/>
  <c r="I21" i="235"/>
  <c r="J21" i="235"/>
  <c r="K21" i="235"/>
  <c r="L21" i="235"/>
  <c r="M21" i="235"/>
  <c r="N21" i="235"/>
  <c r="O21" i="235"/>
  <c r="P21" i="235"/>
  <c r="E22" i="235"/>
  <c r="F22" i="235"/>
  <c r="G22" i="235"/>
  <c r="H22" i="235"/>
  <c r="I22" i="235"/>
  <c r="J22" i="235"/>
  <c r="K22" i="235"/>
  <c r="Q22" i="235" s="1"/>
  <c r="L22" i="235"/>
  <c r="M22" i="235"/>
  <c r="N22" i="235"/>
  <c r="O22" i="235"/>
  <c r="P22" i="235"/>
  <c r="E23" i="235"/>
  <c r="F23" i="235"/>
  <c r="Q23" i="235" s="1"/>
  <c r="G23" i="235"/>
  <c r="H23" i="235"/>
  <c r="I23" i="235"/>
  <c r="J23" i="235"/>
  <c r="K23" i="235"/>
  <c r="L23" i="235"/>
  <c r="M23" i="235"/>
  <c r="N23" i="235"/>
  <c r="O23" i="235"/>
  <c r="P23" i="235"/>
  <c r="E24" i="235"/>
  <c r="F24" i="235"/>
  <c r="G24" i="235"/>
  <c r="H24" i="235"/>
  <c r="I24" i="235"/>
  <c r="J24" i="235"/>
  <c r="K24" i="235"/>
  <c r="L24" i="235"/>
  <c r="M24" i="235"/>
  <c r="N24" i="235"/>
  <c r="O24" i="235"/>
  <c r="P24" i="235"/>
  <c r="Q24" i="235"/>
  <c r="E25" i="235"/>
  <c r="F25" i="235"/>
  <c r="G25" i="235"/>
  <c r="H25" i="235"/>
  <c r="I25" i="235"/>
  <c r="J25" i="235"/>
  <c r="Q25" i="235" s="1"/>
  <c r="K25" i="235"/>
  <c r="L25" i="235"/>
  <c r="M25" i="235"/>
  <c r="N25" i="235"/>
  <c r="O25" i="235"/>
  <c r="P25" i="235"/>
  <c r="E26" i="235"/>
  <c r="F26" i="235"/>
  <c r="G26" i="235"/>
  <c r="H26" i="235"/>
  <c r="I26" i="235"/>
  <c r="J26" i="235"/>
  <c r="K26" i="235"/>
  <c r="L26" i="235"/>
  <c r="M26" i="235"/>
  <c r="N26" i="235"/>
  <c r="O26" i="235"/>
  <c r="P26" i="235"/>
  <c r="E27" i="235"/>
  <c r="F27" i="235"/>
  <c r="G27" i="235"/>
  <c r="H27" i="235"/>
  <c r="I27" i="235"/>
  <c r="J27" i="235"/>
  <c r="K27" i="235"/>
  <c r="L27" i="235"/>
  <c r="M27" i="235"/>
  <c r="N27" i="235"/>
  <c r="O27" i="235"/>
  <c r="P27" i="235"/>
  <c r="E28" i="235"/>
  <c r="Q28" i="235" s="1"/>
  <c r="F28" i="235"/>
  <c r="G28" i="235"/>
  <c r="H28" i="235"/>
  <c r="I28" i="235"/>
  <c r="J28" i="235"/>
  <c r="K28" i="235"/>
  <c r="L28" i="235"/>
  <c r="M28" i="235"/>
  <c r="N28" i="235"/>
  <c r="O28" i="235"/>
  <c r="P28" i="235"/>
  <c r="E31" i="235"/>
  <c r="F31" i="235"/>
  <c r="Q31" i="235" s="1"/>
  <c r="G31" i="235"/>
  <c r="H31" i="235"/>
  <c r="I31" i="235"/>
  <c r="J31" i="235"/>
  <c r="K31" i="235"/>
  <c r="L31" i="235"/>
  <c r="M31" i="235"/>
  <c r="N31" i="235"/>
  <c r="O31" i="235"/>
  <c r="P31" i="235"/>
  <c r="E32" i="235"/>
  <c r="F32" i="235"/>
  <c r="G32" i="235"/>
  <c r="H32" i="235"/>
  <c r="I32" i="235"/>
  <c r="J32" i="235"/>
  <c r="K32" i="235"/>
  <c r="Q32" i="235" s="1"/>
  <c r="L32" i="235"/>
  <c r="M32" i="235"/>
  <c r="N32" i="235"/>
  <c r="O32" i="235"/>
  <c r="P32" i="235"/>
  <c r="E33" i="235"/>
  <c r="F33" i="235"/>
  <c r="G33" i="235"/>
  <c r="H33" i="235"/>
  <c r="I33" i="235"/>
  <c r="J33" i="235"/>
  <c r="K33" i="235"/>
  <c r="L33" i="235"/>
  <c r="M33" i="235"/>
  <c r="N33" i="235"/>
  <c r="O33" i="235"/>
  <c r="P33" i="235"/>
  <c r="E34" i="235"/>
  <c r="F34" i="235"/>
  <c r="G34" i="235"/>
  <c r="H34" i="235"/>
  <c r="I34" i="235"/>
  <c r="J34" i="235"/>
  <c r="K34" i="235"/>
  <c r="L34" i="235"/>
  <c r="M34" i="235"/>
  <c r="N34" i="235"/>
  <c r="O34" i="235"/>
  <c r="Q34" i="235" s="1"/>
  <c r="P34" i="235"/>
  <c r="E35" i="235"/>
  <c r="F35" i="235"/>
  <c r="G35" i="235"/>
  <c r="H35" i="235"/>
  <c r="I35" i="235"/>
  <c r="J35" i="235"/>
  <c r="K35" i="235"/>
  <c r="L35" i="235"/>
  <c r="M35" i="235"/>
  <c r="N35" i="235"/>
  <c r="O35" i="235"/>
  <c r="P35" i="235"/>
  <c r="E36" i="235"/>
  <c r="F36" i="235"/>
  <c r="G36" i="235"/>
  <c r="H36" i="235"/>
  <c r="I36" i="235"/>
  <c r="J36" i="235"/>
  <c r="K36" i="235"/>
  <c r="L36" i="235"/>
  <c r="M36" i="235"/>
  <c r="N36" i="235"/>
  <c r="O36" i="235"/>
  <c r="P36" i="235"/>
  <c r="E37" i="235"/>
  <c r="Q37" i="235" s="1"/>
  <c r="F37" i="235"/>
  <c r="G37" i="235"/>
  <c r="H37" i="235"/>
  <c r="I37" i="235"/>
  <c r="J37" i="235"/>
  <c r="K37" i="235"/>
  <c r="L37" i="235"/>
  <c r="M37" i="235"/>
  <c r="N37" i="235"/>
  <c r="O37" i="235"/>
  <c r="P37" i="235"/>
  <c r="E38" i="235"/>
  <c r="F38" i="235"/>
  <c r="G38" i="235"/>
  <c r="H38" i="235"/>
  <c r="I38" i="235"/>
  <c r="J38" i="235"/>
  <c r="K38" i="235"/>
  <c r="L38" i="235"/>
  <c r="M38" i="235"/>
  <c r="N38" i="235"/>
  <c r="O38" i="235"/>
  <c r="P38" i="235"/>
  <c r="E41" i="235"/>
  <c r="F41" i="235"/>
  <c r="G41" i="235"/>
  <c r="H41" i="235"/>
  <c r="I41" i="235"/>
  <c r="J41" i="235"/>
  <c r="K41" i="235"/>
  <c r="L41" i="235"/>
  <c r="M41" i="235"/>
  <c r="N41" i="235"/>
  <c r="O41" i="235"/>
  <c r="E42" i="235"/>
  <c r="F42" i="235"/>
  <c r="G42" i="235"/>
  <c r="H42" i="235"/>
  <c r="I42" i="235"/>
  <c r="J42" i="235"/>
  <c r="K42" i="235"/>
  <c r="L42" i="235"/>
  <c r="M42" i="235"/>
  <c r="N42" i="235"/>
  <c r="O42" i="235"/>
  <c r="P42" i="235"/>
  <c r="Q42" i="235"/>
  <c r="E43" i="235"/>
  <c r="F43" i="235"/>
  <c r="G43" i="235"/>
  <c r="H43" i="235"/>
  <c r="I43" i="235"/>
  <c r="J43" i="235"/>
  <c r="K43" i="235"/>
  <c r="L43" i="235"/>
  <c r="M43" i="235"/>
  <c r="N43" i="235"/>
  <c r="O43" i="235"/>
  <c r="P43" i="235"/>
  <c r="E44" i="235"/>
  <c r="F44" i="235"/>
  <c r="G44" i="235"/>
  <c r="H44" i="235"/>
  <c r="I44" i="235"/>
  <c r="J44" i="235"/>
  <c r="K44" i="235"/>
  <c r="L44" i="235"/>
  <c r="M44" i="235"/>
  <c r="N44" i="235"/>
  <c r="O44" i="235"/>
  <c r="P44" i="235"/>
  <c r="E45" i="235"/>
  <c r="F45" i="235"/>
  <c r="G45" i="235"/>
  <c r="H45" i="235"/>
  <c r="I45" i="235"/>
  <c r="J45" i="235"/>
  <c r="K45" i="235"/>
  <c r="L45" i="235"/>
  <c r="M45" i="235"/>
  <c r="N45" i="235"/>
  <c r="O45" i="235"/>
  <c r="P45" i="235"/>
  <c r="E46" i="235"/>
  <c r="F46" i="235"/>
  <c r="G46" i="235"/>
  <c r="H46" i="235"/>
  <c r="I46" i="235"/>
  <c r="J46" i="235"/>
  <c r="K46" i="235"/>
  <c r="L46" i="235"/>
  <c r="M46" i="235"/>
  <c r="N46" i="235"/>
  <c r="O46" i="235"/>
  <c r="P46" i="235"/>
  <c r="Q46" i="235"/>
  <c r="E47" i="235"/>
  <c r="F47" i="235"/>
  <c r="G47" i="235"/>
  <c r="H47" i="235"/>
  <c r="I47" i="235"/>
  <c r="J47" i="235"/>
  <c r="K47" i="235"/>
  <c r="L47" i="235"/>
  <c r="Q47" i="235" s="1"/>
  <c r="M47" i="235"/>
  <c r="N47" i="235"/>
  <c r="O47" i="235"/>
  <c r="P47" i="235"/>
  <c r="E48" i="235"/>
  <c r="F48" i="235"/>
  <c r="G48" i="235"/>
  <c r="H48" i="235"/>
  <c r="I48" i="235"/>
  <c r="J48" i="235"/>
  <c r="K48" i="235"/>
  <c r="L48" i="235"/>
  <c r="M48" i="235"/>
  <c r="N48" i="235"/>
  <c r="O48" i="235"/>
  <c r="P48" i="235"/>
  <c r="E61" i="235"/>
  <c r="F61" i="235"/>
  <c r="G61" i="235"/>
  <c r="H61" i="235"/>
  <c r="I61" i="235"/>
  <c r="J61" i="235"/>
  <c r="K61" i="235"/>
  <c r="L61" i="235"/>
  <c r="M61" i="235"/>
  <c r="N61" i="235"/>
  <c r="O61" i="235"/>
  <c r="P61" i="235"/>
  <c r="E65" i="235"/>
  <c r="F65" i="235"/>
  <c r="G65" i="235"/>
  <c r="H65" i="235"/>
  <c r="I65" i="235"/>
  <c r="J65" i="235"/>
  <c r="E66" i="235"/>
  <c r="F66" i="235"/>
  <c r="G66" i="235"/>
  <c r="H66" i="235"/>
  <c r="I66" i="235"/>
  <c r="J66" i="235"/>
  <c r="E69" i="235"/>
  <c r="F69" i="235"/>
  <c r="G69" i="235"/>
  <c r="H69" i="235"/>
  <c r="I69" i="235"/>
  <c r="J69" i="235"/>
  <c r="K69" i="235"/>
  <c r="L69" i="235"/>
  <c r="M69" i="235"/>
  <c r="N69" i="235"/>
  <c r="O69" i="235"/>
  <c r="P69" i="235"/>
  <c r="E70" i="235"/>
  <c r="F70" i="235"/>
  <c r="G70" i="235"/>
  <c r="H70" i="235"/>
  <c r="I70" i="235"/>
  <c r="J70" i="235"/>
  <c r="K70" i="235"/>
  <c r="L70" i="235"/>
  <c r="M70" i="235"/>
  <c r="N70" i="235"/>
  <c r="O70" i="235"/>
  <c r="P70" i="235"/>
  <c r="E71" i="235"/>
  <c r="F71" i="235"/>
  <c r="G71" i="235"/>
  <c r="H71" i="235"/>
  <c r="I71" i="235"/>
  <c r="J71" i="235"/>
  <c r="K71" i="235"/>
  <c r="L71" i="235"/>
  <c r="M71" i="235"/>
  <c r="N71" i="235"/>
  <c r="O71" i="235"/>
  <c r="P71" i="235"/>
  <c r="Q71" i="235"/>
  <c r="E72" i="235"/>
  <c r="F72" i="235"/>
  <c r="G72" i="235"/>
  <c r="H72" i="235"/>
  <c r="I72" i="235"/>
  <c r="J72" i="235"/>
  <c r="K72" i="235"/>
  <c r="L72" i="235"/>
  <c r="M72" i="235"/>
  <c r="N72" i="235"/>
  <c r="O72" i="235"/>
  <c r="P72" i="235"/>
  <c r="E73" i="235"/>
  <c r="F73" i="235"/>
  <c r="Q73" i="235" s="1"/>
  <c r="G73" i="235"/>
  <c r="H73" i="235"/>
  <c r="I73" i="235"/>
  <c r="J73" i="235"/>
  <c r="K73" i="235"/>
  <c r="L73" i="235"/>
  <c r="M73" i="235"/>
  <c r="N73" i="235"/>
  <c r="O73" i="235"/>
  <c r="P73" i="235"/>
  <c r="E74" i="235"/>
  <c r="F74" i="235"/>
  <c r="G74" i="235"/>
  <c r="H74" i="235"/>
  <c r="I74" i="235"/>
  <c r="J74" i="235"/>
  <c r="K74" i="235"/>
  <c r="L74" i="235"/>
  <c r="M74" i="235"/>
  <c r="N74" i="235"/>
  <c r="O74" i="235"/>
  <c r="P74" i="235"/>
  <c r="Q74" i="235"/>
  <c r="E75" i="235"/>
  <c r="F75" i="235"/>
  <c r="G75" i="235"/>
  <c r="H75" i="235"/>
  <c r="I75" i="235"/>
  <c r="J75" i="235"/>
  <c r="K75" i="235"/>
  <c r="L75" i="235"/>
  <c r="M75" i="235"/>
  <c r="N75" i="235"/>
  <c r="O75" i="235"/>
  <c r="E76" i="235"/>
  <c r="F76" i="235"/>
  <c r="G76" i="235"/>
  <c r="H76" i="235"/>
  <c r="Q76" i="235" s="1"/>
  <c r="I76" i="235"/>
  <c r="J76" i="235"/>
  <c r="K76" i="235"/>
  <c r="L76" i="235"/>
  <c r="M76" i="235"/>
  <c r="N76" i="235"/>
  <c r="O76" i="235"/>
  <c r="P76" i="235"/>
  <c r="E77" i="235"/>
  <c r="F77" i="235"/>
  <c r="G77" i="235"/>
  <c r="H77" i="235"/>
  <c r="I77" i="235"/>
  <c r="J77" i="235"/>
  <c r="K77" i="235"/>
  <c r="L77" i="235"/>
  <c r="M77" i="235"/>
  <c r="N77" i="235"/>
  <c r="O77" i="235"/>
  <c r="P77" i="235"/>
  <c r="E82" i="235"/>
  <c r="F82" i="235"/>
  <c r="G82" i="235"/>
  <c r="H82" i="235"/>
  <c r="I82" i="235"/>
  <c r="J82" i="235"/>
  <c r="K82" i="235"/>
  <c r="L82" i="235"/>
  <c r="Q82" i="235" s="1"/>
  <c r="M82" i="235"/>
  <c r="N82" i="235"/>
  <c r="O82" i="235"/>
  <c r="P82" i="235"/>
  <c r="E84" i="235"/>
  <c r="F84" i="235"/>
  <c r="G84" i="235"/>
  <c r="H84" i="235"/>
  <c r="I84" i="235"/>
  <c r="J84" i="235"/>
  <c r="K84" i="235"/>
  <c r="L84" i="235"/>
  <c r="M84" i="235"/>
  <c r="N84" i="235"/>
  <c r="O84" i="235"/>
  <c r="P84" i="235"/>
  <c r="E85" i="235"/>
  <c r="F85" i="235"/>
  <c r="G85" i="235"/>
  <c r="H85" i="235"/>
  <c r="I85" i="235"/>
  <c r="J85" i="235"/>
  <c r="K85" i="235"/>
  <c r="L85" i="235"/>
  <c r="M85" i="235"/>
  <c r="N85" i="235"/>
  <c r="O85" i="235"/>
  <c r="P85" i="235"/>
  <c r="E86" i="235"/>
  <c r="F86" i="235"/>
  <c r="G86" i="235"/>
  <c r="H86" i="235"/>
  <c r="I86" i="235"/>
  <c r="J86" i="235"/>
  <c r="K86" i="235"/>
  <c r="L86" i="235"/>
  <c r="M86" i="235"/>
  <c r="N86" i="235"/>
  <c r="O86" i="235"/>
  <c r="P86" i="235"/>
  <c r="E87" i="235"/>
  <c r="F87" i="235"/>
  <c r="G87" i="235"/>
  <c r="H87" i="235"/>
  <c r="I87" i="235"/>
  <c r="J87" i="235"/>
  <c r="K87" i="235"/>
  <c r="L87" i="235"/>
  <c r="M87" i="235"/>
  <c r="N87" i="235"/>
  <c r="O87" i="235"/>
  <c r="P87" i="235"/>
  <c r="E88" i="235"/>
  <c r="F88" i="235"/>
  <c r="G88" i="235"/>
  <c r="H88" i="235"/>
  <c r="Q88" i="235" s="1"/>
  <c r="I88" i="235"/>
  <c r="J88" i="235"/>
  <c r="K88" i="235"/>
  <c r="L88" i="235"/>
  <c r="M88" i="235"/>
  <c r="N88" i="235"/>
  <c r="O88" i="235"/>
  <c r="P88" i="235"/>
  <c r="E89" i="235"/>
  <c r="F89" i="235"/>
  <c r="G89" i="235"/>
  <c r="H89" i="235"/>
  <c r="I89" i="235"/>
  <c r="J89" i="235"/>
  <c r="K89" i="235"/>
  <c r="L89" i="235"/>
  <c r="M89" i="235"/>
  <c r="N89" i="235"/>
  <c r="O89" i="235"/>
  <c r="P89" i="235"/>
  <c r="E90" i="235"/>
  <c r="F90" i="235"/>
  <c r="G90" i="235"/>
  <c r="H90" i="235"/>
  <c r="I90" i="235"/>
  <c r="J90" i="235"/>
  <c r="K90" i="235"/>
  <c r="L90" i="235"/>
  <c r="M90" i="235"/>
  <c r="N90" i="235"/>
  <c r="O90" i="235"/>
  <c r="P90" i="235"/>
  <c r="E91" i="235"/>
  <c r="F91" i="235"/>
  <c r="G91" i="235"/>
  <c r="H91" i="235"/>
  <c r="I91" i="235"/>
  <c r="J91" i="235"/>
  <c r="K91" i="235"/>
  <c r="Q91" i="235" s="1"/>
  <c r="L91" i="235"/>
  <c r="M91" i="235"/>
  <c r="N91" i="235"/>
  <c r="O91" i="235"/>
  <c r="P91" i="235"/>
  <c r="E92" i="235"/>
  <c r="Q92" i="235" s="1"/>
  <c r="F92" i="235"/>
  <c r="G92" i="235"/>
  <c r="H92" i="235"/>
  <c r="I92" i="235"/>
  <c r="J92" i="235"/>
  <c r="K92" i="235"/>
  <c r="L92" i="235"/>
  <c r="M92" i="235"/>
  <c r="N92" i="235"/>
  <c r="O92" i="235"/>
  <c r="P92" i="235"/>
  <c r="E93" i="235"/>
  <c r="F93" i="235"/>
  <c r="G93" i="235"/>
  <c r="H93" i="235"/>
  <c r="I93" i="235"/>
  <c r="J93" i="235"/>
  <c r="K93" i="235"/>
  <c r="L93" i="235"/>
  <c r="M93" i="235"/>
  <c r="N93" i="235"/>
  <c r="O93" i="235"/>
  <c r="P93" i="235"/>
  <c r="Q93" i="235"/>
  <c r="E99" i="235"/>
  <c r="F99" i="235"/>
  <c r="G99" i="235"/>
  <c r="H99" i="235"/>
  <c r="I99" i="235"/>
  <c r="J99" i="235"/>
  <c r="K99" i="235"/>
  <c r="L99" i="235"/>
  <c r="M99" i="235"/>
  <c r="N99" i="235"/>
  <c r="O99" i="235"/>
  <c r="P99" i="235"/>
  <c r="E100" i="235"/>
  <c r="F100" i="235"/>
  <c r="G100" i="235"/>
  <c r="H100" i="235"/>
  <c r="I100" i="235"/>
  <c r="J100" i="235"/>
  <c r="K100" i="235"/>
  <c r="L100" i="235"/>
  <c r="M100" i="235"/>
  <c r="N100" i="235"/>
  <c r="O100" i="235"/>
  <c r="P100" i="235"/>
  <c r="E101" i="235"/>
  <c r="F101" i="235"/>
  <c r="G101" i="235"/>
  <c r="H101" i="235"/>
  <c r="I101" i="235"/>
  <c r="J101" i="235"/>
  <c r="K101" i="235"/>
  <c r="L101" i="235"/>
  <c r="M101" i="235"/>
  <c r="N101" i="235"/>
  <c r="O101" i="235"/>
  <c r="P101" i="235"/>
  <c r="E102" i="235"/>
  <c r="Q102" i="235" s="1"/>
  <c r="F102" i="235"/>
  <c r="G102" i="235"/>
  <c r="H102" i="235"/>
  <c r="I102" i="235"/>
  <c r="J102" i="235"/>
  <c r="K102" i="235"/>
  <c r="L102" i="235"/>
  <c r="M102" i="235"/>
  <c r="N102" i="235"/>
  <c r="O102" i="235"/>
  <c r="P102" i="235"/>
  <c r="E103" i="235"/>
  <c r="F103" i="235"/>
  <c r="G103" i="235"/>
  <c r="H103" i="235"/>
  <c r="I103" i="235"/>
  <c r="J103" i="235"/>
  <c r="K103" i="235"/>
  <c r="L103" i="235"/>
  <c r="M103" i="235"/>
  <c r="N103" i="235"/>
  <c r="O103" i="235"/>
  <c r="P103" i="235"/>
  <c r="E108" i="235"/>
  <c r="F108" i="235"/>
  <c r="G108" i="235"/>
  <c r="H108" i="235"/>
  <c r="I108" i="235"/>
  <c r="J108" i="235"/>
  <c r="K108" i="235"/>
  <c r="L108" i="235"/>
  <c r="M108" i="235"/>
  <c r="N108" i="235"/>
  <c r="O108" i="235"/>
  <c r="P108" i="235"/>
  <c r="E109" i="235"/>
  <c r="F109" i="235"/>
  <c r="G109" i="235"/>
  <c r="H109" i="235"/>
  <c r="I109" i="235"/>
  <c r="J109" i="235"/>
  <c r="K109" i="235"/>
  <c r="L109" i="235"/>
  <c r="M109" i="235"/>
  <c r="N109" i="235"/>
  <c r="O109" i="235"/>
  <c r="P109" i="235"/>
  <c r="Q109" i="235"/>
  <c r="E110" i="235"/>
  <c r="F110" i="235"/>
  <c r="G110" i="235"/>
  <c r="H110" i="235"/>
  <c r="I110" i="235"/>
  <c r="J110" i="235"/>
  <c r="K110" i="235"/>
  <c r="L110" i="235"/>
  <c r="M110" i="235"/>
  <c r="N110" i="235"/>
  <c r="O110" i="235"/>
  <c r="P110" i="235"/>
  <c r="E111" i="235"/>
  <c r="F111" i="235"/>
  <c r="G111" i="235"/>
  <c r="H111" i="235"/>
  <c r="I111" i="235"/>
  <c r="J111" i="235"/>
  <c r="K111" i="235"/>
  <c r="L111" i="235"/>
  <c r="M111" i="235"/>
  <c r="N111" i="235"/>
  <c r="O111" i="235"/>
  <c r="P111" i="235"/>
  <c r="E112" i="235"/>
  <c r="F112" i="235"/>
  <c r="G112" i="235"/>
  <c r="H112" i="235"/>
  <c r="I112" i="235"/>
  <c r="J112" i="235"/>
  <c r="K112" i="235"/>
  <c r="L112" i="235"/>
  <c r="M112" i="235"/>
  <c r="N112" i="235"/>
  <c r="O112" i="235"/>
  <c r="P112" i="235"/>
  <c r="E113" i="235"/>
  <c r="F113" i="235"/>
  <c r="G113" i="235"/>
  <c r="H113" i="235"/>
  <c r="I113" i="235"/>
  <c r="J113" i="235"/>
  <c r="K113" i="235"/>
  <c r="L113" i="235"/>
  <c r="M113" i="235"/>
  <c r="N113" i="235"/>
  <c r="O113" i="235"/>
  <c r="P113" i="235"/>
  <c r="E118" i="235"/>
  <c r="F118" i="235"/>
  <c r="G118" i="235"/>
  <c r="H118" i="235"/>
  <c r="I118" i="235"/>
  <c r="J118" i="235"/>
  <c r="K118" i="235"/>
  <c r="L118" i="235"/>
  <c r="M118" i="235"/>
  <c r="N118" i="235"/>
  <c r="O118" i="235"/>
  <c r="P118" i="235"/>
  <c r="G119" i="235"/>
  <c r="H119" i="235"/>
  <c r="I119" i="235"/>
  <c r="J119" i="235"/>
  <c r="K119" i="235"/>
  <c r="L119" i="235"/>
  <c r="M119" i="235"/>
  <c r="N119" i="235"/>
  <c r="O119" i="235"/>
  <c r="E120" i="235"/>
  <c r="F120" i="235"/>
  <c r="G120" i="235"/>
  <c r="H120" i="235"/>
  <c r="I120" i="235"/>
  <c r="J120" i="235"/>
  <c r="K120" i="235"/>
  <c r="L120" i="235"/>
  <c r="M120" i="235"/>
  <c r="N120" i="235"/>
  <c r="O120" i="235"/>
  <c r="P120" i="235"/>
  <c r="E126" i="235"/>
  <c r="F126" i="235"/>
  <c r="G126" i="235"/>
  <c r="H126" i="235"/>
  <c r="I126" i="235"/>
  <c r="J126" i="235"/>
  <c r="K126" i="235"/>
  <c r="L126" i="235"/>
  <c r="M126" i="235"/>
  <c r="N126" i="235"/>
  <c r="O126" i="235"/>
  <c r="P126" i="235"/>
  <c r="Q126" i="235"/>
  <c r="E127" i="235"/>
  <c r="F127" i="235"/>
  <c r="G127" i="235"/>
  <c r="H127" i="235"/>
  <c r="I127" i="235"/>
  <c r="J127" i="235"/>
  <c r="K127" i="235"/>
  <c r="L127" i="235"/>
  <c r="M127" i="235"/>
  <c r="N127" i="235"/>
  <c r="O127" i="235"/>
  <c r="P127" i="235"/>
  <c r="E128" i="235"/>
  <c r="F128" i="235"/>
  <c r="G128" i="235"/>
  <c r="H128" i="235"/>
  <c r="I128" i="235"/>
  <c r="J128" i="235"/>
  <c r="K128" i="235"/>
  <c r="L128" i="235"/>
  <c r="M128" i="235"/>
  <c r="N128" i="235"/>
  <c r="O128" i="235"/>
  <c r="P128" i="235"/>
  <c r="E129" i="235"/>
  <c r="F129" i="235"/>
  <c r="G129" i="235"/>
  <c r="H129" i="235"/>
  <c r="I129" i="235"/>
  <c r="J129" i="235"/>
  <c r="K129" i="235"/>
  <c r="L129" i="235"/>
  <c r="M129" i="235"/>
  <c r="N129" i="235"/>
  <c r="O129" i="235"/>
  <c r="P129" i="235"/>
  <c r="E131" i="235"/>
  <c r="F131" i="235"/>
  <c r="G131" i="235"/>
  <c r="H131" i="235"/>
  <c r="I131" i="235"/>
  <c r="J131" i="235"/>
  <c r="K131" i="235"/>
  <c r="L131" i="235"/>
  <c r="M131" i="235"/>
  <c r="N131" i="235"/>
  <c r="O131" i="235"/>
  <c r="E132" i="235"/>
  <c r="Q132" i="235" s="1"/>
  <c r="F132" i="235"/>
  <c r="G132" i="235"/>
  <c r="H132" i="235"/>
  <c r="I132" i="235"/>
  <c r="J132" i="235"/>
  <c r="K132" i="235"/>
  <c r="L132" i="235"/>
  <c r="M132" i="235"/>
  <c r="N132" i="235"/>
  <c r="O132" i="235"/>
  <c r="P132" i="235"/>
  <c r="E133" i="235"/>
  <c r="F133" i="235"/>
  <c r="G133" i="235"/>
  <c r="H133" i="235"/>
  <c r="I133" i="235"/>
  <c r="J133" i="235"/>
  <c r="K133" i="235"/>
  <c r="L133" i="235"/>
  <c r="M133" i="235"/>
  <c r="N133" i="235"/>
  <c r="O133" i="235"/>
  <c r="P133" i="235"/>
  <c r="Q133" i="235"/>
  <c r="E134" i="235"/>
  <c r="F134" i="235"/>
  <c r="G134" i="235"/>
  <c r="H134" i="235"/>
  <c r="I134" i="235"/>
  <c r="J134" i="235"/>
  <c r="K134" i="235"/>
  <c r="L134" i="235"/>
  <c r="Q134" i="235" s="1"/>
  <c r="M134" i="235"/>
  <c r="N134" i="235"/>
  <c r="O134" i="235"/>
  <c r="P134" i="235"/>
  <c r="E135" i="235"/>
  <c r="F135" i="235"/>
  <c r="G135" i="235"/>
  <c r="H135" i="235"/>
  <c r="I135" i="235"/>
  <c r="J135" i="235"/>
  <c r="K135" i="235"/>
  <c r="L135" i="235"/>
  <c r="M135" i="235"/>
  <c r="N135" i="235"/>
  <c r="O135" i="235"/>
  <c r="P135" i="235"/>
  <c r="E136" i="235"/>
  <c r="F136" i="235"/>
  <c r="G136" i="235"/>
  <c r="H136" i="235"/>
  <c r="I136" i="235"/>
  <c r="J136" i="235"/>
  <c r="K136" i="235"/>
  <c r="L136" i="235"/>
  <c r="M136" i="235"/>
  <c r="N136" i="235"/>
  <c r="O136" i="235"/>
  <c r="P136" i="235"/>
  <c r="E137" i="235"/>
  <c r="F137" i="235"/>
  <c r="G137" i="235"/>
  <c r="H137" i="235"/>
  <c r="I137" i="235"/>
  <c r="J137" i="235"/>
  <c r="K137" i="235"/>
  <c r="L137" i="235"/>
  <c r="M137" i="235"/>
  <c r="N137" i="235"/>
  <c r="O137" i="235"/>
  <c r="P137" i="235"/>
  <c r="E138" i="235"/>
  <c r="F138" i="235"/>
  <c r="G138" i="235"/>
  <c r="H138" i="235"/>
  <c r="I138" i="235"/>
  <c r="J138" i="235"/>
  <c r="K138" i="235"/>
  <c r="L138" i="235"/>
  <c r="M138" i="235"/>
  <c r="N138" i="235"/>
  <c r="O138" i="235"/>
  <c r="P138" i="235"/>
  <c r="E139" i="235"/>
  <c r="F139" i="235"/>
  <c r="G139" i="235"/>
  <c r="H139" i="235"/>
  <c r="I139" i="235"/>
  <c r="J139" i="235"/>
  <c r="K139" i="235"/>
  <c r="L139" i="235"/>
  <c r="M139" i="235"/>
  <c r="N139" i="235"/>
  <c r="O139" i="235"/>
  <c r="P139" i="235"/>
  <c r="E143" i="235"/>
  <c r="F143" i="235"/>
  <c r="G143" i="235"/>
  <c r="H143" i="235"/>
  <c r="I143" i="235"/>
  <c r="J143" i="235"/>
  <c r="K143" i="235"/>
  <c r="L143" i="235"/>
  <c r="M143" i="235"/>
  <c r="N143" i="235"/>
  <c r="O143" i="235"/>
  <c r="P143" i="235"/>
  <c r="E144" i="235"/>
  <c r="F144" i="235"/>
  <c r="G144" i="235"/>
  <c r="H144" i="235"/>
  <c r="I144" i="235"/>
  <c r="J144" i="235"/>
  <c r="K144" i="235"/>
  <c r="L144" i="235"/>
  <c r="M144" i="235"/>
  <c r="N144" i="235"/>
  <c r="O144" i="235"/>
  <c r="P144" i="235"/>
  <c r="E145" i="235"/>
  <c r="F145" i="235"/>
  <c r="G145" i="235"/>
  <c r="H145" i="235"/>
  <c r="I145" i="235"/>
  <c r="J145" i="235"/>
  <c r="K145" i="235"/>
  <c r="L145" i="235"/>
  <c r="M145" i="235"/>
  <c r="N145" i="235"/>
  <c r="O145" i="235"/>
  <c r="P145" i="235"/>
  <c r="E146" i="235"/>
  <c r="F146" i="235"/>
  <c r="G146" i="235"/>
  <c r="H146" i="235"/>
  <c r="I146" i="235"/>
  <c r="J146" i="235"/>
  <c r="K146" i="235"/>
  <c r="L146" i="235"/>
  <c r="M146" i="235"/>
  <c r="N146" i="235"/>
  <c r="O146" i="235"/>
  <c r="P146" i="235"/>
  <c r="E155" i="235"/>
  <c r="F155" i="235"/>
  <c r="G155" i="235"/>
  <c r="H155" i="235"/>
  <c r="I155" i="235"/>
  <c r="J155" i="235"/>
  <c r="K155" i="235"/>
  <c r="L155" i="235"/>
  <c r="M155" i="235"/>
  <c r="N155" i="235"/>
  <c r="O155" i="235"/>
  <c r="E158" i="235"/>
  <c r="F158" i="235"/>
  <c r="G158" i="235"/>
  <c r="H158" i="235"/>
  <c r="I158" i="235"/>
  <c r="J158" i="235"/>
  <c r="K158" i="235"/>
  <c r="L158" i="235"/>
  <c r="M158" i="235"/>
  <c r="N158" i="235"/>
  <c r="O158" i="235"/>
  <c r="P158" i="235"/>
  <c r="Q158" i="235"/>
  <c r="E159" i="235"/>
  <c r="F159" i="235"/>
  <c r="G159" i="235"/>
  <c r="H159" i="235"/>
  <c r="I159" i="235"/>
  <c r="J159" i="235"/>
  <c r="K159" i="235"/>
  <c r="L159" i="235"/>
  <c r="M159" i="235"/>
  <c r="N159" i="235"/>
  <c r="O159" i="235"/>
  <c r="P159" i="235"/>
  <c r="E160" i="235"/>
  <c r="F160" i="235"/>
  <c r="G160" i="235"/>
  <c r="H160" i="235"/>
  <c r="I160" i="235"/>
  <c r="J160" i="235"/>
  <c r="K160" i="235"/>
  <c r="L160" i="235"/>
  <c r="M160" i="235"/>
  <c r="N160" i="235"/>
  <c r="O160" i="235"/>
  <c r="P160" i="235"/>
  <c r="E161" i="235"/>
  <c r="Q161" i="235" s="1"/>
  <c r="F161" i="235"/>
  <c r="G161" i="235"/>
  <c r="H161" i="235"/>
  <c r="I161" i="235"/>
  <c r="J161" i="235"/>
  <c r="K161" i="235"/>
  <c r="L161" i="235"/>
  <c r="M161" i="235"/>
  <c r="N161" i="235"/>
  <c r="O161" i="235"/>
  <c r="P161" i="235"/>
  <c r="E162" i="235"/>
  <c r="F162" i="235"/>
  <c r="G162" i="235"/>
  <c r="H162" i="235"/>
  <c r="I162" i="235"/>
  <c r="J162" i="235"/>
  <c r="K162" i="235"/>
  <c r="L162" i="235"/>
  <c r="M162" i="235"/>
  <c r="N162" i="235"/>
  <c r="O162" i="235"/>
  <c r="P162" i="235"/>
  <c r="E163" i="235"/>
  <c r="F163" i="235"/>
  <c r="G163" i="235"/>
  <c r="H163" i="235"/>
  <c r="I163" i="235"/>
  <c r="J163" i="235"/>
  <c r="K163" i="235"/>
  <c r="L163" i="235"/>
  <c r="M163" i="235"/>
  <c r="N163" i="235"/>
  <c r="O163" i="235"/>
  <c r="P163" i="235"/>
  <c r="Q163" i="235"/>
  <c r="E164" i="235"/>
  <c r="F164" i="235"/>
  <c r="G164" i="235"/>
  <c r="H164" i="235"/>
  <c r="I164" i="235"/>
  <c r="J164" i="235"/>
  <c r="K164" i="235"/>
  <c r="L164" i="235"/>
  <c r="M164" i="235"/>
  <c r="N164" i="235"/>
  <c r="O164" i="235"/>
  <c r="P164" i="235"/>
  <c r="E165" i="235"/>
  <c r="F165" i="235"/>
  <c r="G165" i="235"/>
  <c r="H165" i="235"/>
  <c r="I165" i="235"/>
  <c r="J165" i="235"/>
  <c r="K165" i="235"/>
  <c r="L165" i="235"/>
  <c r="M165" i="235"/>
  <c r="N165" i="235"/>
  <c r="O165" i="235"/>
  <c r="P165" i="235"/>
  <c r="E169" i="235"/>
  <c r="F169" i="235"/>
  <c r="F171" i="235" s="1"/>
  <c r="G169" i="235"/>
  <c r="G171" i="235" s="1"/>
  <c r="H169" i="235"/>
  <c r="H171" i="235" s="1"/>
  <c r="I169" i="235"/>
  <c r="J169" i="235"/>
  <c r="K169" i="235"/>
  <c r="L169" i="235"/>
  <c r="L171" i="235" s="1"/>
  <c r="M169" i="235"/>
  <c r="M171" i="235" s="1"/>
  <c r="N169" i="235"/>
  <c r="N171" i="235" s="1"/>
  <c r="O169" i="235"/>
  <c r="O171" i="235" s="1"/>
  <c r="P169" i="235"/>
  <c r="P171" i="235" s="1"/>
  <c r="E170" i="235"/>
  <c r="F170" i="235"/>
  <c r="G170" i="235"/>
  <c r="Q170" i="235" s="1"/>
  <c r="H170" i="235"/>
  <c r="I170" i="235"/>
  <c r="I171" i="235" s="1"/>
  <c r="J170" i="235"/>
  <c r="K170" i="235"/>
  <c r="L170" i="235"/>
  <c r="M170" i="235"/>
  <c r="N170" i="235"/>
  <c r="O170" i="235"/>
  <c r="P170" i="235"/>
  <c r="J171" i="235"/>
  <c r="K171" i="235"/>
  <c r="E181" i="235"/>
  <c r="F181" i="235"/>
  <c r="G181" i="235"/>
  <c r="H181" i="235"/>
  <c r="I181" i="235"/>
  <c r="J181" i="235"/>
  <c r="K181" i="235"/>
  <c r="L181" i="235"/>
  <c r="M181" i="235"/>
  <c r="N181" i="235"/>
  <c r="O181" i="235"/>
  <c r="P181" i="235"/>
  <c r="E182" i="235"/>
  <c r="F182" i="235"/>
  <c r="G182" i="235"/>
  <c r="H182" i="235"/>
  <c r="I182" i="235"/>
  <c r="J182" i="235"/>
  <c r="K182" i="235"/>
  <c r="L182" i="235"/>
  <c r="M182" i="235"/>
  <c r="N182" i="235"/>
  <c r="O182" i="235"/>
  <c r="P182" i="235"/>
  <c r="E183" i="235"/>
  <c r="F183" i="235"/>
  <c r="G183" i="235"/>
  <c r="H183" i="235"/>
  <c r="I183" i="235"/>
  <c r="J183" i="235"/>
  <c r="K183" i="235"/>
  <c r="L183" i="235"/>
  <c r="M183" i="235"/>
  <c r="N183" i="235"/>
  <c r="O183" i="235"/>
  <c r="P183" i="235"/>
  <c r="E184" i="235"/>
  <c r="F184" i="235"/>
  <c r="G184" i="235"/>
  <c r="H184" i="235"/>
  <c r="I184" i="235"/>
  <c r="J184" i="235"/>
  <c r="K184" i="235"/>
  <c r="L184" i="235"/>
  <c r="M184" i="235"/>
  <c r="N184" i="235"/>
  <c r="O184" i="235"/>
  <c r="P184" i="235"/>
  <c r="E185" i="235"/>
  <c r="F185" i="235"/>
  <c r="G185" i="235"/>
  <c r="H185" i="235"/>
  <c r="I185" i="235"/>
  <c r="J185" i="235"/>
  <c r="K185" i="235"/>
  <c r="L185" i="235"/>
  <c r="M185" i="235"/>
  <c r="N185" i="235"/>
  <c r="O185" i="235"/>
  <c r="P185" i="235"/>
  <c r="E186" i="235"/>
  <c r="F186" i="235"/>
  <c r="G186" i="235"/>
  <c r="H186" i="235"/>
  <c r="I186" i="235"/>
  <c r="J186" i="235"/>
  <c r="K186" i="235"/>
  <c r="L186" i="235"/>
  <c r="M186" i="235"/>
  <c r="N186" i="235"/>
  <c r="O186" i="235"/>
  <c r="P186" i="235"/>
  <c r="E187" i="235"/>
  <c r="F187" i="235"/>
  <c r="G187" i="235"/>
  <c r="H187" i="235"/>
  <c r="I187" i="235"/>
  <c r="J187" i="235"/>
  <c r="K187" i="235"/>
  <c r="L187" i="235"/>
  <c r="M187" i="235"/>
  <c r="N187" i="235"/>
  <c r="O187" i="235"/>
  <c r="P187" i="235"/>
  <c r="Q188" i="235"/>
  <c r="P189" i="235"/>
  <c r="P19" i="235" s="1"/>
  <c r="Q190" i="235"/>
  <c r="Q191" i="235"/>
  <c r="Q192" i="235"/>
  <c r="Q193" i="235"/>
  <c r="Q194" i="235"/>
  <c r="Q195" i="235"/>
  <c r="Q196" i="235"/>
  <c r="Q197" i="235"/>
  <c r="Q198" i="235"/>
  <c r="Q201" i="235"/>
  <c r="Q202" i="235"/>
  <c r="Q203" i="235"/>
  <c r="Q204" i="235"/>
  <c r="Q205" i="235"/>
  <c r="Q206" i="235"/>
  <c r="Q207" i="235"/>
  <c r="Q208" i="235"/>
  <c r="E209" i="235"/>
  <c r="F209" i="235"/>
  <c r="G209" i="235"/>
  <c r="H209" i="235"/>
  <c r="H39" i="235" s="1"/>
  <c r="I209" i="235"/>
  <c r="I39" i="235" s="1"/>
  <c r="J209" i="235"/>
  <c r="J39" i="235" s="1"/>
  <c r="K209" i="235"/>
  <c r="K39" i="235" s="1"/>
  <c r="L209" i="235"/>
  <c r="L39" i="235" s="1"/>
  <c r="M209" i="235"/>
  <c r="M39" i="235" s="1"/>
  <c r="N209" i="235"/>
  <c r="O209" i="235"/>
  <c r="P209" i="235"/>
  <c r="P39" i="235" s="1"/>
  <c r="E210" i="235"/>
  <c r="E40" i="235" s="1"/>
  <c r="F210" i="235"/>
  <c r="G210" i="235"/>
  <c r="G40" i="235" s="1"/>
  <c r="H210" i="235"/>
  <c r="I210" i="235"/>
  <c r="I40" i="235" s="1"/>
  <c r="J210" i="235"/>
  <c r="J40" i="235" s="1"/>
  <c r="K210" i="235"/>
  <c r="K40" i="235" s="1"/>
  <c r="L210" i="235"/>
  <c r="L40" i="235" s="1"/>
  <c r="M210" i="235"/>
  <c r="M40" i="235" s="1"/>
  <c r="N210" i="235"/>
  <c r="N40" i="235" s="1"/>
  <c r="O210" i="235"/>
  <c r="O40" i="235" s="1"/>
  <c r="P210" i="235"/>
  <c r="P40" i="235" s="1"/>
  <c r="P211" i="235"/>
  <c r="Q212" i="235"/>
  <c r="Q213" i="235"/>
  <c r="Q214" i="235"/>
  <c r="Q215" i="235"/>
  <c r="Q216" i="235"/>
  <c r="Q217" i="235"/>
  <c r="Q218" i="235"/>
  <c r="E223" i="235"/>
  <c r="F223" i="235"/>
  <c r="G223" i="235"/>
  <c r="H223" i="235"/>
  <c r="I223" i="235"/>
  <c r="J223" i="235"/>
  <c r="K223" i="235"/>
  <c r="L223" i="235"/>
  <c r="M223" i="235"/>
  <c r="N223" i="235"/>
  <c r="O223" i="235"/>
  <c r="P223" i="235"/>
  <c r="E224" i="235"/>
  <c r="F224" i="235"/>
  <c r="G224" i="235"/>
  <c r="H224" i="235"/>
  <c r="I224" i="235"/>
  <c r="J224" i="235"/>
  <c r="K224" i="235"/>
  <c r="L224" i="235"/>
  <c r="M224" i="235"/>
  <c r="N224" i="235"/>
  <c r="O224" i="235"/>
  <c r="P224" i="235"/>
  <c r="E225" i="235"/>
  <c r="F225" i="235"/>
  <c r="G225" i="235"/>
  <c r="H225" i="235"/>
  <c r="I225" i="235"/>
  <c r="J225" i="235"/>
  <c r="K225" i="235"/>
  <c r="L225" i="235"/>
  <c r="M225" i="235"/>
  <c r="N225" i="235"/>
  <c r="O225" i="235"/>
  <c r="P225" i="235"/>
  <c r="E226" i="235"/>
  <c r="F226" i="235"/>
  <c r="G226" i="235"/>
  <c r="H226" i="235"/>
  <c r="I226" i="235"/>
  <c r="J226" i="235"/>
  <c r="K226" i="235"/>
  <c r="L226" i="235"/>
  <c r="M226" i="235"/>
  <c r="N226" i="235"/>
  <c r="O226" i="235"/>
  <c r="P226" i="235"/>
  <c r="E227" i="235"/>
  <c r="F227" i="235"/>
  <c r="G227" i="235"/>
  <c r="H227" i="235"/>
  <c r="I227" i="235"/>
  <c r="J227" i="235"/>
  <c r="K227" i="235"/>
  <c r="L227" i="235"/>
  <c r="M227" i="235"/>
  <c r="N227" i="235"/>
  <c r="O227" i="235"/>
  <c r="P227" i="235"/>
  <c r="E228" i="235"/>
  <c r="F228" i="235"/>
  <c r="G228" i="235"/>
  <c r="H228" i="235"/>
  <c r="I228" i="235"/>
  <c r="J228" i="235"/>
  <c r="K228" i="235"/>
  <c r="L228" i="235"/>
  <c r="M228" i="235"/>
  <c r="N228" i="235"/>
  <c r="O228" i="235"/>
  <c r="P228" i="235"/>
  <c r="P229" i="235"/>
  <c r="Q230" i="235"/>
  <c r="Q231" i="235"/>
  <c r="E232" i="235"/>
  <c r="F232" i="235"/>
  <c r="G232" i="235"/>
  <c r="H232" i="235"/>
  <c r="I232" i="235"/>
  <c r="J232" i="235"/>
  <c r="K232" i="235"/>
  <c r="L232" i="235"/>
  <c r="M232" i="235"/>
  <c r="N232" i="235"/>
  <c r="O232" i="235"/>
  <c r="P232" i="235"/>
  <c r="E233" i="235"/>
  <c r="F233" i="235"/>
  <c r="G233" i="235"/>
  <c r="H233" i="235"/>
  <c r="I233" i="235"/>
  <c r="J233" i="235"/>
  <c r="K233" i="235"/>
  <c r="L233" i="235"/>
  <c r="M233" i="235"/>
  <c r="N233" i="235"/>
  <c r="O233" i="235"/>
  <c r="P233" i="235"/>
  <c r="E234" i="235"/>
  <c r="F234" i="235"/>
  <c r="G234" i="235"/>
  <c r="H234" i="235"/>
  <c r="I234" i="235"/>
  <c r="J234" i="235"/>
  <c r="K234" i="235"/>
  <c r="L234" i="235"/>
  <c r="M234" i="235"/>
  <c r="N234" i="235"/>
  <c r="O234" i="235"/>
  <c r="P234" i="235"/>
  <c r="K235" i="235"/>
  <c r="L235" i="235"/>
  <c r="M235" i="235"/>
  <c r="N235" i="235"/>
  <c r="O235" i="235"/>
  <c r="P235" i="235"/>
  <c r="K236" i="235"/>
  <c r="L236" i="235"/>
  <c r="M236" i="235"/>
  <c r="N236" i="235"/>
  <c r="O236" i="235"/>
  <c r="P236" i="235"/>
  <c r="Q237" i="235"/>
  <c r="E238" i="235"/>
  <c r="F238" i="235"/>
  <c r="G238" i="235"/>
  <c r="H238" i="235"/>
  <c r="I238" i="235"/>
  <c r="J238" i="235"/>
  <c r="K238" i="235"/>
  <c r="L238" i="235"/>
  <c r="M238" i="235"/>
  <c r="N238" i="235"/>
  <c r="O238" i="235"/>
  <c r="P238" i="235"/>
  <c r="E239" i="235"/>
  <c r="F239" i="235"/>
  <c r="G239" i="235"/>
  <c r="H239" i="235"/>
  <c r="I239" i="235"/>
  <c r="J239" i="235"/>
  <c r="K239" i="235"/>
  <c r="L239" i="235"/>
  <c r="M239" i="235"/>
  <c r="N239" i="235"/>
  <c r="O239" i="235"/>
  <c r="P239" i="235"/>
  <c r="Q240" i="235"/>
  <c r="Q241" i="235"/>
  <c r="Q242" i="235"/>
  <c r="Q243" i="235"/>
  <c r="Q244" i="235"/>
  <c r="Q245" i="235"/>
  <c r="Q246" i="235"/>
  <c r="Q247" i="235"/>
  <c r="Q248" i="235"/>
  <c r="E251" i="235"/>
  <c r="F251" i="235"/>
  <c r="G251" i="235"/>
  <c r="H251" i="235"/>
  <c r="I251" i="235"/>
  <c r="J251" i="235"/>
  <c r="K251" i="235"/>
  <c r="L251" i="235"/>
  <c r="M251" i="235"/>
  <c r="N251" i="235"/>
  <c r="O251" i="235"/>
  <c r="P251" i="235"/>
  <c r="E252" i="235"/>
  <c r="F252" i="235"/>
  <c r="G252" i="235"/>
  <c r="H252" i="235"/>
  <c r="I252" i="235"/>
  <c r="J252" i="235"/>
  <c r="K252" i="235"/>
  <c r="L252" i="235"/>
  <c r="M252" i="235"/>
  <c r="N252" i="235"/>
  <c r="O252" i="235"/>
  <c r="P252" i="235"/>
  <c r="Q253" i="235"/>
  <c r="E254" i="235"/>
  <c r="F254" i="235"/>
  <c r="G254" i="235"/>
  <c r="H254" i="235"/>
  <c r="I254" i="235"/>
  <c r="J254" i="235"/>
  <c r="K254" i="235"/>
  <c r="L254" i="235"/>
  <c r="M254" i="235"/>
  <c r="N254" i="235"/>
  <c r="O254" i="235"/>
  <c r="P254" i="235"/>
  <c r="Q255" i="235"/>
  <c r="Q256" i="235"/>
  <c r="Q257" i="235"/>
  <c r="Q258" i="235"/>
  <c r="Q259" i="235"/>
  <c r="Q260" i="235"/>
  <c r="Q261" i="235"/>
  <c r="Q262" i="235"/>
  <c r="Q263" i="235"/>
  <c r="Q264" i="235"/>
  <c r="E268" i="235"/>
  <c r="F268" i="235"/>
  <c r="G268" i="235"/>
  <c r="H268" i="235"/>
  <c r="I268" i="235"/>
  <c r="J268" i="235"/>
  <c r="K268" i="235"/>
  <c r="L268" i="235"/>
  <c r="M268" i="235"/>
  <c r="N268" i="235"/>
  <c r="O268" i="235"/>
  <c r="P268" i="235"/>
  <c r="E269" i="235"/>
  <c r="F269" i="235"/>
  <c r="G269" i="235"/>
  <c r="H269" i="235"/>
  <c r="I269" i="235"/>
  <c r="J269" i="235"/>
  <c r="K269" i="235"/>
  <c r="L269" i="235"/>
  <c r="M269" i="235"/>
  <c r="N269" i="235"/>
  <c r="O269" i="235"/>
  <c r="P269" i="235"/>
  <c r="Q270" i="235"/>
  <c r="Q271" i="235"/>
  <c r="Q272" i="235"/>
  <c r="Q273" i="235"/>
  <c r="Q274" i="235"/>
  <c r="E277" i="235"/>
  <c r="F277" i="235"/>
  <c r="G277" i="235"/>
  <c r="H277" i="235"/>
  <c r="I277" i="235"/>
  <c r="J277" i="235"/>
  <c r="K277" i="235"/>
  <c r="L277" i="235"/>
  <c r="M277" i="235"/>
  <c r="N277" i="235"/>
  <c r="O277" i="235"/>
  <c r="P277" i="235"/>
  <c r="E278" i="235"/>
  <c r="F278" i="235"/>
  <c r="G278" i="235"/>
  <c r="H278" i="235"/>
  <c r="I278" i="235"/>
  <c r="J278" i="235"/>
  <c r="K278" i="235"/>
  <c r="L278" i="235"/>
  <c r="M278" i="235"/>
  <c r="N278" i="235"/>
  <c r="O278" i="235"/>
  <c r="P278" i="235"/>
  <c r="Q279" i="235"/>
  <c r="Q280" i="235"/>
  <c r="Q281" i="235"/>
  <c r="Q282" i="235"/>
  <c r="Q283" i="235"/>
  <c r="Q284" i="235"/>
  <c r="Q287" i="235"/>
  <c r="Q288" i="235"/>
  <c r="Q289" i="235"/>
  <c r="Q290" i="235"/>
  <c r="Q291" i="235"/>
  <c r="Q292" i="235"/>
  <c r="Q293" i="235"/>
  <c r="Q294" i="235"/>
  <c r="E295" i="235"/>
  <c r="E311" i="235" s="1"/>
  <c r="F295" i="235"/>
  <c r="F311" i="235" s="1"/>
  <c r="G295" i="235"/>
  <c r="H295" i="235"/>
  <c r="H311" i="235" s="1"/>
  <c r="I295" i="235"/>
  <c r="I311" i="235" s="1"/>
  <c r="J295" i="235"/>
  <c r="J311" i="235" s="1"/>
  <c r="K295" i="235"/>
  <c r="L295" i="235"/>
  <c r="L311" i="235" s="1"/>
  <c r="M295" i="235"/>
  <c r="M311" i="235" s="1"/>
  <c r="P295" i="235"/>
  <c r="Q296" i="235"/>
  <c r="Q297" i="235"/>
  <c r="Q298" i="235"/>
  <c r="Q299" i="235"/>
  <c r="Q300" i="235"/>
  <c r="Q301" i="235"/>
  <c r="P302" i="235"/>
  <c r="Q302" i="235" s="1"/>
  <c r="F302" i="234" s="1"/>
  <c r="Q303" i="235"/>
  <c r="Q304" i="235"/>
  <c r="Q305" i="235"/>
  <c r="Q306" i="235"/>
  <c r="Q307" i="235"/>
  <c r="Q308" i="235"/>
  <c r="Q309" i="235"/>
  <c r="Q310" i="235"/>
  <c r="N311" i="235"/>
  <c r="O311" i="235"/>
  <c r="Q313" i="235"/>
  <c r="Q314" i="235"/>
  <c r="Q315" i="235"/>
  <c r="E318" i="235"/>
  <c r="F318" i="235"/>
  <c r="G318" i="235"/>
  <c r="H318" i="235"/>
  <c r="I318" i="235"/>
  <c r="J318" i="235"/>
  <c r="K318" i="235"/>
  <c r="L318" i="235"/>
  <c r="M318" i="235"/>
  <c r="N318" i="235"/>
  <c r="O318" i="235"/>
  <c r="P318" i="235"/>
  <c r="E319" i="235"/>
  <c r="F319" i="235"/>
  <c r="G319" i="235"/>
  <c r="H319" i="235"/>
  <c r="I319" i="235"/>
  <c r="J319" i="235"/>
  <c r="K319" i="235"/>
  <c r="L319" i="235"/>
  <c r="M319" i="235"/>
  <c r="N319" i="235"/>
  <c r="O319" i="235"/>
  <c r="P319" i="235"/>
  <c r="E320" i="235"/>
  <c r="F320" i="235"/>
  <c r="G320" i="235"/>
  <c r="H320" i="235"/>
  <c r="I320" i="235"/>
  <c r="J320" i="235"/>
  <c r="K320" i="235"/>
  <c r="L320" i="235"/>
  <c r="M320" i="235"/>
  <c r="N320" i="235"/>
  <c r="O320" i="235"/>
  <c r="P320" i="235"/>
  <c r="E321" i="235"/>
  <c r="F321" i="235"/>
  <c r="G321" i="235"/>
  <c r="H321" i="235"/>
  <c r="I321" i="235"/>
  <c r="J321" i="235"/>
  <c r="K321" i="235"/>
  <c r="L321" i="235"/>
  <c r="M321" i="235"/>
  <c r="N321" i="235"/>
  <c r="O321" i="235"/>
  <c r="P321" i="235"/>
  <c r="E322" i="235"/>
  <c r="F322" i="235"/>
  <c r="G322" i="235"/>
  <c r="H322" i="235"/>
  <c r="I322" i="235"/>
  <c r="J322" i="235"/>
  <c r="K322" i="235"/>
  <c r="L322" i="235"/>
  <c r="M322" i="235"/>
  <c r="N322" i="235"/>
  <c r="O322" i="235"/>
  <c r="P322" i="235"/>
  <c r="E323" i="235"/>
  <c r="F323" i="235"/>
  <c r="G323" i="235"/>
  <c r="H323" i="235"/>
  <c r="I323" i="235"/>
  <c r="J323" i="235"/>
  <c r="K323" i="235"/>
  <c r="L323" i="235"/>
  <c r="M323" i="235"/>
  <c r="N323" i="235"/>
  <c r="O323" i="235"/>
  <c r="P323" i="235"/>
  <c r="E324" i="235"/>
  <c r="F324" i="235"/>
  <c r="G324" i="235"/>
  <c r="H324" i="235"/>
  <c r="I324" i="235"/>
  <c r="J324" i="235"/>
  <c r="K324" i="235"/>
  <c r="L324" i="235"/>
  <c r="M324" i="235"/>
  <c r="N324" i="235"/>
  <c r="O324" i="235"/>
  <c r="P324" i="235"/>
  <c r="E325" i="235"/>
  <c r="E154" i="235" s="1"/>
  <c r="F325" i="235"/>
  <c r="F154" i="235" s="1"/>
  <c r="G325" i="235"/>
  <c r="G154" i="235" s="1"/>
  <c r="H325" i="235"/>
  <c r="H154" i="235" s="1"/>
  <c r="I325" i="235"/>
  <c r="I154" i="235" s="1"/>
  <c r="J325" i="235"/>
  <c r="J154" i="235" s="1"/>
  <c r="K325" i="235"/>
  <c r="K154" i="235" s="1"/>
  <c r="L325" i="235"/>
  <c r="L154" i="235" s="1"/>
  <c r="M325" i="235"/>
  <c r="M154" i="235" s="1"/>
  <c r="N325" i="235"/>
  <c r="N154" i="235" s="1"/>
  <c r="O325" i="235"/>
  <c r="O154" i="235" s="1"/>
  <c r="P325" i="235"/>
  <c r="P154" i="235" s="1"/>
  <c r="P326" i="235"/>
  <c r="P155" i="235" s="1"/>
  <c r="E327" i="235"/>
  <c r="E156" i="235" s="1"/>
  <c r="F327" i="235"/>
  <c r="G327" i="235"/>
  <c r="G156" i="235" s="1"/>
  <c r="H327" i="235"/>
  <c r="H156" i="235" s="1"/>
  <c r="I327" i="235"/>
  <c r="I156" i="235" s="1"/>
  <c r="J327" i="235"/>
  <c r="J156" i="235" s="1"/>
  <c r="K327" i="235"/>
  <c r="K156" i="235" s="1"/>
  <c r="L327" i="235"/>
  <c r="L156" i="235" s="1"/>
  <c r="M327" i="235"/>
  <c r="M156" i="235" s="1"/>
  <c r="N327" i="235"/>
  <c r="N156" i="235" s="1"/>
  <c r="O327" i="235"/>
  <c r="O156" i="235" s="1"/>
  <c r="P327" i="235"/>
  <c r="P156" i="235" s="1"/>
  <c r="E328" i="235"/>
  <c r="E157" i="235" s="1"/>
  <c r="F328" i="235"/>
  <c r="F157" i="235" s="1"/>
  <c r="G328" i="235"/>
  <c r="G157" i="235" s="1"/>
  <c r="H328" i="235"/>
  <c r="H157" i="235" s="1"/>
  <c r="I328" i="235"/>
  <c r="I157" i="235" s="1"/>
  <c r="J328" i="235"/>
  <c r="J157" i="235" s="1"/>
  <c r="K328" i="235"/>
  <c r="K157" i="235" s="1"/>
  <c r="L328" i="235"/>
  <c r="L157" i="235" s="1"/>
  <c r="M328" i="235"/>
  <c r="M157" i="235" s="1"/>
  <c r="N328" i="235"/>
  <c r="N157" i="235" s="1"/>
  <c r="O328" i="235"/>
  <c r="O157" i="235" s="1"/>
  <c r="P328" i="235"/>
  <c r="P157" i="235" s="1"/>
  <c r="Q329" i="235"/>
  <c r="Q330" i="235"/>
  <c r="Q331" i="235"/>
  <c r="Q332" i="235"/>
  <c r="Q333" i="235"/>
  <c r="Q334" i="235"/>
  <c r="Q335" i="235"/>
  <c r="Q336" i="235"/>
  <c r="Q339" i="235"/>
  <c r="Q342" i="235" s="1"/>
  <c r="Q340" i="235"/>
  <c r="E342" i="235"/>
  <c r="F342" i="235"/>
  <c r="G342" i="235"/>
  <c r="H342" i="235"/>
  <c r="I342" i="235"/>
  <c r="J342" i="235"/>
  <c r="K342" i="235"/>
  <c r="L342" i="235"/>
  <c r="M342" i="235"/>
  <c r="N342" i="235"/>
  <c r="O342" i="235"/>
  <c r="P342" i="235"/>
  <c r="E352" i="235"/>
  <c r="F352" i="235"/>
  <c r="G352" i="235"/>
  <c r="H352" i="235"/>
  <c r="I352" i="235"/>
  <c r="J352" i="235"/>
  <c r="K352" i="235"/>
  <c r="L352" i="235"/>
  <c r="M352" i="235"/>
  <c r="N352" i="235"/>
  <c r="O352" i="235"/>
  <c r="P352" i="235"/>
  <c r="E353" i="235"/>
  <c r="F353" i="235"/>
  <c r="G353" i="235"/>
  <c r="H353" i="235"/>
  <c r="I353" i="235"/>
  <c r="J353" i="235"/>
  <c r="K353" i="235"/>
  <c r="L353" i="235"/>
  <c r="M353" i="235"/>
  <c r="N353" i="235"/>
  <c r="O353" i="235"/>
  <c r="P353" i="235"/>
  <c r="E354" i="235"/>
  <c r="F354" i="235"/>
  <c r="G354" i="235"/>
  <c r="H354" i="235"/>
  <c r="I354" i="235"/>
  <c r="J354" i="235"/>
  <c r="K354" i="235"/>
  <c r="L354" i="235"/>
  <c r="M354" i="235"/>
  <c r="N354" i="235"/>
  <c r="O354" i="235"/>
  <c r="P354" i="235"/>
  <c r="E355" i="235"/>
  <c r="F355" i="235"/>
  <c r="G355" i="235"/>
  <c r="H355" i="235"/>
  <c r="I355" i="235"/>
  <c r="J355" i="235"/>
  <c r="K355" i="235"/>
  <c r="L355" i="235"/>
  <c r="M355" i="235"/>
  <c r="N355" i="235"/>
  <c r="O355" i="235"/>
  <c r="P355" i="235"/>
  <c r="E356" i="235"/>
  <c r="F356" i="235"/>
  <c r="G356" i="235"/>
  <c r="H356" i="235"/>
  <c r="I356" i="235"/>
  <c r="J356" i="235"/>
  <c r="K356" i="235"/>
  <c r="L356" i="235"/>
  <c r="M356" i="235"/>
  <c r="N356" i="235"/>
  <c r="O356" i="235"/>
  <c r="P356" i="235"/>
  <c r="E357" i="235"/>
  <c r="F357" i="235"/>
  <c r="G357" i="235"/>
  <c r="H357" i="235"/>
  <c r="I357" i="235"/>
  <c r="J357" i="235"/>
  <c r="K357" i="235"/>
  <c r="L357" i="235"/>
  <c r="M357" i="235"/>
  <c r="N357" i="235"/>
  <c r="O357" i="235"/>
  <c r="P357" i="235"/>
  <c r="E358" i="235"/>
  <c r="F358" i="235"/>
  <c r="G358" i="235"/>
  <c r="H358" i="235"/>
  <c r="I358" i="235"/>
  <c r="J358" i="235"/>
  <c r="K358" i="235"/>
  <c r="L358" i="235"/>
  <c r="M358" i="235"/>
  <c r="N358" i="235"/>
  <c r="O358" i="235"/>
  <c r="P358" i="235"/>
  <c r="Q359" i="235"/>
  <c r="Q360" i="235"/>
  <c r="Q361" i="235"/>
  <c r="Q362" i="235"/>
  <c r="Q363" i="235"/>
  <c r="Q364" i="235"/>
  <c r="Q365" i="235"/>
  <c r="Q366" i="235"/>
  <c r="Q367" i="235"/>
  <c r="Q368" i="235"/>
  <c r="Q369" i="235"/>
  <c r="Q372" i="235"/>
  <c r="Q373" i="235"/>
  <c r="Q374" i="235"/>
  <c r="Q375" i="235"/>
  <c r="Q376" i="235"/>
  <c r="Q377" i="235"/>
  <c r="Q378" i="235"/>
  <c r="Q379" i="235"/>
  <c r="Q380" i="235"/>
  <c r="Q381" i="235"/>
  <c r="P382" i="235"/>
  <c r="Q382" i="235" s="1"/>
  <c r="F382" i="234" s="1"/>
  <c r="Q383" i="235"/>
  <c r="Q384" i="235"/>
  <c r="Q385" i="235"/>
  <c r="Q386" i="235"/>
  <c r="Q387" i="235"/>
  <c r="Q388" i="235"/>
  <c r="Q389" i="235"/>
  <c r="E390" i="235"/>
  <c r="F390" i="235"/>
  <c r="G390" i="235"/>
  <c r="H390" i="235"/>
  <c r="I390" i="235"/>
  <c r="J390" i="235"/>
  <c r="K390" i="235"/>
  <c r="L390" i="235"/>
  <c r="M390" i="235"/>
  <c r="N390" i="235"/>
  <c r="O390" i="235"/>
  <c r="E394" i="235"/>
  <c r="F394" i="235"/>
  <c r="G394" i="235"/>
  <c r="H394" i="235"/>
  <c r="I394" i="235"/>
  <c r="J394" i="235"/>
  <c r="K394" i="235"/>
  <c r="L394" i="235"/>
  <c r="M394" i="235"/>
  <c r="N394" i="235"/>
  <c r="O394" i="235"/>
  <c r="P394" i="235"/>
  <c r="E395" i="235"/>
  <c r="F395" i="235"/>
  <c r="G395" i="235"/>
  <c r="H395" i="235"/>
  <c r="I395" i="235"/>
  <c r="J395" i="235"/>
  <c r="K395" i="235"/>
  <c r="L395" i="235"/>
  <c r="M395" i="235"/>
  <c r="N395" i="235"/>
  <c r="O395" i="235"/>
  <c r="P395" i="235"/>
  <c r="E396" i="235"/>
  <c r="F396" i="235"/>
  <c r="G396" i="235"/>
  <c r="H396" i="235"/>
  <c r="I396" i="235"/>
  <c r="J396" i="235"/>
  <c r="K396" i="235"/>
  <c r="L396" i="235"/>
  <c r="M396" i="235"/>
  <c r="N396" i="235"/>
  <c r="O396" i="235"/>
  <c r="P396" i="235"/>
  <c r="E397" i="235"/>
  <c r="F397" i="235"/>
  <c r="G397" i="235"/>
  <c r="H397" i="235"/>
  <c r="I397" i="235"/>
  <c r="J397" i="235"/>
  <c r="K397" i="235"/>
  <c r="L397" i="235"/>
  <c r="M397" i="235"/>
  <c r="N397" i="235"/>
  <c r="O397" i="235"/>
  <c r="P397" i="235"/>
  <c r="E398" i="235"/>
  <c r="F398" i="235"/>
  <c r="G398" i="235"/>
  <c r="H398" i="235"/>
  <c r="I398" i="235"/>
  <c r="J398" i="235"/>
  <c r="K398" i="235"/>
  <c r="L398" i="235"/>
  <c r="M398" i="235"/>
  <c r="N398" i="235"/>
  <c r="O398" i="235"/>
  <c r="P398" i="235"/>
  <c r="E399" i="235"/>
  <c r="F399" i="235"/>
  <c r="G399" i="235"/>
  <c r="H399" i="235"/>
  <c r="I399" i="235"/>
  <c r="J399" i="235"/>
  <c r="K399" i="235"/>
  <c r="L399" i="235"/>
  <c r="M399" i="235"/>
  <c r="N399" i="235"/>
  <c r="O399" i="235"/>
  <c r="P399" i="235"/>
  <c r="E400" i="235"/>
  <c r="E59" i="235" s="1"/>
  <c r="F400" i="235"/>
  <c r="F59" i="235" s="1"/>
  <c r="G400" i="235"/>
  <c r="G59" i="235" s="1"/>
  <c r="H400" i="235"/>
  <c r="H59" i="235" s="1"/>
  <c r="I400" i="235"/>
  <c r="I59" i="235" s="1"/>
  <c r="J400" i="235"/>
  <c r="J59" i="235" s="1"/>
  <c r="K400" i="235"/>
  <c r="K59" i="235" s="1"/>
  <c r="L400" i="235"/>
  <c r="L59" i="235" s="1"/>
  <c r="M400" i="235"/>
  <c r="M59" i="235" s="1"/>
  <c r="N400" i="235"/>
  <c r="N59" i="235" s="1"/>
  <c r="O400" i="235"/>
  <c r="O59" i="235" s="1"/>
  <c r="P400" i="235"/>
  <c r="E401" i="235"/>
  <c r="E60" i="235" s="1"/>
  <c r="F401" i="235"/>
  <c r="F60" i="235" s="1"/>
  <c r="G401" i="235"/>
  <c r="G60" i="235" s="1"/>
  <c r="H401" i="235"/>
  <c r="H60" i="235" s="1"/>
  <c r="I401" i="235"/>
  <c r="I60" i="235" s="1"/>
  <c r="J401" i="235"/>
  <c r="J60" i="235" s="1"/>
  <c r="K401" i="235"/>
  <c r="K60" i="235" s="1"/>
  <c r="L401" i="235"/>
  <c r="L60" i="235" s="1"/>
  <c r="M401" i="235"/>
  <c r="M60" i="235" s="1"/>
  <c r="N401" i="235"/>
  <c r="N60" i="235" s="1"/>
  <c r="O401" i="235"/>
  <c r="O60" i="235" s="1"/>
  <c r="P401" i="235"/>
  <c r="P60" i="235" s="1"/>
  <c r="Q402" i="235"/>
  <c r="E403" i="235"/>
  <c r="F403" i="235"/>
  <c r="G403" i="235"/>
  <c r="H403" i="235"/>
  <c r="I403" i="235"/>
  <c r="J403" i="235"/>
  <c r="K403" i="235"/>
  <c r="L403" i="235"/>
  <c r="M403" i="235"/>
  <c r="N403" i="235"/>
  <c r="O403" i="235"/>
  <c r="P403" i="235"/>
  <c r="E404" i="235"/>
  <c r="F404" i="235"/>
  <c r="G404" i="235"/>
  <c r="H404" i="235"/>
  <c r="I404" i="235"/>
  <c r="J404" i="235"/>
  <c r="K404" i="235"/>
  <c r="L404" i="235"/>
  <c r="M404" i="235"/>
  <c r="N404" i="235"/>
  <c r="O404" i="235"/>
  <c r="P404" i="235"/>
  <c r="E405" i="235"/>
  <c r="F405" i="235"/>
  <c r="G405" i="235"/>
  <c r="H405" i="235"/>
  <c r="I405" i="235"/>
  <c r="J405" i="235"/>
  <c r="K405" i="235"/>
  <c r="L405" i="235"/>
  <c r="M405" i="235"/>
  <c r="N405" i="235"/>
  <c r="O405" i="235"/>
  <c r="P405" i="235"/>
  <c r="K406" i="235"/>
  <c r="L406" i="235"/>
  <c r="M406" i="235"/>
  <c r="N406" i="235"/>
  <c r="O406" i="235"/>
  <c r="P406" i="235"/>
  <c r="K407" i="235"/>
  <c r="L407" i="235"/>
  <c r="M407" i="235"/>
  <c r="N407" i="235"/>
  <c r="O407" i="235"/>
  <c r="P407" i="235"/>
  <c r="E408" i="235"/>
  <c r="F408" i="235"/>
  <c r="G408" i="235"/>
  <c r="H408" i="235"/>
  <c r="I408" i="235"/>
  <c r="J408" i="235"/>
  <c r="K408" i="235"/>
  <c r="L408" i="235"/>
  <c r="M408" i="235"/>
  <c r="N408" i="235"/>
  <c r="O408" i="235"/>
  <c r="P408" i="235"/>
  <c r="E409" i="235"/>
  <c r="F409" i="235"/>
  <c r="G409" i="235"/>
  <c r="H409" i="235"/>
  <c r="I409" i="235"/>
  <c r="J409" i="235"/>
  <c r="K409" i="235"/>
  <c r="L409" i="235"/>
  <c r="M409" i="235"/>
  <c r="N409" i="235"/>
  <c r="O409" i="235"/>
  <c r="P409" i="235"/>
  <c r="Q410" i="235"/>
  <c r="Q411" i="235"/>
  <c r="Q412" i="235"/>
  <c r="Q413" i="235"/>
  <c r="Q414" i="235"/>
  <c r="Q415" i="235"/>
  <c r="P416" i="235"/>
  <c r="P75" i="235" s="1"/>
  <c r="Q417" i="235"/>
  <c r="Q418" i="235"/>
  <c r="E421" i="235"/>
  <c r="F421" i="235"/>
  <c r="G421" i="235"/>
  <c r="H421" i="235"/>
  <c r="I421" i="235"/>
  <c r="J421" i="235"/>
  <c r="K421" i="235"/>
  <c r="L421" i="235"/>
  <c r="M421" i="235"/>
  <c r="N421" i="235"/>
  <c r="O421" i="235"/>
  <c r="P421" i="235"/>
  <c r="E422" i="235"/>
  <c r="F422" i="235"/>
  <c r="G422" i="235"/>
  <c r="H422" i="235"/>
  <c r="I422" i="235"/>
  <c r="J422" i="235"/>
  <c r="K422" i="235"/>
  <c r="L422" i="235"/>
  <c r="M422" i="235"/>
  <c r="N422" i="235"/>
  <c r="O422" i="235"/>
  <c r="P422" i="235"/>
  <c r="Q423" i="235"/>
  <c r="E424" i="235"/>
  <c r="F424" i="235"/>
  <c r="G424" i="235"/>
  <c r="H424" i="235"/>
  <c r="I424" i="235"/>
  <c r="J424" i="235"/>
  <c r="K424" i="235"/>
  <c r="L424" i="235"/>
  <c r="M424" i="235"/>
  <c r="N424" i="235"/>
  <c r="O424" i="235"/>
  <c r="P424" i="235"/>
  <c r="Q425" i="235"/>
  <c r="Q426" i="235"/>
  <c r="Q427" i="235"/>
  <c r="Q428" i="235"/>
  <c r="Q429" i="235"/>
  <c r="Q430" i="235"/>
  <c r="Q431" i="235"/>
  <c r="Q432" i="235"/>
  <c r="Q433" i="235"/>
  <c r="Q434" i="235"/>
  <c r="E438" i="235"/>
  <c r="F438" i="235"/>
  <c r="G438" i="235"/>
  <c r="H438" i="235"/>
  <c r="I438" i="235"/>
  <c r="J438" i="235"/>
  <c r="K438" i="235"/>
  <c r="L438" i="235"/>
  <c r="M438" i="235"/>
  <c r="N438" i="235"/>
  <c r="O438" i="235"/>
  <c r="P438" i="235"/>
  <c r="E439" i="235"/>
  <c r="F439" i="235"/>
  <c r="G439" i="235"/>
  <c r="H439" i="235"/>
  <c r="I439" i="235"/>
  <c r="J439" i="235"/>
  <c r="K439" i="235"/>
  <c r="L439" i="235"/>
  <c r="M439" i="235"/>
  <c r="N439" i="235"/>
  <c r="O439" i="235"/>
  <c r="P439" i="235"/>
  <c r="Q440" i="235"/>
  <c r="Q441" i="235"/>
  <c r="Q442" i="235"/>
  <c r="Q443" i="235"/>
  <c r="E447" i="235"/>
  <c r="F447" i="235"/>
  <c r="G447" i="235"/>
  <c r="H447" i="235"/>
  <c r="I447" i="235"/>
  <c r="J447" i="235"/>
  <c r="K447" i="235"/>
  <c r="L447" i="235"/>
  <c r="M447" i="235"/>
  <c r="N447" i="235"/>
  <c r="O447" i="235"/>
  <c r="P447" i="235"/>
  <c r="E448" i="235"/>
  <c r="F448" i="235"/>
  <c r="G448" i="235"/>
  <c r="H448" i="235"/>
  <c r="I448" i="235"/>
  <c r="J448" i="235"/>
  <c r="K448" i="235"/>
  <c r="L448" i="235"/>
  <c r="M448" i="235"/>
  <c r="N448" i="235"/>
  <c r="O448" i="235"/>
  <c r="P448" i="235"/>
  <c r="Q449" i="235"/>
  <c r="Q450" i="235"/>
  <c r="Q451" i="235"/>
  <c r="Q452" i="235"/>
  <c r="Q453" i="235"/>
  <c r="Q454" i="235"/>
  <c r="E457" i="235"/>
  <c r="E116" i="235" s="1"/>
  <c r="F457" i="235"/>
  <c r="F116" i="235" s="1"/>
  <c r="G457" i="235"/>
  <c r="G116" i="235" s="1"/>
  <c r="H457" i="235"/>
  <c r="H116" i="235" s="1"/>
  <c r="I457" i="235"/>
  <c r="I116" i="235" s="1"/>
  <c r="J457" i="235"/>
  <c r="J116" i="235" s="1"/>
  <c r="K457" i="235"/>
  <c r="K116" i="235" s="1"/>
  <c r="L457" i="235"/>
  <c r="L116" i="235" s="1"/>
  <c r="M457" i="235"/>
  <c r="M116" i="235" s="1"/>
  <c r="N457" i="235"/>
  <c r="N116" i="235" s="1"/>
  <c r="O457" i="235"/>
  <c r="O116" i="235" s="1"/>
  <c r="P457" i="235"/>
  <c r="P116" i="235" s="1"/>
  <c r="E458" i="235"/>
  <c r="E117" i="235" s="1"/>
  <c r="F458" i="235"/>
  <c r="G458" i="235"/>
  <c r="G117" i="235" s="1"/>
  <c r="H458" i="235"/>
  <c r="H117" i="235" s="1"/>
  <c r="I458" i="235"/>
  <c r="I117" i="235" s="1"/>
  <c r="J458" i="235"/>
  <c r="J117" i="235" s="1"/>
  <c r="K458" i="235"/>
  <c r="K117" i="235" s="1"/>
  <c r="L458" i="235"/>
  <c r="L117" i="235" s="1"/>
  <c r="M458" i="235"/>
  <c r="M117" i="235" s="1"/>
  <c r="N458" i="235"/>
  <c r="N117" i="235" s="1"/>
  <c r="O458" i="235"/>
  <c r="O117" i="235" s="1"/>
  <c r="P458" i="235"/>
  <c r="P117" i="235" s="1"/>
  <c r="Q459" i="235"/>
  <c r="E460" i="235"/>
  <c r="E119" i="235" s="1"/>
  <c r="F460" i="235"/>
  <c r="F119" i="235" s="1"/>
  <c r="P460" i="235"/>
  <c r="P119" i="235" s="1"/>
  <c r="Q461" i="235"/>
  <c r="E462" i="235"/>
  <c r="E121" i="235" s="1"/>
  <c r="F462" i="235"/>
  <c r="F121" i="235" s="1"/>
  <c r="G462" i="235"/>
  <c r="G121" i="235" s="1"/>
  <c r="H462" i="235"/>
  <c r="H121" i="235" s="1"/>
  <c r="I462" i="235"/>
  <c r="I121" i="235" s="1"/>
  <c r="J462" i="235"/>
  <c r="J121" i="235" s="1"/>
  <c r="K462" i="235"/>
  <c r="K121" i="235" s="1"/>
  <c r="L462" i="235"/>
  <c r="L121" i="235" s="1"/>
  <c r="M462" i="235"/>
  <c r="M121" i="235" s="1"/>
  <c r="N462" i="235"/>
  <c r="N121" i="235" s="1"/>
  <c r="O462" i="235"/>
  <c r="O121" i="235" s="1"/>
  <c r="P462" i="235"/>
  <c r="P121" i="235" s="1"/>
  <c r="E463" i="235"/>
  <c r="E122" i="235" s="1"/>
  <c r="F463" i="235"/>
  <c r="G463" i="235"/>
  <c r="G122" i="235" s="1"/>
  <c r="H463" i="235"/>
  <c r="H122" i="235" s="1"/>
  <c r="I463" i="235"/>
  <c r="I122" i="235" s="1"/>
  <c r="J463" i="235"/>
  <c r="J122" i="235" s="1"/>
  <c r="K463" i="235"/>
  <c r="K122" i="235" s="1"/>
  <c r="L463" i="235"/>
  <c r="L122" i="235" s="1"/>
  <c r="M463" i="235"/>
  <c r="M122" i="235" s="1"/>
  <c r="N463" i="235"/>
  <c r="N122" i="235" s="1"/>
  <c r="O463" i="235"/>
  <c r="P463" i="235"/>
  <c r="P122" i="235" s="1"/>
  <c r="E464" i="235"/>
  <c r="E123" i="235" s="1"/>
  <c r="F464" i="235"/>
  <c r="F123" i="235" s="1"/>
  <c r="G464" i="235"/>
  <c r="G123" i="235" s="1"/>
  <c r="H464" i="235"/>
  <c r="H123" i="235" s="1"/>
  <c r="I464" i="235"/>
  <c r="I123" i="235" s="1"/>
  <c r="J464" i="235"/>
  <c r="K464" i="235"/>
  <c r="K123" i="235" s="1"/>
  <c r="L464" i="235"/>
  <c r="L123" i="235" s="1"/>
  <c r="M464" i="235"/>
  <c r="M123" i="235" s="1"/>
  <c r="N464" i="235"/>
  <c r="N123" i="235" s="1"/>
  <c r="O464" i="235"/>
  <c r="O123" i="235" s="1"/>
  <c r="P464" i="235"/>
  <c r="P123" i="235" s="1"/>
  <c r="E465" i="235"/>
  <c r="F465" i="235"/>
  <c r="G465" i="235"/>
  <c r="H465" i="235"/>
  <c r="I465" i="235"/>
  <c r="J465" i="235"/>
  <c r="K465" i="235"/>
  <c r="L465" i="235"/>
  <c r="M465" i="235"/>
  <c r="N465" i="235"/>
  <c r="N124" i="235" s="1"/>
  <c r="O465" i="235"/>
  <c r="O124" i="235" s="1"/>
  <c r="P465" i="235"/>
  <c r="E466" i="235"/>
  <c r="E125" i="235" s="1"/>
  <c r="F466" i="235"/>
  <c r="F125" i="235" s="1"/>
  <c r="G466" i="235"/>
  <c r="G125" i="235" s="1"/>
  <c r="H466" i="235"/>
  <c r="H125" i="235" s="1"/>
  <c r="I466" i="235"/>
  <c r="I125" i="235" s="1"/>
  <c r="J466" i="235"/>
  <c r="J125" i="235" s="1"/>
  <c r="K466" i="235"/>
  <c r="K125" i="235" s="1"/>
  <c r="L466" i="235"/>
  <c r="L125" i="235" s="1"/>
  <c r="M466" i="235"/>
  <c r="M125" i="235" s="1"/>
  <c r="N466" i="235"/>
  <c r="N125" i="235" s="1"/>
  <c r="O466" i="235"/>
  <c r="O125" i="235" s="1"/>
  <c r="P466" i="235"/>
  <c r="P125" i="235" s="1"/>
  <c r="Q467" i="235"/>
  <c r="Q468" i="235"/>
  <c r="Q469" i="235"/>
  <c r="Q470" i="235"/>
  <c r="E471" i="235"/>
  <c r="E130" i="235" s="1"/>
  <c r="F471" i="235"/>
  <c r="F130" i="235" s="1"/>
  <c r="G471" i="235"/>
  <c r="G130" i="235" s="1"/>
  <c r="H471" i="235"/>
  <c r="H130" i="235" s="1"/>
  <c r="I471" i="235"/>
  <c r="I130" i="235" s="1"/>
  <c r="J471" i="235"/>
  <c r="J130" i="235" s="1"/>
  <c r="K471" i="235"/>
  <c r="K130" i="235" s="1"/>
  <c r="L471" i="235"/>
  <c r="L130" i="235" s="1"/>
  <c r="M471" i="235"/>
  <c r="M130" i="235" s="1"/>
  <c r="N471" i="235"/>
  <c r="N130" i="235" s="1"/>
  <c r="O471" i="235"/>
  <c r="O130" i="235" s="1"/>
  <c r="P471" i="235"/>
  <c r="P130" i="235" s="1"/>
  <c r="P472" i="235"/>
  <c r="Q473" i="235"/>
  <c r="Q474" i="235"/>
  <c r="Q475" i="235"/>
  <c r="Q476" i="235"/>
  <c r="Q477" i="235"/>
  <c r="Q478" i="235"/>
  <c r="Q479" i="235"/>
  <c r="Q480" i="235"/>
  <c r="E483" i="235"/>
  <c r="E142" i="235" s="1"/>
  <c r="F483" i="235"/>
  <c r="F142" i="235" s="1"/>
  <c r="G483" i="235"/>
  <c r="G142" i="235" s="1"/>
  <c r="H483" i="235"/>
  <c r="H142" i="235" s="1"/>
  <c r="I483" i="235"/>
  <c r="I142" i="235" s="1"/>
  <c r="J483" i="235"/>
  <c r="J142" i="235" s="1"/>
  <c r="K483" i="235"/>
  <c r="K142" i="235" s="1"/>
  <c r="L483" i="235"/>
  <c r="L142" i="235" s="1"/>
  <c r="M483" i="235"/>
  <c r="M142" i="235" s="1"/>
  <c r="N483" i="235"/>
  <c r="N142" i="235" s="1"/>
  <c r="O483" i="235"/>
  <c r="O142" i="235" s="1"/>
  <c r="P483" i="235"/>
  <c r="P142" i="235" s="1"/>
  <c r="Q484" i="235"/>
  <c r="Q485" i="235"/>
  <c r="Q487" i="235"/>
  <c r="E488" i="235"/>
  <c r="F488" i="235"/>
  <c r="G488" i="235"/>
  <c r="H488" i="235"/>
  <c r="I488" i="235"/>
  <c r="J488" i="235"/>
  <c r="K488" i="235"/>
  <c r="L488" i="235"/>
  <c r="M488" i="235"/>
  <c r="N488" i="235"/>
  <c r="O488" i="235"/>
  <c r="P488" i="235"/>
  <c r="E489" i="235"/>
  <c r="F489" i="235"/>
  <c r="G489" i="235"/>
  <c r="H489" i="235"/>
  <c r="I489" i="235"/>
  <c r="J489" i="235"/>
  <c r="K489" i="235"/>
  <c r="L489" i="235"/>
  <c r="M489" i="235"/>
  <c r="N489" i="235"/>
  <c r="O489" i="235"/>
  <c r="P489" i="235"/>
  <c r="E490" i="235"/>
  <c r="F490" i="235"/>
  <c r="G490" i="235"/>
  <c r="H490" i="235"/>
  <c r="I490" i="235"/>
  <c r="J490" i="235"/>
  <c r="K490" i="235"/>
  <c r="L490" i="235"/>
  <c r="M490" i="235"/>
  <c r="N490" i="235"/>
  <c r="O490" i="235"/>
  <c r="P490" i="235"/>
  <c r="E491" i="235"/>
  <c r="F491" i="235"/>
  <c r="G491" i="235"/>
  <c r="H491" i="235"/>
  <c r="I491" i="235"/>
  <c r="J491" i="235"/>
  <c r="K491" i="235"/>
  <c r="L491" i="235"/>
  <c r="M491" i="235"/>
  <c r="N491" i="235"/>
  <c r="O491" i="235"/>
  <c r="P491" i="235"/>
  <c r="E492" i="235"/>
  <c r="F492" i="235"/>
  <c r="G492" i="235"/>
  <c r="H492" i="235"/>
  <c r="I492" i="235"/>
  <c r="J492" i="235"/>
  <c r="K492" i="235"/>
  <c r="L492" i="235"/>
  <c r="M492" i="235"/>
  <c r="N492" i="235"/>
  <c r="O492" i="235"/>
  <c r="P492" i="235"/>
  <c r="E493" i="235"/>
  <c r="F493" i="235"/>
  <c r="G493" i="235"/>
  <c r="H493" i="235"/>
  <c r="I493" i="235"/>
  <c r="J493" i="235"/>
  <c r="K493" i="235"/>
  <c r="L493" i="235"/>
  <c r="M493" i="235"/>
  <c r="N493" i="235"/>
  <c r="O493" i="235"/>
  <c r="P493" i="235"/>
  <c r="E494" i="235"/>
  <c r="F494" i="235"/>
  <c r="G494" i="235"/>
  <c r="H494" i="235"/>
  <c r="I494" i="235"/>
  <c r="J494" i="235"/>
  <c r="K494" i="235"/>
  <c r="L494" i="235"/>
  <c r="M494" i="235"/>
  <c r="N494" i="235"/>
  <c r="O494" i="235"/>
  <c r="P494" i="235"/>
  <c r="Q495" i="235"/>
  <c r="Q496" i="235"/>
  <c r="Q497" i="235"/>
  <c r="Q498" i="235"/>
  <c r="Q499" i="235"/>
  <c r="Q500" i="235"/>
  <c r="Q501" i="235"/>
  <c r="Q502" i="235"/>
  <c r="F502" i="234" s="1"/>
  <c r="Q503" i="235"/>
  <c r="Q504" i="235"/>
  <c r="Q505" i="235"/>
  <c r="Q506" i="235"/>
  <c r="F506" i="234" s="1"/>
  <c r="Q509" i="235"/>
  <c r="Q511" i="235"/>
  <c r="Q512" i="235" s="1"/>
  <c r="E512" i="235"/>
  <c r="F512" i="235"/>
  <c r="G512" i="235"/>
  <c r="H512" i="235"/>
  <c r="I512" i="235"/>
  <c r="J512" i="235"/>
  <c r="K512" i="235"/>
  <c r="L512" i="235"/>
  <c r="M512" i="235"/>
  <c r="N512" i="235"/>
  <c r="O512" i="235"/>
  <c r="P512" i="235"/>
  <c r="E11" i="234"/>
  <c r="H11" i="234"/>
  <c r="E12" i="234"/>
  <c r="H12" i="234"/>
  <c r="E13" i="234"/>
  <c r="H13" i="234"/>
  <c r="E14" i="234"/>
  <c r="H14" i="234"/>
  <c r="E15" i="234"/>
  <c r="H15" i="234"/>
  <c r="E16" i="234"/>
  <c r="H16" i="234"/>
  <c r="E17" i="234"/>
  <c r="H17" i="234"/>
  <c r="E18" i="234"/>
  <c r="H18" i="234"/>
  <c r="J18" i="234"/>
  <c r="M19" i="234"/>
  <c r="O19" i="234"/>
  <c r="F20" i="234"/>
  <c r="M20" i="234"/>
  <c r="F21" i="234"/>
  <c r="M21" i="234"/>
  <c r="N21" i="234"/>
  <c r="P21" i="234"/>
  <c r="F22" i="234"/>
  <c r="M22" i="234"/>
  <c r="F23" i="234"/>
  <c r="M23" i="234"/>
  <c r="P23" i="234"/>
  <c r="F24" i="234"/>
  <c r="M24" i="234"/>
  <c r="F25" i="234"/>
  <c r="M25" i="234"/>
  <c r="P25" i="234"/>
  <c r="J26" i="234"/>
  <c r="M26" i="234"/>
  <c r="J27" i="234"/>
  <c r="M27" i="234"/>
  <c r="F28" i="234"/>
  <c r="J28" i="234"/>
  <c r="M28" i="234"/>
  <c r="E31" i="234"/>
  <c r="F31" i="234"/>
  <c r="H31" i="234"/>
  <c r="J31" i="234"/>
  <c r="M31" i="234"/>
  <c r="E32" i="234"/>
  <c r="F32" i="234"/>
  <c r="H32" i="234"/>
  <c r="M32" i="234"/>
  <c r="E33" i="234"/>
  <c r="H33" i="234"/>
  <c r="M33" i="234"/>
  <c r="P33" i="234"/>
  <c r="E34" i="234"/>
  <c r="F34" i="234"/>
  <c r="H34" i="234"/>
  <c r="J34" i="234"/>
  <c r="M34" i="234"/>
  <c r="P34" i="234"/>
  <c r="E35" i="234"/>
  <c r="H35" i="234"/>
  <c r="M35" i="234"/>
  <c r="E36" i="234"/>
  <c r="H36" i="234"/>
  <c r="M36" i="234"/>
  <c r="E37" i="234"/>
  <c r="F37" i="234"/>
  <c r="H37" i="234"/>
  <c r="M37" i="234"/>
  <c r="N37" i="234"/>
  <c r="E38" i="234"/>
  <c r="H38" i="234"/>
  <c r="M38" i="234"/>
  <c r="P38" i="234"/>
  <c r="M39" i="234"/>
  <c r="P39" i="234"/>
  <c r="M40" i="234"/>
  <c r="N40" i="234"/>
  <c r="P40" i="234"/>
  <c r="M41" i="234"/>
  <c r="F42" i="234"/>
  <c r="M42" i="234"/>
  <c r="M43" i="234"/>
  <c r="M44" i="234"/>
  <c r="P44" i="234"/>
  <c r="M45" i="234"/>
  <c r="N45" i="234"/>
  <c r="F46" i="234"/>
  <c r="H46" i="234"/>
  <c r="M46" i="234"/>
  <c r="F47" i="234"/>
  <c r="M47" i="234"/>
  <c r="M48" i="234"/>
  <c r="N48" i="234"/>
  <c r="E53" i="234"/>
  <c r="H53" i="234"/>
  <c r="E54" i="234"/>
  <c r="H54" i="234"/>
  <c r="E55" i="234"/>
  <c r="H55" i="234"/>
  <c r="E56" i="234"/>
  <c r="H56" i="234"/>
  <c r="E57" i="234"/>
  <c r="H57" i="234"/>
  <c r="E58" i="234"/>
  <c r="H58" i="234"/>
  <c r="E59" i="234"/>
  <c r="H59" i="234"/>
  <c r="E60" i="234"/>
  <c r="H60" i="234"/>
  <c r="E61" i="234"/>
  <c r="H61" i="234"/>
  <c r="E62" i="234"/>
  <c r="H62" i="234"/>
  <c r="E63" i="234"/>
  <c r="H63" i="234"/>
  <c r="E64" i="234"/>
  <c r="H64" i="234"/>
  <c r="H65" i="234"/>
  <c r="H66" i="234"/>
  <c r="E67" i="234"/>
  <c r="H67" i="234"/>
  <c r="E68" i="234"/>
  <c r="H68" i="234"/>
  <c r="M69" i="234"/>
  <c r="N69" i="234"/>
  <c r="M70" i="234"/>
  <c r="F71" i="234"/>
  <c r="M71" i="234"/>
  <c r="P71" i="234"/>
  <c r="M72" i="234"/>
  <c r="F73" i="234"/>
  <c r="M73" i="234"/>
  <c r="P73" i="234"/>
  <c r="F74" i="234"/>
  <c r="M74" i="234"/>
  <c r="I75" i="234"/>
  <c r="M75" i="234"/>
  <c r="P75" i="234"/>
  <c r="F76" i="234"/>
  <c r="M76" i="234"/>
  <c r="N76" i="234"/>
  <c r="P76" i="234"/>
  <c r="M77" i="234"/>
  <c r="E80" i="234"/>
  <c r="H80" i="234"/>
  <c r="E81" i="234"/>
  <c r="H81" i="234"/>
  <c r="E82" i="234"/>
  <c r="F82" i="234"/>
  <c r="H82" i="234"/>
  <c r="E83" i="234"/>
  <c r="H83" i="234"/>
  <c r="M84" i="234"/>
  <c r="P84" i="234"/>
  <c r="M85" i="234"/>
  <c r="M86" i="234"/>
  <c r="M87" i="234"/>
  <c r="F88" i="234"/>
  <c r="M88" i="234"/>
  <c r="P88" i="234"/>
  <c r="M89" i="234"/>
  <c r="P89" i="234"/>
  <c r="M90" i="234"/>
  <c r="F91" i="234"/>
  <c r="M91" i="234"/>
  <c r="F92" i="234"/>
  <c r="M92" i="234"/>
  <c r="P92" i="234"/>
  <c r="F93" i="234"/>
  <c r="M93" i="234"/>
  <c r="P93" i="234"/>
  <c r="E97" i="234"/>
  <c r="H97" i="234"/>
  <c r="E98" i="234"/>
  <c r="H98" i="234"/>
  <c r="M99" i="234"/>
  <c r="M100" i="234"/>
  <c r="F101" i="234"/>
  <c r="P101" i="234"/>
  <c r="M103" i="234"/>
  <c r="E106" i="234"/>
  <c r="H106" i="234"/>
  <c r="E107" i="234"/>
  <c r="H107" i="234"/>
  <c r="M107" i="234"/>
  <c r="E108" i="234"/>
  <c r="F109" i="234"/>
  <c r="J109" i="234"/>
  <c r="P110" i="234"/>
  <c r="M112" i="234"/>
  <c r="M113" i="234"/>
  <c r="E116" i="234"/>
  <c r="H116" i="234"/>
  <c r="E117" i="234"/>
  <c r="H117" i="234"/>
  <c r="E118" i="234"/>
  <c r="H118" i="234"/>
  <c r="E119" i="234"/>
  <c r="H119" i="234"/>
  <c r="E120" i="234"/>
  <c r="H120" i="234"/>
  <c r="E121" i="234"/>
  <c r="H121" i="234"/>
  <c r="E122" i="234"/>
  <c r="H122" i="234"/>
  <c r="E123" i="234"/>
  <c r="H123" i="234"/>
  <c r="E124" i="234"/>
  <c r="H124" i="234"/>
  <c r="E125" i="234"/>
  <c r="H125" i="234"/>
  <c r="E126" i="234"/>
  <c r="F126" i="234"/>
  <c r="H126" i="234"/>
  <c r="P127" i="234"/>
  <c r="H128" i="234"/>
  <c r="H129" i="234"/>
  <c r="P130" i="234"/>
  <c r="P131" i="234"/>
  <c r="F132" i="234"/>
  <c r="M132" i="234"/>
  <c r="N132" i="234"/>
  <c r="F133" i="234"/>
  <c r="M133" i="234"/>
  <c r="P133" i="234"/>
  <c r="M134" i="234"/>
  <c r="M135" i="234"/>
  <c r="P135" i="234"/>
  <c r="P136" i="234"/>
  <c r="J137" i="234"/>
  <c r="N137" i="234"/>
  <c r="P138" i="234"/>
  <c r="P139" i="234"/>
  <c r="S133" i="234" s="1"/>
  <c r="E142" i="234"/>
  <c r="E166" i="234" s="1"/>
  <c r="H166" i="234"/>
  <c r="F158" i="234"/>
  <c r="F161" i="234"/>
  <c r="J162" i="234"/>
  <c r="F163" i="234"/>
  <c r="F164" i="234"/>
  <c r="J165" i="234"/>
  <c r="E168" i="234"/>
  <c r="H168" i="234"/>
  <c r="E169" i="234"/>
  <c r="H169" i="234"/>
  <c r="M170" i="234"/>
  <c r="N170" i="234"/>
  <c r="O170" i="234"/>
  <c r="P170" i="234"/>
  <c r="E181" i="234"/>
  <c r="H181" i="234"/>
  <c r="E182" i="234"/>
  <c r="H182" i="234"/>
  <c r="E183" i="234"/>
  <c r="H183" i="234"/>
  <c r="E184" i="234"/>
  <c r="H184" i="234"/>
  <c r="E185" i="234"/>
  <c r="H185" i="234"/>
  <c r="E186" i="234"/>
  <c r="H186" i="234"/>
  <c r="E187" i="234"/>
  <c r="H187" i="234"/>
  <c r="E188" i="234"/>
  <c r="F188" i="234"/>
  <c r="H188" i="234"/>
  <c r="I188" i="234"/>
  <c r="J188" i="234"/>
  <c r="F190" i="234"/>
  <c r="F191" i="234"/>
  <c r="J191" i="234"/>
  <c r="F192" i="234"/>
  <c r="J192" i="234"/>
  <c r="F193" i="234"/>
  <c r="J193" i="234"/>
  <c r="F194" i="234"/>
  <c r="J194" i="234"/>
  <c r="F195" i="234"/>
  <c r="J195" i="234"/>
  <c r="F196" i="234"/>
  <c r="J196" i="234"/>
  <c r="F197" i="234"/>
  <c r="J197" i="234"/>
  <c r="F198" i="234"/>
  <c r="J198" i="234"/>
  <c r="E201" i="234"/>
  <c r="F201" i="234"/>
  <c r="H201" i="234"/>
  <c r="I201" i="234"/>
  <c r="J201" i="234"/>
  <c r="E202" i="234"/>
  <c r="F202" i="234"/>
  <c r="H202" i="234"/>
  <c r="I202" i="234"/>
  <c r="J202" i="234"/>
  <c r="E203" i="234"/>
  <c r="F203" i="234"/>
  <c r="H203" i="234"/>
  <c r="I203" i="234"/>
  <c r="J203" i="234"/>
  <c r="E204" i="234"/>
  <c r="F204" i="234"/>
  <c r="H204" i="234"/>
  <c r="I204" i="234"/>
  <c r="J204" i="234"/>
  <c r="E205" i="234"/>
  <c r="F205" i="234"/>
  <c r="H205" i="234"/>
  <c r="I205" i="234"/>
  <c r="J205" i="234"/>
  <c r="E206" i="234"/>
  <c r="F206" i="234"/>
  <c r="H206" i="234"/>
  <c r="I206" i="234"/>
  <c r="J206" i="234"/>
  <c r="E207" i="234"/>
  <c r="F207" i="234"/>
  <c r="H207" i="234"/>
  <c r="I207" i="234"/>
  <c r="J207" i="234"/>
  <c r="E208" i="234"/>
  <c r="F208" i="234"/>
  <c r="H208" i="234"/>
  <c r="I208" i="234"/>
  <c r="J208" i="234"/>
  <c r="I210" i="234"/>
  <c r="J210" i="234"/>
  <c r="I211" i="234"/>
  <c r="J211" i="234"/>
  <c r="F212" i="234"/>
  <c r="I212" i="234"/>
  <c r="J212" i="234"/>
  <c r="F213" i="234"/>
  <c r="F214" i="234"/>
  <c r="F215" i="234"/>
  <c r="F216" i="234"/>
  <c r="I216" i="234"/>
  <c r="J216" i="234"/>
  <c r="F217" i="234"/>
  <c r="I217" i="234"/>
  <c r="J217" i="234"/>
  <c r="F218" i="234"/>
  <c r="I218" i="234"/>
  <c r="J218" i="234"/>
  <c r="E223" i="234"/>
  <c r="H223" i="234"/>
  <c r="E224" i="234"/>
  <c r="H224" i="234"/>
  <c r="E225" i="234"/>
  <c r="H225" i="234"/>
  <c r="E226" i="234"/>
  <c r="H226" i="234"/>
  <c r="E227" i="234"/>
  <c r="H227" i="234"/>
  <c r="E228" i="234"/>
  <c r="H228" i="234"/>
  <c r="E229" i="234"/>
  <c r="H229" i="234"/>
  <c r="E230" i="234"/>
  <c r="F230" i="234"/>
  <c r="H230" i="234"/>
  <c r="E231" i="234"/>
  <c r="F231" i="234"/>
  <c r="H231" i="234"/>
  <c r="E232" i="234"/>
  <c r="H232" i="234"/>
  <c r="E233" i="234"/>
  <c r="H233" i="234"/>
  <c r="E234" i="234"/>
  <c r="H234" i="234"/>
  <c r="H235" i="234"/>
  <c r="H236" i="234"/>
  <c r="E237" i="234"/>
  <c r="F237" i="234"/>
  <c r="H237" i="234"/>
  <c r="E238" i="234"/>
  <c r="H238" i="234"/>
  <c r="F240" i="234"/>
  <c r="F241" i="234"/>
  <c r="F242" i="234"/>
  <c r="F243" i="234"/>
  <c r="F244" i="234"/>
  <c r="F245" i="234"/>
  <c r="F246" i="234"/>
  <c r="F248" i="234"/>
  <c r="E251" i="234"/>
  <c r="H251" i="234"/>
  <c r="E252" i="234"/>
  <c r="H252" i="234"/>
  <c r="E253" i="234"/>
  <c r="F253" i="234"/>
  <c r="H253" i="234"/>
  <c r="E254" i="234"/>
  <c r="H254" i="234"/>
  <c r="F255" i="234"/>
  <c r="I255" i="234"/>
  <c r="J255" i="234"/>
  <c r="F256" i="234"/>
  <c r="I256" i="234"/>
  <c r="J256" i="234"/>
  <c r="F257" i="234"/>
  <c r="I257" i="234"/>
  <c r="J257" i="234"/>
  <c r="F258" i="234"/>
  <c r="I258" i="234"/>
  <c r="J258" i="234"/>
  <c r="F259" i="234"/>
  <c r="I259" i="234"/>
  <c r="J259" i="234"/>
  <c r="F260" i="234"/>
  <c r="I260" i="234"/>
  <c r="J260" i="234"/>
  <c r="F261" i="234"/>
  <c r="I261" i="234"/>
  <c r="J261" i="234"/>
  <c r="F262" i="234"/>
  <c r="I262" i="234"/>
  <c r="J262" i="234"/>
  <c r="F263" i="234"/>
  <c r="I263" i="234"/>
  <c r="J263" i="234"/>
  <c r="F264" i="234"/>
  <c r="I264" i="234"/>
  <c r="J264" i="234"/>
  <c r="E268" i="234"/>
  <c r="H268" i="234"/>
  <c r="E269" i="234"/>
  <c r="H269" i="234"/>
  <c r="F270" i="234"/>
  <c r="I270" i="234"/>
  <c r="J270" i="234"/>
  <c r="F271" i="234"/>
  <c r="I271" i="234"/>
  <c r="J271" i="234"/>
  <c r="F272" i="234"/>
  <c r="I272" i="234"/>
  <c r="J272" i="234"/>
  <c r="F273" i="234"/>
  <c r="I273" i="234"/>
  <c r="J273" i="234"/>
  <c r="F274" i="234"/>
  <c r="I274" i="234"/>
  <c r="J274" i="234"/>
  <c r="E277" i="234"/>
  <c r="H277" i="234"/>
  <c r="E278" i="234"/>
  <c r="H278" i="234"/>
  <c r="E279" i="234"/>
  <c r="F279" i="234"/>
  <c r="F280" i="234"/>
  <c r="F281" i="234"/>
  <c r="F282" i="234"/>
  <c r="F283" i="234"/>
  <c r="I283" i="234"/>
  <c r="J283" i="234"/>
  <c r="F284" i="234"/>
  <c r="I284" i="234"/>
  <c r="J284" i="234"/>
  <c r="E287" i="234"/>
  <c r="E311" i="234" s="1"/>
  <c r="F287" i="234"/>
  <c r="H287" i="234"/>
  <c r="H311" i="234" s="1"/>
  <c r="I287" i="234"/>
  <c r="J287" i="234"/>
  <c r="E288" i="234"/>
  <c r="F288" i="234"/>
  <c r="H288" i="234"/>
  <c r="I288" i="234"/>
  <c r="J288" i="234"/>
  <c r="F289" i="234"/>
  <c r="H289" i="234"/>
  <c r="I289" i="234"/>
  <c r="J289" i="234"/>
  <c r="E290" i="234"/>
  <c r="F290" i="234"/>
  <c r="H290" i="234"/>
  <c r="I290" i="234"/>
  <c r="J290" i="234"/>
  <c r="F291" i="234"/>
  <c r="H291" i="234"/>
  <c r="I291" i="234"/>
  <c r="J291" i="234"/>
  <c r="F292" i="234"/>
  <c r="H292" i="234"/>
  <c r="I292" i="234"/>
  <c r="J292" i="234"/>
  <c r="E293" i="234"/>
  <c r="F293" i="234"/>
  <c r="H293" i="234"/>
  <c r="I293" i="234"/>
  <c r="J293" i="234"/>
  <c r="E294" i="234"/>
  <c r="F294" i="234"/>
  <c r="H294" i="234"/>
  <c r="I294" i="234"/>
  <c r="J294" i="234"/>
  <c r="E295" i="234"/>
  <c r="H295" i="234"/>
  <c r="I295" i="234"/>
  <c r="J295" i="234"/>
  <c r="E296" i="234"/>
  <c r="F296" i="234"/>
  <c r="H296" i="234"/>
  <c r="I296" i="234"/>
  <c r="J296" i="234"/>
  <c r="F297" i="234"/>
  <c r="H297" i="234"/>
  <c r="I297" i="234"/>
  <c r="J297" i="234"/>
  <c r="F298" i="234"/>
  <c r="I298" i="234"/>
  <c r="J298" i="234"/>
  <c r="E299" i="234"/>
  <c r="F299" i="234"/>
  <c r="H299" i="234"/>
  <c r="I299" i="234"/>
  <c r="J299" i="234"/>
  <c r="F300" i="234"/>
  <c r="H300" i="234"/>
  <c r="I300" i="234"/>
  <c r="J300" i="234"/>
  <c r="F301" i="234"/>
  <c r="I301" i="234"/>
  <c r="J301" i="234"/>
  <c r="I302" i="234"/>
  <c r="J302" i="234"/>
  <c r="F303" i="234"/>
  <c r="I303" i="234"/>
  <c r="J303" i="234"/>
  <c r="F304" i="234"/>
  <c r="I304" i="234"/>
  <c r="J304" i="234"/>
  <c r="F305" i="234"/>
  <c r="I305" i="234"/>
  <c r="J305" i="234"/>
  <c r="F306" i="234"/>
  <c r="I306" i="234"/>
  <c r="J306" i="234"/>
  <c r="F307" i="234"/>
  <c r="I307" i="234"/>
  <c r="J307" i="234"/>
  <c r="F308" i="234"/>
  <c r="I308" i="234"/>
  <c r="J308" i="234"/>
  <c r="F309" i="234"/>
  <c r="I309" i="234"/>
  <c r="J309" i="234"/>
  <c r="F310" i="234"/>
  <c r="I310" i="234"/>
  <c r="J310" i="234"/>
  <c r="E313" i="234"/>
  <c r="E337" i="234" s="1"/>
  <c r="F313" i="234"/>
  <c r="H313" i="234"/>
  <c r="H337" i="234" s="1"/>
  <c r="F314" i="234"/>
  <c r="F315" i="234"/>
  <c r="F316" i="234"/>
  <c r="F317" i="234"/>
  <c r="F329" i="234"/>
  <c r="F330" i="234"/>
  <c r="F331" i="234"/>
  <c r="F332" i="234"/>
  <c r="F333" i="234"/>
  <c r="F334" i="234"/>
  <c r="F335" i="234"/>
  <c r="F336" i="234"/>
  <c r="E339" i="234"/>
  <c r="F339" i="234"/>
  <c r="H339" i="234"/>
  <c r="I339" i="234"/>
  <c r="J339" i="234"/>
  <c r="E340" i="234"/>
  <c r="F340" i="234"/>
  <c r="H340" i="234"/>
  <c r="I340" i="234"/>
  <c r="J340" i="234"/>
  <c r="I341" i="234"/>
  <c r="J341" i="234"/>
  <c r="I342" i="234"/>
  <c r="J342" i="234"/>
  <c r="E352" i="234"/>
  <c r="H352" i="234"/>
  <c r="E353" i="234"/>
  <c r="H353" i="234"/>
  <c r="E354" i="234"/>
  <c r="H354" i="234"/>
  <c r="E355" i="234"/>
  <c r="H355" i="234"/>
  <c r="E356" i="234"/>
  <c r="H356" i="234"/>
  <c r="E357" i="234"/>
  <c r="H357" i="234"/>
  <c r="E358" i="234"/>
  <c r="H358" i="234"/>
  <c r="E359" i="234"/>
  <c r="F359" i="234"/>
  <c r="H359" i="234"/>
  <c r="F360" i="234"/>
  <c r="F361" i="234"/>
  <c r="F362" i="234"/>
  <c r="F363" i="234"/>
  <c r="F364" i="234"/>
  <c r="F365" i="234"/>
  <c r="F366" i="234"/>
  <c r="F367" i="234"/>
  <c r="F368" i="234"/>
  <c r="F369" i="234"/>
  <c r="E372" i="234"/>
  <c r="F372" i="234"/>
  <c r="H372" i="234"/>
  <c r="E373" i="234"/>
  <c r="F373" i="234"/>
  <c r="H373" i="234"/>
  <c r="E374" i="234"/>
  <c r="F374" i="234"/>
  <c r="H374" i="234"/>
  <c r="E375" i="234"/>
  <c r="F375" i="234"/>
  <c r="H375" i="234"/>
  <c r="E376" i="234"/>
  <c r="F376" i="234"/>
  <c r="H376" i="234"/>
  <c r="E377" i="234"/>
  <c r="F377" i="234"/>
  <c r="H377" i="234"/>
  <c r="E378" i="234"/>
  <c r="F378" i="234"/>
  <c r="H378" i="234"/>
  <c r="E379" i="234"/>
  <c r="F379" i="234"/>
  <c r="H379" i="234"/>
  <c r="F380" i="234"/>
  <c r="F381" i="234"/>
  <c r="F383" i="234"/>
  <c r="F384" i="234"/>
  <c r="F385" i="234"/>
  <c r="F389" i="234"/>
  <c r="E394" i="234"/>
  <c r="H394" i="234"/>
  <c r="E395" i="234"/>
  <c r="H395" i="234"/>
  <c r="E396" i="234"/>
  <c r="H396" i="234"/>
  <c r="E397" i="234"/>
  <c r="H397" i="234"/>
  <c r="E398" i="234"/>
  <c r="H398" i="234"/>
  <c r="E399" i="234"/>
  <c r="H399" i="234"/>
  <c r="E400" i="234"/>
  <c r="H400" i="234"/>
  <c r="E401" i="234"/>
  <c r="H401" i="234"/>
  <c r="E402" i="234"/>
  <c r="F402" i="234"/>
  <c r="H402" i="234"/>
  <c r="E403" i="234"/>
  <c r="H403" i="234"/>
  <c r="E404" i="234"/>
  <c r="H404" i="234"/>
  <c r="E405" i="234"/>
  <c r="H405" i="234"/>
  <c r="H406" i="234"/>
  <c r="H407" i="234"/>
  <c r="E408" i="234"/>
  <c r="H408" i="234"/>
  <c r="E409" i="234"/>
  <c r="H409" i="234"/>
  <c r="F410" i="234"/>
  <c r="F411" i="234"/>
  <c r="F412" i="234"/>
  <c r="F413" i="234"/>
  <c r="F414" i="234"/>
  <c r="F415" i="234"/>
  <c r="F417" i="234"/>
  <c r="F418" i="234"/>
  <c r="E421" i="234"/>
  <c r="H421" i="234"/>
  <c r="E422" i="234"/>
  <c r="H422" i="234"/>
  <c r="E423" i="234"/>
  <c r="F423" i="234"/>
  <c r="H423" i="234"/>
  <c r="E424" i="234"/>
  <c r="H424" i="234"/>
  <c r="F428" i="234"/>
  <c r="E438" i="234"/>
  <c r="H438" i="234"/>
  <c r="E439" i="234"/>
  <c r="H439" i="234"/>
  <c r="F440" i="234"/>
  <c r="I445" i="234"/>
  <c r="J445" i="234"/>
  <c r="F441" i="234"/>
  <c r="F442" i="234"/>
  <c r="F443" i="234"/>
  <c r="F444" i="234"/>
  <c r="E447" i="234"/>
  <c r="H447" i="234"/>
  <c r="E448" i="234"/>
  <c r="H448" i="234"/>
  <c r="E449" i="234"/>
  <c r="F449" i="234"/>
  <c r="F450" i="234"/>
  <c r="F451" i="234"/>
  <c r="F452" i="234"/>
  <c r="F453" i="234"/>
  <c r="F454" i="234"/>
  <c r="E457" i="234"/>
  <c r="H457" i="234"/>
  <c r="E458" i="234"/>
  <c r="H458" i="234"/>
  <c r="E459" i="234"/>
  <c r="F459" i="234"/>
  <c r="H459" i="234"/>
  <c r="E460" i="234"/>
  <c r="H460" i="234"/>
  <c r="E461" i="234"/>
  <c r="F461" i="234"/>
  <c r="H461" i="234"/>
  <c r="E462" i="234"/>
  <c r="H462" i="234"/>
  <c r="E463" i="234"/>
  <c r="H463" i="234"/>
  <c r="E464" i="234"/>
  <c r="H464" i="234"/>
  <c r="E465" i="234"/>
  <c r="H465" i="234"/>
  <c r="E466" i="234"/>
  <c r="H466" i="234"/>
  <c r="F467" i="234"/>
  <c r="H467" i="234"/>
  <c r="F468" i="234"/>
  <c r="E469" i="234"/>
  <c r="F469" i="234"/>
  <c r="H469" i="234"/>
  <c r="F470" i="234"/>
  <c r="H470" i="234"/>
  <c r="F473" i="234"/>
  <c r="F474" i="234"/>
  <c r="F475" i="234"/>
  <c r="F476" i="234"/>
  <c r="F477" i="234"/>
  <c r="F478" i="234"/>
  <c r="F479" i="234"/>
  <c r="F480" i="234"/>
  <c r="E483" i="234"/>
  <c r="E507" i="234" s="1"/>
  <c r="H483" i="234"/>
  <c r="H507" i="234" s="1"/>
  <c r="F484" i="234"/>
  <c r="F485" i="234"/>
  <c r="F486" i="234"/>
  <c r="F487" i="234"/>
  <c r="F495" i="234"/>
  <c r="F496" i="234"/>
  <c r="F497" i="234"/>
  <c r="F498" i="234"/>
  <c r="F499" i="234"/>
  <c r="F500" i="234"/>
  <c r="F501" i="234"/>
  <c r="F503" i="234"/>
  <c r="F504" i="234"/>
  <c r="F505" i="234"/>
  <c r="E509" i="234"/>
  <c r="F509" i="234"/>
  <c r="H509" i="234"/>
  <c r="E510" i="234"/>
  <c r="F510" i="234"/>
  <c r="F512" i="234" s="1"/>
  <c r="H510" i="234"/>
  <c r="E511" i="234"/>
  <c r="H511" i="234"/>
  <c r="Q109" i="237" l="1"/>
  <c r="L109" i="234" s="1"/>
  <c r="Q71" i="237"/>
  <c r="L71" i="234" s="1"/>
  <c r="Q88" i="237"/>
  <c r="L88" i="234" s="1"/>
  <c r="Q93" i="237"/>
  <c r="L93" i="234" s="1"/>
  <c r="Q76" i="237"/>
  <c r="L76" i="234" s="1"/>
  <c r="Q26" i="237"/>
  <c r="L26" i="234" s="1"/>
  <c r="Q135" i="237"/>
  <c r="L135" i="234" s="1"/>
  <c r="Q144" i="237"/>
  <c r="Q127" i="237"/>
  <c r="L127" i="234" s="1"/>
  <c r="Q132" i="237"/>
  <c r="L132" i="234" s="1"/>
  <c r="Q27" i="237"/>
  <c r="L27" i="234" s="1"/>
  <c r="Q24" i="237"/>
  <c r="L24" i="234" s="1"/>
  <c r="Q166" i="237"/>
  <c r="Q130" i="237"/>
  <c r="L130" i="234" s="1"/>
  <c r="Q138" i="237"/>
  <c r="L138" i="234" s="1"/>
  <c r="Q107" i="237"/>
  <c r="L107" i="234" s="1"/>
  <c r="Q89" i="237"/>
  <c r="L89" i="234" s="1"/>
  <c r="Q347" i="237"/>
  <c r="L342" i="234" s="1"/>
  <c r="L339" i="234"/>
  <c r="Q145" i="237"/>
  <c r="Q136" i="237"/>
  <c r="L136" i="234" s="1"/>
  <c r="Q72" i="237"/>
  <c r="L72" i="234" s="1"/>
  <c r="Q103" i="237"/>
  <c r="L103" i="234" s="1"/>
  <c r="Q110" i="237"/>
  <c r="L110" i="234" s="1"/>
  <c r="Q395" i="237"/>
  <c r="L390" i="234" s="1"/>
  <c r="Q113" i="237"/>
  <c r="L113" i="234" s="1"/>
  <c r="Q46" i="237"/>
  <c r="L46" i="234" s="1"/>
  <c r="Q39" i="237"/>
  <c r="L39" i="234" s="1"/>
  <c r="Q21" i="237"/>
  <c r="L21" i="234" s="1"/>
  <c r="M81" i="235"/>
  <c r="E54" i="235"/>
  <c r="O15" i="241"/>
  <c r="E285" i="235"/>
  <c r="K58" i="241"/>
  <c r="K66" i="241"/>
  <c r="O455" i="235"/>
  <c r="M64" i="241"/>
  <c r="L285" i="235"/>
  <c r="I275" i="235"/>
  <c r="L150" i="235"/>
  <c r="Q349" i="240"/>
  <c r="O342" i="234" s="1"/>
  <c r="O340" i="234"/>
  <c r="Q48" i="240"/>
  <c r="O48" i="234" s="1"/>
  <c r="Q46" i="240"/>
  <c r="O46" i="234" s="1"/>
  <c r="Q45" i="240"/>
  <c r="O45" i="234" s="1"/>
  <c r="Q42" i="240"/>
  <c r="O42" i="234" s="1"/>
  <c r="Q41" i="240"/>
  <c r="O41" i="234" s="1"/>
  <c r="Q172" i="240"/>
  <c r="Q94" i="240"/>
  <c r="O93" i="234" s="1"/>
  <c r="Q40" i="240"/>
  <c r="O40" i="234" s="1"/>
  <c r="Q39" i="240"/>
  <c r="O39" i="234" s="1"/>
  <c r="Q38" i="240"/>
  <c r="O38" i="234" s="1"/>
  <c r="Q37" i="240"/>
  <c r="O37" i="234" s="1"/>
  <c r="Q34" i="240"/>
  <c r="O34" i="234" s="1"/>
  <c r="Q33" i="240"/>
  <c r="O33" i="234" s="1"/>
  <c r="Q108" i="240"/>
  <c r="O107" i="234" s="1"/>
  <c r="Q32" i="240"/>
  <c r="O32" i="234" s="1"/>
  <c r="Q31" i="240"/>
  <c r="O31" i="234" s="1"/>
  <c r="Q28" i="240"/>
  <c r="O28" i="234" s="1"/>
  <c r="Q25" i="240"/>
  <c r="O25" i="234" s="1"/>
  <c r="Q24" i="240"/>
  <c r="O24" i="234" s="1"/>
  <c r="Q397" i="240"/>
  <c r="O390" i="234" s="1"/>
  <c r="Q87" i="240"/>
  <c r="O86" i="234" s="1"/>
  <c r="Q23" i="240"/>
  <c r="O23" i="234" s="1"/>
  <c r="Q22" i="240"/>
  <c r="O22" i="234" s="1"/>
  <c r="Q21" i="240"/>
  <c r="O21" i="234" s="1"/>
  <c r="Q20" i="240"/>
  <c r="O20" i="234" s="1"/>
  <c r="Q70" i="240"/>
  <c r="O69" i="234" s="1"/>
  <c r="Q44" i="240"/>
  <c r="O44" i="234" s="1"/>
  <c r="Q138" i="240"/>
  <c r="O137" i="234" s="1"/>
  <c r="Q137" i="240"/>
  <c r="O136" i="234" s="1"/>
  <c r="Q128" i="240"/>
  <c r="O127" i="234" s="1"/>
  <c r="Q111" i="240"/>
  <c r="O110" i="234" s="1"/>
  <c r="Q36" i="240"/>
  <c r="O36" i="234" s="1"/>
  <c r="Q133" i="240"/>
  <c r="O132" i="234" s="1"/>
  <c r="Q113" i="240"/>
  <c r="O112" i="234" s="1"/>
  <c r="Q109" i="240"/>
  <c r="O108" i="234" s="1"/>
  <c r="Q27" i="240"/>
  <c r="O27" i="234" s="1"/>
  <c r="O151" i="235"/>
  <c r="G147" i="235"/>
  <c r="Q317" i="239"/>
  <c r="N311" i="234" s="1"/>
  <c r="Q349" i="239"/>
  <c r="N342" i="234" s="1"/>
  <c r="Q345" i="239"/>
  <c r="N337" i="234" s="1"/>
  <c r="H49" i="239"/>
  <c r="Q78" i="239"/>
  <c r="N77" i="234" s="1"/>
  <c r="Q72" i="239"/>
  <c r="N71" i="234" s="1"/>
  <c r="Q38" i="239"/>
  <c r="N38" i="234" s="1"/>
  <c r="Q87" i="239"/>
  <c r="N86" i="234" s="1"/>
  <c r="Q71" i="239"/>
  <c r="N70" i="234" s="1"/>
  <c r="Q32" i="239"/>
  <c r="N32" i="234" s="1"/>
  <c r="Q74" i="239"/>
  <c r="N73" i="234" s="1"/>
  <c r="Q43" i="239"/>
  <c r="N43" i="234" s="1"/>
  <c r="P49" i="239"/>
  <c r="Q36" i="239"/>
  <c r="N36" i="234" s="1"/>
  <c r="Q26" i="239"/>
  <c r="N26" i="234" s="1"/>
  <c r="Q89" i="239"/>
  <c r="N88" i="234" s="1"/>
  <c r="Q86" i="239"/>
  <c r="N85" i="234" s="1"/>
  <c r="Q27" i="239"/>
  <c r="N27" i="234" s="1"/>
  <c r="Q44" i="239"/>
  <c r="N44" i="234" s="1"/>
  <c r="J50" i="243"/>
  <c r="L50" i="243"/>
  <c r="F52" i="243"/>
  <c r="F75" i="243" s="1"/>
  <c r="F76" i="243" s="1"/>
  <c r="F77" i="243" s="1"/>
  <c r="G11" i="241"/>
  <c r="K52" i="243"/>
  <c r="K75" i="243" s="1"/>
  <c r="O76" i="243"/>
  <c r="O77" i="243" s="1"/>
  <c r="O377" i="241"/>
  <c r="O398" i="241" s="1"/>
  <c r="F16" i="241"/>
  <c r="J76" i="243"/>
  <c r="J77" i="243" s="1"/>
  <c r="K54" i="241"/>
  <c r="N52" i="243"/>
  <c r="N75" i="243" s="1"/>
  <c r="N76" i="243" s="1"/>
  <c r="N77" i="243" s="1"/>
  <c r="Q345" i="241"/>
  <c r="I17" i="241"/>
  <c r="I13" i="241"/>
  <c r="N49" i="241"/>
  <c r="F49" i="241"/>
  <c r="J117" i="234"/>
  <c r="J275" i="234"/>
  <c r="I265" i="234"/>
  <c r="I435" i="234"/>
  <c r="J265" i="234"/>
  <c r="J150" i="235"/>
  <c r="M50" i="243"/>
  <c r="I435" i="235"/>
  <c r="N445" i="235"/>
  <c r="I219" i="235"/>
  <c r="E199" i="235"/>
  <c r="E220" i="235" s="1"/>
  <c r="Q189" i="235"/>
  <c r="F189" i="234" s="1"/>
  <c r="L455" i="235"/>
  <c r="K219" i="235"/>
  <c r="I445" i="235"/>
  <c r="J285" i="235"/>
  <c r="E114" i="234"/>
  <c r="M149" i="235"/>
  <c r="J164" i="234"/>
  <c r="J163" i="234"/>
  <c r="J161" i="234"/>
  <c r="I77" i="234"/>
  <c r="I102" i="234"/>
  <c r="I76" i="234"/>
  <c r="I118" i="234"/>
  <c r="I111" i="234"/>
  <c r="I117" i="234"/>
  <c r="K117" i="234" s="1"/>
  <c r="I93" i="234"/>
  <c r="J32" i="234"/>
  <c r="J21" i="234"/>
  <c r="K145" i="234"/>
  <c r="I128" i="234"/>
  <c r="I119" i="234"/>
  <c r="I113" i="234"/>
  <c r="J38" i="234"/>
  <c r="I134" i="234"/>
  <c r="I112" i="234"/>
  <c r="J112" i="234"/>
  <c r="I123" i="234"/>
  <c r="I116" i="234"/>
  <c r="I101" i="234"/>
  <c r="K143" i="234"/>
  <c r="I120" i="234"/>
  <c r="I110" i="234"/>
  <c r="I122" i="234"/>
  <c r="I109" i="234"/>
  <c r="K109" i="234" s="1"/>
  <c r="J25" i="234"/>
  <c r="J24" i="234"/>
  <c r="J22" i="234"/>
  <c r="J23" i="234"/>
  <c r="J20" i="234"/>
  <c r="I99" i="234"/>
  <c r="I100" i="234"/>
  <c r="J89" i="234"/>
  <c r="I88" i="234"/>
  <c r="I90" i="234"/>
  <c r="I85" i="234"/>
  <c r="I89" i="234"/>
  <c r="I87" i="234"/>
  <c r="I86" i="234"/>
  <c r="I164" i="234"/>
  <c r="Q156" i="236"/>
  <c r="K144" i="234"/>
  <c r="I139" i="234"/>
  <c r="K139" i="234" s="1"/>
  <c r="I121" i="234"/>
  <c r="I108" i="234"/>
  <c r="I91" i="234"/>
  <c r="Q38" i="236"/>
  <c r="I36" i="234"/>
  <c r="Q340" i="236"/>
  <c r="J171" i="234"/>
  <c r="J37" i="234"/>
  <c r="Q679" i="236"/>
  <c r="Q137" i="236"/>
  <c r="Q130" i="236"/>
  <c r="Q116" i="236"/>
  <c r="Q100" i="236"/>
  <c r="Q31" i="236"/>
  <c r="I21" i="234"/>
  <c r="I163" i="234"/>
  <c r="Q123" i="236"/>
  <c r="I32" i="234"/>
  <c r="I27" i="234"/>
  <c r="K27" i="234" s="1"/>
  <c r="I26" i="234"/>
  <c r="K26" i="234" s="1"/>
  <c r="I25" i="234"/>
  <c r="I24" i="234"/>
  <c r="I23" i="234"/>
  <c r="I162" i="234"/>
  <c r="K162" i="234" s="1"/>
  <c r="I124" i="234"/>
  <c r="Q537" i="236"/>
  <c r="I38" i="234"/>
  <c r="I37" i="234"/>
  <c r="I35" i="234"/>
  <c r="I34" i="234"/>
  <c r="K34" i="234" s="1"/>
  <c r="I33" i="234"/>
  <c r="I28" i="234"/>
  <c r="K28" i="234" s="1"/>
  <c r="I161" i="234"/>
  <c r="J100" i="234"/>
  <c r="J36" i="234"/>
  <c r="J35" i="234"/>
  <c r="J33" i="234"/>
  <c r="J101" i="234"/>
  <c r="J99" i="234"/>
  <c r="J93" i="234"/>
  <c r="J92" i="234"/>
  <c r="K92" i="234" s="1"/>
  <c r="J91" i="234"/>
  <c r="J90" i="234"/>
  <c r="J88" i="234"/>
  <c r="J87" i="234"/>
  <c r="J86" i="234"/>
  <c r="J85" i="234"/>
  <c r="J77" i="234"/>
  <c r="J76" i="234"/>
  <c r="J131" i="234"/>
  <c r="J130" i="234"/>
  <c r="J129" i="234"/>
  <c r="J128" i="234"/>
  <c r="J127" i="234"/>
  <c r="J126" i="234"/>
  <c r="J125" i="234"/>
  <c r="J116" i="234"/>
  <c r="J113" i="234"/>
  <c r="J111" i="234"/>
  <c r="J110" i="234"/>
  <c r="J108" i="234"/>
  <c r="I103" i="234"/>
  <c r="J102" i="234"/>
  <c r="J138" i="234"/>
  <c r="J136" i="234"/>
  <c r="J135" i="234"/>
  <c r="J134" i="234"/>
  <c r="J133" i="234"/>
  <c r="J124" i="234"/>
  <c r="J123" i="234"/>
  <c r="J122" i="234"/>
  <c r="J121" i="234"/>
  <c r="J120" i="234"/>
  <c r="J119" i="234"/>
  <c r="J118" i="234"/>
  <c r="I165" i="234"/>
  <c r="K165" i="234" s="1"/>
  <c r="I131" i="234"/>
  <c r="I130" i="234"/>
  <c r="I127" i="234"/>
  <c r="I126" i="234"/>
  <c r="I125" i="234"/>
  <c r="Q162" i="236"/>
  <c r="I160" i="234"/>
  <c r="I138" i="234"/>
  <c r="I137" i="234"/>
  <c r="K137" i="234" s="1"/>
  <c r="I136" i="234"/>
  <c r="I135" i="234"/>
  <c r="I133" i="234"/>
  <c r="Q45" i="236"/>
  <c r="J19" i="234"/>
  <c r="Q21" i="236"/>
  <c r="K168" i="234"/>
  <c r="K156" i="234"/>
  <c r="Q154" i="236"/>
  <c r="K153" i="234"/>
  <c r="I82" i="234"/>
  <c r="J82" i="234"/>
  <c r="I84" i="234"/>
  <c r="J84" i="234"/>
  <c r="K496" i="234"/>
  <c r="K243" i="234"/>
  <c r="K468" i="234"/>
  <c r="K399" i="234"/>
  <c r="K477" i="234"/>
  <c r="K454" i="234"/>
  <c r="K297" i="234"/>
  <c r="K282" i="234"/>
  <c r="K273" i="234"/>
  <c r="K270" i="234"/>
  <c r="K254" i="234"/>
  <c r="K288" i="234"/>
  <c r="K472" i="234"/>
  <c r="K416" i="234"/>
  <c r="K498" i="234"/>
  <c r="K465" i="234"/>
  <c r="Q32" i="236"/>
  <c r="Q23" i="236"/>
  <c r="M139" i="236"/>
  <c r="Q158" i="236"/>
  <c r="Q132" i="236"/>
  <c r="Q117" i="236"/>
  <c r="Q81" i="236"/>
  <c r="Q27" i="236"/>
  <c r="I31" i="234"/>
  <c r="K31" i="234" s="1"/>
  <c r="N139" i="236"/>
  <c r="O283" i="236"/>
  <c r="Q168" i="236"/>
  <c r="Q128" i="236"/>
  <c r="Q44" i="236"/>
  <c r="Q22" i="236"/>
  <c r="K505" i="234"/>
  <c r="K155" i="234"/>
  <c r="J103" i="234"/>
  <c r="Q155" i="236"/>
  <c r="Q153" i="236"/>
  <c r="Q145" i="236"/>
  <c r="K139" i="236"/>
  <c r="Q164" i="236"/>
  <c r="Q150" i="236"/>
  <c r="Q136" i="236"/>
  <c r="Q126" i="236"/>
  <c r="Q124" i="236"/>
  <c r="J139" i="236"/>
  <c r="Q108" i="236"/>
  <c r="Q102" i="236"/>
  <c r="Q47" i="236"/>
  <c r="Q160" i="236"/>
  <c r="Q107" i="236"/>
  <c r="Q99" i="236"/>
  <c r="Q28" i="236"/>
  <c r="I22" i="234"/>
  <c r="Q89" i="236"/>
  <c r="K458" i="234"/>
  <c r="I129" i="234"/>
  <c r="Q509" i="236"/>
  <c r="Q40" i="236"/>
  <c r="Q37" i="236"/>
  <c r="K197" i="234"/>
  <c r="K252" i="234"/>
  <c r="K236" i="234"/>
  <c r="K191" i="234"/>
  <c r="K301" i="234"/>
  <c r="K467" i="234"/>
  <c r="K397" i="234"/>
  <c r="K274" i="234"/>
  <c r="K374" i="234"/>
  <c r="K298" i="234"/>
  <c r="K283" i="234"/>
  <c r="K387" i="234"/>
  <c r="K383" i="234"/>
  <c r="K277" i="234"/>
  <c r="K289" i="234"/>
  <c r="K280" i="234"/>
  <c r="K415" i="234"/>
  <c r="K304" i="234"/>
  <c r="K442" i="234"/>
  <c r="K292" i="234"/>
  <c r="K398" i="234"/>
  <c r="K230" i="234"/>
  <c r="K201" i="234"/>
  <c r="K207" i="234"/>
  <c r="K509" i="234"/>
  <c r="K453" i="234"/>
  <c r="K450" i="234"/>
  <c r="K411" i="234"/>
  <c r="K295" i="234"/>
  <c r="K234" i="234"/>
  <c r="K339" i="234"/>
  <c r="K296" i="234"/>
  <c r="K203" i="234"/>
  <c r="K485" i="234"/>
  <c r="K238" i="234"/>
  <c r="K227" i="234"/>
  <c r="K365" i="234"/>
  <c r="K231" i="234"/>
  <c r="K502" i="234"/>
  <c r="K434" i="234"/>
  <c r="K290" i="234"/>
  <c r="K213" i="234"/>
  <c r="K256" i="234"/>
  <c r="K253" i="234"/>
  <c r="K497" i="234"/>
  <c r="K427" i="234"/>
  <c r="K368" i="234"/>
  <c r="K248" i="234"/>
  <c r="K500" i="234"/>
  <c r="K402" i="234"/>
  <c r="K510" i="234"/>
  <c r="K429" i="234"/>
  <c r="K263" i="234"/>
  <c r="K385" i="234"/>
  <c r="K302" i="234"/>
  <c r="K214" i="234"/>
  <c r="J75" i="234"/>
  <c r="K75" i="234" s="1"/>
  <c r="I19" i="234"/>
  <c r="I18" i="234"/>
  <c r="K18" i="234" s="1"/>
  <c r="K188" i="234"/>
  <c r="K376" i="234"/>
  <c r="K469" i="234"/>
  <c r="K460" i="234"/>
  <c r="K424" i="234"/>
  <c r="K418" i="234"/>
  <c r="K388" i="234"/>
  <c r="K384" i="234"/>
  <c r="K382" i="234"/>
  <c r="K342" i="234"/>
  <c r="K305" i="234"/>
  <c r="K303" i="234"/>
  <c r="K284" i="234"/>
  <c r="K269" i="234"/>
  <c r="K251" i="234"/>
  <c r="K211" i="234"/>
  <c r="K503" i="234"/>
  <c r="K433" i="234"/>
  <c r="K407" i="234"/>
  <c r="K300" i="234"/>
  <c r="K294" i="234"/>
  <c r="K432" i="234"/>
  <c r="K369" i="234"/>
  <c r="K264" i="234"/>
  <c r="K226" i="234"/>
  <c r="K364" i="234"/>
  <c r="K306" i="234"/>
  <c r="J219" i="234"/>
  <c r="I20" i="234"/>
  <c r="K484" i="234"/>
  <c r="K475" i="234"/>
  <c r="K470" i="234"/>
  <c r="K431" i="234"/>
  <c r="K409" i="234"/>
  <c r="K262" i="234"/>
  <c r="K257" i="234"/>
  <c r="K240" i="234"/>
  <c r="K487" i="234"/>
  <c r="K359" i="234"/>
  <c r="K244" i="234"/>
  <c r="K192" i="234"/>
  <c r="K271" i="234"/>
  <c r="K499" i="234"/>
  <c r="K476" i="234"/>
  <c r="K452" i="234"/>
  <c r="K241" i="234"/>
  <c r="K237" i="234"/>
  <c r="K233" i="234"/>
  <c r="K228" i="234"/>
  <c r="K206" i="234"/>
  <c r="K189" i="234"/>
  <c r="G377" i="241"/>
  <c r="G398" i="241" s="1"/>
  <c r="O50" i="243"/>
  <c r="M445" i="235"/>
  <c r="G455" i="235"/>
  <c r="E445" i="235"/>
  <c r="P416" i="236"/>
  <c r="E219" i="235"/>
  <c r="H455" i="235"/>
  <c r="L490" i="239"/>
  <c r="O66" i="241"/>
  <c r="H104" i="234"/>
  <c r="E342" i="234"/>
  <c r="K275" i="235"/>
  <c r="O275" i="235"/>
  <c r="J265" i="235"/>
  <c r="F265" i="235"/>
  <c r="O445" i="235"/>
  <c r="N435" i="235"/>
  <c r="N455" i="235"/>
  <c r="F455" i="235"/>
  <c r="K15" i="241"/>
  <c r="N337" i="235"/>
  <c r="L76" i="243"/>
  <c r="L77" i="243" s="1"/>
  <c r="H342" i="234"/>
  <c r="N674" i="236"/>
  <c r="E419" i="234"/>
  <c r="I370" i="235"/>
  <c r="I391" i="235" s="1"/>
  <c r="P249" i="235"/>
  <c r="M285" i="235"/>
  <c r="K273" i="236"/>
  <c r="E275" i="234"/>
  <c r="J184" i="234"/>
  <c r="O148" i="235"/>
  <c r="E94" i="234"/>
  <c r="E49" i="234"/>
  <c r="I455" i="235"/>
  <c r="F445" i="235"/>
  <c r="M370" i="235"/>
  <c r="M391" i="235" s="1"/>
  <c r="H249" i="235"/>
  <c r="H114" i="234"/>
  <c r="M435" i="235"/>
  <c r="H622" i="236"/>
  <c r="J38" i="242"/>
  <c r="J622" i="236"/>
  <c r="E455" i="235"/>
  <c r="Q186" i="235"/>
  <c r="F186" i="234" s="1"/>
  <c r="G622" i="236"/>
  <c r="G273" i="236"/>
  <c r="E512" i="234"/>
  <c r="G512" i="234" s="1"/>
  <c r="L49" i="235"/>
  <c r="J181" i="234"/>
  <c r="L18" i="241"/>
  <c r="H285" i="234"/>
  <c r="J445" i="235"/>
  <c r="M455" i="235"/>
  <c r="H455" i="234"/>
  <c r="G445" i="235"/>
  <c r="E419" i="235"/>
  <c r="J455" i="234"/>
  <c r="Q45" i="243"/>
  <c r="K9" i="242" s="1"/>
  <c r="F249" i="235"/>
  <c r="L507" i="235"/>
  <c r="E149" i="235"/>
  <c r="P131" i="235"/>
  <c r="Q131" i="235" s="1"/>
  <c r="F131" i="234" s="1"/>
  <c r="F435" i="235"/>
  <c r="P57" i="235"/>
  <c r="O54" i="235"/>
  <c r="M219" i="235"/>
  <c r="I183" i="234"/>
  <c r="M419" i="235"/>
  <c r="L454" i="240"/>
  <c r="E104" i="234"/>
  <c r="F285" i="235"/>
  <c r="J219" i="235"/>
  <c r="I622" i="236"/>
  <c r="J63" i="241"/>
  <c r="J59" i="241"/>
  <c r="M76" i="243"/>
  <c r="M77" i="243" s="1"/>
  <c r="I38" i="242"/>
  <c r="I37" i="242"/>
  <c r="Q63" i="243"/>
  <c r="K27" i="242" s="1"/>
  <c r="G16" i="242"/>
  <c r="G39" i="242" s="1"/>
  <c r="G38" i="242"/>
  <c r="G52" i="243"/>
  <c r="G75" i="243" s="1"/>
  <c r="G76" i="243" s="1"/>
  <c r="G77" i="243" s="1"/>
  <c r="J455" i="235"/>
  <c r="L219" i="235"/>
  <c r="H507" i="235"/>
  <c r="K481" i="235"/>
  <c r="N265" i="235"/>
  <c r="I612" i="236"/>
  <c r="J37" i="242"/>
  <c r="M205" i="239"/>
  <c r="M226" i="239" s="1"/>
  <c r="H275" i="234"/>
  <c r="L478" i="236"/>
  <c r="I76" i="243"/>
  <c r="I77" i="243" s="1"/>
  <c r="K507" i="235"/>
  <c r="Q490" i="235"/>
  <c r="F490" i="234" s="1"/>
  <c r="L124" i="235"/>
  <c r="L140" i="235" s="1"/>
  <c r="K455" i="235"/>
  <c r="Q228" i="235"/>
  <c r="F228" i="234" s="1"/>
  <c r="H199" i="234"/>
  <c r="M97" i="235"/>
  <c r="P390" i="235"/>
  <c r="Q390" i="235" s="1"/>
  <c r="Q232" i="235"/>
  <c r="F232" i="234" s="1"/>
  <c r="M263" i="236"/>
  <c r="N205" i="241"/>
  <c r="N226" i="241" s="1"/>
  <c r="Q74" i="243"/>
  <c r="K38" i="242" s="1"/>
  <c r="G31" i="242"/>
  <c r="H171" i="234"/>
  <c r="L265" i="235"/>
  <c r="J223" i="234"/>
  <c r="M432" i="236"/>
  <c r="J454" i="239"/>
  <c r="M674" i="236"/>
  <c r="E602" i="236"/>
  <c r="K557" i="236"/>
  <c r="K558" i="236" s="1"/>
  <c r="L247" i="236"/>
  <c r="I223" i="234"/>
  <c r="I186" i="234"/>
  <c r="J185" i="234"/>
  <c r="I184" i="234"/>
  <c r="I182" i="234"/>
  <c r="G377" i="240"/>
  <c r="G398" i="240" s="1"/>
  <c r="L273" i="236"/>
  <c r="I68" i="241"/>
  <c r="J507" i="234"/>
  <c r="P432" i="236"/>
  <c r="H432" i="236"/>
  <c r="I198" i="236"/>
  <c r="H444" i="240"/>
  <c r="K452" i="236"/>
  <c r="O452" i="236"/>
  <c r="J435" i="234"/>
  <c r="I335" i="236"/>
  <c r="I283" i="236"/>
  <c r="M283" i="236"/>
  <c r="E283" i="236"/>
  <c r="L377" i="239"/>
  <c r="L398" i="239" s="1"/>
  <c r="J12" i="241"/>
  <c r="L255" i="241"/>
  <c r="L272" i="241" s="1"/>
  <c r="Q188" i="241"/>
  <c r="P182" i="234" s="1"/>
  <c r="E478" i="236"/>
  <c r="K442" i="236"/>
  <c r="L61" i="241"/>
  <c r="L53" i="241"/>
  <c r="M13" i="241"/>
  <c r="E13" i="241"/>
  <c r="L205" i="241"/>
  <c r="L226" i="241" s="1"/>
  <c r="I504" i="236"/>
  <c r="N263" i="236"/>
  <c r="F263" i="236"/>
  <c r="I185" i="234"/>
  <c r="I181" i="234"/>
  <c r="G62" i="241"/>
  <c r="O54" i="241"/>
  <c r="G54" i="241"/>
  <c r="H18" i="241"/>
  <c r="P14" i="241"/>
  <c r="Q235" i="241"/>
  <c r="P229" i="234" s="1"/>
  <c r="K454" i="239"/>
  <c r="I255" i="240"/>
  <c r="I272" i="240" s="1"/>
  <c r="M490" i="240"/>
  <c r="N454" i="240"/>
  <c r="J444" i="240"/>
  <c r="Q73" i="243"/>
  <c r="K37" i="242" s="1"/>
  <c r="J22" i="242"/>
  <c r="Q56" i="243"/>
  <c r="K20" i="242" s="1"/>
  <c r="K21" i="242"/>
  <c r="J29" i="242"/>
  <c r="I50" i="243"/>
  <c r="Q65" i="243"/>
  <c r="K29" i="242" s="1"/>
  <c r="I29" i="242"/>
  <c r="K15" i="242"/>
  <c r="H52" i="243"/>
  <c r="H75" i="243" s="1"/>
  <c r="H76" i="243" s="1"/>
  <c r="H77" i="243" s="1"/>
  <c r="H50" i="243"/>
  <c r="P52" i="243"/>
  <c r="P75" i="243" s="1"/>
  <c r="P76" i="243" s="1"/>
  <c r="P77" i="243" s="1"/>
  <c r="P50" i="243"/>
  <c r="J11" i="242"/>
  <c r="J14" i="242"/>
  <c r="Q70" i="243"/>
  <c r="K34" i="242" s="1"/>
  <c r="K35" i="242"/>
  <c r="Q47" i="243"/>
  <c r="K11" i="242" s="1"/>
  <c r="I11" i="242"/>
  <c r="E52" i="243"/>
  <c r="I14" i="242"/>
  <c r="Q58" i="243"/>
  <c r="K22" i="242" s="1"/>
  <c r="I22" i="242"/>
  <c r="H14" i="242"/>
  <c r="H16" i="242"/>
  <c r="H39" i="242" s="1"/>
  <c r="H40" i="242" s="1"/>
  <c r="H41" i="242" s="1"/>
  <c r="J186" i="234"/>
  <c r="J182" i="234"/>
  <c r="G198" i="236"/>
  <c r="L205" i="239"/>
  <c r="L226" i="239" s="1"/>
  <c r="Q573" i="236"/>
  <c r="I187" i="234"/>
  <c r="N444" i="239"/>
  <c r="H377" i="240"/>
  <c r="H398" i="240" s="1"/>
  <c r="N59" i="241"/>
  <c r="F59" i="241"/>
  <c r="E674" i="236"/>
  <c r="G283" i="236"/>
  <c r="E263" i="236"/>
  <c r="F444" i="239"/>
  <c r="Q243" i="239"/>
  <c r="N237" i="234" s="1"/>
  <c r="M255" i="239"/>
  <c r="M272" i="239" s="1"/>
  <c r="O454" i="241"/>
  <c r="I64" i="241"/>
  <c r="M602" i="236"/>
  <c r="I285" i="234"/>
  <c r="J187" i="234"/>
  <c r="J183" i="234"/>
  <c r="L198" i="236"/>
  <c r="M234" i="234"/>
  <c r="Q194" i="239"/>
  <c r="N188" i="234" s="1"/>
  <c r="G454" i="241"/>
  <c r="E377" i="240"/>
  <c r="E398" i="240" s="1"/>
  <c r="J444" i="241"/>
  <c r="P377" i="241"/>
  <c r="P398" i="241" s="1"/>
  <c r="Q190" i="241"/>
  <c r="P184" i="234" s="1"/>
  <c r="F674" i="236"/>
  <c r="J557" i="236"/>
  <c r="J558" i="236" s="1"/>
  <c r="H335" i="236"/>
  <c r="P283" i="236"/>
  <c r="K247" i="236"/>
  <c r="O247" i="236"/>
  <c r="G247" i="236"/>
  <c r="E428" i="239"/>
  <c r="F454" i="240"/>
  <c r="N255" i="240"/>
  <c r="N272" i="240" s="1"/>
  <c r="G444" i="241"/>
  <c r="P612" i="236"/>
  <c r="H612" i="236"/>
  <c r="I557" i="236"/>
  <c r="I558" i="236" s="1"/>
  <c r="I442" i="236"/>
  <c r="K335" i="236"/>
  <c r="J247" i="236"/>
  <c r="G454" i="239"/>
  <c r="Q447" i="241"/>
  <c r="P438" i="234" s="1"/>
  <c r="F444" i="241"/>
  <c r="M56" i="241"/>
  <c r="E56" i="241"/>
  <c r="I586" i="236"/>
  <c r="I455" i="234"/>
  <c r="J452" i="236"/>
  <c r="H198" i="236"/>
  <c r="H255" i="240"/>
  <c r="H272" i="240" s="1"/>
  <c r="I454" i="241"/>
  <c r="P61" i="241"/>
  <c r="Q402" i="241"/>
  <c r="P395" i="234" s="1"/>
  <c r="M622" i="236"/>
  <c r="F612" i="236"/>
  <c r="M442" i="236"/>
  <c r="N283" i="236"/>
  <c r="F273" i="236"/>
  <c r="M612" i="236"/>
  <c r="P557" i="236"/>
  <c r="P558" i="236" s="1"/>
  <c r="H504" i="236"/>
  <c r="K478" i="236"/>
  <c r="J335" i="236"/>
  <c r="J217" i="236"/>
  <c r="I490" i="240"/>
  <c r="N612" i="236"/>
  <c r="J586" i="236"/>
  <c r="G557" i="236"/>
  <c r="G558" i="236" s="1"/>
  <c r="E442" i="236"/>
  <c r="K368" i="236"/>
  <c r="K388" i="236" s="1"/>
  <c r="F283" i="236"/>
  <c r="K217" i="236"/>
  <c r="J285" i="234"/>
  <c r="L612" i="236"/>
  <c r="P602" i="236"/>
  <c r="H602" i="236"/>
  <c r="O557" i="236"/>
  <c r="O558" i="236" s="1"/>
  <c r="J478" i="236"/>
  <c r="L283" i="236"/>
  <c r="M358" i="234"/>
  <c r="G444" i="240"/>
  <c r="N557" i="236"/>
  <c r="N558" i="236" s="1"/>
  <c r="L335" i="236"/>
  <c r="P335" i="236"/>
  <c r="M401" i="234"/>
  <c r="Q416" i="239"/>
  <c r="N409" i="234" s="1"/>
  <c r="Q411" i="239"/>
  <c r="N404" i="234" s="1"/>
  <c r="O454" i="240"/>
  <c r="G454" i="240"/>
  <c r="M377" i="240"/>
  <c r="M398" i="240" s="1"/>
  <c r="K504" i="236"/>
  <c r="N622" i="236"/>
  <c r="O612" i="236"/>
  <c r="G612" i="236"/>
  <c r="K602" i="236"/>
  <c r="H557" i="236"/>
  <c r="H558" i="236" s="1"/>
  <c r="J504" i="236"/>
  <c r="M478" i="236"/>
  <c r="O273" i="236"/>
  <c r="L217" i="236"/>
  <c r="O444" i="240"/>
  <c r="Q447" i="235"/>
  <c r="F447" i="234" s="1"/>
  <c r="K612" i="236"/>
  <c r="Q266" i="236"/>
  <c r="K444" i="239"/>
  <c r="Q233" i="239"/>
  <c r="N227" i="234" s="1"/>
  <c r="H377" i="241"/>
  <c r="H398" i="241" s="1"/>
  <c r="Q404" i="235"/>
  <c r="F430" i="234" s="1"/>
  <c r="N285" i="235"/>
  <c r="H57" i="235"/>
  <c r="J442" i="236"/>
  <c r="Q235" i="239"/>
  <c r="N229" i="234" s="1"/>
  <c r="Q408" i="235"/>
  <c r="F434" i="234" s="1"/>
  <c r="Q433" i="240"/>
  <c r="O424" i="234" s="1"/>
  <c r="I205" i="240"/>
  <c r="I226" i="240" s="1"/>
  <c r="E171" i="234"/>
  <c r="E452" i="236"/>
  <c r="L442" i="236"/>
  <c r="P442" i="236"/>
  <c r="O454" i="239"/>
  <c r="Q365" i="240"/>
  <c r="O358" i="234" s="1"/>
  <c r="Q408" i="241"/>
  <c r="P401" i="234" s="1"/>
  <c r="Q364" i="241"/>
  <c r="P357" i="234" s="1"/>
  <c r="Q119" i="235"/>
  <c r="F119" i="234" s="1"/>
  <c r="L452" i="236"/>
  <c r="Q356" i="236"/>
  <c r="Q365" i="241"/>
  <c r="P358" i="234" s="1"/>
  <c r="E435" i="234"/>
  <c r="P455" i="235"/>
  <c r="Q238" i="235"/>
  <c r="F238" i="234" s="1"/>
  <c r="P622" i="236"/>
  <c r="L622" i="236"/>
  <c r="G452" i="236"/>
  <c r="Q407" i="240"/>
  <c r="O400" i="234" s="1"/>
  <c r="N454" i="241"/>
  <c r="Q493" i="235"/>
  <c r="F493" i="234" s="1"/>
  <c r="Q354" i="235"/>
  <c r="F354" i="234" s="1"/>
  <c r="G217" i="236"/>
  <c r="M454" i="239"/>
  <c r="E454" i="239"/>
  <c r="Q363" i="239"/>
  <c r="N356" i="234" s="1"/>
  <c r="Q232" i="240"/>
  <c r="O226" i="234" s="1"/>
  <c r="H428" i="241"/>
  <c r="Q410" i="241"/>
  <c r="P403" i="234" s="1"/>
  <c r="G275" i="235"/>
  <c r="L432" i="236"/>
  <c r="Q351" i="236"/>
  <c r="Q283" i="240"/>
  <c r="O277" i="234" s="1"/>
  <c r="F454" i="241"/>
  <c r="O428" i="241"/>
  <c r="M409" i="234"/>
  <c r="M277" i="234"/>
  <c r="H390" i="234"/>
  <c r="E370" i="234"/>
  <c r="H94" i="234"/>
  <c r="H49" i="234"/>
  <c r="G507" i="235"/>
  <c r="P507" i="235"/>
  <c r="Q439" i="235"/>
  <c r="F439" i="234" s="1"/>
  <c r="L435" i="235"/>
  <c r="Q397" i="235"/>
  <c r="F397" i="234" s="1"/>
  <c r="K419" i="235"/>
  <c r="Q352" i="235"/>
  <c r="F352" i="234" s="1"/>
  <c r="L337" i="235"/>
  <c r="N153" i="235"/>
  <c r="F151" i="235"/>
  <c r="J97" i="235"/>
  <c r="M68" i="235"/>
  <c r="J67" i="235"/>
  <c r="O66" i="235"/>
  <c r="I199" i="235"/>
  <c r="M12" i="235"/>
  <c r="Q155" i="235"/>
  <c r="F155" i="234" s="1"/>
  <c r="K674" i="236"/>
  <c r="O674" i="236"/>
  <c r="G674" i="236"/>
  <c r="O622" i="236"/>
  <c r="O602" i="236"/>
  <c r="G602" i="236"/>
  <c r="I452" i="236"/>
  <c r="M452" i="236"/>
  <c r="N442" i="236"/>
  <c r="F442" i="236"/>
  <c r="P97" i="236"/>
  <c r="M247" i="236"/>
  <c r="E247" i="236"/>
  <c r="O217" i="236"/>
  <c r="O141" i="239"/>
  <c r="Q409" i="239"/>
  <c r="N402" i="234" s="1"/>
  <c r="Q405" i="239"/>
  <c r="N398" i="234" s="1"/>
  <c r="M428" i="239"/>
  <c r="Q401" i="239"/>
  <c r="N394" i="234" s="1"/>
  <c r="K377" i="239"/>
  <c r="K398" i="239" s="1"/>
  <c r="O377" i="239"/>
  <c r="O398" i="239" s="1"/>
  <c r="G377" i="239"/>
  <c r="G398" i="239" s="1"/>
  <c r="O98" i="239"/>
  <c r="O105" i="239" s="1"/>
  <c r="G98" i="239"/>
  <c r="G105" i="239" s="1"/>
  <c r="O61" i="239"/>
  <c r="G61" i="239"/>
  <c r="J454" i="240"/>
  <c r="M428" i="240"/>
  <c r="N377" i="240"/>
  <c r="N398" i="240" s="1"/>
  <c r="Q364" i="240"/>
  <c r="O357" i="234" s="1"/>
  <c r="J377" i="240"/>
  <c r="J398" i="240" s="1"/>
  <c r="N68" i="240"/>
  <c r="N60" i="240"/>
  <c r="F60" i="240"/>
  <c r="H140" i="234"/>
  <c r="E78" i="234"/>
  <c r="Q458" i="235"/>
  <c r="F458" i="234" s="1"/>
  <c r="K435" i="235"/>
  <c r="F419" i="235"/>
  <c r="J419" i="235"/>
  <c r="I337" i="235"/>
  <c r="M98" i="235"/>
  <c r="E98" i="235"/>
  <c r="I97" i="235"/>
  <c r="P81" i="235"/>
  <c r="H81" i="235"/>
  <c r="G249" i="235"/>
  <c r="J674" i="236"/>
  <c r="N602" i="236"/>
  <c r="F602" i="236"/>
  <c r="Q574" i="236"/>
  <c r="J48" i="236"/>
  <c r="P452" i="236"/>
  <c r="H452" i="236"/>
  <c r="K416" i="236"/>
  <c r="Q352" i="236"/>
  <c r="Q350" i="236"/>
  <c r="O335" i="236"/>
  <c r="N217" i="236"/>
  <c r="M466" i="234"/>
  <c r="L428" i="239"/>
  <c r="N377" i="239"/>
  <c r="N398" i="239" s="1"/>
  <c r="F377" i="239"/>
  <c r="F398" i="239" s="1"/>
  <c r="J62" i="239"/>
  <c r="Q410" i="240"/>
  <c r="O403" i="234" s="1"/>
  <c r="M68" i="240"/>
  <c r="I61" i="240"/>
  <c r="M60" i="240"/>
  <c r="H445" i="234"/>
  <c r="Q460" i="235"/>
  <c r="F460" i="234" s="1"/>
  <c r="P445" i="235"/>
  <c r="H445" i="235"/>
  <c r="Q400" i="235"/>
  <c r="Q399" i="235"/>
  <c r="K370" i="235"/>
  <c r="K391" i="235" s="1"/>
  <c r="P337" i="235"/>
  <c r="L98" i="235"/>
  <c r="J83" i="235"/>
  <c r="Q252" i="235"/>
  <c r="F252" i="234" s="1"/>
  <c r="N17" i="235"/>
  <c r="F17" i="235"/>
  <c r="K16" i="235"/>
  <c r="O13" i="235"/>
  <c r="G13" i="235"/>
  <c r="J612" i="236"/>
  <c r="I602" i="236"/>
  <c r="H368" i="236"/>
  <c r="H388" i="236" s="1"/>
  <c r="L368" i="236"/>
  <c r="L388" i="236" s="1"/>
  <c r="I368" i="236"/>
  <c r="I388" i="236" s="1"/>
  <c r="G263" i="236"/>
  <c r="M217" i="236"/>
  <c r="Q185" i="236"/>
  <c r="M123" i="234"/>
  <c r="M460" i="234"/>
  <c r="M405" i="234"/>
  <c r="M403" i="234"/>
  <c r="M354" i="234"/>
  <c r="M352" i="234"/>
  <c r="M230" i="234"/>
  <c r="Q120" i="239"/>
  <c r="N119" i="234" s="1"/>
  <c r="M141" i="239"/>
  <c r="Q447" i="239"/>
  <c r="N438" i="234" s="1"/>
  <c r="I454" i="239"/>
  <c r="Q412" i="239"/>
  <c r="N405" i="234" s="1"/>
  <c r="Q408" i="239"/>
  <c r="N401" i="234" s="1"/>
  <c r="Q406" i="239"/>
  <c r="N399" i="234" s="1"/>
  <c r="M377" i="239"/>
  <c r="M398" i="239" s="1"/>
  <c r="J205" i="239"/>
  <c r="J226" i="239" s="1"/>
  <c r="H95" i="240"/>
  <c r="Q402" i="240"/>
  <c r="O395" i="234" s="1"/>
  <c r="P377" i="240"/>
  <c r="P398" i="240" s="1"/>
  <c r="P63" i="240"/>
  <c r="H63" i="240"/>
  <c r="L62" i="240"/>
  <c r="P61" i="240"/>
  <c r="E445" i="234"/>
  <c r="E285" i="234"/>
  <c r="E265" i="234"/>
  <c r="E140" i="234"/>
  <c r="H29" i="234"/>
  <c r="Q422" i="235"/>
  <c r="F422" i="234" s="1"/>
  <c r="Q405" i="235"/>
  <c r="N370" i="235"/>
  <c r="N391" i="235" s="1"/>
  <c r="O67" i="235"/>
  <c r="Q187" i="235"/>
  <c r="F187" i="234" s="1"/>
  <c r="J14" i="235"/>
  <c r="Q606" i="236"/>
  <c r="L602" i="236"/>
  <c r="Q576" i="236"/>
  <c r="P586" i="236"/>
  <c r="I432" i="236"/>
  <c r="E432" i="236"/>
  <c r="Q353" i="236"/>
  <c r="M273" i="236"/>
  <c r="E273" i="236"/>
  <c r="K263" i="236"/>
  <c r="Q252" i="236"/>
  <c r="P247" i="236"/>
  <c r="H247" i="236"/>
  <c r="Q186" i="236"/>
  <c r="M424" i="234"/>
  <c r="M397" i="234"/>
  <c r="M395" i="234"/>
  <c r="M355" i="234"/>
  <c r="M227" i="234"/>
  <c r="P454" i="239"/>
  <c r="H454" i="239"/>
  <c r="N428" i="239"/>
  <c r="F428" i="239"/>
  <c r="Q360" i="239"/>
  <c r="N353" i="234" s="1"/>
  <c r="L63" i="239"/>
  <c r="M12" i="239"/>
  <c r="H428" i="240"/>
  <c r="Q405" i="240"/>
  <c r="O398" i="234" s="1"/>
  <c r="Q359" i="240"/>
  <c r="O352" i="234" s="1"/>
  <c r="K64" i="240"/>
  <c r="O63" i="240"/>
  <c r="G63" i="240"/>
  <c r="K62" i="240"/>
  <c r="L54" i="240"/>
  <c r="H512" i="234"/>
  <c r="H219" i="234"/>
  <c r="H78" i="234"/>
  <c r="E29" i="234"/>
  <c r="P435" i="235"/>
  <c r="H435" i="235"/>
  <c r="Q403" i="235"/>
  <c r="O419" i="235"/>
  <c r="Q394" i="235"/>
  <c r="F394" i="234" s="1"/>
  <c r="Q355" i="235"/>
  <c r="F355" i="234" s="1"/>
  <c r="J153" i="235"/>
  <c r="Q278" i="235"/>
  <c r="F278" i="234" s="1"/>
  <c r="P219" i="235"/>
  <c r="L17" i="235"/>
  <c r="I16" i="235"/>
  <c r="M15" i="235"/>
  <c r="K622" i="236"/>
  <c r="Q572" i="236"/>
  <c r="K586" i="236"/>
  <c r="O586" i="236"/>
  <c r="G586" i="236"/>
  <c r="L416" i="236"/>
  <c r="J368" i="236"/>
  <c r="J388" i="236" s="1"/>
  <c r="M335" i="236"/>
  <c r="E335" i="236"/>
  <c r="I273" i="236"/>
  <c r="O198" i="236"/>
  <c r="M398" i="234"/>
  <c r="M356" i="234"/>
  <c r="I428" i="239"/>
  <c r="Q404" i="239"/>
  <c r="N397" i="234" s="1"/>
  <c r="N68" i="239"/>
  <c r="O64" i="239"/>
  <c r="G64" i="239"/>
  <c r="L14" i="239"/>
  <c r="P13" i="239"/>
  <c r="H13" i="239"/>
  <c r="Q475" i="240"/>
  <c r="O466" i="234" s="1"/>
  <c r="K454" i="240"/>
  <c r="Q416" i="240"/>
  <c r="O409" i="234" s="1"/>
  <c r="Q414" i="240"/>
  <c r="O407" i="234" s="1"/>
  <c r="E428" i="240"/>
  <c r="J64" i="240"/>
  <c r="N63" i="240"/>
  <c r="F63" i="240"/>
  <c r="M18" i="240"/>
  <c r="M14" i="240"/>
  <c r="E390" i="234"/>
  <c r="E219" i="234"/>
  <c r="Q438" i="235"/>
  <c r="F438" i="234" s="1"/>
  <c r="O435" i="235"/>
  <c r="Q421" i="235"/>
  <c r="F421" i="234" s="1"/>
  <c r="Q395" i="235"/>
  <c r="F395" i="234" s="1"/>
  <c r="N419" i="235"/>
  <c r="Q358" i="235"/>
  <c r="F358" i="234" s="1"/>
  <c r="O370" i="235"/>
  <c r="O391" i="235" s="1"/>
  <c r="E152" i="235"/>
  <c r="M150" i="235"/>
  <c r="E150" i="235"/>
  <c r="P311" i="235"/>
  <c r="J275" i="235"/>
  <c r="Q269" i="235"/>
  <c r="F269" i="234" s="1"/>
  <c r="F622" i="236"/>
  <c r="K432" i="236"/>
  <c r="G416" i="236"/>
  <c r="M368" i="236"/>
  <c r="M388" i="236" s="1"/>
  <c r="Q355" i="236"/>
  <c r="Q275" i="236"/>
  <c r="P263" i="236"/>
  <c r="F198" i="236"/>
  <c r="M407" i="234"/>
  <c r="M399" i="234"/>
  <c r="M359" i="234"/>
  <c r="M357" i="234"/>
  <c r="Q123" i="239"/>
  <c r="N122" i="234" s="1"/>
  <c r="Q366" i="239"/>
  <c r="N359" i="234" s="1"/>
  <c r="J377" i="239"/>
  <c r="J398" i="239" s="1"/>
  <c r="Q362" i="239"/>
  <c r="N355" i="234" s="1"/>
  <c r="L55" i="239"/>
  <c r="O15" i="239"/>
  <c r="G15" i="239"/>
  <c r="Q464" i="240"/>
  <c r="O455" i="234" s="1"/>
  <c r="M454" i="240"/>
  <c r="E454" i="240"/>
  <c r="O428" i="240"/>
  <c r="G428" i="240"/>
  <c r="I64" i="240"/>
  <c r="M57" i="240"/>
  <c r="J56" i="240"/>
  <c r="N55" i="240"/>
  <c r="F55" i="240"/>
  <c r="P15" i="240"/>
  <c r="H15" i="240"/>
  <c r="E481" i="234"/>
  <c r="E455" i="234"/>
  <c r="H265" i="234"/>
  <c r="H249" i="234"/>
  <c r="Q448" i="235"/>
  <c r="F448" i="234" s="1"/>
  <c r="L445" i="235"/>
  <c r="Q424" i="235"/>
  <c r="F424" i="234" s="1"/>
  <c r="J435" i="235"/>
  <c r="Q409" i="235"/>
  <c r="F409" i="234" s="1"/>
  <c r="Q406" i="235"/>
  <c r="Q398" i="235"/>
  <c r="F398" i="234" s="1"/>
  <c r="Q396" i="235"/>
  <c r="F396" i="234" s="1"/>
  <c r="H153" i="235"/>
  <c r="P151" i="235"/>
  <c r="H151" i="235"/>
  <c r="Q295" i="235"/>
  <c r="F295" i="234" s="1"/>
  <c r="F311" i="234" s="1"/>
  <c r="G311" i="234" s="1"/>
  <c r="M107" i="235"/>
  <c r="F83" i="235"/>
  <c r="K265" i="235"/>
  <c r="O12" i="235"/>
  <c r="G12" i="235"/>
  <c r="I674" i="236"/>
  <c r="H586" i="236"/>
  <c r="L586" i="236"/>
  <c r="M504" i="236"/>
  <c r="H442" i="236"/>
  <c r="J432" i="236"/>
  <c r="J416" i="236"/>
  <c r="Q309" i="236"/>
  <c r="Q276" i="236"/>
  <c r="Q182" i="236"/>
  <c r="M11" i="236"/>
  <c r="E198" i="236"/>
  <c r="M464" i="234"/>
  <c r="M404" i="234"/>
  <c r="M402" i="234"/>
  <c r="M400" i="234"/>
  <c r="M353" i="234"/>
  <c r="M223" i="234"/>
  <c r="Q469" i="239"/>
  <c r="N460" i="234" s="1"/>
  <c r="L95" i="239"/>
  <c r="Q403" i="239"/>
  <c r="N396" i="234" s="1"/>
  <c r="K428" i="239"/>
  <c r="I377" i="239"/>
  <c r="I398" i="239" s="1"/>
  <c r="K107" i="239"/>
  <c r="K115" i="239" s="1"/>
  <c r="L68" i="239"/>
  <c r="M66" i="239"/>
  <c r="N58" i="239"/>
  <c r="K57" i="239"/>
  <c r="O56" i="239"/>
  <c r="G56" i="239"/>
  <c r="J16" i="239"/>
  <c r="P428" i="240"/>
  <c r="Q408" i="240"/>
  <c r="O401" i="234" s="1"/>
  <c r="O377" i="240"/>
  <c r="O398" i="240" s="1"/>
  <c r="E291" i="240"/>
  <c r="P68" i="240"/>
  <c r="H68" i="240"/>
  <c r="P58" i="240"/>
  <c r="H58" i="240"/>
  <c r="L57" i="240"/>
  <c r="I56" i="240"/>
  <c r="H481" i="234"/>
  <c r="H435" i="234"/>
  <c r="E249" i="234"/>
  <c r="E199" i="234"/>
  <c r="K445" i="235"/>
  <c r="Q407" i="235"/>
  <c r="P419" i="235"/>
  <c r="H419" i="235"/>
  <c r="Q356" i="235"/>
  <c r="F356" i="234" s="1"/>
  <c r="J370" i="235"/>
  <c r="J391" i="235" s="1"/>
  <c r="K152" i="235"/>
  <c r="P285" i="235"/>
  <c r="P674" i="236"/>
  <c r="H674" i="236"/>
  <c r="L674" i="236"/>
  <c r="N452" i="236"/>
  <c r="F452" i="236"/>
  <c r="O442" i="236"/>
  <c r="G442" i="236"/>
  <c r="I416" i="236"/>
  <c r="P368" i="236"/>
  <c r="P388" i="236" s="1"/>
  <c r="J263" i="236"/>
  <c r="L11" i="236"/>
  <c r="M396" i="234"/>
  <c r="M394" i="234"/>
  <c r="L454" i="239"/>
  <c r="J428" i="239"/>
  <c r="K68" i="239"/>
  <c r="L60" i="239"/>
  <c r="I59" i="239"/>
  <c r="Q225" i="239"/>
  <c r="N219" i="234" s="1"/>
  <c r="I18" i="239"/>
  <c r="M17" i="239"/>
  <c r="E17" i="239"/>
  <c r="J141" i="240"/>
  <c r="Q456" i="240"/>
  <c r="O447" i="234" s="1"/>
  <c r="F428" i="240"/>
  <c r="N428" i="240"/>
  <c r="Q274" i="240"/>
  <c r="O268" i="234" s="1"/>
  <c r="I98" i="240"/>
  <c r="I105" i="240" s="1"/>
  <c r="O68" i="240"/>
  <c r="G68" i="240"/>
  <c r="Q242" i="240"/>
  <c r="O236" i="234" s="1"/>
  <c r="K59" i="240"/>
  <c r="O58" i="240"/>
  <c r="G58" i="240"/>
  <c r="Q416" i="241"/>
  <c r="P409" i="234" s="1"/>
  <c r="P63" i="241"/>
  <c r="H63" i="241"/>
  <c r="E454" i="241"/>
  <c r="G95" i="241"/>
  <c r="K64" i="241"/>
  <c r="O444" i="241"/>
  <c r="Q414" i="241"/>
  <c r="P407" i="234" s="1"/>
  <c r="M428" i="241"/>
  <c r="N377" i="241"/>
  <c r="N398" i="241" s="1"/>
  <c r="F377" i="241"/>
  <c r="F398" i="241" s="1"/>
  <c r="O255" i="241"/>
  <c r="O272" i="241" s="1"/>
  <c r="F12" i="240"/>
  <c r="N444" i="241"/>
  <c r="Q362" i="241"/>
  <c r="P355" i="234" s="1"/>
  <c r="Q127" i="241"/>
  <c r="P126" i="234" s="1"/>
  <c r="E428" i="241"/>
  <c r="G428" i="241"/>
  <c r="M454" i="241"/>
  <c r="P454" i="241"/>
  <c r="H454" i="241"/>
  <c r="Q283" i="241"/>
  <c r="P277" i="234" s="1"/>
  <c r="Q176" i="241"/>
  <c r="P169" i="234" s="1"/>
  <c r="Q432" i="241"/>
  <c r="P423" i="234" s="1"/>
  <c r="P428" i="241"/>
  <c r="M377" i="241"/>
  <c r="M398" i="241" s="1"/>
  <c r="I377" i="241"/>
  <c r="I398" i="241" s="1"/>
  <c r="M62" i="241"/>
  <c r="E62" i="241"/>
  <c r="Q464" i="241"/>
  <c r="P455" i="234" s="1"/>
  <c r="Q129" i="241"/>
  <c r="P128" i="234" s="1"/>
  <c r="Q125" i="241"/>
  <c r="P124" i="234" s="1"/>
  <c r="K444" i="241"/>
  <c r="K428" i="241"/>
  <c r="L377" i="241"/>
  <c r="L398" i="241" s="1"/>
  <c r="Q473" i="241"/>
  <c r="P464" i="234" s="1"/>
  <c r="Q472" i="241"/>
  <c r="P463" i="234" s="1"/>
  <c r="E123" i="241"/>
  <c r="Q123" i="241" s="1"/>
  <c r="P122" i="234" s="1"/>
  <c r="Q448" i="241"/>
  <c r="P439" i="234" s="1"/>
  <c r="Q433" i="241"/>
  <c r="P424" i="234" s="1"/>
  <c r="Q407" i="241"/>
  <c r="P400" i="234" s="1"/>
  <c r="Q406" i="241"/>
  <c r="P399" i="234" s="1"/>
  <c r="Q317" i="241"/>
  <c r="P510" i="234"/>
  <c r="Q476" i="241"/>
  <c r="P467" i="234" s="1"/>
  <c r="Q468" i="241"/>
  <c r="P459" i="234" s="1"/>
  <c r="I444" i="241"/>
  <c r="Q83" i="241"/>
  <c r="P82" i="234" s="1"/>
  <c r="Q411" i="241"/>
  <c r="P404" i="234" s="1"/>
  <c r="Q130" i="241"/>
  <c r="P129" i="234" s="1"/>
  <c r="Q126" i="241"/>
  <c r="P125" i="234" s="1"/>
  <c r="Q121" i="241"/>
  <c r="P120" i="234" s="1"/>
  <c r="Q456" i="241"/>
  <c r="P447" i="234" s="1"/>
  <c r="L454" i="241"/>
  <c r="Q409" i="241"/>
  <c r="P402" i="234" s="1"/>
  <c r="Q363" i="241"/>
  <c r="P356" i="234" s="1"/>
  <c r="Q478" i="241"/>
  <c r="P469" i="234" s="1"/>
  <c r="Q474" i="241"/>
  <c r="P465" i="234" s="1"/>
  <c r="K454" i="241"/>
  <c r="K95" i="241"/>
  <c r="Q124" i="241"/>
  <c r="P123" i="234" s="1"/>
  <c r="J454" i="241"/>
  <c r="P444" i="241"/>
  <c r="J95" i="241"/>
  <c r="Q403" i="241"/>
  <c r="P396" i="234" s="1"/>
  <c r="J428" i="241"/>
  <c r="N428" i="241"/>
  <c r="F428" i="241"/>
  <c r="K377" i="241"/>
  <c r="K398" i="241" s="1"/>
  <c r="M82" i="241"/>
  <c r="M95" i="241" s="1"/>
  <c r="M444" i="241"/>
  <c r="E82" i="241"/>
  <c r="E95" i="241" s="1"/>
  <c r="Q431" i="241"/>
  <c r="P422" i="234" s="1"/>
  <c r="E444" i="241"/>
  <c r="I95" i="241"/>
  <c r="Q412" i="241"/>
  <c r="P405" i="234" s="1"/>
  <c r="E64" i="241"/>
  <c r="L428" i="241"/>
  <c r="I428" i="241"/>
  <c r="Q401" i="241"/>
  <c r="P394" i="234" s="1"/>
  <c r="Q366" i="241"/>
  <c r="P359" i="234" s="1"/>
  <c r="J377" i="241"/>
  <c r="J398" i="241" s="1"/>
  <c r="Q359" i="241"/>
  <c r="P352" i="234" s="1"/>
  <c r="Q119" i="241"/>
  <c r="P118" i="234" s="1"/>
  <c r="Q479" i="241"/>
  <c r="P470" i="234" s="1"/>
  <c r="Q475" i="241"/>
  <c r="P466" i="234" s="1"/>
  <c r="Q470" i="241"/>
  <c r="P461" i="234" s="1"/>
  <c r="E120" i="241"/>
  <c r="Q120" i="241" s="1"/>
  <c r="P119" i="234" s="1"/>
  <c r="Q469" i="241"/>
  <c r="P460" i="234" s="1"/>
  <c r="Q466" i="241"/>
  <c r="P457" i="234" s="1"/>
  <c r="P95" i="241"/>
  <c r="H81" i="241"/>
  <c r="H95" i="241" s="1"/>
  <c r="H444" i="241"/>
  <c r="Q360" i="241"/>
  <c r="P353" i="234" s="1"/>
  <c r="E377" i="241"/>
  <c r="P107" i="241"/>
  <c r="P115" i="241" s="1"/>
  <c r="H107" i="241"/>
  <c r="H115" i="241" s="1"/>
  <c r="P98" i="241"/>
  <c r="P105" i="241" s="1"/>
  <c r="H98" i="241"/>
  <c r="H105" i="241" s="1"/>
  <c r="P68" i="241"/>
  <c r="H68" i="241"/>
  <c r="Q67" i="241"/>
  <c r="J66" i="241"/>
  <c r="M60" i="241"/>
  <c r="E60" i="241"/>
  <c r="O58" i="241"/>
  <c r="G58" i="241"/>
  <c r="L57" i="241"/>
  <c r="P56" i="241"/>
  <c r="H56" i="241"/>
  <c r="M55" i="241"/>
  <c r="E55" i="241"/>
  <c r="J54" i="241"/>
  <c r="J255" i="241"/>
  <c r="J272" i="241" s="1"/>
  <c r="N53" i="241"/>
  <c r="N255" i="241"/>
  <c r="N272" i="241" s="1"/>
  <c r="F53" i="241"/>
  <c r="F255" i="241"/>
  <c r="F272" i="241" s="1"/>
  <c r="P49" i="241"/>
  <c r="H49" i="241"/>
  <c r="O18" i="241"/>
  <c r="G18" i="241"/>
  <c r="K17" i="241"/>
  <c r="P16" i="241"/>
  <c r="H16" i="241"/>
  <c r="L15" i="241"/>
  <c r="I14" i="241"/>
  <c r="O11" i="241"/>
  <c r="Q46" i="241"/>
  <c r="P46" i="234" s="1"/>
  <c r="Q42" i="241"/>
  <c r="P42" i="234" s="1"/>
  <c r="O107" i="241"/>
  <c r="O115" i="241" s="1"/>
  <c r="G107" i="241"/>
  <c r="G115" i="241" s="1"/>
  <c r="O98" i="241"/>
  <c r="O105" i="241" s="1"/>
  <c r="G98" i="241"/>
  <c r="G105" i="241" s="1"/>
  <c r="K255" i="241"/>
  <c r="K272" i="241" s="1"/>
  <c r="O68" i="241"/>
  <c r="G68" i="241"/>
  <c r="Q242" i="241"/>
  <c r="P236" i="234" s="1"/>
  <c r="I66" i="241"/>
  <c r="H61" i="241"/>
  <c r="L60" i="241"/>
  <c r="I59" i="241"/>
  <c r="N58" i="241"/>
  <c r="F58" i="241"/>
  <c r="K57" i="241"/>
  <c r="O56" i="241"/>
  <c r="G56" i="241"/>
  <c r="L55" i="241"/>
  <c r="Q230" i="241"/>
  <c r="P224" i="234" s="1"/>
  <c r="I54" i="241"/>
  <c r="M53" i="241"/>
  <c r="E53" i="241"/>
  <c r="Q229" i="241"/>
  <c r="P223" i="234" s="1"/>
  <c r="O49" i="241"/>
  <c r="G49" i="241"/>
  <c r="N18" i="241"/>
  <c r="F18" i="241"/>
  <c r="J17" i="241"/>
  <c r="O16" i="241"/>
  <c r="G16" i="241"/>
  <c r="H14" i="241"/>
  <c r="L13" i="241"/>
  <c r="I12" i="241"/>
  <c r="N11" i="241"/>
  <c r="F11" i="241"/>
  <c r="Q166" i="241"/>
  <c r="Q135" i="241"/>
  <c r="P134" i="234" s="1"/>
  <c r="Q133" i="241"/>
  <c r="P132" i="234" s="1"/>
  <c r="Q430" i="241"/>
  <c r="P421" i="234" s="1"/>
  <c r="Q69" i="241"/>
  <c r="P68" i="234" s="1"/>
  <c r="Q405" i="241"/>
  <c r="P398" i="234" s="1"/>
  <c r="N107" i="241"/>
  <c r="N115" i="241" s="1"/>
  <c r="F107" i="241"/>
  <c r="F115" i="241" s="1"/>
  <c r="N98" i="241"/>
  <c r="N105" i="241" s="1"/>
  <c r="F98" i="241"/>
  <c r="F105" i="241" s="1"/>
  <c r="I255" i="241"/>
  <c r="I272" i="241" s="1"/>
  <c r="N68" i="241"/>
  <c r="F68" i="241"/>
  <c r="P66" i="241"/>
  <c r="H66" i="241"/>
  <c r="N63" i="241"/>
  <c r="F63" i="241"/>
  <c r="K62" i="241"/>
  <c r="O61" i="241"/>
  <c r="G61" i="241"/>
  <c r="K60" i="241"/>
  <c r="P59" i="241"/>
  <c r="H59" i="241"/>
  <c r="M58" i="241"/>
  <c r="E58" i="241"/>
  <c r="J57" i="241"/>
  <c r="N56" i="241"/>
  <c r="F56" i="241"/>
  <c r="Q232" i="241"/>
  <c r="P226" i="234" s="1"/>
  <c r="K55" i="241"/>
  <c r="P54" i="241"/>
  <c r="H54" i="241"/>
  <c r="H205" i="241"/>
  <c r="H226" i="241" s="1"/>
  <c r="M18" i="241"/>
  <c r="E18" i="241"/>
  <c r="Q194" i="241"/>
  <c r="P188" i="234" s="1"/>
  <c r="N16" i="241"/>
  <c r="J15" i="241"/>
  <c r="O14" i="241"/>
  <c r="G14" i="241"/>
  <c r="M205" i="241"/>
  <c r="M226" i="241" s="1"/>
  <c r="E205" i="241"/>
  <c r="E107" i="241"/>
  <c r="Q47" i="241"/>
  <c r="P47" i="234" s="1"/>
  <c r="M107" i="241"/>
  <c r="M115" i="241" s="1"/>
  <c r="M98" i="241"/>
  <c r="M105" i="241" s="1"/>
  <c r="E98" i="241"/>
  <c r="H255" i="241"/>
  <c r="H272" i="241" s="1"/>
  <c r="M68" i="241"/>
  <c r="E68" i="241"/>
  <c r="G66" i="241"/>
  <c r="P64" i="241"/>
  <c r="H64" i="241"/>
  <c r="M63" i="241"/>
  <c r="E63" i="241"/>
  <c r="J62" i="241"/>
  <c r="N61" i="241"/>
  <c r="F61" i="241"/>
  <c r="J60" i="241"/>
  <c r="O59" i="241"/>
  <c r="G59" i="241"/>
  <c r="L58" i="241"/>
  <c r="Q233" i="241"/>
  <c r="P227" i="234" s="1"/>
  <c r="I57" i="241"/>
  <c r="J55" i="241"/>
  <c r="K53" i="241"/>
  <c r="M49" i="241"/>
  <c r="E49" i="241"/>
  <c r="G205" i="241"/>
  <c r="G226" i="241" s="1"/>
  <c r="P17" i="241"/>
  <c r="H17" i="241"/>
  <c r="M16" i="241"/>
  <c r="E16" i="241"/>
  <c r="Q75" i="241"/>
  <c r="P74" i="234" s="1"/>
  <c r="Q71" i="241"/>
  <c r="P70" i="234" s="1"/>
  <c r="O95" i="241"/>
  <c r="P291" i="241"/>
  <c r="H291" i="241"/>
  <c r="L107" i="241"/>
  <c r="L115" i="241" s="1"/>
  <c r="L98" i="241"/>
  <c r="L105" i="241" s="1"/>
  <c r="G255" i="241"/>
  <c r="G272" i="241" s="1"/>
  <c r="L68" i="241"/>
  <c r="Q243" i="241"/>
  <c r="P237" i="234" s="1"/>
  <c r="N66" i="241"/>
  <c r="F66" i="241"/>
  <c r="O64" i="241"/>
  <c r="G64" i="241"/>
  <c r="L63" i="241"/>
  <c r="Q238" i="241"/>
  <c r="P232" i="234" s="1"/>
  <c r="I62" i="241"/>
  <c r="M61" i="241"/>
  <c r="E61" i="241"/>
  <c r="Q237" i="241"/>
  <c r="P231" i="234" s="1"/>
  <c r="I60" i="241"/>
  <c r="P57" i="241"/>
  <c r="L56" i="241"/>
  <c r="Q231" i="241"/>
  <c r="P225" i="234" s="1"/>
  <c r="I55" i="241"/>
  <c r="N54" i="241"/>
  <c r="F54" i="241"/>
  <c r="F205" i="241"/>
  <c r="F226" i="241" s="1"/>
  <c r="K18" i="241"/>
  <c r="N12" i="241"/>
  <c r="F12" i="241"/>
  <c r="K11" i="241"/>
  <c r="Q169" i="241"/>
  <c r="Q138" i="241"/>
  <c r="P137" i="234" s="1"/>
  <c r="Q92" i="241"/>
  <c r="P91" i="234" s="1"/>
  <c r="Q20" i="241"/>
  <c r="P20" i="234" s="1"/>
  <c r="Q117" i="241"/>
  <c r="P116" i="234" s="1"/>
  <c r="N95" i="241"/>
  <c r="F95" i="241"/>
  <c r="O291" i="241"/>
  <c r="G291" i="241"/>
  <c r="K107" i="241"/>
  <c r="K115" i="241" s="1"/>
  <c r="P281" i="241"/>
  <c r="H281" i="241"/>
  <c r="K98" i="241"/>
  <c r="K105" i="241" s="1"/>
  <c r="P255" i="241"/>
  <c r="P272" i="241" s="1"/>
  <c r="E255" i="241"/>
  <c r="K68" i="241"/>
  <c r="M66" i="241"/>
  <c r="E66" i="241"/>
  <c r="N64" i="241"/>
  <c r="F64" i="241"/>
  <c r="Q240" i="241"/>
  <c r="P234" i="234" s="1"/>
  <c r="K63" i="241"/>
  <c r="P62" i="241"/>
  <c r="H62" i="241"/>
  <c r="P60" i="241"/>
  <c r="H60" i="241"/>
  <c r="M59" i="241"/>
  <c r="E59" i="241"/>
  <c r="J58" i="241"/>
  <c r="O57" i="241"/>
  <c r="G57" i="241"/>
  <c r="K56" i="241"/>
  <c r="G15" i="241"/>
  <c r="L14" i="241"/>
  <c r="P13" i="241"/>
  <c r="H13" i="241"/>
  <c r="M12" i="241"/>
  <c r="E12" i="241"/>
  <c r="J11" i="241"/>
  <c r="J205" i="241"/>
  <c r="J226" i="241" s="1"/>
  <c r="Q172" i="241"/>
  <c r="Q99" i="241"/>
  <c r="P98" i="234" s="1"/>
  <c r="L444" i="241"/>
  <c r="Q417" i="241"/>
  <c r="P410" i="234" s="1"/>
  <c r="N291" i="241"/>
  <c r="F291" i="241"/>
  <c r="J107" i="241"/>
  <c r="J115" i="241" s="1"/>
  <c r="O281" i="241"/>
  <c r="G281" i="241"/>
  <c r="J98" i="241"/>
  <c r="J105" i="241" s="1"/>
  <c r="J68" i="241"/>
  <c r="L66" i="241"/>
  <c r="Q241" i="241"/>
  <c r="P235" i="234" s="1"/>
  <c r="O62" i="241"/>
  <c r="K61" i="241"/>
  <c r="O60" i="241"/>
  <c r="G60" i="241"/>
  <c r="L59" i="241"/>
  <c r="Q234" i="241"/>
  <c r="P228" i="234" s="1"/>
  <c r="I58" i="241"/>
  <c r="N57" i="241"/>
  <c r="F57" i="241"/>
  <c r="P53" i="241"/>
  <c r="H53" i="241"/>
  <c r="J49" i="241"/>
  <c r="P205" i="241"/>
  <c r="P226" i="241" s="1"/>
  <c r="M17" i="241"/>
  <c r="E17" i="241"/>
  <c r="J16" i="241"/>
  <c r="N15" i="241"/>
  <c r="F15" i="241"/>
  <c r="K14" i="241"/>
  <c r="O13" i="241"/>
  <c r="G13" i="241"/>
  <c r="L12" i="241"/>
  <c r="Q187" i="241"/>
  <c r="P181" i="234" s="1"/>
  <c r="I11" i="241"/>
  <c r="I205" i="241"/>
  <c r="I226" i="241" s="1"/>
  <c r="Q108" i="241"/>
  <c r="P107" i="234" s="1"/>
  <c r="Q78" i="241"/>
  <c r="P77" i="234" s="1"/>
  <c r="Q84" i="241"/>
  <c r="P83" i="234" s="1"/>
  <c r="L95" i="241"/>
  <c r="Q404" i="241"/>
  <c r="P397" i="234" s="1"/>
  <c r="Q361" i="241"/>
  <c r="P354" i="234" s="1"/>
  <c r="M291" i="241"/>
  <c r="E291" i="241"/>
  <c r="I107" i="241"/>
  <c r="I115" i="241" s="1"/>
  <c r="N281" i="241"/>
  <c r="F281" i="241"/>
  <c r="Q274" i="241"/>
  <c r="P268" i="234" s="1"/>
  <c r="I98" i="241"/>
  <c r="I105" i="241" s="1"/>
  <c r="M255" i="241"/>
  <c r="M272" i="241" s="1"/>
  <c r="L64" i="241"/>
  <c r="Q239" i="241"/>
  <c r="P233" i="234" s="1"/>
  <c r="I63" i="241"/>
  <c r="N62" i="241"/>
  <c r="F62" i="241"/>
  <c r="J61" i="241"/>
  <c r="I56" i="241"/>
  <c r="N55" i="241"/>
  <c r="F55" i="241"/>
  <c r="O53" i="241"/>
  <c r="G53" i="241"/>
  <c r="Q225" i="241"/>
  <c r="P219" i="234" s="1"/>
  <c r="I49" i="241"/>
  <c r="O205" i="241"/>
  <c r="O226" i="241" s="1"/>
  <c r="P18" i="241"/>
  <c r="L17" i="241"/>
  <c r="Q192" i="241"/>
  <c r="P186" i="234" s="1"/>
  <c r="I16" i="241"/>
  <c r="M15" i="241"/>
  <c r="E15" i="241"/>
  <c r="Q191" i="241"/>
  <c r="P185" i="234" s="1"/>
  <c r="J14" i="241"/>
  <c r="N13" i="241"/>
  <c r="F13" i="241"/>
  <c r="Q189" i="241"/>
  <c r="P183" i="234" s="1"/>
  <c r="K12" i="241"/>
  <c r="K205" i="241"/>
  <c r="K226" i="241" s="1"/>
  <c r="P11" i="241"/>
  <c r="H11" i="241"/>
  <c r="Q244" i="241"/>
  <c r="P238" i="234" s="1"/>
  <c r="Q236" i="241"/>
  <c r="P230" i="234" s="1"/>
  <c r="Q193" i="241"/>
  <c r="P187" i="234" s="1"/>
  <c r="Q114" i="241"/>
  <c r="P113" i="234" s="1"/>
  <c r="Q112" i="241"/>
  <c r="P111" i="234" s="1"/>
  <c r="Q110" i="241"/>
  <c r="P109" i="234" s="1"/>
  <c r="Q103" i="241"/>
  <c r="P102" i="234" s="1"/>
  <c r="Q101" i="241"/>
  <c r="P100" i="234" s="1"/>
  <c r="Q88" i="241"/>
  <c r="P87" i="234" s="1"/>
  <c r="Q86" i="241"/>
  <c r="P85" i="234" s="1"/>
  <c r="Q36" i="241"/>
  <c r="P36" i="234" s="1"/>
  <c r="Q32" i="241"/>
  <c r="P32" i="234" s="1"/>
  <c r="Q45" i="241"/>
  <c r="P45" i="234" s="1"/>
  <c r="Q27" i="241"/>
  <c r="P27" i="234" s="1"/>
  <c r="P55" i="241"/>
  <c r="H55" i="241"/>
  <c r="M54" i="241"/>
  <c r="E54" i="241"/>
  <c r="J53" i="241"/>
  <c r="L49" i="241"/>
  <c r="J18" i="241"/>
  <c r="O17" i="241"/>
  <c r="G17" i="241"/>
  <c r="L16" i="241"/>
  <c r="I15" i="241"/>
  <c r="N14" i="241"/>
  <c r="F14" i="241"/>
  <c r="K13" i="241"/>
  <c r="P12" i="241"/>
  <c r="H12" i="241"/>
  <c r="M11" i="241"/>
  <c r="E11" i="241"/>
  <c r="Q91" i="241"/>
  <c r="P90" i="234" s="1"/>
  <c r="Q43" i="241"/>
  <c r="P43" i="234" s="1"/>
  <c r="Q41" i="241"/>
  <c r="P41" i="234" s="1"/>
  <c r="Q65" i="241"/>
  <c r="P65" i="234" s="1"/>
  <c r="J64" i="241"/>
  <c r="O63" i="241"/>
  <c r="G63" i="241"/>
  <c r="L62" i="241"/>
  <c r="I61" i="241"/>
  <c r="N60" i="241"/>
  <c r="F60" i="241"/>
  <c r="K59" i="241"/>
  <c r="P58" i="241"/>
  <c r="H58" i="241"/>
  <c r="M57" i="241"/>
  <c r="E57" i="241"/>
  <c r="J56" i="241"/>
  <c r="O55" i="241"/>
  <c r="G55" i="241"/>
  <c r="L54" i="241"/>
  <c r="I53" i="241"/>
  <c r="K49" i="241"/>
  <c r="I18" i="241"/>
  <c r="N17" i="241"/>
  <c r="F17" i="241"/>
  <c r="K16" i="241"/>
  <c r="P15" i="241"/>
  <c r="H15" i="241"/>
  <c r="M14" i="241"/>
  <c r="E14" i="241"/>
  <c r="J13" i="241"/>
  <c r="O12" i="241"/>
  <c r="G12" i="241"/>
  <c r="L11" i="241"/>
  <c r="Q70" i="241"/>
  <c r="P69" i="234" s="1"/>
  <c r="Q37" i="241"/>
  <c r="P37" i="234" s="1"/>
  <c r="Q31" i="241"/>
  <c r="P31" i="234" s="1"/>
  <c r="Q19" i="241"/>
  <c r="P19" i="234" s="1"/>
  <c r="Q118" i="241"/>
  <c r="P117" i="234" s="1"/>
  <c r="Q113" i="241"/>
  <c r="P112" i="234" s="1"/>
  <c r="Q109" i="241"/>
  <c r="P108" i="234" s="1"/>
  <c r="Q104" i="241"/>
  <c r="P103" i="234" s="1"/>
  <c r="Q100" i="241"/>
  <c r="P99" i="234" s="1"/>
  <c r="Q87" i="241"/>
  <c r="P86" i="234" s="1"/>
  <c r="Q73" i="241"/>
  <c r="P72" i="234" s="1"/>
  <c r="Q48" i="241"/>
  <c r="P48" i="234" s="1"/>
  <c r="Q35" i="241"/>
  <c r="P35" i="234" s="1"/>
  <c r="Q28" i="241"/>
  <c r="P28" i="234" s="1"/>
  <c r="Q22" i="241"/>
  <c r="P22" i="234" s="1"/>
  <c r="Q26" i="241"/>
  <c r="P26" i="234" s="1"/>
  <c r="Q24" i="241"/>
  <c r="P24" i="234" s="1"/>
  <c r="F490" i="240"/>
  <c r="Q130" i="240"/>
  <c r="O129" i="234" s="1"/>
  <c r="Q474" i="240"/>
  <c r="O465" i="234" s="1"/>
  <c r="Q121" i="240"/>
  <c r="O120" i="234" s="1"/>
  <c r="E119" i="240"/>
  <c r="Q119" i="240" s="1"/>
  <c r="O118" i="234" s="1"/>
  <c r="Q468" i="240"/>
  <c r="O459" i="234" s="1"/>
  <c r="Q432" i="240"/>
  <c r="O423" i="234" s="1"/>
  <c r="M444" i="240"/>
  <c r="M82" i="240"/>
  <c r="M95" i="240" s="1"/>
  <c r="E82" i="240"/>
  <c r="E95" i="240" s="1"/>
  <c r="Q431" i="240"/>
  <c r="O422" i="234" s="1"/>
  <c r="E444" i="240"/>
  <c r="J95" i="240"/>
  <c r="Q409" i="240"/>
  <c r="O402" i="234" s="1"/>
  <c r="I428" i="240"/>
  <c r="I377" i="240"/>
  <c r="I398" i="240" s="1"/>
  <c r="Q317" i="240"/>
  <c r="O311" i="234" s="1"/>
  <c r="L107" i="240"/>
  <c r="L115" i="240" s="1"/>
  <c r="L291" i="240"/>
  <c r="O98" i="240"/>
  <c r="O105" i="240" s="1"/>
  <c r="F255" i="240"/>
  <c r="F272" i="240" s="1"/>
  <c r="E60" i="240"/>
  <c r="Q236" i="240"/>
  <c r="O230" i="234" s="1"/>
  <c r="F205" i="240"/>
  <c r="F226" i="240" s="1"/>
  <c r="Q169" i="240"/>
  <c r="P490" i="240"/>
  <c r="E490" i="240"/>
  <c r="Q478" i="240"/>
  <c r="O469" i="234" s="1"/>
  <c r="Q466" i="240"/>
  <c r="O457" i="234" s="1"/>
  <c r="I141" i="240"/>
  <c r="P444" i="240"/>
  <c r="L82" i="240"/>
  <c r="L95" i="240" s="1"/>
  <c r="L444" i="240"/>
  <c r="Q430" i="240"/>
  <c r="O421" i="234" s="1"/>
  <c r="I95" i="240"/>
  <c r="K377" i="240"/>
  <c r="K398" i="240" s="1"/>
  <c r="Q345" i="240"/>
  <c r="O337" i="234" s="1"/>
  <c r="K107" i="240"/>
  <c r="K115" i="240" s="1"/>
  <c r="K291" i="240"/>
  <c r="H61" i="240"/>
  <c r="Q237" i="240"/>
  <c r="O231" i="234" s="1"/>
  <c r="Q522" i="240"/>
  <c r="O509" i="234" s="1"/>
  <c r="I175" i="240"/>
  <c r="N490" i="240"/>
  <c r="E127" i="240"/>
  <c r="Q127" i="240" s="1"/>
  <c r="O126" i="234" s="1"/>
  <c r="Q476" i="240"/>
  <c r="O467" i="234" s="1"/>
  <c r="Q472" i="240"/>
  <c r="O463" i="234" s="1"/>
  <c r="P141" i="240"/>
  <c r="H141" i="240"/>
  <c r="Q448" i="240"/>
  <c r="O439" i="234" s="1"/>
  <c r="Q447" i="240"/>
  <c r="O438" i="234" s="1"/>
  <c r="P95" i="240"/>
  <c r="F377" i="240"/>
  <c r="F398" i="240" s="1"/>
  <c r="Q67" i="240"/>
  <c r="M205" i="240"/>
  <c r="M226" i="240" s="1"/>
  <c r="Q189" i="240"/>
  <c r="O183" i="234" s="1"/>
  <c r="Q122" i="240"/>
  <c r="O121" i="234" s="1"/>
  <c r="N141" i="240"/>
  <c r="O117" i="240"/>
  <c r="O141" i="240" s="1"/>
  <c r="O490" i="240"/>
  <c r="G117" i="240"/>
  <c r="G141" i="240" s="1"/>
  <c r="G490" i="240"/>
  <c r="E69" i="240"/>
  <c r="Q69" i="240" s="1"/>
  <c r="O68" i="234" s="1"/>
  <c r="Q417" i="240"/>
  <c r="O410" i="234" s="1"/>
  <c r="Q412" i="240"/>
  <c r="O405" i="234" s="1"/>
  <c r="Q403" i="240"/>
  <c r="O396" i="234" s="1"/>
  <c r="J428" i="240"/>
  <c r="Q363" i="240"/>
  <c r="O356" i="234" s="1"/>
  <c r="Q361" i="240"/>
  <c r="O354" i="234" s="1"/>
  <c r="I107" i="240"/>
  <c r="I115" i="240" s="1"/>
  <c r="I291" i="240"/>
  <c r="L98" i="240"/>
  <c r="L105" i="240" s="1"/>
  <c r="L281" i="240"/>
  <c r="I66" i="240"/>
  <c r="O255" i="240"/>
  <c r="O272" i="240" s="1"/>
  <c r="G255" i="240"/>
  <c r="G272" i="240" s="1"/>
  <c r="Q225" i="240"/>
  <c r="O219" i="234" s="1"/>
  <c r="L11" i="240"/>
  <c r="L205" i="240"/>
  <c r="L226" i="240" s="1"/>
  <c r="K490" i="240"/>
  <c r="Q479" i="240"/>
  <c r="O470" i="234" s="1"/>
  <c r="Q125" i="240"/>
  <c r="O124" i="234" s="1"/>
  <c r="Q470" i="240"/>
  <c r="O461" i="234" s="1"/>
  <c r="E120" i="240"/>
  <c r="Q120" i="240" s="1"/>
  <c r="O119" i="234" s="1"/>
  <c r="Q469" i="240"/>
  <c r="O460" i="234" s="1"/>
  <c r="F141" i="240"/>
  <c r="I444" i="240"/>
  <c r="Q401" i="240"/>
  <c r="O394" i="234" s="1"/>
  <c r="Q362" i="240"/>
  <c r="O355" i="234" s="1"/>
  <c r="I281" i="240"/>
  <c r="K98" i="240"/>
  <c r="K105" i="240" s="1"/>
  <c r="K281" i="240"/>
  <c r="Q271" i="240"/>
  <c r="O265" i="234" s="1"/>
  <c r="P255" i="240"/>
  <c r="P272" i="240" s="1"/>
  <c r="P66" i="240"/>
  <c r="Q240" i="240"/>
  <c r="O234" i="234" s="1"/>
  <c r="M63" i="240"/>
  <c r="E63" i="240"/>
  <c r="Q239" i="240"/>
  <c r="O233" i="234" s="1"/>
  <c r="Q233" i="240"/>
  <c r="O227" i="234" s="1"/>
  <c r="J255" i="240"/>
  <c r="J272" i="240" s="1"/>
  <c r="Q168" i="240"/>
  <c r="J490" i="240"/>
  <c r="Q129" i="240"/>
  <c r="O128" i="234" s="1"/>
  <c r="Q473" i="240"/>
  <c r="O464" i="234" s="1"/>
  <c r="M141" i="240"/>
  <c r="K428" i="240"/>
  <c r="L428" i="240"/>
  <c r="Q366" i="240"/>
  <c r="O359" i="234" s="1"/>
  <c r="L377" i="240"/>
  <c r="L398" i="240" s="1"/>
  <c r="O66" i="240"/>
  <c r="G66" i="240"/>
  <c r="M55" i="240"/>
  <c r="E55" i="240"/>
  <c r="Q231" i="240"/>
  <c r="O225" i="234" s="1"/>
  <c r="J17" i="240"/>
  <c r="Q193" i="240"/>
  <c r="O187" i="234" s="1"/>
  <c r="N16" i="240"/>
  <c r="F16" i="240"/>
  <c r="Q192" i="240"/>
  <c r="O186" i="234" s="1"/>
  <c r="J13" i="240"/>
  <c r="J205" i="240"/>
  <c r="J226" i="240" s="1"/>
  <c r="N12" i="240"/>
  <c r="N205" i="240"/>
  <c r="N226" i="240" s="1"/>
  <c r="L117" i="240"/>
  <c r="L141" i="240" s="1"/>
  <c r="L490" i="240"/>
  <c r="Q99" i="240"/>
  <c r="O98" i="234" s="1"/>
  <c r="Q406" i="240"/>
  <c r="O399" i="234" s="1"/>
  <c r="E68" i="240"/>
  <c r="Q244" i="240"/>
  <c r="O238" i="234" s="1"/>
  <c r="L53" i="240"/>
  <c r="L255" i="240"/>
  <c r="L272" i="240" s="1"/>
  <c r="E18" i="240"/>
  <c r="Q194" i="240"/>
  <c r="O188" i="234" s="1"/>
  <c r="E14" i="240"/>
  <c r="Q190" i="240"/>
  <c r="O184" i="234" s="1"/>
  <c r="L175" i="240"/>
  <c r="H490" i="240"/>
  <c r="Q126" i="240"/>
  <c r="O125" i="234" s="1"/>
  <c r="Q471" i="240"/>
  <c r="O462" i="234" s="1"/>
  <c r="K141" i="240"/>
  <c r="I454" i="240"/>
  <c r="P454" i="240"/>
  <c r="H454" i="240"/>
  <c r="K81" i="240"/>
  <c r="K95" i="240" s="1"/>
  <c r="K444" i="240"/>
  <c r="Q411" i="240"/>
  <c r="O404" i="234" s="1"/>
  <c r="Q404" i="240"/>
  <c r="O397" i="234" s="1"/>
  <c r="Q360" i="240"/>
  <c r="O353" i="234" s="1"/>
  <c r="J59" i="240"/>
  <c r="Q235" i="240"/>
  <c r="O229" i="234" s="1"/>
  <c r="K55" i="240"/>
  <c r="K255" i="240"/>
  <c r="K272" i="240" s="1"/>
  <c r="O54" i="240"/>
  <c r="G54" i="240"/>
  <c r="Q167" i="240"/>
  <c r="F68" i="240"/>
  <c r="H66" i="240"/>
  <c r="Q65" i="240"/>
  <c r="O65" i="234" s="1"/>
  <c r="J62" i="240"/>
  <c r="O61" i="240"/>
  <c r="G61" i="240"/>
  <c r="L60" i="240"/>
  <c r="I59" i="240"/>
  <c r="N58" i="240"/>
  <c r="F58" i="240"/>
  <c r="K57" i="240"/>
  <c r="P56" i="240"/>
  <c r="H56" i="240"/>
  <c r="P54" i="240"/>
  <c r="H54" i="240"/>
  <c r="M53" i="240"/>
  <c r="E53" i="240"/>
  <c r="E205" i="240"/>
  <c r="L18" i="240"/>
  <c r="I17" i="240"/>
  <c r="O12" i="240"/>
  <c r="G12" i="240"/>
  <c r="K11" i="240"/>
  <c r="K205" i="240"/>
  <c r="K226" i="240" s="1"/>
  <c r="Q171" i="240"/>
  <c r="Q140" i="240"/>
  <c r="O139" i="234" s="1"/>
  <c r="Q131" i="240"/>
  <c r="O130" i="234" s="1"/>
  <c r="J107" i="240"/>
  <c r="J115" i="240" s="1"/>
  <c r="Q100" i="240"/>
  <c r="O99" i="234" s="1"/>
  <c r="Q136" i="240"/>
  <c r="O135" i="234" s="1"/>
  <c r="E57" i="240"/>
  <c r="Q123" i="240"/>
  <c r="O122" i="234" s="1"/>
  <c r="N444" i="240"/>
  <c r="F444" i="240"/>
  <c r="Q83" i="240"/>
  <c r="O82" i="234" s="1"/>
  <c r="O95" i="240"/>
  <c r="G95" i="240"/>
  <c r="P107" i="240"/>
  <c r="P115" i="240" s="1"/>
  <c r="H107" i="240"/>
  <c r="H115" i="240" s="1"/>
  <c r="P98" i="240"/>
  <c r="P105" i="240" s="1"/>
  <c r="H98" i="240"/>
  <c r="H105" i="240" s="1"/>
  <c r="M255" i="240"/>
  <c r="M272" i="240" s="1"/>
  <c r="E255" i="240"/>
  <c r="L68" i="240"/>
  <c r="Q243" i="240"/>
  <c r="O237" i="234" s="1"/>
  <c r="N66" i="240"/>
  <c r="F66" i="240"/>
  <c r="P64" i="240"/>
  <c r="H64" i="240"/>
  <c r="P62" i="240"/>
  <c r="H62" i="240"/>
  <c r="M61" i="240"/>
  <c r="E61" i="240"/>
  <c r="J60" i="240"/>
  <c r="O59" i="240"/>
  <c r="G59" i="240"/>
  <c r="L58" i="240"/>
  <c r="I57" i="240"/>
  <c r="N56" i="240"/>
  <c r="F56" i="240"/>
  <c r="J55" i="240"/>
  <c r="J49" i="240"/>
  <c r="K16" i="240"/>
  <c r="O15" i="240"/>
  <c r="G15" i="240"/>
  <c r="L14" i="240"/>
  <c r="I13" i="240"/>
  <c r="Q103" i="240"/>
  <c r="O102" i="234" s="1"/>
  <c r="N95" i="240"/>
  <c r="F95" i="240"/>
  <c r="O107" i="240"/>
  <c r="O115" i="240" s="1"/>
  <c r="G107" i="240"/>
  <c r="G115" i="240" s="1"/>
  <c r="G98" i="240"/>
  <c r="G105" i="240" s="1"/>
  <c r="K68" i="240"/>
  <c r="K63" i="240"/>
  <c r="O62" i="240"/>
  <c r="G62" i="240"/>
  <c r="L61" i="240"/>
  <c r="I60" i="240"/>
  <c r="N59" i="240"/>
  <c r="F59" i="240"/>
  <c r="K58" i="240"/>
  <c r="P57" i="240"/>
  <c r="H57" i="240"/>
  <c r="M56" i="240"/>
  <c r="E56" i="240"/>
  <c r="M54" i="240"/>
  <c r="E54" i="240"/>
  <c r="Q230" i="240"/>
  <c r="O224" i="234" s="1"/>
  <c r="J53" i="240"/>
  <c r="I49" i="240"/>
  <c r="I18" i="240"/>
  <c r="N17" i="240"/>
  <c r="F17" i="240"/>
  <c r="J16" i="240"/>
  <c r="P11" i="240"/>
  <c r="P205" i="240"/>
  <c r="P226" i="240" s="1"/>
  <c r="H11" i="240"/>
  <c r="H205" i="240"/>
  <c r="H226" i="240" s="1"/>
  <c r="Q110" i="240"/>
  <c r="O109" i="234" s="1"/>
  <c r="Q77" i="240"/>
  <c r="O76" i="234" s="1"/>
  <c r="Q75" i="240"/>
  <c r="O74" i="234" s="1"/>
  <c r="N107" i="240"/>
  <c r="N115" i="240" s="1"/>
  <c r="F107" i="240"/>
  <c r="F115" i="240" s="1"/>
  <c r="N98" i="240"/>
  <c r="N105" i="240" s="1"/>
  <c r="F98" i="240"/>
  <c r="F105" i="240" s="1"/>
  <c r="J68" i="240"/>
  <c r="L66" i="240"/>
  <c r="Q241" i="240"/>
  <c r="O235" i="234" s="1"/>
  <c r="N64" i="240"/>
  <c r="F64" i="240"/>
  <c r="J63" i="240"/>
  <c r="P55" i="240"/>
  <c r="H55" i="240"/>
  <c r="Q229" i="240"/>
  <c r="O223" i="234" s="1"/>
  <c r="I53" i="240"/>
  <c r="P18" i="240"/>
  <c r="H18" i="240"/>
  <c r="M17" i="240"/>
  <c r="E17" i="240"/>
  <c r="K12" i="240"/>
  <c r="O11" i="240"/>
  <c r="O205" i="240"/>
  <c r="O226" i="240" s="1"/>
  <c r="G11" i="240"/>
  <c r="G205" i="240"/>
  <c r="G226" i="240" s="1"/>
  <c r="Q170" i="240"/>
  <c r="Q139" i="240"/>
  <c r="O138" i="234" s="1"/>
  <c r="Q132" i="240"/>
  <c r="O131" i="234" s="1"/>
  <c r="Q112" i="240"/>
  <c r="O111" i="234" s="1"/>
  <c r="J98" i="240"/>
  <c r="J105" i="240" s="1"/>
  <c r="Q124" i="240"/>
  <c r="O123" i="234" s="1"/>
  <c r="Q84" i="240"/>
  <c r="O83" i="234" s="1"/>
  <c r="M107" i="240"/>
  <c r="M115" i="240" s="1"/>
  <c r="E107" i="240"/>
  <c r="M98" i="240"/>
  <c r="M105" i="240" s="1"/>
  <c r="E98" i="240"/>
  <c r="I68" i="240"/>
  <c r="K66" i="240"/>
  <c r="M64" i="240"/>
  <c r="E64" i="240"/>
  <c r="M62" i="240"/>
  <c r="E62" i="240"/>
  <c r="Q238" i="240"/>
  <c r="O232" i="234" s="1"/>
  <c r="J61" i="240"/>
  <c r="O60" i="240"/>
  <c r="G60" i="240"/>
  <c r="L59" i="240"/>
  <c r="Q234" i="240"/>
  <c r="O228" i="234" s="1"/>
  <c r="I58" i="240"/>
  <c r="N57" i="240"/>
  <c r="F57" i="240"/>
  <c r="K56" i="240"/>
  <c r="O55" i="240"/>
  <c r="G55" i="240"/>
  <c r="K54" i="240"/>
  <c r="P53" i="240"/>
  <c r="H53" i="240"/>
  <c r="O49" i="240"/>
  <c r="G49" i="240"/>
  <c r="L15" i="240"/>
  <c r="I14" i="240"/>
  <c r="N13" i="240"/>
  <c r="F13" i="240"/>
  <c r="J12" i="240"/>
  <c r="Q166" i="240"/>
  <c r="Q135" i="240"/>
  <c r="O134" i="234" s="1"/>
  <c r="Q104" i="240"/>
  <c r="O103" i="234" s="1"/>
  <c r="J54" i="240"/>
  <c r="O53" i="240"/>
  <c r="G53" i="240"/>
  <c r="N49" i="240"/>
  <c r="F49" i="240"/>
  <c r="O16" i="240"/>
  <c r="G16" i="240"/>
  <c r="K15" i="240"/>
  <c r="P14" i="240"/>
  <c r="H14" i="240"/>
  <c r="M13" i="240"/>
  <c r="E13" i="240"/>
  <c r="Q187" i="240"/>
  <c r="O181" i="234" s="1"/>
  <c r="Q92" i="240"/>
  <c r="O91" i="234" s="1"/>
  <c r="Q118" i="240"/>
  <c r="O117" i="234" s="1"/>
  <c r="O18" i="240"/>
  <c r="G18" i="240"/>
  <c r="L17" i="240"/>
  <c r="I16" i="240"/>
  <c r="N15" i="240"/>
  <c r="F15" i="240"/>
  <c r="K14" i="240"/>
  <c r="P13" i="240"/>
  <c r="H13" i="240"/>
  <c r="M12" i="240"/>
  <c r="E12" i="240"/>
  <c r="J11" i="240"/>
  <c r="Q90" i="240"/>
  <c r="O89" i="234" s="1"/>
  <c r="Q88" i="240"/>
  <c r="O87" i="234" s="1"/>
  <c r="Q73" i="240"/>
  <c r="O72" i="234" s="1"/>
  <c r="Q71" i="240"/>
  <c r="O70" i="234" s="1"/>
  <c r="M66" i="240"/>
  <c r="E66" i="240"/>
  <c r="O64" i="240"/>
  <c r="G64" i="240"/>
  <c r="L63" i="240"/>
  <c r="I62" i="240"/>
  <c r="N61" i="240"/>
  <c r="F61" i="240"/>
  <c r="K60" i="240"/>
  <c r="P59" i="240"/>
  <c r="H59" i="240"/>
  <c r="M58" i="240"/>
  <c r="E58" i="240"/>
  <c r="J57" i="240"/>
  <c r="O56" i="240"/>
  <c r="G56" i="240"/>
  <c r="L55" i="240"/>
  <c r="I54" i="240"/>
  <c r="N53" i="240"/>
  <c r="F53" i="240"/>
  <c r="P49" i="240"/>
  <c r="H49" i="240"/>
  <c r="N18" i="240"/>
  <c r="F18" i="240"/>
  <c r="K17" i="240"/>
  <c r="P16" i="240"/>
  <c r="H16" i="240"/>
  <c r="M15" i="240"/>
  <c r="E15" i="240"/>
  <c r="J14" i="240"/>
  <c r="O13" i="240"/>
  <c r="G13" i="240"/>
  <c r="L12" i="240"/>
  <c r="I11" i="240"/>
  <c r="Q101" i="240"/>
  <c r="O100" i="234" s="1"/>
  <c r="Q76" i="240"/>
  <c r="O75" i="234" s="1"/>
  <c r="Q47" i="240"/>
  <c r="O47" i="234" s="1"/>
  <c r="J66" i="240"/>
  <c r="L64" i="240"/>
  <c r="I63" i="240"/>
  <c r="N62" i="240"/>
  <c r="F62" i="240"/>
  <c r="K61" i="240"/>
  <c r="P60" i="240"/>
  <c r="H60" i="240"/>
  <c r="M59" i="240"/>
  <c r="E59" i="240"/>
  <c r="J58" i="240"/>
  <c r="O57" i="240"/>
  <c r="G57" i="240"/>
  <c r="L56" i="240"/>
  <c r="I55" i="240"/>
  <c r="N54" i="240"/>
  <c r="F54" i="240"/>
  <c r="K53" i="240"/>
  <c r="M49" i="240"/>
  <c r="E49" i="240"/>
  <c r="K18" i="240"/>
  <c r="P17" i="240"/>
  <c r="H17" i="240"/>
  <c r="M16" i="240"/>
  <c r="E16" i="240"/>
  <c r="J15" i="240"/>
  <c r="O14" i="240"/>
  <c r="G14" i="240"/>
  <c r="L13" i="240"/>
  <c r="Q188" i="240"/>
  <c r="O182" i="234" s="1"/>
  <c r="I12" i="240"/>
  <c r="N11" i="240"/>
  <c r="F11" i="240"/>
  <c r="Q89" i="240"/>
  <c r="O88" i="234" s="1"/>
  <c r="Q74" i="240"/>
  <c r="O73" i="234" s="1"/>
  <c r="Q72" i="240"/>
  <c r="O71" i="234" s="1"/>
  <c r="L49" i="240"/>
  <c r="J18" i="240"/>
  <c r="O17" i="240"/>
  <c r="G17" i="240"/>
  <c r="L16" i="240"/>
  <c r="Q191" i="240"/>
  <c r="O185" i="234" s="1"/>
  <c r="I15" i="240"/>
  <c r="N14" i="240"/>
  <c r="F14" i="240"/>
  <c r="K13" i="240"/>
  <c r="P12" i="240"/>
  <c r="H12" i="240"/>
  <c r="M11" i="240"/>
  <c r="E11" i="240"/>
  <c r="Q114" i="240"/>
  <c r="O113" i="234" s="1"/>
  <c r="Q85" i="240"/>
  <c r="O84" i="234" s="1"/>
  <c r="G141" i="239"/>
  <c r="Q464" i="239"/>
  <c r="N455" i="234" s="1"/>
  <c r="Q117" i="239"/>
  <c r="N116" i="234" s="1"/>
  <c r="E141" i="239"/>
  <c r="K490" i="239"/>
  <c r="Q127" i="239"/>
  <c r="N126" i="234" s="1"/>
  <c r="Q472" i="239"/>
  <c r="N463" i="234" s="1"/>
  <c r="Q119" i="239"/>
  <c r="N118" i="234" s="1"/>
  <c r="J141" i="239"/>
  <c r="Q456" i="239"/>
  <c r="N447" i="234" s="1"/>
  <c r="N454" i="239"/>
  <c r="F454" i="239"/>
  <c r="J444" i="239"/>
  <c r="Q432" i="239"/>
  <c r="N423" i="234" s="1"/>
  <c r="K95" i="239"/>
  <c r="Q414" i="239"/>
  <c r="N407" i="234" s="1"/>
  <c r="N63" i="239"/>
  <c r="F63" i="239"/>
  <c r="L58" i="239"/>
  <c r="I57" i="239"/>
  <c r="M56" i="239"/>
  <c r="E56" i="239"/>
  <c r="Q232" i="239"/>
  <c r="N226" i="234" s="1"/>
  <c r="J55" i="239"/>
  <c r="J255" i="239"/>
  <c r="J272" i="239" s="1"/>
  <c r="N54" i="239"/>
  <c r="N255" i="239"/>
  <c r="N272" i="239" s="1"/>
  <c r="F54" i="239"/>
  <c r="F255" i="239"/>
  <c r="F272" i="239" s="1"/>
  <c r="J53" i="239"/>
  <c r="K16" i="239"/>
  <c r="K14" i="239"/>
  <c r="Q190" i="239"/>
  <c r="N184" i="234" s="1"/>
  <c r="Q172" i="239"/>
  <c r="Q137" i="239"/>
  <c r="N136" i="234" s="1"/>
  <c r="Q128" i="239"/>
  <c r="N127" i="234" s="1"/>
  <c r="Q104" i="239"/>
  <c r="N103" i="234" s="1"/>
  <c r="Q175" i="239"/>
  <c r="J490" i="239"/>
  <c r="Q479" i="239"/>
  <c r="N470" i="234" s="1"/>
  <c r="Q475" i="239"/>
  <c r="N466" i="234" s="1"/>
  <c r="Q122" i="239"/>
  <c r="N121" i="234" s="1"/>
  <c r="Q466" i="239"/>
  <c r="N457" i="234" s="1"/>
  <c r="I141" i="239"/>
  <c r="I444" i="239"/>
  <c r="Q82" i="239"/>
  <c r="N81" i="234" s="1"/>
  <c r="J95" i="239"/>
  <c r="Q397" i="239"/>
  <c r="N390" i="234" s="1"/>
  <c r="Q359" i="239"/>
  <c r="N352" i="234" s="1"/>
  <c r="E377" i="239"/>
  <c r="Q283" i="239"/>
  <c r="N277" i="234" s="1"/>
  <c r="Q274" i="239"/>
  <c r="N268" i="234" s="1"/>
  <c r="E65" i="239"/>
  <c r="Q65" i="239" s="1"/>
  <c r="N65" i="234" s="1"/>
  <c r="Q241" i="239"/>
  <c r="N235" i="234" s="1"/>
  <c r="I64" i="239"/>
  <c r="M61" i="239"/>
  <c r="E61" i="239"/>
  <c r="Q237" i="239"/>
  <c r="N231" i="234" s="1"/>
  <c r="J60" i="239"/>
  <c r="O59" i="239"/>
  <c r="G59" i="239"/>
  <c r="K58" i="239"/>
  <c r="P57" i="239"/>
  <c r="H57" i="239"/>
  <c r="L56" i="239"/>
  <c r="Q231" i="239"/>
  <c r="N225" i="234" s="1"/>
  <c r="I55" i="239"/>
  <c r="I255" i="239"/>
  <c r="I272" i="239" s="1"/>
  <c r="M54" i="239"/>
  <c r="Q230" i="239"/>
  <c r="N224" i="234" s="1"/>
  <c r="E54" i="239"/>
  <c r="O49" i="239"/>
  <c r="G49" i="239"/>
  <c r="N17" i="239"/>
  <c r="F17" i="239"/>
  <c r="Q193" i="239"/>
  <c r="N187" i="234" s="1"/>
  <c r="N15" i="239"/>
  <c r="N205" i="239"/>
  <c r="N226" i="239" s="1"/>
  <c r="F15" i="239"/>
  <c r="Q191" i="239"/>
  <c r="N185" i="234" s="1"/>
  <c r="Q139" i="239"/>
  <c r="N138" i="234" s="1"/>
  <c r="Q114" i="239"/>
  <c r="N113" i="234" s="1"/>
  <c r="I490" i="239"/>
  <c r="Q129" i="239"/>
  <c r="N128" i="234" s="1"/>
  <c r="Q125" i="239"/>
  <c r="N124" i="234" s="1"/>
  <c r="Q470" i="239"/>
  <c r="N461" i="234" s="1"/>
  <c r="P141" i="239"/>
  <c r="H141" i="239"/>
  <c r="Q448" i="239"/>
  <c r="N439" i="234" s="1"/>
  <c r="P444" i="239"/>
  <c r="H444" i="239"/>
  <c r="Q430" i="239"/>
  <c r="N421" i="234" s="1"/>
  <c r="I95" i="239"/>
  <c r="Q417" i="239"/>
  <c r="N410" i="234" s="1"/>
  <c r="Q364" i="239"/>
  <c r="N357" i="234" s="1"/>
  <c r="L107" i="239"/>
  <c r="L115" i="239" s="1"/>
  <c r="O281" i="239"/>
  <c r="O255" i="239"/>
  <c r="O272" i="239" s="1"/>
  <c r="P66" i="239"/>
  <c r="H66" i="239"/>
  <c r="P62" i="239"/>
  <c r="H62" i="239"/>
  <c r="L61" i="239"/>
  <c r="Q236" i="239"/>
  <c r="N230" i="234" s="1"/>
  <c r="I60" i="239"/>
  <c r="N59" i="239"/>
  <c r="F59" i="239"/>
  <c r="P490" i="239"/>
  <c r="H490" i="239"/>
  <c r="Q473" i="239"/>
  <c r="N464" i="234" s="1"/>
  <c r="O444" i="239"/>
  <c r="G444" i="239"/>
  <c r="Q433" i="239"/>
  <c r="N424" i="234" s="1"/>
  <c r="P95" i="239"/>
  <c r="H95" i="239"/>
  <c r="O428" i="239"/>
  <c r="G428" i="239"/>
  <c r="K98" i="239"/>
  <c r="K105" i="239" s="1"/>
  <c r="F68" i="239"/>
  <c r="Q244" i="239"/>
  <c r="N238" i="234" s="1"/>
  <c r="K63" i="239"/>
  <c r="O62" i="239"/>
  <c r="G62" i="239"/>
  <c r="P18" i="239"/>
  <c r="H18" i="239"/>
  <c r="G107" i="239"/>
  <c r="G115" i="239" s="1"/>
  <c r="O490" i="239"/>
  <c r="G490" i="239"/>
  <c r="Q476" i="239"/>
  <c r="N467" i="234" s="1"/>
  <c r="Q468" i="239"/>
  <c r="N459" i="234" s="1"/>
  <c r="N141" i="239"/>
  <c r="F141" i="239"/>
  <c r="Q83" i="239"/>
  <c r="N82" i="234" s="1"/>
  <c r="O95" i="239"/>
  <c r="G95" i="239"/>
  <c r="J291" i="239"/>
  <c r="J107" i="239"/>
  <c r="J115" i="239" s="1"/>
  <c r="J98" i="239"/>
  <c r="J105" i="239" s="1"/>
  <c r="J281" i="239"/>
  <c r="L255" i="239"/>
  <c r="L272" i="239" s="1"/>
  <c r="N66" i="239"/>
  <c r="F66" i="239"/>
  <c r="N64" i="239"/>
  <c r="F64" i="239"/>
  <c r="Q171" i="239"/>
  <c r="Q522" i="239"/>
  <c r="N509" i="234" s="1"/>
  <c r="N490" i="239"/>
  <c r="F490" i="239"/>
  <c r="Q130" i="239"/>
  <c r="N129" i="234" s="1"/>
  <c r="Q126" i="239"/>
  <c r="N125" i="234" s="1"/>
  <c r="Q471" i="239"/>
  <c r="N462" i="234" s="1"/>
  <c r="M444" i="239"/>
  <c r="E444" i="239"/>
  <c r="Q431" i="239"/>
  <c r="N422" i="234" s="1"/>
  <c r="N95" i="239"/>
  <c r="F95" i="239"/>
  <c r="Q407" i="239"/>
  <c r="N400" i="234" s="1"/>
  <c r="Q402" i="239"/>
  <c r="N395" i="234" s="1"/>
  <c r="I98" i="239"/>
  <c r="I105" i="239" s="1"/>
  <c r="G255" i="239"/>
  <c r="G272" i="239" s="1"/>
  <c r="E66" i="239"/>
  <c r="Q242" i="239"/>
  <c r="N236" i="234" s="1"/>
  <c r="Q229" i="239"/>
  <c r="N223" i="234" s="1"/>
  <c r="Q167" i="239"/>
  <c r="M490" i="239"/>
  <c r="E490" i="239"/>
  <c r="Q478" i="239"/>
  <c r="N469" i="234" s="1"/>
  <c r="Q474" i="239"/>
  <c r="N465" i="234" s="1"/>
  <c r="Q121" i="239"/>
  <c r="N120" i="234" s="1"/>
  <c r="L141" i="239"/>
  <c r="Q99" i="239"/>
  <c r="N98" i="234" s="1"/>
  <c r="L444" i="239"/>
  <c r="M95" i="239"/>
  <c r="E95" i="239"/>
  <c r="Q81" i="239"/>
  <c r="N80" i="234" s="1"/>
  <c r="Q69" i="239"/>
  <c r="N68" i="234" s="1"/>
  <c r="Q365" i="239"/>
  <c r="N358" i="234" s="1"/>
  <c r="P377" i="239"/>
  <c r="P398" i="239" s="1"/>
  <c r="H377" i="239"/>
  <c r="H398" i="239" s="1"/>
  <c r="P107" i="239"/>
  <c r="P115" i="239" s="1"/>
  <c r="P291" i="239"/>
  <c r="H107" i="239"/>
  <c r="H115" i="239" s="1"/>
  <c r="H291" i="239"/>
  <c r="G281" i="239"/>
  <c r="P98" i="239"/>
  <c r="P105" i="239" s="1"/>
  <c r="P281" i="239"/>
  <c r="H98" i="239"/>
  <c r="H105" i="239" s="1"/>
  <c r="H281" i="239"/>
  <c r="E255" i="239"/>
  <c r="F58" i="239"/>
  <c r="Q234" i="239"/>
  <c r="N228" i="234" s="1"/>
  <c r="P255" i="239"/>
  <c r="P272" i="239" s="1"/>
  <c r="H255" i="239"/>
  <c r="H272" i="239" s="1"/>
  <c r="Q192" i="239"/>
  <c r="N186" i="234" s="1"/>
  <c r="E12" i="239"/>
  <c r="E205" i="239"/>
  <c r="Q188" i="239"/>
  <c r="N182" i="234" s="1"/>
  <c r="Q169" i="239"/>
  <c r="Q135" i="239"/>
  <c r="N134" i="234" s="1"/>
  <c r="Q100" i="239"/>
  <c r="N99" i="234" s="1"/>
  <c r="Q124" i="239"/>
  <c r="N123" i="234" s="1"/>
  <c r="K141" i="239"/>
  <c r="Q84" i="239"/>
  <c r="N83" i="234" s="1"/>
  <c r="Q410" i="239"/>
  <c r="N403" i="234" s="1"/>
  <c r="P428" i="239"/>
  <c r="H428" i="239"/>
  <c r="Q361" i="239"/>
  <c r="N354" i="234" s="1"/>
  <c r="O107" i="239"/>
  <c r="O115" i="239" s="1"/>
  <c r="O291" i="239"/>
  <c r="K53" i="239"/>
  <c r="K255" i="239"/>
  <c r="K272" i="239" s="1"/>
  <c r="P11" i="239"/>
  <c r="P205" i="239"/>
  <c r="P226" i="239" s="1"/>
  <c r="H11" i="239"/>
  <c r="H205" i="239"/>
  <c r="H226" i="239" s="1"/>
  <c r="Q112" i="239"/>
  <c r="N111" i="234" s="1"/>
  <c r="E291" i="239"/>
  <c r="I107" i="239"/>
  <c r="I115" i="239" s="1"/>
  <c r="M68" i="239"/>
  <c r="E68" i="239"/>
  <c r="O66" i="239"/>
  <c r="G66" i="239"/>
  <c r="P64" i="239"/>
  <c r="H64" i="239"/>
  <c r="M63" i="239"/>
  <c r="E63" i="239"/>
  <c r="I62" i="239"/>
  <c r="N61" i="239"/>
  <c r="F61" i="239"/>
  <c r="K60" i="239"/>
  <c r="P59" i="239"/>
  <c r="H59" i="239"/>
  <c r="M58" i="239"/>
  <c r="E58" i="239"/>
  <c r="J57" i="239"/>
  <c r="N56" i="239"/>
  <c r="F56" i="239"/>
  <c r="K55" i="239"/>
  <c r="O54" i="239"/>
  <c r="G54" i="239"/>
  <c r="L53" i="239"/>
  <c r="I49" i="239"/>
  <c r="J18" i="239"/>
  <c r="O17" i="239"/>
  <c r="G17" i="239"/>
  <c r="L16" i="239"/>
  <c r="P15" i="239"/>
  <c r="H15" i="239"/>
  <c r="M14" i="239"/>
  <c r="E14" i="239"/>
  <c r="I13" i="239"/>
  <c r="N12" i="239"/>
  <c r="F12" i="239"/>
  <c r="J11" i="239"/>
  <c r="Q132" i="239"/>
  <c r="N131" i="234" s="1"/>
  <c r="Q111" i="239"/>
  <c r="N110" i="234" s="1"/>
  <c r="Q109" i="239"/>
  <c r="N108" i="234" s="1"/>
  <c r="N107" i="239"/>
  <c r="N115" i="239" s="1"/>
  <c r="F107" i="239"/>
  <c r="F115" i="239" s="1"/>
  <c r="N98" i="239"/>
  <c r="N105" i="239" s="1"/>
  <c r="F98" i="239"/>
  <c r="F105" i="239" s="1"/>
  <c r="J68" i="239"/>
  <c r="L66" i="239"/>
  <c r="M64" i="239"/>
  <c r="E64" i="239"/>
  <c r="Q240" i="239"/>
  <c r="N234" i="234" s="1"/>
  <c r="J63" i="239"/>
  <c r="N62" i="239"/>
  <c r="F62" i="239"/>
  <c r="K61" i="239"/>
  <c r="P60" i="239"/>
  <c r="H60" i="239"/>
  <c r="M59" i="239"/>
  <c r="E59" i="239"/>
  <c r="J58" i="239"/>
  <c r="O57" i="239"/>
  <c r="G57" i="239"/>
  <c r="K56" i="239"/>
  <c r="P55" i="239"/>
  <c r="H55" i="239"/>
  <c r="L54" i="239"/>
  <c r="I53" i="239"/>
  <c r="N49" i="239"/>
  <c r="F49" i="239"/>
  <c r="O18" i="239"/>
  <c r="G18" i="239"/>
  <c r="L17" i="239"/>
  <c r="I16" i="239"/>
  <c r="N13" i="239"/>
  <c r="F13" i="239"/>
  <c r="K12" i="239"/>
  <c r="K205" i="239"/>
  <c r="K226" i="239" s="1"/>
  <c r="O11" i="239"/>
  <c r="O205" i="239"/>
  <c r="O226" i="239" s="1"/>
  <c r="G11" i="239"/>
  <c r="G205" i="239"/>
  <c r="G226" i="239" s="1"/>
  <c r="Q170" i="239"/>
  <c r="Q140" i="239"/>
  <c r="N139" i="234" s="1"/>
  <c r="M107" i="239"/>
  <c r="M115" i="239" s="1"/>
  <c r="E107" i="239"/>
  <c r="M98" i="239"/>
  <c r="M105" i="239" s="1"/>
  <c r="E98" i="239"/>
  <c r="I68" i="239"/>
  <c r="K66" i="239"/>
  <c r="L64" i="239"/>
  <c r="Q239" i="239"/>
  <c r="N233" i="234" s="1"/>
  <c r="I63" i="239"/>
  <c r="M62" i="239"/>
  <c r="Q238" i="239"/>
  <c r="N232" i="234" s="1"/>
  <c r="E62" i="239"/>
  <c r="J61" i="239"/>
  <c r="O60" i="239"/>
  <c r="G60" i="239"/>
  <c r="L59" i="239"/>
  <c r="I58" i="239"/>
  <c r="N57" i="239"/>
  <c r="F57" i="239"/>
  <c r="J56" i="239"/>
  <c r="O55" i="239"/>
  <c r="G55" i="239"/>
  <c r="K54" i="239"/>
  <c r="P53" i="239"/>
  <c r="H53" i="239"/>
  <c r="M49" i="239"/>
  <c r="E49" i="239"/>
  <c r="L15" i="239"/>
  <c r="I14" i="239"/>
  <c r="M13" i="239"/>
  <c r="E13" i="239"/>
  <c r="Q189" i="239"/>
  <c r="N183" i="234" s="1"/>
  <c r="J12" i="239"/>
  <c r="N11" i="239"/>
  <c r="F11" i="239"/>
  <c r="Q110" i="239"/>
  <c r="N109" i="234" s="1"/>
  <c r="I281" i="239"/>
  <c r="L98" i="239"/>
  <c r="L105" i="239" s="1"/>
  <c r="P68" i="239"/>
  <c r="H68" i="239"/>
  <c r="Q67" i="239"/>
  <c r="J66" i="239"/>
  <c r="K64" i="239"/>
  <c r="P63" i="239"/>
  <c r="H63" i="239"/>
  <c r="L62" i="239"/>
  <c r="I61" i="239"/>
  <c r="N60" i="239"/>
  <c r="F60" i="239"/>
  <c r="K59" i="239"/>
  <c r="P58" i="239"/>
  <c r="H58" i="239"/>
  <c r="M57" i="239"/>
  <c r="E57" i="239"/>
  <c r="I56" i="239"/>
  <c r="N55" i="239"/>
  <c r="F55" i="239"/>
  <c r="J54" i="239"/>
  <c r="O53" i="239"/>
  <c r="G53" i="239"/>
  <c r="L49" i="239"/>
  <c r="F205" i="239"/>
  <c r="F226" i="239" s="1"/>
  <c r="M18" i="239"/>
  <c r="E18" i="239"/>
  <c r="J17" i="239"/>
  <c r="O16" i="239"/>
  <c r="G16" i="239"/>
  <c r="K15" i="239"/>
  <c r="P14" i="239"/>
  <c r="H14" i="239"/>
  <c r="L13" i="239"/>
  <c r="I12" i="239"/>
  <c r="I205" i="239"/>
  <c r="I226" i="239" s="1"/>
  <c r="M11" i="239"/>
  <c r="E11" i="239"/>
  <c r="Q166" i="239"/>
  <c r="Q136" i="239"/>
  <c r="N135" i="234" s="1"/>
  <c r="Q103" i="239"/>
  <c r="N102" i="234" s="1"/>
  <c r="Q94" i="239"/>
  <c r="N93" i="234" s="1"/>
  <c r="O68" i="239"/>
  <c r="G68" i="239"/>
  <c r="I66" i="239"/>
  <c r="J64" i="239"/>
  <c r="O63" i="239"/>
  <c r="G63" i="239"/>
  <c r="K62" i="239"/>
  <c r="P61" i="239"/>
  <c r="H61" i="239"/>
  <c r="M60" i="239"/>
  <c r="E60" i="239"/>
  <c r="J59" i="239"/>
  <c r="O58" i="239"/>
  <c r="G58" i="239"/>
  <c r="L57" i="239"/>
  <c r="P56" i="239"/>
  <c r="H56" i="239"/>
  <c r="M55" i="239"/>
  <c r="E55" i="239"/>
  <c r="I54" i="239"/>
  <c r="N53" i="239"/>
  <c r="F53" i="239"/>
  <c r="K49" i="239"/>
  <c r="L18" i="239"/>
  <c r="I17" i="239"/>
  <c r="N16" i="239"/>
  <c r="F16" i="239"/>
  <c r="J15" i="239"/>
  <c r="O14" i="239"/>
  <c r="G14" i="239"/>
  <c r="K13" i="239"/>
  <c r="P12" i="239"/>
  <c r="H12" i="239"/>
  <c r="L11" i="239"/>
  <c r="Q113" i="239"/>
  <c r="N112" i="234" s="1"/>
  <c r="P54" i="239"/>
  <c r="H54" i="239"/>
  <c r="M53" i="239"/>
  <c r="E53" i="239"/>
  <c r="J49" i="239"/>
  <c r="K18" i="239"/>
  <c r="P17" i="239"/>
  <c r="H17" i="239"/>
  <c r="M16" i="239"/>
  <c r="E16" i="239"/>
  <c r="I15" i="239"/>
  <c r="N14" i="239"/>
  <c r="F14" i="239"/>
  <c r="J13" i="239"/>
  <c r="O12" i="239"/>
  <c r="G12" i="239"/>
  <c r="K11" i="239"/>
  <c r="Q134" i="239"/>
  <c r="N133" i="234" s="1"/>
  <c r="Q108" i="239"/>
  <c r="N107" i="234" s="1"/>
  <c r="Q93" i="239"/>
  <c r="N92" i="234" s="1"/>
  <c r="Q73" i="239"/>
  <c r="N72" i="234" s="1"/>
  <c r="Q19" i="239"/>
  <c r="N19" i="234" s="1"/>
  <c r="N18" i="239"/>
  <c r="F18" i="239"/>
  <c r="K17" i="239"/>
  <c r="P16" i="239"/>
  <c r="H16" i="239"/>
  <c r="M15" i="239"/>
  <c r="E15" i="239"/>
  <c r="J14" i="239"/>
  <c r="O13" i="239"/>
  <c r="G13" i="239"/>
  <c r="L12" i="239"/>
  <c r="Q187" i="239"/>
  <c r="N181" i="234" s="1"/>
  <c r="I11" i="239"/>
  <c r="Q101" i="239"/>
  <c r="N100" i="234" s="1"/>
  <c r="Q47" i="239"/>
  <c r="N47" i="234" s="1"/>
  <c r="Q42" i="239"/>
  <c r="N42" i="234" s="1"/>
  <c r="Q24" i="239"/>
  <c r="N24" i="234" s="1"/>
  <c r="Q76" i="239"/>
  <c r="N75" i="234" s="1"/>
  <c r="Q33" i="239"/>
  <c r="N33" i="234" s="1"/>
  <c r="Q22" i="239"/>
  <c r="N22" i="234" s="1"/>
  <c r="Q20" i="239"/>
  <c r="N20" i="234" s="1"/>
  <c r="Q92" i="239"/>
  <c r="N91" i="234" s="1"/>
  <c r="Q31" i="239"/>
  <c r="N31" i="234" s="1"/>
  <c r="Q90" i="239"/>
  <c r="N89" i="234" s="1"/>
  <c r="Q85" i="239"/>
  <c r="N84" i="234" s="1"/>
  <c r="Q102" i="239"/>
  <c r="N101" i="234" s="1"/>
  <c r="Q41" i="239"/>
  <c r="N41" i="234" s="1"/>
  <c r="Q25" i="239"/>
  <c r="N25" i="234" s="1"/>
  <c r="Q75" i="239"/>
  <c r="N74" i="234" s="1"/>
  <c r="Q39" i="239"/>
  <c r="N39" i="234" s="1"/>
  <c r="Q34" i="239"/>
  <c r="N34" i="234" s="1"/>
  <c r="M126" i="234"/>
  <c r="M120" i="234"/>
  <c r="M455" i="234"/>
  <c r="M128" i="234"/>
  <c r="M124" i="234"/>
  <c r="M461" i="234"/>
  <c r="M439" i="234"/>
  <c r="M421" i="234"/>
  <c r="M68" i="234"/>
  <c r="M188" i="234"/>
  <c r="M130" i="234"/>
  <c r="M229" i="234"/>
  <c r="M224" i="234"/>
  <c r="M467" i="234"/>
  <c r="M122" i="234"/>
  <c r="M459" i="234"/>
  <c r="M82" i="234"/>
  <c r="M181" i="234"/>
  <c r="M139" i="234"/>
  <c r="M127" i="234"/>
  <c r="M125" i="234"/>
  <c r="M129" i="234"/>
  <c r="M116" i="234"/>
  <c r="M422" i="234"/>
  <c r="M235" i="234"/>
  <c r="M228" i="234"/>
  <c r="M186" i="234"/>
  <c r="M169" i="234"/>
  <c r="M469" i="234"/>
  <c r="M465" i="234"/>
  <c r="M98" i="234"/>
  <c r="M80" i="234"/>
  <c r="M410" i="234"/>
  <c r="M268" i="234"/>
  <c r="M237" i="234"/>
  <c r="M232" i="234"/>
  <c r="M225" i="234"/>
  <c r="M187" i="234"/>
  <c r="M184" i="234"/>
  <c r="M131" i="234"/>
  <c r="M119" i="234"/>
  <c r="M438" i="234"/>
  <c r="M83" i="234"/>
  <c r="M238" i="234"/>
  <c r="M231" i="234"/>
  <c r="M226" i="234"/>
  <c r="M185" i="234"/>
  <c r="M182" i="234"/>
  <c r="M463" i="234"/>
  <c r="M118" i="234"/>
  <c r="M447" i="234"/>
  <c r="M423" i="234"/>
  <c r="M236" i="234"/>
  <c r="M183" i="234"/>
  <c r="M138" i="234"/>
  <c r="M136" i="234"/>
  <c r="M109" i="234"/>
  <c r="M470" i="234"/>
  <c r="M457" i="234"/>
  <c r="M81" i="234"/>
  <c r="M65" i="234"/>
  <c r="M233" i="234"/>
  <c r="M137" i="234"/>
  <c r="M117" i="234"/>
  <c r="M111" i="234"/>
  <c r="M102" i="234"/>
  <c r="M110" i="234"/>
  <c r="M108" i="234"/>
  <c r="M101" i="234"/>
  <c r="Q43" i="237"/>
  <c r="L43" i="234" s="1"/>
  <c r="Q168" i="237"/>
  <c r="Q171" i="237"/>
  <c r="Q131" i="237"/>
  <c r="L131" i="234" s="1"/>
  <c r="Q315" i="237"/>
  <c r="L311" i="234" s="1"/>
  <c r="Q343" i="237"/>
  <c r="L337" i="234" s="1"/>
  <c r="Q269" i="237"/>
  <c r="L265" i="234" s="1"/>
  <c r="Q170" i="237"/>
  <c r="Q90" i="237"/>
  <c r="L90" i="234" s="1"/>
  <c r="Q86" i="237"/>
  <c r="L86" i="234" s="1"/>
  <c r="Q169" i="237"/>
  <c r="Q99" i="237"/>
  <c r="L99" i="234" s="1"/>
  <c r="Q92" i="237"/>
  <c r="L92" i="234" s="1"/>
  <c r="Q73" i="237"/>
  <c r="L73" i="234" s="1"/>
  <c r="Q69" i="237"/>
  <c r="L69" i="234" s="1"/>
  <c r="Q102" i="237"/>
  <c r="L102" i="234" s="1"/>
  <c r="Q100" i="237"/>
  <c r="L100" i="234" s="1"/>
  <c r="L45" i="234"/>
  <c r="Q134" i="237"/>
  <c r="L134" i="234" s="1"/>
  <c r="Q112" i="237"/>
  <c r="L112" i="234" s="1"/>
  <c r="Q75" i="237"/>
  <c r="L75" i="234" s="1"/>
  <c r="Q47" i="237"/>
  <c r="L47" i="234" s="1"/>
  <c r="Q22" i="237"/>
  <c r="L22" i="234" s="1"/>
  <c r="Q20" i="237"/>
  <c r="L20" i="234" s="1"/>
  <c r="Q167" i="237"/>
  <c r="Q139" i="237"/>
  <c r="L139" i="234" s="1"/>
  <c r="Q108" i="237"/>
  <c r="L108" i="234" s="1"/>
  <c r="Q165" i="237"/>
  <c r="Q137" i="237"/>
  <c r="L137" i="234" s="1"/>
  <c r="Q133" i="237"/>
  <c r="L133" i="234" s="1"/>
  <c r="Q117" i="237"/>
  <c r="L117" i="234" s="1"/>
  <c r="Q101" i="237"/>
  <c r="L101" i="234" s="1"/>
  <c r="Q85" i="237"/>
  <c r="L85" i="234" s="1"/>
  <c r="Q48" i="237"/>
  <c r="L48" i="234" s="1"/>
  <c r="Q19" i="237"/>
  <c r="L19" i="234" s="1"/>
  <c r="L44" i="234"/>
  <c r="Q111" i="237"/>
  <c r="L111" i="234" s="1"/>
  <c r="Q91" i="237"/>
  <c r="L91" i="234" s="1"/>
  <c r="Q84" i="237"/>
  <c r="L84" i="234" s="1"/>
  <c r="Q74" i="237"/>
  <c r="L74" i="234" s="1"/>
  <c r="Q25" i="237"/>
  <c r="L25" i="234" s="1"/>
  <c r="Q23" i="237"/>
  <c r="L23" i="234" s="1"/>
  <c r="Q77" i="237"/>
  <c r="L77" i="234" s="1"/>
  <c r="Q87" i="237"/>
  <c r="L87" i="234" s="1"/>
  <c r="Q70" i="237"/>
  <c r="L70" i="234" s="1"/>
  <c r="Q28" i="237"/>
  <c r="L28" i="234" s="1"/>
  <c r="Q42" i="237"/>
  <c r="L42" i="234" s="1"/>
  <c r="K511" i="234"/>
  <c r="K493" i="234"/>
  <c r="K473" i="234"/>
  <c r="K494" i="234"/>
  <c r="K421" i="234"/>
  <c r="I390" i="234"/>
  <c r="K430" i="234"/>
  <c r="K417" i="234"/>
  <c r="K401" i="234"/>
  <c r="K380" i="234"/>
  <c r="K459" i="234"/>
  <c r="K447" i="234"/>
  <c r="K444" i="234"/>
  <c r="K443" i="234"/>
  <c r="K426" i="234"/>
  <c r="K425" i="234"/>
  <c r="K464" i="234"/>
  <c r="K441" i="234"/>
  <c r="K440" i="234"/>
  <c r="K471" i="234"/>
  <c r="J481" i="234"/>
  <c r="K463" i="234"/>
  <c r="K386" i="234"/>
  <c r="K506" i="234"/>
  <c r="K466" i="234"/>
  <c r="K375" i="234"/>
  <c r="K362" i="234"/>
  <c r="K261" i="234"/>
  <c r="K259" i="234"/>
  <c r="K208" i="234"/>
  <c r="K480" i="234"/>
  <c r="K478" i="234"/>
  <c r="K457" i="234"/>
  <c r="K408" i="234"/>
  <c r="K378" i="234"/>
  <c r="K293" i="234"/>
  <c r="K268" i="234"/>
  <c r="K255" i="234"/>
  <c r="K246" i="234"/>
  <c r="K245" i="234"/>
  <c r="K235" i="234"/>
  <c r="K218" i="234"/>
  <c r="K217" i="234"/>
  <c r="K216" i="234"/>
  <c r="K215" i="234"/>
  <c r="K209" i="234"/>
  <c r="K204" i="234"/>
  <c r="K196" i="234"/>
  <c r="K195" i="234"/>
  <c r="K194" i="234"/>
  <c r="K193" i="234"/>
  <c r="E622" i="236"/>
  <c r="E612" i="236"/>
  <c r="Q575" i="236"/>
  <c r="N141" i="236"/>
  <c r="N504" i="236"/>
  <c r="F141" i="236"/>
  <c r="F504" i="236"/>
  <c r="I478" i="236"/>
  <c r="O432" i="236"/>
  <c r="O433" i="236" s="1"/>
  <c r="G432" i="236"/>
  <c r="E368" i="236"/>
  <c r="E388" i="236" s="1"/>
  <c r="K389" i="234"/>
  <c r="K379" i="234"/>
  <c r="K504" i="234"/>
  <c r="K445" i="234"/>
  <c r="K363" i="234"/>
  <c r="K361" i="234"/>
  <c r="K360" i="234"/>
  <c r="K260" i="234"/>
  <c r="K258" i="234"/>
  <c r="K495" i="234"/>
  <c r="K488" i="234"/>
  <c r="K451" i="234"/>
  <c r="K377" i="234"/>
  <c r="J337" i="234"/>
  <c r="K281" i="234"/>
  <c r="K242" i="234"/>
  <c r="K212" i="234"/>
  <c r="K210" i="234"/>
  <c r="L504" i="236"/>
  <c r="F478" i="236"/>
  <c r="N432" i="236"/>
  <c r="F432" i="236"/>
  <c r="N416" i="236"/>
  <c r="F416" i="236"/>
  <c r="Q354" i="236"/>
  <c r="J602" i="236"/>
  <c r="Q578" i="236"/>
  <c r="F557" i="236"/>
  <c r="F558" i="236" s="1"/>
  <c r="Q157" i="236"/>
  <c r="H416" i="236"/>
  <c r="N335" i="236"/>
  <c r="K340" i="234"/>
  <c r="K313" i="234"/>
  <c r="K310" i="234"/>
  <c r="K309" i="234"/>
  <c r="K308" i="234"/>
  <c r="K307" i="234"/>
  <c r="K291" i="234"/>
  <c r="K287" i="234"/>
  <c r="K272" i="234"/>
  <c r="K239" i="234"/>
  <c r="K232" i="234"/>
  <c r="K229" i="234"/>
  <c r="K202" i="234"/>
  <c r="N478" i="236"/>
  <c r="P139" i="236"/>
  <c r="P478" i="236"/>
  <c r="H139" i="236"/>
  <c r="H478" i="236"/>
  <c r="K97" i="236"/>
  <c r="O368" i="236"/>
  <c r="O388" i="236" s="1"/>
  <c r="G368" i="236"/>
  <c r="G388" i="236" s="1"/>
  <c r="K381" i="234"/>
  <c r="K373" i="234"/>
  <c r="K367" i="234"/>
  <c r="L557" i="236"/>
  <c r="L558" i="236" s="1"/>
  <c r="O139" i="236"/>
  <c r="O478" i="236"/>
  <c r="G478" i="236"/>
  <c r="N368" i="236"/>
  <c r="N388" i="236" s="1"/>
  <c r="F368" i="236"/>
  <c r="F388" i="236" s="1"/>
  <c r="J390" i="234"/>
  <c r="K299" i="234"/>
  <c r="Q648" i="236"/>
  <c r="M557" i="236"/>
  <c r="M558" i="236" s="1"/>
  <c r="E48" i="236"/>
  <c r="E557" i="236"/>
  <c r="N97" i="236"/>
  <c r="K372" i="234"/>
  <c r="K205" i="234"/>
  <c r="K154" i="234"/>
  <c r="Q605" i="236"/>
  <c r="N586" i="236"/>
  <c r="F586" i="236"/>
  <c r="E504" i="236"/>
  <c r="Q387" i="236"/>
  <c r="K198" i="234"/>
  <c r="M586" i="236"/>
  <c r="E586" i="236"/>
  <c r="O141" i="236"/>
  <c r="O504" i="236"/>
  <c r="G141" i="236"/>
  <c r="G504" i="236"/>
  <c r="M416" i="236"/>
  <c r="E416" i="236"/>
  <c r="G335" i="236"/>
  <c r="I139" i="236"/>
  <c r="F335" i="236"/>
  <c r="I247" i="236"/>
  <c r="Q222" i="236"/>
  <c r="F217" i="236"/>
  <c r="P217" i="236"/>
  <c r="H48" i="236"/>
  <c r="H217" i="236"/>
  <c r="P198" i="236"/>
  <c r="J11" i="236"/>
  <c r="J198" i="236"/>
  <c r="E139" i="236"/>
  <c r="Q109" i="236"/>
  <c r="Q74" i="236"/>
  <c r="P273" i="236"/>
  <c r="J97" i="236"/>
  <c r="I263" i="236"/>
  <c r="Q221" i="236"/>
  <c r="E217" i="236"/>
  <c r="Q152" i="236"/>
  <c r="Q87" i="236"/>
  <c r="J283" i="236"/>
  <c r="Q267" i="236"/>
  <c r="I97" i="236"/>
  <c r="H263" i="236"/>
  <c r="N198" i="236"/>
  <c r="Q163" i="236"/>
  <c r="Q85" i="236"/>
  <c r="Q83" i="236"/>
  <c r="Q76" i="236"/>
  <c r="N273" i="236"/>
  <c r="H97" i="236"/>
  <c r="O263" i="236"/>
  <c r="N247" i="236"/>
  <c r="F247" i="236"/>
  <c r="M198" i="236"/>
  <c r="O11" i="236"/>
  <c r="G11" i="236"/>
  <c r="Q144" i="236"/>
  <c r="Q142" i="236"/>
  <c r="Q135" i="236"/>
  <c r="Q133" i="236"/>
  <c r="Q90" i="236"/>
  <c r="H283" i="236"/>
  <c r="O97" i="236"/>
  <c r="G97" i="236"/>
  <c r="N11" i="236"/>
  <c r="F11" i="236"/>
  <c r="Q161" i="236"/>
  <c r="Q159" i="236"/>
  <c r="Q101" i="236"/>
  <c r="F97" i="236"/>
  <c r="Q181" i="236"/>
  <c r="E11" i="236"/>
  <c r="Q180" i="236"/>
  <c r="Q138" i="236"/>
  <c r="Q122" i="236"/>
  <c r="Q92" i="236"/>
  <c r="Q88" i="236"/>
  <c r="K48" i="236"/>
  <c r="O48" i="236"/>
  <c r="M97" i="236"/>
  <c r="E97" i="236"/>
  <c r="L263" i="236"/>
  <c r="Q143" i="236"/>
  <c r="Q134" i="236"/>
  <c r="Q129" i="236"/>
  <c r="Q118" i="236"/>
  <c r="L97" i="236"/>
  <c r="I48" i="236"/>
  <c r="I217" i="236"/>
  <c r="Q184" i="236"/>
  <c r="Q183" i="236"/>
  <c r="K11" i="236"/>
  <c r="K198" i="236"/>
  <c r="Q167" i="236"/>
  <c r="Q127" i="236"/>
  <c r="Q125" i="236"/>
  <c r="F139" i="236"/>
  <c r="Q91" i="236"/>
  <c r="I11" i="236"/>
  <c r="Q84" i="236"/>
  <c r="Q75" i="236"/>
  <c r="Q36" i="236"/>
  <c r="Q34" i="236"/>
  <c r="P11" i="236"/>
  <c r="H11" i="236"/>
  <c r="Q120" i="236"/>
  <c r="Q115" i="236"/>
  <c r="Q111" i="236"/>
  <c r="Q98" i="236"/>
  <c r="Q19" i="236"/>
  <c r="Q43" i="236"/>
  <c r="G48" i="236"/>
  <c r="Q26" i="236"/>
  <c r="L139" i="236"/>
  <c r="Q46" i="236"/>
  <c r="Q25" i="236"/>
  <c r="Q20" i="236"/>
  <c r="N48" i="236"/>
  <c r="F48" i="236"/>
  <c r="Q121" i="236"/>
  <c r="Q112" i="236"/>
  <c r="Q119" i="236"/>
  <c r="Q86" i="236"/>
  <c r="Q35" i="236"/>
  <c r="Q33" i="236"/>
  <c r="Q18" i="236"/>
  <c r="Q110" i="236"/>
  <c r="Q24" i="236"/>
  <c r="O507" i="235"/>
  <c r="H481" i="235"/>
  <c r="J123" i="235"/>
  <c r="Q123" i="235" s="1"/>
  <c r="F123" i="234" s="1"/>
  <c r="Q464" i="235"/>
  <c r="F464" i="234" s="1"/>
  <c r="Q463" i="235"/>
  <c r="F463" i="234" s="1"/>
  <c r="Q491" i="235"/>
  <c r="F491" i="234" s="1"/>
  <c r="Q465" i="235"/>
  <c r="F465" i="234" s="1"/>
  <c r="J147" i="235"/>
  <c r="Q489" i="235"/>
  <c r="F489" i="234" s="1"/>
  <c r="E148" i="235"/>
  <c r="Q494" i="235"/>
  <c r="F494" i="234" s="1"/>
  <c r="Q492" i="235"/>
  <c r="F492" i="234" s="1"/>
  <c r="I507" i="235"/>
  <c r="Q488" i="235"/>
  <c r="F488" i="234" s="1"/>
  <c r="P481" i="235"/>
  <c r="O122" i="235"/>
  <c r="O140" i="235" s="1"/>
  <c r="O481" i="235"/>
  <c r="M507" i="235"/>
  <c r="E507" i="235"/>
  <c r="I481" i="235"/>
  <c r="Q466" i="235"/>
  <c r="F466" i="234" s="1"/>
  <c r="Q121" i="235"/>
  <c r="F121" i="234" s="1"/>
  <c r="Q116" i="235"/>
  <c r="F116" i="234" s="1"/>
  <c r="G435" i="235"/>
  <c r="Q60" i="235"/>
  <c r="F60" i="234" s="1"/>
  <c r="Q326" i="235"/>
  <c r="F326" i="234" s="1"/>
  <c r="O153" i="235"/>
  <c r="G153" i="235"/>
  <c r="L152" i="235"/>
  <c r="Q322" i="235"/>
  <c r="F322" i="234" s="1"/>
  <c r="I151" i="235"/>
  <c r="N150" i="235"/>
  <c r="F150" i="235"/>
  <c r="J149" i="235"/>
  <c r="O337" i="235"/>
  <c r="G148" i="235"/>
  <c r="G337" i="235"/>
  <c r="E107" i="235"/>
  <c r="K98" i="235"/>
  <c r="P97" i="235"/>
  <c r="P275" i="235"/>
  <c r="H97" i="235"/>
  <c r="H275" i="235"/>
  <c r="O83" i="235"/>
  <c r="G83" i="235"/>
  <c r="M265" i="235"/>
  <c r="E81" i="235"/>
  <c r="E265" i="235"/>
  <c r="I80" i="235"/>
  <c r="O55" i="235"/>
  <c r="G55" i="235"/>
  <c r="F40" i="235"/>
  <c r="Q210" i="235"/>
  <c r="F210" i="234" s="1"/>
  <c r="O15" i="235"/>
  <c r="G15" i="235"/>
  <c r="P11" i="235"/>
  <c r="P199" i="235"/>
  <c r="H11" i="235"/>
  <c r="Q181" i="235"/>
  <c r="F181" i="234" s="1"/>
  <c r="H199" i="235"/>
  <c r="F370" i="235"/>
  <c r="F391" i="235" s="1"/>
  <c r="Q353" i="235"/>
  <c r="F353" i="234" s="1"/>
  <c r="F153" i="235"/>
  <c r="Q324" i="235"/>
  <c r="F324" i="234" s="1"/>
  <c r="F148" i="235"/>
  <c r="H106" i="235"/>
  <c r="P80" i="235"/>
  <c r="H80" i="235"/>
  <c r="J56" i="235"/>
  <c r="J54" i="235"/>
  <c r="Q224" i="235"/>
  <c r="F224" i="234" s="1"/>
  <c r="O53" i="235"/>
  <c r="O249" i="235"/>
  <c r="G53" i="235"/>
  <c r="K12" i="235"/>
  <c r="K199" i="235"/>
  <c r="F122" i="235"/>
  <c r="P106" i="235"/>
  <c r="G481" i="235"/>
  <c r="E435" i="235"/>
  <c r="L419" i="235"/>
  <c r="L436" i="235" s="1"/>
  <c r="G370" i="235"/>
  <c r="G391" i="235" s="1"/>
  <c r="Q325" i="235"/>
  <c r="F325" i="234" s="1"/>
  <c r="G151" i="235"/>
  <c r="P149" i="235"/>
  <c r="H149" i="235"/>
  <c r="M148" i="235"/>
  <c r="H124" i="235"/>
  <c r="H140" i="235" s="1"/>
  <c r="K107" i="235"/>
  <c r="K285" i="235"/>
  <c r="I98" i="235"/>
  <c r="N97" i="235"/>
  <c r="N275" i="235"/>
  <c r="F97" i="235"/>
  <c r="F275" i="235"/>
  <c r="H265" i="235"/>
  <c r="M83" i="235"/>
  <c r="E83" i="235"/>
  <c r="K81" i="235"/>
  <c r="L63" i="235"/>
  <c r="I62" i="235"/>
  <c r="I58" i="235"/>
  <c r="M57" i="235"/>
  <c r="E57" i="235"/>
  <c r="Q227" i="235"/>
  <c r="F227" i="234" s="1"/>
  <c r="M55" i="235"/>
  <c r="M249" i="235"/>
  <c r="E55" i="235"/>
  <c r="Q225" i="235"/>
  <c r="F225" i="234" s="1"/>
  <c r="E249" i="235"/>
  <c r="E15" i="235"/>
  <c r="Q185" i="235"/>
  <c r="F185" i="234" s="1"/>
  <c r="Q100" i="235"/>
  <c r="F99" i="234" s="1"/>
  <c r="J507" i="235"/>
  <c r="Q483" i="235"/>
  <c r="F483" i="234" s="1"/>
  <c r="N481" i="235"/>
  <c r="F481" i="235"/>
  <c r="Q130" i="235"/>
  <c r="F130" i="234" s="1"/>
  <c r="E370" i="235"/>
  <c r="L370" i="235"/>
  <c r="L391" i="235" s="1"/>
  <c r="J337" i="235"/>
  <c r="Q157" i="235"/>
  <c r="L153" i="235"/>
  <c r="Q323" i="235"/>
  <c r="F323" i="234" s="1"/>
  <c r="I152" i="235"/>
  <c r="N151" i="235"/>
  <c r="K150" i="235"/>
  <c r="P147" i="235"/>
  <c r="H147" i="235"/>
  <c r="G124" i="235"/>
  <c r="G140" i="235" s="1"/>
  <c r="G311" i="235"/>
  <c r="H285" i="235"/>
  <c r="N106" i="235"/>
  <c r="F106" i="235"/>
  <c r="P98" i="235"/>
  <c r="N80" i="235"/>
  <c r="F80" i="235"/>
  <c r="Q251" i="235"/>
  <c r="F251" i="234" s="1"/>
  <c r="P68" i="235"/>
  <c r="E67" i="235"/>
  <c r="O64" i="235"/>
  <c r="G64" i="235"/>
  <c r="K63" i="235"/>
  <c r="P56" i="235"/>
  <c r="H56" i="235"/>
  <c r="Q184" i="235"/>
  <c r="F184" i="234" s="1"/>
  <c r="F342" i="234"/>
  <c r="M481" i="235"/>
  <c r="E481" i="235"/>
  <c r="Q125" i="235"/>
  <c r="F125" i="234" s="1"/>
  <c r="Q462" i="235"/>
  <c r="F462" i="234" s="1"/>
  <c r="Q457" i="235"/>
  <c r="F457" i="234" s="1"/>
  <c r="Q416" i="235"/>
  <c r="F416" i="234" s="1"/>
  <c r="Q401" i="235"/>
  <c r="P370" i="235"/>
  <c r="P391" i="235" s="1"/>
  <c r="H370" i="235"/>
  <c r="H391" i="235" s="1"/>
  <c r="P152" i="235"/>
  <c r="N149" i="235"/>
  <c r="F149" i="235"/>
  <c r="Q320" i="235"/>
  <c r="F320" i="234" s="1"/>
  <c r="K148" i="235"/>
  <c r="K337" i="235"/>
  <c r="P124" i="235"/>
  <c r="I107" i="235"/>
  <c r="I285" i="235"/>
  <c r="M106" i="235"/>
  <c r="E106" i="235"/>
  <c r="Q277" i="235"/>
  <c r="F277" i="234" s="1"/>
  <c r="E275" i="235"/>
  <c r="O98" i="235"/>
  <c r="G98" i="235"/>
  <c r="L97" i="235"/>
  <c r="L275" i="235"/>
  <c r="K83" i="235"/>
  <c r="I81" i="235"/>
  <c r="I265" i="235"/>
  <c r="E80" i="235"/>
  <c r="J63" i="235"/>
  <c r="O62" i="235"/>
  <c r="G62" i="235"/>
  <c r="O58" i="235"/>
  <c r="G58" i="235"/>
  <c r="K57" i="235"/>
  <c r="Q226" i="235"/>
  <c r="F226" i="234" s="1"/>
  <c r="N39" i="235"/>
  <c r="N49" i="235" s="1"/>
  <c r="N219" i="235"/>
  <c r="F39" i="235"/>
  <c r="F219" i="235"/>
  <c r="L11" i="235"/>
  <c r="L199" i="235"/>
  <c r="Q160" i="235"/>
  <c r="F160" i="234" s="1"/>
  <c r="Q146" i="235"/>
  <c r="F146" i="234" s="1"/>
  <c r="Q144" i="235"/>
  <c r="F144" i="234" s="1"/>
  <c r="L481" i="235"/>
  <c r="Q472" i="235"/>
  <c r="F472" i="234" s="1"/>
  <c r="I419" i="235"/>
  <c r="H337" i="235"/>
  <c r="O152" i="235"/>
  <c r="G152" i="235"/>
  <c r="L151" i="235"/>
  <c r="Q321" i="235"/>
  <c r="F321" i="234" s="1"/>
  <c r="I150" i="235"/>
  <c r="J148" i="235"/>
  <c r="N147" i="235"/>
  <c r="F147" i="235"/>
  <c r="M124" i="235"/>
  <c r="M140" i="235" s="1"/>
  <c r="E124" i="235"/>
  <c r="E140" i="235" s="1"/>
  <c r="P107" i="235"/>
  <c r="H107" i="235"/>
  <c r="L106" i="235"/>
  <c r="P265" i="235"/>
  <c r="N68" i="235"/>
  <c r="N249" i="235"/>
  <c r="F68" i="235"/>
  <c r="K67" i="235"/>
  <c r="Q236" i="235"/>
  <c r="F236" i="234" s="1"/>
  <c r="O65" i="235"/>
  <c r="M64" i="235"/>
  <c r="E64" i="235"/>
  <c r="Q234" i="235"/>
  <c r="F234" i="234" s="1"/>
  <c r="P41" i="235"/>
  <c r="P49" i="235" s="1"/>
  <c r="Q211" i="235"/>
  <c r="F211" i="234" s="1"/>
  <c r="Q162" i="235"/>
  <c r="F162" i="234" s="1"/>
  <c r="Q145" i="235"/>
  <c r="F145" i="234" s="1"/>
  <c r="F117" i="235"/>
  <c r="Q117" i="235" s="1"/>
  <c r="F117" i="234" s="1"/>
  <c r="Q357" i="235"/>
  <c r="F357" i="234" s="1"/>
  <c r="F337" i="235"/>
  <c r="F156" i="235"/>
  <c r="Q156" i="235" s="1"/>
  <c r="F156" i="234" s="1"/>
  <c r="Q327" i="235"/>
  <c r="F327" i="234" s="1"/>
  <c r="Q154" i="235"/>
  <c r="F154" i="234" s="1"/>
  <c r="I153" i="235"/>
  <c r="N152" i="235"/>
  <c r="K151" i="235"/>
  <c r="L149" i="235"/>
  <c r="Q319" i="235"/>
  <c r="F319" i="234" s="1"/>
  <c r="I148" i="235"/>
  <c r="M147" i="235"/>
  <c r="M337" i="235"/>
  <c r="E147" i="235"/>
  <c r="Q318" i="235"/>
  <c r="F318" i="234" s="1"/>
  <c r="E337" i="235"/>
  <c r="O107" i="235"/>
  <c r="O285" i="235"/>
  <c r="G107" i="235"/>
  <c r="G285" i="235"/>
  <c r="K106" i="235"/>
  <c r="Q254" i="235"/>
  <c r="F254" i="234" s="1"/>
  <c r="I83" i="235"/>
  <c r="O81" i="235"/>
  <c r="O265" i="235"/>
  <c r="G81" i="235"/>
  <c r="G265" i="235"/>
  <c r="L249" i="235"/>
  <c r="E68" i="235"/>
  <c r="Q239" i="235"/>
  <c r="F239" i="234" s="1"/>
  <c r="P63" i="235"/>
  <c r="H63" i="235"/>
  <c r="Q233" i="235"/>
  <c r="F233" i="234" s="1"/>
  <c r="M62" i="235"/>
  <c r="E62" i="235"/>
  <c r="M58" i="235"/>
  <c r="E58" i="235"/>
  <c r="H40" i="235"/>
  <c r="H49" i="235" s="1"/>
  <c r="H219" i="235"/>
  <c r="J11" i="235"/>
  <c r="J199" i="235"/>
  <c r="N507" i="235"/>
  <c r="F507" i="235"/>
  <c r="Q142" i="235"/>
  <c r="F142" i="234" s="1"/>
  <c r="J481" i="235"/>
  <c r="Q471" i="235"/>
  <c r="F471" i="234" s="1"/>
  <c r="N140" i="235"/>
  <c r="G419" i="235"/>
  <c r="Q328" i="235"/>
  <c r="F328" i="234" s="1"/>
  <c r="P153" i="235"/>
  <c r="M152" i="235"/>
  <c r="J151" i="235"/>
  <c r="O150" i="235"/>
  <c r="G150" i="235"/>
  <c r="K149" i="235"/>
  <c r="P148" i="235"/>
  <c r="H148" i="235"/>
  <c r="L147" i="235"/>
  <c r="K124" i="235"/>
  <c r="K140" i="235" s="1"/>
  <c r="K311" i="235"/>
  <c r="N107" i="235"/>
  <c r="J106" i="235"/>
  <c r="M275" i="235"/>
  <c r="Q268" i="235"/>
  <c r="F268" i="234" s="1"/>
  <c r="J80" i="235"/>
  <c r="L68" i="235"/>
  <c r="I67" i="235"/>
  <c r="M65" i="235"/>
  <c r="K64" i="235"/>
  <c r="L54" i="235"/>
  <c r="Q223" i="235"/>
  <c r="F223" i="234" s="1"/>
  <c r="I53" i="235"/>
  <c r="I249" i="235"/>
  <c r="M199" i="235"/>
  <c r="L14" i="235"/>
  <c r="Q183" i="235"/>
  <c r="F183" i="234" s="1"/>
  <c r="I13" i="235"/>
  <c r="E12" i="235"/>
  <c r="Q182" i="235"/>
  <c r="F182" i="234" s="1"/>
  <c r="Q139" i="235"/>
  <c r="F138" i="234" s="1"/>
  <c r="I124" i="235"/>
  <c r="I140" i="235" s="1"/>
  <c r="M153" i="235"/>
  <c r="E153" i="235"/>
  <c r="J152" i="235"/>
  <c r="I149" i="235"/>
  <c r="N148" i="235"/>
  <c r="K147" i="235"/>
  <c r="F124" i="235"/>
  <c r="F107" i="235"/>
  <c r="J98" i="235"/>
  <c r="O97" i="235"/>
  <c r="G97" i="235"/>
  <c r="P83" i="235"/>
  <c r="H83" i="235"/>
  <c r="N81" i="235"/>
  <c r="F81" i="235"/>
  <c r="K80" i="235"/>
  <c r="K68" i="235"/>
  <c r="P67" i="235"/>
  <c r="H67" i="235"/>
  <c r="N66" i="235"/>
  <c r="L65" i="235"/>
  <c r="J64" i="235"/>
  <c r="O63" i="235"/>
  <c r="G63" i="235"/>
  <c r="L62" i="235"/>
  <c r="J55" i="235"/>
  <c r="K17" i="235"/>
  <c r="P16" i="235"/>
  <c r="H16" i="235"/>
  <c r="L15" i="235"/>
  <c r="I14" i="235"/>
  <c r="N13" i="235"/>
  <c r="F13" i="235"/>
  <c r="J12" i="235"/>
  <c r="O11" i="235"/>
  <c r="O199" i="235"/>
  <c r="G11" i="235"/>
  <c r="E171" i="235"/>
  <c r="Q171" i="235" s="1"/>
  <c r="Q169" i="235"/>
  <c r="Q135" i="235"/>
  <c r="F134" i="234" s="1"/>
  <c r="Q118" i="235"/>
  <c r="F118" i="234" s="1"/>
  <c r="J68" i="235"/>
  <c r="G67" i="235"/>
  <c r="M66" i="235"/>
  <c r="K65" i="235"/>
  <c r="Q235" i="235"/>
  <c r="F235" i="234" s="1"/>
  <c r="I64" i="235"/>
  <c r="K62" i="235"/>
  <c r="O57" i="235"/>
  <c r="G57" i="235"/>
  <c r="L56" i="235"/>
  <c r="I55" i="235"/>
  <c r="N54" i="235"/>
  <c r="F54" i="235"/>
  <c r="K53" i="235"/>
  <c r="J17" i="235"/>
  <c r="O16" i="235"/>
  <c r="G16" i="235"/>
  <c r="K15" i="235"/>
  <c r="P14" i="235"/>
  <c r="H14" i="235"/>
  <c r="M13" i="235"/>
  <c r="E13" i="235"/>
  <c r="Q165" i="235"/>
  <c r="F165" i="234" s="1"/>
  <c r="Q143" i="235"/>
  <c r="F143" i="234" s="1"/>
  <c r="Q33" i="235"/>
  <c r="F33" i="234" s="1"/>
  <c r="K153" i="235"/>
  <c r="H152" i="235"/>
  <c r="M151" i="235"/>
  <c r="E151" i="235"/>
  <c r="O149" i="235"/>
  <c r="G149" i="235"/>
  <c r="L148" i="235"/>
  <c r="I147" i="235"/>
  <c r="L107" i="235"/>
  <c r="I106" i="235"/>
  <c r="H98" i="235"/>
  <c r="E97" i="235"/>
  <c r="N83" i="235"/>
  <c r="L81" i="235"/>
  <c r="I68" i="235"/>
  <c r="N67" i="235"/>
  <c r="F67" i="235"/>
  <c r="L66" i="235"/>
  <c r="P59" i="235"/>
  <c r="Q59" i="235" s="1"/>
  <c r="F59" i="234" s="1"/>
  <c r="Q229" i="235"/>
  <c r="F229" i="234" s="1"/>
  <c r="J58" i="235"/>
  <c r="N57" i="235"/>
  <c r="F57" i="235"/>
  <c r="K56" i="235"/>
  <c r="P55" i="235"/>
  <c r="H55" i="235"/>
  <c r="M54" i="235"/>
  <c r="J53" i="235"/>
  <c r="J249" i="235"/>
  <c r="O39" i="235"/>
  <c r="O49" i="235" s="1"/>
  <c r="O219" i="235"/>
  <c r="G39" i="235"/>
  <c r="G49" i="235" s="1"/>
  <c r="G219" i="235"/>
  <c r="I17" i="235"/>
  <c r="N16" i="235"/>
  <c r="F16" i="235"/>
  <c r="Q136" i="235"/>
  <c r="F135" i="234" s="1"/>
  <c r="Q127" i="235"/>
  <c r="F127" i="234" s="1"/>
  <c r="Q108" i="235"/>
  <c r="F108" i="234" s="1"/>
  <c r="Q101" i="235"/>
  <c r="F100" i="234" s="1"/>
  <c r="I49" i="235"/>
  <c r="F152" i="235"/>
  <c r="P150" i="235"/>
  <c r="H150" i="235"/>
  <c r="O147" i="235"/>
  <c r="J124" i="235"/>
  <c r="J107" i="235"/>
  <c r="O106" i="235"/>
  <c r="G106" i="235"/>
  <c r="N98" i="235"/>
  <c r="F98" i="235"/>
  <c r="K97" i="235"/>
  <c r="L83" i="235"/>
  <c r="J81" i="235"/>
  <c r="O80" i="235"/>
  <c r="G80" i="235"/>
  <c r="K249" i="235"/>
  <c r="P65" i="235"/>
  <c r="N64" i="235"/>
  <c r="F64" i="235"/>
  <c r="P62" i="235"/>
  <c r="H62" i="235"/>
  <c r="P58" i="235"/>
  <c r="H58" i="235"/>
  <c r="L57" i="235"/>
  <c r="I56" i="235"/>
  <c r="N55" i="235"/>
  <c r="F55" i="235"/>
  <c r="K54" i="235"/>
  <c r="P53" i="235"/>
  <c r="H53" i="235"/>
  <c r="E39" i="235"/>
  <c r="E49" i="235" s="1"/>
  <c r="Q209" i="235"/>
  <c r="F209" i="234" s="1"/>
  <c r="P15" i="235"/>
  <c r="H15" i="235"/>
  <c r="M14" i="235"/>
  <c r="E14" i="235"/>
  <c r="J13" i="235"/>
  <c r="N12" i="235"/>
  <c r="N199" i="235"/>
  <c r="F12" i="235"/>
  <c r="F199" i="235"/>
  <c r="K11" i="235"/>
  <c r="Q159" i="235"/>
  <c r="F159" i="234" s="1"/>
  <c r="Q89" i="235"/>
  <c r="F89" i="234" s="1"/>
  <c r="Q85" i="235"/>
  <c r="F85" i="234" s="1"/>
  <c r="Q70" i="235"/>
  <c r="F70" i="234" s="1"/>
  <c r="J49" i="235"/>
  <c r="P66" i="235"/>
  <c r="N65" i="235"/>
  <c r="L64" i="235"/>
  <c r="I63" i="235"/>
  <c r="N62" i="235"/>
  <c r="F62" i="235"/>
  <c r="N58" i="235"/>
  <c r="F58" i="235"/>
  <c r="J57" i="235"/>
  <c r="O56" i="235"/>
  <c r="G56" i="235"/>
  <c r="L55" i="235"/>
  <c r="I54" i="235"/>
  <c r="N53" i="235"/>
  <c r="F53" i="235"/>
  <c r="M17" i="235"/>
  <c r="E17" i="235"/>
  <c r="J16" i="235"/>
  <c r="N15" i="235"/>
  <c r="F15" i="235"/>
  <c r="K14" i="235"/>
  <c r="P13" i="235"/>
  <c r="H13" i="235"/>
  <c r="L12" i="235"/>
  <c r="I11" i="235"/>
  <c r="Q113" i="235"/>
  <c r="F113" i="234" s="1"/>
  <c r="Q75" i="235"/>
  <c r="F75" i="234" s="1"/>
  <c r="M49" i="235"/>
  <c r="Q38" i="235"/>
  <c r="F38" i="234" s="1"/>
  <c r="M80" i="235"/>
  <c r="H68" i="235"/>
  <c r="M67" i="235"/>
  <c r="K66" i="235"/>
  <c r="N63" i="235"/>
  <c r="F63" i="235"/>
  <c r="L58" i="235"/>
  <c r="I57" i="235"/>
  <c r="N56" i="235"/>
  <c r="F56" i="235"/>
  <c r="K55" i="235"/>
  <c r="P54" i="235"/>
  <c r="H54" i="235"/>
  <c r="M53" i="235"/>
  <c r="E53" i="235"/>
  <c r="G199" i="235"/>
  <c r="P17" i="235"/>
  <c r="H17" i="235"/>
  <c r="M16" i="235"/>
  <c r="E16" i="235"/>
  <c r="J15" i="235"/>
  <c r="O14" i="235"/>
  <c r="G14" i="235"/>
  <c r="L13" i="235"/>
  <c r="I12" i="235"/>
  <c r="N11" i="235"/>
  <c r="F11" i="235"/>
  <c r="Q72" i="235"/>
  <c r="F72" i="234" s="1"/>
  <c r="L80" i="235"/>
  <c r="O68" i="235"/>
  <c r="G68" i="235"/>
  <c r="L67" i="235"/>
  <c r="P64" i="235"/>
  <c r="H64" i="235"/>
  <c r="M63" i="235"/>
  <c r="E63" i="235"/>
  <c r="J62" i="235"/>
  <c r="K58" i="235"/>
  <c r="M56" i="235"/>
  <c r="E56" i="235"/>
  <c r="G54" i="235"/>
  <c r="L53" i="235"/>
  <c r="O17" i="235"/>
  <c r="G17" i="235"/>
  <c r="L16" i="235"/>
  <c r="I15" i="235"/>
  <c r="N14" i="235"/>
  <c r="F14" i="235"/>
  <c r="K13" i="235"/>
  <c r="P12" i="235"/>
  <c r="H12" i="235"/>
  <c r="M11" i="235"/>
  <c r="E11" i="235"/>
  <c r="Q112" i="235"/>
  <c r="F112" i="234" s="1"/>
  <c r="Q110" i="235"/>
  <c r="F110" i="234" s="1"/>
  <c r="Q99" i="235"/>
  <c r="Q137" i="235"/>
  <c r="F136" i="234" s="1"/>
  <c r="Q129" i="235"/>
  <c r="F129" i="234" s="1"/>
  <c r="Q111" i="235"/>
  <c r="F111" i="234" s="1"/>
  <c r="Q87" i="235"/>
  <c r="F87" i="234" s="1"/>
  <c r="Q90" i="235"/>
  <c r="F90" i="234" s="1"/>
  <c r="Q45" i="235"/>
  <c r="F45" i="234" s="1"/>
  <c r="Q138" i="235"/>
  <c r="F137" i="234" s="1"/>
  <c r="Q128" i="235"/>
  <c r="F128" i="234" s="1"/>
  <c r="Q120" i="235"/>
  <c r="F120" i="234" s="1"/>
  <c r="Q86" i="235"/>
  <c r="F86" i="234" s="1"/>
  <c r="Q84" i="235"/>
  <c r="F84" i="234" s="1"/>
  <c r="Q48" i="235"/>
  <c r="F48" i="234" s="1"/>
  <c r="Q19" i="235"/>
  <c r="F19" i="234" s="1"/>
  <c r="Q44" i="235"/>
  <c r="F44" i="234" s="1"/>
  <c r="K49" i="235"/>
  <c r="Q103" i="235"/>
  <c r="F102" i="234" s="1"/>
  <c r="Q69" i="235"/>
  <c r="F69" i="234" s="1"/>
  <c r="Q27" i="235"/>
  <c r="F27" i="234" s="1"/>
  <c r="Q35" i="235"/>
  <c r="F35" i="234" s="1"/>
  <c r="Q18" i="235"/>
  <c r="F18" i="234" s="1"/>
  <c r="Q77" i="235"/>
  <c r="F77" i="234" s="1"/>
  <c r="Q43" i="235"/>
  <c r="F43" i="234" s="1"/>
  <c r="Q26" i="235"/>
  <c r="F26" i="234" s="1"/>
  <c r="Q61" i="235"/>
  <c r="F61" i="234" s="1"/>
  <c r="Q36" i="235"/>
  <c r="F36" i="234" s="1"/>
  <c r="K439" i="234"/>
  <c r="K428" i="234"/>
  <c r="I512" i="234"/>
  <c r="K486" i="234"/>
  <c r="J512" i="234"/>
  <c r="K501" i="234"/>
  <c r="K462" i="234"/>
  <c r="K438" i="234"/>
  <c r="F390" i="234"/>
  <c r="J311" i="234"/>
  <c r="K474" i="234"/>
  <c r="K461" i="234"/>
  <c r="H419" i="234"/>
  <c r="H370" i="234"/>
  <c r="I481" i="234"/>
  <c r="I337" i="234"/>
  <c r="I311" i="234"/>
  <c r="I219" i="234"/>
  <c r="I275" i="234"/>
  <c r="I220" i="235" l="1"/>
  <c r="P266" i="235"/>
  <c r="K220" i="235"/>
  <c r="K275" i="234"/>
  <c r="L266" i="235"/>
  <c r="P140" i="235"/>
  <c r="N436" i="235"/>
  <c r="N513" i="235" s="1"/>
  <c r="M436" i="235"/>
  <c r="I436" i="235"/>
  <c r="I513" i="235" s="1"/>
  <c r="E50" i="234"/>
  <c r="H436" i="234"/>
  <c r="F266" i="235"/>
  <c r="N218" i="236"/>
  <c r="F275" i="234"/>
  <c r="G275" i="234" s="1"/>
  <c r="G22" i="242"/>
  <c r="G29" i="242" s="1"/>
  <c r="M49" i="234"/>
  <c r="M219" i="234"/>
  <c r="N350" i="239"/>
  <c r="H50" i="234"/>
  <c r="K218" i="236"/>
  <c r="N266" i="235"/>
  <c r="I104" i="235"/>
  <c r="I445" i="239"/>
  <c r="K164" i="234"/>
  <c r="J445" i="241"/>
  <c r="J445" i="240"/>
  <c r="K435" i="234"/>
  <c r="K265" i="234"/>
  <c r="K163" i="234"/>
  <c r="K455" i="234"/>
  <c r="K224" i="234"/>
  <c r="K285" i="234"/>
  <c r="H391" i="234"/>
  <c r="J266" i="235"/>
  <c r="H95" i="234"/>
  <c r="L104" i="235"/>
  <c r="N350" i="240"/>
  <c r="H220" i="234"/>
  <c r="E95" i="234"/>
  <c r="G342" i="234"/>
  <c r="J220" i="235"/>
  <c r="H266" i="235"/>
  <c r="E436" i="234"/>
  <c r="P220" i="235"/>
  <c r="P343" i="235" s="1"/>
  <c r="H350" i="240"/>
  <c r="H445" i="240"/>
  <c r="F445" i="240"/>
  <c r="P436" i="235"/>
  <c r="P513" i="235" s="1"/>
  <c r="M220" i="235"/>
  <c r="I199" i="234"/>
  <c r="I220" i="234" s="1"/>
  <c r="K160" i="234"/>
  <c r="K76" i="234"/>
  <c r="K161" i="234"/>
  <c r="K159" i="234"/>
  <c r="K122" i="234"/>
  <c r="M218" i="236"/>
  <c r="K48" i="234"/>
  <c r="K101" i="234"/>
  <c r="K116" i="234"/>
  <c r="K77" i="234"/>
  <c r="K32" i="234"/>
  <c r="K120" i="234"/>
  <c r="K111" i="234"/>
  <c r="K113" i="234"/>
  <c r="K110" i="234"/>
  <c r="K157" i="234"/>
  <c r="K123" i="234"/>
  <c r="K112" i="234"/>
  <c r="K134" i="234"/>
  <c r="K128" i="234"/>
  <c r="O510" i="236"/>
  <c r="K25" i="234"/>
  <c r="K102" i="234"/>
  <c r="K38" i="234"/>
  <c r="K21" i="234"/>
  <c r="K93" i="234"/>
  <c r="K46" i="234"/>
  <c r="Q478" i="236"/>
  <c r="J218" i="236"/>
  <c r="K118" i="234"/>
  <c r="K119" i="234"/>
  <c r="M603" i="236"/>
  <c r="M680" i="236" s="1"/>
  <c r="K24" i="234"/>
  <c r="K100" i="234"/>
  <c r="K448" i="234"/>
  <c r="K22" i="234"/>
  <c r="K23" i="234"/>
  <c r="K20" i="234"/>
  <c r="K88" i="234"/>
  <c r="K135" i="234"/>
  <c r="K124" i="234"/>
  <c r="K89" i="234"/>
  <c r="K136" i="234"/>
  <c r="K47" i="234"/>
  <c r="K99" i="234"/>
  <c r="K87" i="234"/>
  <c r="K85" i="234"/>
  <c r="K86" i="234"/>
  <c r="K41" i="234"/>
  <c r="K44" i="234"/>
  <c r="K138" i="234"/>
  <c r="K90" i="234"/>
  <c r="H433" i="236"/>
  <c r="H510" i="236" s="1"/>
  <c r="K33" i="234"/>
  <c r="K126" i="234"/>
  <c r="K35" i="234"/>
  <c r="K91" i="234"/>
  <c r="K108" i="234"/>
  <c r="K37" i="234"/>
  <c r="K151" i="234"/>
  <c r="K131" i="234"/>
  <c r="K133" i="234"/>
  <c r="K45" i="234"/>
  <c r="K127" i="234"/>
  <c r="K36" i="234"/>
  <c r="K125" i="234"/>
  <c r="K121" i="234"/>
  <c r="K19" i="234"/>
  <c r="I171" i="234"/>
  <c r="K171" i="234" s="1"/>
  <c r="K130" i="234"/>
  <c r="L218" i="236"/>
  <c r="K129" i="234"/>
  <c r="Q170" i="236"/>
  <c r="P433" i="236"/>
  <c r="P510" i="236" s="1"/>
  <c r="K146" i="234"/>
  <c r="K103" i="234"/>
  <c r="K219" i="234"/>
  <c r="K82" i="234"/>
  <c r="K84" i="234"/>
  <c r="K356" i="234"/>
  <c r="K406" i="234"/>
  <c r="K410" i="234"/>
  <c r="K395" i="234"/>
  <c r="J249" i="234"/>
  <c r="J266" i="234" s="1"/>
  <c r="K403" i="234"/>
  <c r="K40" i="234"/>
  <c r="K390" i="234"/>
  <c r="H218" i="236"/>
  <c r="O218" i="236"/>
  <c r="N264" i="236"/>
  <c r="N341" i="236" s="1"/>
  <c r="K264" i="236"/>
  <c r="F264" i="236"/>
  <c r="P603" i="236"/>
  <c r="P680" i="236" s="1"/>
  <c r="M103" i="236"/>
  <c r="O603" i="236"/>
  <c r="O680" i="236" s="1"/>
  <c r="K158" i="234"/>
  <c r="G218" i="236"/>
  <c r="E218" i="236"/>
  <c r="K396" i="234"/>
  <c r="K394" i="234"/>
  <c r="K184" i="234"/>
  <c r="K357" i="234"/>
  <c r="P218" i="236"/>
  <c r="F218" i="236"/>
  <c r="I218" i="236"/>
  <c r="K400" i="234"/>
  <c r="J419" i="234"/>
  <c r="J436" i="234" s="1"/>
  <c r="K337" i="234"/>
  <c r="K223" i="234"/>
  <c r="I249" i="234"/>
  <c r="I266" i="234" s="1"/>
  <c r="O264" i="236"/>
  <c r="L264" i="236"/>
  <c r="K354" i="234"/>
  <c r="K405" i="234"/>
  <c r="K423" i="234"/>
  <c r="K187" i="234"/>
  <c r="K190" i="234"/>
  <c r="K183" i="234"/>
  <c r="K182" i="234"/>
  <c r="K181" i="234"/>
  <c r="J140" i="235"/>
  <c r="F408" i="234"/>
  <c r="G114" i="235"/>
  <c r="G445" i="241"/>
  <c r="H445" i="241"/>
  <c r="F445" i="234"/>
  <c r="G445" i="234" s="1"/>
  <c r="M104" i="235"/>
  <c r="M264" i="236"/>
  <c r="K492" i="234"/>
  <c r="K436" i="235"/>
  <c r="K513" i="235" s="1"/>
  <c r="P103" i="236"/>
  <c r="J436" i="235"/>
  <c r="J513" i="235" s="1"/>
  <c r="F285" i="234"/>
  <c r="G285" i="234" s="1"/>
  <c r="E220" i="234"/>
  <c r="F436" i="235"/>
  <c r="K366" i="234"/>
  <c r="F455" i="234"/>
  <c r="G455" i="234" s="1"/>
  <c r="K603" i="236"/>
  <c r="K680" i="236" s="1"/>
  <c r="K479" i="234"/>
  <c r="I603" i="236"/>
  <c r="I680" i="236" s="1"/>
  <c r="J264" i="236"/>
  <c r="K352" i="234"/>
  <c r="K483" i="234"/>
  <c r="K355" i="234"/>
  <c r="K404" i="234"/>
  <c r="J104" i="235"/>
  <c r="M94" i="235"/>
  <c r="G266" i="235"/>
  <c r="E445" i="240"/>
  <c r="M433" i="236"/>
  <c r="M510" i="236" s="1"/>
  <c r="F445" i="241"/>
  <c r="H603" i="236"/>
  <c r="H680" i="236" s="1"/>
  <c r="Q674" i="236"/>
  <c r="I433" i="236"/>
  <c r="I510" i="236" s="1"/>
  <c r="E266" i="234"/>
  <c r="K489" i="234"/>
  <c r="I507" i="234"/>
  <c r="K507" i="234" s="1"/>
  <c r="G264" i="236"/>
  <c r="K414" i="234"/>
  <c r="K358" i="234"/>
  <c r="Q66" i="235"/>
  <c r="F66" i="234" s="1"/>
  <c r="G390" i="234"/>
  <c r="K166" i="235"/>
  <c r="K104" i="235"/>
  <c r="F404" i="234"/>
  <c r="K266" i="235"/>
  <c r="K343" i="235" s="1"/>
  <c r="F49" i="235"/>
  <c r="Q49" i="235" s="1"/>
  <c r="G433" i="236"/>
  <c r="G510" i="236" s="1"/>
  <c r="L94" i="235"/>
  <c r="Q122" i="235"/>
  <c r="F122" i="234" s="1"/>
  <c r="M445" i="239"/>
  <c r="K278" i="234"/>
  <c r="K449" i="234"/>
  <c r="Q455" i="235"/>
  <c r="H436" i="235"/>
  <c r="H513" i="235" s="1"/>
  <c r="J199" i="234"/>
  <c r="J220" i="234" s="1"/>
  <c r="L603" i="236"/>
  <c r="L680" i="236" s="1"/>
  <c r="F370" i="234"/>
  <c r="F391" i="234" s="1"/>
  <c r="L350" i="239"/>
  <c r="M114" i="235"/>
  <c r="K413" i="234"/>
  <c r="G40" i="242"/>
  <c r="G41" i="242" s="1"/>
  <c r="L220" i="235"/>
  <c r="L343" i="235" s="1"/>
  <c r="Q445" i="235"/>
  <c r="I103" i="236"/>
  <c r="I370" i="234"/>
  <c r="I391" i="234" s="1"/>
  <c r="Q41" i="235"/>
  <c r="F41" i="234" s="1"/>
  <c r="O104" i="235"/>
  <c r="I419" i="234"/>
  <c r="K491" i="234"/>
  <c r="E264" i="236"/>
  <c r="K490" i="234"/>
  <c r="K279" i="234"/>
  <c r="J370" i="234"/>
  <c r="J391" i="234" s="1"/>
  <c r="K186" i="234"/>
  <c r="K185" i="234"/>
  <c r="K445" i="239"/>
  <c r="K353" i="234"/>
  <c r="L445" i="239"/>
  <c r="F445" i="239"/>
  <c r="K422" i="234"/>
  <c r="Q612" i="236"/>
  <c r="O445" i="241"/>
  <c r="O445" i="240"/>
  <c r="N603" i="236"/>
  <c r="N680" i="236" s="1"/>
  <c r="P445" i="240"/>
  <c r="K225" i="234"/>
  <c r="Q602" i="236"/>
  <c r="Q622" i="236"/>
  <c r="L433" i="236"/>
  <c r="L510" i="236" s="1"/>
  <c r="I93" i="236"/>
  <c r="K412" i="234"/>
  <c r="N445" i="239"/>
  <c r="M350" i="239"/>
  <c r="N445" i="240"/>
  <c r="G445" i="240"/>
  <c r="Q281" i="240"/>
  <c r="O275" i="234" s="1"/>
  <c r="E75" i="243"/>
  <c r="I16" i="242"/>
  <c r="Q52" i="243"/>
  <c r="K16" i="242" s="1"/>
  <c r="Q50" i="243"/>
  <c r="K14" i="242" s="1"/>
  <c r="J16" i="242"/>
  <c r="K76" i="243"/>
  <c r="J39" i="242"/>
  <c r="P48" i="236"/>
  <c r="J445" i="239"/>
  <c r="Q291" i="241"/>
  <c r="P285" i="234" s="1"/>
  <c r="Q291" i="240"/>
  <c r="O285" i="234" s="1"/>
  <c r="Q57" i="241"/>
  <c r="P57" i="234" s="1"/>
  <c r="G603" i="236"/>
  <c r="G680" i="236" s="1"/>
  <c r="M445" i="240"/>
  <c r="I350" i="240"/>
  <c r="Q452" i="236"/>
  <c r="J433" i="236"/>
  <c r="J510" i="236" s="1"/>
  <c r="Q442" i="236"/>
  <c r="J73" i="234"/>
  <c r="Q42" i="236"/>
  <c r="G445" i="239"/>
  <c r="I132" i="234"/>
  <c r="I140" i="234" s="1"/>
  <c r="N93" i="236"/>
  <c r="M48" i="236"/>
  <c r="O113" i="236"/>
  <c r="F337" i="234"/>
  <c r="G337" i="234" s="1"/>
  <c r="I166" i="235"/>
  <c r="I165" i="236"/>
  <c r="Q432" i="236"/>
  <c r="P350" i="240"/>
  <c r="I445" i="240"/>
  <c r="P445" i="241"/>
  <c r="I63" i="234"/>
  <c r="O165" i="236"/>
  <c r="M285" i="234"/>
  <c r="M166" i="235"/>
  <c r="I264" i="236"/>
  <c r="K481" i="234"/>
  <c r="Q150" i="235"/>
  <c r="F150" i="234" s="1"/>
  <c r="K94" i="235"/>
  <c r="I266" i="235"/>
  <c r="I343" i="235" s="1"/>
  <c r="J68" i="234"/>
  <c r="J57" i="234"/>
  <c r="L93" i="236"/>
  <c r="F603" i="236"/>
  <c r="F680" i="236" s="1"/>
  <c r="O350" i="240"/>
  <c r="N445" i="241"/>
  <c r="O436" i="235"/>
  <c r="O513" i="235" s="1"/>
  <c r="Q151" i="235"/>
  <c r="F151" i="234" s="1"/>
  <c r="J69" i="234"/>
  <c r="Q311" i="235"/>
  <c r="I29" i="236"/>
  <c r="I49" i="236" s="1"/>
  <c r="P264" i="236"/>
  <c r="M29" i="236"/>
  <c r="E391" i="234"/>
  <c r="M266" i="235"/>
  <c r="F77" i="236"/>
  <c r="Q273" i="236"/>
  <c r="Q263" i="236"/>
  <c r="Q217" i="236"/>
  <c r="M67" i="234"/>
  <c r="I79" i="241"/>
  <c r="I96" i="241" s="1"/>
  <c r="O79" i="241"/>
  <c r="O96" i="241" s="1"/>
  <c r="Q66" i="241"/>
  <c r="P66" i="234" s="1"/>
  <c r="M445" i="241"/>
  <c r="F507" i="234"/>
  <c r="G507" i="234" s="1"/>
  <c r="Q152" i="235"/>
  <c r="F152" i="234" s="1"/>
  <c r="Q54" i="235"/>
  <c r="F54" i="234" s="1"/>
  <c r="H166" i="235"/>
  <c r="P94" i="235"/>
  <c r="G166" i="235"/>
  <c r="H29" i="236"/>
  <c r="H49" i="236" s="1"/>
  <c r="N77" i="236"/>
  <c r="H93" i="236"/>
  <c r="J83" i="234"/>
  <c r="M165" i="236"/>
  <c r="G93" i="236"/>
  <c r="F103" i="236"/>
  <c r="P165" i="236"/>
  <c r="M17" i="234"/>
  <c r="L79" i="241"/>
  <c r="L96" i="241" s="1"/>
  <c r="Q56" i="241"/>
  <c r="P56" i="234" s="1"/>
  <c r="K29" i="235"/>
  <c r="K50" i="235" s="1"/>
  <c r="Q65" i="235"/>
  <c r="F65" i="234" s="1"/>
  <c r="N166" i="235"/>
  <c r="G436" i="235"/>
  <c r="G513" i="235" s="1"/>
  <c r="Q285" i="235"/>
  <c r="P166" i="235"/>
  <c r="L29" i="236"/>
  <c r="L48" i="236"/>
  <c r="Q283" i="236"/>
  <c r="J165" i="236"/>
  <c r="J72" i="234"/>
  <c r="M60" i="234"/>
  <c r="Q13" i="241"/>
  <c r="P13" i="234" s="1"/>
  <c r="Q454" i="241"/>
  <c r="P445" i="234" s="1"/>
  <c r="F431" i="234"/>
  <c r="F405" i="234"/>
  <c r="M78" i="235"/>
  <c r="L166" i="235"/>
  <c r="F219" i="234"/>
  <c r="G219" i="234" s="1"/>
  <c r="F481" i="234"/>
  <c r="G481" i="234" s="1"/>
  <c r="J103" i="236"/>
  <c r="Q39" i="236"/>
  <c r="H445" i="239"/>
  <c r="L445" i="240"/>
  <c r="Q98" i="235"/>
  <c r="F98" i="234" s="1"/>
  <c r="Q337" i="235"/>
  <c r="F166" i="235"/>
  <c r="Q435" i="235"/>
  <c r="Q17" i="239"/>
  <c r="N17" i="234" s="1"/>
  <c r="P79" i="239"/>
  <c r="P96" i="239" s="1"/>
  <c r="I79" i="239"/>
  <c r="I96" i="239" s="1"/>
  <c r="Q58" i="239"/>
  <c r="N58" i="234" s="1"/>
  <c r="Q63" i="239"/>
  <c r="N63" i="234" s="1"/>
  <c r="P445" i="239"/>
  <c r="G29" i="241"/>
  <c r="G50" i="241" s="1"/>
  <c r="H266" i="234"/>
  <c r="F425" i="234"/>
  <c r="F399" i="234"/>
  <c r="P78" i="235"/>
  <c r="Q153" i="235"/>
  <c r="F153" i="234" s="1"/>
  <c r="L103" i="236"/>
  <c r="F433" i="236"/>
  <c r="F510" i="236" s="1"/>
  <c r="Q454" i="240"/>
  <c r="O445" i="234" s="1"/>
  <c r="Q117" i="240"/>
  <c r="O116" i="234" s="1"/>
  <c r="H29" i="241"/>
  <c r="H50" i="241" s="1"/>
  <c r="Q62" i="241"/>
  <c r="P62" i="234" s="1"/>
  <c r="Q281" i="241"/>
  <c r="P275" i="234" s="1"/>
  <c r="F432" i="234"/>
  <c r="F406" i="234"/>
  <c r="F403" i="234"/>
  <c r="F429" i="234"/>
  <c r="F426" i="234"/>
  <c r="F400" i="234"/>
  <c r="J62" i="234"/>
  <c r="Q56" i="235"/>
  <c r="F56" i="234" s="1"/>
  <c r="G220" i="235"/>
  <c r="O166" i="235"/>
  <c r="Q149" i="235"/>
  <c r="F149" i="234" s="1"/>
  <c r="J166" i="235"/>
  <c r="E436" i="235"/>
  <c r="K77" i="236"/>
  <c r="F93" i="236"/>
  <c r="N113" i="236"/>
  <c r="H165" i="236"/>
  <c r="J17" i="234"/>
  <c r="L165" i="236"/>
  <c r="J132" i="234"/>
  <c r="J140" i="234" s="1"/>
  <c r="E165" i="236"/>
  <c r="M435" i="234"/>
  <c r="M445" i="234"/>
  <c r="F350" i="239"/>
  <c r="G350" i="239"/>
  <c r="Q281" i="239"/>
  <c r="N275" i="234" s="1"/>
  <c r="Q454" i="239"/>
  <c r="N445" i="234" s="1"/>
  <c r="K79" i="240"/>
  <c r="K96" i="240" s="1"/>
  <c r="Q59" i="240"/>
  <c r="O59" i="234" s="1"/>
  <c r="H79" i="240"/>
  <c r="H96" i="240" s="1"/>
  <c r="G350" i="240"/>
  <c r="Q81" i="240"/>
  <c r="O80" i="234" s="1"/>
  <c r="P29" i="240"/>
  <c r="P50" i="240" s="1"/>
  <c r="Q54" i="240"/>
  <c r="O54" i="234" s="1"/>
  <c r="F350" i="240"/>
  <c r="M29" i="241"/>
  <c r="M50" i="241" s="1"/>
  <c r="P29" i="241"/>
  <c r="P50" i="241" s="1"/>
  <c r="Q15" i="241"/>
  <c r="P15" i="234" s="1"/>
  <c r="K29" i="241"/>
  <c r="K50" i="241" s="1"/>
  <c r="F433" i="234"/>
  <c r="F407" i="234"/>
  <c r="K433" i="236"/>
  <c r="K510" i="236" s="1"/>
  <c r="Q49" i="241"/>
  <c r="P49" i="234" s="1"/>
  <c r="Q59" i="241"/>
  <c r="P59" i="234" s="1"/>
  <c r="M79" i="241"/>
  <c r="M96" i="241" s="1"/>
  <c r="O29" i="241"/>
  <c r="O50" i="241" s="1"/>
  <c r="Q55" i="241"/>
  <c r="P55" i="234" s="1"/>
  <c r="L445" i="241"/>
  <c r="Q428" i="241"/>
  <c r="P419" i="234" s="1"/>
  <c r="Q14" i="241"/>
  <c r="P14" i="234" s="1"/>
  <c r="G79" i="241"/>
  <c r="G96" i="241" s="1"/>
  <c r="H79" i="241"/>
  <c r="H96" i="241" s="1"/>
  <c r="Q64" i="241"/>
  <c r="P64" i="234" s="1"/>
  <c r="P79" i="241"/>
  <c r="P96" i="241" s="1"/>
  <c r="K79" i="241"/>
  <c r="K96" i="241" s="1"/>
  <c r="Q68" i="241"/>
  <c r="P67" i="234" s="1"/>
  <c r="F29" i="241"/>
  <c r="F50" i="241" s="1"/>
  <c r="Q16" i="241"/>
  <c r="P16" i="234" s="1"/>
  <c r="N29" i="241"/>
  <c r="N50" i="241" s="1"/>
  <c r="F79" i="241"/>
  <c r="F96" i="241" s="1"/>
  <c r="Q377" i="241"/>
  <c r="P370" i="234" s="1"/>
  <c r="E398" i="241"/>
  <c r="J79" i="241"/>
  <c r="J96" i="241" s="1"/>
  <c r="I29" i="241"/>
  <c r="I50" i="241" s="1"/>
  <c r="L29" i="241"/>
  <c r="L50" i="241" s="1"/>
  <c r="Q54" i="241"/>
  <c r="P54" i="234" s="1"/>
  <c r="Q17" i="241"/>
  <c r="P17" i="234" s="1"/>
  <c r="J29" i="241"/>
  <c r="J50" i="241" s="1"/>
  <c r="Q255" i="241"/>
  <c r="P249" i="234" s="1"/>
  <c r="E272" i="241"/>
  <c r="Q61" i="241"/>
  <c r="P61" i="234" s="1"/>
  <c r="Q63" i="241"/>
  <c r="P63" i="234" s="1"/>
  <c r="E105" i="241"/>
  <c r="Q105" i="241" s="1"/>
  <c r="P104" i="234" s="1"/>
  <c r="Q98" i="241"/>
  <c r="P97" i="234" s="1"/>
  <c r="E115" i="241"/>
  <c r="Q115" i="241" s="1"/>
  <c r="P114" i="234" s="1"/>
  <c r="Q107" i="241"/>
  <c r="P106" i="234" s="1"/>
  <c r="Q18" i="241"/>
  <c r="P18" i="234" s="1"/>
  <c r="N79" i="241"/>
  <c r="N96" i="241" s="1"/>
  <c r="Q444" i="241"/>
  <c r="P435" i="234" s="1"/>
  <c r="K445" i="241"/>
  <c r="Q12" i="241"/>
  <c r="P12" i="234" s="1"/>
  <c r="Q205" i="241"/>
  <c r="P199" i="234" s="1"/>
  <c r="E226" i="241"/>
  <c r="Q11" i="241"/>
  <c r="P11" i="234" s="1"/>
  <c r="E29" i="241"/>
  <c r="Q95" i="241"/>
  <c r="P94" i="234" s="1"/>
  <c r="Q58" i="241"/>
  <c r="P58" i="234" s="1"/>
  <c r="E79" i="241"/>
  <c r="Q53" i="241"/>
  <c r="P53" i="234" s="1"/>
  <c r="Q60" i="241"/>
  <c r="P60" i="234" s="1"/>
  <c r="I445" i="241"/>
  <c r="Q82" i="241"/>
  <c r="P81" i="234" s="1"/>
  <c r="Q81" i="241"/>
  <c r="P80" i="234" s="1"/>
  <c r="E445" i="241"/>
  <c r="F79" i="240"/>
  <c r="F96" i="240" s="1"/>
  <c r="J29" i="240"/>
  <c r="J50" i="240" s="1"/>
  <c r="G79" i="240"/>
  <c r="G96" i="240" s="1"/>
  <c r="O29" i="240"/>
  <c r="O50" i="240" s="1"/>
  <c r="Q61" i="240"/>
  <c r="O61" i="234" s="1"/>
  <c r="Q377" i="240"/>
  <c r="O370" i="234" s="1"/>
  <c r="E141" i="240"/>
  <c r="Q141" i="240" s="1"/>
  <c r="O140" i="234" s="1"/>
  <c r="Q49" i="240"/>
  <c r="O49" i="234" s="1"/>
  <c r="N79" i="240"/>
  <c r="N96" i="240" s="1"/>
  <c r="Q12" i="240"/>
  <c r="O12" i="234" s="1"/>
  <c r="O79" i="240"/>
  <c r="O96" i="240" s="1"/>
  <c r="Q68" i="240"/>
  <c r="O67" i="234" s="1"/>
  <c r="Q82" i="240"/>
  <c r="O81" i="234" s="1"/>
  <c r="I29" i="240"/>
  <c r="I50" i="240" s="1"/>
  <c r="Q66" i="240"/>
  <c r="O66" i="234" s="1"/>
  <c r="E105" i="240"/>
  <c r="Q105" i="240" s="1"/>
  <c r="O104" i="234" s="1"/>
  <c r="Q98" i="240"/>
  <c r="O97" i="234" s="1"/>
  <c r="Q17" i="240"/>
  <c r="O17" i="234" s="1"/>
  <c r="E272" i="240"/>
  <c r="Q255" i="240"/>
  <c r="O249" i="234" s="1"/>
  <c r="Q490" i="240"/>
  <c r="O481" i="234" s="1"/>
  <c r="Q428" i="240"/>
  <c r="O419" i="234" s="1"/>
  <c r="H29" i="240"/>
  <c r="H50" i="240" s="1"/>
  <c r="J79" i="240"/>
  <c r="J96" i="240" s="1"/>
  <c r="Q14" i="240"/>
  <c r="O14" i="234" s="1"/>
  <c r="Q175" i="240"/>
  <c r="Q63" i="240"/>
  <c r="O63" i="234" s="1"/>
  <c r="M350" i="240"/>
  <c r="Q62" i="240"/>
  <c r="O62" i="234" s="1"/>
  <c r="Q107" i="240"/>
  <c r="O106" i="234" s="1"/>
  <c r="E115" i="240"/>
  <c r="Q115" i="240" s="1"/>
  <c r="O114" i="234" s="1"/>
  <c r="Q95" i="240"/>
  <c r="O94" i="234" s="1"/>
  <c r="Q205" i="240"/>
  <c r="O199" i="234" s="1"/>
  <c r="E226" i="240"/>
  <c r="E29" i="240"/>
  <c r="Q11" i="240"/>
  <c r="O11" i="234" s="1"/>
  <c r="E79" i="240"/>
  <c r="Q53" i="240"/>
  <c r="O53" i="234" s="1"/>
  <c r="Q18" i="240"/>
  <c r="O18" i="234" s="1"/>
  <c r="Q60" i="240"/>
  <c r="O60" i="234" s="1"/>
  <c r="M29" i="240"/>
  <c r="M50" i="240" s="1"/>
  <c r="F29" i="240"/>
  <c r="F50" i="240" s="1"/>
  <c r="Q16" i="240"/>
  <c r="O16" i="234" s="1"/>
  <c r="P79" i="240"/>
  <c r="P96" i="240" s="1"/>
  <c r="Q64" i="240"/>
  <c r="O64" i="234" s="1"/>
  <c r="G29" i="240"/>
  <c r="G50" i="240" s="1"/>
  <c r="I79" i="240"/>
  <c r="I96" i="240" s="1"/>
  <c r="K350" i="240"/>
  <c r="M79" i="240"/>
  <c r="M96" i="240" s="1"/>
  <c r="J350" i="240"/>
  <c r="Q55" i="240"/>
  <c r="O55" i="234" s="1"/>
  <c r="K445" i="240"/>
  <c r="L350" i="240"/>
  <c r="N29" i="240"/>
  <c r="N50" i="240" s="1"/>
  <c r="Q15" i="240"/>
  <c r="O15" i="234" s="1"/>
  <c r="Q58" i="240"/>
  <c r="O58" i="234" s="1"/>
  <c r="Q13" i="240"/>
  <c r="O13" i="234" s="1"/>
  <c r="Q56" i="240"/>
  <c r="O56" i="234" s="1"/>
  <c r="Q57" i="240"/>
  <c r="O57" i="234" s="1"/>
  <c r="K29" i="240"/>
  <c r="K50" i="240" s="1"/>
  <c r="L79" i="240"/>
  <c r="L96" i="240" s="1"/>
  <c r="L29" i="240"/>
  <c r="L50" i="240" s="1"/>
  <c r="Q444" i="240"/>
  <c r="O435" i="234" s="1"/>
  <c r="Q15" i="239"/>
  <c r="N15" i="234" s="1"/>
  <c r="Q13" i="239"/>
  <c r="N13" i="234" s="1"/>
  <c r="Q64" i="239"/>
  <c r="N64" i="234" s="1"/>
  <c r="L79" i="239"/>
  <c r="L96" i="239" s="1"/>
  <c r="Q291" i="239"/>
  <c r="N285" i="234" s="1"/>
  <c r="K79" i="239"/>
  <c r="K96" i="239" s="1"/>
  <c r="Q95" i="239"/>
  <c r="N94" i="234" s="1"/>
  <c r="Q490" i="239"/>
  <c r="N481" i="234" s="1"/>
  <c r="J350" i="239"/>
  <c r="Q141" i="239"/>
  <c r="N140" i="234" s="1"/>
  <c r="E79" i="239"/>
  <c r="Q53" i="239"/>
  <c r="N53" i="234" s="1"/>
  <c r="Q57" i="239"/>
  <c r="N57" i="234" s="1"/>
  <c r="Q255" i="239"/>
  <c r="N249" i="234" s="1"/>
  <c r="E272" i="239"/>
  <c r="E398" i="239"/>
  <c r="Q377" i="239"/>
  <c r="N370" i="234" s="1"/>
  <c r="N168" i="234"/>
  <c r="I29" i="239"/>
  <c r="I50" i="239" s="1"/>
  <c r="M79" i="239"/>
  <c r="M96" i="239" s="1"/>
  <c r="F79" i="239"/>
  <c r="F96" i="239" s="1"/>
  <c r="G29" i="239"/>
  <c r="G50" i="239" s="1"/>
  <c r="H350" i="239"/>
  <c r="Q205" i="239"/>
  <c r="N199" i="234" s="1"/>
  <c r="E226" i="239"/>
  <c r="O445" i="239"/>
  <c r="Q61" i="239"/>
  <c r="N61" i="234" s="1"/>
  <c r="Q16" i="239"/>
  <c r="N16" i="234" s="1"/>
  <c r="N79" i="239"/>
  <c r="N96" i="239" s="1"/>
  <c r="G79" i="239"/>
  <c r="G96" i="239" s="1"/>
  <c r="Q62" i="239"/>
  <c r="N62" i="234" s="1"/>
  <c r="E105" i="239"/>
  <c r="Q105" i="239" s="1"/>
  <c r="N104" i="234" s="1"/>
  <c r="Q98" i="239"/>
  <c r="N97" i="234" s="1"/>
  <c r="O350" i="239"/>
  <c r="J29" i="239"/>
  <c r="J50" i="239" s="1"/>
  <c r="H29" i="239"/>
  <c r="H50" i="239" s="1"/>
  <c r="Q12" i="239"/>
  <c r="N12" i="234" s="1"/>
  <c r="J79" i="239"/>
  <c r="J96" i="239" s="1"/>
  <c r="Q56" i="239"/>
  <c r="N56" i="234" s="1"/>
  <c r="K29" i="239"/>
  <c r="K50" i="239" s="1"/>
  <c r="E29" i="239"/>
  <c r="Q11" i="239"/>
  <c r="N11" i="234" s="1"/>
  <c r="O79" i="239"/>
  <c r="O96" i="239" s="1"/>
  <c r="F29" i="239"/>
  <c r="F50" i="239" s="1"/>
  <c r="O29" i="239"/>
  <c r="O50" i="239" s="1"/>
  <c r="P350" i="239"/>
  <c r="Q49" i="239"/>
  <c r="N49" i="234" s="1"/>
  <c r="Q54" i="239"/>
  <c r="N54" i="234" s="1"/>
  <c r="Q55" i="239"/>
  <c r="N55" i="234" s="1"/>
  <c r="Q60" i="239"/>
  <c r="N60" i="234" s="1"/>
  <c r="M29" i="239"/>
  <c r="M50" i="239" s="1"/>
  <c r="N29" i="239"/>
  <c r="N50" i="239" s="1"/>
  <c r="E115" i="239"/>
  <c r="Q115" i="239" s="1"/>
  <c r="N114" i="234" s="1"/>
  <c r="Q107" i="239"/>
  <c r="N106" i="234" s="1"/>
  <c r="K350" i="239"/>
  <c r="Q68" i="239"/>
  <c r="N67" i="234" s="1"/>
  <c r="P29" i="239"/>
  <c r="P50" i="239" s="1"/>
  <c r="Q66" i="239"/>
  <c r="N66" i="234" s="1"/>
  <c r="Q444" i="239"/>
  <c r="N435" i="234" s="1"/>
  <c r="E445" i="239"/>
  <c r="L29" i="239"/>
  <c r="L50" i="239" s="1"/>
  <c r="I350" i="239"/>
  <c r="H79" i="239"/>
  <c r="H96" i="239" s="1"/>
  <c r="Q428" i="239"/>
  <c r="N419" i="234" s="1"/>
  <c r="Q18" i="239"/>
  <c r="N18" i="234" s="1"/>
  <c r="Q59" i="239"/>
  <c r="N59" i="234" s="1"/>
  <c r="Q14" i="239"/>
  <c r="N14" i="234" s="1"/>
  <c r="M15" i="234"/>
  <c r="M58" i="234"/>
  <c r="M104" i="234"/>
  <c r="M97" i="234"/>
  <c r="M114" i="234"/>
  <c r="M106" i="234"/>
  <c r="M11" i="234"/>
  <c r="M54" i="234"/>
  <c r="M14" i="234"/>
  <c r="M66" i="234"/>
  <c r="M55" i="234"/>
  <c r="M419" i="234"/>
  <c r="M57" i="234"/>
  <c r="M94" i="234"/>
  <c r="M59" i="234"/>
  <c r="M12" i="234"/>
  <c r="M53" i="234"/>
  <c r="M62" i="234"/>
  <c r="M56" i="234"/>
  <c r="M18" i="234"/>
  <c r="M16" i="234"/>
  <c r="M61" i="234"/>
  <c r="M13" i="234"/>
  <c r="M64" i="234"/>
  <c r="M63" i="234"/>
  <c r="M275" i="234"/>
  <c r="Q57" i="236"/>
  <c r="I58" i="234"/>
  <c r="J66" i="234"/>
  <c r="J107" i="234"/>
  <c r="H77" i="236"/>
  <c r="J71" i="234"/>
  <c r="G29" i="236"/>
  <c r="G49" i="236" s="1"/>
  <c r="J14" i="234"/>
  <c r="G103" i="236"/>
  <c r="K512" i="234"/>
  <c r="Q97" i="236"/>
  <c r="I98" i="234"/>
  <c r="Q65" i="236"/>
  <c r="I66" i="234"/>
  <c r="F29" i="236"/>
  <c r="F49" i="236" s="1"/>
  <c r="Q82" i="236"/>
  <c r="I83" i="234"/>
  <c r="O29" i="236"/>
  <c r="O49" i="236" s="1"/>
  <c r="Q147" i="236"/>
  <c r="J54" i="234"/>
  <c r="E113" i="236"/>
  <c r="Q105" i="236"/>
  <c r="I106" i="234"/>
  <c r="O103" i="236"/>
  <c r="M93" i="236"/>
  <c r="Q586" i="236"/>
  <c r="E603" i="236"/>
  <c r="Q557" i="236"/>
  <c r="Q558" i="236" s="1"/>
  <c r="E558" i="236"/>
  <c r="Q61" i="236"/>
  <c r="I62" i="234"/>
  <c r="Q198" i="236"/>
  <c r="N433" i="236"/>
  <c r="N510" i="236" s="1"/>
  <c r="P29" i="236"/>
  <c r="Q55" i="236"/>
  <c r="I56" i="234"/>
  <c r="J15" i="234"/>
  <c r="H113" i="236"/>
  <c r="J12" i="234"/>
  <c r="Q14" i="236"/>
  <c r="I14" i="234"/>
  <c r="Q11" i="236"/>
  <c r="E29" i="236"/>
  <c r="I11" i="234"/>
  <c r="L77" i="236"/>
  <c r="J53" i="234"/>
  <c r="Q60" i="236"/>
  <c r="I61" i="234"/>
  <c r="P93" i="236"/>
  <c r="P77" i="236"/>
  <c r="K103" i="236"/>
  <c r="J97" i="234"/>
  <c r="I113" i="236"/>
  <c r="Q15" i="236"/>
  <c r="I15" i="234"/>
  <c r="J58" i="234"/>
  <c r="M113" i="236"/>
  <c r="J63" i="234"/>
  <c r="M77" i="236"/>
  <c r="G113" i="236"/>
  <c r="N29" i="236"/>
  <c r="N49" i="236" s="1"/>
  <c r="Q59" i="236"/>
  <c r="I60" i="234"/>
  <c r="J93" i="236"/>
  <c r="J113" i="236"/>
  <c r="K93" i="236"/>
  <c r="J80" i="234"/>
  <c r="K43" i="234"/>
  <c r="H103" i="236"/>
  <c r="K165" i="236"/>
  <c r="F113" i="236"/>
  <c r="P113" i="236"/>
  <c r="Q41" i="236"/>
  <c r="J603" i="236"/>
  <c r="J680" i="236" s="1"/>
  <c r="N103" i="236"/>
  <c r="Q52" i="236"/>
  <c r="E77" i="236"/>
  <c r="I53" i="234"/>
  <c r="Q63" i="236"/>
  <c r="I64" i="234"/>
  <c r="J74" i="234"/>
  <c r="J55" i="234"/>
  <c r="J13" i="234"/>
  <c r="Q56" i="236"/>
  <c r="I57" i="234"/>
  <c r="Q80" i="236"/>
  <c r="I81" i="234"/>
  <c r="Q106" i="236"/>
  <c r="I107" i="234"/>
  <c r="J56" i="234"/>
  <c r="H264" i="236"/>
  <c r="J60" i="234"/>
  <c r="O77" i="236"/>
  <c r="Q79" i="236"/>
  <c r="E93" i="236"/>
  <c r="I80" i="234"/>
  <c r="Q16" i="236"/>
  <c r="I16" i="234"/>
  <c r="Q13" i="236"/>
  <c r="I13" i="234"/>
  <c r="Q70" i="236"/>
  <c r="I71" i="234"/>
  <c r="E103" i="236"/>
  <c r="Q96" i="236"/>
  <c r="I97" i="234"/>
  <c r="J81" i="234"/>
  <c r="Q12" i="236"/>
  <c r="I12" i="234"/>
  <c r="Q17" i="236"/>
  <c r="I17" i="234"/>
  <c r="K113" i="236"/>
  <c r="J106" i="234"/>
  <c r="Q58" i="236"/>
  <c r="I59" i="234"/>
  <c r="L113" i="236"/>
  <c r="G165" i="236"/>
  <c r="Q504" i="236"/>
  <c r="J67" i="234"/>
  <c r="Q53" i="236"/>
  <c r="I54" i="234"/>
  <c r="F165" i="236"/>
  <c r="I142" i="234"/>
  <c r="I166" i="234" s="1"/>
  <c r="Q54" i="236"/>
  <c r="I55" i="234"/>
  <c r="K29" i="236"/>
  <c r="J11" i="234"/>
  <c r="Q68" i="236"/>
  <c r="I69" i="234"/>
  <c r="Q73" i="236"/>
  <c r="I74" i="234"/>
  <c r="J65" i="234"/>
  <c r="J16" i="234"/>
  <c r="J70" i="234"/>
  <c r="Q247" i="236"/>
  <c r="Q151" i="236"/>
  <c r="Q62" i="236"/>
  <c r="Q69" i="236"/>
  <c r="I70" i="234"/>
  <c r="J29" i="236"/>
  <c r="J49" i="236" s="1"/>
  <c r="J77" i="236"/>
  <c r="J61" i="234"/>
  <c r="Q66" i="236"/>
  <c r="I67" i="234"/>
  <c r="J64" i="234"/>
  <c r="Q149" i="236"/>
  <c r="Q141" i="236"/>
  <c r="Q64" i="236"/>
  <c r="I65" i="234"/>
  <c r="N165" i="236"/>
  <c r="J142" i="234"/>
  <c r="J166" i="234" s="1"/>
  <c r="Q71" i="236"/>
  <c r="I72" i="234"/>
  <c r="Q67" i="236"/>
  <c r="I68" i="234"/>
  <c r="J59" i="234"/>
  <c r="Q72" i="236"/>
  <c r="I73" i="234"/>
  <c r="I77" i="236"/>
  <c r="Q416" i="236"/>
  <c r="E433" i="236"/>
  <c r="E510" i="236" s="1"/>
  <c r="Q131" i="236"/>
  <c r="O93" i="236"/>
  <c r="G77" i="236"/>
  <c r="J98" i="234"/>
  <c r="G139" i="236"/>
  <c r="Q139" i="236" s="1"/>
  <c r="Q368" i="236"/>
  <c r="Q388" i="236" s="1"/>
  <c r="Q335" i="236"/>
  <c r="Q148" i="236"/>
  <c r="Q146" i="236"/>
  <c r="Q53" i="235"/>
  <c r="F53" i="234" s="1"/>
  <c r="E78" i="235"/>
  <c r="Q11" i="235"/>
  <c r="F11" i="234" s="1"/>
  <c r="E29" i="235"/>
  <c r="Q13" i="235"/>
  <c r="F13" i="234" s="1"/>
  <c r="J94" i="235"/>
  <c r="Q63" i="235"/>
  <c r="F63" i="234" s="1"/>
  <c r="Q16" i="235"/>
  <c r="F16" i="234" s="1"/>
  <c r="F220" i="235"/>
  <c r="F401" i="234"/>
  <c r="F427" i="234"/>
  <c r="Q67" i="235"/>
  <c r="F67" i="234" s="1"/>
  <c r="F29" i="235"/>
  <c r="K114" i="235"/>
  <c r="L78" i="235"/>
  <c r="N29" i="235"/>
  <c r="N50" i="235" s="1"/>
  <c r="N220" i="235"/>
  <c r="Q39" i="235"/>
  <c r="F39" i="234" s="1"/>
  <c r="G94" i="235"/>
  <c r="O114" i="235"/>
  <c r="O220" i="235"/>
  <c r="Q62" i="235"/>
  <c r="F62" i="234" s="1"/>
  <c r="F265" i="234"/>
  <c r="G265" i="234" s="1"/>
  <c r="F157" i="234"/>
  <c r="F171" i="234"/>
  <c r="G171" i="234" s="1"/>
  <c r="F249" i="234"/>
  <c r="I94" i="235"/>
  <c r="M29" i="235"/>
  <c r="M50" i="235" s="1"/>
  <c r="Q68" i="235"/>
  <c r="F68" i="234" s="1"/>
  <c r="Q147" i="235"/>
  <c r="F147" i="234" s="1"/>
  <c r="Q15" i="235"/>
  <c r="F15" i="234" s="1"/>
  <c r="I114" i="235"/>
  <c r="G29" i="235"/>
  <c r="G50" i="235" s="1"/>
  <c r="Q12" i="235"/>
  <c r="F12" i="234" s="1"/>
  <c r="Q64" i="235"/>
  <c r="F64" i="234" s="1"/>
  <c r="E94" i="235"/>
  <c r="Q80" i="235"/>
  <c r="F80" i="234" s="1"/>
  <c r="Q275" i="235"/>
  <c r="F78" i="235"/>
  <c r="H78" i="235"/>
  <c r="O94" i="235"/>
  <c r="O29" i="235"/>
  <c r="O50" i="235" s="1"/>
  <c r="G104" i="235"/>
  <c r="F199" i="234"/>
  <c r="J114" i="235"/>
  <c r="L114" i="235"/>
  <c r="Q106" i="235"/>
  <c r="F106" i="234" s="1"/>
  <c r="E114" i="235"/>
  <c r="F94" i="235"/>
  <c r="Q55" i="235"/>
  <c r="F55" i="234" s="1"/>
  <c r="N104" i="235"/>
  <c r="P114" i="235"/>
  <c r="P29" i="235"/>
  <c r="P50" i="235" s="1"/>
  <c r="Q265" i="235"/>
  <c r="P104" i="235"/>
  <c r="Q507" i="235"/>
  <c r="J29" i="235"/>
  <c r="J50" i="235" s="1"/>
  <c r="N94" i="235"/>
  <c r="L513" i="235"/>
  <c r="Q81" i="235"/>
  <c r="F81" i="234" s="1"/>
  <c r="N78" i="235"/>
  <c r="Q40" i="235"/>
  <c r="F40" i="234" s="1"/>
  <c r="Q14" i="235"/>
  <c r="F14" i="234" s="1"/>
  <c r="E166" i="235"/>
  <c r="Q199" i="235"/>
  <c r="L29" i="235"/>
  <c r="L50" i="235" s="1"/>
  <c r="Q370" i="235"/>
  <c r="Q391" i="235" s="1"/>
  <c r="E391" i="235"/>
  <c r="Q83" i="235"/>
  <c r="F83" i="234" s="1"/>
  <c r="H94" i="235"/>
  <c r="F513" i="235"/>
  <c r="Q107" i="235"/>
  <c r="F107" i="234" s="1"/>
  <c r="Q419" i="235"/>
  <c r="M513" i="235"/>
  <c r="Q148" i="235"/>
  <c r="F148" i="234" s="1"/>
  <c r="Q219" i="235"/>
  <c r="Q481" i="235"/>
  <c r="F114" i="235"/>
  <c r="J78" i="235"/>
  <c r="Q97" i="235"/>
  <c r="F97" i="234" s="1"/>
  <c r="E104" i="235"/>
  <c r="K78" i="235"/>
  <c r="I78" i="235"/>
  <c r="Q124" i="235"/>
  <c r="F124" i="234" s="1"/>
  <c r="N114" i="235"/>
  <c r="Q57" i="235"/>
  <c r="F57" i="234" s="1"/>
  <c r="G78" i="235"/>
  <c r="H114" i="235"/>
  <c r="H220" i="235"/>
  <c r="Q58" i="235"/>
  <c r="F58" i="234" s="1"/>
  <c r="F140" i="235"/>
  <c r="O266" i="235"/>
  <c r="I29" i="235"/>
  <c r="I50" i="235" s="1"/>
  <c r="Q17" i="235"/>
  <c r="F17" i="234" s="1"/>
  <c r="Q249" i="235"/>
  <c r="E266" i="235"/>
  <c r="E343" i="235" s="1"/>
  <c r="F104" i="235"/>
  <c r="O78" i="235"/>
  <c r="H29" i="235"/>
  <c r="H50" i="235" s="1"/>
  <c r="H104" i="235"/>
  <c r="K311" i="234"/>
  <c r="F343" i="235" l="1"/>
  <c r="L95" i="235"/>
  <c r="H513" i="234"/>
  <c r="H343" i="235"/>
  <c r="E172" i="234"/>
  <c r="J343" i="235"/>
  <c r="Q140" i="235"/>
  <c r="F139" i="234" s="1"/>
  <c r="F140" i="234" s="1"/>
  <c r="G140" i="234" s="1"/>
  <c r="N343" i="235"/>
  <c r="M95" i="235"/>
  <c r="G343" i="235"/>
  <c r="K95" i="235"/>
  <c r="H172" i="234"/>
  <c r="K341" i="236"/>
  <c r="M266" i="234"/>
  <c r="M249" i="234"/>
  <c r="M391" i="234"/>
  <c r="M370" i="234"/>
  <c r="M220" i="234"/>
  <c r="M199" i="234"/>
  <c r="J341" i="236"/>
  <c r="K166" i="234"/>
  <c r="E513" i="234"/>
  <c r="H343" i="234"/>
  <c r="E513" i="235"/>
  <c r="M343" i="235"/>
  <c r="M341" i="236"/>
  <c r="O341" i="236"/>
  <c r="H341" i="236"/>
  <c r="L341" i="236"/>
  <c r="P341" i="236"/>
  <c r="G341" i="236"/>
  <c r="Q264" i="236"/>
  <c r="H94" i="236"/>
  <c r="H171" i="236" s="1"/>
  <c r="K266" i="234"/>
  <c r="K150" i="234"/>
  <c r="J513" i="234"/>
  <c r="J343" i="234"/>
  <c r="K419" i="234"/>
  <c r="F341" i="236"/>
  <c r="I341" i="236"/>
  <c r="E341" i="236"/>
  <c r="I436" i="234"/>
  <c r="K436" i="234" s="1"/>
  <c r="K94" i="236"/>
  <c r="K249" i="234"/>
  <c r="K70" i="234"/>
  <c r="K370" i="234"/>
  <c r="K72" i="234"/>
  <c r="K83" i="234"/>
  <c r="K199" i="234"/>
  <c r="P49" i="236"/>
  <c r="K66" i="234"/>
  <c r="N94" i="236"/>
  <c r="N171" i="236" s="1"/>
  <c r="E343" i="234"/>
  <c r="Q48" i="236"/>
  <c r="K140" i="234"/>
  <c r="F50" i="235"/>
  <c r="Q220" i="235"/>
  <c r="Q603" i="236"/>
  <c r="Q680" i="236" s="1"/>
  <c r="F419" i="234"/>
  <c r="G419" i="234" s="1"/>
  <c r="K147" i="234"/>
  <c r="K132" i="234"/>
  <c r="G94" i="236"/>
  <c r="G171" i="236" s="1"/>
  <c r="J49" i="234"/>
  <c r="G370" i="234"/>
  <c r="I94" i="236"/>
  <c r="I171" i="236" s="1"/>
  <c r="K69" i="234"/>
  <c r="Q266" i="235"/>
  <c r="M49" i="236"/>
  <c r="K63" i="234"/>
  <c r="P95" i="235"/>
  <c r="P172" i="235" s="1"/>
  <c r="J95" i="235"/>
  <c r="J172" i="235" s="1"/>
  <c r="L94" i="236"/>
  <c r="K172" i="235"/>
  <c r="K98" i="234"/>
  <c r="G95" i="235"/>
  <c r="G172" i="235" s="1"/>
  <c r="K62" i="234"/>
  <c r="K65" i="234"/>
  <c r="F435" i="234"/>
  <c r="F166" i="234"/>
  <c r="G166" i="234" s="1"/>
  <c r="Q166" i="235"/>
  <c r="K73" i="234"/>
  <c r="P94" i="236"/>
  <c r="L49" i="236"/>
  <c r="K68" i="234"/>
  <c r="Q218" i="236"/>
  <c r="K77" i="243"/>
  <c r="J40" i="242"/>
  <c r="J41" i="242"/>
  <c r="I39" i="242"/>
  <c r="Q75" i="243"/>
  <c r="K39" i="242" s="1"/>
  <c r="E76" i="243"/>
  <c r="Q433" i="236"/>
  <c r="Q510" i="236" s="1"/>
  <c r="J114" i="234"/>
  <c r="K17" i="234"/>
  <c r="K57" i="234"/>
  <c r="K14" i="234"/>
  <c r="K13" i="234"/>
  <c r="J94" i="236"/>
  <c r="J171" i="236" s="1"/>
  <c r="K54" i="234"/>
  <c r="K107" i="234"/>
  <c r="Q436" i="235"/>
  <c r="Q513" i="235" s="1"/>
  <c r="F94" i="234"/>
  <c r="G94" i="234" s="1"/>
  <c r="K56" i="234"/>
  <c r="J78" i="234"/>
  <c r="K81" i="234"/>
  <c r="M94" i="236"/>
  <c r="J104" i="234"/>
  <c r="F94" i="236"/>
  <c r="F171" i="236" s="1"/>
  <c r="K67" i="234"/>
  <c r="K71" i="234"/>
  <c r="K64" i="234"/>
  <c r="I95" i="235"/>
  <c r="I172" i="235" s="1"/>
  <c r="K149" i="234"/>
  <c r="K142" i="234"/>
  <c r="Q165" i="236"/>
  <c r="E680" i="236"/>
  <c r="F49" i="234"/>
  <c r="G49" i="234" s="1"/>
  <c r="K58" i="234"/>
  <c r="F114" i="234"/>
  <c r="G114" i="234" s="1"/>
  <c r="H95" i="235"/>
  <c r="H172" i="235" s="1"/>
  <c r="N95" i="235"/>
  <c r="N172" i="235" s="1"/>
  <c r="F95" i="235"/>
  <c r="Q226" i="241"/>
  <c r="P220" i="234" s="1"/>
  <c r="Q272" i="241"/>
  <c r="P266" i="234" s="1"/>
  <c r="Q29" i="241"/>
  <c r="E50" i="241"/>
  <c r="Q79" i="241"/>
  <c r="P78" i="234" s="1"/>
  <c r="E96" i="241"/>
  <c r="Q96" i="241" s="1"/>
  <c r="P95" i="234" s="1"/>
  <c r="Q445" i="241"/>
  <c r="P436" i="234" s="1"/>
  <c r="Q398" i="241"/>
  <c r="P391" i="234" s="1"/>
  <c r="Q398" i="240"/>
  <c r="O391" i="234" s="1"/>
  <c r="E350" i="240"/>
  <c r="Q29" i="240"/>
  <c r="E50" i="240"/>
  <c r="Q445" i="240"/>
  <c r="O436" i="234" s="1"/>
  <c r="Q226" i="240"/>
  <c r="O220" i="234" s="1"/>
  <c r="O168" i="234"/>
  <c r="Q79" i="240"/>
  <c r="O78" i="234" s="1"/>
  <c r="E96" i="240"/>
  <c r="Q96" i="240" s="1"/>
  <c r="O95" i="234" s="1"/>
  <c r="Q272" i="240"/>
  <c r="O266" i="234" s="1"/>
  <c r="Q445" i="239"/>
  <c r="N436" i="234" s="1"/>
  <c r="Q272" i="239"/>
  <c r="N266" i="234" s="1"/>
  <c r="Q29" i="239"/>
  <c r="E50" i="239"/>
  <c r="E96" i="239"/>
  <c r="Q96" i="239" s="1"/>
  <c r="N95" i="234" s="1"/>
  <c r="Q79" i="239"/>
  <c r="N78" i="234" s="1"/>
  <c r="E350" i="239"/>
  <c r="Q226" i="239"/>
  <c r="N220" i="234" s="1"/>
  <c r="Q398" i="239"/>
  <c r="N391" i="234" s="1"/>
  <c r="M78" i="234"/>
  <c r="M95" i="234"/>
  <c r="K74" i="234"/>
  <c r="K12" i="234"/>
  <c r="K59" i="234"/>
  <c r="K53" i="234"/>
  <c r="I78" i="234"/>
  <c r="J94" i="234"/>
  <c r="Q77" i="236"/>
  <c r="E94" i="236"/>
  <c r="K60" i="234"/>
  <c r="K15" i="234"/>
  <c r="K61" i="234"/>
  <c r="K148" i="234"/>
  <c r="Q93" i="236"/>
  <c r="K11" i="234"/>
  <c r="I29" i="234"/>
  <c r="O94" i="236"/>
  <c r="O171" i="236" s="1"/>
  <c r="Q29" i="236"/>
  <c r="E49" i="236"/>
  <c r="Q113" i="236"/>
  <c r="K97" i="234"/>
  <c r="I104" i="234"/>
  <c r="K16" i="234"/>
  <c r="K49" i="236"/>
  <c r="J29" i="234"/>
  <c r="K55" i="234"/>
  <c r="Q103" i="236"/>
  <c r="I94" i="234"/>
  <c r="K80" i="234"/>
  <c r="K152" i="234"/>
  <c r="K106" i="234"/>
  <c r="I114" i="234"/>
  <c r="K42" i="234"/>
  <c r="I49" i="234"/>
  <c r="M172" i="235"/>
  <c r="Q94" i="235"/>
  <c r="O343" i="235"/>
  <c r="O95" i="235"/>
  <c r="O172" i="235" s="1"/>
  <c r="F29" i="234"/>
  <c r="Q104" i="235"/>
  <c r="F103" i="234" s="1"/>
  <c r="F104" i="234" s="1"/>
  <c r="G104" i="234" s="1"/>
  <c r="Q114" i="235"/>
  <c r="F266" i="234"/>
  <c r="G266" i="234" s="1"/>
  <c r="G249" i="234"/>
  <c r="E50" i="235"/>
  <c r="Q29" i="235"/>
  <c r="L172" i="235"/>
  <c r="Q78" i="235"/>
  <c r="E95" i="235"/>
  <c r="F78" i="234"/>
  <c r="G199" i="234"/>
  <c r="F220" i="234"/>
  <c r="K391" i="234"/>
  <c r="K220" i="234"/>
  <c r="I343" i="234"/>
  <c r="G391" i="234"/>
  <c r="M343" i="234" l="1"/>
  <c r="F172" i="235"/>
  <c r="M436" i="234"/>
  <c r="Q343" i="235"/>
  <c r="Q341" i="236"/>
  <c r="E171" i="236"/>
  <c r="I47" i="58" s="1"/>
  <c r="K343" i="234"/>
  <c r="I513" i="234"/>
  <c r="K513" i="234" s="1"/>
  <c r="K114" i="234"/>
  <c r="L171" i="236"/>
  <c r="J95" i="234"/>
  <c r="M171" i="236"/>
  <c r="P171" i="236"/>
  <c r="K49" i="234"/>
  <c r="K94" i="234"/>
  <c r="G435" i="234"/>
  <c r="F436" i="234"/>
  <c r="K104" i="234"/>
  <c r="I41" i="242"/>
  <c r="I40" i="242"/>
  <c r="Q76" i="243"/>
  <c r="E77" i="243"/>
  <c r="Q95" i="235"/>
  <c r="Q50" i="241"/>
  <c r="P29" i="234"/>
  <c r="Q50" i="240"/>
  <c r="O29" i="234"/>
  <c r="Q350" i="240"/>
  <c r="O343" i="234" s="1"/>
  <c r="Q50" i="239"/>
  <c r="N29" i="234"/>
  <c r="Q350" i="239"/>
  <c r="N343" i="234" s="1"/>
  <c r="M29" i="234"/>
  <c r="K29" i="234"/>
  <c r="I50" i="234"/>
  <c r="K78" i="234"/>
  <c r="I95" i="234"/>
  <c r="Q94" i="236"/>
  <c r="Q49" i="236"/>
  <c r="K171" i="236"/>
  <c r="J50" i="234"/>
  <c r="Q50" i="235"/>
  <c r="E172" i="235"/>
  <c r="Q172" i="235" s="1"/>
  <c r="F50" i="234"/>
  <c r="G29" i="234"/>
  <c r="F95" i="234"/>
  <c r="G95" i="234" s="1"/>
  <c r="G78" i="234"/>
  <c r="F343" i="234"/>
  <c r="G343" i="234" s="1"/>
  <c r="G220" i="234"/>
  <c r="J47" i="58" l="1"/>
  <c r="K95" i="234"/>
  <c r="J172" i="234"/>
  <c r="G436" i="234"/>
  <c r="F513" i="234"/>
  <c r="G513" i="234" s="1"/>
  <c r="Q77" i="243"/>
  <c r="K41" i="242" s="1"/>
  <c r="K40" i="242"/>
  <c r="P50" i="234"/>
  <c r="O50" i="234"/>
  <c r="N50" i="234"/>
  <c r="M50" i="234"/>
  <c r="Q171" i="236"/>
  <c r="K47" i="58" s="1"/>
  <c r="K50" i="234"/>
  <c r="I172" i="234"/>
  <c r="G50" i="234"/>
  <c r="F172" i="234"/>
  <c r="G172" i="234" s="1"/>
  <c r="K172" i="234" l="1"/>
  <c r="Q38" i="233"/>
  <c r="P38" i="226" s="1"/>
  <c r="F66" i="233"/>
  <c r="G66" i="233"/>
  <c r="H66" i="233"/>
  <c r="I66" i="233"/>
  <c r="J66" i="233"/>
  <c r="K66" i="233"/>
  <c r="L66" i="233"/>
  <c r="M66" i="233"/>
  <c r="N66" i="233"/>
  <c r="O66" i="233"/>
  <c r="P66" i="233"/>
  <c r="Q83" i="233"/>
  <c r="Q84" i="233"/>
  <c r="Q85" i="233"/>
  <c r="Q86" i="233"/>
  <c r="Q87" i="233"/>
  <c r="Q88" i="233"/>
  <c r="Q89" i="233"/>
  <c r="Q90" i="233"/>
  <c r="Q91" i="233"/>
  <c r="Q92" i="233"/>
  <c r="K103" i="233"/>
  <c r="Q116" i="233"/>
  <c r="P117" i="226" s="1"/>
  <c r="Q156" i="233"/>
  <c r="Q38" i="232"/>
  <c r="E66" i="232"/>
  <c r="G66" i="232"/>
  <c r="H66" i="232"/>
  <c r="I66" i="232"/>
  <c r="J66" i="232"/>
  <c r="K66" i="232"/>
  <c r="L66" i="232"/>
  <c r="M66" i="232"/>
  <c r="N66" i="232"/>
  <c r="O66" i="232"/>
  <c r="P66" i="232"/>
  <c r="Q83" i="232"/>
  <c r="O84" i="226" s="1"/>
  <c r="Q84" i="232"/>
  <c r="Q85" i="232"/>
  <c r="Q86" i="232"/>
  <c r="Q87" i="232"/>
  <c r="Q88" i="232"/>
  <c r="Q89" i="232"/>
  <c r="Q90" i="232"/>
  <c r="Q91" i="232"/>
  <c r="Q92" i="232"/>
  <c r="E107" i="232"/>
  <c r="F107" i="232"/>
  <c r="G107" i="232"/>
  <c r="H107" i="232"/>
  <c r="I107" i="232"/>
  <c r="J107" i="232"/>
  <c r="K107" i="232"/>
  <c r="L107" i="232"/>
  <c r="M107" i="232"/>
  <c r="N107" i="232"/>
  <c r="O107" i="232"/>
  <c r="P107" i="232"/>
  <c r="Q116" i="232"/>
  <c r="O117" i="226" s="1"/>
  <c r="Q156" i="232"/>
  <c r="E10" i="231"/>
  <c r="F10" i="231"/>
  <c r="G10" i="231"/>
  <c r="H10" i="231"/>
  <c r="I10" i="231"/>
  <c r="J10" i="231"/>
  <c r="K10" i="231"/>
  <c r="L10" i="231"/>
  <c r="M10" i="231"/>
  <c r="N10" i="231"/>
  <c r="O10" i="231"/>
  <c r="P10" i="231"/>
  <c r="E11" i="231"/>
  <c r="F11" i="231"/>
  <c r="G11" i="231"/>
  <c r="H11" i="231"/>
  <c r="I11" i="231"/>
  <c r="J11" i="231"/>
  <c r="K11" i="231"/>
  <c r="L11" i="231"/>
  <c r="M11" i="231"/>
  <c r="N11" i="231"/>
  <c r="O11" i="231"/>
  <c r="P11" i="231"/>
  <c r="E12" i="231"/>
  <c r="F12" i="231"/>
  <c r="G12" i="231"/>
  <c r="H12" i="231"/>
  <c r="I12" i="231"/>
  <c r="J12" i="231"/>
  <c r="K12" i="231"/>
  <c r="L12" i="231"/>
  <c r="M12" i="231"/>
  <c r="N12" i="231"/>
  <c r="O12" i="231"/>
  <c r="P12" i="231"/>
  <c r="E13" i="231"/>
  <c r="F13" i="231"/>
  <c r="G13" i="231"/>
  <c r="H13" i="231"/>
  <c r="I13" i="231"/>
  <c r="J13" i="231"/>
  <c r="K13" i="231"/>
  <c r="L13" i="231"/>
  <c r="M13" i="231"/>
  <c r="N13" i="231"/>
  <c r="O13" i="231"/>
  <c r="P13" i="231"/>
  <c r="E14" i="231"/>
  <c r="F14" i="231"/>
  <c r="G14" i="231"/>
  <c r="H14" i="231"/>
  <c r="I14" i="231"/>
  <c r="J14" i="231"/>
  <c r="K14" i="231"/>
  <c r="L14" i="231"/>
  <c r="M14" i="231"/>
  <c r="N14" i="231"/>
  <c r="O14" i="231"/>
  <c r="P14" i="231"/>
  <c r="E15" i="231"/>
  <c r="F15" i="231"/>
  <c r="G15" i="231"/>
  <c r="H15" i="231"/>
  <c r="I15" i="231"/>
  <c r="J15" i="231"/>
  <c r="K15" i="231"/>
  <c r="L15" i="231"/>
  <c r="M15" i="231"/>
  <c r="N15" i="231"/>
  <c r="O15" i="231"/>
  <c r="P15" i="231"/>
  <c r="E16" i="231"/>
  <c r="F16" i="231"/>
  <c r="G16" i="231"/>
  <c r="H16" i="231"/>
  <c r="I16" i="231"/>
  <c r="J16" i="231"/>
  <c r="K16" i="231"/>
  <c r="L16" i="231"/>
  <c r="M16" i="231"/>
  <c r="N16" i="231"/>
  <c r="O16" i="231"/>
  <c r="P16" i="231"/>
  <c r="E17" i="231"/>
  <c r="F17" i="231"/>
  <c r="G17" i="231"/>
  <c r="H17" i="231"/>
  <c r="I17" i="231"/>
  <c r="J17" i="231"/>
  <c r="K17" i="231"/>
  <c r="L17" i="231"/>
  <c r="M17" i="231"/>
  <c r="N17" i="231"/>
  <c r="O17" i="231"/>
  <c r="P17" i="231"/>
  <c r="E30" i="231"/>
  <c r="F30" i="231"/>
  <c r="G30" i="231"/>
  <c r="H30" i="231"/>
  <c r="I30" i="231"/>
  <c r="J30" i="231"/>
  <c r="K30" i="231"/>
  <c r="L30" i="231"/>
  <c r="M30" i="231"/>
  <c r="N30" i="231"/>
  <c r="O30" i="231"/>
  <c r="P30" i="231"/>
  <c r="E31" i="231"/>
  <c r="F31" i="231"/>
  <c r="G31" i="231"/>
  <c r="H31" i="231"/>
  <c r="I31" i="231"/>
  <c r="J31" i="231"/>
  <c r="K31" i="231"/>
  <c r="L31" i="231"/>
  <c r="M31" i="231"/>
  <c r="N31" i="231"/>
  <c r="O31" i="231"/>
  <c r="P31" i="231"/>
  <c r="E32" i="231"/>
  <c r="F32" i="231"/>
  <c r="G32" i="231"/>
  <c r="H32" i="231"/>
  <c r="I32" i="231"/>
  <c r="J32" i="231"/>
  <c r="K32" i="231"/>
  <c r="L32" i="231"/>
  <c r="M32" i="231"/>
  <c r="N32" i="231"/>
  <c r="O32" i="231"/>
  <c r="P32" i="231"/>
  <c r="E33" i="231"/>
  <c r="F33" i="231"/>
  <c r="G33" i="231"/>
  <c r="H33" i="231"/>
  <c r="I33" i="231"/>
  <c r="J33" i="231"/>
  <c r="K33" i="231"/>
  <c r="L33" i="231"/>
  <c r="M33" i="231"/>
  <c r="N33" i="231"/>
  <c r="O33" i="231"/>
  <c r="P33" i="231"/>
  <c r="E34" i="231"/>
  <c r="F34" i="231"/>
  <c r="G34" i="231"/>
  <c r="H34" i="231"/>
  <c r="I34" i="231"/>
  <c r="J34" i="231"/>
  <c r="K34" i="231"/>
  <c r="L34" i="231"/>
  <c r="M34" i="231"/>
  <c r="N34" i="231"/>
  <c r="O34" i="231"/>
  <c r="P34" i="231"/>
  <c r="E35" i="231"/>
  <c r="F35" i="231"/>
  <c r="G35" i="231"/>
  <c r="H35" i="231"/>
  <c r="I35" i="231"/>
  <c r="J35" i="231"/>
  <c r="K35" i="231"/>
  <c r="L35" i="231"/>
  <c r="M35" i="231"/>
  <c r="N35" i="231"/>
  <c r="O35" i="231"/>
  <c r="P35" i="231"/>
  <c r="E36" i="231"/>
  <c r="F36" i="231"/>
  <c r="G36" i="231"/>
  <c r="H36" i="231"/>
  <c r="I36" i="231"/>
  <c r="J36" i="231"/>
  <c r="K36" i="231"/>
  <c r="L36" i="231"/>
  <c r="M36" i="231"/>
  <c r="N36" i="231"/>
  <c r="O36" i="231"/>
  <c r="P36" i="231"/>
  <c r="E37" i="231"/>
  <c r="F37" i="231"/>
  <c r="G37" i="231"/>
  <c r="H37" i="231"/>
  <c r="I37" i="231"/>
  <c r="J37" i="231"/>
  <c r="K37" i="231"/>
  <c r="L37" i="231"/>
  <c r="M37" i="231"/>
  <c r="N37" i="231"/>
  <c r="O37" i="231"/>
  <c r="P37" i="231"/>
  <c r="Q38" i="231"/>
  <c r="N38" i="226" s="1"/>
  <c r="E39" i="231"/>
  <c r="F39" i="231"/>
  <c r="G39" i="231"/>
  <c r="H39" i="231"/>
  <c r="I39" i="231"/>
  <c r="J39" i="231"/>
  <c r="K39" i="231"/>
  <c r="L39" i="231"/>
  <c r="M39" i="231"/>
  <c r="N39" i="231"/>
  <c r="O39" i="231"/>
  <c r="P39" i="231"/>
  <c r="E40" i="231"/>
  <c r="F40" i="231"/>
  <c r="G40" i="231"/>
  <c r="H40" i="231"/>
  <c r="I40" i="231"/>
  <c r="J40" i="231"/>
  <c r="K40" i="231"/>
  <c r="L40" i="231"/>
  <c r="M40" i="231"/>
  <c r="N40" i="231"/>
  <c r="O40" i="231"/>
  <c r="P40" i="231"/>
  <c r="E52" i="231"/>
  <c r="F52" i="231"/>
  <c r="G52" i="231"/>
  <c r="H52" i="231"/>
  <c r="I52" i="231"/>
  <c r="J52" i="231"/>
  <c r="K52" i="231"/>
  <c r="L52" i="231"/>
  <c r="M52" i="231"/>
  <c r="N52" i="231"/>
  <c r="O52" i="231"/>
  <c r="P52" i="231"/>
  <c r="E53" i="231"/>
  <c r="F53" i="231"/>
  <c r="G53" i="231"/>
  <c r="H53" i="231"/>
  <c r="I53" i="231"/>
  <c r="J53" i="231"/>
  <c r="K53" i="231"/>
  <c r="L53" i="231"/>
  <c r="M53" i="231"/>
  <c r="N53" i="231"/>
  <c r="O53" i="231"/>
  <c r="P53" i="231"/>
  <c r="E54" i="231"/>
  <c r="F54" i="231"/>
  <c r="G54" i="231"/>
  <c r="H54" i="231"/>
  <c r="I54" i="231"/>
  <c r="J54" i="231"/>
  <c r="K54" i="231"/>
  <c r="L54" i="231"/>
  <c r="M54" i="231"/>
  <c r="N54" i="231"/>
  <c r="O54" i="231"/>
  <c r="P54" i="231"/>
  <c r="E55" i="231"/>
  <c r="F55" i="231"/>
  <c r="G55" i="231"/>
  <c r="H55" i="231"/>
  <c r="I55" i="231"/>
  <c r="J55" i="231"/>
  <c r="K55" i="231"/>
  <c r="L55" i="231"/>
  <c r="M55" i="231"/>
  <c r="N55" i="231"/>
  <c r="O55" i="231"/>
  <c r="P55" i="231"/>
  <c r="E56" i="231"/>
  <c r="F56" i="231"/>
  <c r="G56" i="231"/>
  <c r="H56" i="231"/>
  <c r="I56" i="231"/>
  <c r="J56" i="231"/>
  <c r="K56" i="231"/>
  <c r="L56" i="231"/>
  <c r="M56" i="231"/>
  <c r="N56" i="231"/>
  <c r="O56" i="231"/>
  <c r="P56" i="231"/>
  <c r="E57" i="231"/>
  <c r="F57" i="231"/>
  <c r="G57" i="231"/>
  <c r="H57" i="231"/>
  <c r="I57" i="231"/>
  <c r="J57" i="231"/>
  <c r="K57" i="231"/>
  <c r="L57" i="231"/>
  <c r="M57" i="231"/>
  <c r="N57" i="231"/>
  <c r="O57" i="231"/>
  <c r="P57" i="231"/>
  <c r="E58" i="231"/>
  <c r="F58" i="231"/>
  <c r="G58" i="231"/>
  <c r="H58" i="231"/>
  <c r="I58" i="231"/>
  <c r="J58" i="231"/>
  <c r="K58" i="231"/>
  <c r="L58" i="231"/>
  <c r="M58" i="231"/>
  <c r="N58" i="231"/>
  <c r="O58" i="231"/>
  <c r="P58" i="231"/>
  <c r="E59" i="231"/>
  <c r="F59" i="231"/>
  <c r="G59" i="231"/>
  <c r="H59" i="231"/>
  <c r="I59" i="231"/>
  <c r="J59" i="231"/>
  <c r="K59" i="231"/>
  <c r="L59" i="231"/>
  <c r="M59" i="231"/>
  <c r="N59" i="231"/>
  <c r="O59" i="231"/>
  <c r="P59" i="231"/>
  <c r="E60" i="231"/>
  <c r="F60" i="231"/>
  <c r="G60" i="231"/>
  <c r="H60" i="231"/>
  <c r="I60" i="231"/>
  <c r="J60" i="231"/>
  <c r="K60" i="231"/>
  <c r="L60" i="231"/>
  <c r="M60" i="231"/>
  <c r="N60" i="231"/>
  <c r="O60" i="231"/>
  <c r="P60" i="231"/>
  <c r="E61" i="231"/>
  <c r="F61" i="231"/>
  <c r="G61" i="231"/>
  <c r="H61" i="231"/>
  <c r="I61" i="231"/>
  <c r="J61" i="231"/>
  <c r="K61" i="231"/>
  <c r="L61" i="231"/>
  <c r="M61" i="231"/>
  <c r="N61" i="231"/>
  <c r="O61" i="231"/>
  <c r="P61" i="231"/>
  <c r="E62" i="231"/>
  <c r="F62" i="231"/>
  <c r="G62" i="231"/>
  <c r="H62" i="231"/>
  <c r="I62" i="231"/>
  <c r="J62" i="231"/>
  <c r="K62" i="231"/>
  <c r="L62" i="231"/>
  <c r="M62" i="231"/>
  <c r="N62" i="231"/>
  <c r="O62" i="231"/>
  <c r="P62" i="231"/>
  <c r="E63" i="231"/>
  <c r="F63" i="231"/>
  <c r="G63" i="231"/>
  <c r="H63" i="231"/>
  <c r="I63" i="231"/>
  <c r="J63" i="231"/>
  <c r="K63" i="231"/>
  <c r="L63" i="231"/>
  <c r="M63" i="231"/>
  <c r="N63" i="231"/>
  <c r="O63" i="231"/>
  <c r="P63" i="231"/>
  <c r="E64" i="231"/>
  <c r="F64" i="231"/>
  <c r="G64" i="231"/>
  <c r="H64" i="231"/>
  <c r="I64" i="231"/>
  <c r="J64" i="231"/>
  <c r="K64" i="231"/>
  <c r="L64" i="231"/>
  <c r="M64" i="231"/>
  <c r="N64" i="231"/>
  <c r="O64" i="231"/>
  <c r="P64" i="231"/>
  <c r="E65" i="231"/>
  <c r="E66" i="231" s="1"/>
  <c r="F65" i="231"/>
  <c r="G65" i="231"/>
  <c r="G66" i="231" s="1"/>
  <c r="H65" i="231"/>
  <c r="H66" i="231" s="1"/>
  <c r="I65" i="231"/>
  <c r="I66" i="231" s="1"/>
  <c r="J65" i="231"/>
  <c r="J66" i="231" s="1"/>
  <c r="K65" i="231"/>
  <c r="K66" i="231" s="1"/>
  <c r="L65" i="231"/>
  <c r="L66" i="231" s="1"/>
  <c r="M65" i="231"/>
  <c r="M66" i="231" s="1"/>
  <c r="N65" i="231"/>
  <c r="N66" i="231" s="1"/>
  <c r="O65" i="231"/>
  <c r="O66" i="231" s="1"/>
  <c r="P65" i="231"/>
  <c r="P66" i="231" s="1"/>
  <c r="E67" i="231"/>
  <c r="F67" i="231"/>
  <c r="G67" i="231"/>
  <c r="H67" i="231"/>
  <c r="I67" i="231"/>
  <c r="J67" i="231"/>
  <c r="K67" i="231"/>
  <c r="L67" i="231"/>
  <c r="M67" i="231"/>
  <c r="N67" i="231"/>
  <c r="O67" i="231"/>
  <c r="P67" i="231"/>
  <c r="E68" i="231"/>
  <c r="F68" i="231"/>
  <c r="G68" i="231"/>
  <c r="H68" i="231"/>
  <c r="I68" i="231"/>
  <c r="J68" i="231"/>
  <c r="K68" i="231"/>
  <c r="L68" i="231"/>
  <c r="M68" i="231"/>
  <c r="N68" i="231"/>
  <c r="O68" i="231"/>
  <c r="P68" i="231"/>
  <c r="E79" i="231"/>
  <c r="F79" i="231"/>
  <c r="G79" i="231"/>
  <c r="H79" i="231"/>
  <c r="I79" i="231"/>
  <c r="J79" i="231"/>
  <c r="K79" i="231"/>
  <c r="L79" i="231"/>
  <c r="M79" i="231"/>
  <c r="N79" i="231"/>
  <c r="O79" i="231"/>
  <c r="P79" i="231"/>
  <c r="E80" i="231"/>
  <c r="F80" i="231"/>
  <c r="G80" i="231"/>
  <c r="H80" i="231"/>
  <c r="I80" i="231"/>
  <c r="J80" i="231"/>
  <c r="K80" i="231"/>
  <c r="L80" i="231"/>
  <c r="M80" i="231"/>
  <c r="N80" i="231"/>
  <c r="O80" i="231"/>
  <c r="P80" i="231"/>
  <c r="E81" i="231"/>
  <c r="F81" i="231"/>
  <c r="G81" i="231"/>
  <c r="H81" i="231"/>
  <c r="I81" i="231"/>
  <c r="J81" i="231"/>
  <c r="K81" i="231"/>
  <c r="L81" i="231"/>
  <c r="M81" i="231"/>
  <c r="N81" i="231"/>
  <c r="O81" i="231"/>
  <c r="P81" i="231"/>
  <c r="E82" i="231"/>
  <c r="F82" i="231"/>
  <c r="G82" i="231"/>
  <c r="H82" i="231"/>
  <c r="I82" i="231"/>
  <c r="J82" i="231"/>
  <c r="K82" i="231"/>
  <c r="L82" i="231"/>
  <c r="M82" i="231"/>
  <c r="N82" i="231"/>
  <c r="O82" i="231"/>
  <c r="P82" i="231"/>
  <c r="Q83" i="231"/>
  <c r="Q84" i="231"/>
  <c r="Q85" i="231"/>
  <c r="Q86" i="231"/>
  <c r="Q87" i="231"/>
  <c r="Q88" i="231"/>
  <c r="Q89" i="231"/>
  <c r="Q90" i="231"/>
  <c r="Q91" i="231"/>
  <c r="Q92" i="231"/>
  <c r="E96" i="231"/>
  <c r="F96" i="231"/>
  <c r="G96" i="231"/>
  <c r="H96" i="231"/>
  <c r="I96" i="231"/>
  <c r="J96" i="231"/>
  <c r="K96" i="231"/>
  <c r="L96" i="231"/>
  <c r="M96" i="231"/>
  <c r="N96" i="231"/>
  <c r="O96" i="231"/>
  <c r="P96" i="231"/>
  <c r="E97" i="231"/>
  <c r="F97" i="231"/>
  <c r="G97" i="231"/>
  <c r="H97" i="231"/>
  <c r="I97" i="231"/>
  <c r="J97" i="231"/>
  <c r="K97" i="231"/>
  <c r="L97" i="231"/>
  <c r="M97" i="231"/>
  <c r="N97" i="231"/>
  <c r="O97" i="231"/>
  <c r="P97" i="231"/>
  <c r="E105" i="231"/>
  <c r="F105" i="231"/>
  <c r="G105" i="231"/>
  <c r="H105" i="231"/>
  <c r="I105" i="231"/>
  <c r="J105" i="231"/>
  <c r="K105" i="231"/>
  <c r="L105" i="231"/>
  <c r="M105" i="231"/>
  <c r="N105" i="231"/>
  <c r="O105" i="231"/>
  <c r="P105" i="231"/>
  <c r="E107" i="231"/>
  <c r="F107" i="231"/>
  <c r="G107" i="231"/>
  <c r="H107" i="231"/>
  <c r="I107" i="231"/>
  <c r="J107" i="231"/>
  <c r="K107" i="231"/>
  <c r="L107" i="231"/>
  <c r="M107" i="231"/>
  <c r="N107" i="231"/>
  <c r="O107" i="231"/>
  <c r="P107" i="231"/>
  <c r="E115" i="231"/>
  <c r="I115" i="134" s="1"/>
  <c r="F115" i="231"/>
  <c r="J115" i="134" s="1"/>
  <c r="G115" i="231"/>
  <c r="K115" i="134" s="1"/>
  <c r="H115" i="231"/>
  <c r="L115" i="134" s="1"/>
  <c r="I115" i="231"/>
  <c r="M115" i="134" s="1"/>
  <c r="J115" i="231"/>
  <c r="N115" i="134" s="1"/>
  <c r="K115" i="231"/>
  <c r="O115" i="134" s="1"/>
  <c r="L115" i="231"/>
  <c r="P115" i="134" s="1"/>
  <c r="M115" i="231"/>
  <c r="Q115" i="134" s="1"/>
  <c r="N115" i="231"/>
  <c r="R115" i="134" s="1"/>
  <c r="O115" i="231"/>
  <c r="S115" i="134" s="1"/>
  <c r="P115" i="231"/>
  <c r="T115" i="134" s="1"/>
  <c r="Q116" i="231"/>
  <c r="N117" i="226" s="1"/>
  <c r="E117" i="231"/>
  <c r="I117" i="134" s="1"/>
  <c r="F117" i="231"/>
  <c r="J117" i="134" s="1"/>
  <c r="G117" i="231"/>
  <c r="K117" i="134" s="1"/>
  <c r="H117" i="231"/>
  <c r="L117" i="134" s="1"/>
  <c r="I117" i="231"/>
  <c r="M117" i="134" s="1"/>
  <c r="J117" i="231"/>
  <c r="N117" i="134" s="1"/>
  <c r="K117" i="231"/>
  <c r="O117" i="134" s="1"/>
  <c r="L117" i="231"/>
  <c r="P117" i="134" s="1"/>
  <c r="M117" i="231"/>
  <c r="Q117" i="134" s="1"/>
  <c r="N117" i="231"/>
  <c r="R117" i="134" s="1"/>
  <c r="O117" i="231"/>
  <c r="S117" i="134" s="1"/>
  <c r="P117" i="231"/>
  <c r="T117" i="134" s="1"/>
  <c r="E118" i="231"/>
  <c r="I118" i="134" s="1"/>
  <c r="F118" i="231"/>
  <c r="J118" i="134" s="1"/>
  <c r="G118" i="231"/>
  <c r="K118" i="134" s="1"/>
  <c r="H118" i="231"/>
  <c r="L118" i="134" s="1"/>
  <c r="I118" i="231"/>
  <c r="M118" i="134" s="1"/>
  <c r="J118" i="231"/>
  <c r="N118" i="134" s="1"/>
  <c r="K118" i="231"/>
  <c r="O118" i="134" s="1"/>
  <c r="L118" i="231"/>
  <c r="P118" i="134" s="1"/>
  <c r="M118" i="231"/>
  <c r="Q118" i="134" s="1"/>
  <c r="N118" i="231"/>
  <c r="R118" i="134" s="1"/>
  <c r="O118" i="231"/>
  <c r="S118" i="134" s="1"/>
  <c r="P118" i="231"/>
  <c r="T118" i="134" s="1"/>
  <c r="E119" i="231"/>
  <c r="I119" i="134" s="1"/>
  <c r="F119" i="231"/>
  <c r="J119" i="134" s="1"/>
  <c r="G119" i="231"/>
  <c r="K119" i="134" s="1"/>
  <c r="H119" i="231"/>
  <c r="L119" i="134" s="1"/>
  <c r="I119" i="231"/>
  <c r="M119" i="134" s="1"/>
  <c r="J119" i="231"/>
  <c r="N119" i="134" s="1"/>
  <c r="K119" i="231"/>
  <c r="O119" i="134" s="1"/>
  <c r="L119" i="231"/>
  <c r="P119" i="134" s="1"/>
  <c r="M119" i="231"/>
  <c r="Q119" i="134" s="1"/>
  <c r="N119" i="231"/>
  <c r="R119" i="134" s="1"/>
  <c r="O119" i="231"/>
  <c r="S119" i="134" s="1"/>
  <c r="P119" i="231"/>
  <c r="T119" i="134" s="1"/>
  <c r="E120" i="231"/>
  <c r="I120" i="134" s="1"/>
  <c r="F120" i="231"/>
  <c r="J120" i="134" s="1"/>
  <c r="G120" i="231"/>
  <c r="K120" i="134" s="1"/>
  <c r="H120" i="231"/>
  <c r="L120" i="134" s="1"/>
  <c r="I120" i="231"/>
  <c r="M120" i="134" s="1"/>
  <c r="J120" i="231"/>
  <c r="N120" i="134" s="1"/>
  <c r="K120" i="231"/>
  <c r="O120" i="134" s="1"/>
  <c r="L120" i="231"/>
  <c r="P120" i="134" s="1"/>
  <c r="M120" i="231"/>
  <c r="Q120" i="134" s="1"/>
  <c r="N120" i="231"/>
  <c r="R120" i="134" s="1"/>
  <c r="O120" i="231"/>
  <c r="S120" i="134" s="1"/>
  <c r="P120" i="231"/>
  <c r="T120" i="134" s="1"/>
  <c r="E121" i="231"/>
  <c r="I121" i="134" s="1"/>
  <c r="F121" i="231"/>
  <c r="J121" i="134" s="1"/>
  <c r="G121" i="231"/>
  <c r="K121" i="134" s="1"/>
  <c r="H121" i="231"/>
  <c r="L121" i="134" s="1"/>
  <c r="I121" i="231"/>
  <c r="M121" i="134" s="1"/>
  <c r="J121" i="231"/>
  <c r="N121" i="134" s="1"/>
  <c r="K121" i="231"/>
  <c r="O121" i="134" s="1"/>
  <c r="L121" i="231"/>
  <c r="P121" i="134" s="1"/>
  <c r="M121" i="231"/>
  <c r="Q121" i="134" s="1"/>
  <c r="N121" i="231"/>
  <c r="R121" i="134" s="1"/>
  <c r="O121" i="231"/>
  <c r="S121" i="134" s="1"/>
  <c r="P121" i="231"/>
  <c r="T121" i="134" s="1"/>
  <c r="E122" i="231"/>
  <c r="I122" i="134" s="1"/>
  <c r="F122" i="231"/>
  <c r="J122" i="134" s="1"/>
  <c r="G122" i="231"/>
  <c r="K122" i="134" s="1"/>
  <c r="H122" i="231"/>
  <c r="L122" i="134" s="1"/>
  <c r="I122" i="231"/>
  <c r="M122" i="134" s="1"/>
  <c r="J122" i="231"/>
  <c r="N122" i="134" s="1"/>
  <c r="K122" i="231"/>
  <c r="O122" i="134" s="1"/>
  <c r="L122" i="231"/>
  <c r="P122" i="134" s="1"/>
  <c r="M122" i="231"/>
  <c r="Q122" i="134" s="1"/>
  <c r="N122" i="231"/>
  <c r="R122" i="134" s="1"/>
  <c r="O122" i="231"/>
  <c r="S122" i="134" s="1"/>
  <c r="P122" i="231"/>
  <c r="T122" i="134" s="1"/>
  <c r="E123" i="231"/>
  <c r="I123" i="134" s="1"/>
  <c r="F123" i="231"/>
  <c r="J123" i="134" s="1"/>
  <c r="G123" i="231"/>
  <c r="K123" i="134" s="1"/>
  <c r="H123" i="231"/>
  <c r="L123" i="134" s="1"/>
  <c r="I123" i="231"/>
  <c r="M123" i="134" s="1"/>
  <c r="J123" i="231"/>
  <c r="N123" i="134" s="1"/>
  <c r="K123" i="231"/>
  <c r="O123" i="134" s="1"/>
  <c r="L123" i="231"/>
  <c r="P123" i="134" s="1"/>
  <c r="M123" i="231"/>
  <c r="Q123" i="134" s="1"/>
  <c r="N123" i="231"/>
  <c r="R123" i="134" s="1"/>
  <c r="O123" i="231"/>
  <c r="S123" i="134" s="1"/>
  <c r="P123" i="231"/>
  <c r="T123" i="134" s="1"/>
  <c r="E124" i="231"/>
  <c r="I124" i="134" s="1"/>
  <c r="F124" i="231"/>
  <c r="J124" i="134" s="1"/>
  <c r="G124" i="231"/>
  <c r="K124" i="134" s="1"/>
  <c r="H124" i="231"/>
  <c r="L124" i="134" s="1"/>
  <c r="I124" i="231"/>
  <c r="M124" i="134" s="1"/>
  <c r="J124" i="231"/>
  <c r="N124" i="134" s="1"/>
  <c r="K124" i="231"/>
  <c r="O124" i="134" s="1"/>
  <c r="L124" i="231"/>
  <c r="P124" i="134" s="1"/>
  <c r="M124" i="231"/>
  <c r="Q124" i="134" s="1"/>
  <c r="N124" i="231"/>
  <c r="R124" i="134" s="1"/>
  <c r="O124" i="231"/>
  <c r="S124" i="134" s="1"/>
  <c r="P124" i="231"/>
  <c r="T124" i="134" s="1"/>
  <c r="E125" i="231"/>
  <c r="I125" i="134" s="1"/>
  <c r="F125" i="231"/>
  <c r="J125" i="134" s="1"/>
  <c r="G125" i="231"/>
  <c r="K125" i="134" s="1"/>
  <c r="H125" i="231"/>
  <c r="L125" i="134" s="1"/>
  <c r="I125" i="231"/>
  <c r="M125" i="134" s="1"/>
  <c r="J125" i="231"/>
  <c r="N125" i="134" s="1"/>
  <c r="K125" i="231"/>
  <c r="O125" i="134" s="1"/>
  <c r="L125" i="231"/>
  <c r="P125" i="134" s="1"/>
  <c r="M125" i="231"/>
  <c r="Q125" i="134" s="1"/>
  <c r="N125" i="231"/>
  <c r="R125" i="134" s="1"/>
  <c r="O125" i="231"/>
  <c r="S125" i="134" s="1"/>
  <c r="P125" i="231"/>
  <c r="T125" i="134" s="1"/>
  <c r="E126" i="231"/>
  <c r="I126" i="134" s="1"/>
  <c r="F126" i="231"/>
  <c r="J126" i="134" s="1"/>
  <c r="G126" i="231"/>
  <c r="K126" i="134" s="1"/>
  <c r="H126" i="231"/>
  <c r="L126" i="134" s="1"/>
  <c r="I126" i="231"/>
  <c r="M126" i="134" s="1"/>
  <c r="J126" i="231"/>
  <c r="N126" i="134" s="1"/>
  <c r="K126" i="231"/>
  <c r="O126" i="134" s="1"/>
  <c r="L126" i="231"/>
  <c r="P126" i="134" s="1"/>
  <c r="M126" i="231"/>
  <c r="Q126" i="134" s="1"/>
  <c r="N126" i="231"/>
  <c r="R126" i="134" s="1"/>
  <c r="O126" i="231"/>
  <c r="S126" i="134" s="1"/>
  <c r="P126" i="231"/>
  <c r="T126" i="134" s="1"/>
  <c r="E127" i="231"/>
  <c r="I127" i="134" s="1"/>
  <c r="F127" i="231"/>
  <c r="J127" i="134" s="1"/>
  <c r="G127" i="231"/>
  <c r="K127" i="134" s="1"/>
  <c r="H127" i="231"/>
  <c r="L127" i="134" s="1"/>
  <c r="I127" i="231"/>
  <c r="M127" i="134" s="1"/>
  <c r="J127" i="231"/>
  <c r="N127" i="134" s="1"/>
  <c r="K127" i="231"/>
  <c r="O127" i="134" s="1"/>
  <c r="L127" i="231"/>
  <c r="P127" i="134" s="1"/>
  <c r="M127" i="231"/>
  <c r="Q127" i="134" s="1"/>
  <c r="N127" i="231"/>
  <c r="R127" i="134" s="1"/>
  <c r="O127" i="231"/>
  <c r="S127" i="134" s="1"/>
  <c r="P127" i="231"/>
  <c r="T127" i="134" s="1"/>
  <c r="E128" i="231"/>
  <c r="I128" i="134" s="1"/>
  <c r="F128" i="231"/>
  <c r="J128" i="134" s="1"/>
  <c r="G128" i="231"/>
  <c r="K128" i="134" s="1"/>
  <c r="H128" i="231"/>
  <c r="L128" i="134" s="1"/>
  <c r="I128" i="231"/>
  <c r="M128" i="134" s="1"/>
  <c r="J128" i="231"/>
  <c r="N128" i="134" s="1"/>
  <c r="K128" i="231"/>
  <c r="O128" i="134" s="1"/>
  <c r="L128" i="231"/>
  <c r="P128" i="134" s="1"/>
  <c r="M128" i="231"/>
  <c r="Q128" i="134" s="1"/>
  <c r="N128" i="231"/>
  <c r="R128" i="134" s="1"/>
  <c r="O128" i="231"/>
  <c r="S128" i="134" s="1"/>
  <c r="P128" i="231"/>
  <c r="T128" i="134" s="1"/>
  <c r="Q156" i="231"/>
  <c r="M38" i="226"/>
  <c r="M117" i="226"/>
  <c r="Q38" i="229"/>
  <c r="L40" i="226" s="1"/>
  <c r="Q83" i="229"/>
  <c r="L84" i="226" s="1"/>
  <c r="Q84" i="229"/>
  <c r="Q85" i="229"/>
  <c r="L86" i="226" s="1"/>
  <c r="Q86" i="229"/>
  <c r="Q87" i="229"/>
  <c r="L88" i="226" s="1"/>
  <c r="Q88" i="229"/>
  <c r="L89" i="226" s="1"/>
  <c r="Q89" i="229"/>
  <c r="L90" i="226" s="1"/>
  <c r="Q90" i="229"/>
  <c r="L91" i="226" s="1"/>
  <c r="Q91" i="229"/>
  <c r="L92" i="226" s="1"/>
  <c r="Q92" i="229"/>
  <c r="L93" i="226" s="1"/>
  <c r="E107" i="229"/>
  <c r="F107" i="229"/>
  <c r="G107" i="229"/>
  <c r="H107" i="229"/>
  <c r="I107" i="229"/>
  <c r="J107" i="229"/>
  <c r="K107" i="229"/>
  <c r="L107" i="229"/>
  <c r="M107" i="229"/>
  <c r="N107" i="229"/>
  <c r="O107" i="229"/>
  <c r="P107" i="229"/>
  <c r="Q116" i="229"/>
  <c r="L117" i="226" s="1"/>
  <c r="Q156" i="229"/>
  <c r="Q38" i="228"/>
  <c r="Q39" i="228"/>
  <c r="Q40" i="228"/>
  <c r="Q41" i="228"/>
  <c r="Q42" i="228"/>
  <c r="Q43" i="228"/>
  <c r="Q44" i="228"/>
  <c r="Q45" i="228"/>
  <c r="Q46" i="228"/>
  <c r="Q47" i="228"/>
  <c r="E113" i="228"/>
  <c r="F113" i="228"/>
  <c r="G113" i="228"/>
  <c r="H113" i="228"/>
  <c r="I113" i="228"/>
  <c r="J113" i="228"/>
  <c r="K113" i="228"/>
  <c r="L113" i="228"/>
  <c r="M113" i="228"/>
  <c r="N113" i="228"/>
  <c r="O113" i="228"/>
  <c r="P113" i="228"/>
  <c r="E153" i="228"/>
  <c r="F153" i="228"/>
  <c r="G153" i="228"/>
  <c r="H153" i="228"/>
  <c r="I153" i="228"/>
  <c r="J153" i="228"/>
  <c r="K153" i="228"/>
  <c r="L153" i="228"/>
  <c r="N153" i="228"/>
  <c r="O153" i="228"/>
  <c r="P153" i="228"/>
  <c r="E158" i="228"/>
  <c r="F158" i="228"/>
  <c r="G158" i="228"/>
  <c r="H158" i="228"/>
  <c r="I158" i="228"/>
  <c r="J158" i="228"/>
  <c r="K158" i="228"/>
  <c r="L158" i="228"/>
  <c r="M158" i="228"/>
  <c r="N158" i="228"/>
  <c r="O158" i="228"/>
  <c r="P158" i="228"/>
  <c r="E10" i="227"/>
  <c r="F10" i="227"/>
  <c r="G10" i="227"/>
  <c r="H10" i="227"/>
  <c r="I10" i="227"/>
  <c r="J10" i="227"/>
  <c r="K10" i="227"/>
  <c r="L10" i="227"/>
  <c r="M10" i="227"/>
  <c r="N10" i="227"/>
  <c r="O10" i="227"/>
  <c r="P10" i="227"/>
  <c r="E11" i="227"/>
  <c r="F11" i="227"/>
  <c r="G11" i="227"/>
  <c r="H11" i="227"/>
  <c r="I11" i="227"/>
  <c r="J11" i="227"/>
  <c r="K11" i="227"/>
  <c r="L11" i="227"/>
  <c r="M11" i="227"/>
  <c r="N11" i="227"/>
  <c r="O11" i="227"/>
  <c r="P11" i="227"/>
  <c r="E12" i="227"/>
  <c r="F12" i="227"/>
  <c r="G12" i="227"/>
  <c r="H12" i="227"/>
  <c r="I12" i="227"/>
  <c r="J12" i="227"/>
  <c r="K12" i="227"/>
  <c r="L12" i="227"/>
  <c r="M12" i="227"/>
  <c r="N12" i="227"/>
  <c r="O12" i="227"/>
  <c r="P12" i="227"/>
  <c r="E13" i="227"/>
  <c r="F13" i="227"/>
  <c r="G13" i="227"/>
  <c r="H13" i="227"/>
  <c r="I13" i="227"/>
  <c r="J13" i="227"/>
  <c r="K13" i="227"/>
  <c r="L13" i="227"/>
  <c r="M13" i="227"/>
  <c r="N13" i="227"/>
  <c r="O13" i="227"/>
  <c r="P13" i="227"/>
  <c r="E14" i="227"/>
  <c r="F14" i="227"/>
  <c r="G14" i="227"/>
  <c r="H14" i="227"/>
  <c r="I14" i="227"/>
  <c r="J14" i="227"/>
  <c r="K14" i="227"/>
  <c r="L14" i="227"/>
  <c r="M14" i="227"/>
  <c r="N14" i="227"/>
  <c r="O14" i="227"/>
  <c r="P14" i="227"/>
  <c r="E15" i="227"/>
  <c r="F15" i="227"/>
  <c r="G15" i="227"/>
  <c r="H15" i="227"/>
  <c r="I15" i="227"/>
  <c r="J15" i="227"/>
  <c r="K15" i="227"/>
  <c r="L15" i="227"/>
  <c r="M15" i="227"/>
  <c r="N15" i="227"/>
  <c r="O15" i="227"/>
  <c r="P15" i="227"/>
  <c r="E16" i="227"/>
  <c r="F16" i="227"/>
  <c r="G16" i="227"/>
  <c r="H16" i="227"/>
  <c r="I16" i="227"/>
  <c r="J16" i="227"/>
  <c r="K16" i="227"/>
  <c r="L16" i="227"/>
  <c r="M16" i="227"/>
  <c r="N16" i="227"/>
  <c r="O16" i="227"/>
  <c r="P16" i="227"/>
  <c r="Q17" i="227"/>
  <c r="F17" i="226" s="1"/>
  <c r="Q18" i="227"/>
  <c r="F18" i="226" s="1"/>
  <c r="Q19" i="227"/>
  <c r="F19" i="226" s="1"/>
  <c r="Q20" i="227"/>
  <c r="Q21" i="227"/>
  <c r="Q22" i="227"/>
  <c r="Q23" i="227"/>
  <c r="Q24" i="227"/>
  <c r="Q25" i="227"/>
  <c r="Q26" i="227"/>
  <c r="Q27" i="227"/>
  <c r="Q30" i="227"/>
  <c r="Q31" i="227"/>
  <c r="Q32" i="227"/>
  <c r="Q33" i="227"/>
  <c r="Q34" i="227"/>
  <c r="Q35" i="227"/>
  <c r="Q36" i="227"/>
  <c r="F36" i="226" s="1"/>
  <c r="Q37" i="227"/>
  <c r="E38" i="227"/>
  <c r="E48" i="227" s="1"/>
  <c r="F38" i="227"/>
  <c r="F48" i="227" s="1"/>
  <c r="G38" i="227"/>
  <c r="G48" i="227" s="1"/>
  <c r="H38" i="227"/>
  <c r="H48" i="227" s="1"/>
  <c r="I38" i="227"/>
  <c r="I48" i="227" s="1"/>
  <c r="J38" i="227"/>
  <c r="J48" i="227" s="1"/>
  <c r="K38" i="227"/>
  <c r="K48" i="227" s="1"/>
  <c r="L38" i="227"/>
  <c r="L48" i="227" s="1"/>
  <c r="M38" i="227"/>
  <c r="M48" i="227" s="1"/>
  <c r="N38" i="227"/>
  <c r="N48" i="227" s="1"/>
  <c r="O38" i="227"/>
  <c r="O48" i="227" s="1"/>
  <c r="P38" i="227"/>
  <c r="P48" i="227" s="1"/>
  <c r="Q39" i="227"/>
  <c r="Q40" i="227"/>
  <c r="Q41" i="227"/>
  <c r="Q42" i="227"/>
  <c r="F42" i="226" s="1"/>
  <c r="Q43" i="227"/>
  <c r="Q44" i="227"/>
  <c r="F44" i="226" s="1"/>
  <c r="Q45" i="227"/>
  <c r="Q46" i="227"/>
  <c r="Q47" i="227"/>
  <c r="E52" i="227"/>
  <c r="F52" i="227"/>
  <c r="G52" i="227"/>
  <c r="H52" i="227"/>
  <c r="I52" i="227"/>
  <c r="J52" i="227"/>
  <c r="K52" i="227"/>
  <c r="L52" i="227"/>
  <c r="M52" i="227"/>
  <c r="N52" i="227"/>
  <c r="O52" i="227"/>
  <c r="P52" i="227"/>
  <c r="E53" i="227"/>
  <c r="F53" i="227"/>
  <c r="G53" i="227"/>
  <c r="H53" i="227"/>
  <c r="I53" i="227"/>
  <c r="J53" i="227"/>
  <c r="K53" i="227"/>
  <c r="L53" i="227"/>
  <c r="M53" i="227"/>
  <c r="N53" i="227"/>
  <c r="O53" i="227"/>
  <c r="P53" i="227"/>
  <c r="E54" i="227"/>
  <c r="F54" i="227"/>
  <c r="G54" i="227"/>
  <c r="H54" i="227"/>
  <c r="I54" i="227"/>
  <c r="J54" i="227"/>
  <c r="K54" i="227"/>
  <c r="L54" i="227"/>
  <c r="M54" i="227"/>
  <c r="N54" i="227"/>
  <c r="O54" i="227"/>
  <c r="P54" i="227"/>
  <c r="E55" i="227"/>
  <c r="F55" i="227"/>
  <c r="G55" i="227"/>
  <c r="H55" i="227"/>
  <c r="I55" i="227"/>
  <c r="J55" i="227"/>
  <c r="K55" i="227"/>
  <c r="L55" i="227"/>
  <c r="M55" i="227"/>
  <c r="N55" i="227"/>
  <c r="O55" i="227"/>
  <c r="P55" i="227"/>
  <c r="E56" i="227"/>
  <c r="F56" i="227"/>
  <c r="G56" i="227"/>
  <c r="H56" i="227"/>
  <c r="I56" i="227"/>
  <c r="J56" i="227"/>
  <c r="K56" i="227"/>
  <c r="L56" i="227"/>
  <c r="M56" i="227"/>
  <c r="N56" i="227"/>
  <c r="O56" i="227"/>
  <c r="P56" i="227"/>
  <c r="E57" i="227"/>
  <c r="F57" i="227"/>
  <c r="G57" i="227"/>
  <c r="H57" i="227"/>
  <c r="I57" i="227"/>
  <c r="J57" i="227"/>
  <c r="K57" i="227"/>
  <c r="L57" i="227"/>
  <c r="M57" i="227"/>
  <c r="N57" i="227"/>
  <c r="O57" i="227"/>
  <c r="P57" i="227"/>
  <c r="E58" i="227"/>
  <c r="F58" i="227"/>
  <c r="G58" i="227"/>
  <c r="H58" i="227"/>
  <c r="I58" i="227"/>
  <c r="J58" i="227"/>
  <c r="K58" i="227"/>
  <c r="L58" i="227"/>
  <c r="M58" i="227"/>
  <c r="N58" i="227"/>
  <c r="O58" i="227"/>
  <c r="P58" i="227"/>
  <c r="E59" i="227"/>
  <c r="F59" i="227"/>
  <c r="G59" i="227"/>
  <c r="H59" i="227"/>
  <c r="I59" i="227"/>
  <c r="J59" i="227"/>
  <c r="K59" i="227"/>
  <c r="L59" i="227"/>
  <c r="M59" i="227"/>
  <c r="N59" i="227"/>
  <c r="O59" i="227"/>
  <c r="P59" i="227"/>
  <c r="E60" i="227"/>
  <c r="F60" i="227"/>
  <c r="G60" i="227"/>
  <c r="H60" i="227"/>
  <c r="I60" i="227"/>
  <c r="J60" i="227"/>
  <c r="K60" i="227"/>
  <c r="L60" i="227"/>
  <c r="M60" i="227"/>
  <c r="N60" i="227"/>
  <c r="O60" i="227"/>
  <c r="P60" i="227"/>
  <c r="E61" i="227"/>
  <c r="F61" i="227"/>
  <c r="G61" i="227"/>
  <c r="H61" i="227"/>
  <c r="I61" i="227"/>
  <c r="J61" i="227"/>
  <c r="K61" i="227"/>
  <c r="L61" i="227"/>
  <c r="M61" i="227"/>
  <c r="N61" i="227"/>
  <c r="O61" i="227"/>
  <c r="P61" i="227"/>
  <c r="E62" i="227"/>
  <c r="F62" i="227"/>
  <c r="G62" i="227"/>
  <c r="H62" i="227"/>
  <c r="I62" i="227"/>
  <c r="J62" i="227"/>
  <c r="K62" i="227"/>
  <c r="L62" i="227"/>
  <c r="M62" i="227"/>
  <c r="N62" i="227"/>
  <c r="O62" i="227"/>
  <c r="P62" i="227"/>
  <c r="E63" i="227"/>
  <c r="F63" i="227"/>
  <c r="G63" i="227"/>
  <c r="H63" i="227"/>
  <c r="I63" i="227"/>
  <c r="J63" i="227"/>
  <c r="K63" i="227"/>
  <c r="L63" i="227"/>
  <c r="M63" i="227"/>
  <c r="N63" i="227"/>
  <c r="O63" i="227"/>
  <c r="P63" i="227"/>
  <c r="E64" i="227"/>
  <c r="F64" i="227"/>
  <c r="G64" i="227"/>
  <c r="H64" i="227"/>
  <c r="I64" i="227"/>
  <c r="J64" i="227"/>
  <c r="K64" i="227"/>
  <c r="L64" i="227"/>
  <c r="M64" i="227"/>
  <c r="N64" i="227"/>
  <c r="O64" i="227"/>
  <c r="P64" i="227"/>
  <c r="E65" i="227"/>
  <c r="F65" i="227"/>
  <c r="G65" i="227"/>
  <c r="H65" i="227"/>
  <c r="I65" i="227"/>
  <c r="J65" i="227"/>
  <c r="K65" i="227"/>
  <c r="L65" i="227"/>
  <c r="M65" i="227"/>
  <c r="N65" i="227"/>
  <c r="O65" i="227"/>
  <c r="P65" i="227"/>
  <c r="E66" i="227"/>
  <c r="F66" i="227"/>
  <c r="G66" i="227"/>
  <c r="H66" i="227"/>
  <c r="I66" i="227"/>
  <c r="J66" i="227"/>
  <c r="K66" i="227"/>
  <c r="L66" i="227"/>
  <c r="M66" i="227"/>
  <c r="N66" i="227"/>
  <c r="O66" i="227"/>
  <c r="P66" i="227"/>
  <c r="E67" i="227"/>
  <c r="F67" i="227"/>
  <c r="G67" i="227"/>
  <c r="H67" i="227"/>
  <c r="I67" i="227"/>
  <c r="J67" i="227"/>
  <c r="K67" i="227"/>
  <c r="L67" i="227"/>
  <c r="M67" i="227"/>
  <c r="N67" i="227"/>
  <c r="O67" i="227"/>
  <c r="P67" i="227"/>
  <c r="Q68" i="227"/>
  <c r="F69" i="226" s="1"/>
  <c r="Q69" i="227"/>
  <c r="Q70" i="227"/>
  <c r="F71" i="226" s="1"/>
  <c r="Q71" i="227"/>
  <c r="Q72" i="227"/>
  <c r="F73" i="226" s="1"/>
  <c r="Q73" i="227"/>
  <c r="F74" i="226" s="1"/>
  <c r="Q74" i="227"/>
  <c r="Q75" i="227"/>
  <c r="F76" i="226" s="1"/>
  <c r="Q76" i="227"/>
  <c r="F77" i="226" s="1"/>
  <c r="E79" i="227"/>
  <c r="F79" i="227"/>
  <c r="G79" i="227"/>
  <c r="H79" i="227"/>
  <c r="I79" i="227"/>
  <c r="J79" i="227"/>
  <c r="K79" i="227"/>
  <c r="L79" i="227"/>
  <c r="M79" i="227"/>
  <c r="N79" i="227"/>
  <c r="O79" i="227"/>
  <c r="P79" i="227"/>
  <c r="E80" i="227"/>
  <c r="F80" i="227"/>
  <c r="G80" i="227"/>
  <c r="H80" i="227"/>
  <c r="I80" i="227"/>
  <c r="J80" i="227"/>
  <c r="K80" i="227"/>
  <c r="L80" i="227"/>
  <c r="M80" i="227"/>
  <c r="N80" i="227"/>
  <c r="O80" i="227"/>
  <c r="P80" i="227"/>
  <c r="Q81" i="227"/>
  <c r="G82" i="227"/>
  <c r="H82" i="227"/>
  <c r="I82" i="227"/>
  <c r="J82" i="227"/>
  <c r="K82" i="227"/>
  <c r="L82" i="227"/>
  <c r="M82" i="227"/>
  <c r="N82" i="227"/>
  <c r="O82" i="227"/>
  <c r="P82" i="227"/>
  <c r="Q83" i="227"/>
  <c r="Q84" i="227"/>
  <c r="Q85" i="227"/>
  <c r="Q86" i="227"/>
  <c r="F86" i="226" s="1"/>
  <c r="Q87" i="227"/>
  <c r="Q88" i="227"/>
  <c r="Q89" i="227"/>
  <c r="Q90" i="227"/>
  <c r="Q91" i="227"/>
  <c r="Q92" i="227"/>
  <c r="E96" i="227"/>
  <c r="F96" i="227"/>
  <c r="G96" i="227"/>
  <c r="H96" i="227"/>
  <c r="I96" i="227"/>
  <c r="J96" i="227"/>
  <c r="K96" i="227"/>
  <c r="L96" i="227"/>
  <c r="M96" i="227"/>
  <c r="N96" i="227"/>
  <c r="O96" i="227"/>
  <c r="P96" i="227"/>
  <c r="E97" i="227"/>
  <c r="F97" i="227"/>
  <c r="G97" i="227"/>
  <c r="G103" i="227" s="1"/>
  <c r="H97" i="227"/>
  <c r="I97" i="227"/>
  <c r="J97" i="227"/>
  <c r="K97" i="227"/>
  <c r="L97" i="227"/>
  <c r="M97" i="227"/>
  <c r="N97" i="227"/>
  <c r="O97" i="227"/>
  <c r="P97" i="227"/>
  <c r="Q98" i="227"/>
  <c r="Q99" i="227"/>
  <c r="Q100" i="227"/>
  <c r="Q101" i="227"/>
  <c r="Q102" i="227"/>
  <c r="F102" i="226" s="1"/>
  <c r="E105" i="227"/>
  <c r="F105" i="227"/>
  <c r="F113" i="227" s="1"/>
  <c r="G105" i="227"/>
  <c r="G113" i="227" s="1"/>
  <c r="H105" i="227"/>
  <c r="H113" i="227" s="1"/>
  <c r="I105" i="227"/>
  <c r="I113" i="227" s="1"/>
  <c r="J105" i="227"/>
  <c r="J113" i="227" s="1"/>
  <c r="K105" i="227"/>
  <c r="K113" i="227" s="1"/>
  <c r="L105" i="227"/>
  <c r="L113" i="227" s="1"/>
  <c r="M105" i="227"/>
  <c r="M113" i="227" s="1"/>
  <c r="N105" i="227"/>
  <c r="N113" i="227" s="1"/>
  <c r="O105" i="227"/>
  <c r="O113" i="227" s="1"/>
  <c r="P105" i="227"/>
  <c r="P113" i="227" s="1"/>
  <c r="Q106" i="227"/>
  <c r="F107" i="226" s="1"/>
  <c r="Q107" i="227"/>
  <c r="Q108" i="227"/>
  <c r="Q109" i="227"/>
  <c r="Q110" i="227"/>
  <c r="F110" i="226" s="1"/>
  <c r="Q111" i="227"/>
  <c r="Q112" i="227"/>
  <c r="E115" i="227"/>
  <c r="F115" i="227"/>
  <c r="G115" i="227"/>
  <c r="H115" i="227"/>
  <c r="I115" i="227"/>
  <c r="J115" i="227"/>
  <c r="K115" i="227"/>
  <c r="L115" i="227"/>
  <c r="M115" i="227"/>
  <c r="N115" i="227"/>
  <c r="O115" i="227"/>
  <c r="P115" i="227"/>
  <c r="E116" i="227"/>
  <c r="F116" i="227"/>
  <c r="G116" i="227"/>
  <c r="H116" i="227"/>
  <c r="I116" i="227"/>
  <c r="J116" i="227"/>
  <c r="K116" i="227"/>
  <c r="L116" i="227"/>
  <c r="M116" i="227"/>
  <c r="N116" i="227"/>
  <c r="O116" i="227"/>
  <c r="P116" i="227"/>
  <c r="E117" i="227"/>
  <c r="F117" i="227"/>
  <c r="G117" i="227"/>
  <c r="H117" i="227"/>
  <c r="I117" i="227"/>
  <c r="J117" i="227"/>
  <c r="K117" i="227"/>
  <c r="L117" i="227"/>
  <c r="M117" i="227"/>
  <c r="N117" i="227"/>
  <c r="O117" i="227"/>
  <c r="P117" i="227"/>
  <c r="E118" i="227"/>
  <c r="F118" i="227"/>
  <c r="G118" i="227"/>
  <c r="H118" i="227"/>
  <c r="I118" i="227"/>
  <c r="J118" i="227"/>
  <c r="K118" i="227"/>
  <c r="L118" i="227"/>
  <c r="M118" i="227"/>
  <c r="N118" i="227"/>
  <c r="O118" i="227"/>
  <c r="P118" i="227"/>
  <c r="E119" i="227"/>
  <c r="F119" i="227"/>
  <c r="G119" i="227"/>
  <c r="H119" i="227"/>
  <c r="I119" i="227"/>
  <c r="J119" i="227"/>
  <c r="K119" i="227"/>
  <c r="L119" i="227"/>
  <c r="M119" i="227"/>
  <c r="N119" i="227"/>
  <c r="O119" i="227"/>
  <c r="P119" i="227"/>
  <c r="E120" i="227"/>
  <c r="F120" i="227"/>
  <c r="G120" i="227"/>
  <c r="H120" i="227"/>
  <c r="I120" i="227"/>
  <c r="J120" i="227"/>
  <c r="K120" i="227"/>
  <c r="L120" i="227"/>
  <c r="M120" i="227"/>
  <c r="N120" i="227"/>
  <c r="O120" i="227"/>
  <c r="P120" i="227"/>
  <c r="E121" i="227"/>
  <c r="F121" i="227"/>
  <c r="G121" i="227"/>
  <c r="H121" i="227"/>
  <c r="I121" i="227"/>
  <c r="J121" i="227"/>
  <c r="K121" i="227"/>
  <c r="L121" i="227"/>
  <c r="M121" i="227"/>
  <c r="N121" i="227"/>
  <c r="O121" i="227"/>
  <c r="P121" i="227"/>
  <c r="E122" i="227"/>
  <c r="F122" i="227"/>
  <c r="G122" i="227"/>
  <c r="H122" i="227"/>
  <c r="I122" i="227"/>
  <c r="J122" i="227"/>
  <c r="K122" i="227"/>
  <c r="L122" i="227"/>
  <c r="M122" i="227"/>
  <c r="N122" i="227"/>
  <c r="O122" i="227"/>
  <c r="P122" i="227"/>
  <c r="E123" i="227"/>
  <c r="F123" i="227"/>
  <c r="G123" i="227"/>
  <c r="H123" i="227"/>
  <c r="I123" i="227"/>
  <c r="J123" i="227"/>
  <c r="K123" i="227"/>
  <c r="L123" i="227"/>
  <c r="M123" i="227"/>
  <c r="N123" i="227"/>
  <c r="O123" i="227"/>
  <c r="P123" i="227"/>
  <c r="E124" i="227"/>
  <c r="F124" i="227"/>
  <c r="G124" i="227"/>
  <c r="H124" i="227"/>
  <c r="I124" i="227"/>
  <c r="J124" i="227"/>
  <c r="K124" i="227"/>
  <c r="L124" i="227"/>
  <c r="M124" i="227"/>
  <c r="N124" i="227"/>
  <c r="O124" i="227"/>
  <c r="P124" i="227"/>
  <c r="Q125" i="227"/>
  <c r="F126" i="226" s="1"/>
  <c r="Q126" i="227"/>
  <c r="F127" i="226" s="1"/>
  <c r="Q127" i="227"/>
  <c r="F128" i="226" s="1"/>
  <c r="Q128" i="227"/>
  <c r="F129" i="226" s="1"/>
  <c r="E129" i="227"/>
  <c r="F129" i="227"/>
  <c r="G129" i="227"/>
  <c r="H129" i="227"/>
  <c r="I129" i="227"/>
  <c r="J129" i="227"/>
  <c r="K129" i="227"/>
  <c r="L129" i="227"/>
  <c r="M129" i="227"/>
  <c r="N129" i="227"/>
  <c r="O129" i="227"/>
  <c r="P129" i="227"/>
  <c r="E130" i="227"/>
  <c r="F130" i="227"/>
  <c r="G130" i="227"/>
  <c r="H130" i="227"/>
  <c r="I130" i="227"/>
  <c r="J130" i="227"/>
  <c r="K130" i="227"/>
  <c r="L130" i="227"/>
  <c r="M130" i="227"/>
  <c r="N130" i="227"/>
  <c r="O130" i="227"/>
  <c r="P130" i="227"/>
  <c r="Q131" i="227"/>
  <c r="F132" i="226" s="1"/>
  <c r="Q132" i="227"/>
  <c r="Q133" i="227"/>
  <c r="F133" i="226" s="1"/>
  <c r="Q134" i="227"/>
  <c r="F134" i="226" s="1"/>
  <c r="Q135" i="227"/>
  <c r="F135" i="226" s="1"/>
  <c r="Q136" i="227"/>
  <c r="F136" i="226" s="1"/>
  <c r="Q137" i="227"/>
  <c r="F137" i="226" s="1"/>
  <c r="Q138" i="227"/>
  <c r="F138" i="226" s="1"/>
  <c r="E141" i="227"/>
  <c r="E152" i="227" s="1"/>
  <c r="F141" i="227"/>
  <c r="F152" i="227" s="1"/>
  <c r="G141" i="227"/>
  <c r="G152" i="227" s="1"/>
  <c r="H141" i="227"/>
  <c r="H152" i="227" s="1"/>
  <c r="I141" i="227"/>
  <c r="I152" i="227" s="1"/>
  <c r="J141" i="227"/>
  <c r="K141" i="227"/>
  <c r="K152" i="227" s="1"/>
  <c r="L141" i="227"/>
  <c r="L152" i="227" s="1"/>
  <c r="M141" i="227"/>
  <c r="M152" i="227" s="1"/>
  <c r="N141" i="227"/>
  <c r="N152" i="227" s="1"/>
  <c r="O141" i="227"/>
  <c r="O152" i="227" s="1"/>
  <c r="P141" i="227"/>
  <c r="P152" i="227" s="1"/>
  <c r="Q142" i="227"/>
  <c r="Q143" i="227"/>
  <c r="F143" i="226" s="1"/>
  <c r="Q144" i="227"/>
  <c r="F144" i="226" s="1"/>
  <c r="Q145" i="227"/>
  <c r="F145" i="226" s="1"/>
  <c r="Q146" i="227"/>
  <c r="Q147" i="227"/>
  <c r="Q148" i="227"/>
  <c r="F148" i="226" s="1"/>
  <c r="Q149" i="227"/>
  <c r="F149" i="226" s="1"/>
  <c r="Q150" i="227"/>
  <c r="F150" i="226" s="1"/>
  <c r="Q151" i="227"/>
  <c r="Q154" i="227"/>
  <c r="Q157" i="227" s="1"/>
  <c r="Q155" i="227"/>
  <c r="E157" i="227"/>
  <c r="F157" i="227"/>
  <c r="G157" i="227"/>
  <c r="H157" i="227"/>
  <c r="I157" i="227"/>
  <c r="J157" i="227"/>
  <c r="K157" i="227"/>
  <c r="L157" i="227"/>
  <c r="M157" i="227"/>
  <c r="N157" i="227"/>
  <c r="O157" i="227"/>
  <c r="P157" i="227"/>
  <c r="E10" i="226"/>
  <c r="E11" i="226"/>
  <c r="E12" i="226"/>
  <c r="E13" i="226"/>
  <c r="E14" i="226"/>
  <c r="E15" i="226"/>
  <c r="E16" i="226"/>
  <c r="E17" i="226"/>
  <c r="I18" i="226"/>
  <c r="J18" i="226"/>
  <c r="L18" i="226"/>
  <c r="M18" i="226"/>
  <c r="N18" i="226"/>
  <c r="O18" i="226"/>
  <c r="P18" i="226"/>
  <c r="I19" i="226"/>
  <c r="J19" i="226"/>
  <c r="L19" i="226"/>
  <c r="M19" i="226"/>
  <c r="N19" i="226"/>
  <c r="O19" i="226"/>
  <c r="P19" i="226"/>
  <c r="F20" i="226"/>
  <c r="I20" i="226"/>
  <c r="J20" i="226"/>
  <c r="L20" i="226"/>
  <c r="M20" i="226"/>
  <c r="N20" i="226"/>
  <c r="O20" i="226"/>
  <c r="P20" i="226"/>
  <c r="F21" i="226"/>
  <c r="I21" i="226"/>
  <c r="J21" i="226"/>
  <c r="L21" i="226"/>
  <c r="M21" i="226"/>
  <c r="N21" i="226"/>
  <c r="O21" i="226"/>
  <c r="P21" i="226"/>
  <c r="F22" i="226"/>
  <c r="I22" i="226"/>
  <c r="J22" i="226"/>
  <c r="L22" i="226"/>
  <c r="M22" i="226"/>
  <c r="N22" i="226"/>
  <c r="O22" i="226"/>
  <c r="P22" i="226"/>
  <c r="F23" i="226"/>
  <c r="I23" i="226"/>
  <c r="J23" i="226"/>
  <c r="L23" i="226"/>
  <c r="M23" i="226"/>
  <c r="N23" i="226"/>
  <c r="O23" i="226"/>
  <c r="P23" i="226"/>
  <c r="F24" i="226"/>
  <c r="I24" i="226"/>
  <c r="J24" i="226"/>
  <c r="L24" i="226"/>
  <c r="M24" i="226"/>
  <c r="N24" i="226"/>
  <c r="O24" i="226"/>
  <c r="P24" i="226"/>
  <c r="F25" i="226"/>
  <c r="I25" i="226"/>
  <c r="J25" i="226"/>
  <c r="L25" i="226"/>
  <c r="M25" i="226"/>
  <c r="N25" i="226"/>
  <c r="O25" i="226"/>
  <c r="P25" i="226"/>
  <c r="F26" i="226"/>
  <c r="I26" i="226"/>
  <c r="J26" i="226"/>
  <c r="L26" i="226"/>
  <c r="M26" i="226"/>
  <c r="N26" i="226"/>
  <c r="O26" i="226"/>
  <c r="P26" i="226"/>
  <c r="F27" i="226"/>
  <c r="I27" i="226"/>
  <c r="J27" i="226"/>
  <c r="L27" i="226"/>
  <c r="M27" i="226"/>
  <c r="N27" i="226"/>
  <c r="O27" i="226"/>
  <c r="P27" i="226"/>
  <c r="E30" i="226"/>
  <c r="F30" i="226"/>
  <c r="E31" i="226"/>
  <c r="F31" i="226"/>
  <c r="E32" i="226"/>
  <c r="F32" i="226"/>
  <c r="E33" i="226"/>
  <c r="F33" i="226"/>
  <c r="E34" i="226"/>
  <c r="F34" i="226"/>
  <c r="E35" i="226"/>
  <c r="F35" i="226"/>
  <c r="E36" i="226"/>
  <c r="E37" i="226"/>
  <c r="F37" i="226"/>
  <c r="E38" i="226"/>
  <c r="O38" i="226"/>
  <c r="F39" i="226"/>
  <c r="F40" i="226"/>
  <c r="F41" i="226"/>
  <c r="M41" i="226"/>
  <c r="N41" i="226"/>
  <c r="O41" i="226"/>
  <c r="P41" i="226"/>
  <c r="M42" i="226"/>
  <c r="N42" i="226"/>
  <c r="O42" i="226"/>
  <c r="P42" i="226"/>
  <c r="L43" i="226"/>
  <c r="M43" i="226"/>
  <c r="N43" i="226"/>
  <c r="O43" i="226"/>
  <c r="P43" i="226"/>
  <c r="L44" i="226"/>
  <c r="M44" i="226"/>
  <c r="N44" i="226"/>
  <c r="O44" i="226"/>
  <c r="P44" i="226"/>
  <c r="F45" i="226"/>
  <c r="L45" i="226"/>
  <c r="M45" i="226"/>
  <c r="N45" i="226"/>
  <c r="O45" i="226"/>
  <c r="P45" i="226"/>
  <c r="F46" i="226"/>
  <c r="L46" i="226"/>
  <c r="M46" i="226"/>
  <c r="N46" i="226"/>
  <c r="O46" i="226"/>
  <c r="P46" i="226"/>
  <c r="F47" i="226"/>
  <c r="L47" i="226"/>
  <c r="M47" i="226"/>
  <c r="N47" i="226"/>
  <c r="O47" i="226"/>
  <c r="P47" i="226"/>
  <c r="E52" i="226"/>
  <c r="E53" i="226"/>
  <c r="E54" i="226"/>
  <c r="E55" i="226"/>
  <c r="E56" i="226"/>
  <c r="E57" i="226"/>
  <c r="E58" i="226"/>
  <c r="E59" i="226"/>
  <c r="E60" i="226"/>
  <c r="E62" i="226"/>
  <c r="E63" i="226"/>
  <c r="E64" i="226"/>
  <c r="E65" i="226"/>
  <c r="E66" i="226"/>
  <c r="E67" i="226"/>
  <c r="E68" i="226"/>
  <c r="E69" i="226"/>
  <c r="E70" i="226"/>
  <c r="F70" i="226"/>
  <c r="E71" i="226"/>
  <c r="E72" i="226"/>
  <c r="F72" i="226"/>
  <c r="E73" i="226"/>
  <c r="E74" i="226"/>
  <c r="E75" i="226"/>
  <c r="F75" i="226"/>
  <c r="E80" i="226"/>
  <c r="E81" i="226"/>
  <c r="E82" i="226"/>
  <c r="F82" i="226"/>
  <c r="I82" i="226"/>
  <c r="E83" i="226"/>
  <c r="E84" i="226"/>
  <c r="F84" i="226"/>
  <c r="I84" i="226"/>
  <c r="M84" i="226"/>
  <c r="N84" i="226"/>
  <c r="P84" i="226"/>
  <c r="F85" i="226"/>
  <c r="I85" i="226"/>
  <c r="L85" i="226"/>
  <c r="I86" i="226"/>
  <c r="F87" i="226"/>
  <c r="I87" i="226"/>
  <c r="L87" i="226"/>
  <c r="F88" i="226"/>
  <c r="I88" i="226"/>
  <c r="F89" i="226"/>
  <c r="I89" i="226"/>
  <c r="F90" i="226"/>
  <c r="I90" i="226"/>
  <c r="F91" i="226"/>
  <c r="I91" i="226"/>
  <c r="F92" i="226"/>
  <c r="I92" i="226"/>
  <c r="I93" i="226"/>
  <c r="E97" i="226"/>
  <c r="E98" i="226"/>
  <c r="F99" i="226"/>
  <c r="L99" i="226"/>
  <c r="F100" i="226"/>
  <c r="L100" i="226"/>
  <c r="F101" i="226"/>
  <c r="L101" i="226"/>
  <c r="L102" i="226"/>
  <c r="L103" i="226"/>
  <c r="E106" i="226"/>
  <c r="E107" i="226"/>
  <c r="E108" i="226"/>
  <c r="F108" i="226"/>
  <c r="I108" i="226"/>
  <c r="J108" i="226"/>
  <c r="F109" i="226"/>
  <c r="I109" i="226"/>
  <c r="J109" i="226"/>
  <c r="L109" i="226"/>
  <c r="I110" i="226"/>
  <c r="J110" i="226"/>
  <c r="L110" i="226"/>
  <c r="F111" i="226"/>
  <c r="I111" i="226"/>
  <c r="J111" i="226"/>
  <c r="L111" i="226"/>
  <c r="F112" i="226"/>
  <c r="I112" i="226"/>
  <c r="J112" i="226"/>
  <c r="L112" i="226"/>
  <c r="I113" i="226"/>
  <c r="J113" i="226"/>
  <c r="L113" i="226"/>
  <c r="E116" i="226"/>
  <c r="E117" i="226"/>
  <c r="E118" i="226"/>
  <c r="E119" i="226"/>
  <c r="E120" i="226"/>
  <c r="E121" i="226"/>
  <c r="E122" i="226"/>
  <c r="E123" i="226"/>
  <c r="E124" i="226"/>
  <c r="E125" i="226"/>
  <c r="E126" i="226"/>
  <c r="I126" i="226"/>
  <c r="J126" i="226"/>
  <c r="E127" i="226"/>
  <c r="I127" i="226"/>
  <c r="J127" i="226"/>
  <c r="E128" i="226"/>
  <c r="I128" i="226"/>
  <c r="J128" i="226"/>
  <c r="E129" i="226"/>
  <c r="I129" i="226"/>
  <c r="J129" i="226"/>
  <c r="E130" i="226"/>
  <c r="L130" i="226"/>
  <c r="M130" i="226"/>
  <c r="N130" i="226"/>
  <c r="O130" i="226"/>
  <c r="P130" i="226"/>
  <c r="E131" i="226"/>
  <c r="L131" i="226"/>
  <c r="M131" i="226"/>
  <c r="N131" i="226"/>
  <c r="O131" i="226"/>
  <c r="P131" i="226"/>
  <c r="L132" i="226"/>
  <c r="M132" i="226"/>
  <c r="N132" i="226"/>
  <c r="O132" i="226"/>
  <c r="P132" i="226"/>
  <c r="L133" i="226"/>
  <c r="M133" i="226"/>
  <c r="N133" i="226"/>
  <c r="O133" i="226"/>
  <c r="P133" i="226"/>
  <c r="L134" i="226"/>
  <c r="M134" i="226"/>
  <c r="N134" i="226"/>
  <c r="O134" i="226"/>
  <c r="P134" i="226"/>
  <c r="L135" i="226"/>
  <c r="M135" i="226"/>
  <c r="N135" i="226"/>
  <c r="O135" i="226"/>
  <c r="P135" i="226"/>
  <c r="L136" i="226"/>
  <c r="M136" i="226"/>
  <c r="N136" i="226"/>
  <c r="O136" i="226"/>
  <c r="P136" i="226"/>
  <c r="L137" i="226"/>
  <c r="M137" i="226"/>
  <c r="N137" i="226"/>
  <c r="O137" i="226"/>
  <c r="P137" i="226"/>
  <c r="L138" i="226"/>
  <c r="M138" i="226"/>
  <c r="N138" i="226"/>
  <c r="O138" i="226"/>
  <c r="P138" i="226"/>
  <c r="L139" i="226"/>
  <c r="M139" i="226"/>
  <c r="N139" i="226"/>
  <c r="O139" i="226"/>
  <c r="P139" i="226"/>
  <c r="E142" i="226"/>
  <c r="E153" i="226" s="1"/>
  <c r="H153" i="226"/>
  <c r="I143" i="226"/>
  <c r="J143" i="226"/>
  <c r="P143" i="226"/>
  <c r="I144" i="226"/>
  <c r="J144" i="226"/>
  <c r="L144" i="226"/>
  <c r="M144" i="226"/>
  <c r="N144" i="226"/>
  <c r="O144" i="226"/>
  <c r="P144" i="226"/>
  <c r="I145" i="226"/>
  <c r="J145" i="226"/>
  <c r="L145" i="226"/>
  <c r="M145" i="226"/>
  <c r="N145" i="226"/>
  <c r="O145" i="226"/>
  <c r="P145" i="226"/>
  <c r="F146" i="226"/>
  <c r="I146" i="226"/>
  <c r="J146" i="226"/>
  <c r="L146" i="226"/>
  <c r="M146" i="226"/>
  <c r="N146" i="226"/>
  <c r="O146" i="226"/>
  <c r="P146" i="226"/>
  <c r="F147" i="226"/>
  <c r="I147" i="226"/>
  <c r="J147" i="226"/>
  <c r="L147" i="226"/>
  <c r="M147" i="226"/>
  <c r="N147" i="226"/>
  <c r="O147" i="226"/>
  <c r="P147" i="226"/>
  <c r="I148" i="226"/>
  <c r="J148" i="226"/>
  <c r="L148" i="226"/>
  <c r="M148" i="226"/>
  <c r="N148" i="226"/>
  <c r="O148" i="226"/>
  <c r="P148" i="226"/>
  <c r="I149" i="226"/>
  <c r="J149" i="226"/>
  <c r="L149" i="226"/>
  <c r="M149" i="226"/>
  <c r="N149" i="226"/>
  <c r="O149" i="226"/>
  <c r="P149" i="226"/>
  <c r="I150" i="226"/>
  <c r="J150" i="226"/>
  <c r="L150" i="226"/>
  <c r="M150" i="226"/>
  <c r="N150" i="226"/>
  <c r="O150" i="226"/>
  <c r="P150" i="226"/>
  <c r="F151" i="226"/>
  <c r="I151" i="226"/>
  <c r="J151" i="226"/>
  <c r="L151" i="226"/>
  <c r="M151" i="226"/>
  <c r="N151" i="226"/>
  <c r="O151" i="226"/>
  <c r="P151" i="226"/>
  <c r="I152" i="226"/>
  <c r="J152" i="226"/>
  <c r="L152" i="226"/>
  <c r="M152" i="226"/>
  <c r="N152" i="226"/>
  <c r="O152" i="226"/>
  <c r="P152" i="226"/>
  <c r="E155" i="226"/>
  <c r="F155" i="226"/>
  <c r="I155" i="226"/>
  <c r="J155" i="226"/>
  <c r="E156" i="226"/>
  <c r="F156" i="226"/>
  <c r="I156" i="226"/>
  <c r="J156" i="226"/>
  <c r="M157" i="226"/>
  <c r="N157" i="226"/>
  <c r="O157" i="226"/>
  <c r="P157" i="226"/>
  <c r="H49" i="58"/>
  <c r="H48" i="58"/>
  <c r="H50" i="58"/>
  <c r="G29" i="136"/>
  <c r="H29" i="136" s="1"/>
  <c r="H30" i="136"/>
  <c r="H31" i="136"/>
  <c r="H32" i="136"/>
  <c r="H33" i="136"/>
  <c r="H34" i="136"/>
  <c r="H35" i="136"/>
  <c r="H36" i="136"/>
  <c r="G29" i="135"/>
  <c r="H29" i="135"/>
  <c r="H30" i="135"/>
  <c r="H31" i="135"/>
  <c r="H32" i="135"/>
  <c r="H33" i="135"/>
  <c r="H34" i="135"/>
  <c r="H35" i="135"/>
  <c r="H36" i="135"/>
  <c r="E127" i="134"/>
  <c r="G127" i="134"/>
  <c r="H127" i="134"/>
  <c r="E128" i="134"/>
  <c r="G128" i="134"/>
  <c r="H128" i="134"/>
  <c r="E115" i="134"/>
  <c r="G115" i="134"/>
  <c r="H115" i="134"/>
  <c r="E116" i="134"/>
  <c r="G116" i="134"/>
  <c r="H116" i="134"/>
  <c r="E117" i="134"/>
  <c r="G117" i="134"/>
  <c r="E118" i="134"/>
  <c r="G118" i="134"/>
  <c r="H118" i="134"/>
  <c r="E119" i="134"/>
  <c r="G119" i="134"/>
  <c r="E120" i="134"/>
  <c r="G120" i="134"/>
  <c r="H120" i="134"/>
  <c r="E121" i="134"/>
  <c r="G121" i="134"/>
  <c r="H121" i="134"/>
  <c r="E122" i="134"/>
  <c r="G122" i="134"/>
  <c r="H122" i="134"/>
  <c r="E123" i="134"/>
  <c r="G123" i="134"/>
  <c r="H123" i="134"/>
  <c r="E124" i="134"/>
  <c r="G124" i="134"/>
  <c r="H124" i="134"/>
  <c r="H125" i="134"/>
  <c r="G29" i="134"/>
  <c r="H29" i="134"/>
  <c r="H30" i="134"/>
  <c r="H31" i="134"/>
  <c r="H32" i="134"/>
  <c r="H33" i="134"/>
  <c r="H34" i="134"/>
  <c r="H35" i="134"/>
  <c r="H36" i="134"/>
  <c r="H30" i="132"/>
  <c r="H31" i="132"/>
  <c r="H32" i="132"/>
  <c r="H33" i="132"/>
  <c r="H34" i="132"/>
  <c r="H35" i="132"/>
  <c r="H36" i="132"/>
  <c r="E108" i="132"/>
  <c r="H98" i="132"/>
  <c r="B7" i="213"/>
  <c r="B8" i="213" s="1"/>
  <c r="D8" i="212"/>
  <c r="F8" i="212"/>
  <c r="D9" i="212"/>
  <c r="F9" i="212"/>
  <c r="D10" i="212"/>
  <c r="F10" i="212"/>
  <c r="D11" i="212"/>
  <c r="D12" i="212"/>
  <c r="F12" i="212"/>
  <c r="D13" i="212"/>
  <c r="F13" i="212"/>
  <c r="D14" i="212"/>
  <c r="F14" i="212"/>
  <c r="D15" i="212"/>
  <c r="F15" i="212"/>
  <c r="D16" i="212"/>
  <c r="F16" i="212"/>
  <c r="D17" i="212"/>
  <c r="F17" i="212"/>
  <c r="D18" i="212"/>
  <c r="F18" i="212"/>
  <c r="G20" i="212"/>
  <c r="I20" i="212" s="1"/>
  <c r="J20" i="212" s="1"/>
  <c r="D47" i="212"/>
  <c r="F47" i="212"/>
  <c r="D48" i="212"/>
  <c r="F48" i="212"/>
  <c r="D49" i="212"/>
  <c r="F49" i="212"/>
  <c r="D50" i="212"/>
  <c r="F50" i="212"/>
  <c r="D51" i="212"/>
  <c r="F51" i="212"/>
  <c r="D52" i="212"/>
  <c r="F52" i="212"/>
  <c r="D53" i="212"/>
  <c r="F53" i="212"/>
  <c r="D54" i="212"/>
  <c r="F54" i="212"/>
  <c r="D55" i="212"/>
  <c r="F55" i="212"/>
  <c r="D56" i="212"/>
  <c r="F56" i="212"/>
  <c r="D57" i="212"/>
  <c r="F57" i="212"/>
  <c r="K16" i="211"/>
  <c r="K19" i="211"/>
  <c r="K37" i="211"/>
  <c r="K38" i="211"/>
  <c r="I39" i="211"/>
  <c r="K39" i="211"/>
  <c r="K40" i="211"/>
  <c r="I41" i="211"/>
  <c r="K41" i="211"/>
  <c r="K42" i="211"/>
  <c r="I43" i="211"/>
  <c r="K43" i="211"/>
  <c r="I47" i="211"/>
  <c r="I48" i="211"/>
  <c r="I49" i="211"/>
  <c r="J49" i="211"/>
  <c r="K49" i="211"/>
  <c r="I50" i="211"/>
  <c r="J50" i="211"/>
  <c r="K50" i="211"/>
  <c r="I51" i="211"/>
  <c r="I52" i="211"/>
  <c r="J52" i="211"/>
  <c r="K52" i="211"/>
  <c r="I53" i="211"/>
  <c r="I54" i="211"/>
  <c r="I59" i="211"/>
  <c r="I60" i="211"/>
  <c r="I61" i="211"/>
  <c r="I62" i="211"/>
  <c r="I63" i="211"/>
  <c r="J63" i="211"/>
  <c r="K63" i="211"/>
  <c r="M71" i="211"/>
  <c r="M73" i="211"/>
  <c r="M74" i="211"/>
  <c r="M75" i="211"/>
  <c r="I76" i="211"/>
  <c r="I77" i="211"/>
  <c r="I78" i="211"/>
  <c r="I79" i="211"/>
  <c r="I80" i="211"/>
  <c r="K80" i="211"/>
  <c r="I81" i="211"/>
  <c r="K81" i="211"/>
  <c r="I82" i="211"/>
  <c r="K82" i="211"/>
  <c r="I83" i="211"/>
  <c r="K83" i="211"/>
  <c r="I84" i="211"/>
  <c r="K84" i="211"/>
  <c r="I85" i="211"/>
  <c r="K85" i="211"/>
  <c r="I86" i="211"/>
  <c r="I87" i="211"/>
  <c r="I88" i="211"/>
  <c r="K88" i="211"/>
  <c r="I89" i="211"/>
  <c r="K89" i="211"/>
  <c r="I90" i="211"/>
  <c r="K90" i="211"/>
  <c r="I91" i="211"/>
  <c r="K91" i="211"/>
  <c r="I92" i="211"/>
  <c r="I93" i="211"/>
  <c r="I94" i="211"/>
  <c r="K94" i="211"/>
  <c r="I95" i="211"/>
  <c r="K95" i="211"/>
  <c r="I96" i="211"/>
  <c r="K96" i="211"/>
  <c r="I97" i="211"/>
  <c r="I98" i="211"/>
  <c r="I99" i="211"/>
  <c r="K99" i="211"/>
  <c r="I100" i="211"/>
  <c r="K100" i="211"/>
  <c r="I101" i="211"/>
  <c r="K101" i="211"/>
  <c r="I102" i="211"/>
  <c r="I103" i="211"/>
  <c r="I104" i="211"/>
  <c r="K104" i="211"/>
  <c r="I105" i="211"/>
  <c r="K105" i="211"/>
  <c r="I106" i="211"/>
  <c r="K106" i="211"/>
  <c r="I107" i="211"/>
  <c r="I108" i="211"/>
  <c r="I109" i="211"/>
  <c r="I110" i="211"/>
  <c r="I111" i="211"/>
  <c r="J111" i="211"/>
  <c r="K111" i="211"/>
  <c r="I112" i="211"/>
  <c r="J112" i="211"/>
  <c r="K112" i="211"/>
  <c r="I113" i="211"/>
  <c r="J113" i="211"/>
  <c r="K113" i="211"/>
  <c r="I114" i="211"/>
  <c r="I115" i="211"/>
  <c r="I116" i="211"/>
  <c r="I117" i="211"/>
  <c r="J117" i="211"/>
  <c r="K117" i="211"/>
  <c r="I118" i="211"/>
  <c r="J118" i="211"/>
  <c r="K118" i="211"/>
  <c r="I119" i="211"/>
  <c r="J119" i="211"/>
  <c r="K119" i="211"/>
  <c r="I120" i="211"/>
  <c r="J120" i="211"/>
  <c r="K120" i="211"/>
  <c r="I121" i="211"/>
  <c r="J121" i="211"/>
  <c r="K121" i="211"/>
  <c r="M123" i="211"/>
  <c r="M124" i="211"/>
  <c r="I125" i="211"/>
  <c r="I126" i="211"/>
  <c r="I127" i="211"/>
  <c r="I128" i="211"/>
  <c r="J128" i="211"/>
  <c r="K128" i="211"/>
  <c r="I129" i="211"/>
  <c r="J129" i="211"/>
  <c r="K129" i="211"/>
  <c r="I130" i="211"/>
  <c r="J130" i="211"/>
  <c r="K130" i="211"/>
  <c r="I131" i="211"/>
  <c r="K131" i="211"/>
  <c r="I132" i="211"/>
  <c r="K132" i="211"/>
  <c r="I133" i="211"/>
  <c r="K133" i="211"/>
  <c r="I134" i="211"/>
  <c r="J134" i="211"/>
  <c r="K134" i="211"/>
  <c r="I135" i="211"/>
  <c r="J135" i="211"/>
  <c r="K135" i="211"/>
  <c r="I136" i="211"/>
  <c r="J136" i="211"/>
  <c r="K136" i="211"/>
  <c r="I137" i="211"/>
  <c r="J137" i="211"/>
  <c r="K137" i="211"/>
  <c r="I138" i="211"/>
  <c r="J138" i="211"/>
  <c r="K138" i="211"/>
  <c r="I139" i="211"/>
  <c r="K142" i="211"/>
  <c r="K143" i="211"/>
  <c r="K144" i="211"/>
  <c r="I145" i="211"/>
  <c r="K145" i="211"/>
  <c r="K146" i="211"/>
  <c r="K147" i="211"/>
  <c r="I148" i="211"/>
  <c r="K148" i="211"/>
  <c r="I149" i="211"/>
  <c r="K149" i="211"/>
  <c r="I150" i="211"/>
  <c r="K150" i="211"/>
  <c r="I151" i="211"/>
  <c r="J151" i="211"/>
  <c r="K151" i="211"/>
  <c r="I152" i="211"/>
  <c r="J152" i="211"/>
  <c r="K152" i="211"/>
  <c r="I153" i="211"/>
  <c r="J153" i="211"/>
  <c r="K153" i="211"/>
  <c r="I154" i="211"/>
  <c r="J154" i="211"/>
  <c r="K154" i="211"/>
  <c r="I155" i="211"/>
  <c r="J155" i="211"/>
  <c r="K155" i="211"/>
  <c r="I156" i="211"/>
  <c r="I157" i="211"/>
  <c r="I158" i="211"/>
  <c r="I159" i="211"/>
  <c r="I160" i="211"/>
  <c r="J160" i="211"/>
  <c r="K160" i="211"/>
  <c r="I161" i="211"/>
  <c r="J161" i="211"/>
  <c r="K161" i="211"/>
  <c r="I162" i="211"/>
  <c r="J162" i="211"/>
  <c r="K162" i="211"/>
  <c r="I163" i="211"/>
  <c r="I165" i="211"/>
  <c r="J165" i="211"/>
  <c r="K165" i="211"/>
  <c r="M167" i="211"/>
  <c r="M168" i="211"/>
  <c r="I169" i="211"/>
  <c r="I170" i="211"/>
  <c r="I173" i="211"/>
  <c r="K173" i="211"/>
  <c r="I174" i="211"/>
  <c r="K174" i="211"/>
  <c r="I175" i="211"/>
  <c r="K175" i="211"/>
  <c r="I176" i="211"/>
  <c r="K176" i="211"/>
  <c r="I177" i="211"/>
  <c r="I178" i="211"/>
  <c r="I179" i="211"/>
  <c r="K179" i="211"/>
  <c r="I180" i="211"/>
  <c r="K180" i="211"/>
  <c r="I181" i="211"/>
  <c r="K181" i="211"/>
  <c r="I182" i="211"/>
  <c r="J182" i="211"/>
  <c r="K182" i="211"/>
  <c r="I183" i="211"/>
  <c r="I184" i="211"/>
  <c r="I185" i="211"/>
  <c r="K185" i="211"/>
  <c r="I186" i="211"/>
  <c r="K186" i="211"/>
  <c r="I187" i="211"/>
  <c r="K187" i="211"/>
  <c r="I188" i="211"/>
  <c r="K188" i="211"/>
  <c r="I189" i="211"/>
  <c r="K189" i="211"/>
  <c r="I190" i="211"/>
  <c r="K190" i="211"/>
  <c r="I191" i="211"/>
  <c r="K191" i="211"/>
  <c r="I192" i="211"/>
  <c r="K192" i="211"/>
  <c r="I193" i="211"/>
  <c r="J193" i="211"/>
  <c r="K193" i="211"/>
  <c r="I194" i="211"/>
  <c r="J194" i="211"/>
  <c r="K194" i="211"/>
  <c r="I195" i="211"/>
  <c r="J195" i="211"/>
  <c r="K195" i="211"/>
  <c r="I196" i="211"/>
  <c r="J196" i="211"/>
  <c r="K196" i="211"/>
  <c r="I197" i="211"/>
  <c r="J197" i="211"/>
  <c r="K197" i="211"/>
  <c r="I200" i="211"/>
  <c r="J200" i="211"/>
  <c r="K200" i="211"/>
  <c r="I201" i="211"/>
  <c r="I202" i="211"/>
  <c r="I203" i="211"/>
  <c r="J203" i="211"/>
  <c r="K203" i="211"/>
  <c r="I204" i="211"/>
  <c r="I205" i="211"/>
  <c r="I206" i="211"/>
  <c r="J206" i="211"/>
  <c r="K206" i="211"/>
  <c r="I207" i="211"/>
  <c r="J207" i="211"/>
  <c r="K207" i="211"/>
  <c r="I208" i="211"/>
  <c r="J208" i="211"/>
  <c r="K208" i="211"/>
  <c r="I209" i="211"/>
  <c r="M212" i="211"/>
  <c r="D216" i="209"/>
  <c r="E144" i="207"/>
  <c r="L9" i="206"/>
  <c r="N9" i="206" s="1"/>
  <c r="M9" i="206"/>
  <c r="L10" i="206"/>
  <c r="N10" i="206" s="1"/>
  <c r="M10" i="206"/>
  <c r="L11" i="206"/>
  <c r="N11" i="206" s="1"/>
  <c r="M11" i="206"/>
  <c r="L12" i="206"/>
  <c r="M12" i="206"/>
  <c r="H13" i="206"/>
  <c r="H22" i="206" s="1"/>
  <c r="K13" i="206"/>
  <c r="K22" i="206" s="1"/>
  <c r="L14" i="206"/>
  <c r="N14" i="206" s="1"/>
  <c r="M14" i="206"/>
  <c r="L15" i="206"/>
  <c r="M15" i="206"/>
  <c r="N15" i="206"/>
  <c r="L16" i="206"/>
  <c r="N16" i="206" s="1"/>
  <c r="M16" i="206"/>
  <c r="L17" i="206"/>
  <c r="M17" i="206"/>
  <c r="L18" i="206"/>
  <c r="N18" i="206" s="1"/>
  <c r="M18" i="206"/>
  <c r="L19" i="206"/>
  <c r="M19" i="206"/>
  <c r="N19" i="206" s="1"/>
  <c r="L20" i="206"/>
  <c r="M20" i="206"/>
  <c r="N20" i="206" s="1"/>
  <c r="L21" i="206"/>
  <c r="N21" i="206" s="1"/>
  <c r="M21" i="206"/>
  <c r="L24" i="206"/>
  <c r="M24" i="206"/>
  <c r="N24" i="206" s="1"/>
  <c r="L25" i="206"/>
  <c r="M25" i="206"/>
  <c r="L26" i="206"/>
  <c r="M26" i="206"/>
  <c r="N26" i="206" s="1"/>
  <c r="L27" i="206"/>
  <c r="M27" i="206"/>
  <c r="L28" i="206"/>
  <c r="M28" i="206"/>
  <c r="N28" i="206" s="1"/>
  <c r="L29" i="206"/>
  <c r="M29" i="206"/>
  <c r="L30" i="206"/>
  <c r="M30" i="206"/>
  <c r="N30" i="206" s="1"/>
  <c r="L31" i="206"/>
  <c r="M31" i="206"/>
  <c r="L32" i="206"/>
  <c r="M32" i="206"/>
  <c r="N32" i="206" s="1"/>
  <c r="L33" i="206"/>
  <c r="M33" i="206"/>
  <c r="L34" i="206"/>
  <c r="M34" i="206"/>
  <c r="N34" i="206" s="1"/>
  <c r="L35" i="206"/>
  <c r="M35" i="206"/>
  <c r="L36" i="206"/>
  <c r="M36" i="206"/>
  <c r="N36" i="206" s="1"/>
  <c r="L37" i="206"/>
  <c r="M37" i="206"/>
  <c r="L38" i="206"/>
  <c r="M38" i="206"/>
  <c r="N38" i="206" s="1"/>
  <c r="H39" i="206"/>
  <c r="K39" i="206"/>
  <c r="L41" i="206"/>
  <c r="M41" i="206"/>
  <c r="L42" i="206"/>
  <c r="N42" i="206" s="1"/>
  <c r="M42" i="206"/>
  <c r="L43" i="206"/>
  <c r="M43" i="206"/>
  <c r="N43" i="206" s="1"/>
  <c r="L44" i="206"/>
  <c r="M44" i="206"/>
  <c r="N44" i="206"/>
  <c r="L45" i="206"/>
  <c r="N45" i="206" s="1"/>
  <c r="M45" i="206"/>
  <c r="L46" i="206"/>
  <c r="M46" i="206"/>
  <c r="L47" i="206"/>
  <c r="M47" i="206"/>
  <c r="L48" i="206"/>
  <c r="M48" i="206"/>
  <c r="N48" i="206"/>
  <c r="L49" i="206"/>
  <c r="N49" i="206" s="1"/>
  <c r="M49" i="206"/>
  <c r="L50" i="206"/>
  <c r="M50" i="206"/>
  <c r="L51" i="206"/>
  <c r="M51" i="206"/>
  <c r="L52" i="206"/>
  <c r="M52" i="206"/>
  <c r="N52" i="206" s="1"/>
  <c r="L53" i="206"/>
  <c r="M53" i="206"/>
  <c r="N53" i="206" s="1"/>
  <c r="L54" i="206"/>
  <c r="M54" i="206"/>
  <c r="L55" i="206"/>
  <c r="N55" i="206" s="1"/>
  <c r="M55" i="206"/>
  <c r="H56" i="206"/>
  <c r="K56" i="206"/>
  <c r="L58" i="206"/>
  <c r="N58" i="206" s="1"/>
  <c r="M58" i="206"/>
  <c r="L59" i="206"/>
  <c r="M59" i="206"/>
  <c r="N59" i="206" s="1"/>
  <c r="L60" i="206"/>
  <c r="N60" i="206" s="1"/>
  <c r="M60" i="206"/>
  <c r="L61" i="206"/>
  <c r="N61" i="206" s="1"/>
  <c r="M61" i="206"/>
  <c r="L62" i="206"/>
  <c r="N62" i="206" s="1"/>
  <c r="M62" i="206"/>
  <c r="L63" i="206"/>
  <c r="M63" i="206"/>
  <c r="L64" i="206"/>
  <c r="M64" i="206"/>
  <c r="N64" i="206"/>
  <c r="L65" i="206"/>
  <c r="N65" i="206" s="1"/>
  <c r="M65" i="206"/>
  <c r="L66" i="206"/>
  <c r="M66" i="206"/>
  <c r="L67" i="206"/>
  <c r="M67" i="206"/>
  <c r="L68" i="206"/>
  <c r="N68" i="206" s="1"/>
  <c r="M68" i="206"/>
  <c r="L69" i="206"/>
  <c r="N69" i="206" s="1"/>
  <c r="M69" i="206"/>
  <c r="L70" i="206"/>
  <c r="M70" i="206"/>
  <c r="L71" i="206"/>
  <c r="N71" i="206" s="1"/>
  <c r="M71" i="206"/>
  <c r="L72" i="206"/>
  <c r="M72" i="206"/>
  <c r="L73" i="206"/>
  <c r="N73" i="206" s="1"/>
  <c r="M73" i="206"/>
  <c r="L74" i="206"/>
  <c r="M74" i="206"/>
  <c r="H75" i="206"/>
  <c r="H76" i="206" s="1"/>
  <c r="H77" i="206" s="1"/>
  <c r="K75" i="206"/>
  <c r="K76" i="206" s="1"/>
  <c r="K77" i="206" s="1"/>
  <c r="Q85" i="206"/>
  <c r="E9" i="206" s="1"/>
  <c r="Q86" i="206"/>
  <c r="E10" i="206" s="1"/>
  <c r="Q87" i="206"/>
  <c r="E11" i="206" s="1"/>
  <c r="Q88" i="206"/>
  <c r="E12" i="206" s="1"/>
  <c r="Q89" i="206"/>
  <c r="E13" i="206" s="1"/>
  <c r="Q90" i="206"/>
  <c r="E14" i="206" s="1"/>
  <c r="Q91" i="206"/>
  <c r="E15" i="206" s="1"/>
  <c r="Q92" i="206"/>
  <c r="E16" i="206" s="1"/>
  <c r="E16" i="204" s="1"/>
  <c r="Q93" i="206"/>
  <c r="E17" i="206" s="1"/>
  <c r="Q94" i="206"/>
  <c r="E18" i="206" s="1"/>
  <c r="Q95" i="206"/>
  <c r="E19" i="206" s="1"/>
  <c r="Q96" i="206"/>
  <c r="E20" i="206" s="1"/>
  <c r="Q97" i="206"/>
  <c r="E21" i="206" s="1"/>
  <c r="E98" i="206"/>
  <c r="F98" i="206"/>
  <c r="G98" i="206"/>
  <c r="H98" i="206"/>
  <c r="I98" i="206"/>
  <c r="J98" i="206"/>
  <c r="K98" i="206"/>
  <c r="L98" i="206"/>
  <c r="M98" i="206"/>
  <c r="N98" i="206"/>
  <c r="O98" i="206"/>
  <c r="P98" i="206"/>
  <c r="Q100" i="206"/>
  <c r="E24" i="206" s="1"/>
  <c r="Q101" i="206"/>
  <c r="E25" i="206" s="1"/>
  <c r="Q102" i="206"/>
  <c r="E26" i="206" s="1"/>
  <c r="E26" i="204" s="1"/>
  <c r="Q103" i="206"/>
  <c r="E27" i="206" s="1"/>
  <c r="Q104" i="206"/>
  <c r="E28" i="206" s="1"/>
  <c r="Q105" i="206"/>
  <c r="E29" i="206" s="1"/>
  <c r="Q106" i="206"/>
  <c r="E30" i="206" s="1"/>
  <c r="E30" i="204" s="1"/>
  <c r="Q107" i="206"/>
  <c r="E31" i="206" s="1"/>
  <c r="Q108" i="206"/>
  <c r="E32" i="206" s="1"/>
  <c r="Q109" i="206"/>
  <c r="E33" i="206" s="1"/>
  <c r="Q110" i="206"/>
  <c r="E34" i="206" s="1"/>
  <c r="Q111" i="206"/>
  <c r="E35" i="206" s="1"/>
  <c r="Q112" i="206"/>
  <c r="E36" i="206" s="1"/>
  <c r="Q113" i="206"/>
  <c r="E37" i="206" s="1"/>
  <c r="Q114" i="206"/>
  <c r="E38" i="206" s="1"/>
  <c r="E115" i="206"/>
  <c r="F115" i="206"/>
  <c r="G115" i="206"/>
  <c r="H115" i="206"/>
  <c r="H152" i="206" s="1"/>
  <c r="H153" i="206" s="1"/>
  <c r="I115" i="206"/>
  <c r="I152" i="206" s="1"/>
  <c r="I153" i="206" s="1"/>
  <c r="J115" i="206"/>
  <c r="J152" i="206" s="1"/>
  <c r="J153" i="206" s="1"/>
  <c r="K115" i="206"/>
  <c r="L115" i="206"/>
  <c r="M115" i="206"/>
  <c r="N115" i="206"/>
  <c r="O115" i="206"/>
  <c r="P115" i="206"/>
  <c r="P152" i="206" s="1"/>
  <c r="P153" i="206" s="1"/>
  <c r="Q117" i="206"/>
  <c r="E41" i="206" s="1"/>
  <c r="Q118" i="206"/>
  <c r="E42" i="206" s="1"/>
  <c r="Q119" i="206"/>
  <c r="E43" i="206" s="1"/>
  <c r="Q120" i="206"/>
  <c r="E44" i="206" s="1"/>
  <c r="E44" i="204" s="1"/>
  <c r="Q121" i="206"/>
  <c r="E45" i="206" s="1"/>
  <c r="Q122" i="206"/>
  <c r="E46" i="206" s="1"/>
  <c r="Q123" i="206"/>
  <c r="E47" i="206" s="1"/>
  <c r="Q124" i="206"/>
  <c r="E48" i="206" s="1"/>
  <c r="Q125" i="206"/>
  <c r="E49" i="206" s="1"/>
  <c r="Q126" i="206"/>
  <c r="E50" i="206" s="1"/>
  <c r="Q127" i="206"/>
  <c r="E51" i="206" s="1"/>
  <c r="Q128" i="206"/>
  <c r="E52" i="206" s="1"/>
  <c r="Q129" i="206"/>
  <c r="E53" i="206" s="1"/>
  <c r="Q130" i="206"/>
  <c r="E54" i="206" s="1"/>
  <c r="Q131" i="206"/>
  <c r="E55" i="206" s="1"/>
  <c r="E132" i="206"/>
  <c r="F132" i="206"/>
  <c r="G132" i="206"/>
  <c r="G152" i="206" s="1"/>
  <c r="G153" i="206" s="1"/>
  <c r="H132" i="206"/>
  <c r="I132" i="206"/>
  <c r="J132" i="206"/>
  <c r="K132" i="206"/>
  <c r="L132" i="206"/>
  <c r="M132" i="206"/>
  <c r="N132" i="206"/>
  <c r="O132" i="206"/>
  <c r="P132" i="206"/>
  <c r="Q134" i="206"/>
  <c r="E58" i="206" s="1"/>
  <c r="E58" i="204" s="1"/>
  <c r="Q135" i="206"/>
  <c r="E59" i="206" s="1"/>
  <c r="Q136" i="206"/>
  <c r="E60" i="206" s="1"/>
  <c r="Q137" i="206"/>
  <c r="E61" i="206" s="1"/>
  <c r="Q138" i="206"/>
  <c r="E62" i="206" s="1"/>
  <c r="Q139" i="206"/>
  <c r="E63" i="206" s="1"/>
  <c r="Q140" i="206"/>
  <c r="E64" i="206" s="1"/>
  <c r="Q141" i="206"/>
  <c r="E65" i="206" s="1"/>
  <c r="Q142" i="206"/>
  <c r="E66" i="206" s="1"/>
  <c r="Q143" i="206"/>
  <c r="E67" i="206" s="1"/>
  <c r="Q144" i="206"/>
  <c r="E68" i="206" s="1"/>
  <c r="Q145" i="206"/>
  <c r="E69" i="206" s="1"/>
  <c r="Q146" i="206"/>
  <c r="E70" i="206" s="1"/>
  <c r="E70" i="204" s="1"/>
  <c r="Q147" i="206"/>
  <c r="E71" i="206" s="1"/>
  <c r="Q148" i="206"/>
  <c r="E72" i="206" s="1"/>
  <c r="Q149" i="206"/>
  <c r="E73" i="206" s="1"/>
  <c r="Q150" i="206"/>
  <c r="E74" i="206" s="1"/>
  <c r="E151" i="206"/>
  <c r="F151" i="206"/>
  <c r="G151" i="206"/>
  <c r="H151" i="206"/>
  <c r="I151" i="206"/>
  <c r="J151" i="206"/>
  <c r="K151" i="206"/>
  <c r="L151" i="206"/>
  <c r="M151" i="206"/>
  <c r="N151" i="206"/>
  <c r="O151" i="206"/>
  <c r="P151" i="206"/>
  <c r="K152" i="206"/>
  <c r="O152" i="206"/>
  <c r="O153" i="206" s="1"/>
  <c r="Q159" i="206"/>
  <c r="F9" i="206" s="1"/>
  <c r="Q160" i="206"/>
  <c r="F10" i="206" s="1"/>
  <c r="Q161" i="206"/>
  <c r="F11" i="206" s="1"/>
  <c r="Q162" i="206"/>
  <c r="F12" i="206" s="1"/>
  <c r="Q163" i="206"/>
  <c r="F13" i="206" s="1"/>
  <c r="Q164" i="206"/>
  <c r="F14" i="206" s="1"/>
  <c r="Q165" i="206"/>
  <c r="F15" i="206" s="1"/>
  <c r="Q166" i="206"/>
  <c r="F16" i="206" s="1"/>
  <c r="Q167" i="206"/>
  <c r="F17" i="206" s="1"/>
  <c r="Q168" i="206"/>
  <c r="F18" i="206" s="1"/>
  <c r="Q169" i="206"/>
  <c r="F19" i="206" s="1"/>
  <c r="Q170" i="206"/>
  <c r="F20" i="206" s="1"/>
  <c r="Q171" i="206"/>
  <c r="F21" i="206" s="1"/>
  <c r="E172" i="206"/>
  <c r="F172" i="206"/>
  <c r="G172" i="206"/>
  <c r="H172" i="206"/>
  <c r="I172" i="206"/>
  <c r="J172" i="206"/>
  <c r="K172" i="206"/>
  <c r="L172" i="206"/>
  <c r="M172" i="206"/>
  <c r="N172" i="206"/>
  <c r="O172" i="206"/>
  <c r="P172" i="206"/>
  <c r="Q174" i="206"/>
  <c r="F24" i="206" s="1"/>
  <c r="Q175" i="206"/>
  <c r="F25" i="206" s="1"/>
  <c r="Q176" i="206"/>
  <c r="F26" i="206" s="1"/>
  <c r="F26" i="204" s="1"/>
  <c r="Q177" i="206"/>
  <c r="F27" i="206" s="1"/>
  <c r="Q178" i="206"/>
  <c r="F28" i="206" s="1"/>
  <c r="Q179" i="206"/>
  <c r="F29" i="206" s="1"/>
  <c r="Q180" i="206"/>
  <c r="F30" i="206" s="1"/>
  <c r="Q181" i="206"/>
  <c r="F31" i="206" s="1"/>
  <c r="Q182" i="206"/>
  <c r="F32" i="206" s="1"/>
  <c r="Q183" i="206"/>
  <c r="F33" i="206" s="1"/>
  <c r="Q184" i="206"/>
  <c r="F34" i="206" s="1"/>
  <c r="Q185" i="206"/>
  <c r="F35" i="206" s="1"/>
  <c r="Q186" i="206"/>
  <c r="F36" i="206" s="1"/>
  <c r="Q187" i="206"/>
  <c r="F37" i="206" s="1"/>
  <c r="Q188" i="206"/>
  <c r="F38" i="206" s="1"/>
  <c r="E189" i="206"/>
  <c r="F189" i="206"/>
  <c r="G189" i="206"/>
  <c r="H189" i="206"/>
  <c r="I189" i="206"/>
  <c r="J189" i="206"/>
  <c r="K189" i="206"/>
  <c r="L189" i="206"/>
  <c r="M189" i="206"/>
  <c r="N189" i="206"/>
  <c r="O189" i="206"/>
  <c r="P189" i="206"/>
  <c r="Q191" i="206"/>
  <c r="F41" i="206" s="1"/>
  <c r="Q192" i="206"/>
  <c r="F42" i="206" s="1"/>
  <c r="Q193" i="206"/>
  <c r="F43" i="206" s="1"/>
  <c r="Q194" i="206"/>
  <c r="F44" i="206" s="1"/>
  <c r="Q195" i="206"/>
  <c r="F45" i="206" s="1"/>
  <c r="Q196" i="206"/>
  <c r="F46" i="206" s="1"/>
  <c r="Q197" i="206"/>
  <c r="F47" i="206" s="1"/>
  <c r="Q198" i="206"/>
  <c r="F48" i="206" s="1"/>
  <c r="F48" i="204" s="1"/>
  <c r="Q199" i="206"/>
  <c r="F49" i="206" s="1"/>
  <c r="Q200" i="206"/>
  <c r="F50" i="206" s="1"/>
  <c r="Q201" i="206"/>
  <c r="F51" i="206" s="1"/>
  <c r="Q202" i="206"/>
  <c r="F52" i="206" s="1"/>
  <c r="Q203" i="206"/>
  <c r="F53" i="206" s="1"/>
  <c r="Q204" i="206"/>
  <c r="F54" i="206" s="1"/>
  <c r="Q205" i="206"/>
  <c r="F55" i="206" s="1"/>
  <c r="E206" i="206"/>
  <c r="F206" i="206"/>
  <c r="G206" i="206"/>
  <c r="H206" i="206"/>
  <c r="I206" i="206"/>
  <c r="J206" i="206"/>
  <c r="K206" i="206"/>
  <c r="L206" i="206"/>
  <c r="M206" i="206"/>
  <c r="N206" i="206"/>
  <c r="O206" i="206"/>
  <c r="P206" i="206"/>
  <c r="Q208" i="206"/>
  <c r="F58" i="206" s="1"/>
  <c r="Q209" i="206"/>
  <c r="F59" i="206" s="1"/>
  <c r="Q210" i="206"/>
  <c r="F60" i="206" s="1"/>
  <c r="Q211" i="206"/>
  <c r="F61" i="206" s="1"/>
  <c r="Q212" i="206"/>
  <c r="F62" i="206" s="1"/>
  <c r="Q213" i="206"/>
  <c r="F63" i="206" s="1"/>
  <c r="Q214" i="206"/>
  <c r="F64" i="206" s="1"/>
  <c r="Q215" i="206"/>
  <c r="F65" i="206" s="1"/>
  <c r="Q216" i="206"/>
  <c r="F66" i="206" s="1"/>
  <c r="Q217" i="206"/>
  <c r="F67" i="206" s="1"/>
  <c r="Q218" i="206"/>
  <c r="F68" i="206" s="1"/>
  <c r="Q219" i="206"/>
  <c r="F69" i="206" s="1"/>
  <c r="Q220" i="206"/>
  <c r="F70" i="206" s="1"/>
  <c r="Q221" i="206"/>
  <c r="F71" i="206" s="1"/>
  <c r="Q222" i="206"/>
  <c r="F72" i="206" s="1"/>
  <c r="Q223" i="206"/>
  <c r="F73" i="206" s="1"/>
  <c r="E224" i="206"/>
  <c r="F224" i="206"/>
  <c r="G224" i="206"/>
  <c r="G225" i="206" s="1"/>
  <c r="H224" i="206"/>
  <c r="I224" i="206"/>
  <c r="I225" i="206" s="1"/>
  <c r="I226" i="206" s="1"/>
  <c r="J224" i="206"/>
  <c r="J225" i="206" s="1"/>
  <c r="J226" i="206" s="1"/>
  <c r="K224" i="206"/>
  <c r="K225" i="206" s="1"/>
  <c r="K226" i="206" s="1"/>
  <c r="L224" i="206"/>
  <c r="M224" i="206"/>
  <c r="N224" i="206"/>
  <c r="N225" i="206" s="1"/>
  <c r="N226" i="206" s="1"/>
  <c r="O224" i="206"/>
  <c r="P224" i="206"/>
  <c r="F225" i="206"/>
  <c r="F226" i="206" s="1"/>
  <c r="H225" i="206"/>
  <c r="H226" i="206" s="1"/>
  <c r="P225" i="206"/>
  <c r="P226" i="206" s="1"/>
  <c r="Q232" i="206"/>
  <c r="G9" i="206" s="1"/>
  <c r="Q233" i="206"/>
  <c r="G10" i="206" s="1"/>
  <c r="Q234" i="206"/>
  <c r="G11" i="206" s="1"/>
  <c r="Q235" i="206"/>
  <c r="G12" i="206" s="1"/>
  <c r="Q236" i="206"/>
  <c r="G13" i="206" s="1"/>
  <c r="Q237" i="206"/>
  <c r="G14" i="206" s="1"/>
  <c r="Q238" i="206"/>
  <c r="G15" i="206" s="1"/>
  <c r="Q239" i="206"/>
  <c r="G16" i="206" s="1"/>
  <c r="G16" i="204" s="1"/>
  <c r="Q240" i="206"/>
  <c r="G17" i="206" s="1"/>
  <c r="Q241" i="206"/>
  <c r="G18" i="206" s="1"/>
  <c r="Q242" i="206"/>
  <c r="G19" i="206" s="1"/>
  <c r="Q243" i="206"/>
  <c r="G20" i="206" s="1"/>
  <c r="Q244" i="206"/>
  <c r="G21" i="206" s="1"/>
  <c r="E245" i="206"/>
  <c r="F245" i="206"/>
  <c r="G245" i="206"/>
  <c r="H245" i="206"/>
  <c r="I245" i="206"/>
  <c r="J245" i="206"/>
  <c r="K245" i="206"/>
  <c r="L245" i="206"/>
  <c r="M245" i="206"/>
  <c r="N245" i="206"/>
  <c r="O245" i="206"/>
  <c r="P245" i="206"/>
  <c r="Q247" i="206"/>
  <c r="G24" i="206" s="1"/>
  <c r="Q248" i="206"/>
  <c r="G25" i="206" s="1"/>
  <c r="Q249" i="206"/>
  <c r="G26" i="206" s="1"/>
  <c r="Q250" i="206"/>
  <c r="G27" i="206" s="1"/>
  <c r="Q251" i="206"/>
  <c r="G28" i="206" s="1"/>
  <c r="Q252" i="206"/>
  <c r="G29" i="206" s="1"/>
  <c r="Q253" i="206"/>
  <c r="G30" i="206" s="1"/>
  <c r="Q254" i="206"/>
  <c r="G31" i="206" s="1"/>
  <c r="Q255" i="206"/>
  <c r="G32" i="206" s="1"/>
  <c r="Q256" i="206"/>
  <c r="G33" i="206" s="1"/>
  <c r="Q257" i="206"/>
  <c r="G34" i="206" s="1"/>
  <c r="G34" i="204" s="1"/>
  <c r="Q258" i="206"/>
  <c r="G35" i="206" s="1"/>
  <c r="Q259" i="206"/>
  <c r="G36" i="206" s="1"/>
  <c r="Q260" i="206"/>
  <c r="G37" i="206" s="1"/>
  <c r="Q261" i="206"/>
  <c r="G38" i="206" s="1"/>
  <c r="E262" i="206"/>
  <c r="F262" i="206"/>
  <c r="G262" i="206"/>
  <c r="H262" i="206"/>
  <c r="H299" i="206" s="1"/>
  <c r="H300" i="206" s="1"/>
  <c r="I262" i="206"/>
  <c r="J262" i="206"/>
  <c r="K262" i="206"/>
  <c r="L262" i="206"/>
  <c r="M262" i="206"/>
  <c r="N262" i="206"/>
  <c r="N299" i="206" s="1"/>
  <c r="N300" i="206" s="1"/>
  <c r="O262" i="206"/>
  <c r="P262" i="206"/>
  <c r="Q264" i="206"/>
  <c r="G41" i="206" s="1"/>
  <c r="Q265" i="206"/>
  <c r="G42" i="206" s="1"/>
  <c r="Q266" i="206"/>
  <c r="G43" i="206" s="1"/>
  <c r="Q267" i="206"/>
  <c r="G44" i="206" s="1"/>
  <c r="G44" i="204" s="1"/>
  <c r="Q268" i="206"/>
  <c r="G45" i="206" s="1"/>
  <c r="G45" i="204" s="1"/>
  <c r="Q269" i="206"/>
  <c r="G46" i="206" s="1"/>
  <c r="Q270" i="206"/>
  <c r="G47" i="206" s="1"/>
  <c r="G47" i="204" s="1"/>
  <c r="Q271" i="206"/>
  <c r="G48" i="206" s="1"/>
  <c r="G48" i="204" s="1"/>
  <c r="Q272" i="206"/>
  <c r="G49" i="206" s="1"/>
  <c r="Q273" i="206"/>
  <c r="G50" i="206" s="1"/>
  <c r="Q274" i="206"/>
  <c r="G51" i="206" s="1"/>
  <c r="Q275" i="206"/>
  <c r="G52" i="206" s="1"/>
  <c r="Q276" i="206"/>
  <c r="G53" i="206" s="1"/>
  <c r="Q277" i="206"/>
  <c r="G54" i="206" s="1"/>
  <c r="Q278" i="206"/>
  <c r="G55" i="206" s="1"/>
  <c r="E279" i="206"/>
  <c r="F279" i="206"/>
  <c r="F299" i="206" s="1"/>
  <c r="F300" i="206" s="1"/>
  <c r="G279" i="206"/>
  <c r="H279" i="206"/>
  <c r="I279" i="206"/>
  <c r="J279" i="206"/>
  <c r="J299" i="206" s="1"/>
  <c r="J300" i="206" s="1"/>
  <c r="K279" i="206"/>
  <c r="L279" i="206"/>
  <c r="M279" i="206"/>
  <c r="N279" i="206"/>
  <c r="O279" i="206"/>
  <c r="P279" i="206"/>
  <c r="Q281" i="206"/>
  <c r="G58" i="206" s="1"/>
  <c r="G58" i="204" s="1"/>
  <c r="Q282" i="206"/>
  <c r="G59" i="206" s="1"/>
  <c r="Q283" i="206"/>
  <c r="G60" i="206" s="1"/>
  <c r="Q284" i="206"/>
  <c r="Q285" i="206"/>
  <c r="Q286" i="206"/>
  <c r="G63" i="206" s="1"/>
  <c r="Q287" i="206"/>
  <c r="G64" i="206" s="1"/>
  <c r="Q288" i="206"/>
  <c r="G65" i="206" s="1"/>
  <c r="Q289" i="206"/>
  <c r="G66" i="206" s="1"/>
  <c r="Q290" i="206"/>
  <c r="G67" i="206" s="1"/>
  <c r="Q291" i="206"/>
  <c r="G68" i="206" s="1"/>
  <c r="Q292" i="206"/>
  <c r="G69" i="206" s="1"/>
  <c r="Q293" i="206"/>
  <c r="G70" i="206" s="1"/>
  <c r="G70" i="204" s="1"/>
  <c r="Q294" i="206"/>
  <c r="G71" i="206" s="1"/>
  <c r="Q295" i="206"/>
  <c r="G72" i="206" s="1"/>
  <c r="Q296" i="206"/>
  <c r="G73" i="206" s="1"/>
  <c r="Q297" i="206"/>
  <c r="G74" i="206" s="1"/>
  <c r="E298" i="206"/>
  <c r="F298" i="206"/>
  <c r="G298" i="206"/>
  <c r="H298" i="206"/>
  <c r="I298" i="206"/>
  <c r="J298" i="206"/>
  <c r="K298" i="206"/>
  <c r="L298" i="206"/>
  <c r="L299" i="206" s="1"/>
  <c r="L300" i="206" s="1"/>
  <c r="M298" i="206"/>
  <c r="M299" i="206" s="1"/>
  <c r="M300" i="206" s="1"/>
  <c r="N298" i="206"/>
  <c r="O298" i="206"/>
  <c r="P298" i="206"/>
  <c r="P299" i="206" s="1"/>
  <c r="P300" i="206" s="1"/>
  <c r="Q305" i="206"/>
  <c r="I9" i="206" s="1"/>
  <c r="J9" i="206" s="1"/>
  <c r="Q306" i="206"/>
  <c r="I10" i="206" s="1"/>
  <c r="J10" i="206" s="1"/>
  <c r="Q307" i="206"/>
  <c r="I11" i="206" s="1"/>
  <c r="J11" i="206" s="1"/>
  <c r="Q308" i="206"/>
  <c r="I12" i="206" s="1"/>
  <c r="J12" i="206" s="1"/>
  <c r="Q309" i="206"/>
  <c r="I13" i="206" s="1"/>
  <c r="Q310" i="206"/>
  <c r="I14" i="206" s="1"/>
  <c r="J14" i="206" s="1"/>
  <c r="J14" i="204" s="1"/>
  <c r="Q311" i="206"/>
  <c r="I15" i="206" s="1"/>
  <c r="J15" i="206" s="1"/>
  <c r="Q312" i="206"/>
  <c r="I16" i="206" s="1"/>
  <c r="J16" i="206" s="1"/>
  <c r="Q313" i="206"/>
  <c r="I17" i="206" s="1"/>
  <c r="J17" i="206" s="1"/>
  <c r="Q314" i="206"/>
  <c r="I18" i="206" s="1"/>
  <c r="J18" i="206" s="1"/>
  <c r="Q315" i="206"/>
  <c r="I19" i="206" s="1"/>
  <c r="J19" i="206" s="1"/>
  <c r="Q316" i="206"/>
  <c r="I20" i="206" s="1"/>
  <c r="J20" i="206" s="1"/>
  <c r="Q317" i="206"/>
  <c r="I21" i="206" s="1"/>
  <c r="J21" i="206" s="1"/>
  <c r="E318" i="206"/>
  <c r="F318" i="206"/>
  <c r="G318" i="206"/>
  <c r="H318" i="206"/>
  <c r="I318" i="206"/>
  <c r="Q318" i="206" s="1"/>
  <c r="I22" i="206" s="1"/>
  <c r="J318" i="206"/>
  <c r="K318" i="206"/>
  <c r="L318" i="206"/>
  <c r="M318" i="206"/>
  <c r="N318" i="206"/>
  <c r="O318" i="206"/>
  <c r="P318" i="206"/>
  <c r="Q320" i="206"/>
  <c r="I24" i="206" s="1"/>
  <c r="Q321" i="206"/>
  <c r="I25" i="206" s="1"/>
  <c r="Q322" i="206"/>
  <c r="I26" i="206" s="1"/>
  <c r="Q323" i="206"/>
  <c r="I27" i="206" s="1"/>
  <c r="I27" i="204" s="1"/>
  <c r="Q324" i="206"/>
  <c r="I28" i="206" s="1"/>
  <c r="Q325" i="206"/>
  <c r="I29" i="206" s="1"/>
  <c r="Q326" i="206"/>
  <c r="I30" i="206" s="1"/>
  <c r="Q327" i="206"/>
  <c r="I31" i="206" s="1"/>
  <c r="Q328" i="206"/>
  <c r="I32" i="206" s="1"/>
  <c r="Q329" i="206"/>
  <c r="I33" i="206" s="1"/>
  <c r="Q330" i="206"/>
  <c r="I34" i="206" s="1"/>
  <c r="Q331" i="206"/>
  <c r="I35" i="206" s="1"/>
  <c r="Q332" i="206"/>
  <c r="I36" i="206" s="1"/>
  <c r="Q333" i="206"/>
  <c r="I37" i="206" s="1"/>
  <c r="Q334" i="206"/>
  <c r="I38" i="206" s="1"/>
  <c r="E335" i="206"/>
  <c r="Q335" i="206" s="1"/>
  <c r="I39" i="206" s="1"/>
  <c r="J39" i="206" s="1"/>
  <c r="F335" i="206"/>
  <c r="G335" i="206"/>
  <c r="H335" i="206"/>
  <c r="I335" i="206"/>
  <c r="J335" i="206"/>
  <c r="K335" i="206"/>
  <c r="L335" i="206"/>
  <c r="M335" i="206"/>
  <c r="N335" i="206"/>
  <c r="O335" i="206"/>
  <c r="P335" i="206"/>
  <c r="Q337" i="206"/>
  <c r="I41" i="206" s="1"/>
  <c r="Q338" i="206"/>
  <c r="I42" i="206" s="1"/>
  <c r="Q339" i="206"/>
  <c r="I43" i="206" s="1"/>
  <c r="Q340" i="206"/>
  <c r="I44" i="206" s="1"/>
  <c r="Q341" i="206"/>
  <c r="I45" i="206" s="1"/>
  <c r="Q342" i="206"/>
  <c r="I46" i="206" s="1"/>
  <c r="Q343" i="206"/>
  <c r="I47" i="206" s="1"/>
  <c r="Q344" i="206"/>
  <c r="I48" i="206" s="1"/>
  <c r="Q345" i="206"/>
  <c r="I49" i="206" s="1"/>
  <c r="Q346" i="206"/>
  <c r="I50" i="206" s="1"/>
  <c r="Q347" i="206"/>
  <c r="I51" i="206" s="1"/>
  <c r="Q348" i="206"/>
  <c r="I52" i="206" s="1"/>
  <c r="Q349" i="206"/>
  <c r="I53" i="206" s="1"/>
  <c r="Q350" i="206"/>
  <c r="I54" i="206" s="1"/>
  <c r="Q351" i="206"/>
  <c r="I55" i="206" s="1"/>
  <c r="E352" i="206"/>
  <c r="F352" i="206"/>
  <c r="G352" i="206"/>
  <c r="H352" i="206"/>
  <c r="I352" i="206"/>
  <c r="J352" i="206"/>
  <c r="Q352" i="206" s="1"/>
  <c r="I56" i="206" s="1"/>
  <c r="J56" i="206" s="1"/>
  <c r="K352" i="206"/>
  <c r="L352" i="206"/>
  <c r="M352" i="206"/>
  <c r="N352" i="206"/>
  <c r="N372" i="206" s="1"/>
  <c r="N373" i="206" s="1"/>
  <c r="O352" i="206"/>
  <c r="P352" i="206"/>
  <c r="Q354" i="206"/>
  <c r="I58" i="206" s="1"/>
  <c r="Q355" i="206"/>
  <c r="I59" i="206" s="1"/>
  <c r="Q356" i="206"/>
  <c r="I60" i="206" s="1"/>
  <c r="Q357" i="206"/>
  <c r="I61" i="206" s="1"/>
  <c r="Q358" i="206"/>
  <c r="I62" i="206" s="1"/>
  <c r="I62" i="204" s="1"/>
  <c r="Q359" i="206"/>
  <c r="I63" i="206" s="1"/>
  <c r="I63" i="204" s="1"/>
  <c r="Q360" i="206"/>
  <c r="I64" i="206" s="1"/>
  <c r="Q361" i="206"/>
  <c r="I65" i="206" s="1"/>
  <c r="I65" i="204" s="1"/>
  <c r="Q362" i="206"/>
  <c r="I66" i="206" s="1"/>
  <c r="Q363" i="206"/>
  <c r="I67" i="206" s="1"/>
  <c r="Q364" i="206"/>
  <c r="I68" i="206" s="1"/>
  <c r="Q365" i="206"/>
  <c r="I69" i="206" s="1"/>
  <c r="Q366" i="206"/>
  <c r="I70" i="206" s="1"/>
  <c r="Q367" i="206"/>
  <c r="I71" i="206" s="1"/>
  <c r="Q368" i="206"/>
  <c r="I72" i="206" s="1"/>
  <c r="Q369" i="206"/>
  <c r="I73" i="206" s="1"/>
  <c r="Q370" i="206"/>
  <c r="I74" i="206" s="1"/>
  <c r="E371" i="206"/>
  <c r="F371" i="206"/>
  <c r="G371" i="206"/>
  <c r="H371" i="206"/>
  <c r="H372" i="206" s="1"/>
  <c r="H373" i="206" s="1"/>
  <c r="I371" i="206"/>
  <c r="I372" i="206" s="1"/>
  <c r="J371" i="206"/>
  <c r="J372" i="206" s="1"/>
  <c r="J373" i="206" s="1"/>
  <c r="K371" i="206"/>
  <c r="L371" i="206"/>
  <c r="M371" i="206"/>
  <c r="N371" i="206"/>
  <c r="O371" i="206"/>
  <c r="P371" i="206"/>
  <c r="P372" i="206" s="1"/>
  <c r="P373" i="206" s="1"/>
  <c r="F372" i="206"/>
  <c r="F373" i="206" s="1"/>
  <c r="L372" i="206"/>
  <c r="L373" i="206" s="1"/>
  <c r="Q380" i="206"/>
  <c r="Q381" i="206"/>
  <c r="Q382" i="206"/>
  <c r="Q383" i="206"/>
  <c r="Q385" i="206"/>
  <c r="Q386" i="206"/>
  <c r="Q387" i="206"/>
  <c r="Q388" i="206"/>
  <c r="Q389" i="206"/>
  <c r="Q390" i="206"/>
  <c r="Q391" i="206"/>
  <c r="Q392" i="206"/>
  <c r="Q395" i="206"/>
  <c r="Q396" i="206"/>
  <c r="Q397" i="206"/>
  <c r="Q398" i="206"/>
  <c r="Q399" i="206"/>
  <c r="Q400" i="206"/>
  <c r="Q401" i="206"/>
  <c r="Q402" i="206"/>
  <c r="Q403" i="206"/>
  <c r="Q404" i="206"/>
  <c r="Q405" i="206"/>
  <c r="Q406" i="206"/>
  <c r="Q407" i="206"/>
  <c r="Q408" i="206"/>
  <c r="Q409" i="206"/>
  <c r="E410" i="206"/>
  <c r="F410" i="206"/>
  <c r="G410" i="206"/>
  <c r="H410" i="206"/>
  <c r="I410" i="206"/>
  <c r="J410" i="206"/>
  <c r="K410" i="206"/>
  <c r="L410" i="206"/>
  <c r="M410" i="206"/>
  <c r="N410" i="206"/>
  <c r="O410" i="206"/>
  <c r="P410" i="206"/>
  <c r="Q412" i="206"/>
  <c r="Q413" i="206"/>
  <c r="Q414" i="206"/>
  <c r="Q415" i="206"/>
  <c r="Q416" i="206"/>
  <c r="Q417" i="206"/>
  <c r="Q418" i="206"/>
  <c r="Q419" i="206"/>
  <c r="Q420" i="206"/>
  <c r="Q421" i="206"/>
  <c r="Q422" i="206"/>
  <c r="Q423" i="206"/>
  <c r="Q424" i="206"/>
  <c r="Q425" i="206"/>
  <c r="Q426" i="206"/>
  <c r="E427" i="206"/>
  <c r="F427" i="206"/>
  <c r="G427" i="206"/>
  <c r="H427" i="206"/>
  <c r="I427" i="206"/>
  <c r="J427" i="206"/>
  <c r="K427" i="206"/>
  <c r="L427" i="206"/>
  <c r="M427" i="206"/>
  <c r="N427" i="206"/>
  <c r="O427" i="206"/>
  <c r="P427" i="206"/>
  <c r="Q429" i="206"/>
  <c r="Q430" i="206"/>
  <c r="Q431" i="206"/>
  <c r="Q432" i="206"/>
  <c r="Q433" i="206"/>
  <c r="Q434" i="206"/>
  <c r="Q435" i="206"/>
  <c r="Q436" i="206"/>
  <c r="Q437" i="206"/>
  <c r="Q438" i="206"/>
  <c r="Q439" i="206"/>
  <c r="Q440" i="206"/>
  <c r="Q441" i="206"/>
  <c r="Q442" i="206"/>
  <c r="Q443" i="206"/>
  <c r="Q444" i="206"/>
  <c r="Q445" i="206"/>
  <c r="E446" i="206"/>
  <c r="F446" i="206"/>
  <c r="G446" i="206"/>
  <c r="G447" i="206" s="1"/>
  <c r="H446" i="206"/>
  <c r="I446" i="206"/>
  <c r="I447" i="206" s="1"/>
  <c r="J446" i="206"/>
  <c r="K446" i="206"/>
  <c r="L446" i="206"/>
  <c r="M446" i="206"/>
  <c r="Q446" i="206" s="1"/>
  <c r="N446" i="206"/>
  <c r="O446" i="206"/>
  <c r="P446" i="206"/>
  <c r="F447" i="206"/>
  <c r="L447" i="206"/>
  <c r="N447" i="206"/>
  <c r="Q454" i="206"/>
  <c r="O9" i="206" s="1"/>
  <c r="Q455" i="206"/>
  <c r="O10" i="206" s="1"/>
  <c r="Q456" i="206"/>
  <c r="O11" i="206" s="1"/>
  <c r="Q457" i="206"/>
  <c r="O12" i="206" s="1"/>
  <c r="Q459" i="206"/>
  <c r="O14" i="206" s="1"/>
  <c r="Q460" i="206"/>
  <c r="O15" i="206" s="1"/>
  <c r="Q461" i="206"/>
  <c r="O16" i="206" s="1"/>
  <c r="Q462" i="206"/>
  <c r="O17" i="206" s="1"/>
  <c r="Q463" i="206"/>
  <c r="O18" i="206" s="1"/>
  <c r="Q464" i="206"/>
  <c r="O19" i="206" s="1"/>
  <c r="Q465" i="206"/>
  <c r="O20" i="206" s="1"/>
  <c r="Q466" i="206"/>
  <c r="O21" i="206" s="1"/>
  <c r="Q469" i="206"/>
  <c r="O24" i="206" s="1"/>
  <c r="Q470" i="206"/>
  <c r="O25" i="206" s="1"/>
  <c r="Q471" i="206"/>
  <c r="O26" i="206" s="1"/>
  <c r="Q472" i="206"/>
  <c r="O27" i="206" s="1"/>
  <c r="Q473" i="206"/>
  <c r="O28" i="206" s="1"/>
  <c r="Q474" i="206"/>
  <c r="O29" i="206" s="1"/>
  <c r="Q475" i="206"/>
  <c r="O30" i="206" s="1"/>
  <c r="Q476" i="206"/>
  <c r="O31" i="206" s="1"/>
  <c r="Q477" i="206"/>
  <c r="O32" i="206" s="1"/>
  <c r="Q478" i="206"/>
  <c r="O33" i="206" s="1"/>
  <c r="Q479" i="206"/>
  <c r="O34" i="206" s="1"/>
  <c r="Q480" i="206"/>
  <c r="O35" i="206" s="1"/>
  <c r="Q481" i="206"/>
  <c r="O36" i="206" s="1"/>
  <c r="Q482" i="206"/>
  <c r="O37" i="206" s="1"/>
  <c r="Q483" i="206"/>
  <c r="O38" i="206" s="1"/>
  <c r="E484" i="206"/>
  <c r="F484" i="206"/>
  <c r="G484" i="206"/>
  <c r="Q484" i="206" s="1"/>
  <c r="O39" i="206" s="1"/>
  <c r="H484" i="206"/>
  <c r="I484" i="206"/>
  <c r="J484" i="206"/>
  <c r="K484" i="206"/>
  <c r="L484" i="206"/>
  <c r="M484" i="206"/>
  <c r="N484" i="206"/>
  <c r="O484" i="206"/>
  <c r="P484" i="206"/>
  <c r="Q486" i="206"/>
  <c r="O41" i="206" s="1"/>
  <c r="Q487" i="206"/>
  <c r="O42" i="206" s="1"/>
  <c r="Q488" i="206"/>
  <c r="O43" i="206" s="1"/>
  <c r="Q489" i="206"/>
  <c r="O44" i="206" s="1"/>
  <c r="Q490" i="206"/>
  <c r="O45" i="206" s="1"/>
  <c r="Q491" i="206"/>
  <c r="O46" i="206" s="1"/>
  <c r="Q492" i="206"/>
  <c r="O47" i="206" s="1"/>
  <c r="Q493" i="206"/>
  <c r="O48" i="206" s="1"/>
  <c r="Q494" i="206"/>
  <c r="O49" i="206" s="1"/>
  <c r="Q495" i="206"/>
  <c r="O50" i="206" s="1"/>
  <c r="Q496" i="206"/>
  <c r="O51" i="206" s="1"/>
  <c r="Q497" i="206"/>
  <c r="O52" i="206" s="1"/>
  <c r="Q498" i="206"/>
  <c r="O53" i="206" s="1"/>
  <c r="Q499" i="206"/>
  <c r="O54" i="206" s="1"/>
  <c r="Q500" i="206"/>
  <c r="O55" i="206" s="1"/>
  <c r="E501" i="206"/>
  <c r="F501" i="206"/>
  <c r="G501" i="206"/>
  <c r="H501" i="206"/>
  <c r="I501" i="206"/>
  <c r="J501" i="206"/>
  <c r="K501" i="206"/>
  <c r="L501" i="206"/>
  <c r="L521" i="206" s="1"/>
  <c r="M501" i="206"/>
  <c r="N501" i="206"/>
  <c r="O501" i="206"/>
  <c r="P501" i="206"/>
  <c r="P521" i="206" s="1"/>
  <c r="Q503" i="206"/>
  <c r="O58" i="206" s="1"/>
  <c r="Q504" i="206"/>
  <c r="O59" i="206" s="1"/>
  <c r="Q505" i="206"/>
  <c r="O60" i="206" s="1"/>
  <c r="Q506" i="206"/>
  <c r="O61" i="206" s="1"/>
  <c r="Q507" i="206"/>
  <c r="O62" i="206" s="1"/>
  <c r="Q508" i="206"/>
  <c r="O63" i="206" s="1"/>
  <c r="Q509" i="206"/>
  <c r="O64" i="206" s="1"/>
  <c r="Q510" i="206"/>
  <c r="O65" i="206" s="1"/>
  <c r="Q511" i="206"/>
  <c r="O66" i="206" s="1"/>
  <c r="Q512" i="206"/>
  <c r="O67" i="206" s="1"/>
  <c r="Q513" i="206"/>
  <c r="O68" i="206" s="1"/>
  <c r="Q514" i="206"/>
  <c r="O69" i="206" s="1"/>
  <c r="Q515" i="206"/>
  <c r="O70" i="206" s="1"/>
  <c r="Q516" i="206"/>
  <c r="O71" i="206" s="1"/>
  <c r="Q517" i="206"/>
  <c r="O72" i="206" s="1"/>
  <c r="Q518" i="206"/>
  <c r="O73" i="206" s="1"/>
  <c r="Q519" i="206"/>
  <c r="O74" i="206" s="1"/>
  <c r="E520" i="206"/>
  <c r="F520" i="206"/>
  <c r="G520" i="206"/>
  <c r="H520" i="206"/>
  <c r="I520" i="206"/>
  <c r="I521" i="206" s="1"/>
  <c r="J520" i="206"/>
  <c r="K520" i="206"/>
  <c r="K521" i="206" s="1"/>
  <c r="L520" i="206"/>
  <c r="M520" i="206"/>
  <c r="M521" i="206" s="1"/>
  <c r="N520" i="206"/>
  <c r="N521" i="206" s="1"/>
  <c r="O520" i="206"/>
  <c r="P520" i="206"/>
  <c r="E521" i="206"/>
  <c r="F521" i="206"/>
  <c r="J521" i="206"/>
  <c r="Q528" i="206"/>
  <c r="P9" i="206" s="1"/>
  <c r="Q529" i="206"/>
  <c r="P10" i="206" s="1"/>
  <c r="Q530" i="206"/>
  <c r="P11" i="206" s="1"/>
  <c r="Q531" i="206"/>
  <c r="P12" i="206" s="1"/>
  <c r="Q533" i="206"/>
  <c r="P14" i="206" s="1"/>
  <c r="Q534" i="206"/>
  <c r="P15" i="206" s="1"/>
  <c r="Q535" i="206"/>
  <c r="P16" i="206" s="1"/>
  <c r="Q536" i="206"/>
  <c r="P17" i="206" s="1"/>
  <c r="Q537" i="206"/>
  <c r="P18" i="206" s="1"/>
  <c r="Q538" i="206"/>
  <c r="P19" i="206" s="1"/>
  <c r="Q539" i="206"/>
  <c r="P20" i="206" s="1"/>
  <c r="Q540" i="206"/>
  <c r="P21" i="206" s="1"/>
  <c r="Q543" i="206"/>
  <c r="P24" i="206" s="1"/>
  <c r="Q544" i="206"/>
  <c r="P25" i="206" s="1"/>
  <c r="Q545" i="206"/>
  <c r="P26" i="206" s="1"/>
  <c r="Q546" i="206"/>
  <c r="P27" i="206" s="1"/>
  <c r="Q547" i="206"/>
  <c r="P28" i="206" s="1"/>
  <c r="Q548" i="206"/>
  <c r="P29" i="206" s="1"/>
  <c r="Q549" i="206"/>
  <c r="P30" i="206" s="1"/>
  <c r="Q550" i="206"/>
  <c r="P31" i="206" s="1"/>
  <c r="Q551" i="206"/>
  <c r="P32" i="206" s="1"/>
  <c r="Q552" i="206"/>
  <c r="P33" i="206" s="1"/>
  <c r="Q553" i="206"/>
  <c r="P34" i="206" s="1"/>
  <c r="Q554" i="206"/>
  <c r="P35" i="206" s="1"/>
  <c r="Q555" i="206"/>
  <c r="P36" i="206" s="1"/>
  <c r="Q556" i="206"/>
  <c r="P37" i="206" s="1"/>
  <c r="Q557" i="206"/>
  <c r="P38" i="206" s="1"/>
  <c r="E558" i="206"/>
  <c r="F558" i="206"/>
  <c r="G558" i="206"/>
  <c r="H558" i="206"/>
  <c r="H595" i="206" s="1"/>
  <c r="I558" i="206"/>
  <c r="J558" i="206"/>
  <c r="K558" i="206"/>
  <c r="L558" i="206"/>
  <c r="L595" i="206" s="1"/>
  <c r="M558" i="206"/>
  <c r="N558" i="206"/>
  <c r="O558" i="206"/>
  <c r="P558" i="206"/>
  <c r="P595" i="206" s="1"/>
  <c r="Q560" i="206"/>
  <c r="P41" i="206" s="1"/>
  <c r="Q561" i="206"/>
  <c r="P42" i="206" s="1"/>
  <c r="Q562" i="206"/>
  <c r="P43" i="206" s="1"/>
  <c r="Q563" i="206"/>
  <c r="P44" i="206" s="1"/>
  <c r="Q564" i="206"/>
  <c r="P45" i="206" s="1"/>
  <c r="Q565" i="206"/>
  <c r="P46" i="206" s="1"/>
  <c r="Q566" i="206"/>
  <c r="P47" i="206" s="1"/>
  <c r="Q567" i="206"/>
  <c r="P48" i="206" s="1"/>
  <c r="Q568" i="206"/>
  <c r="P49" i="206" s="1"/>
  <c r="Q569" i="206"/>
  <c r="P50" i="206" s="1"/>
  <c r="Q570" i="206"/>
  <c r="P51" i="206" s="1"/>
  <c r="Q571" i="206"/>
  <c r="P52" i="206" s="1"/>
  <c r="Q572" i="206"/>
  <c r="P53" i="206" s="1"/>
  <c r="Q573" i="206"/>
  <c r="P54" i="206" s="1"/>
  <c r="Q574" i="206"/>
  <c r="P55" i="206" s="1"/>
  <c r="E575" i="206"/>
  <c r="E595" i="206" s="1"/>
  <c r="F575" i="206"/>
  <c r="G575" i="206"/>
  <c r="H575" i="206"/>
  <c r="I575" i="206"/>
  <c r="I595" i="206" s="1"/>
  <c r="J575" i="206"/>
  <c r="K575" i="206"/>
  <c r="L575" i="206"/>
  <c r="M575" i="206"/>
  <c r="M595" i="206" s="1"/>
  <c r="N575" i="206"/>
  <c r="O575" i="206"/>
  <c r="P575" i="206"/>
  <c r="Q575" i="206"/>
  <c r="P56" i="206" s="1"/>
  <c r="Q577" i="206"/>
  <c r="P58" i="206" s="1"/>
  <c r="Q578" i="206"/>
  <c r="P59" i="206" s="1"/>
  <c r="Q579" i="206"/>
  <c r="P60" i="206" s="1"/>
  <c r="Q580" i="206"/>
  <c r="P61" i="206" s="1"/>
  <c r="Q581" i="206"/>
  <c r="P62" i="206" s="1"/>
  <c r="Q582" i="206"/>
  <c r="P63" i="206" s="1"/>
  <c r="Q583" i="206"/>
  <c r="P64" i="206" s="1"/>
  <c r="Q584" i="206"/>
  <c r="P65" i="206" s="1"/>
  <c r="Q585" i="206"/>
  <c r="P66" i="206" s="1"/>
  <c r="Q586" i="206"/>
  <c r="P67" i="206" s="1"/>
  <c r="Q587" i="206"/>
  <c r="P68" i="206" s="1"/>
  <c r="Q588" i="206"/>
  <c r="P69" i="206" s="1"/>
  <c r="Q589" i="206"/>
  <c r="P70" i="206" s="1"/>
  <c r="Q590" i="206"/>
  <c r="P71" i="206" s="1"/>
  <c r="Q591" i="206"/>
  <c r="P72" i="206" s="1"/>
  <c r="Q592" i="206"/>
  <c r="P73" i="206" s="1"/>
  <c r="Q593" i="206"/>
  <c r="P74" i="206" s="1"/>
  <c r="E594" i="206"/>
  <c r="F594" i="206"/>
  <c r="G594" i="206"/>
  <c r="H594" i="206"/>
  <c r="I594" i="206"/>
  <c r="J594" i="206"/>
  <c r="K594" i="206"/>
  <c r="Q594" i="206" s="1"/>
  <c r="P75" i="206" s="1"/>
  <c r="L594" i="206"/>
  <c r="M594" i="206"/>
  <c r="N594" i="206"/>
  <c r="O594" i="206"/>
  <c r="P594" i="206"/>
  <c r="F595" i="206"/>
  <c r="G595" i="206"/>
  <c r="J595" i="206"/>
  <c r="K595" i="206"/>
  <c r="N595" i="206"/>
  <c r="O595" i="206"/>
  <c r="Q602" i="206"/>
  <c r="Q9" i="206" s="1"/>
  <c r="Q603" i="206"/>
  <c r="Q10" i="206" s="1"/>
  <c r="Q604" i="206"/>
  <c r="Q11" i="206" s="1"/>
  <c r="Q605" i="206"/>
  <c r="Q12" i="206" s="1"/>
  <c r="Q607" i="206"/>
  <c r="Q14" i="206" s="1"/>
  <c r="Q608" i="206"/>
  <c r="Q15" i="206" s="1"/>
  <c r="Q609" i="206"/>
  <c r="Q16" i="206" s="1"/>
  <c r="Q610" i="206"/>
  <c r="Q17" i="206" s="1"/>
  <c r="Q611" i="206"/>
  <c r="Q18" i="206" s="1"/>
  <c r="Q612" i="206"/>
  <c r="Q19" i="206" s="1"/>
  <c r="Q613" i="206"/>
  <c r="Q20" i="206" s="1"/>
  <c r="Q614" i="206"/>
  <c r="Q21" i="206" s="1"/>
  <c r="Q617" i="206"/>
  <c r="Q24" i="206" s="1"/>
  <c r="Q618" i="206"/>
  <c r="Q25" i="206" s="1"/>
  <c r="Q619" i="206"/>
  <c r="Q26" i="206" s="1"/>
  <c r="Q620" i="206"/>
  <c r="Q27" i="206" s="1"/>
  <c r="Q621" i="206"/>
  <c r="Q28" i="206" s="1"/>
  <c r="Q622" i="206"/>
  <c r="Q29" i="206" s="1"/>
  <c r="Q623" i="206"/>
  <c r="Q30" i="206" s="1"/>
  <c r="Q624" i="206"/>
  <c r="Q31" i="206" s="1"/>
  <c r="Q625" i="206"/>
  <c r="Q32" i="206" s="1"/>
  <c r="Q626" i="206"/>
  <c r="Q33" i="206" s="1"/>
  <c r="Q627" i="206"/>
  <c r="Q34" i="206" s="1"/>
  <c r="Q628" i="206"/>
  <c r="Q35" i="206" s="1"/>
  <c r="Q629" i="206"/>
  <c r="Q36" i="206" s="1"/>
  <c r="Q630" i="206"/>
  <c r="Q37" i="206" s="1"/>
  <c r="Q631" i="206"/>
  <c r="Q38" i="206" s="1"/>
  <c r="E632" i="206"/>
  <c r="F632" i="206"/>
  <c r="G632" i="206"/>
  <c r="G669" i="206" s="1"/>
  <c r="H632" i="206"/>
  <c r="I632" i="206"/>
  <c r="J632" i="206"/>
  <c r="K632" i="206"/>
  <c r="K669" i="206" s="1"/>
  <c r="L632" i="206"/>
  <c r="L669" i="206" s="1"/>
  <c r="M632" i="206"/>
  <c r="M669" i="206" s="1"/>
  <c r="N632" i="206"/>
  <c r="O632" i="206"/>
  <c r="P632" i="206"/>
  <c r="Q634" i="206"/>
  <c r="Q41" i="206" s="1"/>
  <c r="Q635" i="206"/>
  <c r="Q42" i="206" s="1"/>
  <c r="Q636" i="206"/>
  <c r="Q43" i="206" s="1"/>
  <c r="Q637" i="206"/>
  <c r="Q44" i="206" s="1"/>
  <c r="Q638" i="206"/>
  <c r="Q45" i="206" s="1"/>
  <c r="Q639" i="206"/>
  <c r="Q46" i="206" s="1"/>
  <c r="Q640" i="206"/>
  <c r="Q47" i="206" s="1"/>
  <c r="Q641" i="206"/>
  <c r="Q48" i="206" s="1"/>
  <c r="Q642" i="206"/>
  <c r="Q49" i="206" s="1"/>
  <c r="Q643" i="206"/>
  <c r="Q50" i="206" s="1"/>
  <c r="Q644" i="206"/>
  <c r="Q51" i="206" s="1"/>
  <c r="Q645" i="206"/>
  <c r="Q52" i="206" s="1"/>
  <c r="Q646" i="206"/>
  <c r="Q53" i="206" s="1"/>
  <c r="Q647" i="206"/>
  <c r="Q54" i="206" s="1"/>
  <c r="Q648" i="206"/>
  <c r="Q55" i="206" s="1"/>
  <c r="E649" i="206"/>
  <c r="F649" i="206"/>
  <c r="F669" i="206" s="1"/>
  <c r="G649" i="206"/>
  <c r="H649" i="206"/>
  <c r="H669" i="206" s="1"/>
  <c r="I649" i="206"/>
  <c r="I669" i="206" s="1"/>
  <c r="J649" i="206"/>
  <c r="J669" i="206" s="1"/>
  <c r="K649" i="206"/>
  <c r="L649" i="206"/>
  <c r="M649" i="206"/>
  <c r="N649" i="206"/>
  <c r="O649" i="206"/>
  <c r="P649" i="206"/>
  <c r="Q651" i="206"/>
  <c r="Q58" i="206" s="1"/>
  <c r="Q652" i="206"/>
  <c r="Q59" i="206" s="1"/>
  <c r="Q653" i="206"/>
  <c r="Q60" i="206" s="1"/>
  <c r="Q654" i="206"/>
  <c r="Q61" i="206" s="1"/>
  <c r="Q655" i="206"/>
  <c r="Q62" i="206" s="1"/>
  <c r="Q656" i="206"/>
  <c r="Q63" i="206" s="1"/>
  <c r="Q657" i="206"/>
  <c r="Q64" i="206" s="1"/>
  <c r="Q658" i="206"/>
  <c r="Q65" i="206" s="1"/>
  <c r="Q659" i="206"/>
  <c r="Q66" i="206" s="1"/>
  <c r="Q660" i="206"/>
  <c r="Q67" i="206" s="1"/>
  <c r="Q661" i="206"/>
  <c r="Q68" i="206" s="1"/>
  <c r="Q662" i="206"/>
  <c r="Q69" i="206" s="1"/>
  <c r="Q663" i="206"/>
  <c r="Q70" i="206" s="1"/>
  <c r="Q664" i="206"/>
  <c r="Q71" i="206" s="1"/>
  <c r="Q665" i="206"/>
  <c r="Q72" i="206" s="1"/>
  <c r="Q666" i="206"/>
  <c r="Q73" i="206" s="1"/>
  <c r="Q667" i="206"/>
  <c r="Q74" i="206" s="1"/>
  <c r="E668" i="206"/>
  <c r="F668" i="206"/>
  <c r="G668" i="206"/>
  <c r="H668" i="206"/>
  <c r="I668" i="206"/>
  <c r="J668" i="206"/>
  <c r="K668" i="206"/>
  <c r="L668" i="206"/>
  <c r="M668" i="206"/>
  <c r="N668" i="206"/>
  <c r="O668" i="206"/>
  <c r="P668" i="206"/>
  <c r="P669" i="206" s="1"/>
  <c r="E669" i="206"/>
  <c r="N669" i="206"/>
  <c r="O669" i="206"/>
  <c r="Q676" i="206"/>
  <c r="R9" i="206" s="1"/>
  <c r="Q677" i="206"/>
  <c r="R10" i="206" s="1"/>
  <c r="Q678" i="206"/>
  <c r="R11" i="206" s="1"/>
  <c r="Q679" i="206"/>
  <c r="R12" i="206" s="1"/>
  <c r="Q681" i="206"/>
  <c r="R14" i="206" s="1"/>
  <c r="Q682" i="206"/>
  <c r="R15" i="206" s="1"/>
  <c r="Q683" i="206"/>
  <c r="R16" i="206" s="1"/>
  <c r="Q684" i="206"/>
  <c r="R17" i="206" s="1"/>
  <c r="Q685" i="206"/>
  <c r="R18" i="206" s="1"/>
  <c r="Q686" i="206"/>
  <c r="R19" i="206" s="1"/>
  <c r="Q687" i="206"/>
  <c r="R20" i="206" s="1"/>
  <c r="Q688" i="206"/>
  <c r="R21" i="206" s="1"/>
  <c r="Q691" i="206"/>
  <c r="R24" i="206" s="1"/>
  <c r="Q692" i="206"/>
  <c r="R25" i="206" s="1"/>
  <c r="Q693" i="206"/>
  <c r="R26" i="206" s="1"/>
  <c r="Q694" i="206"/>
  <c r="R27" i="206" s="1"/>
  <c r="Q695" i="206"/>
  <c r="R28" i="206" s="1"/>
  <c r="Q696" i="206"/>
  <c r="R29" i="206" s="1"/>
  <c r="Q697" i="206"/>
  <c r="R30" i="206" s="1"/>
  <c r="Q698" i="206"/>
  <c r="R31" i="206" s="1"/>
  <c r="Q699" i="206"/>
  <c r="R32" i="206" s="1"/>
  <c r="Q700" i="206"/>
  <c r="R33" i="206" s="1"/>
  <c r="Q701" i="206"/>
  <c r="R34" i="206" s="1"/>
  <c r="Q702" i="206"/>
  <c r="R35" i="206" s="1"/>
  <c r="Q703" i="206"/>
  <c r="R36" i="206" s="1"/>
  <c r="Q704" i="206"/>
  <c r="R37" i="206" s="1"/>
  <c r="Q705" i="206"/>
  <c r="R38" i="206" s="1"/>
  <c r="E706" i="206"/>
  <c r="F706" i="206"/>
  <c r="F743" i="206" s="1"/>
  <c r="G706" i="206"/>
  <c r="H706" i="206"/>
  <c r="I706" i="206"/>
  <c r="J706" i="206"/>
  <c r="K706" i="206"/>
  <c r="L706" i="206"/>
  <c r="M706" i="206"/>
  <c r="M743" i="206" s="1"/>
  <c r="N706" i="206"/>
  <c r="O706" i="206"/>
  <c r="P706" i="206"/>
  <c r="Q708" i="206"/>
  <c r="R41" i="206" s="1"/>
  <c r="Q709" i="206"/>
  <c r="R42" i="206" s="1"/>
  <c r="Q710" i="206"/>
  <c r="R43" i="206" s="1"/>
  <c r="Q711" i="206"/>
  <c r="R44" i="206" s="1"/>
  <c r="Q712" i="206"/>
  <c r="R45" i="206" s="1"/>
  <c r="Q713" i="206"/>
  <c r="R46" i="206" s="1"/>
  <c r="Q714" i="206"/>
  <c r="R47" i="206" s="1"/>
  <c r="Q715" i="206"/>
  <c r="R48" i="206" s="1"/>
  <c r="Q716" i="206"/>
  <c r="R49" i="206" s="1"/>
  <c r="Q717" i="206"/>
  <c r="R50" i="206" s="1"/>
  <c r="Q718" i="206"/>
  <c r="R51" i="206" s="1"/>
  <c r="Q719" i="206"/>
  <c r="R52" i="206" s="1"/>
  <c r="Q720" i="206"/>
  <c r="R53" i="206" s="1"/>
  <c r="Q721" i="206"/>
  <c r="R54" i="206" s="1"/>
  <c r="Q722" i="206"/>
  <c r="R55" i="206" s="1"/>
  <c r="E723" i="206"/>
  <c r="F723" i="206"/>
  <c r="G723" i="206"/>
  <c r="G743" i="206" s="1"/>
  <c r="H723" i="206"/>
  <c r="H743" i="206" s="1"/>
  <c r="I723" i="206"/>
  <c r="I743" i="206" s="1"/>
  <c r="J723" i="206"/>
  <c r="K723" i="206"/>
  <c r="L723" i="206"/>
  <c r="M723" i="206"/>
  <c r="N723" i="206"/>
  <c r="O723" i="206"/>
  <c r="P723" i="206"/>
  <c r="Q725" i="206"/>
  <c r="R58" i="206" s="1"/>
  <c r="Q726" i="206"/>
  <c r="R59" i="206" s="1"/>
  <c r="Q727" i="206"/>
  <c r="R60" i="206" s="1"/>
  <c r="Q728" i="206"/>
  <c r="R61" i="206" s="1"/>
  <c r="Q729" i="206"/>
  <c r="R62" i="206" s="1"/>
  <c r="Q730" i="206"/>
  <c r="R63" i="206" s="1"/>
  <c r="Q731" i="206"/>
  <c r="R64" i="206" s="1"/>
  <c r="Q732" i="206"/>
  <c r="R65" i="206" s="1"/>
  <c r="Q733" i="206"/>
  <c r="R66" i="206" s="1"/>
  <c r="Q734" i="206"/>
  <c r="R67" i="206" s="1"/>
  <c r="Q735" i="206"/>
  <c r="R68" i="206" s="1"/>
  <c r="Q736" i="206"/>
  <c r="R69" i="206" s="1"/>
  <c r="Q737" i="206"/>
  <c r="R70" i="206" s="1"/>
  <c r="Q738" i="206"/>
  <c r="R71" i="206" s="1"/>
  <c r="Q739" i="206"/>
  <c r="R72" i="206" s="1"/>
  <c r="Q740" i="206"/>
  <c r="R73" i="206" s="1"/>
  <c r="Q741" i="206"/>
  <c r="R74" i="206" s="1"/>
  <c r="E742" i="206"/>
  <c r="E743" i="206" s="1"/>
  <c r="F742" i="206"/>
  <c r="G742" i="206"/>
  <c r="H742" i="206"/>
  <c r="Q742" i="206" s="1"/>
  <c r="R75" i="206" s="1"/>
  <c r="I742" i="206"/>
  <c r="J742" i="206"/>
  <c r="J743" i="206" s="1"/>
  <c r="K742" i="206"/>
  <c r="L742" i="206"/>
  <c r="L743" i="206" s="1"/>
  <c r="M742" i="206"/>
  <c r="N742" i="206"/>
  <c r="O742" i="206"/>
  <c r="P742" i="206"/>
  <c r="P743" i="206" s="1"/>
  <c r="K743" i="206"/>
  <c r="N743" i="206"/>
  <c r="O743" i="206"/>
  <c r="Q750" i="206"/>
  <c r="S9" i="206" s="1"/>
  <c r="Q751" i="206"/>
  <c r="S10" i="206" s="1"/>
  <c r="Q752" i="206"/>
  <c r="S11" i="206" s="1"/>
  <c r="Q753" i="206"/>
  <c r="S12" i="206" s="1"/>
  <c r="Q755" i="206"/>
  <c r="S14" i="206" s="1"/>
  <c r="Q756" i="206"/>
  <c r="S15" i="206" s="1"/>
  <c r="Q757" i="206"/>
  <c r="S16" i="206" s="1"/>
  <c r="Q758" i="206"/>
  <c r="S17" i="206" s="1"/>
  <c r="Q759" i="206"/>
  <c r="S18" i="206" s="1"/>
  <c r="Q760" i="206"/>
  <c r="S19" i="206" s="1"/>
  <c r="Q761" i="206"/>
  <c r="S20" i="206" s="1"/>
  <c r="Q762" i="206"/>
  <c r="S21" i="206" s="1"/>
  <c r="Q765" i="206"/>
  <c r="S24" i="206" s="1"/>
  <c r="Q766" i="206"/>
  <c r="S25" i="206" s="1"/>
  <c r="Q767" i="206"/>
  <c r="S26" i="206" s="1"/>
  <c r="Q768" i="206"/>
  <c r="S27" i="206" s="1"/>
  <c r="Q769" i="206"/>
  <c r="S28" i="206" s="1"/>
  <c r="Q770" i="206"/>
  <c r="S29" i="206" s="1"/>
  <c r="Q771" i="206"/>
  <c r="S30" i="206" s="1"/>
  <c r="Q772" i="206"/>
  <c r="S31" i="206" s="1"/>
  <c r="Q773" i="206"/>
  <c r="S32" i="206" s="1"/>
  <c r="Q774" i="206"/>
  <c r="S33" i="206" s="1"/>
  <c r="Q775" i="206"/>
  <c r="S34" i="206" s="1"/>
  <c r="S34" i="204" s="1"/>
  <c r="Q776" i="206"/>
  <c r="S35" i="206" s="1"/>
  <c r="Q777" i="206"/>
  <c r="S36" i="206" s="1"/>
  <c r="Q778" i="206"/>
  <c r="S37" i="206" s="1"/>
  <c r="Q779" i="206"/>
  <c r="S38" i="206" s="1"/>
  <c r="E780" i="206"/>
  <c r="F780" i="206"/>
  <c r="G780" i="206"/>
  <c r="H780" i="206"/>
  <c r="I780" i="206"/>
  <c r="J780" i="206"/>
  <c r="K780" i="206"/>
  <c r="K817" i="206" s="1"/>
  <c r="L780" i="206"/>
  <c r="L817" i="206" s="1"/>
  <c r="M780" i="206"/>
  <c r="N780" i="206"/>
  <c r="O780" i="206"/>
  <c r="P780" i="206"/>
  <c r="Q782" i="206"/>
  <c r="S41" i="206" s="1"/>
  <c r="Q783" i="206"/>
  <c r="S42" i="206" s="1"/>
  <c r="Q784" i="206"/>
  <c r="S43" i="206" s="1"/>
  <c r="Q785" i="206"/>
  <c r="S44" i="206" s="1"/>
  <c r="Q786" i="206"/>
  <c r="S45" i="206" s="1"/>
  <c r="Q787" i="206"/>
  <c r="S46" i="206" s="1"/>
  <c r="Q788" i="206"/>
  <c r="S47" i="206" s="1"/>
  <c r="Q789" i="206"/>
  <c r="S48" i="206" s="1"/>
  <c r="Q790" i="206"/>
  <c r="S49" i="206" s="1"/>
  <c r="Q791" i="206"/>
  <c r="S50" i="206" s="1"/>
  <c r="Q792" i="206"/>
  <c r="S51" i="206" s="1"/>
  <c r="Q793" i="206"/>
  <c r="S52" i="206" s="1"/>
  <c r="Q794" i="206"/>
  <c r="S53" i="206" s="1"/>
  <c r="Q795" i="206"/>
  <c r="S54" i="206" s="1"/>
  <c r="Q796" i="206"/>
  <c r="S55" i="206" s="1"/>
  <c r="E797" i="206"/>
  <c r="E817" i="206" s="1"/>
  <c r="F797" i="206"/>
  <c r="F817" i="206" s="1"/>
  <c r="G797" i="206"/>
  <c r="H797" i="206"/>
  <c r="H817" i="206" s="1"/>
  <c r="I797" i="206"/>
  <c r="I817" i="206" s="1"/>
  <c r="J797" i="206"/>
  <c r="K797" i="206"/>
  <c r="L797" i="206"/>
  <c r="M797" i="206"/>
  <c r="N797" i="206"/>
  <c r="O797" i="206"/>
  <c r="P797" i="206"/>
  <c r="Q799" i="206"/>
  <c r="S58" i="206" s="1"/>
  <c r="Q800" i="206"/>
  <c r="S59" i="206" s="1"/>
  <c r="Q801" i="206"/>
  <c r="S60" i="206" s="1"/>
  <c r="Q802" i="206"/>
  <c r="S61" i="206" s="1"/>
  <c r="Q803" i="206"/>
  <c r="S62" i="206" s="1"/>
  <c r="Q804" i="206"/>
  <c r="S63" i="206" s="1"/>
  <c r="Q805" i="206"/>
  <c r="S64" i="206" s="1"/>
  <c r="Q806" i="206"/>
  <c r="S65" i="206" s="1"/>
  <c r="Q807" i="206"/>
  <c r="S66" i="206" s="1"/>
  <c r="Q808" i="206"/>
  <c r="S67" i="206" s="1"/>
  <c r="Q809" i="206"/>
  <c r="S68" i="206" s="1"/>
  <c r="Q810" i="206"/>
  <c r="S69" i="206" s="1"/>
  <c r="Q811" i="206"/>
  <c r="S70" i="206" s="1"/>
  <c r="Q812" i="206"/>
  <c r="S71" i="206" s="1"/>
  <c r="Q813" i="206"/>
  <c r="S72" i="206" s="1"/>
  <c r="Q814" i="206"/>
  <c r="S73" i="206" s="1"/>
  <c r="Q815" i="206"/>
  <c r="S74" i="206" s="1"/>
  <c r="E816" i="206"/>
  <c r="F816" i="206"/>
  <c r="G816" i="206"/>
  <c r="H816" i="206"/>
  <c r="I816" i="206"/>
  <c r="J816" i="206"/>
  <c r="K816" i="206"/>
  <c r="L816" i="206"/>
  <c r="M816" i="206"/>
  <c r="N816" i="206"/>
  <c r="O816" i="206"/>
  <c r="P816" i="206"/>
  <c r="Q816" i="206" s="1"/>
  <c r="S75" i="206" s="1"/>
  <c r="J817" i="206"/>
  <c r="M817" i="206"/>
  <c r="N817" i="206"/>
  <c r="O817" i="206"/>
  <c r="P817" i="206"/>
  <c r="L13" i="205"/>
  <c r="M13" i="205"/>
  <c r="H22" i="205"/>
  <c r="K22" i="205"/>
  <c r="L34" i="205"/>
  <c r="L34" i="204" s="1"/>
  <c r="M34" i="205"/>
  <c r="M34" i="204" s="1"/>
  <c r="H39" i="205"/>
  <c r="K39" i="205"/>
  <c r="L50" i="205"/>
  <c r="M50" i="205"/>
  <c r="M50" i="204" s="1"/>
  <c r="H56" i="205"/>
  <c r="K56" i="205"/>
  <c r="L66" i="205"/>
  <c r="M66" i="205"/>
  <c r="M66" i="204" s="1"/>
  <c r="L69" i="205"/>
  <c r="L69" i="204" s="1"/>
  <c r="M69" i="205"/>
  <c r="M69" i="204" s="1"/>
  <c r="L70" i="205"/>
  <c r="L70" i="204" s="1"/>
  <c r="M70" i="205"/>
  <c r="H75" i="205"/>
  <c r="K75" i="205"/>
  <c r="H76" i="205"/>
  <c r="K76" i="205"/>
  <c r="Q85" i="205"/>
  <c r="E9" i="205" s="1"/>
  <c r="Q86" i="205"/>
  <c r="E10" i="205" s="1"/>
  <c r="Q87" i="205"/>
  <c r="E11" i="205" s="1"/>
  <c r="E11" i="204" s="1"/>
  <c r="Q88" i="205"/>
  <c r="E12" i="205" s="1"/>
  <c r="Q89" i="205"/>
  <c r="E13" i="205" s="1"/>
  <c r="E13" i="204" s="1"/>
  <c r="Q90" i="205"/>
  <c r="E14" i="205" s="1"/>
  <c r="E14" i="204" s="1"/>
  <c r="Q91" i="205"/>
  <c r="E15" i="205" s="1"/>
  <c r="E15" i="204" s="1"/>
  <c r="Q92" i="205"/>
  <c r="E16" i="205" s="1"/>
  <c r="Q93" i="205"/>
  <c r="E17" i="205" s="1"/>
  <c r="Q94" i="205"/>
  <c r="Q95" i="205"/>
  <c r="Q96" i="205"/>
  <c r="Q97" i="205"/>
  <c r="E98" i="205"/>
  <c r="F98" i="205"/>
  <c r="G98" i="205"/>
  <c r="H98" i="205"/>
  <c r="I98" i="205"/>
  <c r="J98" i="205"/>
  <c r="K98" i="205"/>
  <c r="L98" i="205"/>
  <c r="M98" i="205"/>
  <c r="N98" i="205"/>
  <c r="O98" i="205"/>
  <c r="P98" i="205"/>
  <c r="Q100" i="205"/>
  <c r="E24" i="205" s="1"/>
  <c r="Q101" i="205"/>
  <c r="E25" i="205" s="1"/>
  <c r="E25" i="204" s="1"/>
  <c r="Q102" i="205"/>
  <c r="E26" i="205" s="1"/>
  <c r="Q103" i="205"/>
  <c r="E27" i="205" s="1"/>
  <c r="E27" i="204" s="1"/>
  <c r="Q104" i="205"/>
  <c r="E28" i="205" s="1"/>
  <c r="Q105" i="205"/>
  <c r="E29" i="205" s="1"/>
  <c r="E29" i="204" s="1"/>
  <c r="Q106" i="205"/>
  <c r="E30" i="205" s="1"/>
  <c r="Q107" i="205"/>
  <c r="E31" i="205" s="1"/>
  <c r="Q108" i="205"/>
  <c r="E32" i="205" s="1"/>
  <c r="Q109" i="205"/>
  <c r="E33" i="205" s="1"/>
  <c r="Q110" i="205"/>
  <c r="E34" i="205" s="1"/>
  <c r="Q111" i="205"/>
  <c r="Q112" i="205"/>
  <c r="Q113" i="205"/>
  <c r="Q114" i="205"/>
  <c r="E115" i="205"/>
  <c r="Q115" i="205" s="1"/>
  <c r="E39" i="205" s="1"/>
  <c r="F115" i="205"/>
  <c r="G115" i="205"/>
  <c r="H115" i="205"/>
  <c r="I115" i="205"/>
  <c r="J115" i="205"/>
  <c r="K115" i="205"/>
  <c r="L115" i="205"/>
  <c r="M115" i="205"/>
  <c r="N115" i="205"/>
  <c r="O115" i="205"/>
  <c r="P115" i="205"/>
  <c r="Q117" i="205"/>
  <c r="E41" i="205" s="1"/>
  <c r="Q118" i="205"/>
  <c r="E42" i="205" s="1"/>
  <c r="E42" i="204" s="1"/>
  <c r="Q119" i="205"/>
  <c r="E43" i="205" s="1"/>
  <c r="Q120" i="205"/>
  <c r="E44" i="205" s="1"/>
  <c r="Q121" i="205"/>
  <c r="E45" i="205" s="1"/>
  <c r="Q122" i="205"/>
  <c r="E46" i="205" s="1"/>
  <c r="Q123" i="205"/>
  <c r="E47" i="205" s="1"/>
  <c r="Q124" i="205"/>
  <c r="E48" i="205" s="1"/>
  <c r="Q125" i="205"/>
  <c r="E49" i="205" s="1"/>
  <c r="Q126" i="205"/>
  <c r="E50" i="205" s="1"/>
  <c r="Q127" i="205"/>
  <c r="E51" i="205" s="1"/>
  <c r="E51" i="204" s="1"/>
  <c r="Q128" i="205"/>
  <c r="Q129" i="205"/>
  <c r="Q130" i="205"/>
  <c r="Q131" i="205"/>
  <c r="E132" i="205"/>
  <c r="F132" i="205"/>
  <c r="G132" i="205"/>
  <c r="H132" i="205"/>
  <c r="I132" i="205"/>
  <c r="J132" i="205"/>
  <c r="K132" i="205"/>
  <c r="L132" i="205"/>
  <c r="M132" i="205"/>
  <c r="N132" i="205"/>
  <c r="O132" i="205"/>
  <c r="P132" i="205"/>
  <c r="Q134" i="205"/>
  <c r="E58" i="205" s="1"/>
  <c r="Q135" i="205"/>
  <c r="E59" i="205" s="1"/>
  <c r="Q136" i="205"/>
  <c r="E60" i="205" s="1"/>
  <c r="Q137" i="205"/>
  <c r="E61" i="205" s="1"/>
  <c r="Q138" i="205"/>
  <c r="E62" i="205" s="1"/>
  <c r="Q139" i="205"/>
  <c r="E63" i="205" s="1"/>
  <c r="Q140" i="205"/>
  <c r="E64" i="205" s="1"/>
  <c r="Q141" i="205"/>
  <c r="E65" i="205" s="1"/>
  <c r="E65" i="204" s="1"/>
  <c r="Q142" i="205"/>
  <c r="E66" i="205" s="1"/>
  <c r="Q143" i="205"/>
  <c r="E67" i="205" s="1"/>
  <c r="E67" i="204" s="1"/>
  <c r="Q144" i="205"/>
  <c r="E68" i="205" s="1"/>
  <c r="E68" i="204" s="1"/>
  <c r="Q145" i="205"/>
  <c r="E69" i="205" s="1"/>
  <c r="Q146" i="205"/>
  <c r="E70" i="205" s="1"/>
  <c r="Q147" i="205"/>
  <c r="Q148" i="205"/>
  <c r="Q149" i="205"/>
  <c r="Q150" i="205"/>
  <c r="E151" i="205"/>
  <c r="F151" i="205"/>
  <c r="G151" i="205"/>
  <c r="H151" i="205"/>
  <c r="I151" i="205"/>
  <c r="I152" i="205" s="1"/>
  <c r="I153" i="205" s="1"/>
  <c r="J151" i="205"/>
  <c r="Q151" i="205" s="1"/>
  <c r="E75" i="205" s="1"/>
  <c r="K151" i="205"/>
  <c r="L151" i="205"/>
  <c r="M151" i="205"/>
  <c r="N151" i="205"/>
  <c r="O151" i="205"/>
  <c r="P151" i="205"/>
  <c r="K152" i="205"/>
  <c r="K153" i="205" s="1"/>
  <c r="L152" i="205"/>
  <c r="L153" i="205" s="1"/>
  <c r="M152" i="205"/>
  <c r="M153" i="205" s="1"/>
  <c r="P152" i="205"/>
  <c r="P153" i="205" s="1"/>
  <c r="Q159" i="205"/>
  <c r="F9" i="205" s="1"/>
  <c r="F9" i="204" s="1"/>
  <c r="Q160" i="205"/>
  <c r="F10" i="205" s="1"/>
  <c r="Q161" i="205"/>
  <c r="F11" i="205" s="1"/>
  <c r="F11" i="204" s="1"/>
  <c r="Q162" i="205"/>
  <c r="F12" i="205" s="1"/>
  <c r="Q163" i="205"/>
  <c r="F13" i="205" s="1"/>
  <c r="Q164" i="205"/>
  <c r="F14" i="205" s="1"/>
  <c r="Q165" i="205"/>
  <c r="F15" i="205" s="1"/>
  <c r="Q166" i="205"/>
  <c r="F16" i="205" s="1"/>
  <c r="Q167" i="205"/>
  <c r="F17" i="205" s="1"/>
  <c r="Q168" i="205"/>
  <c r="Q169" i="205"/>
  <c r="Q170" i="205"/>
  <c r="Q171" i="205"/>
  <c r="E172" i="205"/>
  <c r="F172" i="205"/>
  <c r="G172" i="205"/>
  <c r="Q172" i="205" s="1"/>
  <c r="F22" i="205" s="1"/>
  <c r="H172" i="205"/>
  <c r="I172" i="205"/>
  <c r="J172" i="205"/>
  <c r="K172" i="205"/>
  <c r="L172" i="205"/>
  <c r="M172" i="205"/>
  <c r="N172" i="205"/>
  <c r="O172" i="205"/>
  <c r="P172" i="205"/>
  <c r="Q174" i="205"/>
  <c r="F24" i="205" s="1"/>
  <c r="Q175" i="205"/>
  <c r="F25" i="205" s="1"/>
  <c r="Q176" i="205"/>
  <c r="F26" i="205" s="1"/>
  <c r="Q177" i="205"/>
  <c r="F27" i="205" s="1"/>
  <c r="Q178" i="205"/>
  <c r="F28" i="205" s="1"/>
  <c r="Q179" i="205"/>
  <c r="F29" i="205" s="1"/>
  <c r="Q180" i="205"/>
  <c r="F30" i="205" s="1"/>
  <c r="Q181" i="205"/>
  <c r="F31" i="205" s="1"/>
  <c r="Q182" i="205"/>
  <c r="F32" i="205" s="1"/>
  <c r="Q183" i="205"/>
  <c r="F33" i="205" s="1"/>
  <c r="Q184" i="205"/>
  <c r="F34" i="205" s="1"/>
  <c r="Q185" i="205"/>
  <c r="Q186" i="205"/>
  <c r="Q187" i="205"/>
  <c r="Q188" i="205"/>
  <c r="E189" i="205"/>
  <c r="F189" i="205"/>
  <c r="G189" i="205"/>
  <c r="H189" i="205"/>
  <c r="I189" i="205"/>
  <c r="J189" i="205"/>
  <c r="K189" i="205"/>
  <c r="L189" i="205"/>
  <c r="M189" i="205"/>
  <c r="N189" i="205"/>
  <c r="O189" i="205"/>
  <c r="P189" i="205"/>
  <c r="Q191" i="205"/>
  <c r="F41" i="205" s="1"/>
  <c r="Q192" i="205"/>
  <c r="F42" i="205" s="1"/>
  <c r="Q193" i="205"/>
  <c r="F43" i="205" s="1"/>
  <c r="Q194" i="205"/>
  <c r="F44" i="205" s="1"/>
  <c r="Q195" i="205"/>
  <c r="F45" i="205" s="1"/>
  <c r="Q196" i="205"/>
  <c r="F46" i="205" s="1"/>
  <c r="Q197" i="205"/>
  <c r="F47" i="205" s="1"/>
  <c r="Q198" i="205"/>
  <c r="F48" i="205" s="1"/>
  <c r="Q199" i="205"/>
  <c r="F49" i="205" s="1"/>
  <c r="F49" i="204" s="1"/>
  <c r="Q200" i="205"/>
  <c r="F50" i="205" s="1"/>
  <c r="Q201" i="205"/>
  <c r="F51" i="205" s="1"/>
  <c r="F51" i="204" s="1"/>
  <c r="Q202" i="205"/>
  <c r="Q203" i="205"/>
  <c r="Q204" i="205"/>
  <c r="Q205" i="205"/>
  <c r="E206" i="205"/>
  <c r="F206" i="205"/>
  <c r="G206" i="205"/>
  <c r="H206" i="205"/>
  <c r="I206" i="205"/>
  <c r="J206" i="205"/>
  <c r="K206" i="205"/>
  <c r="L206" i="205"/>
  <c r="M206" i="205"/>
  <c r="N206" i="205"/>
  <c r="O206" i="205"/>
  <c r="P206" i="205"/>
  <c r="Q208" i="205"/>
  <c r="F58" i="205" s="1"/>
  <c r="Q209" i="205"/>
  <c r="F59" i="205" s="1"/>
  <c r="Q210" i="205"/>
  <c r="F60" i="205" s="1"/>
  <c r="Q211" i="205"/>
  <c r="F61" i="205" s="1"/>
  <c r="Q212" i="205"/>
  <c r="F62" i="205" s="1"/>
  <c r="Q213" i="205"/>
  <c r="F63" i="205" s="1"/>
  <c r="F63" i="204" s="1"/>
  <c r="Q214" i="205"/>
  <c r="F64" i="205" s="1"/>
  <c r="F64" i="204" s="1"/>
  <c r="Q215" i="205"/>
  <c r="F65" i="205" s="1"/>
  <c r="F65" i="204" s="1"/>
  <c r="Q216" i="205"/>
  <c r="F66" i="205" s="1"/>
  <c r="Q217" i="205"/>
  <c r="F67" i="205" s="1"/>
  <c r="Q218" i="205"/>
  <c r="F68" i="205" s="1"/>
  <c r="Q219" i="205"/>
  <c r="F69" i="205" s="1"/>
  <c r="Q220" i="205"/>
  <c r="F70" i="205" s="1"/>
  <c r="E224" i="205"/>
  <c r="F224" i="205"/>
  <c r="G224" i="205"/>
  <c r="H224" i="205"/>
  <c r="H225" i="205" s="1"/>
  <c r="H226" i="205" s="1"/>
  <c r="I224" i="205"/>
  <c r="I225" i="205" s="1"/>
  <c r="I226" i="205" s="1"/>
  <c r="J224" i="205"/>
  <c r="K224" i="205"/>
  <c r="K225" i="205" s="1"/>
  <c r="K226" i="205" s="1"/>
  <c r="L224" i="205"/>
  <c r="L225" i="205" s="1"/>
  <c r="L226" i="205" s="1"/>
  <c r="M224" i="205"/>
  <c r="N224" i="205"/>
  <c r="O224" i="205"/>
  <c r="P224" i="205"/>
  <c r="Q232" i="205"/>
  <c r="G9" i="205" s="1"/>
  <c r="Q233" i="205"/>
  <c r="G10" i="205" s="1"/>
  <c r="Q234" i="205"/>
  <c r="G11" i="205" s="1"/>
  <c r="G11" i="204" s="1"/>
  <c r="Q235" i="205"/>
  <c r="G12" i="205" s="1"/>
  <c r="Q236" i="205"/>
  <c r="G13" i="205" s="1"/>
  <c r="G13" i="204" s="1"/>
  <c r="Q237" i="205"/>
  <c r="G14" i="205" s="1"/>
  <c r="G14" i="204" s="1"/>
  <c r="Q238" i="205"/>
  <c r="G15" i="205" s="1"/>
  <c r="Q239" i="205"/>
  <c r="G16" i="205" s="1"/>
  <c r="Q240" i="205"/>
  <c r="G17" i="205" s="1"/>
  <c r="E245" i="205"/>
  <c r="F245" i="205"/>
  <c r="G245" i="205"/>
  <c r="H245" i="205"/>
  <c r="I245" i="205"/>
  <c r="J245" i="205"/>
  <c r="K245" i="205"/>
  <c r="L245" i="205"/>
  <c r="M245" i="205"/>
  <c r="N245" i="205"/>
  <c r="O245" i="205"/>
  <c r="P245" i="205"/>
  <c r="Q247" i="205"/>
  <c r="G24" i="205" s="1"/>
  <c r="Q248" i="205"/>
  <c r="G25" i="205" s="1"/>
  <c r="Q249" i="205"/>
  <c r="G26" i="205" s="1"/>
  <c r="Q250" i="205"/>
  <c r="G27" i="205" s="1"/>
  <c r="Q251" i="205"/>
  <c r="G28" i="205" s="1"/>
  <c r="G28" i="204" s="1"/>
  <c r="Q252" i="205"/>
  <c r="G29" i="205" s="1"/>
  <c r="G29" i="204" s="1"/>
  <c r="Q253" i="205"/>
  <c r="G30" i="205" s="1"/>
  <c r="Q254" i="205"/>
  <c r="G31" i="205" s="1"/>
  <c r="G31" i="204" s="1"/>
  <c r="Q255" i="205"/>
  <c r="G32" i="205" s="1"/>
  <c r="G32" i="204" s="1"/>
  <c r="Q256" i="205"/>
  <c r="G33" i="205" s="1"/>
  <c r="Q257" i="205"/>
  <c r="G34" i="205" s="1"/>
  <c r="E262" i="205"/>
  <c r="F262" i="205"/>
  <c r="G262" i="205"/>
  <c r="H262" i="205"/>
  <c r="I262" i="205"/>
  <c r="J262" i="205"/>
  <c r="K262" i="205"/>
  <c r="L262" i="205"/>
  <c r="M262" i="205"/>
  <c r="N262" i="205"/>
  <c r="O262" i="205"/>
  <c r="P262" i="205"/>
  <c r="Q264" i="205"/>
  <c r="G41" i="205" s="1"/>
  <c r="Q265" i="205"/>
  <c r="G42" i="205" s="1"/>
  <c r="Q266" i="205"/>
  <c r="G43" i="205" s="1"/>
  <c r="Q267" i="205"/>
  <c r="G44" i="205" s="1"/>
  <c r="Q268" i="205"/>
  <c r="G45" i="205" s="1"/>
  <c r="Q269" i="205"/>
  <c r="G46" i="205" s="1"/>
  <c r="Q270" i="205"/>
  <c r="G47" i="205" s="1"/>
  <c r="Q271" i="205"/>
  <c r="G48" i="205" s="1"/>
  <c r="Q272" i="205"/>
  <c r="G49" i="205" s="1"/>
  <c r="Q273" i="205"/>
  <c r="G50" i="205" s="1"/>
  <c r="G50" i="204" s="1"/>
  <c r="Q274" i="205"/>
  <c r="G51" i="205" s="1"/>
  <c r="E279" i="205"/>
  <c r="F279" i="205"/>
  <c r="G279" i="205"/>
  <c r="H279" i="205"/>
  <c r="H299" i="205" s="1"/>
  <c r="H300" i="205" s="1"/>
  <c r="I279" i="205"/>
  <c r="J279" i="205"/>
  <c r="K279" i="205"/>
  <c r="L279" i="205"/>
  <c r="M279" i="205"/>
  <c r="N279" i="205"/>
  <c r="O279" i="205"/>
  <c r="O299" i="205" s="1"/>
  <c r="O300" i="205" s="1"/>
  <c r="P279" i="205"/>
  <c r="Q281" i="205"/>
  <c r="G58" i="205" s="1"/>
  <c r="Q282" i="205"/>
  <c r="G59" i="205" s="1"/>
  <c r="Q283" i="205"/>
  <c r="G60" i="205" s="1"/>
  <c r="Q284" i="205"/>
  <c r="Q285" i="205"/>
  <c r="Q286" i="205"/>
  <c r="G63" i="205" s="1"/>
  <c r="Q287" i="205"/>
  <c r="G64" i="205" s="1"/>
  <c r="G64" i="204" s="1"/>
  <c r="Q288" i="205"/>
  <c r="G65" i="205" s="1"/>
  <c r="Q289" i="205"/>
  <c r="G66" i="205" s="1"/>
  <c r="G66" i="204" s="1"/>
  <c r="Q290" i="205"/>
  <c r="G67" i="205" s="1"/>
  <c r="G67" i="204" s="1"/>
  <c r="Q291" i="205"/>
  <c r="G68" i="205" s="1"/>
  <c r="G68" i="204" s="1"/>
  <c r="Q292" i="205"/>
  <c r="G69" i="205" s="1"/>
  <c r="Q293" i="205"/>
  <c r="G70" i="205" s="1"/>
  <c r="E298" i="205"/>
  <c r="F298" i="205"/>
  <c r="F299" i="205" s="1"/>
  <c r="G298" i="205"/>
  <c r="G299" i="205" s="1"/>
  <c r="G300" i="205" s="1"/>
  <c r="H298" i="205"/>
  <c r="I298" i="205"/>
  <c r="J298" i="205"/>
  <c r="J299" i="205" s="1"/>
  <c r="K298" i="205"/>
  <c r="K299" i="205" s="1"/>
  <c r="L298" i="205"/>
  <c r="L299" i="205" s="1"/>
  <c r="M298" i="205"/>
  <c r="M299" i="205" s="1"/>
  <c r="M300" i="205" s="1"/>
  <c r="N298" i="205"/>
  <c r="N299" i="205" s="1"/>
  <c r="N300" i="205" s="1"/>
  <c r="O298" i="205"/>
  <c r="P298" i="205"/>
  <c r="E299" i="205"/>
  <c r="E300" i="205" s="1"/>
  <c r="I299" i="205"/>
  <c r="Q305" i="205"/>
  <c r="I9" i="205" s="1"/>
  <c r="J9" i="205" s="1"/>
  <c r="J9" i="204" s="1"/>
  <c r="Q306" i="205"/>
  <c r="I10" i="205" s="1"/>
  <c r="J10" i="205" s="1"/>
  <c r="Q307" i="205"/>
  <c r="I11" i="205" s="1"/>
  <c r="J11" i="205" s="1"/>
  <c r="Q308" i="205"/>
  <c r="I12" i="205" s="1"/>
  <c r="J12" i="205" s="1"/>
  <c r="J12" i="204" s="1"/>
  <c r="Q309" i="205"/>
  <c r="I13" i="205" s="1"/>
  <c r="J13" i="205" s="1"/>
  <c r="Q310" i="205"/>
  <c r="I14" i="205" s="1"/>
  <c r="J14" i="205" s="1"/>
  <c r="Q311" i="205"/>
  <c r="I15" i="205" s="1"/>
  <c r="J15" i="205" s="1"/>
  <c r="Q312" i="205"/>
  <c r="I16" i="205" s="1"/>
  <c r="J16" i="205" s="1"/>
  <c r="Q313" i="205"/>
  <c r="I17" i="205" s="1"/>
  <c r="J17" i="205" s="1"/>
  <c r="E318" i="205"/>
  <c r="F318" i="205"/>
  <c r="G318" i="205"/>
  <c r="H318" i="205"/>
  <c r="I318" i="205"/>
  <c r="J318" i="205"/>
  <c r="K318" i="205"/>
  <c r="L318" i="205"/>
  <c r="M318" i="205"/>
  <c r="N318" i="205"/>
  <c r="O318" i="205"/>
  <c r="P318" i="205"/>
  <c r="Q320" i="205"/>
  <c r="I24" i="205" s="1"/>
  <c r="J24" i="205" s="1"/>
  <c r="Q321" i="205"/>
  <c r="I25" i="205" s="1"/>
  <c r="J25" i="205" s="1"/>
  <c r="Q322" i="205"/>
  <c r="I26" i="205" s="1"/>
  <c r="J26" i="205" s="1"/>
  <c r="Q323" i="205"/>
  <c r="I27" i="205" s="1"/>
  <c r="J27" i="205" s="1"/>
  <c r="Q324" i="205"/>
  <c r="I28" i="205" s="1"/>
  <c r="J28" i="205" s="1"/>
  <c r="J28" i="204" s="1"/>
  <c r="Q325" i="205"/>
  <c r="I29" i="205" s="1"/>
  <c r="J29" i="205" s="1"/>
  <c r="Q326" i="205"/>
  <c r="I30" i="205" s="1"/>
  <c r="J30" i="205" s="1"/>
  <c r="J30" i="204" s="1"/>
  <c r="Q327" i="205"/>
  <c r="I31" i="205" s="1"/>
  <c r="J31" i="205" s="1"/>
  <c r="Q328" i="205"/>
  <c r="I32" i="205" s="1"/>
  <c r="J32" i="205" s="1"/>
  <c r="Q329" i="205"/>
  <c r="I33" i="205" s="1"/>
  <c r="J33" i="205" s="1"/>
  <c r="Q330" i="205"/>
  <c r="I34" i="205" s="1"/>
  <c r="J34" i="205" s="1"/>
  <c r="E335" i="205"/>
  <c r="F335" i="205"/>
  <c r="G335" i="205"/>
  <c r="H335" i="205"/>
  <c r="I335" i="205"/>
  <c r="J335" i="205"/>
  <c r="K335" i="205"/>
  <c r="L335" i="205"/>
  <c r="M335" i="205"/>
  <c r="N335" i="205"/>
  <c r="O335" i="205"/>
  <c r="P335" i="205"/>
  <c r="Q337" i="205"/>
  <c r="I41" i="205" s="1"/>
  <c r="J41" i="205" s="1"/>
  <c r="Q338" i="205"/>
  <c r="I42" i="205" s="1"/>
  <c r="J42" i="205" s="1"/>
  <c r="Q339" i="205"/>
  <c r="I43" i="205" s="1"/>
  <c r="J43" i="205" s="1"/>
  <c r="Q340" i="205"/>
  <c r="I44" i="205" s="1"/>
  <c r="J44" i="205" s="1"/>
  <c r="Q341" i="205"/>
  <c r="I45" i="205" s="1"/>
  <c r="J45" i="205" s="1"/>
  <c r="J45" i="204" s="1"/>
  <c r="Q342" i="205"/>
  <c r="I46" i="205" s="1"/>
  <c r="J46" i="205" s="1"/>
  <c r="Q343" i="205"/>
  <c r="I47" i="205" s="1"/>
  <c r="J47" i="205" s="1"/>
  <c r="J47" i="204" s="1"/>
  <c r="Q344" i="205"/>
  <c r="I48" i="205" s="1"/>
  <c r="J48" i="205" s="1"/>
  <c r="J48" i="204" s="1"/>
  <c r="Q345" i="205"/>
  <c r="I49" i="205" s="1"/>
  <c r="J49" i="205" s="1"/>
  <c r="J49" i="204" s="1"/>
  <c r="Q346" i="205"/>
  <c r="I50" i="205" s="1"/>
  <c r="J50" i="205" s="1"/>
  <c r="Q347" i="205"/>
  <c r="I51" i="205" s="1"/>
  <c r="J51" i="205" s="1"/>
  <c r="E352" i="205"/>
  <c r="F352" i="205"/>
  <c r="G352" i="205"/>
  <c r="H352" i="205"/>
  <c r="I352" i="205"/>
  <c r="J352" i="205"/>
  <c r="K352" i="205"/>
  <c r="L352" i="205"/>
  <c r="M352" i="205"/>
  <c r="N352" i="205"/>
  <c r="N372" i="205" s="1"/>
  <c r="N373" i="205" s="1"/>
  <c r="O352" i="205"/>
  <c r="P352" i="205"/>
  <c r="Q354" i="205"/>
  <c r="I58" i="205" s="1"/>
  <c r="J58" i="205" s="1"/>
  <c r="Q355" i="205"/>
  <c r="I59" i="205" s="1"/>
  <c r="J59" i="205" s="1"/>
  <c r="Q356" i="205"/>
  <c r="I60" i="205" s="1"/>
  <c r="J60" i="205" s="1"/>
  <c r="Q357" i="205"/>
  <c r="I61" i="205" s="1"/>
  <c r="J61" i="205" s="1"/>
  <c r="Q358" i="205"/>
  <c r="I62" i="205" s="1"/>
  <c r="J62" i="205" s="1"/>
  <c r="Q359" i="205"/>
  <c r="I63" i="205" s="1"/>
  <c r="J63" i="205" s="1"/>
  <c r="Q360" i="205"/>
  <c r="I64" i="205" s="1"/>
  <c r="J64" i="205" s="1"/>
  <c r="J64" i="204" s="1"/>
  <c r="Q361" i="205"/>
  <c r="I65" i="205" s="1"/>
  <c r="J65" i="205" s="1"/>
  <c r="Q362" i="205"/>
  <c r="I66" i="205" s="1"/>
  <c r="J66" i="205" s="1"/>
  <c r="J66" i="204" s="1"/>
  <c r="Q363" i="205"/>
  <c r="I67" i="205" s="1"/>
  <c r="J67" i="205" s="1"/>
  <c r="Q364" i="205"/>
  <c r="I68" i="205" s="1"/>
  <c r="J68" i="205" s="1"/>
  <c r="Q365" i="205"/>
  <c r="I69" i="205" s="1"/>
  <c r="J69" i="205" s="1"/>
  <c r="Q366" i="205"/>
  <c r="I70" i="205" s="1"/>
  <c r="J70" i="205" s="1"/>
  <c r="E371" i="205"/>
  <c r="F371" i="205"/>
  <c r="G371" i="205"/>
  <c r="H371" i="205"/>
  <c r="H372" i="205" s="1"/>
  <c r="I371" i="205"/>
  <c r="I372" i="205" s="1"/>
  <c r="J371" i="205"/>
  <c r="J372" i="205" s="1"/>
  <c r="K371" i="205"/>
  <c r="K372" i="205" s="1"/>
  <c r="K373" i="205" s="1"/>
  <c r="L371" i="205"/>
  <c r="M371" i="205"/>
  <c r="M372" i="205" s="1"/>
  <c r="M373" i="205" s="1"/>
  <c r="N371" i="205"/>
  <c r="O371" i="205"/>
  <c r="P371" i="205"/>
  <c r="P372" i="205" s="1"/>
  <c r="P373" i="205" s="1"/>
  <c r="E372" i="205"/>
  <c r="G372" i="205"/>
  <c r="G373" i="205" s="1"/>
  <c r="O372" i="205"/>
  <c r="O373" i="205" s="1"/>
  <c r="D374" i="205"/>
  <c r="E396" i="204"/>
  <c r="F396" i="204"/>
  <c r="H396" i="204"/>
  <c r="I396" i="204"/>
  <c r="H415" i="204"/>
  <c r="I415" i="204"/>
  <c r="J415" i="204"/>
  <c r="E416" i="204"/>
  <c r="F416" i="204"/>
  <c r="G416" i="204"/>
  <c r="F430" i="204"/>
  <c r="H430" i="204"/>
  <c r="I430" i="204"/>
  <c r="J430" i="204"/>
  <c r="E432" i="204"/>
  <c r="J432" i="204"/>
  <c r="E433" i="204"/>
  <c r="G433" i="204"/>
  <c r="H433" i="204"/>
  <c r="I433" i="204"/>
  <c r="J433" i="204"/>
  <c r="O13" i="205"/>
  <c r="O34" i="205"/>
  <c r="E496" i="204"/>
  <c r="F496" i="204"/>
  <c r="G496" i="204"/>
  <c r="H496" i="204"/>
  <c r="I496" i="204"/>
  <c r="J496" i="204"/>
  <c r="L496" i="204"/>
  <c r="M496" i="204"/>
  <c r="N496" i="204"/>
  <c r="O496" i="204"/>
  <c r="P496" i="204"/>
  <c r="E504" i="204"/>
  <c r="I504" i="204"/>
  <c r="J504" i="204"/>
  <c r="K504" i="204"/>
  <c r="M504" i="204"/>
  <c r="O504" i="204"/>
  <c r="P504" i="204"/>
  <c r="O66" i="205"/>
  <c r="O69" i="205"/>
  <c r="O70" i="205"/>
  <c r="P13" i="205"/>
  <c r="P34" i="205"/>
  <c r="P66" i="205"/>
  <c r="P66" i="204" s="1"/>
  <c r="P69" i="205"/>
  <c r="P70" i="205"/>
  <c r="P70" i="204" s="1"/>
  <c r="Q606" i="205"/>
  <c r="Q13" i="205" s="1"/>
  <c r="Q611" i="205"/>
  <c r="Q612" i="205"/>
  <c r="Q613" i="205"/>
  <c r="Q614" i="205"/>
  <c r="Q627" i="205"/>
  <c r="Q34" i="205" s="1"/>
  <c r="Q628" i="205"/>
  <c r="Q629" i="205"/>
  <c r="Q630" i="205"/>
  <c r="Q631" i="205"/>
  <c r="Q645" i="205"/>
  <c r="Q646" i="205"/>
  <c r="Q647" i="205"/>
  <c r="Q648" i="205"/>
  <c r="Q659" i="205"/>
  <c r="Q66" i="205" s="1"/>
  <c r="Q66" i="204" s="1"/>
  <c r="Q662" i="205"/>
  <c r="Q69" i="205" s="1"/>
  <c r="Q69" i="204" s="1"/>
  <c r="Q663" i="205"/>
  <c r="Q70" i="205" s="1"/>
  <c r="Q664" i="205"/>
  <c r="Q665" i="205"/>
  <c r="Q666" i="205"/>
  <c r="Q667" i="205"/>
  <c r="Q680" i="205"/>
  <c r="R13" i="205" s="1"/>
  <c r="Q685" i="205"/>
  <c r="Q686" i="205"/>
  <c r="Q687" i="205"/>
  <c r="Q688" i="205"/>
  <c r="Q701" i="205"/>
  <c r="R34" i="205" s="1"/>
  <c r="Q702" i="205"/>
  <c r="Q703" i="205"/>
  <c r="Q704" i="205"/>
  <c r="Q705" i="205"/>
  <c r="Q719" i="205"/>
  <c r="Q720" i="205"/>
  <c r="Q721" i="205"/>
  <c r="Q722" i="205"/>
  <c r="Q733" i="205"/>
  <c r="R66" i="205" s="1"/>
  <c r="R66" i="204" s="1"/>
  <c r="Q736" i="205"/>
  <c r="R69" i="205" s="1"/>
  <c r="R69" i="204" s="1"/>
  <c r="Q737" i="205"/>
  <c r="R70" i="205" s="1"/>
  <c r="R70" i="204" s="1"/>
  <c r="Q738" i="205"/>
  <c r="Q739" i="205"/>
  <c r="Q740" i="205"/>
  <c r="Q741" i="205"/>
  <c r="Q754" i="205"/>
  <c r="S13" i="205" s="1"/>
  <c r="Q759" i="205"/>
  <c r="Q760" i="205"/>
  <c r="Q761" i="205"/>
  <c r="Q762" i="205"/>
  <c r="Q775" i="205"/>
  <c r="S34" i="205" s="1"/>
  <c r="Q776" i="205"/>
  <c r="Q777" i="205"/>
  <c r="Q778" i="205"/>
  <c r="Q779" i="205"/>
  <c r="Q793" i="205"/>
  <c r="Q794" i="205"/>
  <c r="Q795" i="205"/>
  <c r="Q796" i="205"/>
  <c r="Q807" i="205"/>
  <c r="S66" i="205" s="1"/>
  <c r="S66" i="204" s="1"/>
  <c r="Q810" i="205"/>
  <c r="S69" i="205" s="1"/>
  <c r="Q811" i="205"/>
  <c r="S70" i="205" s="1"/>
  <c r="Q812" i="205"/>
  <c r="Q813" i="205"/>
  <c r="Q814" i="205"/>
  <c r="Q815" i="205"/>
  <c r="E9" i="204"/>
  <c r="G9" i="204"/>
  <c r="H9" i="204"/>
  <c r="K9" i="204"/>
  <c r="E10" i="204"/>
  <c r="F10" i="204"/>
  <c r="H10" i="204"/>
  <c r="K10" i="204"/>
  <c r="H11" i="204"/>
  <c r="K11" i="204"/>
  <c r="G12" i="204"/>
  <c r="H12" i="204"/>
  <c r="K12" i="204"/>
  <c r="F13" i="204"/>
  <c r="F14" i="204"/>
  <c r="H14" i="204"/>
  <c r="K14" i="204"/>
  <c r="F15" i="204"/>
  <c r="G15" i="204"/>
  <c r="H15" i="204"/>
  <c r="I15" i="204"/>
  <c r="J15" i="204"/>
  <c r="K15" i="204"/>
  <c r="F16" i="204"/>
  <c r="H16" i="204"/>
  <c r="I16" i="204"/>
  <c r="J16" i="204"/>
  <c r="K16" i="204"/>
  <c r="E17" i="204"/>
  <c r="F17" i="204"/>
  <c r="G17" i="204"/>
  <c r="H17" i="204"/>
  <c r="I17" i="204"/>
  <c r="J17" i="204"/>
  <c r="K17" i="204"/>
  <c r="E24" i="204"/>
  <c r="F24" i="204"/>
  <c r="G24" i="204"/>
  <c r="H24" i="204"/>
  <c r="I24" i="204"/>
  <c r="J24" i="204"/>
  <c r="K24" i="204"/>
  <c r="G25" i="204"/>
  <c r="H25" i="204"/>
  <c r="I25" i="204"/>
  <c r="J25" i="204"/>
  <c r="K25" i="204"/>
  <c r="G26" i="204"/>
  <c r="H26" i="204"/>
  <c r="I26" i="204"/>
  <c r="J26" i="204"/>
  <c r="K26" i="204"/>
  <c r="G27" i="204"/>
  <c r="H27" i="204"/>
  <c r="J27" i="204"/>
  <c r="K27" i="204"/>
  <c r="E28" i="204"/>
  <c r="F28" i="204"/>
  <c r="H28" i="204"/>
  <c r="K28" i="204"/>
  <c r="H29" i="204"/>
  <c r="I29" i="204"/>
  <c r="J29" i="204"/>
  <c r="K29" i="204"/>
  <c r="F30" i="204"/>
  <c r="H30" i="204"/>
  <c r="K30" i="204"/>
  <c r="E31" i="204"/>
  <c r="H31" i="204"/>
  <c r="J31" i="204"/>
  <c r="K31" i="204"/>
  <c r="E32" i="204"/>
  <c r="F32" i="204"/>
  <c r="H32" i="204"/>
  <c r="I32" i="204"/>
  <c r="J32" i="204"/>
  <c r="K32" i="204"/>
  <c r="E33" i="204"/>
  <c r="G33" i="204"/>
  <c r="H33" i="204"/>
  <c r="I33" i="204"/>
  <c r="J33" i="204"/>
  <c r="K33" i="204"/>
  <c r="E34" i="204"/>
  <c r="H34" i="204"/>
  <c r="I34" i="204"/>
  <c r="J34" i="204"/>
  <c r="K34" i="204"/>
  <c r="E41" i="204"/>
  <c r="F41" i="204"/>
  <c r="H41" i="204"/>
  <c r="I41" i="204"/>
  <c r="J41" i="204"/>
  <c r="K41" i="204"/>
  <c r="F42" i="204"/>
  <c r="G42" i="204"/>
  <c r="H42" i="204"/>
  <c r="I42" i="204"/>
  <c r="J42" i="204"/>
  <c r="K42" i="204"/>
  <c r="E43" i="204"/>
  <c r="F43" i="204"/>
  <c r="H43" i="204"/>
  <c r="I43" i="204"/>
  <c r="J43" i="204"/>
  <c r="K43" i="204"/>
  <c r="F44" i="204"/>
  <c r="H44" i="204"/>
  <c r="I44" i="204"/>
  <c r="J44" i="204"/>
  <c r="K44" i="204"/>
  <c r="E45" i="204"/>
  <c r="F45" i="204"/>
  <c r="H45" i="204"/>
  <c r="K45" i="204"/>
  <c r="E46" i="204"/>
  <c r="F46" i="204"/>
  <c r="G46" i="204"/>
  <c r="H46" i="204"/>
  <c r="I46" i="204"/>
  <c r="J46" i="204"/>
  <c r="K46" i="204"/>
  <c r="E47" i="204"/>
  <c r="F47" i="204"/>
  <c r="H47" i="204"/>
  <c r="K47" i="204"/>
  <c r="E48" i="204"/>
  <c r="H48" i="204"/>
  <c r="I48" i="204"/>
  <c r="K48" i="204"/>
  <c r="E49" i="204"/>
  <c r="H49" i="204"/>
  <c r="K49" i="204"/>
  <c r="E50" i="204"/>
  <c r="F50" i="204"/>
  <c r="H50" i="204"/>
  <c r="I50" i="204"/>
  <c r="J50" i="204"/>
  <c r="K50" i="204"/>
  <c r="H51" i="204"/>
  <c r="I51" i="204"/>
  <c r="J51" i="204"/>
  <c r="K51" i="204"/>
  <c r="F58" i="204"/>
  <c r="H58" i="204"/>
  <c r="I58" i="204"/>
  <c r="J58" i="204"/>
  <c r="K58" i="204"/>
  <c r="E59" i="204"/>
  <c r="F59" i="204"/>
  <c r="G59" i="204"/>
  <c r="H59" i="204"/>
  <c r="J59" i="204"/>
  <c r="K59" i="204"/>
  <c r="E60" i="204"/>
  <c r="F60" i="204"/>
  <c r="G60" i="204"/>
  <c r="H60" i="204"/>
  <c r="I60" i="204"/>
  <c r="J60" i="204"/>
  <c r="K60" i="204"/>
  <c r="E61" i="204"/>
  <c r="F61" i="204"/>
  <c r="H61" i="204"/>
  <c r="J61" i="204"/>
  <c r="K61" i="204"/>
  <c r="E62" i="204"/>
  <c r="H62" i="204"/>
  <c r="J62" i="204"/>
  <c r="K62" i="204"/>
  <c r="E63" i="204"/>
  <c r="G63" i="204"/>
  <c r="H63" i="204"/>
  <c r="J63" i="204"/>
  <c r="K63" i="204"/>
  <c r="E64" i="204"/>
  <c r="H64" i="204"/>
  <c r="K64" i="204"/>
  <c r="G65" i="204"/>
  <c r="H65" i="204"/>
  <c r="J65" i="204"/>
  <c r="K65" i="204"/>
  <c r="H66" i="204"/>
  <c r="K66" i="204"/>
  <c r="F67" i="204"/>
  <c r="H67" i="204"/>
  <c r="J67" i="204"/>
  <c r="K67" i="204"/>
  <c r="F68" i="204"/>
  <c r="H68" i="204"/>
  <c r="I68" i="204"/>
  <c r="J68" i="204"/>
  <c r="K68" i="204"/>
  <c r="E69" i="204"/>
  <c r="F69" i="204"/>
  <c r="G69" i="204"/>
  <c r="H69" i="204"/>
  <c r="J69" i="204"/>
  <c r="K69" i="204"/>
  <c r="F70" i="204"/>
  <c r="H70" i="204"/>
  <c r="J70" i="204"/>
  <c r="K70" i="204"/>
  <c r="Q84" i="204"/>
  <c r="E85" i="204"/>
  <c r="F85" i="204"/>
  <c r="G85" i="204"/>
  <c r="H85" i="204"/>
  <c r="I85" i="204"/>
  <c r="J85" i="204"/>
  <c r="K85" i="204"/>
  <c r="L85" i="204"/>
  <c r="M85" i="204"/>
  <c r="N85" i="204"/>
  <c r="O85" i="204"/>
  <c r="P85" i="204"/>
  <c r="E86" i="204"/>
  <c r="F86" i="204"/>
  <c r="G86" i="204"/>
  <c r="H86" i="204"/>
  <c r="I86" i="204"/>
  <c r="J86" i="204"/>
  <c r="K86" i="204"/>
  <c r="L86" i="204"/>
  <c r="M86" i="204"/>
  <c r="N86" i="204"/>
  <c r="O86" i="204"/>
  <c r="P86" i="204"/>
  <c r="E87" i="204"/>
  <c r="F87" i="204"/>
  <c r="G87" i="204"/>
  <c r="H87" i="204"/>
  <c r="I87" i="204"/>
  <c r="J87" i="204"/>
  <c r="K87" i="204"/>
  <c r="L87" i="204"/>
  <c r="M87" i="204"/>
  <c r="N87" i="204"/>
  <c r="O87" i="204"/>
  <c r="P87" i="204"/>
  <c r="E88" i="204"/>
  <c r="F88" i="204"/>
  <c r="G88" i="204"/>
  <c r="H88" i="204"/>
  <c r="I88" i="204"/>
  <c r="J88" i="204"/>
  <c r="K88" i="204"/>
  <c r="L88" i="204"/>
  <c r="M88" i="204"/>
  <c r="N88" i="204"/>
  <c r="O88" i="204"/>
  <c r="P88" i="204"/>
  <c r="E89" i="204"/>
  <c r="F89" i="204"/>
  <c r="G89" i="204"/>
  <c r="H89" i="204"/>
  <c r="I89" i="204"/>
  <c r="J89" i="204"/>
  <c r="K89" i="204"/>
  <c r="L89" i="204"/>
  <c r="M89" i="204"/>
  <c r="N89" i="204"/>
  <c r="O89" i="204"/>
  <c r="P89" i="204"/>
  <c r="E90" i="204"/>
  <c r="F90" i="204"/>
  <c r="G90" i="204"/>
  <c r="H90" i="204"/>
  <c r="I90" i="204"/>
  <c r="J90" i="204"/>
  <c r="K90" i="204"/>
  <c r="L90" i="204"/>
  <c r="M90" i="204"/>
  <c r="N90" i="204"/>
  <c r="O90" i="204"/>
  <c r="P90" i="204"/>
  <c r="E91" i="204"/>
  <c r="F91" i="204"/>
  <c r="G91" i="204"/>
  <c r="H91" i="204"/>
  <c r="I91" i="204"/>
  <c r="J91" i="204"/>
  <c r="K91" i="204"/>
  <c r="L91" i="204"/>
  <c r="M91" i="204"/>
  <c r="N91" i="204"/>
  <c r="O91" i="204"/>
  <c r="P91" i="204"/>
  <c r="E92" i="204"/>
  <c r="F92" i="204"/>
  <c r="G92" i="204"/>
  <c r="H92" i="204"/>
  <c r="I92" i="204"/>
  <c r="J92" i="204"/>
  <c r="K92" i="204"/>
  <c r="L92" i="204"/>
  <c r="M92" i="204"/>
  <c r="N92" i="204"/>
  <c r="O92" i="204"/>
  <c r="P92" i="204"/>
  <c r="E93" i="204"/>
  <c r="F93" i="204"/>
  <c r="G93" i="204"/>
  <c r="H93" i="204"/>
  <c r="I93" i="204"/>
  <c r="J93" i="204"/>
  <c r="K93" i="204"/>
  <c r="L93" i="204"/>
  <c r="M93" i="204"/>
  <c r="N93" i="204"/>
  <c r="O93" i="204"/>
  <c r="P93" i="204"/>
  <c r="E94" i="204"/>
  <c r="F94" i="204"/>
  <c r="G94" i="204"/>
  <c r="H94" i="204"/>
  <c r="I94" i="204"/>
  <c r="J94" i="204"/>
  <c r="K94" i="204"/>
  <c r="L94" i="204"/>
  <c r="M94" i="204"/>
  <c r="N94" i="204"/>
  <c r="O94" i="204"/>
  <c r="P94" i="204"/>
  <c r="E95" i="204"/>
  <c r="F95" i="204"/>
  <c r="G95" i="204"/>
  <c r="H95" i="204"/>
  <c r="I95" i="204"/>
  <c r="J95" i="204"/>
  <c r="K95" i="204"/>
  <c r="L95" i="204"/>
  <c r="M95" i="204"/>
  <c r="N95" i="204"/>
  <c r="O95" i="204"/>
  <c r="P95" i="204"/>
  <c r="E96" i="204"/>
  <c r="F96" i="204"/>
  <c r="G96" i="204"/>
  <c r="H96" i="204"/>
  <c r="I96" i="204"/>
  <c r="J96" i="204"/>
  <c r="K96" i="204"/>
  <c r="L96" i="204"/>
  <c r="M96" i="204"/>
  <c r="N96" i="204"/>
  <c r="O96" i="204"/>
  <c r="P96" i="204"/>
  <c r="E97" i="204"/>
  <c r="F97" i="204"/>
  <c r="G97" i="204"/>
  <c r="H97" i="204"/>
  <c r="I97" i="204"/>
  <c r="J97" i="204"/>
  <c r="K97" i="204"/>
  <c r="L97" i="204"/>
  <c r="M97" i="204"/>
  <c r="N97" i="204"/>
  <c r="O97" i="204"/>
  <c r="P97" i="204"/>
  <c r="Q99" i="204"/>
  <c r="E100" i="204"/>
  <c r="F100" i="204"/>
  <c r="G100" i="204"/>
  <c r="H100" i="204"/>
  <c r="I100" i="204"/>
  <c r="J100" i="204"/>
  <c r="K100" i="204"/>
  <c r="L100" i="204"/>
  <c r="M100" i="204"/>
  <c r="N100" i="204"/>
  <c r="O100" i="204"/>
  <c r="P100" i="204"/>
  <c r="E101" i="204"/>
  <c r="F101" i="204"/>
  <c r="G101" i="204"/>
  <c r="H101" i="204"/>
  <c r="I101" i="204"/>
  <c r="J101" i="204"/>
  <c r="K101" i="204"/>
  <c r="L101" i="204"/>
  <c r="M101" i="204"/>
  <c r="N101" i="204"/>
  <c r="O101" i="204"/>
  <c r="P101" i="204"/>
  <c r="E102" i="204"/>
  <c r="F102" i="204"/>
  <c r="G102" i="204"/>
  <c r="H102" i="204"/>
  <c r="I102" i="204"/>
  <c r="J102" i="204"/>
  <c r="K102" i="204"/>
  <c r="L102" i="204"/>
  <c r="M102" i="204"/>
  <c r="N102" i="204"/>
  <c r="O102" i="204"/>
  <c r="P102" i="204"/>
  <c r="E103" i="204"/>
  <c r="F103" i="204"/>
  <c r="G103" i="204"/>
  <c r="H103" i="204"/>
  <c r="I103" i="204"/>
  <c r="J103" i="204"/>
  <c r="K103" i="204"/>
  <c r="L103" i="204"/>
  <c r="M103" i="204"/>
  <c r="N103" i="204"/>
  <c r="O103" i="204"/>
  <c r="P103" i="204"/>
  <c r="E104" i="204"/>
  <c r="F104" i="204"/>
  <c r="G104" i="204"/>
  <c r="H104" i="204"/>
  <c r="I104" i="204"/>
  <c r="J104" i="204"/>
  <c r="K104" i="204"/>
  <c r="L104" i="204"/>
  <c r="M104" i="204"/>
  <c r="N104" i="204"/>
  <c r="O104" i="204"/>
  <c r="P104" i="204"/>
  <c r="E105" i="204"/>
  <c r="F105" i="204"/>
  <c r="G105" i="204"/>
  <c r="H105" i="204"/>
  <c r="I105" i="204"/>
  <c r="J105" i="204"/>
  <c r="K105" i="204"/>
  <c r="L105" i="204"/>
  <c r="M105" i="204"/>
  <c r="N105" i="204"/>
  <c r="O105" i="204"/>
  <c r="P105" i="204"/>
  <c r="E106" i="204"/>
  <c r="F106" i="204"/>
  <c r="G106" i="204"/>
  <c r="H106" i="204"/>
  <c r="I106" i="204"/>
  <c r="J106" i="204"/>
  <c r="K106" i="204"/>
  <c r="L106" i="204"/>
  <c r="M106" i="204"/>
  <c r="N106" i="204"/>
  <c r="O106" i="204"/>
  <c r="P106" i="204"/>
  <c r="E107" i="204"/>
  <c r="F107" i="204"/>
  <c r="G107" i="204"/>
  <c r="H107" i="204"/>
  <c r="I107" i="204"/>
  <c r="J107" i="204"/>
  <c r="K107" i="204"/>
  <c r="L107" i="204"/>
  <c r="M107" i="204"/>
  <c r="N107" i="204"/>
  <c r="O107" i="204"/>
  <c r="P107" i="204"/>
  <c r="E108" i="204"/>
  <c r="F108" i="204"/>
  <c r="G108" i="204"/>
  <c r="H108" i="204"/>
  <c r="I108" i="204"/>
  <c r="J108" i="204"/>
  <c r="K108" i="204"/>
  <c r="L108" i="204"/>
  <c r="M108" i="204"/>
  <c r="N108" i="204"/>
  <c r="O108" i="204"/>
  <c r="P108" i="204"/>
  <c r="E109" i="204"/>
  <c r="F109" i="204"/>
  <c r="G109" i="204"/>
  <c r="H109" i="204"/>
  <c r="I109" i="204"/>
  <c r="J109" i="204"/>
  <c r="K109" i="204"/>
  <c r="L109" i="204"/>
  <c r="M109" i="204"/>
  <c r="N109" i="204"/>
  <c r="O109" i="204"/>
  <c r="P109" i="204"/>
  <c r="E110" i="204"/>
  <c r="F110" i="204"/>
  <c r="G110" i="204"/>
  <c r="H110" i="204"/>
  <c r="I110" i="204"/>
  <c r="J110" i="204"/>
  <c r="K110" i="204"/>
  <c r="L110" i="204"/>
  <c r="M110" i="204"/>
  <c r="N110" i="204"/>
  <c r="O110" i="204"/>
  <c r="P110" i="204"/>
  <c r="E111" i="204"/>
  <c r="F111" i="204"/>
  <c r="G111" i="204"/>
  <c r="H111" i="204"/>
  <c r="I111" i="204"/>
  <c r="J111" i="204"/>
  <c r="K111" i="204"/>
  <c r="L111" i="204"/>
  <c r="M111" i="204"/>
  <c r="N111" i="204"/>
  <c r="O111" i="204"/>
  <c r="P111" i="204"/>
  <c r="E112" i="204"/>
  <c r="F112" i="204"/>
  <c r="G112" i="204"/>
  <c r="H112" i="204"/>
  <c r="I112" i="204"/>
  <c r="J112" i="204"/>
  <c r="K112" i="204"/>
  <c r="L112" i="204"/>
  <c r="M112" i="204"/>
  <c r="N112" i="204"/>
  <c r="O112" i="204"/>
  <c r="P112" i="204"/>
  <c r="E113" i="204"/>
  <c r="F113" i="204"/>
  <c r="G113" i="204"/>
  <c r="H113" i="204"/>
  <c r="I113" i="204"/>
  <c r="J113" i="204"/>
  <c r="K113" i="204"/>
  <c r="L113" i="204"/>
  <c r="M113" i="204"/>
  <c r="N113" i="204"/>
  <c r="O113" i="204"/>
  <c r="P113" i="204"/>
  <c r="E114" i="204"/>
  <c r="F114" i="204"/>
  <c r="F115" i="204" s="1"/>
  <c r="G114" i="204"/>
  <c r="H114" i="204"/>
  <c r="I114" i="204"/>
  <c r="J114" i="204"/>
  <c r="K114" i="204"/>
  <c r="L114" i="204"/>
  <c r="M114" i="204"/>
  <c r="N114" i="204"/>
  <c r="N115" i="204" s="1"/>
  <c r="O114" i="204"/>
  <c r="P114" i="204"/>
  <c r="Q116" i="204"/>
  <c r="E117" i="204"/>
  <c r="F117" i="204"/>
  <c r="G117" i="204"/>
  <c r="H117" i="204"/>
  <c r="I117" i="204"/>
  <c r="J117" i="204"/>
  <c r="K117" i="204"/>
  <c r="L117" i="204"/>
  <c r="M117" i="204"/>
  <c r="N117" i="204"/>
  <c r="O117" i="204"/>
  <c r="P117" i="204"/>
  <c r="E118" i="204"/>
  <c r="F118" i="204"/>
  <c r="G118" i="204"/>
  <c r="H118" i="204"/>
  <c r="I118" i="204"/>
  <c r="J118" i="204"/>
  <c r="K118" i="204"/>
  <c r="L118" i="204"/>
  <c r="M118" i="204"/>
  <c r="N118" i="204"/>
  <c r="O118" i="204"/>
  <c r="P118" i="204"/>
  <c r="E119" i="204"/>
  <c r="F119" i="204"/>
  <c r="G119" i="204"/>
  <c r="H119" i="204"/>
  <c r="I119" i="204"/>
  <c r="J119" i="204"/>
  <c r="K119" i="204"/>
  <c r="L119" i="204"/>
  <c r="M119" i="204"/>
  <c r="N119" i="204"/>
  <c r="O119" i="204"/>
  <c r="P119" i="204"/>
  <c r="E120" i="204"/>
  <c r="F120" i="204"/>
  <c r="G120" i="204"/>
  <c r="H120" i="204"/>
  <c r="I120" i="204"/>
  <c r="J120" i="204"/>
  <c r="K120" i="204"/>
  <c r="L120" i="204"/>
  <c r="M120" i="204"/>
  <c r="N120" i="204"/>
  <c r="O120" i="204"/>
  <c r="P120" i="204"/>
  <c r="E121" i="204"/>
  <c r="F121" i="204"/>
  <c r="G121" i="204"/>
  <c r="H121" i="204"/>
  <c r="I121" i="204"/>
  <c r="J121" i="204"/>
  <c r="K121" i="204"/>
  <c r="L121" i="204"/>
  <c r="M121" i="204"/>
  <c r="N121" i="204"/>
  <c r="O121" i="204"/>
  <c r="P121" i="204"/>
  <c r="E122" i="204"/>
  <c r="F122" i="204"/>
  <c r="G122" i="204"/>
  <c r="H122" i="204"/>
  <c r="I122" i="204"/>
  <c r="J122" i="204"/>
  <c r="K122" i="204"/>
  <c r="L122" i="204"/>
  <c r="M122" i="204"/>
  <c r="N122" i="204"/>
  <c r="O122" i="204"/>
  <c r="P122" i="204"/>
  <c r="E123" i="204"/>
  <c r="F123" i="204"/>
  <c r="G123" i="204"/>
  <c r="H123" i="204"/>
  <c r="I123" i="204"/>
  <c r="J123" i="204"/>
  <c r="K123" i="204"/>
  <c r="L123" i="204"/>
  <c r="M123" i="204"/>
  <c r="N123" i="204"/>
  <c r="O123" i="204"/>
  <c r="P123" i="204"/>
  <c r="E124" i="204"/>
  <c r="F124" i="204"/>
  <c r="G124" i="204"/>
  <c r="H124" i="204"/>
  <c r="I124" i="204"/>
  <c r="J124" i="204"/>
  <c r="K124" i="204"/>
  <c r="L124" i="204"/>
  <c r="M124" i="204"/>
  <c r="N124" i="204"/>
  <c r="O124" i="204"/>
  <c r="P124" i="204"/>
  <c r="E125" i="204"/>
  <c r="F125" i="204"/>
  <c r="G125" i="204"/>
  <c r="H125" i="204"/>
  <c r="I125" i="204"/>
  <c r="J125" i="204"/>
  <c r="K125" i="204"/>
  <c r="L125" i="204"/>
  <c r="M125" i="204"/>
  <c r="N125" i="204"/>
  <c r="O125" i="204"/>
  <c r="P125" i="204"/>
  <c r="E126" i="204"/>
  <c r="F126" i="204"/>
  <c r="G126" i="204"/>
  <c r="H126" i="204"/>
  <c r="I126" i="204"/>
  <c r="J126" i="204"/>
  <c r="K126" i="204"/>
  <c r="L126" i="204"/>
  <c r="M126" i="204"/>
  <c r="N126" i="204"/>
  <c r="O126" i="204"/>
  <c r="P126" i="204"/>
  <c r="E127" i="204"/>
  <c r="F127" i="204"/>
  <c r="G127" i="204"/>
  <c r="H127" i="204"/>
  <c r="I127" i="204"/>
  <c r="J127" i="204"/>
  <c r="K127" i="204"/>
  <c r="L127" i="204"/>
  <c r="M127" i="204"/>
  <c r="N127" i="204"/>
  <c r="O127" i="204"/>
  <c r="P127" i="204"/>
  <c r="E128" i="204"/>
  <c r="F128" i="204"/>
  <c r="G128" i="204"/>
  <c r="H128" i="204"/>
  <c r="I128" i="204"/>
  <c r="J128" i="204"/>
  <c r="K128" i="204"/>
  <c r="L128" i="204"/>
  <c r="M128" i="204"/>
  <c r="N128" i="204"/>
  <c r="O128" i="204"/>
  <c r="P128" i="204"/>
  <c r="E129" i="204"/>
  <c r="F129" i="204"/>
  <c r="G129" i="204"/>
  <c r="H129" i="204"/>
  <c r="I129" i="204"/>
  <c r="J129" i="204"/>
  <c r="K129" i="204"/>
  <c r="L129" i="204"/>
  <c r="M129" i="204"/>
  <c r="N129" i="204"/>
  <c r="O129" i="204"/>
  <c r="P129" i="204"/>
  <c r="E130" i="204"/>
  <c r="F130" i="204"/>
  <c r="G130" i="204"/>
  <c r="H130" i="204"/>
  <c r="I130" i="204"/>
  <c r="J130" i="204"/>
  <c r="K130" i="204"/>
  <c r="L130" i="204"/>
  <c r="M130" i="204"/>
  <c r="N130" i="204"/>
  <c r="O130" i="204"/>
  <c r="P130" i="204"/>
  <c r="E131" i="204"/>
  <c r="E132" i="204" s="1"/>
  <c r="F131" i="204"/>
  <c r="G131" i="204"/>
  <c r="H131" i="204"/>
  <c r="I131" i="204"/>
  <c r="J131" i="204"/>
  <c r="K131" i="204"/>
  <c r="L131" i="204"/>
  <c r="M131" i="204"/>
  <c r="M132" i="204" s="1"/>
  <c r="N131" i="204"/>
  <c r="O131" i="204"/>
  <c r="P131" i="204"/>
  <c r="Q133" i="204"/>
  <c r="E134" i="204"/>
  <c r="F134" i="204"/>
  <c r="G134" i="204"/>
  <c r="H134" i="204"/>
  <c r="I134" i="204"/>
  <c r="J134" i="204"/>
  <c r="K134" i="204"/>
  <c r="L134" i="204"/>
  <c r="M134" i="204"/>
  <c r="N134" i="204"/>
  <c r="O134" i="204"/>
  <c r="P134" i="204"/>
  <c r="E135" i="204"/>
  <c r="F135" i="204"/>
  <c r="G135" i="204"/>
  <c r="H135" i="204"/>
  <c r="I135" i="204"/>
  <c r="J135" i="204"/>
  <c r="K135" i="204"/>
  <c r="L135" i="204"/>
  <c r="M135" i="204"/>
  <c r="N135" i="204"/>
  <c r="O135" i="204"/>
  <c r="P135" i="204"/>
  <c r="E136" i="204"/>
  <c r="F136" i="204"/>
  <c r="G136" i="204"/>
  <c r="H136" i="204"/>
  <c r="I136" i="204"/>
  <c r="J136" i="204"/>
  <c r="K136" i="204"/>
  <c r="L136" i="204"/>
  <c r="M136" i="204"/>
  <c r="N136" i="204"/>
  <c r="O136" i="204"/>
  <c r="P136" i="204"/>
  <c r="E137" i="204"/>
  <c r="F137" i="204"/>
  <c r="G137" i="204"/>
  <c r="H137" i="204"/>
  <c r="I137" i="204"/>
  <c r="J137" i="204"/>
  <c r="K137" i="204"/>
  <c r="L137" i="204"/>
  <c r="M137" i="204"/>
  <c r="N137" i="204"/>
  <c r="O137" i="204"/>
  <c r="P137" i="204"/>
  <c r="E138" i="204"/>
  <c r="F138" i="204"/>
  <c r="G138" i="204"/>
  <c r="H138" i="204"/>
  <c r="I138" i="204"/>
  <c r="J138" i="204"/>
  <c r="K138" i="204"/>
  <c r="L138" i="204"/>
  <c r="M138" i="204"/>
  <c r="N138" i="204"/>
  <c r="O138" i="204"/>
  <c r="P138" i="204"/>
  <c r="E139" i="204"/>
  <c r="F139" i="204"/>
  <c r="G139" i="204"/>
  <c r="H139" i="204"/>
  <c r="I139" i="204"/>
  <c r="J139" i="204"/>
  <c r="K139" i="204"/>
  <c r="L139" i="204"/>
  <c r="M139" i="204"/>
  <c r="N139" i="204"/>
  <c r="O139" i="204"/>
  <c r="P139" i="204"/>
  <c r="E140" i="204"/>
  <c r="F140" i="204"/>
  <c r="G140" i="204"/>
  <c r="H140" i="204"/>
  <c r="I140" i="204"/>
  <c r="J140" i="204"/>
  <c r="K140" i="204"/>
  <c r="L140" i="204"/>
  <c r="M140" i="204"/>
  <c r="N140" i="204"/>
  <c r="O140" i="204"/>
  <c r="P140" i="204"/>
  <c r="E141" i="204"/>
  <c r="F141" i="204"/>
  <c r="G141" i="204"/>
  <c r="H141" i="204"/>
  <c r="I141" i="204"/>
  <c r="J141" i="204"/>
  <c r="K141" i="204"/>
  <c r="L141" i="204"/>
  <c r="M141" i="204"/>
  <c r="N141" i="204"/>
  <c r="O141" i="204"/>
  <c r="P141" i="204"/>
  <c r="E142" i="204"/>
  <c r="F142" i="204"/>
  <c r="G142" i="204"/>
  <c r="H142" i="204"/>
  <c r="I142" i="204"/>
  <c r="J142" i="204"/>
  <c r="K142" i="204"/>
  <c r="L142" i="204"/>
  <c r="M142" i="204"/>
  <c r="N142" i="204"/>
  <c r="O142" i="204"/>
  <c r="P142" i="204"/>
  <c r="E143" i="204"/>
  <c r="F143" i="204"/>
  <c r="G143" i="204"/>
  <c r="H143" i="204"/>
  <c r="I143" i="204"/>
  <c r="J143" i="204"/>
  <c r="K143" i="204"/>
  <c r="L143" i="204"/>
  <c r="M143" i="204"/>
  <c r="N143" i="204"/>
  <c r="O143" i="204"/>
  <c r="P143" i="204"/>
  <c r="E144" i="204"/>
  <c r="F144" i="204"/>
  <c r="G144" i="204"/>
  <c r="H144" i="204"/>
  <c r="I144" i="204"/>
  <c r="J144" i="204"/>
  <c r="K144" i="204"/>
  <c r="L144" i="204"/>
  <c r="M144" i="204"/>
  <c r="N144" i="204"/>
  <c r="O144" i="204"/>
  <c r="P144" i="204"/>
  <c r="E145" i="204"/>
  <c r="F145" i="204"/>
  <c r="G145" i="204"/>
  <c r="H145" i="204"/>
  <c r="I145" i="204"/>
  <c r="J145" i="204"/>
  <c r="K145" i="204"/>
  <c r="L145" i="204"/>
  <c r="M145" i="204"/>
  <c r="N145" i="204"/>
  <c r="O145" i="204"/>
  <c r="P145" i="204"/>
  <c r="E146" i="204"/>
  <c r="F146" i="204"/>
  <c r="G146" i="204"/>
  <c r="H146" i="204"/>
  <c r="I146" i="204"/>
  <c r="J146" i="204"/>
  <c r="K146" i="204"/>
  <c r="L146" i="204"/>
  <c r="M146" i="204"/>
  <c r="N146" i="204"/>
  <c r="O146" i="204"/>
  <c r="P146" i="204"/>
  <c r="E147" i="204"/>
  <c r="F147" i="204"/>
  <c r="G147" i="204"/>
  <c r="H147" i="204"/>
  <c r="I147" i="204"/>
  <c r="J147" i="204"/>
  <c r="K147" i="204"/>
  <c r="L147" i="204"/>
  <c r="M147" i="204"/>
  <c r="N147" i="204"/>
  <c r="O147" i="204"/>
  <c r="P147" i="204"/>
  <c r="E148" i="204"/>
  <c r="F148" i="204"/>
  <c r="G148" i="204"/>
  <c r="H148" i="204"/>
  <c r="I148" i="204"/>
  <c r="J148" i="204"/>
  <c r="K148" i="204"/>
  <c r="L148" i="204"/>
  <c r="M148" i="204"/>
  <c r="N148" i="204"/>
  <c r="O148" i="204"/>
  <c r="P148" i="204"/>
  <c r="E149" i="204"/>
  <c r="F149" i="204"/>
  <c r="G149" i="204"/>
  <c r="H149" i="204"/>
  <c r="I149" i="204"/>
  <c r="J149" i="204"/>
  <c r="K149" i="204"/>
  <c r="L149" i="204"/>
  <c r="M149" i="204"/>
  <c r="N149" i="204"/>
  <c r="O149" i="204"/>
  <c r="P149" i="204"/>
  <c r="E150" i="204"/>
  <c r="F150" i="204"/>
  <c r="G150" i="204"/>
  <c r="H150" i="204"/>
  <c r="I150" i="204"/>
  <c r="J150" i="204"/>
  <c r="K150" i="204"/>
  <c r="L150" i="204"/>
  <c r="M150" i="204"/>
  <c r="N150" i="204"/>
  <c r="O150" i="204"/>
  <c r="P150" i="204"/>
  <c r="Q158" i="204"/>
  <c r="E159" i="204"/>
  <c r="F159" i="204"/>
  <c r="G159" i="204"/>
  <c r="H159" i="204"/>
  <c r="I159" i="204"/>
  <c r="J159" i="204"/>
  <c r="K159" i="204"/>
  <c r="L159" i="204"/>
  <c r="M159" i="204"/>
  <c r="N159" i="204"/>
  <c r="O159" i="204"/>
  <c r="P159" i="204"/>
  <c r="E160" i="204"/>
  <c r="F160" i="204"/>
  <c r="G160" i="204"/>
  <c r="H160" i="204"/>
  <c r="I160" i="204"/>
  <c r="J160" i="204"/>
  <c r="K160" i="204"/>
  <c r="L160" i="204"/>
  <c r="M160" i="204"/>
  <c r="N160" i="204"/>
  <c r="O160" i="204"/>
  <c r="P160" i="204"/>
  <c r="E161" i="204"/>
  <c r="F161" i="204"/>
  <c r="G161" i="204"/>
  <c r="H161" i="204"/>
  <c r="I161" i="204"/>
  <c r="J161" i="204"/>
  <c r="K161" i="204"/>
  <c r="L161" i="204"/>
  <c r="M161" i="204"/>
  <c r="N161" i="204"/>
  <c r="O161" i="204"/>
  <c r="P161" i="204"/>
  <c r="E162" i="204"/>
  <c r="F162" i="204"/>
  <c r="G162" i="204"/>
  <c r="H162" i="204"/>
  <c r="I162" i="204"/>
  <c r="J162" i="204"/>
  <c r="K162" i="204"/>
  <c r="L162" i="204"/>
  <c r="M162" i="204"/>
  <c r="N162" i="204"/>
  <c r="O162" i="204"/>
  <c r="P162" i="204"/>
  <c r="E163" i="204"/>
  <c r="F163" i="204"/>
  <c r="G163" i="204"/>
  <c r="H163" i="204"/>
  <c r="I163" i="204"/>
  <c r="J163" i="204"/>
  <c r="K163" i="204"/>
  <c r="L163" i="204"/>
  <c r="M163" i="204"/>
  <c r="N163" i="204"/>
  <c r="O163" i="204"/>
  <c r="P163" i="204"/>
  <c r="E164" i="204"/>
  <c r="F164" i="204"/>
  <c r="G164" i="204"/>
  <c r="H164" i="204"/>
  <c r="I164" i="204"/>
  <c r="J164" i="204"/>
  <c r="K164" i="204"/>
  <c r="L164" i="204"/>
  <c r="M164" i="204"/>
  <c r="N164" i="204"/>
  <c r="O164" i="204"/>
  <c r="P164" i="204"/>
  <c r="E165" i="204"/>
  <c r="F165" i="204"/>
  <c r="G165" i="204"/>
  <c r="H165" i="204"/>
  <c r="I165" i="204"/>
  <c r="J165" i="204"/>
  <c r="K165" i="204"/>
  <c r="L165" i="204"/>
  <c r="M165" i="204"/>
  <c r="N165" i="204"/>
  <c r="O165" i="204"/>
  <c r="P165" i="204"/>
  <c r="E166" i="204"/>
  <c r="F166" i="204"/>
  <c r="G166" i="204"/>
  <c r="H166" i="204"/>
  <c r="I166" i="204"/>
  <c r="J166" i="204"/>
  <c r="K166" i="204"/>
  <c r="L166" i="204"/>
  <c r="M166" i="204"/>
  <c r="N166" i="204"/>
  <c r="O166" i="204"/>
  <c r="P166" i="204"/>
  <c r="E167" i="204"/>
  <c r="F167" i="204"/>
  <c r="G167" i="204"/>
  <c r="H167" i="204"/>
  <c r="I167" i="204"/>
  <c r="J167" i="204"/>
  <c r="K167" i="204"/>
  <c r="L167" i="204"/>
  <c r="M167" i="204"/>
  <c r="N167" i="204"/>
  <c r="O167" i="204"/>
  <c r="P167" i="204"/>
  <c r="E168" i="204"/>
  <c r="F168" i="204"/>
  <c r="G168" i="204"/>
  <c r="H168" i="204"/>
  <c r="I168" i="204"/>
  <c r="J168" i="204"/>
  <c r="K168" i="204"/>
  <c r="L168" i="204"/>
  <c r="M168" i="204"/>
  <c r="N168" i="204"/>
  <c r="O168" i="204"/>
  <c r="P168" i="204"/>
  <c r="E169" i="204"/>
  <c r="F169" i="204"/>
  <c r="G169" i="204"/>
  <c r="H169" i="204"/>
  <c r="I169" i="204"/>
  <c r="J169" i="204"/>
  <c r="K169" i="204"/>
  <c r="L169" i="204"/>
  <c r="M169" i="204"/>
  <c r="N169" i="204"/>
  <c r="O169" i="204"/>
  <c r="P169" i="204"/>
  <c r="E170" i="204"/>
  <c r="F170" i="204"/>
  <c r="G170" i="204"/>
  <c r="H170" i="204"/>
  <c r="I170" i="204"/>
  <c r="J170" i="204"/>
  <c r="K170" i="204"/>
  <c r="L170" i="204"/>
  <c r="M170" i="204"/>
  <c r="N170" i="204"/>
  <c r="O170" i="204"/>
  <c r="P170" i="204"/>
  <c r="E171" i="204"/>
  <c r="F171" i="204"/>
  <c r="G171" i="204"/>
  <c r="H171" i="204"/>
  <c r="I171" i="204"/>
  <c r="J171" i="204"/>
  <c r="K171" i="204"/>
  <c r="L171" i="204"/>
  <c r="M171" i="204"/>
  <c r="N171" i="204"/>
  <c r="O171" i="204"/>
  <c r="P171" i="204"/>
  <c r="Q173" i="204"/>
  <c r="E174" i="204"/>
  <c r="F174" i="204"/>
  <c r="G174" i="204"/>
  <c r="H174" i="204"/>
  <c r="I174" i="204"/>
  <c r="J174" i="204"/>
  <c r="K174" i="204"/>
  <c r="L174" i="204"/>
  <c r="M174" i="204"/>
  <c r="N174" i="204"/>
  <c r="O174" i="204"/>
  <c r="P174" i="204"/>
  <c r="E175" i="204"/>
  <c r="F175" i="204"/>
  <c r="G175" i="204"/>
  <c r="H175" i="204"/>
  <c r="I175" i="204"/>
  <c r="J175" i="204"/>
  <c r="K175" i="204"/>
  <c r="L175" i="204"/>
  <c r="M175" i="204"/>
  <c r="N175" i="204"/>
  <c r="O175" i="204"/>
  <c r="P175" i="204"/>
  <c r="E176" i="204"/>
  <c r="F176" i="204"/>
  <c r="G176" i="204"/>
  <c r="H176" i="204"/>
  <c r="I176" i="204"/>
  <c r="J176" i="204"/>
  <c r="K176" i="204"/>
  <c r="L176" i="204"/>
  <c r="M176" i="204"/>
  <c r="N176" i="204"/>
  <c r="O176" i="204"/>
  <c r="P176" i="204"/>
  <c r="E177" i="204"/>
  <c r="F177" i="204"/>
  <c r="G177" i="204"/>
  <c r="H177" i="204"/>
  <c r="I177" i="204"/>
  <c r="J177" i="204"/>
  <c r="K177" i="204"/>
  <c r="L177" i="204"/>
  <c r="M177" i="204"/>
  <c r="N177" i="204"/>
  <c r="O177" i="204"/>
  <c r="P177" i="204"/>
  <c r="E178" i="204"/>
  <c r="F178" i="204"/>
  <c r="G178" i="204"/>
  <c r="H178" i="204"/>
  <c r="I178" i="204"/>
  <c r="J178" i="204"/>
  <c r="K178" i="204"/>
  <c r="L178" i="204"/>
  <c r="M178" i="204"/>
  <c r="N178" i="204"/>
  <c r="O178" i="204"/>
  <c r="P178" i="204"/>
  <c r="E179" i="204"/>
  <c r="F179" i="204"/>
  <c r="G179" i="204"/>
  <c r="H179" i="204"/>
  <c r="I179" i="204"/>
  <c r="J179" i="204"/>
  <c r="K179" i="204"/>
  <c r="L179" i="204"/>
  <c r="M179" i="204"/>
  <c r="N179" i="204"/>
  <c r="O179" i="204"/>
  <c r="P179" i="204"/>
  <c r="E180" i="204"/>
  <c r="F180" i="204"/>
  <c r="G180" i="204"/>
  <c r="H180" i="204"/>
  <c r="I180" i="204"/>
  <c r="J180" i="204"/>
  <c r="K180" i="204"/>
  <c r="L180" i="204"/>
  <c r="M180" i="204"/>
  <c r="N180" i="204"/>
  <c r="O180" i="204"/>
  <c r="P180" i="204"/>
  <c r="E181" i="204"/>
  <c r="F181" i="204"/>
  <c r="G181" i="204"/>
  <c r="H181" i="204"/>
  <c r="I181" i="204"/>
  <c r="J181" i="204"/>
  <c r="K181" i="204"/>
  <c r="L181" i="204"/>
  <c r="M181" i="204"/>
  <c r="N181" i="204"/>
  <c r="O181" i="204"/>
  <c r="P181" i="204"/>
  <c r="E182" i="204"/>
  <c r="F182" i="204"/>
  <c r="G182" i="204"/>
  <c r="H182" i="204"/>
  <c r="I182" i="204"/>
  <c r="J182" i="204"/>
  <c r="K182" i="204"/>
  <c r="L182" i="204"/>
  <c r="M182" i="204"/>
  <c r="N182" i="204"/>
  <c r="O182" i="204"/>
  <c r="P182" i="204"/>
  <c r="E183" i="204"/>
  <c r="F183" i="204"/>
  <c r="G183" i="204"/>
  <c r="H183" i="204"/>
  <c r="I183" i="204"/>
  <c r="J183" i="204"/>
  <c r="K183" i="204"/>
  <c r="L183" i="204"/>
  <c r="M183" i="204"/>
  <c r="N183" i="204"/>
  <c r="O183" i="204"/>
  <c r="P183" i="204"/>
  <c r="E184" i="204"/>
  <c r="F184" i="204"/>
  <c r="G184" i="204"/>
  <c r="H184" i="204"/>
  <c r="I184" i="204"/>
  <c r="J184" i="204"/>
  <c r="K184" i="204"/>
  <c r="L184" i="204"/>
  <c r="M184" i="204"/>
  <c r="N184" i="204"/>
  <c r="O184" i="204"/>
  <c r="P184" i="204"/>
  <c r="E185" i="204"/>
  <c r="F185" i="204"/>
  <c r="G185" i="204"/>
  <c r="H185" i="204"/>
  <c r="I185" i="204"/>
  <c r="J185" i="204"/>
  <c r="K185" i="204"/>
  <c r="L185" i="204"/>
  <c r="M185" i="204"/>
  <c r="N185" i="204"/>
  <c r="O185" i="204"/>
  <c r="P185" i="204"/>
  <c r="E186" i="204"/>
  <c r="F186" i="204"/>
  <c r="G186" i="204"/>
  <c r="H186" i="204"/>
  <c r="I186" i="204"/>
  <c r="J186" i="204"/>
  <c r="K186" i="204"/>
  <c r="L186" i="204"/>
  <c r="M186" i="204"/>
  <c r="N186" i="204"/>
  <c r="O186" i="204"/>
  <c r="P186" i="204"/>
  <c r="E187" i="204"/>
  <c r="F187" i="204"/>
  <c r="G187" i="204"/>
  <c r="H187" i="204"/>
  <c r="I187" i="204"/>
  <c r="J187" i="204"/>
  <c r="K187" i="204"/>
  <c r="L187" i="204"/>
  <c r="M187" i="204"/>
  <c r="N187" i="204"/>
  <c r="O187" i="204"/>
  <c r="P187" i="204"/>
  <c r="E188" i="204"/>
  <c r="F188" i="204"/>
  <c r="G188" i="204"/>
  <c r="H188" i="204"/>
  <c r="I188" i="204"/>
  <c r="J188" i="204"/>
  <c r="K188" i="204"/>
  <c r="L188" i="204"/>
  <c r="M188" i="204"/>
  <c r="N188" i="204"/>
  <c r="O188" i="204"/>
  <c r="P188" i="204"/>
  <c r="Q190" i="204"/>
  <c r="E191" i="204"/>
  <c r="F191" i="204"/>
  <c r="G191" i="204"/>
  <c r="H191" i="204"/>
  <c r="I191" i="204"/>
  <c r="J191" i="204"/>
  <c r="K191" i="204"/>
  <c r="L191" i="204"/>
  <c r="M191" i="204"/>
  <c r="N191" i="204"/>
  <c r="O191" i="204"/>
  <c r="P191" i="204"/>
  <c r="E192" i="204"/>
  <c r="F192" i="204"/>
  <c r="G192" i="204"/>
  <c r="H192" i="204"/>
  <c r="I192" i="204"/>
  <c r="J192" i="204"/>
  <c r="K192" i="204"/>
  <c r="L192" i="204"/>
  <c r="M192" i="204"/>
  <c r="N192" i="204"/>
  <c r="O192" i="204"/>
  <c r="P192" i="204"/>
  <c r="E193" i="204"/>
  <c r="F193" i="204"/>
  <c r="G193" i="204"/>
  <c r="H193" i="204"/>
  <c r="I193" i="204"/>
  <c r="J193" i="204"/>
  <c r="K193" i="204"/>
  <c r="L193" i="204"/>
  <c r="M193" i="204"/>
  <c r="N193" i="204"/>
  <c r="O193" i="204"/>
  <c r="P193" i="204"/>
  <c r="E194" i="204"/>
  <c r="F194" i="204"/>
  <c r="G194" i="204"/>
  <c r="H194" i="204"/>
  <c r="I194" i="204"/>
  <c r="J194" i="204"/>
  <c r="K194" i="204"/>
  <c r="L194" i="204"/>
  <c r="M194" i="204"/>
  <c r="N194" i="204"/>
  <c r="O194" i="204"/>
  <c r="P194" i="204"/>
  <c r="E195" i="204"/>
  <c r="F195" i="204"/>
  <c r="G195" i="204"/>
  <c r="H195" i="204"/>
  <c r="I195" i="204"/>
  <c r="J195" i="204"/>
  <c r="K195" i="204"/>
  <c r="L195" i="204"/>
  <c r="M195" i="204"/>
  <c r="N195" i="204"/>
  <c r="O195" i="204"/>
  <c r="P195" i="204"/>
  <c r="E196" i="204"/>
  <c r="F196" i="204"/>
  <c r="G196" i="204"/>
  <c r="H196" i="204"/>
  <c r="I196" i="204"/>
  <c r="J196" i="204"/>
  <c r="K196" i="204"/>
  <c r="L196" i="204"/>
  <c r="M196" i="204"/>
  <c r="N196" i="204"/>
  <c r="O196" i="204"/>
  <c r="P196" i="204"/>
  <c r="E197" i="204"/>
  <c r="F197" i="204"/>
  <c r="G197" i="204"/>
  <c r="H197" i="204"/>
  <c r="I197" i="204"/>
  <c r="J197" i="204"/>
  <c r="K197" i="204"/>
  <c r="L197" i="204"/>
  <c r="M197" i="204"/>
  <c r="N197" i="204"/>
  <c r="O197" i="204"/>
  <c r="P197" i="204"/>
  <c r="E198" i="204"/>
  <c r="F198" i="204"/>
  <c r="G198" i="204"/>
  <c r="H198" i="204"/>
  <c r="I198" i="204"/>
  <c r="J198" i="204"/>
  <c r="K198" i="204"/>
  <c r="L198" i="204"/>
  <c r="M198" i="204"/>
  <c r="N198" i="204"/>
  <c r="O198" i="204"/>
  <c r="P198" i="204"/>
  <c r="E199" i="204"/>
  <c r="F199" i="204"/>
  <c r="G199" i="204"/>
  <c r="H199" i="204"/>
  <c r="I199" i="204"/>
  <c r="J199" i="204"/>
  <c r="K199" i="204"/>
  <c r="L199" i="204"/>
  <c r="M199" i="204"/>
  <c r="N199" i="204"/>
  <c r="O199" i="204"/>
  <c r="P199" i="204"/>
  <c r="E200" i="204"/>
  <c r="F200" i="204"/>
  <c r="G200" i="204"/>
  <c r="H200" i="204"/>
  <c r="I200" i="204"/>
  <c r="J200" i="204"/>
  <c r="K200" i="204"/>
  <c r="L200" i="204"/>
  <c r="M200" i="204"/>
  <c r="N200" i="204"/>
  <c r="O200" i="204"/>
  <c r="P200" i="204"/>
  <c r="E201" i="204"/>
  <c r="F201" i="204"/>
  <c r="G201" i="204"/>
  <c r="H201" i="204"/>
  <c r="I201" i="204"/>
  <c r="J201" i="204"/>
  <c r="K201" i="204"/>
  <c r="L201" i="204"/>
  <c r="M201" i="204"/>
  <c r="N201" i="204"/>
  <c r="O201" i="204"/>
  <c r="P201" i="204"/>
  <c r="E202" i="204"/>
  <c r="F202" i="204"/>
  <c r="G202" i="204"/>
  <c r="H202" i="204"/>
  <c r="I202" i="204"/>
  <c r="J202" i="204"/>
  <c r="K202" i="204"/>
  <c r="L202" i="204"/>
  <c r="M202" i="204"/>
  <c r="N202" i="204"/>
  <c r="O202" i="204"/>
  <c r="P202" i="204"/>
  <c r="E203" i="204"/>
  <c r="F203" i="204"/>
  <c r="G203" i="204"/>
  <c r="H203" i="204"/>
  <c r="I203" i="204"/>
  <c r="J203" i="204"/>
  <c r="K203" i="204"/>
  <c r="L203" i="204"/>
  <c r="M203" i="204"/>
  <c r="N203" i="204"/>
  <c r="O203" i="204"/>
  <c r="P203" i="204"/>
  <c r="E204" i="204"/>
  <c r="F204" i="204"/>
  <c r="G204" i="204"/>
  <c r="H204" i="204"/>
  <c r="I204" i="204"/>
  <c r="J204" i="204"/>
  <c r="K204" i="204"/>
  <c r="L204" i="204"/>
  <c r="M204" i="204"/>
  <c r="N204" i="204"/>
  <c r="O204" i="204"/>
  <c r="P204" i="204"/>
  <c r="E205" i="204"/>
  <c r="F205" i="204"/>
  <c r="G205" i="204"/>
  <c r="H205" i="204"/>
  <c r="I205" i="204"/>
  <c r="J205" i="204"/>
  <c r="K205" i="204"/>
  <c r="L205" i="204"/>
  <c r="M205" i="204"/>
  <c r="N205" i="204"/>
  <c r="O205" i="204"/>
  <c r="P205" i="204"/>
  <c r="Q207" i="204"/>
  <c r="E208" i="204"/>
  <c r="F208" i="204"/>
  <c r="G208" i="204"/>
  <c r="H208" i="204"/>
  <c r="I208" i="204"/>
  <c r="J208" i="204"/>
  <c r="K208" i="204"/>
  <c r="L208" i="204"/>
  <c r="M208" i="204"/>
  <c r="N208" i="204"/>
  <c r="O208" i="204"/>
  <c r="P208" i="204"/>
  <c r="E209" i="204"/>
  <c r="F209" i="204"/>
  <c r="G209" i="204"/>
  <c r="H209" i="204"/>
  <c r="I209" i="204"/>
  <c r="J209" i="204"/>
  <c r="K209" i="204"/>
  <c r="L209" i="204"/>
  <c r="M209" i="204"/>
  <c r="N209" i="204"/>
  <c r="O209" i="204"/>
  <c r="P209" i="204"/>
  <c r="E210" i="204"/>
  <c r="F210" i="204"/>
  <c r="G210" i="204"/>
  <c r="H210" i="204"/>
  <c r="I210" i="204"/>
  <c r="J210" i="204"/>
  <c r="K210" i="204"/>
  <c r="L210" i="204"/>
  <c r="M210" i="204"/>
  <c r="N210" i="204"/>
  <c r="O210" i="204"/>
  <c r="P210" i="204"/>
  <c r="E211" i="204"/>
  <c r="F211" i="204"/>
  <c r="G211" i="204"/>
  <c r="H211" i="204"/>
  <c r="I211" i="204"/>
  <c r="J211" i="204"/>
  <c r="K211" i="204"/>
  <c r="L211" i="204"/>
  <c r="M211" i="204"/>
  <c r="N211" i="204"/>
  <c r="O211" i="204"/>
  <c r="P211" i="204"/>
  <c r="E212" i="204"/>
  <c r="F212" i="204"/>
  <c r="G212" i="204"/>
  <c r="H212" i="204"/>
  <c r="I212" i="204"/>
  <c r="J212" i="204"/>
  <c r="K212" i="204"/>
  <c r="L212" i="204"/>
  <c r="M212" i="204"/>
  <c r="N212" i="204"/>
  <c r="O212" i="204"/>
  <c r="P212" i="204"/>
  <c r="E213" i="204"/>
  <c r="F213" i="204"/>
  <c r="G213" i="204"/>
  <c r="H213" i="204"/>
  <c r="I213" i="204"/>
  <c r="J213" i="204"/>
  <c r="K213" i="204"/>
  <c r="L213" i="204"/>
  <c r="M213" i="204"/>
  <c r="N213" i="204"/>
  <c r="O213" i="204"/>
  <c r="P213" i="204"/>
  <c r="E214" i="204"/>
  <c r="F214" i="204"/>
  <c r="G214" i="204"/>
  <c r="H214" i="204"/>
  <c r="I214" i="204"/>
  <c r="J214" i="204"/>
  <c r="K214" i="204"/>
  <c r="L214" i="204"/>
  <c r="M214" i="204"/>
  <c r="N214" i="204"/>
  <c r="O214" i="204"/>
  <c r="P214" i="204"/>
  <c r="E215" i="204"/>
  <c r="F215" i="204"/>
  <c r="G215" i="204"/>
  <c r="H215" i="204"/>
  <c r="I215" i="204"/>
  <c r="J215" i="204"/>
  <c r="K215" i="204"/>
  <c r="L215" i="204"/>
  <c r="M215" i="204"/>
  <c r="N215" i="204"/>
  <c r="O215" i="204"/>
  <c r="P215" i="204"/>
  <c r="E216" i="204"/>
  <c r="F216" i="204"/>
  <c r="G216" i="204"/>
  <c r="H216" i="204"/>
  <c r="I216" i="204"/>
  <c r="J216" i="204"/>
  <c r="K216" i="204"/>
  <c r="L216" i="204"/>
  <c r="M216" i="204"/>
  <c r="N216" i="204"/>
  <c r="O216" i="204"/>
  <c r="P216" i="204"/>
  <c r="E217" i="204"/>
  <c r="F217" i="204"/>
  <c r="G217" i="204"/>
  <c r="H217" i="204"/>
  <c r="I217" i="204"/>
  <c r="J217" i="204"/>
  <c r="K217" i="204"/>
  <c r="L217" i="204"/>
  <c r="M217" i="204"/>
  <c r="N217" i="204"/>
  <c r="O217" i="204"/>
  <c r="P217" i="204"/>
  <c r="E218" i="204"/>
  <c r="F218" i="204"/>
  <c r="G218" i="204"/>
  <c r="H218" i="204"/>
  <c r="I218" i="204"/>
  <c r="J218" i="204"/>
  <c r="K218" i="204"/>
  <c r="L218" i="204"/>
  <c r="M218" i="204"/>
  <c r="N218" i="204"/>
  <c r="O218" i="204"/>
  <c r="P218" i="204"/>
  <c r="E219" i="204"/>
  <c r="F219" i="204"/>
  <c r="G219" i="204"/>
  <c r="H219" i="204"/>
  <c r="I219" i="204"/>
  <c r="J219" i="204"/>
  <c r="K219" i="204"/>
  <c r="L219" i="204"/>
  <c r="M219" i="204"/>
  <c r="N219" i="204"/>
  <c r="O219" i="204"/>
  <c r="P219" i="204"/>
  <c r="E220" i="204"/>
  <c r="F220" i="204"/>
  <c r="G220" i="204"/>
  <c r="H220" i="204"/>
  <c r="I220" i="204"/>
  <c r="J220" i="204"/>
  <c r="K220" i="204"/>
  <c r="L220" i="204"/>
  <c r="M220" i="204"/>
  <c r="N220" i="204"/>
  <c r="O220" i="204"/>
  <c r="P220" i="204"/>
  <c r="E221" i="204"/>
  <c r="F221" i="204"/>
  <c r="G221" i="204"/>
  <c r="H221" i="204"/>
  <c r="I221" i="204"/>
  <c r="J221" i="204"/>
  <c r="K221" i="204"/>
  <c r="L221" i="204"/>
  <c r="M221" i="204"/>
  <c r="N221" i="204"/>
  <c r="O221" i="204"/>
  <c r="P221" i="204"/>
  <c r="E222" i="204"/>
  <c r="F222" i="204"/>
  <c r="G222" i="204"/>
  <c r="H222" i="204"/>
  <c r="I222" i="204"/>
  <c r="J222" i="204"/>
  <c r="K222" i="204"/>
  <c r="L222" i="204"/>
  <c r="M222" i="204"/>
  <c r="N222" i="204"/>
  <c r="O222" i="204"/>
  <c r="P222" i="204"/>
  <c r="E223" i="204"/>
  <c r="F223" i="204"/>
  <c r="G223" i="204"/>
  <c r="H223" i="204"/>
  <c r="I223" i="204"/>
  <c r="J223" i="204"/>
  <c r="K223" i="204"/>
  <c r="L223" i="204"/>
  <c r="M223" i="204"/>
  <c r="N223" i="204"/>
  <c r="O223" i="204"/>
  <c r="P223" i="204"/>
  <c r="Q231" i="204"/>
  <c r="E232" i="204"/>
  <c r="F232" i="204"/>
  <c r="G232" i="204"/>
  <c r="H232" i="204"/>
  <c r="I232" i="204"/>
  <c r="J232" i="204"/>
  <c r="K232" i="204"/>
  <c r="L232" i="204"/>
  <c r="M232" i="204"/>
  <c r="N232" i="204"/>
  <c r="O232" i="204"/>
  <c r="P232" i="204"/>
  <c r="E233" i="204"/>
  <c r="F233" i="204"/>
  <c r="G233" i="204"/>
  <c r="H233" i="204"/>
  <c r="I233" i="204"/>
  <c r="J233" i="204"/>
  <c r="K233" i="204"/>
  <c r="L233" i="204"/>
  <c r="M233" i="204"/>
  <c r="N233" i="204"/>
  <c r="O233" i="204"/>
  <c r="P233" i="204"/>
  <c r="E234" i="204"/>
  <c r="F234" i="204"/>
  <c r="G234" i="204"/>
  <c r="H234" i="204"/>
  <c r="I234" i="204"/>
  <c r="J234" i="204"/>
  <c r="K234" i="204"/>
  <c r="L234" i="204"/>
  <c r="M234" i="204"/>
  <c r="N234" i="204"/>
  <c r="O234" i="204"/>
  <c r="P234" i="204"/>
  <c r="E235" i="204"/>
  <c r="F235" i="204"/>
  <c r="G235" i="204"/>
  <c r="H235" i="204"/>
  <c r="I235" i="204"/>
  <c r="J235" i="204"/>
  <c r="K235" i="204"/>
  <c r="L235" i="204"/>
  <c r="M235" i="204"/>
  <c r="N235" i="204"/>
  <c r="O235" i="204"/>
  <c r="P235" i="204"/>
  <c r="E236" i="204"/>
  <c r="F236" i="204"/>
  <c r="G236" i="204"/>
  <c r="H236" i="204"/>
  <c r="I236" i="204"/>
  <c r="J236" i="204"/>
  <c r="K236" i="204"/>
  <c r="L236" i="204"/>
  <c r="M236" i="204"/>
  <c r="N236" i="204"/>
  <c r="O236" i="204"/>
  <c r="P236" i="204"/>
  <c r="E237" i="204"/>
  <c r="F237" i="204"/>
  <c r="G237" i="204"/>
  <c r="H237" i="204"/>
  <c r="I237" i="204"/>
  <c r="J237" i="204"/>
  <c r="K237" i="204"/>
  <c r="L237" i="204"/>
  <c r="M237" i="204"/>
  <c r="N237" i="204"/>
  <c r="O237" i="204"/>
  <c r="P237" i="204"/>
  <c r="E238" i="204"/>
  <c r="F238" i="204"/>
  <c r="G238" i="204"/>
  <c r="H238" i="204"/>
  <c r="I238" i="204"/>
  <c r="J238" i="204"/>
  <c r="K238" i="204"/>
  <c r="L238" i="204"/>
  <c r="M238" i="204"/>
  <c r="N238" i="204"/>
  <c r="O238" i="204"/>
  <c r="P238" i="204"/>
  <c r="E239" i="204"/>
  <c r="F239" i="204"/>
  <c r="G239" i="204"/>
  <c r="H239" i="204"/>
  <c r="I239" i="204"/>
  <c r="J239" i="204"/>
  <c r="K239" i="204"/>
  <c r="L239" i="204"/>
  <c r="M239" i="204"/>
  <c r="N239" i="204"/>
  <c r="O239" i="204"/>
  <c r="P239" i="204"/>
  <c r="E240" i="204"/>
  <c r="F240" i="204"/>
  <c r="G240" i="204"/>
  <c r="H240" i="204"/>
  <c r="I240" i="204"/>
  <c r="J240" i="204"/>
  <c r="K240" i="204"/>
  <c r="L240" i="204"/>
  <c r="M240" i="204"/>
  <c r="N240" i="204"/>
  <c r="O240" i="204"/>
  <c r="P240" i="204"/>
  <c r="E241" i="204"/>
  <c r="F241" i="204"/>
  <c r="G241" i="204"/>
  <c r="H241" i="204"/>
  <c r="I241" i="204"/>
  <c r="J241" i="204"/>
  <c r="K241" i="204"/>
  <c r="L241" i="204"/>
  <c r="M241" i="204"/>
  <c r="N241" i="204"/>
  <c r="O241" i="204"/>
  <c r="P241" i="204"/>
  <c r="E242" i="204"/>
  <c r="F242" i="204"/>
  <c r="G242" i="204"/>
  <c r="H242" i="204"/>
  <c r="I242" i="204"/>
  <c r="J242" i="204"/>
  <c r="K242" i="204"/>
  <c r="L242" i="204"/>
  <c r="M242" i="204"/>
  <c r="N242" i="204"/>
  <c r="O242" i="204"/>
  <c r="P242" i="204"/>
  <c r="E243" i="204"/>
  <c r="F243" i="204"/>
  <c r="G243" i="204"/>
  <c r="H243" i="204"/>
  <c r="I243" i="204"/>
  <c r="J243" i="204"/>
  <c r="K243" i="204"/>
  <c r="L243" i="204"/>
  <c r="M243" i="204"/>
  <c r="N243" i="204"/>
  <c r="O243" i="204"/>
  <c r="P243" i="204"/>
  <c r="E244" i="204"/>
  <c r="F244" i="204"/>
  <c r="G244" i="204"/>
  <c r="H244" i="204"/>
  <c r="I244" i="204"/>
  <c r="J244" i="204"/>
  <c r="K244" i="204"/>
  <c r="L244" i="204"/>
  <c r="M244" i="204"/>
  <c r="N244" i="204"/>
  <c r="O244" i="204"/>
  <c r="P244" i="204"/>
  <c r="Q246" i="204"/>
  <c r="E247" i="204"/>
  <c r="F247" i="204"/>
  <c r="G247" i="204"/>
  <c r="H247" i="204"/>
  <c r="I247" i="204"/>
  <c r="J247" i="204"/>
  <c r="K247" i="204"/>
  <c r="L247" i="204"/>
  <c r="M247" i="204"/>
  <c r="N247" i="204"/>
  <c r="O247" i="204"/>
  <c r="P247" i="204"/>
  <c r="E248" i="204"/>
  <c r="F248" i="204"/>
  <c r="G248" i="204"/>
  <c r="H248" i="204"/>
  <c r="I248" i="204"/>
  <c r="J248" i="204"/>
  <c r="K248" i="204"/>
  <c r="L248" i="204"/>
  <c r="M248" i="204"/>
  <c r="N248" i="204"/>
  <c r="O248" i="204"/>
  <c r="P248" i="204"/>
  <c r="E249" i="204"/>
  <c r="F249" i="204"/>
  <c r="G249" i="204"/>
  <c r="H249" i="204"/>
  <c r="I249" i="204"/>
  <c r="J249" i="204"/>
  <c r="K249" i="204"/>
  <c r="L249" i="204"/>
  <c r="M249" i="204"/>
  <c r="N249" i="204"/>
  <c r="O249" i="204"/>
  <c r="P249" i="204"/>
  <c r="E250" i="204"/>
  <c r="F250" i="204"/>
  <c r="G250" i="204"/>
  <c r="H250" i="204"/>
  <c r="I250" i="204"/>
  <c r="J250" i="204"/>
  <c r="K250" i="204"/>
  <c r="L250" i="204"/>
  <c r="M250" i="204"/>
  <c r="N250" i="204"/>
  <c r="O250" i="204"/>
  <c r="P250" i="204"/>
  <c r="E251" i="204"/>
  <c r="F251" i="204"/>
  <c r="G251" i="204"/>
  <c r="H251" i="204"/>
  <c r="I251" i="204"/>
  <c r="J251" i="204"/>
  <c r="K251" i="204"/>
  <c r="L251" i="204"/>
  <c r="M251" i="204"/>
  <c r="N251" i="204"/>
  <c r="O251" i="204"/>
  <c r="P251" i="204"/>
  <c r="E252" i="204"/>
  <c r="F252" i="204"/>
  <c r="G252" i="204"/>
  <c r="H252" i="204"/>
  <c r="I252" i="204"/>
  <c r="J252" i="204"/>
  <c r="K252" i="204"/>
  <c r="L252" i="204"/>
  <c r="M252" i="204"/>
  <c r="N252" i="204"/>
  <c r="O252" i="204"/>
  <c r="P252" i="204"/>
  <c r="E253" i="204"/>
  <c r="F253" i="204"/>
  <c r="G253" i="204"/>
  <c r="H253" i="204"/>
  <c r="I253" i="204"/>
  <c r="J253" i="204"/>
  <c r="K253" i="204"/>
  <c r="L253" i="204"/>
  <c r="M253" i="204"/>
  <c r="N253" i="204"/>
  <c r="O253" i="204"/>
  <c r="P253" i="204"/>
  <c r="E254" i="204"/>
  <c r="F254" i="204"/>
  <c r="G254" i="204"/>
  <c r="H254" i="204"/>
  <c r="I254" i="204"/>
  <c r="J254" i="204"/>
  <c r="K254" i="204"/>
  <c r="L254" i="204"/>
  <c r="M254" i="204"/>
  <c r="N254" i="204"/>
  <c r="O254" i="204"/>
  <c r="P254" i="204"/>
  <c r="E255" i="204"/>
  <c r="F255" i="204"/>
  <c r="G255" i="204"/>
  <c r="H255" i="204"/>
  <c r="I255" i="204"/>
  <c r="J255" i="204"/>
  <c r="K255" i="204"/>
  <c r="L255" i="204"/>
  <c r="M255" i="204"/>
  <c r="N255" i="204"/>
  <c r="O255" i="204"/>
  <c r="P255" i="204"/>
  <c r="E256" i="204"/>
  <c r="F256" i="204"/>
  <c r="G256" i="204"/>
  <c r="H256" i="204"/>
  <c r="I256" i="204"/>
  <c r="J256" i="204"/>
  <c r="K256" i="204"/>
  <c r="L256" i="204"/>
  <c r="M256" i="204"/>
  <c r="N256" i="204"/>
  <c r="O256" i="204"/>
  <c r="P256" i="204"/>
  <c r="E257" i="204"/>
  <c r="F257" i="204"/>
  <c r="G257" i="204"/>
  <c r="H257" i="204"/>
  <c r="I257" i="204"/>
  <c r="J257" i="204"/>
  <c r="K257" i="204"/>
  <c r="L257" i="204"/>
  <c r="M257" i="204"/>
  <c r="N257" i="204"/>
  <c r="O257" i="204"/>
  <c r="P257" i="204"/>
  <c r="E258" i="204"/>
  <c r="F258" i="204"/>
  <c r="G258" i="204"/>
  <c r="H258" i="204"/>
  <c r="I258" i="204"/>
  <c r="J258" i="204"/>
  <c r="K258" i="204"/>
  <c r="L258" i="204"/>
  <c r="M258" i="204"/>
  <c r="N258" i="204"/>
  <c r="O258" i="204"/>
  <c r="P258" i="204"/>
  <c r="E259" i="204"/>
  <c r="F259" i="204"/>
  <c r="G259" i="204"/>
  <c r="H259" i="204"/>
  <c r="I259" i="204"/>
  <c r="J259" i="204"/>
  <c r="K259" i="204"/>
  <c r="L259" i="204"/>
  <c r="M259" i="204"/>
  <c r="N259" i="204"/>
  <c r="O259" i="204"/>
  <c r="P259" i="204"/>
  <c r="E260" i="204"/>
  <c r="F260" i="204"/>
  <c r="G260" i="204"/>
  <c r="H260" i="204"/>
  <c r="I260" i="204"/>
  <c r="J260" i="204"/>
  <c r="K260" i="204"/>
  <c r="L260" i="204"/>
  <c r="M260" i="204"/>
  <c r="N260" i="204"/>
  <c r="O260" i="204"/>
  <c r="P260" i="204"/>
  <c r="E261" i="204"/>
  <c r="F261" i="204"/>
  <c r="G261" i="204"/>
  <c r="H261" i="204"/>
  <c r="I261" i="204"/>
  <c r="J261" i="204"/>
  <c r="K261" i="204"/>
  <c r="L261" i="204"/>
  <c r="M261" i="204"/>
  <c r="N261" i="204"/>
  <c r="O261" i="204"/>
  <c r="P261" i="204"/>
  <c r="Q263" i="204"/>
  <c r="E264" i="204"/>
  <c r="F264" i="204"/>
  <c r="G264" i="204"/>
  <c r="H264" i="204"/>
  <c r="I264" i="204"/>
  <c r="J264" i="204"/>
  <c r="K264" i="204"/>
  <c r="L264" i="204"/>
  <c r="M264" i="204"/>
  <c r="N264" i="204"/>
  <c r="O264" i="204"/>
  <c r="P264" i="204"/>
  <c r="E265" i="204"/>
  <c r="F265" i="204"/>
  <c r="G265" i="204"/>
  <c r="H265" i="204"/>
  <c r="I265" i="204"/>
  <c r="J265" i="204"/>
  <c r="K265" i="204"/>
  <c r="L265" i="204"/>
  <c r="M265" i="204"/>
  <c r="N265" i="204"/>
  <c r="O265" i="204"/>
  <c r="P265" i="204"/>
  <c r="E266" i="204"/>
  <c r="F266" i="204"/>
  <c r="G266" i="204"/>
  <c r="H266" i="204"/>
  <c r="I266" i="204"/>
  <c r="J266" i="204"/>
  <c r="K266" i="204"/>
  <c r="L266" i="204"/>
  <c r="M266" i="204"/>
  <c r="N266" i="204"/>
  <c r="O266" i="204"/>
  <c r="P266" i="204"/>
  <c r="E267" i="204"/>
  <c r="F267" i="204"/>
  <c r="G267" i="204"/>
  <c r="H267" i="204"/>
  <c r="I267" i="204"/>
  <c r="J267" i="204"/>
  <c r="K267" i="204"/>
  <c r="L267" i="204"/>
  <c r="M267" i="204"/>
  <c r="N267" i="204"/>
  <c r="O267" i="204"/>
  <c r="P267" i="204"/>
  <c r="E268" i="204"/>
  <c r="F268" i="204"/>
  <c r="G268" i="204"/>
  <c r="H268" i="204"/>
  <c r="I268" i="204"/>
  <c r="J268" i="204"/>
  <c r="K268" i="204"/>
  <c r="L268" i="204"/>
  <c r="M268" i="204"/>
  <c r="N268" i="204"/>
  <c r="O268" i="204"/>
  <c r="P268" i="204"/>
  <c r="E269" i="204"/>
  <c r="F269" i="204"/>
  <c r="G269" i="204"/>
  <c r="H269" i="204"/>
  <c r="I269" i="204"/>
  <c r="J269" i="204"/>
  <c r="K269" i="204"/>
  <c r="L269" i="204"/>
  <c r="M269" i="204"/>
  <c r="N269" i="204"/>
  <c r="O269" i="204"/>
  <c r="P269" i="204"/>
  <c r="E270" i="204"/>
  <c r="F270" i="204"/>
  <c r="G270" i="204"/>
  <c r="H270" i="204"/>
  <c r="I270" i="204"/>
  <c r="J270" i="204"/>
  <c r="K270" i="204"/>
  <c r="L270" i="204"/>
  <c r="M270" i="204"/>
  <c r="N270" i="204"/>
  <c r="O270" i="204"/>
  <c r="P270" i="204"/>
  <c r="E271" i="204"/>
  <c r="F271" i="204"/>
  <c r="G271" i="204"/>
  <c r="H271" i="204"/>
  <c r="I271" i="204"/>
  <c r="J271" i="204"/>
  <c r="K271" i="204"/>
  <c r="L271" i="204"/>
  <c r="M271" i="204"/>
  <c r="N271" i="204"/>
  <c r="O271" i="204"/>
  <c r="P271" i="204"/>
  <c r="E272" i="204"/>
  <c r="F272" i="204"/>
  <c r="G272" i="204"/>
  <c r="H272" i="204"/>
  <c r="I272" i="204"/>
  <c r="J272" i="204"/>
  <c r="K272" i="204"/>
  <c r="L272" i="204"/>
  <c r="M272" i="204"/>
  <c r="N272" i="204"/>
  <c r="O272" i="204"/>
  <c r="P272" i="204"/>
  <c r="E273" i="204"/>
  <c r="F273" i="204"/>
  <c r="G273" i="204"/>
  <c r="H273" i="204"/>
  <c r="I273" i="204"/>
  <c r="J273" i="204"/>
  <c r="K273" i="204"/>
  <c r="L273" i="204"/>
  <c r="M273" i="204"/>
  <c r="N273" i="204"/>
  <c r="O273" i="204"/>
  <c r="P273" i="204"/>
  <c r="E274" i="204"/>
  <c r="F274" i="204"/>
  <c r="G274" i="204"/>
  <c r="H274" i="204"/>
  <c r="I274" i="204"/>
  <c r="J274" i="204"/>
  <c r="K274" i="204"/>
  <c r="L274" i="204"/>
  <c r="M274" i="204"/>
  <c r="N274" i="204"/>
  <c r="O274" i="204"/>
  <c r="P274" i="204"/>
  <c r="E275" i="204"/>
  <c r="F275" i="204"/>
  <c r="G275" i="204"/>
  <c r="H275" i="204"/>
  <c r="I275" i="204"/>
  <c r="J275" i="204"/>
  <c r="K275" i="204"/>
  <c r="L275" i="204"/>
  <c r="M275" i="204"/>
  <c r="N275" i="204"/>
  <c r="O275" i="204"/>
  <c r="P275" i="204"/>
  <c r="E276" i="204"/>
  <c r="F276" i="204"/>
  <c r="G276" i="204"/>
  <c r="H276" i="204"/>
  <c r="I276" i="204"/>
  <c r="J276" i="204"/>
  <c r="K276" i="204"/>
  <c r="L276" i="204"/>
  <c r="M276" i="204"/>
  <c r="N276" i="204"/>
  <c r="O276" i="204"/>
  <c r="P276" i="204"/>
  <c r="E277" i="204"/>
  <c r="F277" i="204"/>
  <c r="G277" i="204"/>
  <c r="H277" i="204"/>
  <c r="I277" i="204"/>
  <c r="J277" i="204"/>
  <c r="K277" i="204"/>
  <c r="L277" i="204"/>
  <c r="M277" i="204"/>
  <c r="N277" i="204"/>
  <c r="O277" i="204"/>
  <c r="P277" i="204"/>
  <c r="E278" i="204"/>
  <c r="F278" i="204"/>
  <c r="G278" i="204"/>
  <c r="H278" i="204"/>
  <c r="I278" i="204"/>
  <c r="J278" i="204"/>
  <c r="K278" i="204"/>
  <c r="L278" i="204"/>
  <c r="M278" i="204"/>
  <c r="N278" i="204"/>
  <c r="O278" i="204"/>
  <c r="P278" i="204"/>
  <c r="Q280" i="204"/>
  <c r="E281" i="204"/>
  <c r="F281" i="204"/>
  <c r="G281" i="204"/>
  <c r="H281" i="204"/>
  <c r="I281" i="204"/>
  <c r="J281" i="204"/>
  <c r="K281" i="204"/>
  <c r="L281" i="204"/>
  <c r="M281" i="204"/>
  <c r="N281" i="204"/>
  <c r="O281" i="204"/>
  <c r="P281" i="204"/>
  <c r="E282" i="204"/>
  <c r="F282" i="204"/>
  <c r="G282" i="204"/>
  <c r="H282" i="204"/>
  <c r="I282" i="204"/>
  <c r="J282" i="204"/>
  <c r="K282" i="204"/>
  <c r="L282" i="204"/>
  <c r="M282" i="204"/>
  <c r="N282" i="204"/>
  <c r="O282" i="204"/>
  <c r="P282" i="204"/>
  <c r="E283" i="204"/>
  <c r="F283" i="204"/>
  <c r="G283" i="204"/>
  <c r="H283" i="204"/>
  <c r="I283" i="204"/>
  <c r="J283" i="204"/>
  <c r="K283" i="204"/>
  <c r="L283" i="204"/>
  <c r="M283" i="204"/>
  <c r="N283" i="204"/>
  <c r="O283" i="204"/>
  <c r="P283" i="204"/>
  <c r="E284" i="204"/>
  <c r="F284" i="204"/>
  <c r="G284" i="204"/>
  <c r="H284" i="204"/>
  <c r="I284" i="204"/>
  <c r="J284" i="204"/>
  <c r="K284" i="204"/>
  <c r="L284" i="204"/>
  <c r="M284" i="204"/>
  <c r="N284" i="204"/>
  <c r="O284" i="204"/>
  <c r="P284" i="204"/>
  <c r="E285" i="204"/>
  <c r="F285" i="204"/>
  <c r="G285" i="204"/>
  <c r="H285" i="204"/>
  <c r="I285" i="204"/>
  <c r="J285" i="204"/>
  <c r="K285" i="204"/>
  <c r="L285" i="204"/>
  <c r="M285" i="204"/>
  <c r="N285" i="204"/>
  <c r="O285" i="204"/>
  <c r="P285" i="204"/>
  <c r="E286" i="204"/>
  <c r="F286" i="204"/>
  <c r="G286" i="204"/>
  <c r="H286" i="204"/>
  <c r="I286" i="204"/>
  <c r="J286" i="204"/>
  <c r="K286" i="204"/>
  <c r="L286" i="204"/>
  <c r="M286" i="204"/>
  <c r="N286" i="204"/>
  <c r="O286" i="204"/>
  <c r="P286" i="204"/>
  <c r="E287" i="204"/>
  <c r="F287" i="204"/>
  <c r="G287" i="204"/>
  <c r="H287" i="204"/>
  <c r="I287" i="204"/>
  <c r="J287" i="204"/>
  <c r="K287" i="204"/>
  <c r="L287" i="204"/>
  <c r="M287" i="204"/>
  <c r="N287" i="204"/>
  <c r="O287" i="204"/>
  <c r="P287" i="204"/>
  <c r="E288" i="204"/>
  <c r="F288" i="204"/>
  <c r="G288" i="204"/>
  <c r="H288" i="204"/>
  <c r="I288" i="204"/>
  <c r="J288" i="204"/>
  <c r="K288" i="204"/>
  <c r="L288" i="204"/>
  <c r="M288" i="204"/>
  <c r="N288" i="204"/>
  <c r="O288" i="204"/>
  <c r="P288" i="204"/>
  <c r="E289" i="204"/>
  <c r="F289" i="204"/>
  <c r="G289" i="204"/>
  <c r="H289" i="204"/>
  <c r="I289" i="204"/>
  <c r="J289" i="204"/>
  <c r="K289" i="204"/>
  <c r="L289" i="204"/>
  <c r="M289" i="204"/>
  <c r="N289" i="204"/>
  <c r="O289" i="204"/>
  <c r="P289" i="204"/>
  <c r="E290" i="204"/>
  <c r="F290" i="204"/>
  <c r="G290" i="204"/>
  <c r="H290" i="204"/>
  <c r="I290" i="204"/>
  <c r="J290" i="204"/>
  <c r="K290" i="204"/>
  <c r="L290" i="204"/>
  <c r="M290" i="204"/>
  <c r="N290" i="204"/>
  <c r="O290" i="204"/>
  <c r="P290" i="204"/>
  <c r="E291" i="204"/>
  <c r="F291" i="204"/>
  <c r="G291" i="204"/>
  <c r="H291" i="204"/>
  <c r="I291" i="204"/>
  <c r="J291" i="204"/>
  <c r="K291" i="204"/>
  <c r="L291" i="204"/>
  <c r="M291" i="204"/>
  <c r="N291" i="204"/>
  <c r="O291" i="204"/>
  <c r="P291" i="204"/>
  <c r="E292" i="204"/>
  <c r="F292" i="204"/>
  <c r="G292" i="204"/>
  <c r="H292" i="204"/>
  <c r="I292" i="204"/>
  <c r="J292" i="204"/>
  <c r="K292" i="204"/>
  <c r="L292" i="204"/>
  <c r="M292" i="204"/>
  <c r="N292" i="204"/>
  <c r="O292" i="204"/>
  <c r="P292" i="204"/>
  <c r="E293" i="204"/>
  <c r="F293" i="204"/>
  <c r="G293" i="204"/>
  <c r="H293" i="204"/>
  <c r="I293" i="204"/>
  <c r="J293" i="204"/>
  <c r="K293" i="204"/>
  <c r="L293" i="204"/>
  <c r="M293" i="204"/>
  <c r="N293" i="204"/>
  <c r="O293" i="204"/>
  <c r="P293" i="204"/>
  <c r="E294" i="204"/>
  <c r="F294" i="204"/>
  <c r="G294" i="204"/>
  <c r="H294" i="204"/>
  <c r="I294" i="204"/>
  <c r="J294" i="204"/>
  <c r="K294" i="204"/>
  <c r="L294" i="204"/>
  <c r="M294" i="204"/>
  <c r="N294" i="204"/>
  <c r="O294" i="204"/>
  <c r="P294" i="204"/>
  <c r="E295" i="204"/>
  <c r="F295" i="204"/>
  <c r="G295" i="204"/>
  <c r="H295" i="204"/>
  <c r="I295" i="204"/>
  <c r="J295" i="204"/>
  <c r="K295" i="204"/>
  <c r="L295" i="204"/>
  <c r="M295" i="204"/>
  <c r="N295" i="204"/>
  <c r="O295" i="204"/>
  <c r="P295" i="204"/>
  <c r="E296" i="204"/>
  <c r="F296" i="204"/>
  <c r="G296" i="204"/>
  <c r="H296" i="204"/>
  <c r="I296" i="204"/>
  <c r="J296" i="204"/>
  <c r="K296" i="204"/>
  <c r="L296" i="204"/>
  <c r="M296" i="204"/>
  <c r="N296" i="204"/>
  <c r="O296" i="204"/>
  <c r="P296" i="204"/>
  <c r="E297" i="204"/>
  <c r="F297" i="204"/>
  <c r="G297" i="204"/>
  <c r="H297" i="204"/>
  <c r="I297" i="204"/>
  <c r="J297" i="204"/>
  <c r="K297" i="204"/>
  <c r="L297" i="204"/>
  <c r="M297" i="204"/>
  <c r="N297" i="204"/>
  <c r="O297" i="204"/>
  <c r="P297" i="204"/>
  <c r="Q304" i="204"/>
  <c r="E305" i="204"/>
  <c r="F305" i="204"/>
  <c r="G305" i="204"/>
  <c r="H305" i="204"/>
  <c r="I305" i="204"/>
  <c r="J305" i="204"/>
  <c r="K305" i="204"/>
  <c r="L305" i="204"/>
  <c r="M305" i="204"/>
  <c r="N305" i="204"/>
  <c r="O305" i="204"/>
  <c r="P305" i="204"/>
  <c r="E306" i="204"/>
  <c r="F306" i="204"/>
  <c r="G306" i="204"/>
  <c r="H306" i="204"/>
  <c r="I306" i="204"/>
  <c r="J306" i="204"/>
  <c r="K306" i="204"/>
  <c r="L306" i="204"/>
  <c r="M306" i="204"/>
  <c r="N306" i="204"/>
  <c r="O306" i="204"/>
  <c r="P306" i="204"/>
  <c r="E307" i="204"/>
  <c r="F307" i="204"/>
  <c r="G307" i="204"/>
  <c r="H307" i="204"/>
  <c r="I307" i="204"/>
  <c r="J307" i="204"/>
  <c r="K307" i="204"/>
  <c r="L307" i="204"/>
  <c r="M307" i="204"/>
  <c r="N307" i="204"/>
  <c r="O307" i="204"/>
  <c r="P307" i="204"/>
  <c r="E308" i="204"/>
  <c r="F308" i="204"/>
  <c r="G308" i="204"/>
  <c r="H308" i="204"/>
  <c r="I308" i="204"/>
  <c r="J308" i="204"/>
  <c r="K308" i="204"/>
  <c r="L308" i="204"/>
  <c r="M308" i="204"/>
  <c r="N308" i="204"/>
  <c r="O308" i="204"/>
  <c r="P308" i="204"/>
  <c r="E309" i="204"/>
  <c r="F309" i="204"/>
  <c r="G309" i="204"/>
  <c r="H309" i="204"/>
  <c r="I309" i="204"/>
  <c r="J309" i="204"/>
  <c r="K309" i="204"/>
  <c r="L309" i="204"/>
  <c r="M309" i="204"/>
  <c r="N309" i="204"/>
  <c r="O309" i="204"/>
  <c r="P309" i="204"/>
  <c r="E310" i="204"/>
  <c r="F310" i="204"/>
  <c r="G310" i="204"/>
  <c r="H310" i="204"/>
  <c r="I310" i="204"/>
  <c r="J310" i="204"/>
  <c r="K310" i="204"/>
  <c r="L310" i="204"/>
  <c r="M310" i="204"/>
  <c r="N310" i="204"/>
  <c r="O310" i="204"/>
  <c r="P310" i="204"/>
  <c r="E311" i="204"/>
  <c r="F311" i="204"/>
  <c r="G311" i="204"/>
  <c r="H311" i="204"/>
  <c r="I311" i="204"/>
  <c r="J311" i="204"/>
  <c r="K311" i="204"/>
  <c r="L311" i="204"/>
  <c r="M311" i="204"/>
  <c r="N311" i="204"/>
  <c r="O311" i="204"/>
  <c r="P311" i="204"/>
  <c r="E312" i="204"/>
  <c r="F312" i="204"/>
  <c r="G312" i="204"/>
  <c r="H312" i="204"/>
  <c r="I312" i="204"/>
  <c r="J312" i="204"/>
  <c r="K312" i="204"/>
  <c r="L312" i="204"/>
  <c r="M312" i="204"/>
  <c r="N312" i="204"/>
  <c r="O312" i="204"/>
  <c r="P312" i="204"/>
  <c r="E313" i="204"/>
  <c r="F313" i="204"/>
  <c r="G313" i="204"/>
  <c r="H313" i="204"/>
  <c r="I313" i="204"/>
  <c r="J313" i="204"/>
  <c r="K313" i="204"/>
  <c r="L313" i="204"/>
  <c r="M313" i="204"/>
  <c r="N313" i="204"/>
  <c r="O313" i="204"/>
  <c r="P313" i="204"/>
  <c r="E314" i="204"/>
  <c r="F314" i="204"/>
  <c r="G314" i="204"/>
  <c r="H314" i="204"/>
  <c r="I314" i="204"/>
  <c r="J314" i="204"/>
  <c r="K314" i="204"/>
  <c r="L314" i="204"/>
  <c r="M314" i="204"/>
  <c r="N314" i="204"/>
  <c r="O314" i="204"/>
  <c r="P314" i="204"/>
  <c r="E315" i="204"/>
  <c r="F315" i="204"/>
  <c r="G315" i="204"/>
  <c r="H315" i="204"/>
  <c r="I315" i="204"/>
  <c r="J315" i="204"/>
  <c r="K315" i="204"/>
  <c r="L315" i="204"/>
  <c r="M315" i="204"/>
  <c r="N315" i="204"/>
  <c r="O315" i="204"/>
  <c r="P315" i="204"/>
  <c r="E316" i="204"/>
  <c r="F316" i="204"/>
  <c r="G316" i="204"/>
  <c r="H316" i="204"/>
  <c r="I316" i="204"/>
  <c r="J316" i="204"/>
  <c r="K316" i="204"/>
  <c r="L316" i="204"/>
  <c r="M316" i="204"/>
  <c r="N316" i="204"/>
  <c r="O316" i="204"/>
  <c r="P316" i="204"/>
  <c r="E317" i="204"/>
  <c r="F317" i="204"/>
  <c r="G317" i="204"/>
  <c r="H317" i="204"/>
  <c r="I317" i="204"/>
  <c r="J317" i="204"/>
  <c r="K317" i="204"/>
  <c r="L317" i="204"/>
  <c r="M317" i="204"/>
  <c r="N317" i="204"/>
  <c r="O317" i="204"/>
  <c r="P317" i="204"/>
  <c r="E318" i="204"/>
  <c r="Q319" i="204"/>
  <c r="E320" i="204"/>
  <c r="F320" i="204"/>
  <c r="G320" i="204"/>
  <c r="H320" i="204"/>
  <c r="I320" i="204"/>
  <c r="J320" i="204"/>
  <c r="K320" i="204"/>
  <c r="L320" i="204"/>
  <c r="M320" i="204"/>
  <c r="N320" i="204"/>
  <c r="O320" i="204"/>
  <c r="P320" i="204"/>
  <c r="E321" i="204"/>
  <c r="F321" i="204"/>
  <c r="G321" i="204"/>
  <c r="H321" i="204"/>
  <c r="I321" i="204"/>
  <c r="J321" i="204"/>
  <c r="K321" i="204"/>
  <c r="L321" i="204"/>
  <c r="M321" i="204"/>
  <c r="N321" i="204"/>
  <c r="O321" i="204"/>
  <c r="P321" i="204"/>
  <c r="E322" i="204"/>
  <c r="F322" i="204"/>
  <c r="G322" i="204"/>
  <c r="H322" i="204"/>
  <c r="I322" i="204"/>
  <c r="J322" i="204"/>
  <c r="K322" i="204"/>
  <c r="L322" i="204"/>
  <c r="M322" i="204"/>
  <c r="N322" i="204"/>
  <c r="O322" i="204"/>
  <c r="P322" i="204"/>
  <c r="E323" i="204"/>
  <c r="F323" i="204"/>
  <c r="G323" i="204"/>
  <c r="H323" i="204"/>
  <c r="I323" i="204"/>
  <c r="J323" i="204"/>
  <c r="K323" i="204"/>
  <c r="L323" i="204"/>
  <c r="M323" i="204"/>
  <c r="N323" i="204"/>
  <c r="O323" i="204"/>
  <c r="P323" i="204"/>
  <c r="E324" i="204"/>
  <c r="F324" i="204"/>
  <c r="G324" i="204"/>
  <c r="H324" i="204"/>
  <c r="I324" i="204"/>
  <c r="J324" i="204"/>
  <c r="K324" i="204"/>
  <c r="L324" i="204"/>
  <c r="M324" i="204"/>
  <c r="N324" i="204"/>
  <c r="O324" i="204"/>
  <c r="P324" i="204"/>
  <c r="E325" i="204"/>
  <c r="F325" i="204"/>
  <c r="G325" i="204"/>
  <c r="H325" i="204"/>
  <c r="I325" i="204"/>
  <c r="J325" i="204"/>
  <c r="K325" i="204"/>
  <c r="L325" i="204"/>
  <c r="M325" i="204"/>
  <c r="N325" i="204"/>
  <c r="O325" i="204"/>
  <c r="P325" i="204"/>
  <c r="E326" i="204"/>
  <c r="F326" i="204"/>
  <c r="G326" i="204"/>
  <c r="H326" i="204"/>
  <c r="I326" i="204"/>
  <c r="J326" i="204"/>
  <c r="K326" i="204"/>
  <c r="L326" i="204"/>
  <c r="M326" i="204"/>
  <c r="N326" i="204"/>
  <c r="O326" i="204"/>
  <c r="P326" i="204"/>
  <c r="E327" i="204"/>
  <c r="F327" i="204"/>
  <c r="G327" i="204"/>
  <c r="H327" i="204"/>
  <c r="I327" i="204"/>
  <c r="J327" i="204"/>
  <c r="K327" i="204"/>
  <c r="L327" i="204"/>
  <c r="M327" i="204"/>
  <c r="N327" i="204"/>
  <c r="O327" i="204"/>
  <c r="P327" i="204"/>
  <c r="E328" i="204"/>
  <c r="F328" i="204"/>
  <c r="G328" i="204"/>
  <c r="H328" i="204"/>
  <c r="I328" i="204"/>
  <c r="J328" i="204"/>
  <c r="K328" i="204"/>
  <c r="L328" i="204"/>
  <c r="M328" i="204"/>
  <c r="N328" i="204"/>
  <c r="O328" i="204"/>
  <c r="P328" i="204"/>
  <c r="E329" i="204"/>
  <c r="F329" i="204"/>
  <c r="G329" i="204"/>
  <c r="H329" i="204"/>
  <c r="I329" i="204"/>
  <c r="J329" i="204"/>
  <c r="K329" i="204"/>
  <c r="L329" i="204"/>
  <c r="M329" i="204"/>
  <c r="N329" i="204"/>
  <c r="O329" i="204"/>
  <c r="P329" i="204"/>
  <c r="E330" i="204"/>
  <c r="F330" i="204"/>
  <c r="G330" i="204"/>
  <c r="H330" i="204"/>
  <c r="I330" i="204"/>
  <c r="J330" i="204"/>
  <c r="K330" i="204"/>
  <c r="L330" i="204"/>
  <c r="M330" i="204"/>
  <c r="N330" i="204"/>
  <c r="O330" i="204"/>
  <c r="P330" i="204"/>
  <c r="E331" i="204"/>
  <c r="F331" i="204"/>
  <c r="G331" i="204"/>
  <c r="H331" i="204"/>
  <c r="I331" i="204"/>
  <c r="J331" i="204"/>
  <c r="K331" i="204"/>
  <c r="L331" i="204"/>
  <c r="M331" i="204"/>
  <c r="N331" i="204"/>
  <c r="O331" i="204"/>
  <c r="P331" i="204"/>
  <c r="E332" i="204"/>
  <c r="F332" i="204"/>
  <c r="G332" i="204"/>
  <c r="H332" i="204"/>
  <c r="I332" i="204"/>
  <c r="J332" i="204"/>
  <c r="K332" i="204"/>
  <c r="L332" i="204"/>
  <c r="M332" i="204"/>
  <c r="N332" i="204"/>
  <c r="O332" i="204"/>
  <c r="P332" i="204"/>
  <c r="E333" i="204"/>
  <c r="F333" i="204"/>
  <c r="G333" i="204"/>
  <c r="H333" i="204"/>
  <c r="I333" i="204"/>
  <c r="J333" i="204"/>
  <c r="K333" i="204"/>
  <c r="L333" i="204"/>
  <c r="M333" i="204"/>
  <c r="N333" i="204"/>
  <c r="O333" i="204"/>
  <c r="P333" i="204"/>
  <c r="E334" i="204"/>
  <c r="F334" i="204"/>
  <c r="G334" i="204"/>
  <c r="H334" i="204"/>
  <c r="I334" i="204"/>
  <c r="J334" i="204"/>
  <c r="K334" i="204"/>
  <c r="L334" i="204"/>
  <c r="M334" i="204"/>
  <c r="N334" i="204"/>
  <c r="O334" i="204"/>
  <c r="P334" i="204"/>
  <c r="Q336" i="204"/>
  <c r="E337" i="204"/>
  <c r="F337" i="204"/>
  <c r="G337" i="204"/>
  <c r="H337" i="204"/>
  <c r="I337" i="204"/>
  <c r="J337" i="204"/>
  <c r="K337" i="204"/>
  <c r="L337" i="204"/>
  <c r="M337" i="204"/>
  <c r="N337" i="204"/>
  <c r="O337" i="204"/>
  <c r="P337" i="204"/>
  <c r="E338" i="204"/>
  <c r="F338" i="204"/>
  <c r="G338" i="204"/>
  <c r="H338" i="204"/>
  <c r="I338" i="204"/>
  <c r="J338" i="204"/>
  <c r="K338" i="204"/>
  <c r="L338" i="204"/>
  <c r="M338" i="204"/>
  <c r="N338" i="204"/>
  <c r="O338" i="204"/>
  <c r="P338" i="204"/>
  <c r="E339" i="204"/>
  <c r="F339" i="204"/>
  <c r="G339" i="204"/>
  <c r="H339" i="204"/>
  <c r="I339" i="204"/>
  <c r="J339" i="204"/>
  <c r="K339" i="204"/>
  <c r="L339" i="204"/>
  <c r="M339" i="204"/>
  <c r="N339" i="204"/>
  <c r="O339" i="204"/>
  <c r="P339" i="204"/>
  <c r="E340" i="204"/>
  <c r="F340" i="204"/>
  <c r="G340" i="204"/>
  <c r="H340" i="204"/>
  <c r="I340" i="204"/>
  <c r="J340" i="204"/>
  <c r="K340" i="204"/>
  <c r="L340" i="204"/>
  <c r="M340" i="204"/>
  <c r="N340" i="204"/>
  <c r="O340" i="204"/>
  <c r="P340" i="204"/>
  <c r="E341" i="204"/>
  <c r="F341" i="204"/>
  <c r="G341" i="204"/>
  <c r="H341" i="204"/>
  <c r="I341" i="204"/>
  <c r="J341" i="204"/>
  <c r="K341" i="204"/>
  <c r="L341" i="204"/>
  <c r="M341" i="204"/>
  <c r="N341" i="204"/>
  <c r="O341" i="204"/>
  <c r="P341" i="204"/>
  <c r="E342" i="204"/>
  <c r="F342" i="204"/>
  <c r="G342" i="204"/>
  <c r="H342" i="204"/>
  <c r="I342" i="204"/>
  <c r="J342" i="204"/>
  <c r="K342" i="204"/>
  <c r="L342" i="204"/>
  <c r="M342" i="204"/>
  <c r="N342" i="204"/>
  <c r="O342" i="204"/>
  <c r="P342" i="204"/>
  <c r="E343" i="204"/>
  <c r="F343" i="204"/>
  <c r="G343" i="204"/>
  <c r="H343" i="204"/>
  <c r="I343" i="204"/>
  <c r="J343" i="204"/>
  <c r="K343" i="204"/>
  <c r="L343" i="204"/>
  <c r="M343" i="204"/>
  <c r="N343" i="204"/>
  <c r="O343" i="204"/>
  <c r="P343" i="204"/>
  <c r="E344" i="204"/>
  <c r="F344" i="204"/>
  <c r="G344" i="204"/>
  <c r="H344" i="204"/>
  <c r="I344" i="204"/>
  <c r="J344" i="204"/>
  <c r="K344" i="204"/>
  <c r="L344" i="204"/>
  <c r="M344" i="204"/>
  <c r="N344" i="204"/>
  <c r="O344" i="204"/>
  <c r="P344" i="204"/>
  <c r="E345" i="204"/>
  <c r="F345" i="204"/>
  <c r="G345" i="204"/>
  <c r="H345" i="204"/>
  <c r="I345" i="204"/>
  <c r="J345" i="204"/>
  <c r="K345" i="204"/>
  <c r="L345" i="204"/>
  <c r="M345" i="204"/>
  <c r="N345" i="204"/>
  <c r="O345" i="204"/>
  <c r="P345" i="204"/>
  <c r="E346" i="204"/>
  <c r="F346" i="204"/>
  <c r="G346" i="204"/>
  <c r="H346" i="204"/>
  <c r="I346" i="204"/>
  <c r="J346" i="204"/>
  <c r="K346" i="204"/>
  <c r="L346" i="204"/>
  <c r="M346" i="204"/>
  <c r="N346" i="204"/>
  <c r="O346" i="204"/>
  <c r="P346" i="204"/>
  <c r="E347" i="204"/>
  <c r="F347" i="204"/>
  <c r="G347" i="204"/>
  <c r="H347" i="204"/>
  <c r="I347" i="204"/>
  <c r="J347" i="204"/>
  <c r="K347" i="204"/>
  <c r="L347" i="204"/>
  <c r="M347" i="204"/>
  <c r="N347" i="204"/>
  <c r="O347" i="204"/>
  <c r="P347" i="204"/>
  <c r="E348" i="204"/>
  <c r="F348" i="204"/>
  <c r="G348" i="204"/>
  <c r="H348" i="204"/>
  <c r="I348" i="204"/>
  <c r="J348" i="204"/>
  <c r="K348" i="204"/>
  <c r="L348" i="204"/>
  <c r="M348" i="204"/>
  <c r="N348" i="204"/>
  <c r="O348" i="204"/>
  <c r="P348" i="204"/>
  <c r="E349" i="204"/>
  <c r="F349" i="204"/>
  <c r="G349" i="204"/>
  <c r="H349" i="204"/>
  <c r="I349" i="204"/>
  <c r="J349" i="204"/>
  <c r="K349" i="204"/>
  <c r="L349" i="204"/>
  <c r="M349" i="204"/>
  <c r="N349" i="204"/>
  <c r="O349" i="204"/>
  <c r="P349" i="204"/>
  <c r="E350" i="204"/>
  <c r="F350" i="204"/>
  <c r="G350" i="204"/>
  <c r="H350" i="204"/>
  <c r="I350" i="204"/>
  <c r="J350" i="204"/>
  <c r="K350" i="204"/>
  <c r="L350" i="204"/>
  <c r="M350" i="204"/>
  <c r="N350" i="204"/>
  <c r="O350" i="204"/>
  <c r="P350" i="204"/>
  <c r="E351" i="204"/>
  <c r="F351" i="204"/>
  <c r="G351" i="204"/>
  <c r="H351" i="204"/>
  <c r="I351" i="204"/>
  <c r="J351" i="204"/>
  <c r="K351" i="204"/>
  <c r="L351" i="204"/>
  <c r="M351" i="204"/>
  <c r="N351" i="204"/>
  <c r="O351" i="204"/>
  <c r="P351" i="204"/>
  <c r="Q353" i="204"/>
  <c r="E354" i="204"/>
  <c r="F354" i="204"/>
  <c r="G354" i="204"/>
  <c r="H354" i="204"/>
  <c r="I354" i="204"/>
  <c r="J354" i="204"/>
  <c r="K354" i="204"/>
  <c r="L354" i="204"/>
  <c r="M354" i="204"/>
  <c r="N354" i="204"/>
  <c r="O354" i="204"/>
  <c r="P354" i="204"/>
  <c r="E355" i="204"/>
  <c r="F355" i="204"/>
  <c r="G355" i="204"/>
  <c r="H355" i="204"/>
  <c r="I355" i="204"/>
  <c r="J355" i="204"/>
  <c r="K355" i="204"/>
  <c r="L355" i="204"/>
  <c r="M355" i="204"/>
  <c r="N355" i="204"/>
  <c r="O355" i="204"/>
  <c r="P355" i="204"/>
  <c r="E356" i="204"/>
  <c r="F356" i="204"/>
  <c r="G356" i="204"/>
  <c r="H356" i="204"/>
  <c r="I356" i="204"/>
  <c r="J356" i="204"/>
  <c r="K356" i="204"/>
  <c r="L356" i="204"/>
  <c r="M356" i="204"/>
  <c r="N356" i="204"/>
  <c r="O356" i="204"/>
  <c r="P356" i="204"/>
  <c r="E357" i="204"/>
  <c r="F357" i="204"/>
  <c r="G357" i="204"/>
  <c r="H357" i="204"/>
  <c r="I357" i="204"/>
  <c r="J357" i="204"/>
  <c r="K357" i="204"/>
  <c r="L357" i="204"/>
  <c r="M357" i="204"/>
  <c r="N357" i="204"/>
  <c r="O357" i="204"/>
  <c r="P357" i="204"/>
  <c r="E358" i="204"/>
  <c r="F358" i="204"/>
  <c r="G358" i="204"/>
  <c r="H358" i="204"/>
  <c r="I358" i="204"/>
  <c r="J358" i="204"/>
  <c r="K358" i="204"/>
  <c r="L358" i="204"/>
  <c r="M358" i="204"/>
  <c r="N358" i="204"/>
  <c r="O358" i="204"/>
  <c r="P358" i="204"/>
  <c r="E359" i="204"/>
  <c r="F359" i="204"/>
  <c r="G359" i="204"/>
  <c r="H359" i="204"/>
  <c r="I359" i="204"/>
  <c r="J359" i="204"/>
  <c r="K359" i="204"/>
  <c r="L359" i="204"/>
  <c r="M359" i="204"/>
  <c r="N359" i="204"/>
  <c r="O359" i="204"/>
  <c r="P359" i="204"/>
  <c r="E360" i="204"/>
  <c r="F360" i="204"/>
  <c r="G360" i="204"/>
  <c r="H360" i="204"/>
  <c r="I360" i="204"/>
  <c r="J360" i="204"/>
  <c r="K360" i="204"/>
  <c r="L360" i="204"/>
  <c r="M360" i="204"/>
  <c r="N360" i="204"/>
  <c r="O360" i="204"/>
  <c r="P360" i="204"/>
  <c r="E361" i="204"/>
  <c r="F361" i="204"/>
  <c r="G361" i="204"/>
  <c r="H361" i="204"/>
  <c r="I361" i="204"/>
  <c r="J361" i="204"/>
  <c r="K361" i="204"/>
  <c r="L361" i="204"/>
  <c r="M361" i="204"/>
  <c r="N361" i="204"/>
  <c r="O361" i="204"/>
  <c r="P361" i="204"/>
  <c r="E362" i="204"/>
  <c r="F362" i="204"/>
  <c r="G362" i="204"/>
  <c r="H362" i="204"/>
  <c r="I362" i="204"/>
  <c r="J362" i="204"/>
  <c r="K362" i="204"/>
  <c r="L362" i="204"/>
  <c r="M362" i="204"/>
  <c r="N362" i="204"/>
  <c r="O362" i="204"/>
  <c r="P362" i="204"/>
  <c r="E363" i="204"/>
  <c r="F363" i="204"/>
  <c r="G363" i="204"/>
  <c r="H363" i="204"/>
  <c r="I363" i="204"/>
  <c r="J363" i="204"/>
  <c r="K363" i="204"/>
  <c r="L363" i="204"/>
  <c r="M363" i="204"/>
  <c r="N363" i="204"/>
  <c r="O363" i="204"/>
  <c r="P363" i="204"/>
  <c r="E364" i="204"/>
  <c r="F364" i="204"/>
  <c r="G364" i="204"/>
  <c r="H364" i="204"/>
  <c r="I364" i="204"/>
  <c r="J364" i="204"/>
  <c r="K364" i="204"/>
  <c r="L364" i="204"/>
  <c r="M364" i="204"/>
  <c r="N364" i="204"/>
  <c r="O364" i="204"/>
  <c r="P364" i="204"/>
  <c r="E365" i="204"/>
  <c r="F365" i="204"/>
  <c r="G365" i="204"/>
  <c r="H365" i="204"/>
  <c r="I365" i="204"/>
  <c r="J365" i="204"/>
  <c r="K365" i="204"/>
  <c r="L365" i="204"/>
  <c r="M365" i="204"/>
  <c r="N365" i="204"/>
  <c r="O365" i="204"/>
  <c r="P365" i="204"/>
  <c r="E366" i="204"/>
  <c r="F366" i="204"/>
  <c r="G366" i="204"/>
  <c r="H366" i="204"/>
  <c r="I366" i="204"/>
  <c r="J366" i="204"/>
  <c r="K366" i="204"/>
  <c r="L366" i="204"/>
  <c r="M366" i="204"/>
  <c r="N366" i="204"/>
  <c r="O366" i="204"/>
  <c r="P366" i="204"/>
  <c r="E367" i="204"/>
  <c r="F367" i="204"/>
  <c r="G367" i="204"/>
  <c r="H367" i="204"/>
  <c r="I367" i="204"/>
  <c r="J367" i="204"/>
  <c r="K367" i="204"/>
  <c r="L367" i="204"/>
  <c r="M367" i="204"/>
  <c r="N367" i="204"/>
  <c r="O367" i="204"/>
  <c r="P367" i="204"/>
  <c r="E368" i="204"/>
  <c r="F368" i="204"/>
  <c r="G368" i="204"/>
  <c r="H368" i="204"/>
  <c r="I368" i="204"/>
  <c r="J368" i="204"/>
  <c r="K368" i="204"/>
  <c r="L368" i="204"/>
  <c r="M368" i="204"/>
  <c r="N368" i="204"/>
  <c r="O368" i="204"/>
  <c r="P368" i="204"/>
  <c r="E369" i="204"/>
  <c r="F369" i="204"/>
  <c r="G369" i="204"/>
  <c r="H369" i="204"/>
  <c r="I369" i="204"/>
  <c r="J369" i="204"/>
  <c r="K369" i="204"/>
  <c r="L369" i="204"/>
  <c r="M369" i="204"/>
  <c r="N369" i="204"/>
  <c r="O369" i="204"/>
  <c r="P369" i="204"/>
  <c r="E370" i="204"/>
  <c r="F370" i="204"/>
  <c r="G370" i="204"/>
  <c r="H370" i="204"/>
  <c r="I370" i="204"/>
  <c r="J370" i="204"/>
  <c r="K370" i="204"/>
  <c r="L370" i="204"/>
  <c r="M370" i="204"/>
  <c r="N370" i="204"/>
  <c r="O370" i="204"/>
  <c r="P370" i="204"/>
  <c r="Q379" i="204"/>
  <c r="E389" i="204"/>
  <c r="F389" i="204"/>
  <c r="G389" i="204"/>
  <c r="H389" i="204"/>
  <c r="I389" i="204"/>
  <c r="J389" i="204"/>
  <c r="K389" i="204"/>
  <c r="L389" i="204"/>
  <c r="M389" i="204"/>
  <c r="N389" i="204"/>
  <c r="O389" i="204"/>
  <c r="P389" i="204"/>
  <c r="E390" i="204"/>
  <c r="F390" i="204"/>
  <c r="G390" i="204"/>
  <c r="H390" i="204"/>
  <c r="I390" i="204"/>
  <c r="J390" i="204"/>
  <c r="K390" i="204"/>
  <c r="L390" i="204"/>
  <c r="M390" i="204"/>
  <c r="N390" i="204"/>
  <c r="O390" i="204"/>
  <c r="P390" i="204"/>
  <c r="E391" i="204"/>
  <c r="F391" i="204"/>
  <c r="G391" i="204"/>
  <c r="H391" i="204"/>
  <c r="I391" i="204"/>
  <c r="J391" i="204"/>
  <c r="K391" i="204"/>
  <c r="L391" i="204"/>
  <c r="M391" i="204"/>
  <c r="N391" i="204"/>
  <c r="O391" i="204"/>
  <c r="P391" i="204"/>
  <c r="E392" i="204"/>
  <c r="F392" i="204"/>
  <c r="G392" i="204"/>
  <c r="H392" i="204"/>
  <c r="I392" i="204"/>
  <c r="J392" i="204"/>
  <c r="K392" i="204"/>
  <c r="L392" i="204"/>
  <c r="M392" i="204"/>
  <c r="N392" i="204"/>
  <c r="O392" i="204"/>
  <c r="P392" i="204"/>
  <c r="Q394" i="204"/>
  <c r="G396" i="204"/>
  <c r="E405" i="204"/>
  <c r="F405" i="204"/>
  <c r="G405" i="204"/>
  <c r="H405" i="204"/>
  <c r="I405" i="204"/>
  <c r="J405" i="204"/>
  <c r="K405" i="204"/>
  <c r="L405" i="204"/>
  <c r="M405" i="204"/>
  <c r="N405" i="204"/>
  <c r="O405" i="204"/>
  <c r="P405" i="204"/>
  <c r="E406" i="204"/>
  <c r="F406" i="204"/>
  <c r="G406" i="204"/>
  <c r="H406" i="204"/>
  <c r="I406" i="204"/>
  <c r="J406" i="204"/>
  <c r="K406" i="204"/>
  <c r="L406" i="204"/>
  <c r="M406" i="204"/>
  <c r="N406" i="204"/>
  <c r="O406" i="204"/>
  <c r="P406" i="204"/>
  <c r="E407" i="204"/>
  <c r="F407" i="204"/>
  <c r="G407" i="204"/>
  <c r="H407" i="204"/>
  <c r="I407" i="204"/>
  <c r="J407" i="204"/>
  <c r="K407" i="204"/>
  <c r="L407" i="204"/>
  <c r="M407" i="204"/>
  <c r="N407" i="204"/>
  <c r="O407" i="204"/>
  <c r="P407" i="204"/>
  <c r="E408" i="204"/>
  <c r="F408" i="204"/>
  <c r="G408" i="204"/>
  <c r="H408" i="204"/>
  <c r="I408" i="204"/>
  <c r="J408" i="204"/>
  <c r="K408" i="204"/>
  <c r="L408" i="204"/>
  <c r="M408" i="204"/>
  <c r="N408" i="204"/>
  <c r="O408" i="204"/>
  <c r="P408" i="204"/>
  <c r="E409" i="204"/>
  <c r="F409" i="204"/>
  <c r="G409" i="204"/>
  <c r="H409" i="204"/>
  <c r="I409" i="204"/>
  <c r="J409" i="204"/>
  <c r="K409" i="204"/>
  <c r="L409" i="204"/>
  <c r="M409" i="204"/>
  <c r="N409" i="204"/>
  <c r="O409" i="204"/>
  <c r="P409" i="204"/>
  <c r="Q411" i="204"/>
  <c r="E415" i="204"/>
  <c r="F415" i="204"/>
  <c r="G415" i="204"/>
  <c r="H416" i="204"/>
  <c r="I416" i="204"/>
  <c r="E421" i="204"/>
  <c r="F421" i="204"/>
  <c r="G421" i="204"/>
  <c r="H421" i="204"/>
  <c r="I421" i="204"/>
  <c r="J421" i="204"/>
  <c r="K421" i="204"/>
  <c r="L421" i="204"/>
  <c r="M421" i="204"/>
  <c r="N421" i="204"/>
  <c r="O421" i="204"/>
  <c r="P421" i="204"/>
  <c r="E423" i="204"/>
  <c r="F423" i="204"/>
  <c r="G423" i="204"/>
  <c r="H423" i="204"/>
  <c r="I423" i="204"/>
  <c r="J423" i="204"/>
  <c r="K423" i="204"/>
  <c r="L423" i="204"/>
  <c r="M423" i="204"/>
  <c r="N423" i="204"/>
  <c r="O423" i="204"/>
  <c r="P423" i="204"/>
  <c r="E424" i="204"/>
  <c r="F424" i="204"/>
  <c r="G424" i="204"/>
  <c r="H424" i="204"/>
  <c r="I424" i="204"/>
  <c r="J424" i="204"/>
  <c r="K424" i="204"/>
  <c r="L424" i="204"/>
  <c r="M424" i="204"/>
  <c r="N424" i="204"/>
  <c r="O424" i="204"/>
  <c r="P424" i="204"/>
  <c r="E425" i="204"/>
  <c r="F425" i="204"/>
  <c r="G425" i="204"/>
  <c r="H425" i="204"/>
  <c r="I425" i="204"/>
  <c r="J425" i="204"/>
  <c r="K425" i="204"/>
  <c r="L425" i="204"/>
  <c r="M425" i="204"/>
  <c r="N425" i="204"/>
  <c r="O425" i="204"/>
  <c r="P425" i="204"/>
  <c r="E426" i="204"/>
  <c r="F426" i="204"/>
  <c r="G426" i="204"/>
  <c r="H426" i="204"/>
  <c r="I426" i="204"/>
  <c r="J426" i="204"/>
  <c r="K426" i="204"/>
  <c r="L426" i="204"/>
  <c r="M426" i="204"/>
  <c r="N426" i="204"/>
  <c r="O426" i="204"/>
  <c r="P426" i="204"/>
  <c r="Q428" i="204"/>
  <c r="E430" i="204"/>
  <c r="G430" i="204"/>
  <c r="F432" i="204"/>
  <c r="G432" i="204"/>
  <c r="H432" i="204"/>
  <c r="I432" i="204"/>
  <c r="E437" i="204"/>
  <c r="F437" i="204"/>
  <c r="G437" i="204"/>
  <c r="H437" i="204"/>
  <c r="I437" i="204"/>
  <c r="J437" i="204"/>
  <c r="K437" i="204"/>
  <c r="L437" i="204"/>
  <c r="M437" i="204"/>
  <c r="N437" i="204"/>
  <c r="O437" i="204"/>
  <c r="P437" i="204"/>
  <c r="E440" i="204"/>
  <c r="F440" i="204"/>
  <c r="G440" i="204"/>
  <c r="H440" i="204"/>
  <c r="I440" i="204"/>
  <c r="J440" i="204"/>
  <c r="K440" i="204"/>
  <c r="L440" i="204"/>
  <c r="M440" i="204"/>
  <c r="N440" i="204"/>
  <c r="O440" i="204"/>
  <c r="P440" i="204"/>
  <c r="E441" i="204"/>
  <c r="F441" i="204"/>
  <c r="G441" i="204"/>
  <c r="H441" i="204"/>
  <c r="I441" i="204"/>
  <c r="J441" i="204"/>
  <c r="K441" i="204"/>
  <c r="L441" i="204"/>
  <c r="M441" i="204"/>
  <c r="N441" i="204"/>
  <c r="O441" i="204"/>
  <c r="P441" i="204"/>
  <c r="E442" i="204"/>
  <c r="F442" i="204"/>
  <c r="G442" i="204"/>
  <c r="H442" i="204"/>
  <c r="I442" i="204"/>
  <c r="J442" i="204"/>
  <c r="K442" i="204"/>
  <c r="L442" i="204"/>
  <c r="M442" i="204"/>
  <c r="N442" i="204"/>
  <c r="O442" i="204"/>
  <c r="P442" i="204"/>
  <c r="E443" i="204"/>
  <c r="F443" i="204"/>
  <c r="G443" i="204"/>
  <c r="H443" i="204"/>
  <c r="I443" i="204"/>
  <c r="J443" i="204"/>
  <c r="K443" i="204"/>
  <c r="L443" i="204"/>
  <c r="M443" i="204"/>
  <c r="N443" i="204"/>
  <c r="O443" i="204"/>
  <c r="P443" i="204"/>
  <c r="E444" i="204"/>
  <c r="F444" i="204"/>
  <c r="G444" i="204"/>
  <c r="H444" i="204"/>
  <c r="I444" i="204"/>
  <c r="J444" i="204"/>
  <c r="K444" i="204"/>
  <c r="L444" i="204"/>
  <c r="M444" i="204"/>
  <c r="N444" i="204"/>
  <c r="O444" i="204"/>
  <c r="P444" i="204"/>
  <c r="E445" i="204"/>
  <c r="F445" i="204"/>
  <c r="G445" i="204"/>
  <c r="H445" i="204"/>
  <c r="I445" i="204"/>
  <c r="J445" i="204"/>
  <c r="K445" i="204"/>
  <c r="L445" i="204"/>
  <c r="M445" i="204"/>
  <c r="N445" i="204"/>
  <c r="O445" i="204"/>
  <c r="P445" i="204"/>
  <c r="Q453" i="204"/>
  <c r="E463" i="204"/>
  <c r="F463" i="204"/>
  <c r="G463" i="204"/>
  <c r="H463" i="204"/>
  <c r="I463" i="204"/>
  <c r="J463" i="204"/>
  <c r="K463" i="204"/>
  <c r="L463" i="204"/>
  <c r="M463" i="204"/>
  <c r="N463" i="204"/>
  <c r="O463" i="204"/>
  <c r="P463" i="204"/>
  <c r="E464" i="204"/>
  <c r="F464" i="204"/>
  <c r="G464" i="204"/>
  <c r="H464" i="204"/>
  <c r="I464" i="204"/>
  <c r="J464" i="204"/>
  <c r="K464" i="204"/>
  <c r="L464" i="204"/>
  <c r="M464" i="204"/>
  <c r="N464" i="204"/>
  <c r="O464" i="204"/>
  <c r="P464" i="204"/>
  <c r="E465" i="204"/>
  <c r="F465" i="204"/>
  <c r="G465" i="204"/>
  <c r="H465" i="204"/>
  <c r="I465" i="204"/>
  <c r="J465" i="204"/>
  <c r="K465" i="204"/>
  <c r="L465" i="204"/>
  <c r="M465" i="204"/>
  <c r="N465" i="204"/>
  <c r="O465" i="204"/>
  <c r="P465" i="204"/>
  <c r="E466" i="204"/>
  <c r="F466" i="204"/>
  <c r="G466" i="204"/>
  <c r="H466" i="204"/>
  <c r="I466" i="204"/>
  <c r="J466" i="204"/>
  <c r="K466" i="204"/>
  <c r="L466" i="204"/>
  <c r="M466" i="204"/>
  <c r="N466" i="204"/>
  <c r="O466" i="204"/>
  <c r="P466" i="204"/>
  <c r="Q468" i="204"/>
  <c r="E479" i="204"/>
  <c r="F479" i="204"/>
  <c r="G479" i="204"/>
  <c r="H479" i="204"/>
  <c r="I479" i="204"/>
  <c r="J479" i="204"/>
  <c r="K479" i="204"/>
  <c r="L479" i="204"/>
  <c r="M479" i="204"/>
  <c r="N479" i="204"/>
  <c r="O479" i="204"/>
  <c r="P479" i="204"/>
  <c r="E480" i="204"/>
  <c r="F480" i="204"/>
  <c r="G480" i="204"/>
  <c r="H480" i="204"/>
  <c r="I480" i="204"/>
  <c r="J480" i="204"/>
  <c r="K480" i="204"/>
  <c r="L480" i="204"/>
  <c r="M480" i="204"/>
  <c r="N480" i="204"/>
  <c r="O480" i="204"/>
  <c r="P480" i="204"/>
  <c r="E481" i="204"/>
  <c r="F481" i="204"/>
  <c r="G481" i="204"/>
  <c r="H481" i="204"/>
  <c r="I481" i="204"/>
  <c r="J481" i="204"/>
  <c r="K481" i="204"/>
  <c r="L481" i="204"/>
  <c r="M481" i="204"/>
  <c r="N481" i="204"/>
  <c r="O481" i="204"/>
  <c r="P481" i="204"/>
  <c r="E482" i="204"/>
  <c r="F482" i="204"/>
  <c r="G482" i="204"/>
  <c r="H482" i="204"/>
  <c r="I482" i="204"/>
  <c r="J482" i="204"/>
  <c r="K482" i="204"/>
  <c r="L482" i="204"/>
  <c r="M482" i="204"/>
  <c r="N482" i="204"/>
  <c r="O482" i="204"/>
  <c r="P482" i="204"/>
  <c r="E483" i="204"/>
  <c r="F483" i="204"/>
  <c r="G483" i="204"/>
  <c r="H483" i="204"/>
  <c r="I483" i="204"/>
  <c r="J483" i="204"/>
  <c r="K483" i="204"/>
  <c r="L483" i="204"/>
  <c r="M483" i="204"/>
  <c r="N483" i="204"/>
  <c r="O483" i="204"/>
  <c r="P483" i="204"/>
  <c r="Q485" i="204"/>
  <c r="K496" i="204"/>
  <c r="E497" i="204"/>
  <c r="F497" i="204"/>
  <c r="G497" i="204"/>
  <c r="H497" i="204"/>
  <c r="I497" i="204"/>
  <c r="J497" i="204"/>
  <c r="K497" i="204"/>
  <c r="L497" i="204"/>
  <c r="M497" i="204"/>
  <c r="N497" i="204"/>
  <c r="O497" i="204"/>
  <c r="P497" i="204"/>
  <c r="E498" i="204"/>
  <c r="F498" i="204"/>
  <c r="G498" i="204"/>
  <c r="H498" i="204"/>
  <c r="I498" i="204"/>
  <c r="J498" i="204"/>
  <c r="K498" i="204"/>
  <c r="L498" i="204"/>
  <c r="M498" i="204"/>
  <c r="N498" i="204"/>
  <c r="O498" i="204"/>
  <c r="P498" i="204"/>
  <c r="E499" i="204"/>
  <c r="F499" i="204"/>
  <c r="G499" i="204"/>
  <c r="H499" i="204"/>
  <c r="I499" i="204"/>
  <c r="J499" i="204"/>
  <c r="K499" i="204"/>
  <c r="L499" i="204"/>
  <c r="M499" i="204"/>
  <c r="N499" i="204"/>
  <c r="O499" i="204"/>
  <c r="P499" i="204"/>
  <c r="E500" i="204"/>
  <c r="F500" i="204"/>
  <c r="G500" i="204"/>
  <c r="H500" i="204"/>
  <c r="I500" i="204"/>
  <c r="J500" i="204"/>
  <c r="K500" i="204"/>
  <c r="L500" i="204"/>
  <c r="M500" i="204"/>
  <c r="N500" i="204"/>
  <c r="O500" i="204"/>
  <c r="P500" i="204"/>
  <c r="Q502" i="204"/>
  <c r="F504" i="204"/>
  <c r="G504" i="204"/>
  <c r="H504" i="204"/>
  <c r="L504" i="204"/>
  <c r="N504" i="204"/>
  <c r="E511" i="204"/>
  <c r="F511" i="204"/>
  <c r="G511" i="204"/>
  <c r="H511" i="204"/>
  <c r="I511" i="204"/>
  <c r="J511" i="204"/>
  <c r="K511" i="204"/>
  <c r="L511" i="204"/>
  <c r="M511" i="204"/>
  <c r="N511" i="204"/>
  <c r="O511" i="204"/>
  <c r="P511" i="204"/>
  <c r="E514" i="204"/>
  <c r="F514" i="204"/>
  <c r="G514" i="204"/>
  <c r="H514" i="204"/>
  <c r="I514" i="204"/>
  <c r="J514" i="204"/>
  <c r="K514" i="204"/>
  <c r="L514" i="204"/>
  <c r="M514" i="204"/>
  <c r="N514" i="204"/>
  <c r="O514" i="204"/>
  <c r="P514" i="204"/>
  <c r="E515" i="204"/>
  <c r="F515" i="204"/>
  <c r="G515" i="204"/>
  <c r="H515" i="204"/>
  <c r="I515" i="204"/>
  <c r="J515" i="204"/>
  <c r="K515" i="204"/>
  <c r="L515" i="204"/>
  <c r="M515" i="204"/>
  <c r="N515" i="204"/>
  <c r="O515" i="204"/>
  <c r="P515" i="204"/>
  <c r="E516" i="204"/>
  <c r="F516" i="204"/>
  <c r="G516" i="204"/>
  <c r="H516" i="204"/>
  <c r="I516" i="204"/>
  <c r="J516" i="204"/>
  <c r="K516" i="204"/>
  <c r="L516" i="204"/>
  <c r="M516" i="204"/>
  <c r="N516" i="204"/>
  <c r="O516" i="204"/>
  <c r="P516" i="204"/>
  <c r="E517" i="204"/>
  <c r="F517" i="204"/>
  <c r="G517" i="204"/>
  <c r="H517" i="204"/>
  <c r="I517" i="204"/>
  <c r="J517" i="204"/>
  <c r="K517" i="204"/>
  <c r="L517" i="204"/>
  <c r="M517" i="204"/>
  <c r="N517" i="204"/>
  <c r="O517" i="204"/>
  <c r="P517" i="204"/>
  <c r="E518" i="204"/>
  <c r="F518" i="204"/>
  <c r="G518" i="204"/>
  <c r="H518" i="204"/>
  <c r="I518" i="204"/>
  <c r="J518" i="204"/>
  <c r="K518" i="204"/>
  <c r="L518" i="204"/>
  <c r="M518" i="204"/>
  <c r="N518" i="204"/>
  <c r="O518" i="204"/>
  <c r="P518" i="204"/>
  <c r="E519" i="204"/>
  <c r="F519" i="204"/>
  <c r="G519" i="204"/>
  <c r="H519" i="204"/>
  <c r="I519" i="204"/>
  <c r="J519" i="204"/>
  <c r="K519" i="204"/>
  <c r="L519" i="204"/>
  <c r="M519" i="204"/>
  <c r="N519" i="204"/>
  <c r="O519" i="204"/>
  <c r="P519" i="204"/>
  <c r="Q527" i="204"/>
  <c r="E537" i="204"/>
  <c r="F537" i="204"/>
  <c r="G537" i="204"/>
  <c r="H537" i="204"/>
  <c r="I537" i="204"/>
  <c r="J537" i="204"/>
  <c r="K537" i="204"/>
  <c r="L537" i="204"/>
  <c r="M537" i="204"/>
  <c r="N537" i="204"/>
  <c r="O537" i="204"/>
  <c r="P537" i="204"/>
  <c r="E538" i="204"/>
  <c r="F538" i="204"/>
  <c r="G538" i="204"/>
  <c r="H538" i="204"/>
  <c r="I538" i="204"/>
  <c r="J538" i="204"/>
  <c r="K538" i="204"/>
  <c r="L538" i="204"/>
  <c r="M538" i="204"/>
  <c r="N538" i="204"/>
  <c r="O538" i="204"/>
  <c r="P538" i="204"/>
  <c r="E539" i="204"/>
  <c r="F539" i="204"/>
  <c r="G539" i="204"/>
  <c r="H539" i="204"/>
  <c r="I539" i="204"/>
  <c r="J539" i="204"/>
  <c r="K539" i="204"/>
  <c r="L539" i="204"/>
  <c r="M539" i="204"/>
  <c r="N539" i="204"/>
  <c r="O539" i="204"/>
  <c r="P539" i="204"/>
  <c r="E540" i="204"/>
  <c r="F540" i="204"/>
  <c r="G540" i="204"/>
  <c r="H540" i="204"/>
  <c r="I540" i="204"/>
  <c r="J540" i="204"/>
  <c r="K540" i="204"/>
  <c r="L540" i="204"/>
  <c r="M540" i="204"/>
  <c r="N540" i="204"/>
  <c r="O540" i="204"/>
  <c r="P540" i="204"/>
  <c r="Q542" i="204"/>
  <c r="E553" i="204"/>
  <c r="F553" i="204"/>
  <c r="G553" i="204"/>
  <c r="H553" i="204"/>
  <c r="I553" i="204"/>
  <c r="J553" i="204"/>
  <c r="K553" i="204"/>
  <c r="L553" i="204"/>
  <c r="M553" i="204"/>
  <c r="N553" i="204"/>
  <c r="O553" i="204"/>
  <c r="P553" i="204"/>
  <c r="E554" i="204"/>
  <c r="F554" i="204"/>
  <c r="G554" i="204"/>
  <c r="H554" i="204"/>
  <c r="I554" i="204"/>
  <c r="J554" i="204"/>
  <c r="K554" i="204"/>
  <c r="L554" i="204"/>
  <c r="M554" i="204"/>
  <c r="N554" i="204"/>
  <c r="O554" i="204"/>
  <c r="P554" i="204"/>
  <c r="E555" i="204"/>
  <c r="F555" i="204"/>
  <c r="G555" i="204"/>
  <c r="H555" i="204"/>
  <c r="I555" i="204"/>
  <c r="J555" i="204"/>
  <c r="K555" i="204"/>
  <c r="L555" i="204"/>
  <c r="M555" i="204"/>
  <c r="N555" i="204"/>
  <c r="O555" i="204"/>
  <c r="P555" i="204"/>
  <c r="E556" i="204"/>
  <c r="F556" i="204"/>
  <c r="G556" i="204"/>
  <c r="H556" i="204"/>
  <c r="I556" i="204"/>
  <c r="J556" i="204"/>
  <c r="K556" i="204"/>
  <c r="L556" i="204"/>
  <c r="M556" i="204"/>
  <c r="N556" i="204"/>
  <c r="O556" i="204"/>
  <c r="P556" i="204"/>
  <c r="E557" i="204"/>
  <c r="F557" i="204"/>
  <c r="G557" i="204"/>
  <c r="H557" i="204"/>
  <c r="I557" i="204"/>
  <c r="J557" i="204"/>
  <c r="K557" i="204"/>
  <c r="L557" i="204"/>
  <c r="M557" i="204"/>
  <c r="N557" i="204"/>
  <c r="O557" i="204"/>
  <c r="P557" i="204"/>
  <c r="Q559" i="204"/>
  <c r="E571" i="204"/>
  <c r="F571" i="204"/>
  <c r="G571" i="204"/>
  <c r="H571" i="204"/>
  <c r="I571" i="204"/>
  <c r="J571" i="204"/>
  <c r="K571" i="204"/>
  <c r="L571" i="204"/>
  <c r="M571" i="204"/>
  <c r="N571" i="204"/>
  <c r="O571" i="204"/>
  <c r="P571" i="204"/>
  <c r="E572" i="204"/>
  <c r="F572" i="204"/>
  <c r="G572" i="204"/>
  <c r="H572" i="204"/>
  <c r="I572" i="204"/>
  <c r="J572" i="204"/>
  <c r="K572" i="204"/>
  <c r="L572" i="204"/>
  <c r="M572" i="204"/>
  <c r="N572" i="204"/>
  <c r="O572" i="204"/>
  <c r="P572" i="204"/>
  <c r="E573" i="204"/>
  <c r="F573" i="204"/>
  <c r="G573" i="204"/>
  <c r="H573" i="204"/>
  <c r="I573" i="204"/>
  <c r="J573" i="204"/>
  <c r="K573" i="204"/>
  <c r="L573" i="204"/>
  <c r="M573" i="204"/>
  <c r="N573" i="204"/>
  <c r="O573" i="204"/>
  <c r="P573" i="204"/>
  <c r="E574" i="204"/>
  <c r="F574" i="204"/>
  <c r="G574" i="204"/>
  <c r="H574" i="204"/>
  <c r="I574" i="204"/>
  <c r="J574" i="204"/>
  <c r="K574" i="204"/>
  <c r="L574" i="204"/>
  <c r="M574" i="204"/>
  <c r="N574" i="204"/>
  <c r="O574" i="204"/>
  <c r="P574" i="204"/>
  <c r="Q576" i="204"/>
  <c r="E585" i="204"/>
  <c r="F585" i="204"/>
  <c r="G585" i="204"/>
  <c r="H585" i="204"/>
  <c r="I585" i="204"/>
  <c r="J585" i="204"/>
  <c r="K585" i="204"/>
  <c r="L585" i="204"/>
  <c r="M585" i="204"/>
  <c r="N585" i="204"/>
  <c r="O585" i="204"/>
  <c r="P585" i="204"/>
  <c r="E588" i="204"/>
  <c r="F588" i="204"/>
  <c r="G588" i="204"/>
  <c r="H588" i="204"/>
  <c r="I588" i="204"/>
  <c r="J588" i="204"/>
  <c r="K588" i="204"/>
  <c r="L588" i="204"/>
  <c r="M588" i="204"/>
  <c r="N588" i="204"/>
  <c r="O588" i="204"/>
  <c r="P588" i="204"/>
  <c r="E589" i="204"/>
  <c r="F589" i="204"/>
  <c r="G589" i="204"/>
  <c r="H589" i="204"/>
  <c r="I589" i="204"/>
  <c r="J589" i="204"/>
  <c r="K589" i="204"/>
  <c r="L589" i="204"/>
  <c r="M589" i="204"/>
  <c r="N589" i="204"/>
  <c r="O589" i="204"/>
  <c r="P589" i="204"/>
  <c r="E590" i="204"/>
  <c r="F590" i="204"/>
  <c r="G590" i="204"/>
  <c r="H590" i="204"/>
  <c r="I590" i="204"/>
  <c r="J590" i="204"/>
  <c r="K590" i="204"/>
  <c r="L590" i="204"/>
  <c r="M590" i="204"/>
  <c r="N590" i="204"/>
  <c r="O590" i="204"/>
  <c r="P590" i="204"/>
  <c r="E591" i="204"/>
  <c r="F591" i="204"/>
  <c r="G591" i="204"/>
  <c r="H591" i="204"/>
  <c r="I591" i="204"/>
  <c r="J591" i="204"/>
  <c r="K591" i="204"/>
  <c r="L591" i="204"/>
  <c r="M591" i="204"/>
  <c r="N591" i="204"/>
  <c r="O591" i="204"/>
  <c r="P591" i="204"/>
  <c r="E592" i="204"/>
  <c r="F592" i="204"/>
  <c r="G592" i="204"/>
  <c r="H592" i="204"/>
  <c r="I592" i="204"/>
  <c r="J592" i="204"/>
  <c r="K592" i="204"/>
  <c r="L592" i="204"/>
  <c r="M592" i="204"/>
  <c r="N592" i="204"/>
  <c r="O592" i="204"/>
  <c r="P592" i="204"/>
  <c r="E593" i="204"/>
  <c r="F593" i="204"/>
  <c r="G593" i="204"/>
  <c r="H593" i="204"/>
  <c r="I593" i="204"/>
  <c r="J593" i="204"/>
  <c r="K593" i="204"/>
  <c r="L593" i="204"/>
  <c r="M593" i="204"/>
  <c r="N593" i="204"/>
  <c r="O593" i="204"/>
  <c r="P593" i="204"/>
  <c r="Q601" i="204"/>
  <c r="E611" i="204"/>
  <c r="F611" i="204"/>
  <c r="G611" i="204"/>
  <c r="H611" i="204"/>
  <c r="I611" i="204"/>
  <c r="J611" i="204"/>
  <c r="K611" i="204"/>
  <c r="L611" i="204"/>
  <c r="M611" i="204"/>
  <c r="N611" i="204"/>
  <c r="O611" i="204"/>
  <c r="P611" i="204"/>
  <c r="E612" i="204"/>
  <c r="F612" i="204"/>
  <c r="G612" i="204"/>
  <c r="H612" i="204"/>
  <c r="I612" i="204"/>
  <c r="J612" i="204"/>
  <c r="K612" i="204"/>
  <c r="L612" i="204"/>
  <c r="M612" i="204"/>
  <c r="N612" i="204"/>
  <c r="O612" i="204"/>
  <c r="P612" i="204"/>
  <c r="E613" i="204"/>
  <c r="F613" i="204"/>
  <c r="G613" i="204"/>
  <c r="H613" i="204"/>
  <c r="I613" i="204"/>
  <c r="J613" i="204"/>
  <c r="K613" i="204"/>
  <c r="L613" i="204"/>
  <c r="M613" i="204"/>
  <c r="N613" i="204"/>
  <c r="O613" i="204"/>
  <c r="P613" i="204"/>
  <c r="E614" i="204"/>
  <c r="F614" i="204"/>
  <c r="G614" i="204"/>
  <c r="H614" i="204"/>
  <c r="I614" i="204"/>
  <c r="J614" i="204"/>
  <c r="K614" i="204"/>
  <c r="L614" i="204"/>
  <c r="M614" i="204"/>
  <c r="N614" i="204"/>
  <c r="O614" i="204"/>
  <c r="P614" i="204"/>
  <c r="Q616" i="204"/>
  <c r="E627" i="204"/>
  <c r="F627" i="204"/>
  <c r="G627" i="204"/>
  <c r="H627" i="204"/>
  <c r="I627" i="204"/>
  <c r="J627" i="204"/>
  <c r="K627" i="204"/>
  <c r="L627" i="204"/>
  <c r="M627" i="204"/>
  <c r="N627" i="204"/>
  <c r="O627" i="204"/>
  <c r="P627" i="204"/>
  <c r="E628" i="204"/>
  <c r="F628" i="204"/>
  <c r="G628" i="204"/>
  <c r="H628" i="204"/>
  <c r="I628" i="204"/>
  <c r="J628" i="204"/>
  <c r="K628" i="204"/>
  <c r="L628" i="204"/>
  <c r="M628" i="204"/>
  <c r="N628" i="204"/>
  <c r="O628" i="204"/>
  <c r="P628" i="204"/>
  <c r="E629" i="204"/>
  <c r="F629" i="204"/>
  <c r="G629" i="204"/>
  <c r="H629" i="204"/>
  <c r="I629" i="204"/>
  <c r="J629" i="204"/>
  <c r="K629" i="204"/>
  <c r="L629" i="204"/>
  <c r="M629" i="204"/>
  <c r="N629" i="204"/>
  <c r="O629" i="204"/>
  <c r="P629" i="204"/>
  <c r="E630" i="204"/>
  <c r="F630" i="204"/>
  <c r="G630" i="204"/>
  <c r="H630" i="204"/>
  <c r="I630" i="204"/>
  <c r="J630" i="204"/>
  <c r="K630" i="204"/>
  <c r="L630" i="204"/>
  <c r="M630" i="204"/>
  <c r="N630" i="204"/>
  <c r="O630" i="204"/>
  <c r="P630" i="204"/>
  <c r="E631" i="204"/>
  <c r="F631" i="204"/>
  <c r="G631" i="204"/>
  <c r="H631" i="204"/>
  <c r="I631" i="204"/>
  <c r="J631" i="204"/>
  <c r="K631" i="204"/>
  <c r="L631" i="204"/>
  <c r="M631" i="204"/>
  <c r="N631" i="204"/>
  <c r="O631" i="204"/>
  <c r="P631" i="204"/>
  <c r="Q633" i="204"/>
  <c r="E645" i="204"/>
  <c r="F645" i="204"/>
  <c r="G645" i="204"/>
  <c r="H645" i="204"/>
  <c r="I645" i="204"/>
  <c r="J645" i="204"/>
  <c r="K645" i="204"/>
  <c r="L645" i="204"/>
  <c r="M645" i="204"/>
  <c r="N645" i="204"/>
  <c r="O645" i="204"/>
  <c r="P645" i="204"/>
  <c r="E646" i="204"/>
  <c r="F646" i="204"/>
  <c r="G646" i="204"/>
  <c r="H646" i="204"/>
  <c r="I646" i="204"/>
  <c r="J646" i="204"/>
  <c r="K646" i="204"/>
  <c r="L646" i="204"/>
  <c r="M646" i="204"/>
  <c r="N646" i="204"/>
  <c r="O646" i="204"/>
  <c r="P646" i="204"/>
  <c r="E647" i="204"/>
  <c r="F647" i="204"/>
  <c r="G647" i="204"/>
  <c r="H647" i="204"/>
  <c r="I647" i="204"/>
  <c r="J647" i="204"/>
  <c r="K647" i="204"/>
  <c r="L647" i="204"/>
  <c r="M647" i="204"/>
  <c r="N647" i="204"/>
  <c r="O647" i="204"/>
  <c r="P647" i="204"/>
  <c r="E648" i="204"/>
  <c r="F648" i="204"/>
  <c r="G648" i="204"/>
  <c r="H648" i="204"/>
  <c r="I648" i="204"/>
  <c r="J648" i="204"/>
  <c r="K648" i="204"/>
  <c r="L648" i="204"/>
  <c r="M648" i="204"/>
  <c r="N648" i="204"/>
  <c r="O648" i="204"/>
  <c r="P648" i="204"/>
  <c r="Q650" i="204"/>
  <c r="E659" i="204"/>
  <c r="F659" i="204"/>
  <c r="G659" i="204"/>
  <c r="H659" i="204"/>
  <c r="I659" i="204"/>
  <c r="J659" i="204"/>
  <c r="K659" i="204"/>
  <c r="L659" i="204"/>
  <c r="M659" i="204"/>
  <c r="N659" i="204"/>
  <c r="O659" i="204"/>
  <c r="P659" i="204"/>
  <c r="E662" i="204"/>
  <c r="F662" i="204"/>
  <c r="G662" i="204"/>
  <c r="H662" i="204"/>
  <c r="I662" i="204"/>
  <c r="J662" i="204"/>
  <c r="K662" i="204"/>
  <c r="L662" i="204"/>
  <c r="M662" i="204"/>
  <c r="N662" i="204"/>
  <c r="O662" i="204"/>
  <c r="P662" i="204"/>
  <c r="E663" i="204"/>
  <c r="F663" i="204"/>
  <c r="G663" i="204"/>
  <c r="H663" i="204"/>
  <c r="I663" i="204"/>
  <c r="J663" i="204"/>
  <c r="K663" i="204"/>
  <c r="L663" i="204"/>
  <c r="M663" i="204"/>
  <c r="N663" i="204"/>
  <c r="O663" i="204"/>
  <c r="P663" i="204"/>
  <c r="E664" i="204"/>
  <c r="F664" i="204"/>
  <c r="G664" i="204"/>
  <c r="H664" i="204"/>
  <c r="I664" i="204"/>
  <c r="J664" i="204"/>
  <c r="K664" i="204"/>
  <c r="L664" i="204"/>
  <c r="M664" i="204"/>
  <c r="N664" i="204"/>
  <c r="O664" i="204"/>
  <c r="P664" i="204"/>
  <c r="E665" i="204"/>
  <c r="F665" i="204"/>
  <c r="G665" i="204"/>
  <c r="H665" i="204"/>
  <c r="I665" i="204"/>
  <c r="J665" i="204"/>
  <c r="K665" i="204"/>
  <c r="L665" i="204"/>
  <c r="M665" i="204"/>
  <c r="N665" i="204"/>
  <c r="O665" i="204"/>
  <c r="P665" i="204"/>
  <c r="E666" i="204"/>
  <c r="F666" i="204"/>
  <c r="G666" i="204"/>
  <c r="H666" i="204"/>
  <c r="I666" i="204"/>
  <c r="J666" i="204"/>
  <c r="K666" i="204"/>
  <c r="L666" i="204"/>
  <c r="M666" i="204"/>
  <c r="N666" i="204"/>
  <c r="O666" i="204"/>
  <c r="P666" i="204"/>
  <c r="E667" i="204"/>
  <c r="F667" i="204"/>
  <c r="G667" i="204"/>
  <c r="H667" i="204"/>
  <c r="I667" i="204"/>
  <c r="J667" i="204"/>
  <c r="K667" i="204"/>
  <c r="L667" i="204"/>
  <c r="M667" i="204"/>
  <c r="N667" i="204"/>
  <c r="O667" i="204"/>
  <c r="P667" i="204"/>
  <c r="Q675" i="204"/>
  <c r="E685" i="204"/>
  <c r="F685" i="204"/>
  <c r="G685" i="204"/>
  <c r="H685" i="204"/>
  <c r="I685" i="204"/>
  <c r="J685" i="204"/>
  <c r="K685" i="204"/>
  <c r="L685" i="204"/>
  <c r="M685" i="204"/>
  <c r="N685" i="204"/>
  <c r="O685" i="204"/>
  <c r="P685" i="204"/>
  <c r="E686" i="204"/>
  <c r="F686" i="204"/>
  <c r="G686" i="204"/>
  <c r="H686" i="204"/>
  <c r="I686" i="204"/>
  <c r="J686" i="204"/>
  <c r="K686" i="204"/>
  <c r="L686" i="204"/>
  <c r="M686" i="204"/>
  <c r="N686" i="204"/>
  <c r="O686" i="204"/>
  <c r="P686" i="204"/>
  <c r="E687" i="204"/>
  <c r="F687" i="204"/>
  <c r="G687" i="204"/>
  <c r="H687" i="204"/>
  <c r="I687" i="204"/>
  <c r="J687" i="204"/>
  <c r="K687" i="204"/>
  <c r="L687" i="204"/>
  <c r="M687" i="204"/>
  <c r="N687" i="204"/>
  <c r="O687" i="204"/>
  <c r="P687" i="204"/>
  <c r="E688" i="204"/>
  <c r="F688" i="204"/>
  <c r="G688" i="204"/>
  <c r="H688" i="204"/>
  <c r="I688" i="204"/>
  <c r="J688" i="204"/>
  <c r="K688" i="204"/>
  <c r="L688" i="204"/>
  <c r="M688" i="204"/>
  <c r="N688" i="204"/>
  <c r="O688" i="204"/>
  <c r="P688" i="204"/>
  <c r="Q690" i="204"/>
  <c r="E701" i="204"/>
  <c r="F701" i="204"/>
  <c r="G701" i="204"/>
  <c r="H701" i="204"/>
  <c r="I701" i="204"/>
  <c r="J701" i="204"/>
  <c r="K701" i="204"/>
  <c r="L701" i="204"/>
  <c r="M701" i="204"/>
  <c r="N701" i="204"/>
  <c r="O701" i="204"/>
  <c r="P701" i="204"/>
  <c r="E702" i="204"/>
  <c r="F702" i="204"/>
  <c r="G702" i="204"/>
  <c r="H702" i="204"/>
  <c r="I702" i="204"/>
  <c r="J702" i="204"/>
  <c r="K702" i="204"/>
  <c r="L702" i="204"/>
  <c r="M702" i="204"/>
  <c r="N702" i="204"/>
  <c r="O702" i="204"/>
  <c r="P702" i="204"/>
  <c r="E703" i="204"/>
  <c r="F703" i="204"/>
  <c r="G703" i="204"/>
  <c r="H703" i="204"/>
  <c r="I703" i="204"/>
  <c r="J703" i="204"/>
  <c r="K703" i="204"/>
  <c r="L703" i="204"/>
  <c r="M703" i="204"/>
  <c r="N703" i="204"/>
  <c r="O703" i="204"/>
  <c r="P703" i="204"/>
  <c r="E704" i="204"/>
  <c r="F704" i="204"/>
  <c r="G704" i="204"/>
  <c r="H704" i="204"/>
  <c r="I704" i="204"/>
  <c r="J704" i="204"/>
  <c r="K704" i="204"/>
  <c r="L704" i="204"/>
  <c r="M704" i="204"/>
  <c r="N704" i="204"/>
  <c r="O704" i="204"/>
  <c r="P704" i="204"/>
  <c r="E705" i="204"/>
  <c r="F705" i="204"/>
  <c r="G705" i="204"/>
  <c r="H705" i="204"/>
  <c r="I705" i="204"/>
  <c r="J705" i="204"/>
  <c r="K705" i="204"/>
  <c r="L705" i="204"/>
  <c r="M705" i="204"/>
  <c r="N705" i="204"/>
  <c r="O705" i="204"/>
  <c r="P705" i="204"/>
  <c r="Q707" i="204"/>
  <c r="E719" i="204"/>
  <c r="F719" i="204"/>
  <c r="G719" i="204"/>
  <c r="H719" i="204"/>
  <c r="I719" i="204"/>
  <c r="J719" i="204"/>
  <c r="K719" i="204"/>
  <c r="L719" i="204"/>
  <c r="M719" i="204"/>
  <c r="N719" i="204"/>
  <c r="O719" i="204"/>
  <c r="P719" i="204"/>
  <c r="E720" i="204"/>
  <c r="F720" i="204"/>
  <c r="G720" i="204"/>
  <c r="H720" i="204"/>
  <c r="I720" i="204"/>
  <c r="J720" i="204"/>
  <c r="K720" i="204"/>
  <c r="L720" i="204"/>
  <c r="M720" i="204"/>
  <c r="N720" i="204"/>
  <c r="O720" i="204"/>
  <c r="P720" i="204"/>
  <c r="E721" i="204"/>
  <c r="F721" i="204"/>
  <c r="G721" i="204"/>
  <c r="H721" i="204"/>
  <c r="I721" i="204"/>
  <c r="J721" i="204"/>
  <c r="K721" i="204"/>
  <c r="L721" i="204"/>
  <c r="M721" i="204"/>
  <c r="N721" i="204"/>
  <c r="O721" i="204"/>
  <c r="P721" i="204"/>
  <c r="E722" i="204"/>
  <c r="F722" i="204"/>
  <c r="G722" i="204"/>
  <c r="H722" i="204"/>
  <c r="I722" i="204"/>
  <c r="J722" i="204"/>
  <c r="K722" i="204"/>
  <c r="L722" i="204"/>
  <c r="M722" i="204"/>
  <c r="N722" i="204"/>
  <c r="O722" i="204"/>
  <c r="P722" i="204"/>
  <c r="Q724" i="204"/>
  <c r="E733" i="204"/>
  <c r="F733" i="204"/>
  <c r="G733" i="204"/>
  <c r="H733" i="204"/>
  <c r="I733" i="204"/>
  <c r="J733" i="204"/>
  <c r="K733" i="204"/>
  <c r="L733" i="204"/>
  <c r="M733" i="204"/>
  <c r="N733" i="204"/>
  <c r="O733" i="204"/>
  <c r="P733" i="204"/>
  <c r="E736" i="204"/>
  <c r="F736" i="204"/>
  <c r="G736" i="204"/>
  <c r="H736" i="204"/>
  <c r="I736" i="204"/>
  <c r="J736" i="204"/>
  <c r="K736" i="204"/>
  <c r="L736" i="204"/>
  <c r="M736" i="204"/>
  <c r="N736" i="204"/>
  <c r="O736" i="204"/>
  <c r="P736" i="204"/>
  <c r="E737" i="204"/>
  <c r="F737" i="204"/>
  <c r="G737" i="204"/>
  <c r="H737" i="204"/>
  <c r="I737" i="204"/>
  <c r="J737" i="204"/>
  <c r="K737" i="204"/>
  <c r="L737" i="204"/>
  <c r="M737" i="204"/>
  <c r="N737" i="204"/>
  <c r="O737" i="204"/>
  <c r="P737" i="204"/>
  <c r="E738" i="204"/>
  <c r="F738" i="204"/>
  <c r="G738" i="204"/>
  <c r="H738" i="204"/>
  <c r="I738" i="204"/>
  <c r="J738" i="204"/>
  <c r="K738" i="204"/>
  <c r="L738" i="204"/>
  <c r="M738" i="204"/>
  <c r="N738" i="204"/>
  <c r="O738" i="204"/>
  <c r="P738" i="204"/>
  <c r="E739" i="204"/>
  <c r="F739" i="204"/>
  <c r="G739" i="204"/>
  <c r="H739" i="204"/>
  <c r="I739" i="204"/>
  <c r="J739" i="204"/>
  <c r="K739" i="204"/>
  <c r="L739" i="204"/>
  <c r="M739" i="204"/>
  <c r="N739" i="204"/>
  <c r="O739" i="204"/>
  <c r="P739" i="204"/>
  <c r="E740" i="204"/>
  <c r="F740" i="204"/>
  <c r="G740" i="204"/>
  <c r="H740" i="204"/>
  <c r="I740" i="204"/>
  <c r="J740" i="204"/>
  <c r="K740" i="204"/>
  <c r="L740" i="204"/>
  <c r="M740" i="204"/>
  <c r="N740" i="204"/>
  <c r="O740" i="204"/>
  <c r="P740" i="204"/>
  <c r="E741" i="204"/>
  <c r="F741" i="204"/>
  <c r="G741" i="204"/>
  <c r="H741" i="204"/>
  <c r="I741" i="204"/>
  <c r="J741" i="204"/>
  <c r="K741" i="204"/>
  <c r="L741" i="204"/>
  <c r="M741" i="204"/>
  <c r="N741" i="204"/>
  <c r="O741" i="204"/>
  <c r="P741" i="204"/>
  <c r="Q749" i="204"/>
  <c r="E759" i="204"/>
  <c r="F759" i="204"/>
  <c r="G759" i="204"/>
  <c r="H759" i="204"/>
  <c r="I759" i="204"/>
  <c r="J759" i="204"/>
  <c r="K759" i="204"/>
  <c r="L759" i="204"/>
  <c r="M759" i="204"/>
  <c r="N759" i="204"/>
  <c r="O759" i="204"/>
  <c r="P759" i="204"/>
  <c r="E760" i="204"/>
  <c r="F760" i="204"/>
  <c r="G760" i="204"/>
  <c r="H760" i="204"/>
  <c r="I760" i="204"/>
  <c r="J760" i="204"/>
  <c r="K760" i="204"/>
  <c r="L760" i="204"/>
  <c r="M760" i="204"/>
  <c r="N760" i="204"/>
  <c r="O760" i="204"/>
  <c r="P760" i="204"/>
  <c r="E761" i="204"/>
  <c r="F761" i="204"/>
  <c r="G761" i="204"/>
  <c r="H761" i="204"/>
  <c r="I761" i="204"/>
  <c r="J761" i="204"/>
  <c r="K761" i="204"/>
  <c r="L761" i="204"/>
  <c r="M761" i="204"/>
  <c r="N761" i="204"/>
  <c r="O761" i="204"/>
  <c r="P761" i="204"/>
  <c r="E762" i="204"/>
  <c r="F762" i="204"/>
  <c r="G762" i="204"/>
  <c r="H762" i="204"/>
  <c r="I762" i="204"/>
  <c r="J762" i="204"/>
  <c r="K762" i="204"/>
  <c r="L762" i="204"/>
  <c r="M762" i="204"/>
  <c r="N762" i="204"/>
  <c r="O762" i="204"/>
  <c r="P762" i="204"/>
  <c r="Q764" i="204"/>
  <c r="E775" i="204"/>
  <c r="F775" i="204"/>
  <c r="G775" i="204"/>
  <c r="H775" i="204"/>
  <c r="I775" i="204"/>
  <c r="J775" i="204"/>
  <c r="K775" i="204"/>
  <c r="L775" i="204"/>
  <c r="M775" i="204"/>
  <c r="N775" i="204"/>
  <c r="O775" i="204"/>
  <c r="P775" i="204"/>
  <c r="E776" i="204"/>
  <c r="F776" i="204"/>
  <c r="G776" i="204"/>
  <c r="H776" i="204"/>
  <c r="I776" i="204"/>
  <c r="J776" i="204"/>
  <c r="K776" i="204"/>
  <c r="L776" i="204"/>
  <c r="M776" i="204"/>
  <c r="N776" i="204"/>
  <c r="O776" i="204"/>
  <c r="P776" i="204"/>
  <c r="E777" i="204"/>
  <c r="F777" i="204"/>
  <c r="G777" i="204"/>
  <c r="H777" i="204"/>
  <c r="I777" i="204"/>
  <c r="J777" i="204"/>
  <c r="K777" i="204"/>
  <c r="L777" i="204"/>
  <c r="M777" i="204"/>
  <c r="N777" i="204"/>
  <c r="O777" i="204"/>
  <c r="P777" i="204"/>
  <c r="E778" i="204"/>
  <c r="F778" i="204"/>
  <c r="G778" i="204"/>
  <c r="H778" i="204"/>
  <c r="I778" i="204"/>
  <c r="J778" i="204"/>
  <c r="K778" i="204"/>
  <c r="L778" i="204"/>
  <c r="M778" i="204"/>
  <c r="N778" i="204"/>
  <c r="O778" i="204"/>
  <c r="P778" i="204"/>
  <c r="E779" i="204"/>
  <c r="F779" i="204"/>
  <c r="G779" i="204"/>
  <c r="H779" i="204"/>
  <c r="I779" i="204"/>
  <c r="J779" i="204"/>
  <c r="K779" i="204"/>
  <c r="L779" i="204"/>
  <c r="M779" i="204"/>
  <c r="N779" i="204"/>
  <c r="O779" i="204"/>
  <c r="P779" i="204"/>
  <c r="Q781" i="204"/>
  <c r="E793" i="204"/>
  <c r="F793" i="204"/>
  <c r="G793" i="204"/>
  <c r="H793" i="204"/>
  <c r="I793" i="204"/>
  <c r="J793" i="204"/>
  <c r="K793" i="204"/>
  <c r="L793" i="204"/>
  <c r="M793" i="204"/>
  <c r="N793" i="204"/>
  <c r="O793" i="204"/>
  <c r="P793" i="204"/>
  <c r="E794" i="204"/>
  <c r="F794" i="204"/>
  <c r="G794" i="204"/>
  <c r="H794" i="204"/>
  <c r="I794" i="204"/>
  <c r="J794" i="204"/>
  <c r="K794" i="204"/>
  <c r="L794" i="204"/>
  <c r="M794" i="204"/>
  <c r="N794" i="204"/>
  <c r="O794" i="204"/>
  <c r="P794" i="204"/>
  <c r="E795" i="204"/>
  <c r="F795" i="204"/>
  <c r="G795" i="204"/>
  <c r="H795" i="204"/>
  <c r="I795" i="204"/>
  <c r="J795" i="204"/>
  <c r="K795" i="204"/>
  <c r="L795" i="204"/>
  <c r="M795" i="204"/>
  <c r="N795" i="204"/>
  <c r="O795" i="204"/>
  <c r="P795" i="204"/>
  <c r="E796" i="204"/>
  <c r="F796" i="204"/>
  <c r="G796" i="204"/>
  <c r="H796" i="204"/>
  <c r="I796" i="204"/>
  <c r="J796" i="204"/>
  <c r="K796" i="204"/>
  <c r="L796" i="204"/>
  <c r="M796" i="204"/>
  <c r="N796" i="204"/>
  <c r="O796" i="204"/>
  <c r="P796" i="204"/>
  <c r="Q798" i="204"/>
  <c r="E807" i="204"/>
  <c r="F807" i="204"/>
  <c r="G807" i="204"/>
  <c r="H807" i="204"/>
  <c r="I807" i="204"/>
  <c r="J807" i="204"/>
  <c r="K807" i="204"/>
  <c r="L807" i="204"/>
  <c r="M807" i="204"/>
  <c r="N807" i="204"/>
  <c r="O807" i="204"/>
  <c r="P807" i="204"/>
  <c r="E810" i="204"/>
  <c r="F810" i="204"/>
  <c r="G810" i="204"/>
  <c r="H810" i="204"/>
  <c r="I810" i="204"/>
  <c r="J810" i="204"/>
  <c r="K810" i="204"/>
  <c r="L810" i="204"/>
  <c r="M810" i="204"/>
  <c r="N810" i="204"/>
  <c r="O810" i="204"/>
  <c r="P810" i="204"/>
  <c r="E811" i="204"/>
  <c r="F811" i="204"/>
  <c r="G811" i="204"/>
  <c r="H811" i="204"/>
  <c r="I811" i="204"/>
  <c r="J811" i="204"/>
  <c r="K811" i="204"/>
  <c r="L811" i="204"/>
  <c r="M811" i="204"/>
  <c r="N811" i="204"/>
  <c r="O811" i="204"/>
  <c r="P811" i="204"/>
  <c r="E812" i="204"/>
  <c r="F812" i="204"/>
  <c r="G812" i="204"/>
  <c r="H812" i="204"/>
  <c r="I812" i="204"/>
  <c r="J812" i="204"/>
  <c r="K812" i="204"/>
  <c r="L812" i="204"/>
  <c r="M812" i="204"/>
  <c r="N812" i="204"/>
  <c r="O812" i="204"/>
  <c r="P812" i="204"/>
  <c r="E813" i="204"/>
  <c r="F813" i="204"/>
  <c r="G813" i="204"/>
  <c r="H813" i="204"/>
  <c r="I813" i="204"/>
  <c r="J813" i="204"/>
  <c r="K813" i="204"/>
  <c r="L813" i="204"/>
  <c r="M813" i="204"/>
  <c r="N813" i="204"/>
  <c r="O813" i="204"/>
  <c r="P813" i="204"/>
  <c r="E814" i="204"/>
  <c r="F814" i="204"/>
  <c r="G814" i="204"/>
  <c r="H814" i="204"/>
  <c r="I814" i="204"/>
  <c r="J814" i="204"/>
  <c r="K814" i="204"/>
  <c r="L814" i="204"/>
  <c r="M814" i="204"/>
  <c r="N814" i="204"/>
  <c r="O814" i="204"/>
  <c r="P814" i="204"/>
  <c r="E815" i="204"/>
  <c r="F815" i="204"/>
  <c r="G815" i="204"/>
  <c r="H815" i="204"/>
  <c r="I815" i="204"/>
  <c r="J815" i="204"/>
  <c r="K815" i="204"/>
  <c r="L815" i="204"/>
  <c r="M815" i="204"/>
  <c r="N815" i="204"/>
  <c r="O815" i="204"/>
  <c r="P815" i="204"/>
  <c r="L9" i="203"/>
  <c r="M9" i="203"/>
  <c r="N9" i="203"/>
  <c r="L10" i="203"/>
  <c r="M10" i="203"/>
  <c r="N10" i="203"/>
  <c r="L11" i="203"/>
  <c r="M11" i="203"/>
  <c r="N11" i="203"/>
  <c r="L12" i="203"/>
  <c r="M12" i="203"/>
  <c r="N12" i="203"/>
  <c r="L13" i="203"/>
  <c r="M13" i="203"/>
  <c r="N13" i="203"/>
  <c r="L14" i="203"/>
  <c r="M14" i="203"/>
  <c r="N14" i="203"/>
  <c r="L15" i="203"/>
  <c r="M15" i="203"/>
  <c r="N15" i="203"/>
  <c r="L16" i="203"/>
  <c r="M16" i="203"/>
  <c r="N16" i="203"/>
  <c r="L17" i="203"/>
  <c r="M17" i="203"/>
  <c r="N17" i="203"/>
  <c r="E22" i="203"/>
  <c r="F22" i="203"/>
  <c r="G22" i="203"/>
  <c r="H22" i="203"/>
  <c r="L24" i="203"/>
  <c r="M24" i="203"/>
  <c r="N24" i="203"/>
  <c r="I25" i="203"/>
  <c r="L25" i="203"/>
  <c r="M25" i="203"/>
  <c r="N25" i="203"/>
  <c r="L26" i="203"/>
  <c r="M26" i="203"/>
  <c r="N26" i="203"/>
  <c r="L27" i="203"/>
  <c r="M27" i="203"/>
  <c r="N27" i="203"/>
  <c r="L28" i="203"/>
  <c r="M28" i="203"/>
  <c r="N28" i="203"/>
  <c r="L29" i="203"/>
  <c r="M29" i="203"/>
  <c r="N29" i="203"/>
  <c r="L30" i="203"/>
  <c r="M30" i="203"/>
  <c r="N30" i="203"/>
  <c r="L31" i="203"/>
  <c r="M31" i="203"/>
  <c r="N31" i="203"/>
  <c r="L32" i="203"/>
  <c r="M32" i="203"/>
  <c r="N32" i="203"/>
  <c r="L33" i="203"/>
  <c r="M33" i="203"/>
  <c r="N33" i="203"/>
  <c r="E39" i="203"/>
  <c r="F39" i="203"/>
  <c r="G39" i="203"/>
  <c r="H39" i="203"/>
  <c r="L41" i="203"/>
  <c r="M41" i="203"/>
  <c r="N41" i="203"/>
  <c r="L42" i="203"/>
  <c r="M42" i="203"/>
  <c r="N42" i="203"/>
  <c r="L43" i="203"/>
  <c r="M43" i="203"/>
  <c r="N43" i="203"/>
  <c r="I44" i="203"/>
  <c r="L44" i="203"/>
  <c r="M44" i="203"/>
  <c r="N44" i="203"/>
  <c r="I45" i="203"/>
  <c r="L45" i="203"/>
  <c r="M45" i="203"/>
  <c r="N45" i="203"/>
  <c r="L46" i="203"/>
  <c r="M46" i="203"/>
  <c r="N46" i="203"/>
  <c r="L47" i="203"/>
  <c r="M47" i="203"/>
  <c r="N47" i="203"/>
  <c r="L48" i="203"/>
  <c r="M48" i="203"/>
  <c r="N48" i="203"/>
  <c r="L49" i="203"/>
  <c r="M49" i="203"/>
  <c r="N49" i="203"/>
  <c r="I51" i="203"/>
  <c r="L51" i="203"/>
  <c r="M51" i="203"/>
  <c r="N51" i="203"/>
  <c r="E56" i="203"/>
  <c r="F56" i="203"/>
  <c r="G56" i="203"/>
  <c r="H56" i="203"/>
  <c r="L58" i="203"/>
  <c r="M58" i="203"/>
  <c r="N58" i="203"/>
  <c r="I59" i="203"/>
  <c r="L59" i="203"/>
  <c r="M59" i="203"/>
  <c r="N59" i="203"/>
  <c r="L60" i="203"/>
  <c r="M60" i="203"/>
  <c r="N60" i="203"/>
  <c r="I61" i="203"/>
  <c r="L61" i="203"/>
  <c r="M61" i="203"/>
  <c r="N61" i="203"/>
  <c r="I62" i="203"/>
  <c r="L62" i="203"/>
  <c r="M62" i="203"/>
  <c r="N62" i="203"/>
  <c r="L63" i="203"/>
  <c r="M63" i="203"/>
  <c r="N63" i="203"/>
  <c r="L64" i="203"/>
  <c r="M64" i="203"/>
  <c r="N64" i="203"/>
  <c r="L65" i="203"/>
  <c r="M65" i="203"/>
  <c r="N65" i="203"/>
  <c r="L66" i="203"/>
  <c r="M66" i="203"/>
  <c r="N66" i="203"/>
  <c r="L67" i="203"/>
  <c r="M67" i="203"/>
  <c r="N67" i="203"/>
  <c r="E74" i="203"/>
  <c r="F74" i="203"/>
  <c r="G74" i="203"/>
  <c r="H74" i="203"/>
  <c r="H75" i="203" s="1"/>
  <c r="H76" i="203" s="1"/>
  <c r="G75" i="203"/>
  <c r="G76" i="203" s="1"/>
  <c r="L9" i="202"/>
  <c r="M9" i="202"/>
  <c r="N9" i="202"/>
  <c r="L10" i="202"/>
  <c r="M10" i="202"/>
  <c r="N10" i="202"/>
  <c r="L11" i="202"/>
  <c r="M11" i="202"/>
  <c r="N11" i="202"/>
  <c r="L12" i="202"/>
  <c r="M12" i="202"/>
  <c r="N12" i="202"/>
  <c r="L13" i="202"/>
  <c r="M13" i="202"/>
  <c r="N13" i="202"/>
  <c r="L14" i="202"/>
  <c r="M14" i="202"/>
  <c r="N14" i="202"/>
  <c r="L15" i="202"/>
  <c r="M15" i="202"/>
  <c r="N15" i="202"/>
  <c r="L16" i="202"/>
  <c r="M16" i="202"/>
  <c r="N16" i="202"/>
  <c r="L17" i="202"/>
  <c r="M17" i="202"/>
  <c r="N17" i="202"/>
  <c r="E22" i="202"/>
  <c r="F22" i="202"/>
  <c r="G22" i="202"/>
  <c r="H22" i="202"/>
  <c r="L24" i="202"/>
  <c r="M24" i="202"/>
  <c r="N24" i="202"/>
  <c r="I25" i="202"/>
  <c r="L25" i="202"/>
  <c r="M25" i="202"/>
  <c r="N25" i="202"/>
  <c r="L26" i="202"/>
  <c r="M26" i="202"/>
  <c r="N26" i="202"/>
  <c r="L27" i="202"/>
  <c r="M27" i="202"/>
  <c r="N27" i="202"/>
  <c r="L28" i="202"/>
  <c r="M28" i="202"/>
  <c r="N28" i="202"/>
  <c r="L29" i="202"/>
  <c r="M29" i="202"/>
  <c r="N29" i="202"/>
  <c r="L30" i="202"/>
  <c r="M30" i="202"/>
  <c r="N30" i="202"/>
  <c r="L31" i="202"/>
  <c r="M31" i="202"/>
  <c r="N31" i="202"/>
  <c r="L32" i="202"/>
  <c r="M32" i="202"/>
  <c r="N32" i="202"/>
  <c r="L33" i="202"/>
  <c r="M33" i="202"/>
  <c r="N33" i="202"/>
  <c r="E39" i="202"/>
  <c r="F39" i="202"/>
  <c r="G39" i="202"/>
  <c r="H39" i="202"/>
  <c r="L41" i="202"/>
  <c r="M41" i="202"/>
  <c r="N41" i="202"/>
  <c r="L42" i="202"/>
  <c r="M42" i="202"/>
  <c r="N42" i="202"/>
  <c r="L43" i="202"/>
  <c r="M43" i="202"/>
  <c r="N43" i="202"/>
  <c r="I44" i="202"/>
  <c r="L44" i="202"/>
  <c r="M44" i="202"/>
  <c r="N44" i="202"/>
  <c r="I45" i="202"/>
  <c r="L45" i="202"/>
  <c r="M45" i="202"/>
  <c r="N45" i="202"/>
  <c r="L46" i="202"/>
  <c r="M46" i="202"/>
  <c r="N46" i="202"/>
  <c r="L47" i="202"/>
  <c r="M47" i="202"/>
  <c r="N47" i="202"/>
  <c r="L48" i="202"/>
  <c r="M48" i="202"/>
  <c r="N48" i="202"/>
  <c r="L49" i="202"/>
  <c r="M49" i="202"/>
  <c r="N49" i="202"/>
  <c r="L51" i="202"/>
  <c r="M51" i="202"/>
  <c r="N51" i="202"/>
  <c r="E56" i="202"/>
  <c r="F56" i="202"/>
  <c r="G56" i="202"/>
  <c r="H56" i="202"/>
  <c r="L58" i="202"/>
  <c r="M58" i="202"/>
  <c r="N58" i="202"/>
  <c r="I59" i="202"/>
  <c r="L59" i="202"/>
  <c r="M59" i="202"/>
  <c r="N59" i="202"/>
  <c r="L60" i="202"/>
  <c r="M60" i="202"/>
  <c r="N60" i="202"/>
  <c r="I61" i="202"/>
  <c r="L61" i="202"/>
  <c r="M61" i="202"/>
  <c r="N61" i="202"/>
  <c r="I62" i="202"/>
  <c r="L62" i="202"/>
  <c r="M62" i="202"/>
  <c r="N62" i="202"/>
  <c r="L63" i="202"/>
  <c r="M63" i="202"/>
  <c r="N63" i="202"/>
  <c r="L64" i="202"/>
  <c r="M64" i="202"/>
  <c r="N64" i="202"/>
  <c r="L65" i="202"/>
  <c r="M65" i="202"/>
  <c r="N65" i="202"/>
  <c r="L66" i="202"/>
  <c r="M66" i="202"/>
  <c r="N66" i="202"/>
  <c r="L67" i="202"/>
  <c r="M67" i="202"/>
  <c r="N67" i="202"/>
  <c r="E74" i="202"/>
  <c r="F74" i="202"/>
  <c r="G74" i="202"/>
  <c r="G75" i="202" s="1"/>
  <c r="G76" i="202" s="1"/>
  <c r="H74" i="202"/>
  <c r="P34" i="204" l="1"/>
  <c r="Q595" i="206"/>
  <c r="P76" i="206" s="1"/>
  <c r="P69" i="204"/>
  <c r="Q558" i="206"/>
  <c r="P39" i="206" s="1"/>
  <c r="L75" i="206"/>
  <c r="J447" i="206"/>
  <c r="N63" i="206"/>
  <c r="N51" i="206"/>
  <c r="N46" i="206"/>
  <c r="N47" i="206"/>
  <c r="N66" i="206"/>
  <c r="N54" i="206"/>
  <c r="N67" i="206"/>
  <c r="N50" i="206"/>
  <c r="N41" i="206"/>
  <c r="Q520" i="206"/>
  <c r="O75" i="206" s="1"/>
  <c r="O69" i="204"/>
  <c r="Q501" i="206"/>
  <c r="O56" i="206" s="1"/>
  <c r="H521" i="206"/>
  <c r="O34" i="204"/>
  <c r="O521" i="206"/>
  <c r="G521" i="206"/>
  <c r="Q521" i="206" s="1"/>
  <c r="O76" i="206" s="1"/>
  <c r="M70" i="204"/>
  <c r="N74" i="206"/>
  <c r="N72" i="206"/>
  <c r="N70" i="206"/>
  <c r="L66" i="204"/>
  <c r="M75" i="206"/>
  <c r="N75" i="206" s="1"/>
  <c r="K447" i="206"/>
  <c r="L50" i="204"/>
  <c r="P447" i="206"/>
  <c r="H447" i="206"/>
  <c r="O447" i="206"/>
  <c r="M56" i="206"/>
  <c r="Q410" i="206"/>
  <c r="N37" i="206"/>
  <c r="N35" i="206"/>
  <c r="N33" i="206"/>
  <c r="N31" i="206"/>
  <c r="N29" i="206"/>
  <c r="N27" i="206"/>
  <c r="N25" i="206"/>
  <c r="N17" i="206"/>
  <c r="N12" i="206"/>
  <c r="I335" i="204"/>
  <c r="O98" i="204"/>
  <c r="E75" i="203"/>
  <c r="E76" i="203" s="1"/>
  <c r="H75" i="202"/>
  <c r="H76" i="202" s="1"/>
  <c r="F75" i="202"/>
  <c r="F76" i="202" s="1"/>
  <c r="E75" i="202"/>
  <c r="E76" i="202" s="1"/>
  <c r="F75" i="203"/>
  <c r="F76" i="203" s="1"/>
  <c r="Q743" i="206"/>
  <c r="R76" i="206" s="1"/>
  <c r="Q645" i="204"/>
  <c r="Q797" i="206"/>
  <c r="S56" i="206" s="1"/>
  <c r="Q669" i="206"/>
  <c r="Q76" i="206" s="1"/>
  <c r="Q780" i="206"/>
  <c r="S39" i="206" s="1"/>
  <c r="Q668" i="206"/>
  <c r="Q75" i="206" s="1"/>
  <c r="Q649" i="206"/>
  <c r="Q56" i="206" s="1"/>
  <c r="Q34" i="204"/>
  <c r="Q706" i="206"/>
  <c r="R39" i="206" s="1"/>
  <c r="Q70" i="204"/>
  <c r="G817" i="206"/>
  <c r="Q817" i="206" s="1"/>
  <c r="S76" i="206" s="1"/>
  <c r="Q632" i="206"/>
  <c r="Q39" i="206" s="1"/>
  <c r="Q723" i="206"/>
  <c r="R56" i="206" s="1"/>
  <c r="R34" i="204"/>
  <c r="G372" i="206"/>
  <c r="G373" i="206" s="1"/>
  <c r="L225" i="206"/>
  <c r="L226" i="206" s="1"/>
  <c r="Q279" i="206"/>
  <c r="G56" i="206" s="1"/>
  <c r="G226" i="206"/>
  <c r="F152" i="206"/>
  <c r="F153" i="206" s="1"/>
  <c r="J151" i="204"/>
  <c r="G30" i="204"/>
  <c r="F62" i="204"/>
  <c r="F34" i="204"/>
  <c r="E66" i="204"/>
  <c r="E372" i="206"/>
  <c r="Q372" i="206" s="1"/>
  <c r="I76" i="206" s="1"/>
  <c r="J76" i="206" s="1"/>
  <c r="Q115" i="206"/>
  <c r="E39" i="206" s="1"/>
  <c r="O372" i="206"/>
  <c r="O373" i="206" s="1"/>
  <c r="K299" i="206"/>
  <c r="K300" i="206" s="1"/>
  <c r="Q206" i="206"/>
  <c r="F56" i="206" s="1"/>
  <c r="K153" i="206"/>
  <c r="L152" i="206"/>
  <c r="L153" i="206" s="1"/>
  <c r="Q98" i="206"/>
  <c r="E22" i="206" s="1"/>
  <c r="J11" i="204"/>
  <c r="O299" i="206"/>
  <c r="O300" i="206" s="1"/>
  <c r="O225" i="206"/>
  <c r="O226" i="206" s="1"/>
  <c r="N152" i="206"/>
  <c r="N153" i="206" s="1"/>
  <c r="J10" i="204"/>
  <c r="M372" i="206"/>
  <c r="M373" i="206" s="1"/>
  <c r="I299" i="206"/>
  <c r="I300" i="206" s="1"/>
  <c r="Q262" i="206"/>
  <c r="G39" i="206" s="1"/>
  <c r="Q151" i="206"/>
  <c r="E75" i="206" s="1"/>
  <c r="G98" i="204"/>
  <c r="H56" i="204"/>
  <c r="Q245" i="206"/>
  <c r="G22" i="206" s="1"/>
  <c r="M225" i="206"/>
  <c r="M226" i="206" s="1"/>
  <c r="Q224" i="206"/>
  <c r="I10" i="204"/>
  <c r="K372" i="206"/>
  <c r="K373" i="206" s="1"/>
  <c r="J189" i="204"/>
  <c r="Q189" i="206"/>
  <c r="F39" i="206" s="1"/>
  <c r="I14" i="204"/>
  <c r="F66" i="204"/>
  <c r="F12" i="204"/>
  <c r="I373" i="206"/>
  <c r="Q298" i="206"/>
  <c r="G75" i="206" s="1"/>
  <c r="Q172" i="206"/>
  <c r="F22" i="206" s="1"/>
  <c r="M152" i="206"/>
  <c r="M153" i="206" s="1"/>
  <c r="Q132" i="206"/>
  <c r="E56" i="206" s="1"/>
  <c r="L300" i="205"/>
  <c r="J300" i="205"/>
  <c r="I13" i="204"/>
  <c r="I11" i="204"/>
  <c r="H373" i="205"/>
  <c r="E152" i="205"/>
  <c r="E153" i="205" s="1"/>
  <c r="Q98" i="205"/>
  <c r="E22" i="205" s="1"/>
  <c r="I61" i="204"/>
  <c r="G43" i="204"/>
  <c r="F33" i="204"/>
  <c r="I31" i="204"/>
  <c r="K300" i="205"/>
  <c r="Q100" i="204"/>
  <c r="I49" i="204"/>
  <c r="I9" i="204"/>
  <c r="F225" i="205"/>
  <c r="F226" i="205" s="1"/>
  <c r="G225" i="205"/>
  <c r="G226" i="205" s="1"/>
  <c r="J225" i="205"/>
  <c r="J226" i="205" s="1"/>
  <c r="G152" i="205"/>
  <c r="G153" i="205" s="1"/>
  <c r="Q347" i="204"/>
  <c r="I66" i="204"/>
  <c r="I47" i="204"/>
  <c r="I30" i="204"/>
  <c r="Q318" i="205"/>
  <c r="I22" i="205" s="1"/>
  <c r="J22" i="205" s="1"/>
  <c r="I300" i="205"/>
  <c r="Q224" i="205"/>
  <c r="F75" i="205" s="1"/>
  <c r="O152" i="205"/>
  <c r="O153" i="205" s="1"/>
  <c r="H152" i="205"/>
  <c r="H153" i="205" s="1"/>
  <c r="K77" i="205"/>
  <c r="I59" i="204"/>
  <c r="G41" i="204"/>
  <c r="F31" i="204"/>
  <c r="F25" i="204"/>
  <c r="J373" i="205"/>
  <c r="I373" i="205"/>
  <c r="E12" i="204"/>
  <c r="Q128" i="204"/>
  <c r="I64" i="204"/>
  <c r="I45" i="204"/>
  <c r="I28" i="204"/>
  <c r="F372" i="205"/>
  <c r="F373" i="205" s="1"/>
  <c r="Q335" i="205"/>
  <c r="I39" i="205" s="1"/>
  <c r="J39" i="205" s="1"/>
  <c r="Q245" i="205"/>
  <c r="G22" i="205" s="1"/>
  <c r="P225" i="205"/>
  <c r="P226" i="205" s="1"/>
  <c r="N152" i="205"/>
  <c r="N153" i="205" s="1"/>
  <c r="H77" i="205"/>
  <c r="I70" i="204"/>
  <c r="F152" i="205"/>
  <c r="F153" i="205" s="1"/>
  <c r="Q88" i="204"/>
  <c r="Q352" i="205"/>
  <c r="I56" i="205" s="1"/>
  <c r="J56" i="205" s="1"/>
  <c r="Q298" i="205"/>
  <c r="G75" i="205" s="1"/>
  <c r="Q262" i="205"/>
  <c r="G39" i="205" s="1"/>
  <c r="I69" i="204"/>
  <c r="G51" i="204"/>
  <c r="F29" i="204"/>
  <c r="Q279" i="205"/>
  <c r="G56" i="205" s="1"/>
  <c r="N225" i="205"/>
  <c r="N226" i="205" s="1"/>
  <c r="O225" i="205"/>
  <c r="O226" i="205" s="1"/>
  <c r="Q132" i="205"/>
  <c r="E56" i="205" s="1"/>
  <c r="G10" i="204"/>
  <c r="Q371" i="205"/>
  <c r="I75" i="205" s="1"/>
  <c r="J75" i="205" s="1"/>
  <c r="I12" i="204"/>
  <c r="P299" i="205"/>
  <c r="P300" i="205" s="1"/>
  <c r="M225" i="205"/>
  <c r="M226" i="205" s="1"/>
  <c r="Q189" i="205"/>
  <c r="F39" i="205" s="1"/>
  <c r="I67" i="204"/>
  <c r="G49" i="204"/>
  <c r="F27" i="204"/>
  <c r="Q646" i="204"/>
  <c r="Q733" i="204"/>
  <c r="Q722" i="204"/>
  <c r="Q517" i="204"/>
  <c r="Q390" i="204"/>
  <c r="I153" i="226"/>
  <c r="J153" i="226"/>
  <c r="H28" i="227"/>
  <c r="H49" i="227" s="1"/>
  <c r="G139" i="227"/>
  <c r="L103" i="227"/>
  <c r="E93" i="227"/>
  <c r="P28" i="227"/>
  <c r="P49" i="227" s="1"/>
  <c r="J114" i="226"/>
  <c r="K23" i="226"/>
  <c r="K129" i="226"/>
  <c r="K18" i="226"/>
  <c r="K19" i="226"/>
  <c r="K132" i="226"/>
  <c r="K107" i="226"/>
  <c r="K84" i="226"/>
  <c r="K100" i="226"/>
  <c r="K93" i="226"/>
  <c r="Q158" i="228"/>
  <c r="K133" i="226"/>
  <c r="K88" i="226"/>
  <c r="K111" i="226"/>
  <c r="J158" i="226"/>
  <c r="K150" i="226"/>
  <c r="K151" i="226"/>
  <c r="K103" i="226"/>
  <c r="K47" i="226"/>
  <c r="K44" i="226"/>
  <c r="K76" i="226"/>
  <c r="K138" i="226"/>
  <c r="K152" i="226"/>
  <c r="K144" i="226"/>
  <c r="K128" i="226"/>
  <c r="K113" i="226"/>
  <c r="K101" i="226"/>
  <c r="K139" i="226"/>
  <c r="K90" i="226"/>
  <c r="K137" i="226"/>
  <c r="K149" i="226"/>
  <c r="K126" i="226"/>
  <c r="K91" i="226"/>
  <c r="K145" i="226"/>
  <c r="K136" i="226"/>
  <c r="K110" i="226"/>
  <c r="K45" i="226"/>
  <c r="K134" i="226"/>
  <c r="K109" i="226"/>
  <c r="K86" i="226"/>
  <c r="K40" i="226"/>
  <c r="K46" i="226"/>
  <c r="K41" i="226"/>
  <c r="K156" i="226"/>
  <c r="K89" i="226"/>
  <c r="K85" i="226"/>
  <c r="J103" i="231"/>
  <c r="K13" i="204"/>
  <c r="K22" i="204" s="1"/>
  <c r="N66" i="205"/>
  <c r="N66" i="204" s="1"/>
  <c r="N103" i="231"/>
  <c r="O103" i="233"/>
  <c r="G103" i="233"/>
  <c r="N69" i="205"/>
  <c r="N69" i="204" s="1"/>
  <c r="G15" i="212"/>
  <c r="I15" i="212" s="1"/>
  <c r="J15" i="212" s="1"/>
  <c r="G12" i="212"/>
  <c r="I12" i="212" s="1"/>
  <c r="J12" i="212" s="1"/>
  <c r="I66" i="226"/>
  <c r="J12" i="226"/>
  <c r="H13" i="204"/>
  <c r="H22" i="204" s="1"/>
  <c r="J13" i="206"/>
  <c r="J13" i="204" s="1"/>
  <c r="N70" i="205"/>
  <c r="N70" i="204" s="1"/>
  <c r="N13" i="205"/>
  <c r="I37" i="226"/>
  <c r="I10" i="226"/>
  <c r="H94" i="226"/>
  <c r="L93" i="227"/>
  <c r="I113" i="231"/>
  <c r="I113" i="232"/>
  <c r="K103" i="232"/>
  <c r="O70" i="204"/>
  <c r="S70" i="204"/>
  <c r="S69" i="204"/>
  <c r="O66" i="204"/>
  <c r="O28" i="227"/>
  <c r="O49" i="227" s="1"/>
  <c r="Q97" i="227"/>
  <c r="F98" i="226" s="1"/>
  <c r="K93" i="227"/>
  <c r="O93" i="227"/>
  <c r="O113" i="233"/>
  <c r="N93" i="227"/>
  <c r="J74" i="226"/>
  <c r="E48" i="226"/>
  <c r="K27" i="226"/>
  <c r="K22" i="226"/>
  <c r="K21" i="226"/>
  <c r="K20" i="226"/>
  <c r="O103" i="227"/>
  <c r="I93" i="227"/>
  <c r="I77" i="227"/>
  <c r="L93" i="228"/>
  <c r="L112" i="211"/>
  <c r="M112" i="211" s="1"/>
  <c r="G103" i="231"/>
  <c r="I114" i="226"/>
  <c r="F103" i="231"/>
  <c r="I30" i="226"/>
  <c r="G14" i="212"/>
  <c r="I14" i="212" s="1"/>
  <c r="J14" i="212" s="1"/>
  <c r="K103" i="231"/>
  <c r="L118" i="211"/>
  <c r="M118" i="211" s="1"/>
  <c r="G48" i="212"/>
  <c r="I48" i="212" s="1"/>
  <c r="J48" i="212" s="1"/>
  <c r="J93" i="228"/>
  <c r="L56" i="202"/>
  <c r="M74" i="203"/>
  <c r="N139" i="227"/>
  <c r="Q116" i="227"/>
  <c r="F117" i="226" s="1"/>
  <c r="J77" i="227"/>
  <c r="N77" i="227"/>
  <c r="F77" i="227"/>
  <c r="L28" i="227"/>
  <c r="L49" i="227" s="1"/>
  <c r="I116" i="226"/>
  <c r="Q82" i="228"/>
  <c r="I72" i="226"/>
  <c r="I70" i="226"/>
  <c r="I64" i="226"/>
  <c r="I55" i="226"/>
  <c r="J36" i="226"/>
  <c r="J10" i="226"/>
  <c r="Q106" i="231"/>
  <c r="N107" i="226" s="1"/>
  <c r="R39" i="134"/>
  <c r="J39" i="134"/>
  <c r="N38" i="134"/>
  <c r="S36" i="134"/>
  <c r="K36" i="134"/>
  <c r="O35" i="134"/>
  <c r="S34" i="134"/>
  <c r="K34" i="134"/>
  <c r="O33" i="134"/>
  <c r="S32" i="134"/>
  <c r="K32" i="134"/>
  <c r="O31" i="134"/>
  <c r="S30" i="134"/>
  <c r="K30" i="134"/>
  <c r="O29" i="134"/>
  <c r="I103" i="232"/>
  <c r="N39" i="135"/>
  <c r="R38" i="135"/>
  <c r="J38" i="135"/>
  <c r="O36" i="135"/>
  <c r="S35" i="135"/>
  <c r="K35" i="135"/>
  <c r="O34" i="135"/>
  <c r="S33" i="135"/>
  <c r="K33" i="135"/>
  <c r="O32" i="135"/>
  <c r="S31" i="135"/>
  <c r="K31" i="135"/>
  <c r="O30" i="135"/>
  <c r="S29" i="135"/>
  <c r="K29" i="135"/>
  <c r="S39" i="136"/>
  <c r="K39" i="136"/>
  <c r="O38" i="136"/>
  <c r="T36" i="136"/>
  <c r="L36" i="136"/>
  <c r="P35" i="136"/>
  <c r="T34" i="136"/>
  <c r="L34" i="136"/>
  <c r="P33" i="136"/>
  <c r="T32" i="136"/>
  <c r="L32" i="136"/>
  <c r="P31" i="136"/>
  <c r="T30" i="136"/>
  <c r="L30" i="136"/>
  <c r="P29" i="136"/>
  <c r="M139" i="227"/>
  <c r="E139" i="227"/>
  <c r="I139" i="227"/>
  <c r="K103" i="227"/>
  <c r="Q64" i="227"/>
  <c r="F65" i="226" s="1"/>
  <c r="Q56" i="227"/>
  <c r="F56" i="226" s="1"/>
  <c r="Q54" i="227"/>
  <c r="F54" i="226" s="1"/>
  <c r="K28" i="227"/>
  <c r="K49" i="227" s="1"/>
  <c r="Q106" i="229"/>
  <c r="L107" i="226" s="1"/>
  <c r="K113" i="231"/>
  <c r="G113" i="231"/>
  <c r="Q39" i="134"/>
  <c r="I39" i="134"/>
  <c r="M38" i="134"/>
  <c r="R36" i="134"/>
  <c r="J36" i="134"/>
  <c r="N35" i="134"/>
  <c r="R34" i="134"/>
  <c r="J34" i="134"/>
  <c r="N33" i="134"/>
  <c r="R32" i="134"/>
  <c r="J32" i="134"/>
  <c r="N31" i="134"/>
  <c r="R30" i="134"/>
  <c r="J30" i="134"/>
  <c r="N29" i="134"/>
  <c r="M39" i="135"/>
  <c r="Q38" i="135"/>
  <c r="I38" i="135"/>
  <c r="N36" i="135"/>
  <c r="R35" i="135"/>
  <c r="J35" i="135"/>
  <c r="N34" i="135"/>
  <c r="R33" i="135"/>
  <c r="J33" i="135"/>
  <c r="N32" i="135"/>
  <c r="R31" i="135"/>
  <c r="J31" i="135"/>
  <c r="N30" i="135"/>
  <c r="R29" i="135"/>
  <c r="J29" i="135"/>
  <c r="R39" i="136"/>
  <c r="J39" i="136"/>
  <c r="N38" i="136"/>
  <c r="S36" i="136"/>
  <c r="K36" i="136"/>
  <c r="O35" i="136"/>
  <c r="S34" i="136"/>
  <c r="K34" i="136"/>
  <c r="O33" i="136"/>
  <c r="S32" i="136"/>
  <c r="K32" i="136"/>
  <c r="O31" i="136"/>
  <c r="S30" i="136"/>
  <c r="K30" i="136"/>
  <c r="O29" i="136"/>
  <c r="P139" i="227"/>
  <c r="Q115" i="227"/>
  <c r="F116" i="226" s="1"/>
  <c r="L77" i="227"/>
  <c r="J28" i="227"/>
  <c r="J49" i="227" s="1"/>
  <c r="P39" i="134"/>
  <c r="T38" i="134"/>
  <c r="L38" i="134"/>
  <c r="Q36" i="134"/>
  <c r="I36" i="134"/>
  <c r="M35" i="134"/>
  <c r="Q34" i="134"/>
  <c r="I34" i="134"/>
  <c r="M33" i="134"/>
  <c r="Q32" i="134"/>
  <c r="I32" i="134"/>
  <c r="M31" i="134"/>
  <c r="Q30" i="134"/>
  <c r="I30" i="134"/>
  <c r="M29" i="134"/>
  <c r="O113" i="232"/>
  <c r="G113" i="232"/>
  <c r="O103" i="232"/>
  <c r="G103" i="232"/>
  <c r="T39" i="135"/>
  <c r="L39" i="135"/>
  <c r="P38" i="135"/>
  <c r="M36" i="135"/>
  <c r="Q35" i="135"/>
  <c r="I35" i="135"/>
  <c r="M34" i="135"/>
  <c r="Q33" i="135"/>
  <c r="I33" i="135"/>
  <c r="M32" i="135"/>
  <c r="Q31" i="135"/>
  <c r="I31" i="135"/>
  <c r="M30" i="135"/>
  <c r="Q29" i="135"/>
  <c r="I29" i="135"/>
  <c r="I28" i="232"/>
  <c r="G93" i="233"/>
  <c r="Q39" i="136"/>
  <c r="I39" i="136"/>
  <c r="M38" i="136"/>
  <c r="R36" i="136"/>
  <c r="J36" i="136"/>
  <c r="N35" i="136"/>
  <c r="R34" i="136"/>
  <c r="J34" i="136"/>
  <c r="N33" i="136"/>
  <c r="R32" i="136"/>
  <c r="J32" i="136"/>
  <c r="N31" i="136"/>
  <c r="R30" i="136"/>
  <c r="J30" i="136"/>
  <c r="N29" i="136"/>
  <c r="K77" i="227"/>
  <c r="I28" i="227"/>
  <c r="I49" i="227" s="1"/>
  <c r="I73" i="226"/>
  <c r="J72" i="226"/>
  <c r="J71" i="226"/>
  <c r="I69" i="226"/>
  <c r="J66" i="226"/>
  <c r="J63" i="226"/>
  <c r="I60" i="226"/>
  <c r="J57" i="226"/>
  <c r="J55" i="226"/>
  <c r="J54" i="226"/>
  <c r="I52" i="226"/>
  <c r="M48" i="228"/>
  <c r="I48" i="228"/>
  <c r="I34" i="226"/>
  <c r="J31" i="226"/>
  <c r="J17" i="226"/>
  <c r="I17" i="226"/>
  <c r="I15" i="226"/>
  <c r="I11" i="226"/>
  <c r="O39" i="134"/>
  <c r="S38" i="134"/>
  <c r="K38" i="134"/>
  <c r="P36" i="134"/>
  <c r="T35" i="134"/>
  <c r="L35" i="134"/>
  <c r="P34" i="134"/>
  <c r="T33" i="134"/>
  <c r="L33" i="134"/>
  <c r="P32" i="134"/>
  <c r="T31" i="134"/>
  <c r="L31" i="134"/>
  <c r="P30" i="134"/>
  <c r="T29" i="134"/>
  <c r="L29" i="134"/>
  <c r="Q106" i="232"/>
  <c r="O107" i="226" s="1"/>
  <c r="N113" i="232"/>
  <c r="S39" i="135"/>
  <c r="K39" i="135"/>
  <c r="O38" i="135"/>
  <c r="T36" i="135"/>
  <c r="L36" i="135"/>
  <c r="P35" i="135"/>
  <c r="T34" i="135"/>
  <c r="L34" i="135"/>
  <c r="P33" i="135"/>
  <c r="T32" i="135"/>
  <c r="L32" i="135"/>
  <c r="P31" i="135"/>
  <c r="T30" i="135"/>
  <c r="L30" i="135"/>
  <c r="P29" i="135"/>
  <c r="P39" i="136"/>
  <c r="T38" i="136"/>
  <c r="L38" i="136"/>
  <c r="Q36" i="136"/>
  <c r="I36" i="136"/>
  <c r="M35" i="136"/>
  <c r="Q34" i="136"/>
  <c r="I34" i="136"/>
  <c r="M33" i="136"/>
  <c r="Q32" i="136"/>
  <c r="I32" i="136"/>
  <c r="M31" i="136"/>
  <c r="Q30" i="136"/>
  <c r="I30" i="136"/>
  <c r="M29" i="136"/>
  <c r="H140" i="226"/>
  <c r="J139" i="227"/>
  <c r="P103" i="227"/>
  <c r="H103" i="227"/>
  <c r="P93" i="227"/>
  <c r="H93" i="227"/>
  <c r="N39" i="134"/>
  <c r="R38" i="134"/>
  <c r="J38" i="134"/>
  <c r="O36" i="134"/>
  <c r="S35" i="134"/>
  <c r="K35" i="134"/>
  <c r="O34" i="134"/>
  <c r="S33" i="134"/>
  <c r="K33" i="134"/>
  <c r="O32" i="134"/>
  <c r="S31" i="134"/>
  <c r="K31" i="134"/>
  <c r="O30" i="134"/>
  <c r="S29" i="134"/>
  <c r="K29" i="134"/>
  <c r="M113" i="232"/>
  <c r="E113" i="232"/>
  <c r="R39" i="135"/>
  <c r="J39" i="135"/>
  <c r="N38" i="135"/>
  <c r="S36" i="135"/>
  <c r="K36" i="135"/>
  <c r="O35" i="135"/>
  <c r="S34" i="135"/>
  <c r="K34" i="135"/>
  <c r="O33" i="135"/>
  <c r="S32" i="135"/>
  <c r="K32" i="135"/>
  <c r="O31" i="135"/>
  <c r="S30" i="135"/>
  <c r="K30" i="135"/>
  <c r="O29" i="135"/>
  <c r="J103" i="233"/>
  <c r="O39" i="136"/>
  <c r="S38" i="136"/>
  <c r="K38" i="136"/>
  <c r="P36" i="136"/>
  <c r="T35" i="136"/>
  <c r="L35" i="136"/>
  <c r="P34" i="136"/>
  <c r="T33" i="136"/>
  <c r="L33" i="136"/>
  <c r="P32" i="136"/>
  <c r="T31" i="136"/>
  <c r="L31" i="136"/>
  <c r="P30" i="136"/>
  <c r="T29" i="136"/>
  <c r="L29" i="136"/>
  <c r="E114" i="226"/>
  <c r="Q121" i="227"/>
  <c r="F122" i="226" s="1"/>
  <c r="G93" i="227"/>
  <c r="Q67" i="227"/>
  <c r="F68" i="226" s="1"/>
  <c r="Q57" i="227"/>
  <c r="F57" i="226" s="1"/>
  <c r="M77" i="227"/>
  <c r="E77" i="227"/>
  <c r="G28" i="227"/>
  <c r="G49" i="227" s="1"/>
  <c r="M39" i="134"/>
  <c r="Q38" i="134"/>
  <c r="I38" i="134"/>
  <c r="N36" i="134"/>
  <c r="R35" i="134"/>
  <c r="J35" i="134"/>
  <c r="N34" i="134"/>
  <c r="R33" i="134"/>
  <c r="J33" i="134"/>
  <c r="N32" i="134"/>
  <c r="R31" i="134"/>
  <c r="J31" i="134"/>
  <c r="N30" i="134"/>
  <c r="R29" i="134"/>
  <c r="J29" i="134"/>
  <c r="Q39" i="135"/>
  <c r="I39" i="135"/>
  <c r="M38" i="135"/>
  <c r="R36" i="135"/>
  <c r="J36" i="135"/>
  <c r="N35" i="135"/>
  <c r="R34" i="135"/>
  <c r="J34" i="135"/>
  <c r="N33" i="135"/>
  <c r="R32" i="135"/>
  <c r="J32" i="135"/>
  <c r="N31" i="135"/>
  <c r="R30" i="135"/>
  <c r="J30" i="135"/>
  <c r="N29" i="135"/>
  <c r="N39" i="136"/>
  <c r="R38" i="136"/>
  <c r="J38" i="136"/>
  <c r="O36" i="136"/>
  <c r="S35" i="136"/>
  <c r="K35" i="136"/>
  <c r="O34" i="136"/>
  <c r="S33" i="136"/>
  <c r="K33" i="136"/>
  <c r="O32" i="136"/>
  <c r="S31" i="136"/>
  <c r="K31" i="136"/>
  <c r="O30" i="136"/>
  <c r="S29" i="136"/>
  <c r="K29" i="136"/>
  <c r="Q129" i="227"/>
  <c r="F130" i="226" s="1"/>
  <c r="Q105" i="227"/>
  <c r="F106" i="226" s="1"/>
  <c r="N103" i="227"/>
  <c r="F103" i="227"/>
  <c r="J93" i="227"/>
  <c r="F93" i="227"/>
  <c r="Q10" i="227"/>
  <c r="F10" i="226" s="1"/>
  <c r="I125" i="226"/>
  <c r="M140" i="228"/>
  <c r="E140" i="228"/>
  <c r="T39" i="134"/>
  <c r="L39" i="134"/>
  <c r="P38" i="134"/>
  <c r="M36" i="134"/>
  <c r="Q35" i="134"/>
  <c r="I35" i="134"/>
  <c r="M34" i="134"/>
  <c r="Q33" i="134"/>
  <c r="I33" i="134"/>
  <c r="M32" i="134"/>
  <c r="Q31" i="134"/>
  <c r="I31" i="134"/>
  <c r="M30" i="134"/>
  <c r="Q29" i="134"/>
  <c r="I29" i="134"/>
  <c r="Q58" i="232"/>
  <c r="O58" i="226" s="1"/>
  <c r="P39" i="135"/>
  <c r="T38" i="135"/>
  <c r="L38" i="135"/>
  <c r="Q36" i="135"/>
  <c r="I36" i="135"/>
  <c r="M35" i="135"/>
  <c r="Q34" i="135"/>
  <c r="I34" i="135"/>
  <c r="M33" i="135"/>
  <c r="Q32" i="135"/>
  <c r="I32" i="135"/>
  <c r="M31" i="135"/>
  <c r="Q30" i="135"/>
  <c r="I30" i="135"/>
  <c r="M29" i="135"/>
  <c r="M39" i="136"/>
  <c r="Q38" i="136"/>
  <c r="I38" i="136"/>
  <c r="N36" i="136"/>
  <c r="R35" i="136"/>
  <c r="J35" i="136"/>
  <c r="N34" i="136"/>
  <c r="R33" i="136"/>
  <c r="J33" i="136"/>
  <c r="N32" i="136"/>
  <c r="R31" i="136"/>
  <c r="J31" i="136"/>
  <c r="N30" i="136"/>
  <c r="R29" i="136"/>
  <c r="J29" i="136"/>
  <c r="H28" i="226"/>
  <c r="O139" i="227"/>
  <c r="I103" i="227"/>
  <c r="M103" i="227"/>
  <c r="M93" i="227"/>
  <c r="Q79" i="227"/>
  <c r="F80" i="226" s="1"/>
  <c r="S39" i="134"/>
  <c r="K39" i="134"/>
  <c r="O38" i="134"/>
  <c r="T36" i="134"/>
  <c r="L36" i="134"/>
  <c r="P35" i="134"/>
  <c r="T34" i="134"/>
  <c r="L34" i="134"/>
  <c r="P33" i="134"/>
  <c r="T32" i="134"/>
  <c r="L32" i="134"/>
  <c r="P31" i="134"/>
  <c r="T30" i="134"/>
  <c r="L30" i="134"/>
  <c r="P29" i="134"/>
  <c r="O39" i="135"/>
  <c r="S38" i="135"/>
  <c r="K38" i="135"/>
  <c r="P36" i="135"/>
  <c r="T35" i="135"/>
  <c r="L35" i="135"/>
  <c r="P34" i="135"/>
  <c r="T33" i="135"/>
  <c r="L33" i="135"/>
  <c r="P32" i="135"/>
  <c r="T31" i="135"/>
  <c r="L31" i="135"/>
  <c r="P30" i="135"/>
  <c r="T29" i="135"/>
  <c r="L29" i="135"/>
  <c r="T39" i="136"/>
  <c r="L39" i="136"/>
  <c r="P38" i="136"/>
  <c r="M36" i="136"/>
  <c r="Q35" i="136"/>
  <c r="I35" i="136"/>
  <c r="M34" i="136"/>
  <c r="Q33" i="136"/>
  <c r="I33" i="136"/>
  <c r="M32" i="136"/>
  <c r="Q31" i="136"/>
  <c r="I31" i="136"/>
  <c r="M30" i="136"/>
  <c r="Q29" i="136"/>
  <c r="I29" i="136"/>
  <c r="H160" i="211"/>
  <c r="H128" i="211"/>
  <c r="H155" i="211"/>
  <c r="L151" i="211"/>
  <c r="M151" i="211" s="1"/>
  <c r="L134" i="211"/>
  <c r="M134" i="211" s="1"/>
  <c r="L120" i="211"/>
  <c r="M120" i="211" s="1"/>
  <c r="N74" i="203"/>
  <c r="L208" i="211"/>
  <c r="M208" i="211" s="1"/>
  <c r="H197" i="211"/>
  <c r="L162" i="211"/>
  <c r="M162" i="211" s="1"/>
  <c r="L155" i="211"/>
  <c r="M155" i="211" s="1"/>
  <c r="L130" i="211"/>
  <c r="M130" i="211" s="1"/>
  <c r="H113" i="211"/>
  <c r="J37" i="226"/>
  <c r="H139" i="227"/>
  <c r="L139" i="227"/>
  <c r="Q61" i="227"/>
  <c r="F62" i="226" s="1"/>
  <c r="Q59" i="227"/>
  <c r="F59" i="226" s="1"/>
  <c r="O77" i="227"/>
  <c r="G77" i="227"/>
  <c r="Q13" i="227"/>
  <c r="F13" i="226" s="1"/>
  <c r="P77" i="228"/>
  <c r="H77" i="228"/>
  <c r="J70" i="226"/>
  <c r="Q36" i="228"/>
  <c r="I12" i="226"/>
  <c r="Q59" i="232"/>
  <c r="O59" i="226" s="1"/>
  <c r="Q119" i="227"/>
  <c r="F120" i="226" s="1"/>
  <c r="K139" i="227"/>
  <c r="Q96" i="227"/>
  <c r="F97" i="226" s="1"/>
  <c r="Q82" i="227"/>
  <c r="F83" i="226" s="1"/>
  <c r="Q107" i="229"/>
  <c r="L108" i="226" s="1"/>
  <c r="M122" i="226"/>
  <c r="M62" i="226"/>
  <c r="M52" i="226"/>
  <c r="O93" i="232"/>
  <c r="G93" i="232"/>
  <c r="P113" i="233"/>
  <c r="H113" i="233"/>
  <c r="M158" i="209"/>
  <c r="H193" i="211"/>
  <c r="H161" i="211"/>
  <c r="H153" i="211"/>
  <c r="H129" i="211"/>
  <c r="G57" i="212"/>
  <c r="I57" i="212" s="1"/>
  <c r="J57" i="212" s="1"/>
  <c r="H48" i="226"/>
  <c r="F139" i="227"/>
  <c r="Q118" i="227"/>
  <c r="F119" i="226" s="1"/>
  <c r="Q117" i="227"/>
  <c r="F118" i="226" s="1"/>
  <c r="Q65" i="227"/>
  <c r="F66" i="226" s="1"/>
  <c r="Q63" i="227"/>
  <c r="F64" i="226" s="1"/>
  <c r="Q53" i="227"/>
  <c r="F53" i="226" s="1"/>
  <c r="Q52" i="227"/>
  <c r="F52" i="226" s="1"/>
  <c r="Q15" i="227"/>
  <c r="F15" i="226" s="1"/>
  <c r="J124" i="226"/>
  <c r="Q123" i="228"/>
  <c r="I120" i="226"/>
  <c r="J119" i="226"/>
  <c r="Q62" i="228"/>
  <c r="M11" i="226"/>
  <c r="E48" i="231"/>
  <c r="Q107" i="232"/>
  <c r="O108" i="226" s="1"/>
  <c r="Q124" i="233"/>
  <c r="P125" i="226" s="1"/>
  <c r="G113" i="233"/>
  <c r="N93" i="233"/>
  <c r="Q58" i="233"/>
  <c r="P58" i="226" s="1"/>
  <c r="Q53" i="233"/>
  <c r="P53" i="226" s="1"/>
  <c r="L22" i="202"/>
  <c r="L203" i="211"/>
  <c r="M203" i="211" s="1"/>
  <c r="H200" i="211"/>
  <c r="H78" i="226"/>
  <c r="E78" i="226"/>
  <c r="Q120" i="227"/>
  <c r="F121" i="226" s="1"/>
  <c r="E103" i="227"/>
  <c r="Q66" i="227"/>
  <c r="F67" i="226" s="1"/>
  <c r="P77" i="227"/>
  <c r="H77" i="227"/>
  <c r="Q11" i="227"/>
  <c r="F11" i="226" s="1"/>
  <c r="J131" i="226"/>
  <c r="J125" i="226"/>
  <c r="I83" i="226"/>
  <c r="Q70" i="228"/>
  <c r="J67" i="226"/>
  <c r="I67" i="226"/>
  <c r="Q54" i="228"/>
  <c r="J113" i="231"/>
  <c r="O93" i="231"/>
  <c r="L28" i="231"/>
  <c r="N103" i="232"/>
  <c r="F103" i="232"/>
  <c r="I93" i="232"/>
  <c r="Q107" i="233"/>
  <c r="P108" i="226" s="1"/>
  <c r="N113" i="233"/>
  <c r="F113" i="233"/>
  <c r="I93" i="233"/>
  <c r="I48" i="233"/>
  <c r="E140" i="226"/>
  <c r="H104" i="226"/>
  <c r="E94" i="226"/>
  <c r="E28" i="226"/>
  <c r="Q141" i="227"/>
  <c r="F142" i="226" s="1"/>
  <c r="Q122" i="227"/>
  <c r="F123" i="226" s="1"/>
  <c r="J103" i="227"/>
  <c r="Q55" i="227"/>
  <c r="F55" i="226" s="1"/>
  <c r="Q16" i="227"/>
  <c r="F16" i="226" s="1"/>
  <c r="M153" i="228"/>
  <c r="Q153" i="228" s="1"/>
  <c r="P93" i="228"/>
  <c r="H93" i="228"/>
  <c r="I74" i="226"/>
  <c r="P113" i="231"/>
  <c r="H113" i="231"/>
  <c r="O103" i="231"/>
  <c r="G93" i="231"/>
  <c r="M48" i="231"/>
  <c r="K113" i="232"/>
  <c r="I113" i="233"/>
  <c r="M113" i="233"/>
  <c r="L28" i="233"/>
  <c r="L63" i="211"/>
  <c r="M63" i="211" s="1"/>
  <c r="H158" i="226"/>
  <c r="E113" i="227"/>
  <c r="Q113" i="227" s="1"/>
  <c r="F113" i="226" s="1"/>
  <c r="J32" i="226"/>
  <c r="M108" i="226"/>
  <c r="L113" i="231"/>
  <c r="J113" i="232"/>
  <c r="P103" i="232"/>
  <c r="H103" i="232"/>
  <c r="L93" i="232"/>
  <c r="I48" i="232"/>
  <c r="L113" i="233"/>
  <c r="P103" i="233"/>
  <c r="H103" i="233"/>
  <c r="L103" i="233"/>
  <c r="O93" i="233"/>
  <c r="M117" i="209"/>
  <c r="H118" i="211"/>
  <c r="H50" i="211"/>
  <c r="E104" i="226"/>
  <c r="Q123" i="227"/>
  <c r="F124" i="226" s="1"/>
  <c r="Q60" i="227"/>
  <c r="F60" i="226" s="1"/>
  <c r="Q14" i="227"/>
  <c r="F14" i="226" s="1"/>
  <c r="Q12" i="227"/>
  <c r="F12" i="226" s="1"/>
  <c r="N28" i="227"/>
  <c r="N49" i="227" s="1"/>
  <c r="F28" i="227"/>
  <c r="F49" i="227" s="1"/>
  <c r="J33" i="226"/>
  <c r="O113" i="231"/>
  <c r="I103" i="231"/>
  <c r="Q124" i="232"/>
  <c r="O125" i="226" s="1"/>
  <c r="P139" i="232"/>
  <c r="H139" i="232"/>
  <c r="L28" i="232"/>
  <c r="K113" i="233"/>
  <c r="N34" i="205"/>
  <c r="N34" i="204" s="1"/>
  <c r="J22" i="206"/>
  <c r="L153" i="211"/>
  <c r="M153" i="211" s="1"/>
  <c r="L137" i="211"/>
  <c r="M137" i="211" s="1"/>
  <c r="L129" i="211"/>
  <c r="M129" i="211" s="1"/>
  <c r="H121" i="211"/>
  <c r="H120" i="211"/>
  <c r="H114" i="226"/>
  <c r="J152" i="227"/>
  <c r="Q152" i="227" s="1"/>
  <c r="F152" i="226" s="1"/>
  <c r="Q130" i="227"/>
  <c r="F131" i="226" s="1"/>
  <c r="Q124" i="227"/>
  <c r="F125" i="226" s="1"/>
  <c r="Q80" i="227"/>
  <c r="F81" i="226" s="1"/>
  <c r="Q62" i="227"/>
  <c r="F63" i="226" s="1"/>
  <c r="Q58" i="227"/>
  <c r="F58" i="226" s="1"/>
  <c r="Q38" i="227"/>
  <c r="F43" i="226" s="1"/>
  <c r="M28" i="227"/>
  <c r="M49" i="227" s="1"/>
  <c r="E28" i="227"/>
  <c r="Q107" i="231"/>
  <c r="N108" i="226" s="1"/>
  <c r="N113" i="231"/>
  <c r="L103" i="231"/>
  <c r="P103" i="231"/>
  <c r="H103" i="231"/>
  <c r="P113" i="232"/>
  <c r="H113" i="232"/>
  <c r="Q17" i="232"/>
  <c r="O17" i="226" s="1"/>
  <c r="J113" i="233"/>
  <c r="N39" i="202"/>
  <c r="L160" i="211"/>
  <c r="M160" i="211" s="1"/>
  <c r="H137" i="211"/>
  <c r="H117" i="211"/>
  <c r="G51" i="212"/>
  <c r="I51" i="212" s="1"/>
  <c r="J51" i="212" s="1"/>
  <c r="J130" i="226"/>
  <c r="Q129" i="228"/>
  <c r="Q118" i="228"/>
  <c r="I117" i="226"/>
  <c r="Q64" i="228"/>
  <c r="J77" i="228"/>
  <c r="I33" i="226"/>
  <c r="P48" i="228"/>
  <c r="H48" i="228"/>
  <c r="Q16" i="228"/>
  <c r="Q14" i="228"/>
  <c r="I28" i="228"/>
  <c r="M60" i="226"/>
  <c r="M58" i="226"/>
  <c r="M56" i="226"/>
  <c r="Q121" i="231"/>
  <c r="N122" i="226" s="1"/>
  <c r="P139" i="231"/>
  <c r="H139" i="231"/>
  <c r="Q115" i="231"/>
  <c r="N116" i="226" s="1"/>
  <c r="L207" i="211"/>
  <c r="M207" i="211" s="1"/>
  <c r="H206" i="211"/>
  <c r="L161" i="211"/>
  <c r="M161" i="211" s="1"/>
  <c r="H151" i="211"/>
  <c r="H119" i="211"/>
  <c r="D58" i="212"/>
  <c r="E158" i="226"/>
  <c r="Q119" i="228"/>
  <c r="Q117" i="228"/>
  <c r="M93" i="228"/>
  <c r="E93" i="228"/>
  <c r="J75" i="226"/>
  <c r="I68" i="226"/>
  <c r="Q56" i="228"/>
  <c r="Q37" i="228"/>
  <c r="J34" i="226"/>
  <c r="L28" i="228"/>
  <c r="M119" i="226"/>
  <c r="Q71" i="228"/>
  <c r="Q68" i="228"/>
  <c r="M77" i="228"/>
  <c r="E77" i="228"/>
  <c r="J35" i="226"/>
  <c r="I35" i="226"/>
  <c r="Q31" i="228"/>
  <c r="J11" i="226"/>
  <c r="Q11" i="228"/>
  <c r="M98" i="226"/>
  <c r="M109" i="209"/>
  <c r="L135" i="211"/>
  <c r="M135" i="211" s="1"/>
  <c r="L113" i="211"/>
  <c r="M113" i="211" s="1"/>
  <c r="H63" i="211"/>
  <c r="H52" i="211"/>
  <c r="G49" i="212"/>
  <c r="I49" i="212" s="1"/>
  <c r="J49" i="212" s="1"/>
  <c r="Q124" i="228"/>
  <c r="J122" i="226"/>
  <c r="J120" i="226"/>
  <c r="J68" i="226"/>
  <c r="Q67" i="228"/>
  <c r="Q63" i="228"/>
  <c r="J60" i="226"/>
  <c r="L48" i="228"/>
  <c r="Q35" i="228"/>
  <c r="Q33" i="228"/>
  <c r="M40" i="226"/>
  <c r="M33" i="226"/>
  <c r="M30" i="226"/>
  <c r="L165" i="211"/>
  <c r="L154" i="211"/>
  <c r="M154" i="211" s="1"/>
  <c r="L117" i="211"/>
  <c r="M117" i="211" s="1"/>
  <c r="J123" i="226"/>
  <c r="I123" i="226"/>
  <c r="J121" i="226"/>
  <c r="Q120" i="228"/>
  <c r="N140" i="228"/>
  <c r="F140" i="228"/>
  <c r="N93" i="228"/>
  <c r="F93" i="228"/>
  <c r="Q69" i="228"/>
  <c r="J62" i="226"/>
  <c r="I62" i="226"/>
  <c r="Q55" i="228"/>
  <c r="K77" i="228"/>
  <c r="E48" i="228"/>
  <c r="Q15" i="228"/>
  <c r="J13" i="226"/>
  <c r="I13" i="226"/>
  <c r="M28" i="228"/>
  <c r="E28" i="228"/>
  <c r="L127" i="226"/>
  <c r="Q57" i="231"/>
  <c r="N57" i="226" s="1"/>
  <c r="I48" i="231"/>
  <c r="I124" i="226"/>
  <c r="Q122" i="228"/>
  <c r="I122" i="226"/>
  <c r="J116" i="226"/>
  <c r="I93" i="228"/>
  <c r="J64" i="226"/>
  <c r="I63" i="226"/>
  <c r="Q61" i="228"/>
  <c r="J53" i="226"/>
  <c r="I53" i="226"/>
  <c r="J30" i="226"/>
  <c r="P28" i="228"/>
  <c r="I14" i="226"/>
  <c r="M81" i="226"/>
  <c r="Q61" i="231"/>
  <c r="N61" i="226" s="1"/>
  <c r="Q59" i="231"/>
  <c r="N59" i="226" s="1"/>
  <c r="L56" i="203"/>
  <c r="L194" i="211"/>
  <c r="M194" i="211" s="1"/>
  <c r="L138" i="211"/>
  <c r="M138" i="211" s="1"/>
  <c r="H135" i="211"/>
  <c r="L121" i="211"/>
  <c r="M121" i="211" s="1"/>
  <c r="G56" i="212"/>
  <c r="I56" i="212" s="1"/>
  <c r="J56" i="212" s="1"/>
  <c r="G52" i="212"/>
  <c r="I52" i="212" s="1"/>
  <c r="J52" i="212" s="1"/>
  <c r="L140" i="228"/>
  <c r="P140" i="228"/>
  <c r="H140" i="228"/>
  <c r="Q73" i="228"/>
  <c r="I71" i="226"/>
  <c r="J65" i="226"/>
  <c r="I65" i="226"/>
  <c r="L77" i="228"/>
  <c r="I54" i="226"/>
  <c r="Q53" i="228"/>
  <c r="I77" i="228"/>
  <c r="I31" i="226"/>
  <c r="N48" i="228"/>
  <c r="F48" i="228"/>
  <c r="J15" i="226"/>
  <c r="P93" i="231"/>
  <c r="Q80" i="231"/>
  <c r="N81" i="226" s="1"/>
  <c r="Q58" i="231"/>
  <c r="N58" i="226" s="1"/>
  <c r="M118" i="209"/>
  <c r="M110" i="209"/>
  <c r="L195" i="211"/>
  <c r="M195" i="211" s="1"/>
  <c r="Q130" i="228"/>
  <c r="J118" i="226"/>
  <c r="J117" i="226"/>
  <c r="O140" i="228"/>
  <c r="O93" i="228"/>
  <c r="G93" i="228"/>
  <c r="I75" i="226"/>
  <c r="J73" i="226"/>
  <c r="Q72" i="228"/>
  <c r="Q65" i="228"/>
  <c r="J56" i="226"/>
  <c r="I56" i="226"/>
  <c r="Q34" i="228"/>
  <c r="Q32" i="228"/>
  <c r="N28" i="228"/>
  <c r="F28" i="228"/>
  <c r="Q12" i="228"/>
  <c r="Q10" i="228"/>
  <c r="M54" i="226"/>
  <c r="Q124" i="231"/>
  <c r="N125" i="226" s="1"/>
  <c r="M106" i="226"/>
  <c r="M57" i="226"/>
  <c r="M34" i="226"/>
  <c r="I139" i="231"/>
  <c r="Q119" i="231"/>
  <c r="N120" i="226" s="1"/>
  <c r="M139" i="231"/>
  <c r="Q117" i="231"/>
  <c r="N118" i="226" s="1"/>
  <c r="J139" i="231"/>
  <c r="M103" i="231"/>
  <c r="E103" i="231"/>
  <c r="I93" i="231"/>
  <c r="J77" i="231"/>
  <c r="Q56" i="231"/>
  <c r="N56" i="226" s="1"/>
  <c r="Q40" i="231"/>
  <c r="N40" i="226" s="1"/>
  <c r="K48" i="231"/>
  <c r="P48" i="231"/>
  <c r="Q31" i="231"/>
  <c r="N31" i="226" s="1"/>
  <c r="K28" i="231"/>
  <c r="Q128" i="232"/>
  <c r="O129" i="226" s="1"/>
  <c r="Q126" i="232"/>
  <c r="O127" i="226" s="1"/>
  <c r="O139" i="232"/>
  <c r="G139" i="232"/>
  <c r="K93" i="232"/>
  <c r="Q64" i="232"/>
  <c r="O64" i="226" s="1"/>
  <c r="I77" i="232"/>
  <c r="Q55" i="232"/>
  <c r="O55" i="226" s="1"/>
  <c r="Q40" i="232"/>
  <c r="O40" i="226" s="1"/>
  <c r="P48" i="232"/>
  <c r="H48" i="232"/>
  <c r="P28" i="232"/>
  <c r="H28" i="232"/>
  <c r="Q123" i="233"/>
  <c r="P124" i="226" s="1"/>
  <c r="Q121" i="233"/>
  <c r="P122" i="226" s="1"/>
  <c r="Q56" i="233"/>
  <c r="P56" i="226" s="1"/>
  <c r="M77" i="233"/>
  <c r="Q37" i="233"/>
  <c r="P37" i="226" s="1"/>
  <c r="Q34" i="233"/>
  <c r="P34" i="226" s="1"/>
  <c r="L48" i="233"/>
  <c r="O28" i="233"/>
  <c r="G28" i="233"/>
  <c r="Q10" i="233"/>
  <c r="P10" i="226" s="1"/>
  <c r="M124" i="226"/>
  <c r="M82" i="226"/>
  <c r="M80" i="226"/>
  <c r="M59" i="226"/>
  <c r="M53" i="226"/>
  <c r="M37" i="226"/>
  <c r="M12" i="226"/>
  <c r="Q126" i="231"/>
  <c r="N127" i="226" s="1"/>
  <c r="L139" i="231"/>
  <c r="M113" i="231"/>
  <c r="E113" i="231"/>
  <c r="Q97" i="231"/>
  <c r="N98" i="226" s="1"/>
  <c r="L93" i="231"/>
  <c r="Q62" i="231"/>
  <c r="N62" i="226" s="1"/>
  <c r="Q60" i="231"/>
  <c r="N60" i="226" s="1"/>
  <c r="Q33" i="231"/>
  <c r="N33" i="226" s="1"/>
  <c r="J48" i="231"/>
  <c r="N28" i="231"/>
  <c r="F28" i="231"/>
  <c r="M139" i="232"/>
  <c r="Q120" i="232"/>
  <c r="O121" i="226" s="1"/>
  <c r="Q118" i="232"/>
  <c r="O119" i="226" s="1"/>
  <c r="I139" i="232"/>
  <c r="Q115" i="232"/>
  <c r="O116" i="226" s="1"/>
  <c r="M103" i="232"/>
  <c r="E103" i="232"/>
  <c r="Q82" i="232"/>
  <c r="O83" i="226" s="1"/>
  <c r="J93" i="232"/>
  <c r="Q56" i="232"/>
  <c r="O56" i="226" s="1"/>
  <c r="Q36" i="232"/>
  <c r="O36" i="226" s="1"/>
  <c r="J48" i="232"/>
  <c r="K28" i="232"/>
  <c r="Q12" i="232"/>
  <c r="O12" i="226" s="1"/>
  <c r="Q97" i="233"/>
  <c r="P98" i="226" s="1"/>
  <c r="I103" i="233"/>
  <c r="Q67" i="233"/>
  <c r="P67" i="226" s="1"/>
  <c r="L77" i="233"/>
  <c r="Q39" i="233"/>
  <c r="P39" i="226" s="1"/>
  <c r="Q36" i="233"/>
  <c r="P36" i="226" s="1"/>
  <c r="J28" i="233"/>
  <c r="N28" i="233"/>
  <c r="Q11" i="233"/>
  <c r="P11" i="226" s="1"/>
  <c r="M128" i="226"/>
  <c r="M63" i="226"/>
  <c r="M39" i="226"/>
  <c r="M16" i="226"/>
  <c r="M14" i="226"/>
  <c r="M10" i="226"/>
  <c r="O139" i="231"/>
  <c r="Q118" i="231"/>
  <c r="N119" i="226" s="1"/>
  <c r="Q63" i="231"/>
  <c r="N63" i="226" s="1"/>
  <c r="M77" i="231"/>
  <c r="E77" i="231"/>
  <c r="Q52" i="231"/>
  <c r="N52" i="226" s="1"/>
  <c r="Q36" i="231"/>
  <c r="N36" i="226" s="1"/>
  <c r="Q17" i="231"/>
  <c r="N17" i="226" s="1"/>
  <c r="Q16" i="231"/>
  <c r="N16" i="226" s="1"/>
  <c r="I28" i="231"/>
  <c r="Q10" i="231"/>
  <c r="N10" i="226" s="1"/>
  <c r="Q80" i="232"/>
  <c r="O81" i="226" s="1"/>
  <c r="Q68" i="232"/>
  <c r="O68" i="226" s="1"/>
  <c r="J77" i="232"/>
  <c r="O77" i="232"/>
  <c r="G77" i="232"/>
  <c r="L48" i="232"/>
  <c r="K48" i="232"/>
  <c r="N28" i="232"/>
  <c r="F28" i="232"/>
  <c r="Q127" i="233"/>
  <c r="P128" i="226" s="1"/>
  <c r="Q126" i="233"/>
  <c r="P127" i="226" s="1"/>
  <c r="Q81" i="233"/>
  <c r="P82" i="226" s="1"/>
  <c r="M93" i="233"/>
  <c r="Q79" i="233"/>
  <c r="P80" i="226" s="1"/>
  <c r="Q59" i="233"/>
  <c r="P59" i="226" s="1"/>
  <c r="K77" i="233"/>
  <c r="J48" i="233"/>
  <c r="O48" i="233"/>
  <c r="G48" i="233"/>
  <c r="Q15" i="233"/>
  <c r="P15" i="226" s="1"/>
  <c r="M28" i="233"/>
  <c r="E28" i="233"/>
  <c r="Q12" i="233"/>
  <c r="P12" i="226" s="1"/>
  <c r="M126" i="226"/>
  <c r="M120" i="226"/>
  <c r="M64" i="226"/>
  <c r="M31" i="226"/>
  <c r="Q128" i="231"/>
  <c r="N129" i="226" s="1"/>
  <c r="Q122" i="231"/>
  <c r="N123" i="226" s="1"/>
  <c r="J93" i="231"/>
  <c r="Q81" i="231"/>
  <c r="N82" i="226" s="1"/>
  <c r="N93" i="231"/>
  <c r="F93" i="231"/>
  <c r="Q55" i="231"/>
  <c r="N55" i="226" s="1"/>
  <c r="Q34" i="231"/>
  <c r="N34" i="226" s="1"/>
  <c r="Q127" i="232"/>
  <c r="O128" i="226" s="1"/>
  <c r="K139" i="232"/>
  <c r="Q81" i="232"/>
  <c r="O82" i="226" s="1"/>
  <c r="Q62" i="232"/>
  <c r="O62" i="226" s="1"/>
  <c r="Q60" i="232"/>
  <c r="O60" i="226" s="1"/>
  <c r="Q34" i="232"/>
  <c r="O34" i="226" s="1"/>
  <c r="M48" i="232"/>
  <c r="Q31" i="232"/>
  <c r="O31" i="226" s="1"/>
  <c r="Q16" i="232"/>
  <c r="O16" i="226" s="1"/>
  <c r="Q14" i="232"/>
  <c r="O14" i="226" s="1"/>
  <c r="Q128" i="233"/>
  <c r="P129" i="226" s="1"/>
  <c r="Q118" i="233"/>
  <c r="P119" i="226" s="1"/>
  <c r="Q105" i="233"/>
  <c r="P106" i="226" s="1"/>
  <c r="P93" i="233"/>
  <c r="H93" i="233"/>
  <c r="L93" i="233"/>
  <c r="Q65" i="233"/>
  <c r="P65" i="226" s="1"/>
  <c r="Q63" i="233"/>
  <c r="P63" i="226" s="1"/>
  <c r="Q35" i="233"/>
  <c r="P35" i="226" s="1"/>
  <c r="N48" i="233"/>
  <c r="F48" i="233"/>
  <c r="P28" i="233"/>
  <c r="H28" i="233"/>
  <c r="M127" i="226"/>
  <c r="M118" i="226"/>
  <c r="M83" i="226"/>
  <c r="M67" i="226"/>
  <c r="M55" i="226"/>
  <c r="M13" i="226"/>
  <c r="Q120" i="231"/>
  <c r="N121" i="226" s="1"/>
  <c r="N139" i="231"/>
  <c r="F139" i="231"/>
  <c r="Q105" i="231"/>
  <c r="N106" i="226" s="1"/>
  <c r="M93" i="231"/>
  <c r="Q79" i="231"/>
  <c r="N80" i="226" s="1"/>
  <c r="Q67" i="231"/>
  <c r="N67" i="226" s="1"/>
  <c r="Q65" i="231"/>
  <c r="N65" i="226" s="1"/>
  <c r="K77" i="231"/>
  <c r="Q35" i="231"/>
  <c r="N35" i="226" s="1"/>
  <c r="L48" i="231"/>
  <c r="O28" i="231"/>
  <c r="Q11" i="231"/>
  <c r="N11" i="226" s="1"/>
  <c r="N139" i="232"/>
  <c r="Q123" i="232"/>
  <c r="O124" i="226" s="1"/>
  <c r="Q119" i="232"/>
  <c r="O120" i="226" s="1"/>
  <c r="Q105" i="232"/>
  <c r="O106" i="226" s="1"/>
  <c r="J103" i="232"/>
  <c r="M77" i="232"/>
  <c r="E77" i="232"/>
  <c r="Q52" i="232"/>
  <c r="O52" i="226" s="1"/>
  <c r="O48" i="232"/>
  <c r="G48" i="232"/>
  <c r="Q10" i="232"/>
  <c r="O10" i="226" s="1"/>
  <c r="Q122" i="233"/>
  <c r="P123" i="226" s="1"/>
  <c r="Q119" i="233"/>
  <c r="P120" i="226" s="1"/>
  <c r="N103" i="233"/>
  <c r="F103" i="233"/>
  <c r="K93" i="233"/>
  <c r="I77" i="233"/>
  <c r="Q57" i="233"/>
  <c r="P57" i="226" s="1"/>
  <c r="Q55" i="233"/>
  <c r="P55" i="226" s="1"/>
  <c r="Q33" i="233"/>
  <c r="P33" i="226" s="1"/>
  <c r="P48" i="233"/>
  <c r="H48" i="233"/>
  <c r="M48" i="233"/>
  <c r="Q30" i="233"/>
  <c r="P30" i="226" s="1"/>
  <c r="K28" i="233"/>
  <c r="Q37" i="231"/>
  <c r="N37" i="226" s="1"/>
  <c r="J28" i="231"/>
  <c r="Q125" i="232"/>
  <c r="O126" i="226" s="1"/>
  <c r="Q121" i="232"/>
  <c r="O122" i="226" s="1"/>
  <c r="J139" i="232"/>
  <c r="Q97" i="232"/>
  <c r="O98" i="226" s="1"/>
  <c r="N93" i="232"/>
  <c r="F93" i="232"/>
  <c r="L77" i="232"/>
  <c r="Q32" i="232"/>
  <c r="O32" i="226" s="1"/>
  <c r="O28" i="232"/>
  <c r="Q11" i="232"/>
  <c r="O11" i="226" s="1"/>
  <c r="M103" i="233"/>
  <c r="E103" i="233"/>
  <c r="F93" i="233"/>
  <c r="J93" i="233"/>
  <c r="Q68" i="233"/>
  <c r="P68" i="226" s="1"/>
  <c r="P77" i="233"/>
  <c r="H77" i="233"/>
  <c r="Q40" i="233"/>
  <c r="P40" i="226" s="1"/>
  <c r="M129" i="226"/>
  <c r="M68" i="226"/>
  <c r="M65" i="226"/>
  <c r="M36" i="226"/>
  <c r="M17" i="226"/>
  <c r="K93" i="231"/>
  <c r="Q68" i="231"/>
  <c r="N68" i="226" s="1"/>
  <c r="I77" i="231"/>
  <c r="Q53" i="231"/>
  <c r="N53" i="226" s="1"/>
  <c r="Q39" i="231"/>
  <c r="N39" i="226" s="1"/>
  <c r="Q32" i="231"/>
  <c r="N32" i="226" s="1"/>
  <c r="O48" i="231"/>
  <c r="G48" i="231"/>
  <c r="Q15" i="231"/>
  <c r="N15" i="226" s="1"/>
  <c r="M28" i="231"/>
  <c r="E28" i="231"/>
  <c r="Q122" i="232"/>
  <c r="O123" i="226" s="1"/>
  <c r="L139" i="232"/>
  <c r="L103" i="232"/>
  <c r="M93" i="232"/>
  <c r="Q79" i="232"/>
  <c r="O80" i="226" s="1"/>
  <c r="Q65" i="232"/>
  <c r="O65" i="226" s="1"/>
  <c r="Q61" i="232"/>
  <c r="O61" i="226" s="1"/>
  <c r="Q37" i="232"/>
  <c r="O37" i="226" s="1"/>
  <c r="J28" i="232"/>
  <c r="Q125" i="233"/>
  <c r="P126" i="226" s="1"/>
  <c r="Q82" i="233"/>
  <c r="P83" i="226" s="1"/>
  <c r="Q80" i="233"/>
  <c r="P81" i="226" s="1"/>
  <c r="J77" i="233"/>
  <c r="Q61" i="233"/>
  <c r="P61" i="226" s="1"/>
  <c r="Q60" i="233"/>
  <c r="P60" i="226" s="1"/>
  <c r="Q32" i="233"/>
  <c r="P32" i="226" s="1"/>
  <c r="Q17" i="233"/>
  <c r="P17" i="226" s="1"/>
  <c r="Q16" i="233"/>
  <c r="P16" i="226" s="1"/>
  <c r="Q14" i="233"/>
  <c r="P14" i="226" s="1"/>
  <c r="M125" i="226"/>
  <c r="M123" i="226"/>
  <c r="M61" i="226"/>
  <c r="M35" i="226"/>
  <c r="Q127" i="231"/>
  <c r="N128" i="226" s="1"/>
  <c r="Q125" i="231"/>
  <c r="N126" i="226" s="1"/>
  <c r="Q123" i="231"/>
  <c r="N124" i="226" s="1"/>
  <c r="K139" i="231"/>
  <c r="Q82" i="231"/>
  <c r="N83" i="226" s="1"/>
  <c r="Q64" i="231"/>
  <c r="N64" i="226" s="1"/>
  <c r="L77" i="231"/>
  <c r="N48" i="231"/>
  <c r="Q30" i="231"/>
  <c r="N30" i="226" s="1"/>
  <c r="P28" i="231"/>
  <c r="Q14" i="231"/>
  <c r="N14" i="226" s="1"/>
  <c r="P93" i="232"/>
  <c r="H93" i="232"/>
  <c r="Q67" i="232"/>
  <c r="O67" i="226" s="1"/>
  <c r="Q63" i="232"/>
  <c r="O63" i="226" s="1"/>
  <c r="N77" i="232"/>
  <c r="Q57" i="232"/>
  <c r="O57" i="226" s="1"/>
  <c r="Q53" i="232"/>
  <c r="O53" i="226" s="1"/>
  <c r="Q39" i="232"/>
  <c r="O39" i="226" s="1"/>
  <c r="Q35" i="232"/>
  <c r="O35" i="226" s="1"/>
  <c r="N48" i="232"/>
  <c r="Q30" i="232"/>
  <c r="O30" i="226" s="1"/>
  <c r="Q15" i="232"/>
  <c r="O15" i="226" s="1"/>
  <c r="M28" i="232"/>
  <c r="E28" i="232"/>
  <c r="Q117" i="233"/>
  <c r="P118" i="226" s="1"/>
  <c r="Q64" i="233"/>
  <c r="P64" i="226" s="1"/>
  <c r="Q62" i="233"/>
  <c r="P62" i="226" s="1"/>
  <c r="N77" i="233"/>
  <c r="Q52" i="233"/>
  <c r="P52" i="226" s="1"/>
  <c r="K48" i="233"/>
  <c r="Q31" i="233"/>
  <c r="P31" i="226" s="1"/>
  <c r="O77" i="233"/>
  <c r="G77" i="233"/>
  <c r="Q106" i="233"/>
  <c r="P107" i="226" s="1"/>
  <c r="E113" i="233"/>
  <c r="E93" i="233"/>
  <c r="I28" i="233"/>
  <c r="Q96" i="233"/>
  <c r="P97" i="226" s="1"/>
  <c r="F77" i="233"/>
  <c r="E66" i="233"/>
  <c r="Q66" i="233" s="1"/>
  <c r="P66" i="226" s="1"/>
  <c r="Q54" i="233"/>
  <c r="P54" i="226" s="1"/>
  <c r="E48" i="233"/>
  <c r="Q13" i="233"/>
  <c r="P13" i="226" s="1"/>
  <c r="Q115" i="233"/>
  <c r="P116" i="226" s="1"/>
  <c r="F28" i="233"/>
  <c r="P77" i="232"/>
  <c r="H77" i="232"/>
  <c r="K77" i="232"/>
  <c r="F113" i="232"/>
  <c r="F139" i="232"/>
  <c r="E93" i="232"/>
  <c r="E139" i="232"/>
  <c r="Q117" i="232"/>
  <c r="O118" i="226" s="1"/>
  <c r="L113" i="232"/>
  <c r="F66" i="232"/>
  <c r="Q66" i="232" s="1"/>
  <c r="O66" i="226" s="1"/>
  <c r="F48" i="232"/>
  <c r="Q33" i="232"/>
  <c r="O33" i="226" s="1"/>
  <c r="Q96" i="232"/>
  <c r="O97" i="226" s="1"/>
  <c r="Q54" i="232"/>
  <c r="O54" i="226" s="1"/>
  <c r="E48" i="232"/>
  <c r="Q13" i="232"/>
  <c r="O13" i="226" s="1"/>
  <c r="G28" i="232"/>
  <c r="N77" i="231"/>
  <c r="P77" i="231"/>
  <c r="H77" i="231"/>
  <c r="O77" i="231"/>
  <c r="G77" i="231"/>
  <c r="G139" i="231"/>
  <c r="F113" i="231"/>
  <c r="H48" i="231"/>
  <c r="Q12" i="231"/>
  <c r="N12" i="226" s="1"/>
  <c r="E93" i="231"/>
  <c r="E139" i="231"/>
  <c r="F66" i="231"/>
  <c r="Q66" i="231" s="1"/>
  <c r="N66" i="226" s="1"/>
  <c r="F48" i="231"/>
  <c r="Q96" i="231"/>
  <c r="N97" i="226" s="1"/>
  <c r="Q54" i="231"/>
  <c r="N54" i="226" s="1"/>
  <c r="H28" i="231"/>
  <c r="Q13" i="231"/>
  <c r="N13" i="226" s="1"/>
  <c r="G28" i="231"/>
  <c r="H93" i="231"/>
  <c r="M66" i="226"/>
  <c r="M107" i="226"/>
  <c r="M116" i="226"/>
  <c r="M32" i="226"/>
  <c r="M15" i="226"/>
  <c r="M97" i="226"/>
  <c r="Q113" i="228"/>
  <c r="K143" i="226"/>
  <c r="I119" i="226"/>
  <c r="J69" i="226"/>
  <c r="J16" i="226"/>
  <c r="K93" i="228"/>
  <c r="O77" i="228"/>
  <c r="G77" i="228"/>
  <c r="Q57" i="228"/>
  <c r="K28" i="228"/>
  <c r="K155" i="226"/>
  <c r="K147" i="226"/>
  <c r="K146" i="226"/>
  <c r="K102" i="226"/>
  <c r="K87" i="226"/>
  <c r="I16" i="226"/>
  <c r="K140" i="228"/>
  <c r="Q121" i="228"/>
  <c r="Q105" i="228"/>
  <c r="N77" i="228"/>
  <c r="F77" i="228"/>
  <c r="Q60" i="228"/>
  <c r="Q52" i="228"/>
  <c r="K48" i="228"/>
  <c r="J28" i="228"/>
  <c r="K148" i="226"/>
  <c r="K127" i="226"/>
  <c r="I118" i="226"/>
  <c r="K112" i="226"/>
  <c r="K92" i="226"/>
  <c r="K42" i="226"/>
  <c r="I36" i="226"/>
  <c r="K36" i="226" s="1"/>
  <c r="J140" i="228"/>
  <c r="Q116" i="228"/>
  <c r="J48" i="228"/>
  <c r="I57" i="226"/>
  <c r="I32" i="226"/>
  <c r="J14" i="226"/>
  <c r="I140" i="228"/>
  <c r="Q74" i="228"/>
  <c r="Q66" i="228"/>
  <c r="H28" i="228"/>
  <c r="Q13" i="228"/>
  <c r="Q115" i="228"/>
  <c r="K135" i="226"/>
  <c r="K99" i="226"/>
  <c r="J52" i="226"/>
  <c r="K43" i="226"/>
  <c r="O28" i="228"/>
  <c r="G28" i="228"/>
  <c r="I121" i="226"/>
  <c r="G140" i="228"/>
  <c r="O48" i="228"/>
  <c r="G48" i="228"/>
  <c r="K108" i="226"/>
  <c r="K82" i="226"/>
  <c r="K39" i="226"/>
  <c r="K38" i="226"/>
  <c r="K26" i="226"/>
  <c r="K25" i="226"/>
  <c r="K24" i="226"/>
  <c r="Q48" i="227"/>
  <c r="F48" i="226" s="1"/>
  <c r="F158" i="226"/>
  <c r="I158" i="226"/>
  <c r="M136" i="209"/>
  <c r="H194" i="211"/>
  <c r="H138" i="211"/>
  <c r="H136" i="211"/>
  <c r="L111" i="211"/>
  <c r="M111" i="211" s="1"/>
  <c r="L49" i="211"/>
  <c r="M49" i="211" s="1"/>
  <c r="M61" i="209"/>
  <c r="H208" i="211"/>
  <c r="H207" i="211"/>
  <c r="H196" i="211"/>
  <c r="H152" i="211"/>
  <c r="M48" i="209"/>
  <c r="H182" i="211"/>
  <c r="H154" i="211"/>
  <c r="H134" i="211"/>
  <c r="L128" i="211"/>
  <c r="M128" i="211" s="1"/>
  <c r="H111" i="211"/>
  <c r="L52" i="211"/>
  <c r="M52" i="211" s="1"/>
  <c r="L50" i="211"/>
  <c r="H49" i="211"/>
  <c r="M160" i="209"/>
  <c r="M135" i="209"/>
  <c r="H130" i="211"/>
  <c r="H112" i="211"/>
  <c r="E209" i="209"/>
  <c r="M119" i="209"/>
  <c r="H203" i="211"/>
  <c r="L136" i="211"/>
  <c r="M136" i="211" s="1"/>
  <c r="M159" i="209"/>
  <c r="L182" i="211"/>
  <c r="M182" i="211" s="1"/>
  <c r="H162" i="211"/>
  <c r="L152" i="211"/>
  <c r="M152" i="211" s="1"/>
  <c r="L119" i="211"/>
  <c r="M119" i="211" s="1"/>
  <c r="G55" i="212"/>
  <c r="I55" i="212" s="1"/>
  <c r="J55" i="212" s="1"/>
  <c r="G17" i="212"/>
  <c r="I17" i="212" s="1"/>
  <c r="J17" i="212" s="1"/>
  <c r="G13" i="212"/>
  <c r="I13" i="212" s="1"/>
  <c r="J13" i="212" s="1"/>
  <c r="G10" i="212"/>
  <c r="I10" i="212" s="1"/>
  <c r="J10" i="212" s="1"/>
  <c r="G54" i="212"/>
  <c r="I54" i="212" s="1"/>
  <c r="J54" i="212" s="1"/>
  <c r="G50" i="212"/>
  <c r="I50" i="212" s="1"/>
  <c r="J50" i="212" s="1"/>
  <c r="G47" i="212"/>
  <c r="I47" i="212" s="1"/>
  <c r="G16" i="212"/>
  <c r="I16" i="212" s="1"/>
  <c r="J16" i="212" s="1"/>
  <c r="G9" i="212"/>
  <c r="I9" i="212" s="1"/>
  <c r="J9" i="212" s="1"/>
  <c r="G53" i="212"/>
  <c r="I53" i="212" s="1"/>
  <c r="J53" i="212" s="1"/>
  <c r="D19" i="212"/>
  <c r="G18" i="212"/>
  <c r="I18" i="212" s="1"/>
  <c r="J18" i="212" s="1"/>
  <c r="M56" i="203"/>
  <c r="N56" i="203"/>
  <c r="M74" i="202"/>
  <c r="M56" i="202"/>
  <c r="F433" i="204"/>
  <c r="N74" i="202"/>
  <c r="L39" i="203"/>
  <c r="M39" i="203"/>
  <c r="L74" i="202"/>
  <c r="N56" i="202"/>
  <c r="L74" i="203"/>
  <c r="N39" i="203"/>
  <c r="N22" i="202"/>
  <c r="L39" i="202"/>
  <c r="M22" i="202"/>
  <c r="N22" i="203"/>
  <c r="L22" i="203"/>
  <c r="M39" i="202"/>
  <c r="M22" i="203"/>
  <c r="M116" i="209"/>
  <c r="M50" i="209"/>
  <c r="M201" i="209"/>
  <c r="M134" i="209"/>
  <c r="N50" i="205"/>
  <c r="N50" i="204" s="1"/>
  <c r="M152" i="209"/>
  <c r="O51" i="205"/>
  <c r="O51" i="204" s="1"/>
  <c r="D209" i="209"/>
  <c r="M111" i="209"/>
  <c r="M153" i="209"/>
  <c r="L59" i="205"/>
  <c r="L59" i="204" s="1"/>
  <c r="M151" i="209"/>
  <c r="F58" i="212"/>
  <c r="G8" i="212"/>
  <c r="H195" i="211"/>
  <c r="E122" i="211"/>
  <c r="I122" i="211" s="1"/>
  <c r="L200" i="211"/>
  <c r="M200" i="211" s="1"/>
  <c r="L197" i="211"/>
  <c r="M197" i="211" s="1"/>
  <c r="L193" i="211"/>
  <c r="M193" i="211" s="1"/>
  <c r="L196" i="211"/>
  <c r="M196" i="211" s="1"/>
  <c r="H165" i="211"/>
  <c r="L206" i="211"/>
  <c r="M206" i="211" s="1"/>
  <c r="F75" i="206"/>
  <c r="F74" i="206"/>
  <c r="Q810" i="204"/>
  <c r="Q286" i="204"/>
  <c r="Q274" i="204"/>
  <c r="Q221" i="204"/>
  <c r="I172" i="204"/>
  <c r="Q135" i="204"/>
  <c r="Q795" i="204"/>
  <c r="Q540" i="204"/>
  <c r="P352" i="204"/>
  <c r="Q284" i="204"/>
  <c r="N279" i="204"/>
  <c r="Q234" i="204"/>
  <c r="P245" i="204"/>
  <c r="I224" i="204"/>
  <c r="Q184" i="204"/>
  <c r="Q148" i="204"/>
  <c r="Q96" i="204"/>
  <c r="G299" i="206"/>
  <c r="G300" i="206" s="1"/>
  <c r="Q589" i="204"/>
  <c r="Q497" i="204"/>
  <c r="Q409" i="204"/>
  <c r="Q359" i="204"/>
  <c r="Q260" i="204"/>
  <c r="I206" i="204"/>
  <c r="Q120" i="204"/>
  <c r="Q427" i="206"/>
  <c r="L39" i="206"/>
  <c r="Q371" i="206"/>
  <c r="I75" i="206" s="1"/>
  <c r="J75" i="206" s="1"/>
  <c r="K298" i="204"/>
  <c r="P279" i="204"/>
  <c r="Q254" i="204"/>
  <c r="Q240" i="204"/>
  <c r="Q196" i="204"/>
  <c r="K56" i="204"/>
  <c r="M447" i="206"/>
  <c r="E447" i="206"/>
  <c r="E299" i="206"/>
  <c r="Q778" i="204"/>
  <c r="Q665" i="204"/>
  <c r="Q441" i="204"/>
  <c r="Q345" i="204"/>
  <c r="Q337" i="204"/>
  <c r="Q297" i="204"/>
  <c r="Q295" i="204"/>
  <c r="Q210" i="204"/>
  <c r="Q108" i="204"/>
  <c r="M39" i="206"/>
  <c r="Q613" i="204"/>
  <c r="F279" i="204"/>
  <c r="Q208" i="204"/>
  <c r="Q198" i="204"/>
  <c r="Q164" i="204"/>
  <c r="E225" i="206"/>
  <c r="Q614" i="204"/>
  <c r="Q266" i="204"/>
  <c r="Q186" i="204"/>
  <c r="K172" i="204"/>
  <c r="L56" i="206"/>
  <c r="N56" i="206" s="1"/>
  <c r="G62" i="206"/>
  <c r="G61" i="206"/>
  <c r="E152" i="206"/>
  <c r="Q538" i="204"/>
  <c r="Q421" i="204"/>
  <c r="Q342" i="204"/>
  <c r="J352" i="204"/>
  <c r="Q340" i="204"/>
  <c r="Q272" i="204"/>
  <c r="Q178" i="204"/>
  <c r="Q219" i="204"/>
  <c r="Q149" i="204"/>
  <c r="E371" i="204"/>
  <c r="Q811" i="204"/>
  <c r="Q793" i="204"/>
  <c r="Q779" i="204"/>
  <c r="Q777" i="204"/>
  <c r="Q738" i="204"/>
  <c r="Q611" i="204"/>
  <c r="Q465" i="204"/>
  <c r="Q349" i="204"/>
  <c r="Q329" i="204"/>
  <c r="Q309" i="204"/>
  <c r="O318" i="204"/>
  <c r="G318" i="204"/>
  <c r="Q252" i="204"/>
  <c r="J245" i="204"/>
  <c r="O206" i="204"/>
  <c r="G206" i="204"/>
  <c r="Q181" i="204"/>
  <c r="Q179" i="204"/>
  <c r="Q176" i="204"/>
  <c r="Q170" i="204"/>
  <c r="Q166" i="204"/>
  <c r="Q147" i="204"/>
  <c r="Q145" i="204"/>
  <c r="Q141" i="204"/>
  <c r="J335" i="204"/>
  <c r="Q794" i="204"/>
  <c r="Q424" i="204"/>
  <c r="Q370" i="204"/>
  <c r="O279" i="204"/>
  <c r="G279" i="204"/>
  <c r="N262" i="204"/>
  <c r="F262" i="204"/>
  <c r="Q249" i="204"/>
  <c r="Q247" i="204"/>
  <c r="Q191" i="204"/>
  <c r="Q183" i="204"/>
  <c r="Q177" i="204"/>
  <c r="Q175" i="204"/>
  <c r="Q168" i="204"/>
  <c r="Q162" i="204"/>
  <c r="Q159" i="204"/>
  <c r="Q759" i="204"/>
  <c r="Q687" i="204"/>
  <c r="Q628" i="204"/>
  <c r="Q590" i="204"/>
  <c r="Q496" i="204"/>
  <c r="Q392" i="204"/>
  <c r="Q368" i="204"/>
  <c r="Q364" i="204"/>
  <c r="M371" i="204"/>
  <c r="Q356" i="204"/>
  <c r="M352" i="204"/>
  <c r="Q341" i="204"/>
  <c r="I352" i="204"/>
  <c r="G335" i="204"/>
  <c r="M318" i="204"/>
  <c r="Q294" i="204"/>
  <c r="Q283" i="204"/>
  <c r="H279" i="204"/>
  <c r="I262" i="204"/>
  <c r="H245" i="204"/>
  <c r="Q218" i="204"/>
  <c r="L224" i="204"/>
  <c r="Q204" i="204"/>
  <c r="M172" i="204"/>
  <c r="Q160" i="204"/>
  <c r="Q813" i="204"/>
  <c r="Q812" i="204"/>
  <c r="Q741" i="204"/>
  <c r="Q631" i="204"/>
  <c r="Q557" i="204"/>
  <c r="Q482" i="204"/>
  <c r="Q330" i="204"/>
  <c r="P172" i="204"/>
  <c r="H172" i="204"/>
  <c r="Q150" i="204"/>
  <c r="Q815" i="204"/>
  <c r="Q814" i="204"/>
  <c r="Q807" i="204"/>
  <c r="Q776" i="204"/>
  <c r="Q775" i="204"/>
  <c r="Q666" i="204"/>
  <c r="Q648" i="204"/>
  <c r="Q572" i="204"/>
  <c r="Q554" i="204"/>
  <c r="Q514" i="204"/>
  <c r="Q463" i="204"/>
  <c r="Q444" i="204"/>
  <c r="Q367" i="204"/>
  <c r="K371" i="204"/>
  <c r="Q339" i="204"/>
  <c r="Q328" i="204"/>
  <c r="Q307" i="204"/>
  <c r="M298" i="204"/>
  <c r="E298" i="204"/>
  <c r="O262" i="204"/>
  <c r="G262" i="204"/>
  <c r="K245" i="204"/>
  <c r="J224" i="204"/>
  <c r="Q171" i="204"/>
  <c r="Q169" i="204"/>
  <c r="Q167" i="204"/>
  <c r="Q165" i="204"/>
  <c r="O172" i="204"/>
  <c r="G172" i="204"/>
  <c r="Q146" i="204"/>
  <c r="Q143" i="204"/>
  <c r="Q142" i="204"/>
  <c r="N335" i="204"/>
  <c r="Q761" i="204"/>
  <c r="Q760" i="204"/>
  <c r="Q701" i="204"/>
  <c r="Q667" i="204"/>
  <c r="Q663" i="204"/>
  <c r="Q348" i="204"/>
  <c r="L335" i="204"/>
  <c r="J298" i="204"/>
  <c r="Q180" i="204"/>
  <c r="Q163" i="204"/>
  <c r="Q161" i="204"/>
  <c r="N172" i="204"/>
  <c r="F172" i="204"/>
  <c r="Q144" i="204"/>
  <c r="Q140" i="204"/>
  <c r="F335" i="204"/>
  <c r="L318" i="204"/>
  <c r="Q796" i="204"/>
  <c r="Q762" i="204"/>
  <c r="Q721" i="204"/>
  <c r="Q702" i="204"/>
  <c r="Q426" i="204"/>
  <c r="Q369" i="204"/>
  <c r="J371" i="204"/>
  <c r="N371" i="204"/>
  <c r="F371" i="204"/>
  <c r="H352" i="204"/>
  <c r="Q327" i="204"/>
  <c r="O335" i="204"/>
  <c r="I318" i="204"/>
  <c r="Q292" i="204"/>
  <c r="Q271" i="204"/>
  <c r="Q242" i="204"/>
  <c r="Q216" i="204"/>
  <c r="K224" i="204"/>
  <c r="Q195" i="204"/>
  <c r="M189" i="204"/>
  <c r="L172" i="204"/>
  <c r="L151" i="204"/>
  <c r="L132" i="204"/>
  <c r="I132" i="204"/>
  <c r="M115" i="204"/>
  <c r="E115" i="204"/>
  <c r="Q97" i="204"/>
  <c r="Q95" i="204"/>
  <c r="Q93" i="204"/>
  <c r="Q91" i="204"/>
  <c r="K98" i="204"/>
  <c r="K75" i="204"/>
  <c r="K151" i="204"/>
  <c r="Q131" i="204"/>
  <c r="Q130" i="204"/>
  <c r="Q89" i="204"/>
  <c r="N98" i="204"/>
  <c r="F98" i="204"/>
  <c r="Q85" i="204"/>
  <c r="O59" i="205"/>
  <c r="O59" i="204" s="1"/>
  <c r="N151" i="204"/>
  <c r="Q139" i="204"/>
  <c r="Q137" i="204"/>
  <c r="Q126" i="204"/>
  <c r="Q122" i="204"/>
  <c r="K132" i="204"/>
  <c r="Q113" i="204"/>
  <c r="Q109" i="204"/>
  <c r="L115" i="204"/>
  <c r="M98" i="204"/>
  <c r="E98" i="204"/>
  <c r="I151" i="204"/>
  <c r="Q124" i="204"/>
  <c r="Q118" i="204"/>
  <c r="J132" i="204"/>
  <c r="Q111" i="204"/>
  <c r="Q107" i="204"/>
  <c r="Q105" i="204"/>
  <c r="K115" i="204"/>
  <c r="L98" i="204"/>
  <c r="H75" i="204"/>
  <c r="F300" i="205"/>
  <c r="Q299" i="205"/>
  <c r="G76" i="205" s="1"/>
  <c r="P151" i="204"/>
  <c r="H151" i="204"/>
  <c r="Q103" i="204"/>
  <c r="Q101" i="204"/>
  <c r="Q94" i="204"/>
  <c r="J98" i="204"/>
  <c r="O151" i="204"/>
  <c r="G151" i="204"/>
  <c r="Q129" i="204"/>
  <c r="P132" i="204"/>
  <c r="H132" i="204"/>
  <c r="I115" i="204"/>
  <c r="Q92" i="204"/>
  <c r="Q90" i="204"/>
  <c r="Q86" i="204"/>
  <c r="H39" i="204"/>
  <c r="H76" i="204" s="1"/>
  <c r="K39" i="204"/>
  <c r="Q138" i="204"/>
  <c r="Q134" i="204"/>
  <c r="Q127" i="204"/>
  <c r="Q125" i="204"/>
  <c r="Q121" i="204"/>
  <c r="O132" i="204"/>
  <c r="G132" i="204"/>
  <c r="Q114" i="204"/>
  <c r="Q110" i="204"/>
  <c r="P115" i="204"/>
  <c r="H115" i="204"/>
  <c r="I98" i="204"/>
  <c r="M151" i="204"/>
  <c r="M152" i="204" s="1"/>
  <c r="E151" i="204"/>
  <c r="E152" i="204" s="1"/>
  <c r="Q123" i="204"/>
  <c r="Q119" i="204"/>
  <c r="N132" i="204"/>
  <c r="Q117" i="204"/>
  <c r="Q112" i="204"/>
  <c r="Q106" i="204"/>
  <c r="J115" i="204"/>
  <c r="Q102" i="204"/>
  <c r="O115" i="204"/>
  <c r="G115" i="204"/>
  <c r="P98" i="204"/>
  <c r="H98" i="204"/>
  <c r="L62" i="205"/>
  <c r="Q206" i="205"/>
  <c r="F56" i="205" s="1"/>
  <c r="J152" i="205"/>
  <c r="J153" i="205" s="1"/>
  <c r="L44" i="205"/>
  <c r="L372" i="205"/>
  <c r="L373" i="205" s="1"/>
  <c r="G61" i="205"/>
  <c r="G62" i="205"/>
  <c r="E373" i="205"/>
  <c r="L61" i="205"/>
  <c r="E225" i="205"/>
  <c r="Q703" i="204"/>
  <c r="Q659" i="204"/>
  <c r="Q593" i="204"/>
  <c r="Q437" i="204"/>
  <c r="Q270" i="204"/>
  <c r="M279" i="204"/>
  <c r="E279" i="204"/>
  <c r="Q268" i="204"/>
  <c r="Q627" i="204"/>
  <c r="Q585" i="204"/>
  <c r="Q314" i="204"/>
  <c r="Q737" i="204"/>
  <c r="Q705" i="204"/>
  <c r="Q685" i="204"/>
  <c r="Q571" i="204"/>
  <c r="Q537" i="204"/>
  <c r="Q361" i="204"/>
  <c r="Q720" i="204"/>
  <c r="Q686" i="204"/>
  <c r="Q662" i="204"/>
  <c r="Q629" i="204"/>
  <c r="Q556" i="204"/>
  <c r="Q516" i="204"/>
  <c r="Q406" i="204"/>
  <c r="Q736" i="204"/>
  <c r="Q719" i="204"/>
  <c r="Q704" i="204"/>
  <c r="Q647" i="204"/>
  <c r="Q630" i="204"/>
  <c r="Q612" i="204"/>
  <c r="Q592" i="204"/>
  <c r="Q588" i="204"/>
  <c r="Q573" i="204"/>
  <c r="Q553" i="204"/>
  <c r="Q740" i="204"/>
  <c r="Q688" i="204"/>
  <c r="Q664" i="204"/>
  <c r="Q574" i="204"/>
  <c r="Q739" i="204"/>
  <c r="Q591" i="204"/>
  <c r="Q555" i="204"/>
  <c r="Q408" i="204"/>
  <c r="Q332" i="204"/>
  <c r="Q324" i="204"/>
  <c r="Q519" i="204"/>
  <c r="Q480" i="204"/>
  <c r="Q442" i="204"/>
  <c r="Q440" i="204"/>
  <c r="Q365" i="204"/>
  <c r="Q333" i="204"/>
  <c r="Q321" i="204"/>
  <c r="Q316" i="204"/>
  <c r="F318" i="204"/>
  <c r="N318" i="204"/>
  <c r="Q466" i="204"/>
  <c r="Q464" i="204"/>
  <c r="K335" i="204"/>
  <c r="Q258" i="204"/>
  <c r="Q256" i="204"/>
  <c r="Q515" i="204"/>
  <c r="Q500" i="204"/>
  <c r="Q498" i="204"/>
  <c r="Q483" i="204"/>
  <c r="P371" i="204"/>
  <c r="H371" i="204"/>
  <c r="Q344" i="204"/>
  <c r="Q315" i="204"/>
  <c r="P224" i="204"/>
  <c r="H224" i="204"/>
  <c r="Q511" i="204"/>
  <c r="Q504" i="204"/>
  <c r="Q479" i="204"/>
  <c r="Q443" i="204"/>
  <c r="Q423" i="204"/>
  <c r="Q407" i="204"/>
  <c r="Q389" i="204"/>
  <c r="O371" i="204"/>
  <c r="G371" i="204"/>
  <c r="N352" i="204"/>
  <c r="Q325" i="204"/>
  <c r="Q539" i="204"/>
  <c r="Q481" i="204"/>
  <c r="Q445" i="204"/>
  <c r="Q425" i="204"/>
  <c r="Q360" i="204"/>
  <c r="Q358" i="204"/>
  <c r="Q322" i="204"/>
  <c r="Q317" i="204"/>
  <c r="J318" i="204"/>
  <c r="Q518" i="204"/>
  <c r="Q499" i="204"/>
  <c r="Q405" i="204"/>
  <c r="Q351" i="204"/>
  <c r="E352" i="204"/>
  <c r="Q311" i="204"/>
  <c r="Q238" i="204"/>
  <c r="Q236" i="204"/>
  <c r="Q363" i="204"/>
  <c r="Q357" i="204"/>
  <c r="Q354" i="204"/>
  <c r="Q323" i="204"/>
  <c r="Q293" i="204"/>
  <c r="I298" i="204"/>
  <c r="Q282" i="204"/>
  <c r="Q277" i="204"/>
  <c r="Q275" i="204"/>
  <c r="J262" i="204"/>
  <c r="Q243" i="204"/>
  <c r="Q223" i="204"/>
  <c r="Q217" i="204"/>
  <c r="Q205" i="204"/>
  <c r="Q194" i="204"/>
  <c r="Q192" i="204"/>
  <c r="I189" i="204"/>
  <c r="Q366" i="204"/>
  <c r="O352" i="204"/>
  <c r="G352" i="204"/>
  <c r="L352" i="204"/>
  <c r="Q326" i="204"/>
  <c r="Q312" i="204"/>
  <c r="Q305" i="204"/>
  <c r="Q291" i="204"/>
  <c r="Q289" i="204"/>
  <c r="Q287" i="204"/>
  <c r="P298" i="204"/>
  <c r="H298" i="204"/>
  <c r="Q273" i="204"/>
  <c r="Q261" i="204"/>
  <c r="Q250" i="204"/>
  <c r="Q248" i="204"/>
  <c r="Q241" i="204"/>
  <c r="M245" i="204"/>
  <c r="E245" i="204"/>
  <c r="Q213" i="204"/>
  <c r="O224" i="204"/>
  <c r="G224" i="204"/>
  <c r="Q201" i="204"/>
  <c r="P206" i="204"/>
  <c r="H206" i="204"/>
  <c r="L189" i="204"/>
  <c r="L371" i="204"/>
  <c r="F352" i="204"/>
  <c r="Q350" i="204"/>
  <c r="Q338" i="204"/>
  <c r="K352" i="204"/>
  <c r="M335" i="204"/>
  <c r="E335" i="204"/>
  <c r="Q310" i="204"/>
  <c r="P318" i="204"/>
  <c r="H318" i="204"/>
  <c r="Q285" i="204"/>
  <c r="Q269" i="204"/>
  <c r="Q267" i="204"/>
  <c r="L279" i="204"/>
  <c r="Q257" i="204"/>
  <c r="Q255" i="204"/>
  <c r="P262" i="204"/>
  <c r="H262" i="204"/>
  <c r="Q237" i="204"/>
  <c r="Q235" i="204"/>
  <c r="Q215" i="204"/>
  <c r="N224" i="204"/>
  <c r="Q209" i="204"/>
  <c r="F224" i="204"/>
  <c r="Q203" i="204"/>
  <c r="Q197" i="204"/>
  <c r="K206" i="204"/>
  <c r="Q188" i="204"/>
  <c r="O189" i="204"/>
  <c r="G189" i="204"/>
  <c r="Q362" i="204"/>
  <c r="Q331" i="204"/>
  <c r="P335" i="204"/>
  <c r="H335" i="204"/>
  <c r="Q308" i="204"/>
  <c r="K318" i="204"/>
  <c r="N298" i="204"/>
  <c r="F298" i="204"/>
  <c r="F299" i="204" s="1"/>
  <c r="Q281" i="204"/>
  <c r="Q265" i="204"/>
  <c r="K279" i="204"/>
  <c r="Q259" i="204"/>
  <c r="Q253" i="204"/>
  <c r="K262" i="204"/>
  <c r="Q239" i="204"/>
  <c r="N245" i="204"/>
  <c r="F245" i="204"/>
  <c r="Q233" i="204"/>
  <c r="N206" i="204"/>
  <c r="F206" i="204"/>
  <c r="Q193" i="204"/>
  <c r="Q182" i="204"/>
  <c r="N189" i="204"/>
  <c r="F189" i="204"/>
  <c r="Q391" i="204"/>
  <c r="Q343" i="204"/>
  <c r="Q334" i="204"/>
  <c r="Q296" i="204"/>
  <c r="Q222" i="204"/>
  <c r="Q220" i="204"/>
  <c r="M206" i="204"/>
  <c r="E206" i="204"/>
  <c r="Q174" i="204"/>
  <c r="E189" i="204"/>
  <c r="I371" i="204"/>
  <c r="Q355" i="204"/>
  <c r="Q346" i="204"/>
  <c r="Q320" i="204"/>
  <c r="Q306" i="204"/>
  <c r="O298" i="204"/>
  <c r="G298" i="204"/>
  <c r="L298" i="204"/>
  <c r="Q278" i="204"/>
  <c r="Q276" i="204"/>
  <c r="Q264" i="204"/>
  <c r="I279" i="204"/>
  <c r="Q251" i="204"/>
  <c r="M262" i="204"/>
  <c r="E262" i="204"/>
  <c r="Q244" i="204"/>
  <c r="L245" i="204"/>
  <c r="Q232" i="204"/>
  <c r="I245" i="204"/>
  <c r="Q211" i="204"/>
  <c r="Q199" i="204"/>
  <c r="L206" i="204"/>
  <c r="Q187" i="204"/>
  <c r="P189" i="204"/>
  <c r="H189" i="204"/>
  <c r="Q313" i="204"/>
  <c r="Q290" i="204"/>
  <c r="Q288" i="204"/>
  <c r="J279" i="204"/>
  <c r="L262" i="204"/>
  <c r="O245" i="204"/>
  <c r="G245" i="204"/>
  <c r="Q214" i="204"/>
  <c r="M224" i="204"/>
  <c r="Q212" i="204"/>
  <c r="E224" i="204"/>
  <c r="Q202" i="204"/>
  <c r="Q200" i="204"/>
  <c r="Q185" i="204"/>
  <c r="K189" i="204"/>
  <c r="E172" i="204"/>
  <c r="F151" i="204"/>
  <c r="Q136" i="204"/>
  <c r="Q104" i="204"/>
  <c r="J206" i="204"/>
  <c r="Q87" i="204"/>
  <c r="J172" i="204"/>
  <c r="F132" i="204"/>
  <c r="E373" i="206" l="1"/>
  <c r="Q373" i="206" s="1"/>
  <c r="I77" i="206" s="1"/>
  <c r="J77" i="206" s="1"/>
  <c r="I372" i="204"/>
  <c r="I373" i="204" s="1"/>
  <c r="J225" i="204"/>
  <c r="J226" i="204" s="1"/>
  <c r="G62" i="204"/>
  <c r="E372" i="204"/>
  <c r="E373" i="204" s="1"/>
  <c r="I152" i="204"/>
  <c r="I153" i="204" s="1"/>
  <c r="O299" i="204"/>
  <c r="O300" i="204" s="1"/>
  <c r="F372" i="204"/>
  <c r="P152" i="204"/>
  <c r="P153" i="204" s="1"/>
  <c r="Q153" i="205"/>
  <c r="E77" i="205" s="1"/>
  <c r="Q300" i="205"/>
  <c r="G77" i="205" s="1"/>
  <c r="Q152" i="205"/>
  <c r="E76" i="205" s="1"/>
  <c r="J372" i="204"/>
  <c r="J373" i="204" s="1"/>
  <c r="I225" i="204"/>
  <c r="I226" i="204" s="1"/>
  <c r="H152" i="204"/>
  <c r="H153" i="204" s="1"/>
  <c r="J152" i="204"/>
  <c r="J153" i="204" s="1"/>
  <c r="L372" i="204"/>
  <c r="L373" i="204" s="1"/>
  <c r="Q115" i="204"/>
  <c r="E39" i="204" s="1"/>
  <c r="N152" i="204"/>
  <c r="N153" i="204" s="1"/>
  <c r="M299" i="204"/>
  <c r="M300" i="204" s="1"/>
  <c r="K299" i="204"/>
  <c r="K300" i="204" s="1"/>
  <c r="M372" i="204"/>
  <c r="M373" i="204" s="1"/>
  <c r="L225" i="204"/>
  <c r="L226" i="204" s="1"/>
  <c r="K372" i="204"/>
  <c r="K373" i="204" s="1"/>
  <c r="K76" i="204"/>
  <c r="K77" i="204" s="1"/>
  <c r="K152" i="204"/>
  <c r="K153" i="204" s="1"/>
  <c r="Q151" i="204"/>
  <c r="E75" i="204" s="1"/>
  <c r="Q172" i="204"/>
  <c r="F22" i="204" s="1"/>
  <c r="J299" i="204"/>
  <c r="J300" i="204" s="1"/>
  <c r="H94" i="227"/>
  <c r="E94" i="227"/>
  <c r="G94" i="227"/>
  <c r="G158" i="227" s="1"/>
  <c r="J94" i="227"/>
  <c r="J158" i="227" s="1"/>
  <c r="E49" i="226"/>
  <c r="N114" i="226"/>
  <c r="L94" i="227"/>
  <c r="H158" i="227"/>
  <c r="F114" i="226"/>
  <c r="G114" i="226" s="1"/>
  <c r="F153" i="226"/>
  <c r="G153" i="226" s="1"/>
  <c r="K94" i="227"/>
  <c r="K158" i="227" s="1"/>
  <c r="E95" i="226"/>
  <c r="Q103" i="227"/>
  <c r="F103" i="226" s="1"/>
  <c r="F104" i="226" s="1"/>
  <c r="G104" i="226" s="1"/>
  <c r="O94" i="227"/>
  <c r="O158" i="227" s="1"/>
  <c r="L49" i="233"/>
  <c r="G94" i="233"/>
  <c r="H95" i="226"/>
  <c r="H49" i="226"/>
  <c r="G48" i="226"/>
  <c r="N94" i="233"/>
  <c r="G94" i="231"/>
  <c r="Q28" i="227"/>
  <c r="Q49" i="227" s="1"/>
  <c r="K114" i="226"/>
  <c r="K70" i="226"/>
  <c r="K83" i="226"/>
  <c r="K69" i="226"/>
  <c r="J94" i="228"/>
  <c r="L94" i="228"/>
  <c r="K72" i="226"/>
  <c r="K63" i="226"/>
  <c r="K106" i="226"/>
  <c r="K158" i="226"/>
  <c r="G94" i="228"/>
  <c r="K116" i="226"/>
  <c r="K64" i="226"/>
  <c r="I49" i="228"/>
  <c r="K37" i="226"/>
  <c r="K10" i="226"/>
  <c r="K11" i="226"/>
  <c r="K15" i="226"/>
  <c r="K125" i="226"/>
  <c r="E49" i="231"/>
  <c r="K124" i="226"/>
  <c r="I94" i="232"/>
  <c r="K73" i="226"/>
  <c r="K30" i="226"/>
  <c r="O94" i="233"/>
  <c r="I49" i="232"/>
  <c r="K66" i="226"/>
  <c r="K121" i="226"/>
  <c r="K119" i="226"/>
  <c r="K34" i="226"/>
  <c r="P94" i="228"/>
  <c r="K71" i="226"/>
  <c r="K60" i="226"/>
  <c r="M114" i="226"/>
  <c r="E94" i="228"/>
  <c r="K14" i="226"/>
  <c r="L49" i="231"/>
  <c r="M104" i="226"/>
  <c r="J49" i="233"/>
  <c r="K74" i="226"/>
  <c r="H94" i="228"/>
  <c r="K55" i="226"/>
  <c r="M49" i="228"/>
  <c r="K13" i="226"/>
  <c r="K54" i="226"/>
  <c r="K98" i="226"/>
  <c r="K57" i="226"/>
  <c r="K67" i="226"/>
  <c r="G158" i="226"/>
  <c r="K12" i="226"/>
  <c r="F49" i="232"/>
  <c r="K117" i="226"/>
  <c r="K62" i="226"/>
  <c r="I28" i="226"/>
  <c r="K17" i="226"/>
  <c r="K33" i="226"/>
  <c r="O94" i="228"/>
  <c r="F49" i="231"/>
  <c r="F49" i="233"/>
  <c r="H49" i="233"/>
  <c r="K94" i="228"/>
  <c r="K49" i="233"/>
  <c r="I94" i="233"/>
  <c r="N49" i="231"/>
  <c r="K130" i="226"/>
  <c r="O94" i="226"/>
  <c r="O94" i="232"/>
  <c r="Q93" i="227"/>
  <c r="F93" i="226" s="1"/>
  <c r="F94" i="226" s="1"/>
  <c r="G94" i="226" s="1"/>
  <c r="M94" i="227"/>
  <c r="M158" i="227" s="1"/>
  <c r="I94" i="227"/>
  <c r="I158" i="227" s="1"/>
  <c r="O94" i="231"/>
  <c r="O104" i="226"/>
  <c r="P114" i="226"/>
  <c r="F78" i="226"/>
  <c r="G78" i="226" s="1"/>
  <c r="L94" i="232"/>
  <c r="N94" i="227"/>
  <c r="N158" i="227" s="1"/>
  <c r="Q103" i="228"/>
  <c r="K142" i="226"/>
  <c r="M49" i="231"/>
  <c r="P94" i="231"/>
  <c r="G94" i="232"/>
  <c r="K32" i="226"/>
  <c r="L94" i="233"/>
  <c r="K120" i="226"/>
  <c r="O114" i="226"/>
  <c r="P94" i="227"/>
  <c r="P158" i="227" s="1"/>
  <c r="Q77" i="227"/>
  <c r="K81" i="226"/>
  <c r="K49" i="232"/>
  <c r="E49" i="227"/>
  <c r="O49" i="232"/>
  <c r="K65" i="226"/>
  <c r="K59" i="226"/>
  <c r="L158" i="227"/>
  <c r="N94" i="231"/>
  <c r="K31" i="226"/>
  <c r="K56" i="226"/>
  <c r="Q103" i="232"/>
  <c r="P49" i="231"/>
  <c r="J49" i="231"/>
  <c r="J94" i="232"/>
  <c r="H49" i="232"/>
  <c r="H49" i="228"/>
  <c r="E94" i="231"/>
  <c r="L94" i="231"/>
  <c r="K94" i="233"/>
  <c r="K123" i="226"/>
  <c r="F28" i="226"/>
  <c r="F49" i="226" s="1"/>
  <c r="F94" i="227"/>
  <c r="F158" i="227" s="1"/>
  <c r="K131" i="226"/>
  <c r="J49" i="232"/>
  <c r="Q48" i="228"/>
  <c r="Q103" i="231"/>
  <c r="F49" i="228"/>
  <c r="P94" i="226"/>
  <c r="N49" i="228"/>
  <c r="K75" i="226"/>
  <c r="N94" i="226"/>
  <c r="J140" i="226"/>
  <c r="I94" i="226"/>
  <c r="K118" i="226"/>
  <c r="J94" i="233"/>
  <c r="K49" i="231"/>
  <c r="M94" i="226"/>
  <c r="E211" i="209"/>
  <c r="E212" i="209" s="1"/>
  <c r="Q48" i="233"/>
  <c r="P48" i="226" s="1"/>
  <c r="Q113" i="233"/>
  <c r="M48" i="226"/>
  <c r="M49" i="233"/>
  <c r="K35" i="226"/>
  <c r="Q77" i="228"/>
  <c r="G49" i="231"/>
  <c r="K94" i="232"/>
  <c r="N49" i="232"/>
  <c r="H94" i="233"/>
  <c r="P49" i="233"/>
  <c r="N49" i="233"/>
  <c r="L49" i="232"/>
  <c r="M94" i="233"/>
  <c r="P49" i="232"/>
  <c r="N140" i="226"/>
  <c r="K53" i="226"/>
  <c r="F94" i="233"/>
  <c r="E94" i="232"/>
  <c r="O49" i="231"/>
  <c r="M78" i="226"/>
  <c r="J94" i="231"/>
  <c r="K122" i="226"/>
  <c r="E49" i="228"/>
  <c r="P94" i="233"/>
  <c r="Q140" i="228"/>
  <c r="N78" i="226"/>
  <c r="N94" i="228"/>
  <c r="O49" i="228"/>
  <c r="N104" i="226"/>
  <c r="Q113" i="231"/>
  <c r="Q48" i="232"/>
  <c r="O48" i="226" s="1"/>
  <c r="I49" i="233"/>
  <c r="P49" i="228"/>
  <c r="Q28" i="228"/>
  <c r="H94" i="231"/>
  <c r="M49" i="232"/>
  <c r="Q103" i="233"/>
  <c r="K94" i="231"/>
  <c r="M94" i="231"/>
  <c r="Q139" i="227"/>
  <c r="F139" i="226" s="1"/>
  <c r="F140" i="226" s="1"/>
  <c r="M75" i="203"/>
  <c r="M76" i="203" s="1"/>
  <c r="G49" i="232"/>
  <c r="I94" i="228"/>
  <c r="N75" i="203"/>
  <c r="N76" i="203" s="1"/>
  <c r="K153" i="226"/>
  <c r="M28" i="226"/>
  <c r="H49" i="231"/>
  <c r="O140" i="226"/>
  <c r="Q93" i="233"/>
  <c r="I49" i="231"/>
  <c r="Q139" i="232"/>
  <c r="H77" i="204"/>
  <c r="O78" i="226"/>
  <c r="Q93" i="232"/>
  <c r="P78" i="226"/>
  <c r="K68" i="226"/>
  <c r="G58" i="212"/>
  <c r="G59" i="212" s="1"/>
  <c r="I59" i="212" s="1"/>
  <c r="J59" i="212" s="1"/>
  <c r="K58" i="226"/>
  <c r="K49" i="228"/>
  <c r="H94" i="232"/>
  <c r="Q28" i="233"/>
  <c r="P28" i="226" s="1"/>
  <c r="M94" i="232"/>
  <c r="G49" i="233"/>
  <c r="L49" i="228"/>
  <c r="D211" i="209"/>
  <c r="D212" i="209" s="1"/>
  <c r="M75" i="202"/>
  <c r="M76" i="202" s="1"/>
  <c r="Q139" i="231"/>
  <c r="P94" i="232"/>
  <c r="P104" i="226"/>
  <c r="N94" i="232"/>
  <c r="I94" i="231"/>
  <c r="O49" i="233"/>
  <c r="M94" i="228"/>
  <c r="E49" i="233"/>
  <c r="E77" i="233"/>
  <c r="Q113" i="232"/>
  <c r="Q28" i="232"/>
  <c r="F77" i="232"/>
  <c r="E49" i="232"/>
  <c r="Q93" i="231"/>
  <c r="F77" i="231"/>
  <c r="Q28" i="231"/>
  <c r="Q48" i="231"/>
  <c r="N48" i="226" s="1"/>
  <c r="K52" i="226"/>
  <c r="J78" i="226"/>
  <c r="J49" i="228"/>
  <c r="I48" i="226"/>
  <c r="J28" i="226"/>
  <c r="J48" i="226"/>
  <c r="K16" i="226"/>
  <c r="F94" i="228"/>
  <c r="I140" i="226"/>
  <c r="Q93" i="228"/>
  <c r="K80" i="226"/>
  <c r="J94" i="226"/>
  <c r="J104" i="226"/>
  <c r="G49" i="228"/>
  <c r="K97" i="226"/>
  <c r="I104" i="226"/>
  <c r="N75" i="202"/>
  <c r="N76" i="202" s="1"/>
  <c r="L75" i="203"/>
  <c r="L76" i="203" s="1"/>
  <c r="L75" i="202"/>
  <c r="L76" i="202" s="1"/>
  <c r="I58" i="212"/>
  <c r="J58" i="212" s="1"/>
  <c r="J47" i="212"/>
  <c r="I8" i="212"/>
  <c r="F300" i="204"/>
  <c r="Q132" i="204"/>
  <c r="E56" i="204" s="1"/>
  <c r="G61" i="204"/>
  <c r="L152" i="204"/>
  <c r="L153" i="204" s="1"/>
  <c r="Q299" i="206"/>
  <c r="G76" i="206" s="1"/>
  <c r="E300" i="206"/>
  <c r="Q300" i="206" s="1"/>
  <c r="G77" i="206" s="1"/>
  <c r="N299" i="204"/>
  <c r="N300" i="204" s="1"/>
  <c r="M153" i="204"/>
  <c r="E299" i="204"/>
  <c r="E300" i="204" s="1"/>
  <c r="Q225" i="206"/>
  <c r="F76" i="206" s="1"/>
  <c r="E226" i="206"/>
  <c r="Q226" i="206" s="1"/>
  <c r="F77" i="206" s="1"/>
  <c r="M76" i="206"/>
  <c r="Q447" i="206"/>
  <c r="L76" i="206"/>
  <c r="G299" i="204"/>
  <c r="G300" i="204" s="1"/>
  <c r="N39" i="206"/>
  <c r="N372" i="204"/>
  <c r="N373" i="204" s="1"/>
  <c r="Q152" i="206"/>
  <c r="E76" i="206" s="1"/>
  <c r="E153" i="206"/>
  <c r="Q153" i="206" s="1"/>
  <c r="E77" i="206" s="1"/>
  <c r="L44" i="204"/>
  <c r="L61" i="204"/>
  <c r="N225" i="204"/>
  <c r="N226" i="204" s="1"/>
  <c r="I299" i="204"/>
  <c r="I300" i="204" s="1"/>
  <c r="M225" i="204"/>
  <c r="M226" i="204" s="1"/>
  <c r="P372" i="204"/>
  <c r="P373" i="204" s="1"/>
  <c r="Q225" i="205"/>
  <c r="F76" i="205" s="1"/>
  <c r="E226" i="205"/>
  <c r="Q226" i="205" s="1"/>
  <c r="F77" i="205" s="1"/>
  <c r="Q372" i="205"/>
  <c r="I76" i="205" s="1"/>
  <c r="J76" i="205" s="1"/>
  <c r="G152" i="204"/>
  <c r="G153" i="204" s="1"/>
  <c r="O152" i="204"/>
  <c r="O153" i="204" s="1"/>
  <c r="Q98" i="204"/>
  <c r="E22" i="204" s="1"/>
  <c r="K225" i="204"/>
  <c r="K226" i="204" s="1"/>
  <c r="L62" i="204"/>
  <c r="Q318" i="204"/>
  <c r="I22" i="204" s="1"/>
  <c r="J22" i="204" s="1"/>
  <c r="F373" i="204"/>
  <c r="O225" i="204"/>
  <c r="O226" i="204" s="1"/>
  <c r="F152" i="204"/>
  <c r="F153" i="204" s="1"/>
  <c r="Q373" i="205"/>
  <c r="I77" i="205" s="1"/>
  <c r="J77" i="205" s="1"/>
  <c r="Q206" i="204"/>
  <c r="F56" i="204" s="1"/>
  <c r="R320" i="204"/>
  <c r="E153" i="204"/>
  <c r="G225" i="204"/>
  <c r="G226" i="204" s="1"/>
  <c r="R322" i="204"/>
  <c r="H372" i="204"/>
  <c r="H373" i="204" s="1"/>
  <c r="Q279" i="204"/>
  <c r="G56" i="204" s="1"/>
  <c r="H299" i="204"/>
  <c r="H300" i="204" s="1"/>
  <c r="E225" i="204"/>
  <c r="Q224" i="204"/>
  <c r="F75" i="204" s="1"/>
  <c r="Q245" i="204"/>
  <c r="G22" i="204" s="1"/>
  <c r="L299" i="204"/>
  <c r="L300" i="204" s="1"/>
  <c r="F225" i="204"/>
  <c r="F226" i="204" s="1"/>
  <c r="P299" i="204"/>
  <c r="P300" i="204" s="1"/>
  <c r="G372" i="204"/>
  <c r="G373" i="204" s="1"/>
  <c r="Q262" i="204"/>
  <c r="G39" i="204" s="1"/>
  <c r="Q189" i="204"/>
  <c r="F39" i="204" s="1"/>
  <c r="Q335" i="204"/>
  <c r="I39" i="204" s="1"/>
  <c r="J39" i="204" s="1"/>
  <c r="O372" i="204"/>
  <c r="O373" i="204" s="1"/>
  <c r="Q298" i="204"/>
  <c r="G75" i="204" s="1"/>
  <c r="H225" i="204"/>
  <c r="H226" i="204" s="1"/>
  <c r="Q371" i="204"/>
  <c r="I75" i="204" s="1"/>
  <c r="J75" i="204" s="1"/>
  <c r="P225" i="204"/>
  <c r="P226" i="204" s="1"/>
  <c r="Q352" i="204"/>
  <c r="I56" i="204" s="1"/>
  <c r="J56" i="204" s="1"/>
  <c r="N76" i="206" l="1"/>
  <c r="E158" i="227"/>
  <c r="G49" i="226"/>
  <c r="E159" i="226"/>
  <c r="F166" i="226" s="1"/>
  <c r="O95" i="226"/>
  <c r="J159" i="228"/>
  <c r="H159" i="226"/>
  <c r="F95" i="226"/>
  <c r="F159" i="226" s="1"/>
  <c r="G95" i="226"/>
  <c r="Q94" i="227"/>
  <c r="Q158" i="227" s="1"/>
  <c r="I159" i="228"/>
  <c r="L159" i="228"/>
  <c r="G159" i="228"/>
  <c r="H159" i="228"/>
  <c r="O159" i="228"/>
  <c r="P159" i="228"/>
  <c r="K104" i="226"/>
  <c r="M159" i="228"/>
  <c r="F159" i="228"/>
  <c r="K159" i="228"/>
  <c r="K28" i="226"/>
  <c r="Q49" i="228"/>
  <c r="E159" i="228"/>
  <c r="K94" i="226"/>
  <c r="Q49" i="233"/>
  <c r="P49" i="226" s="1"/>
  <c r="G28" i="226"/>
  <c r="K140" i="226"/>
  <c r="M49" i="226"/>
  <c r="P95" i="226"/>
  <c r="M95" i="226"/>
  <c r="N159" i="228"/>
  <c r="N95" i="226"/>
  <c r="G140" i="226"/>
  <c r="J49" i="226"/>
  <c r="Q94" i="228"/>
  <c r="E94" i="233"/>
  <c r="Q77" i="233"/>
  <c r="Q94" i="233" s="1"/>
  <c r="F94" i="232"/>
  <c r="Q77" i="232"/>
  <c r="Q94" i="232" s="1"/>
  <c r="Q49" i="232"/>
  <c r="O28" i="226"/>
  <c r="Q49" i="231"/>
  <c r="N28" i="226"/>
  <c r="F94" i="231"/>
  <c r="Q77" i="231"/>
  <c r="Q94" i="231" s="1"/>
  <c r="K77" i="226"/>
  <c r="I78" i="226"/>
  <c r="K48" i="226"/>
  <c r="J95" i="226"/>
  <c r="I49" i="226"/>
  <c r="J8" i="212"/>
  <c r="Q153" i="204"/>
  <c r="E77" i="204" s="1"/>
  <c r="Q152" i="204"/>
  <c r="E76" i="204" s="1"/>
  <c r="E226" i="204"/>
  <c r="Q226" i="204" s="1"/>
  <c r="F77" i="204" s="1"/>
  <c r="Q225" i="204"/>
  <c r="F76" i="204" s="1"/>
  <c r="Q300" i="204"/>
  <c r="G77" i="204" s="1"/>
  <c r="Q299" i="204"/>
  <c r="G76" i="204" s="1"/>
  <c r="Q373" i="204"/>
  <c r="I77" i="204" s="1"/>
  <c r="J77" i="204" s="1"/>
  <c r="Q372" i="204"/>
  <c r="I76" i="204" s="1"/>
  <c r="J76" i="204" s="1"/>
  <c r="G159" i="226" l="1"/>
  <c r="Q159" i="228"/>
  <c r="J159" i="226"/>
  <c r="O49" i="226"/>
  <c r="N49" i="226"/>
  <c r="K49" i="226"/>
  <c r="K78" i="226"/>
  <c r="K95" i="226" s="1"/>
  <c r="I95" i="226"/>
  <c r="I159" i="226" s="1"/>
  <c r="K159" i="226" l="1"/>
  <c r="AD18" i="193"/>
  <c r="AD31" i="193"/>
  <c r="W31" i="196" l="1"/>
  <c r="AD19" i="193"/>
  <c r="AD41" i="196"/>
  <c r="W41" i="196"/>
  <c r="E51" i="200"/>
  <c r="AD31" i="196"/>
  <c r="I9" i="58" l="1"/>
  <c r="J9" i="58"/>
  <c r="K9" i="58"/>
  <c r="I10" i="58"/>
  <c r="J10" i="58"/>
  <c r="I11" i="58"/>
  <c r="J11" i="58"/>
  <c r="I12" i="58"/>
  <c r="J12" i="58"/>
  <c r="I19" i="58"/>
  <c r="J19" i="58"/>
  <c r="K19" i="58"/>
  <c r="H19" i="58"/>
  <c r="H12" i="58"/>
  <c r="H11" i="58"/>
  <c r="H10" i="58"/>
  <c r="H9" i="58"/>
  <c r="I57" i="58"/>
  <c r="J57" i="58"/>
  <c r="H57" i="58"/>
  <c r="I40" i="58"/>
  <c r="I13" i="58" s="1"/>
  <c r="J40" i="58"/>
  <c r="J13" i="58" s="1"/>
  <c r="K40" i="58"/>
  <c r="K13" i="58" s="1"/>
  <c r="H21" i="58" l="1"/>
  <c r="I21" i="58"/>
  <c r="J21" i="58"/>
  <c r="O18" i="158"/>
  <c r="P18" i="158"/>
  <c r="Q18" i="158"/>
  <c r="O12" i="158"/>
  <c r="P12" i="158"/>
  <c r="Q12" i="158"/>
  <c r="M12" i="158"/>
  <c r="G19" i="158"/>
  <c r="G14" i="158"/>
  <c r="G9" i="158"/>
  <c r="H9" i="158" s="1"/>
  <c r="M12" i="58"/>
  <c r="O19" i="158"/>
  <c r="N50" i="58" s="1"/>
  <c r="N12" i="58" s="1"/>
  <c r="P19" i="158"/>
  <c r="O50" i="58" s="1"/>
  <c r="O12" i="58" s="1"/>
  <c r="Q19" i="158"/>
  <c r="P50" i="58" s="1"/>
  <c r="P12" i="58" s="1"/>
  <c r="M19" i="158"/>
  <c r="L12" i="58" s="1"/>
  <c r="M18" i="158"/>
  <c r="O17" i="158"/>
  <c r="P17" i="158"/>
  <c r="Q17" i="158"/>
  <c r="M17" i="158"/>
  <c r="O9" i="158"/>
  <c r="N48" i="58" s="1"/>
  <c r="P9" i="158"/>
  <c r="O48" i="58" s="1"/>
  <c r="Q9" i="158"/>
  <c r="P48" i="58" s="1"/>
  <c r="M9" i="158"/>
  <c r="M11" i="58"/>
  <c r="O14" i="158"/>
  <c r="N49" i="58" s="1"/>
  <c r="N11" i="58" s="1"/>
  <c r="P14" i="158"/>
  <c r="O49" i="58" s="1"/>
  <c r="O11" i="58" s="1"/>
  <c r="Q14" i="158"/>
  <c r="P49" i="58" s="1"/>
  <c r="P11" i="58" s="1"/>
  <c r="M14" i="158"/>
  <c r="L11" i="58" s="1"/>
  <c r="O13" i="158"/>
  <c r="P13" i="158"/>
  <c r="Q13" i="158"/>
  <c r="M13" i="158"/>
  <c r="P10" i="58" l="1"/>
  <c r="O10" i="58"/>
  <c r="N10" i="58"/>
  <c r="M10" i="58"/>
  <c r="L10" i="58"/>
  <c r="U37" i="131" l="1"/>
  <c r="U19" i="131"/>
  <c r="U38" i="131"/>
  <c r="I104" i="131"/>
  <c r="J104" i="131"/>
  <c r="K104" i="131"/>
  <c r="L104" i="131"/>
  <c r="M104" i="131"/>
  <c r="N104" i="131"/>
  <c r="O104" i="131"/>
  <c r="P104" i="131"/>
  <c r="Q104" i="131"/>
  <c r="R104" i="131"/>
  <c r="S104" i="131"/>
  <c r="T104" i="131"/>
  <c r="U18" i="131"/>
  <c r="U104" i="131" l="1"/>
  <c r="H106" i="132" l="1"/>
  <c r="H97" i="132"/>
  <c r="H83" i="132"/>
  <c r="H81" i="132"/>
  <c r="H82" i="132"/>
  <c r="H80" i="132"/>
  <c r="H29" i="132"/>
  <c r="S97" i="132" l="1"/>
  <c r="P97" i="132"/>
  <c r="L97" i="132"/>
  <c r="I97" i="132"/>
  <c r="R97" i="132"/>
  <c r="J97" i="132"/>
  <c r="Q97" i="132"/>
  <c r="O97" i="132"/>
  <c r="N97" i="132"/>
  <c r="T97" i="132"/>
  <c r="M97" i="132"/>
  <c r="K97" i="132"/>
  <c r="N106" i="132"/>
  <c r="M106" i="132"/>
  <c r="L106" i="132"/>
  <c r="K106" i="132"/>
  <c r="Q106" i="132"/>
  <c r="J106" i="132"/>
  <c r="I106" i="132"/>
  <c r="S106" i="132"/>
  <c r="T106" i="132"/>
  <c r="P106" i="132"/>
  <c r="O106" i="132"/>
  <c r="R106" i="132"/>
  <c r="N80" i="132"/>
  <c r="M80" i="132"/>
  <c r="L80" i="132"/>
  <c r="K80" i="132"/>
  <c r="J80" i="132"/>
  <c r="I80" i="132"/>
  <c r="T80" i="132"/>
  <c r="Q80" i="132"/>
  <c r="S80" i="132"/>
  <c r="R80" i="132"/>
  <c r="P80" i="132"/>
  <c r="O80" i="132"/>
  <c r="N82" i="132"/>
  <c r="M82" i="132"/>
  <c r="L82" i="132"/>
  <c r="Q82" i="132"/>
  <c r="R82" i="132"/>
  <c r="K82" i="132"/>
  <c r="J82" i="132"/>
  <c r="I82" i="132"/>
  <c r="T82" i="132"/>
  <c r="S82" i="132"/>
  <c r="P82" i="132"/>
  <c r="O82" i="132"/>
  <c r="N81" i="132"/>
  <c r="M81" i="132"/>
  <c r="L81" i="132"/>
  <c r="K81" i="132"/>
  <c r="R81" i="132"/>
  <c r="Q81" i="132"/>
  <c r="J81" i="132"/>
  <c r="I81" i="132"/>
  <c r="T81" i="132"/>
  <c r="S81" i="132"/>
  <c r="P81" i="132"/>
  <c r="O81" i="132"/>
  <c r="N83" i="132"/>
  <c r="M83" i="132"/>
  <c r="L83" i="132"/>
  <c r="K83" i="132"/>
  <c r="J83" i="132"/>
  <c r="I83" i="132"/>
  <c r="T83" i="132"/>
  <c r="S83" i="132"/>
  <c r="P83" i="132"/>
  <c r="R83" i="132"/>
  <c r="Q83" i="132"/>
  <c r="O83" i="132"/>
  <c r="T37" i="125" l="1"/>
  <c r="T47" i="125" s="1"/>
  <c r="S37" i="125"/>
  <c r="S47" i="125" s="1"/>
  <c r="R37" i="125"/>
  <c r="R47" i="125" s="1"/>
  <c r="Q37" i="125"/>
  <c r="Q47" i="125" s="1"/>
  <c r="P37" i="125"/>
  <c r="P47" i="125" s="1"/>
  <c r="O37" i="125"/>
  <c r="N37" i="125"/>
  <c r="N47" i="125" s="1"/>
  <c r="M37" i="125"/>
  <c r="M47" i="125" s="1"/>
  <c r="L37" i="125"/>
  <c r="K37" i="125"/>
  <c r="K47" i="125" s="1"/>
  <c r="J37" i="125"/>
  <c r="I37" i="125"/>
  <c r="K47" i="131"/>
  <c r="L47" i="131"/>
  <c r="M47" i="131"/>
  <c r="N47" i="131"/>
  <c r="J47" i="131"/>
  <c r="I47" i="131"/>
  <c r="L47" i="125" l="1"/>
  <c r="J47" i="125"/>
  <c r="I47" i="125"/>
  <c r="O47" i="125"/>
  <c r="J65" i="124" l="1"/>
  <c r="T130" i="125" l="1"/>
  <c r="S130" i="125"/>
  <c r="R130" i="125"/>
  <c r="Q130" i="125"/>
  <c r="P130" i="125"/>
  <c r="O130" i="125"/>
  <c r="N130" i="125"/>
  <c r="M130" i="125"/>
  <c r="L130" i="125"/>
  <c r="K130" i="125"/>
  <c r="J130" i="125"/>
  <c r="I130" i="125"/>
  <c r="O64" i="125" l="1"/>
  <c r="P64" i="125"/>
  <c r="Q64" i="125"/>
  <c r="R64" i="125"/>
  <c r="S64" i="125"/>
  <c r="T64" i="125"/>
  <c r="T63" i="125"/>
  <c r="S63" i="125"/>
  <c r="R63" i="125"/>
  <c r="Q63" i="125"/>
  <c r="P63" i="125"/>
  <c r="O63" i="125"/>
  <c r="T129" i="125"/>
  <c r="S129" i="125"/>
  <c r="R129" i="125"/>
  <c r="Q129" i="125"/>
  <c r="P129" i="125"/>
  <c r="O129" i="125"/>
  <c r="N129" i="125"/>
  <c r="M129" i="125"/>
  <c r="L129" i="125"/>
  <c r="K129" i="125"/>
  <c r="J129" i="125"/>
  <c r="I129" i="125"/>
  <c r="T122" i="125"/>
  <c r="S122" i="125"/>
  <c r="R122" i="125"/>
  <c r="Q122" i="125"/>
  <c r="P122" i="125"/>
  <c r="O122" i="125"/>
  <c r="N122" i="125"/>
  <c r="M122" i="125"/>
  <c r="L122" i="125"/>
  <c r="K122" i="125"/>
  <c r="J122" i="125"/>
  <c r="I122" i="125"/>
  <c r="T123" i="125"/>
  <c r="S123" i="125"/>
  <c r="R123" i="125"/>
  <c r="Q123" i="125"/>
  <c r="P123" i="125"/>
  <c r="O123" i="125"/>
  <c r="N123" i="125"/>
  <c r="M123" i="125"/>
  <c r="L123" i="125"/>
  <c r="K123" i="125"/>
  <c r="J123" i="125"/>
  <c r="I123" i="125"/>
  <c r="T124" i="125"/>
  <c r="S124" i="125"/>
  <c r="R124" i="125"/>
  <c r="Q124" i="125"/>
  <c r="O124" i="125"/>
  <c r="P124" i="125"/>
  <c r="N124" i="125"/>
  <c r="M124" i="125"/>
  <c r="L124" i="125"/>
  <c r="K124" i="125"/>
  <c r="J124" i="125"/>
  <c r="I124" i="125"/>
  <c r="U63" i="125" l="1"/>
  <c r="F63" i="124" s="1"/>
  <c r="T105" i="125"/>
  <c r="S105" i="125"/>
  <c r="R105" i="125"/>
  <c r="Q105" i="125"/>
  <c r="P105" i="125"/>
  <c r="O105" i="125"/>
  <c r="N105" i="125"/>
  <c r="M105" i="125"/>
  <c r="L105" i="125"/>
  <c r="K105" i="125"/>
  <c r="J105" i="125"/>
  <c r="I105" i="125"/>
  <c r="T57" i="125"/>
  <c r="S57" i="125"/>
  <c r="R57" i="125"/>
  <c r="Q57" i="125"/>
  <c r="P57" i="125"/>
  <c r="O57" i="125"/>
  <c r="N57" i="125"/>
  <c r="M57" i="125"/>
  <c r="L57" i="125"/>
  <c r="K57" i="125"/>
  <c r="J57" i="125"/>
  <c r="I57" i="125"/>
  <c r="T58" i="125"/>
  <c r="S58" i="125"/>
  <c r="R58" i="125"/>
  <c r="Q58" i="125"/>
  <c r="P58" i="125"/>
  <c r="O58" i="125"/>
  <c r="N58" i="125"/>
  <c r="M58" i="125"/>
  <c r="L58" i="125"/>
  <c r="K58" i="125"/>
  <c r="J58" i="125"/>
  <c r="I58" i="125"/>
  <c r="T141" i="125"/>
  <c r="S141" i="125"/>
  <c r="R141" i="125"/>
  <c r="Q141" i="125"/>
  <c r="P141" i="125"/>
  <c r="O141" i="125"/>
  <c r="N141" i="125"/>
  <c r="M141" i="125"/>
  <c r="L141" i="125"/>
  <c r="K141" i="125"/>
  <c r="J141" i="125"/>
  <c r="I141" i="125"/>
  <c r="T62" i="125"/>
  <c r="S62" i="125"/>
  <c r="R62" i="125"/>
  <c r="Q62" i="125"/>
  <c r="P62" i="125"/>
  <c r="O62" i="125"/>
  <c r="N62" i="125"/>
  <c r="M62" i="125"/>
  <c r="L62" i="125"/>
  <c r="K62" i="125"/>
  <c r="J62" i="125"/>
  <c r="I62" i="125"/>
  <c r="I63" i="124" l="1"/>
  <c r="I65" i="124"/>
  <c r="I64" i="124"/>
  <c r="J115" i="125"/>
  <c r="K115" i="125"/>
  <c r="L115" i="125"/>
  <c r="M115" i="125"/>
  <c r="N115" i="125"/>
  <c r="O115" i="125"/>
  <c r="P115" i="125"/>
  <c r="Q115" i="125"/>
  <c r="R115" i="125"/>
  <c r="S115" i="125"/>
  <c r="T115" i="125"/>
  <c r="J116" i="125"/>
  <c r="K116" i="125"/>
  <c r="L116" i="125"/>
  <c r="M116" i="125"/>
  <c r="N116" i="125"/>
  <c r="O116" i="125"/>
  <c r="P116" i="125"/>
  <c r="Q116" i="125"/>
  <c r="R116" i="125"/>
  <c r="S116" i="125"/>
  <c r="T116" i="125"/>
  <c r="J117" i="125"/>
  <c r="K117" i="125"/>
  <c r="L117" i="125"/>
  <c r="M117" i="125"/>
  <c r="N117" i="125"/>
  <c r="O117" i="125"/>
  <c r="P117" i="125"/>
  <c r="Q117" i="125"/>
  <c r="R117" i="125"/>
  <c r="S117" i="125"/>
  <c r="T117" i="125"/>
  <c r="J118" i="125"/>
  <c r="K118" i="125"/>
  <c r="L118" i="125"/>
  <c r="M118" i="125"/>
  <c r="N118" i="125"/>
  <c r="O118" i="125"/>
  <c r="P118" i="125"/>
  <c r="Q118" i="125"/>
  <c r="R118" i="125"/>
  <c r="S118" i="125"/>
  <c r="T118" i="125"/>
  <c r="J119" i="125"/>
  <c r="K119" i="125"/>
  <c r="L119" i="125"/>
  <c r="M119" i="125"/>
  <c r="N119" i="125"/>
  <c r="O119" i="125"/>
  <c r="P119" i="125"/>
  <c r="Q119" i="125"/>
  <c r="R119" i="125"/>
  <c r="S119" i="125"/>
  <c r="T119" i="125"/>
  <c r="J120" i="125"/>
  <c r="K120" i="125"/>
  <c r="L120" i="125"/>
  <c r="M120" i="125"/>
  <c r="N120" i="125"/>
  <c r="O120" i="125"/>
  <c r="P120" i="125"/>
  <c r="Q120" i="125"/>
  <c r="R120" i="125"/>
  <c r="S120" i="125"/>
  <c r="T120" i="125"/>
  <c r="J121" i="125"/>
  <c r="K121" i="125"/>
  <c r="L121" i="125"/>
  <c r="M121" i="125"/>
  <c r="N121" i="125"/>
  <c r="O121" i="125"/>
  <c r="P121" i="125"/>
  <c r="Q121" i="125"/>
  <c r="R121" i="125"/>
  <c r="S121" i="125"/>
  <c r="T121" i="125"/>
  <c r="I116" i="125"/>
  <c r="I117" i="125"/>
  <c r="I118" i="125"/>
  <c r="I119" i="125"/>
  <c r="I120" i="125"/>
  <c r="I121" i="125"/>
  <c r="I115" i="125"/>
  <c r="G115" i="131" l="1"/>
  <c r="G116" i="131"/>
  <c r="G117" i="131"/>
  <c r="G118" i="131"/>
  <c r="G119" i="131"/>
  <c r="G120" i="131"/>
  <c r="G121" i="131"/>
  <c r="G122" i="131"/>
  <c r="G123" i="131"/>
  <c r="G124" i="131"/>
  <c r="G126" i="131"/>
  <c r="G127" i="131"/>
  <c r="G114" i="131"/>
  <c r="H105" i="131"/>
  <c r="H104" i="131"/>
  <c r="H96" i="131"/>
  <c r="H95" i="131"/>
  <c r="H79" i="131"/>
  <c r="H80" i="131"/>
  <c r="H81" i="131"/>
  <c r="H82" i="131"/>
  <c r="H78" i="131"/>
  <c r="H52" i="131"/>
  <c r="H53" i="131"/>
  <c r="H54" i="131"/>
  <c r="H55" i="131"/>
  <c r="H56" i="131"/>
  <c r="H57" i="131"/>
  <c r="H58" i="131"/>
  <c r="H59" i="131"/>
  <c r="H60" i="131"/>
  <c r="H61" i="131"/>
  <c r="H62" i="131"/>
  <c r="H64" i="131"/>
  <c r="H65" i="131"/>
  <c r="H66" i="131"/>
  <c r="H51" i="131"/>
  <c r="H30" i="131"/>
  <c r="H31" i="131"/>
  <c r="H32" i="131"/>
  <c r="H33" i="131"/>
  <c r="H34" i="131"/>
  <c r="H35" i="131"/>
  <c r="H36" i="131"/>
  <c r="G29" i="131"/>
  <c r="H29" i="131" s="1"/>
  <c r="G10" i="131"/>
  <c r="H10" i="131" s="1"/>
  <c r="G11" i="131"/>
  <c r="H11" i="131" s="1"/>
  <c r="G12" i="131"/>
  <c r="H12" i="131" s="1"/>
  <c r="G13" i="131"/>
  <c r="H13" i="131" s="1"/>
  <c r="G14" i="131"/>
  <c r="H14" i="131" s="1"/>
  <c r="G15" i="131"/>
  <c r="H15" i="131" s="1"/>
  <c r="G16" i="131"/>
  <c r="H16" i="131" s="1"/>
  <c r="G9" i="131"/>
  <c r="H9" i="131" s="1"/>
  <c r="T96" i="125"/>
  <c r="S96" i="125"/>
  <c r="R96" i="125"/>
  <c r="Q96" i="125"/>
  <c r="P96" i="125"/>
  <c r="O96" i="125"/>
  <c r="N96" i="125"/>
  <c r="M96" i="125"/>
  <c r="L96" i="125"/>
  <c r="K96" i="125"/>
  <c r="J96" i="125"/>
  <c r="I96" i="125"/>
  <c r="T97" i="125"/>
  <c r="S97" i="125"/>
  <c r="R97" i="125"/>
  <c r="Q97" i="125"/>
  <c r="P97" i="125"/>
  <c r="O97" i="125"/>
  <c r="N97" i="125"/>
  <c r="M97" i="125"/>
  <c r="K97" i="125"/>
  <c r="L97" i="125"/>
  <c r="J97" i="125"/>
  <c r="I97" i="125"/>
  <c r="T66" i="125"/>
  <c r="S66" i="125"/>
  <c r="R66" i="125"/>
  <c r="Q66" i="125"/>
  <c r="P66" i="125"/>
  <c r="O66" i="125"/>
  <c r="N66" i="125"/>
  <c r="M66" i="125"/>
  <c r="L66" i="125"/>
  <c r="K66" i="125"/>
  <c r="J66" i="125"/>
  <c r="I66" i="125"/>
  <c r="T65" i="125"/>
  <c r="S65" i="125"/>
  <c r="R65" i="125"/>
  <c r="Q65" i="125"/>
  <c r="P65" i="125"/>
  <c r="O65" i="125"/>
  <c r="N65" i="125"/>
  <c r="M65" i="125"/>
  <c r="L65" i="125"/>
  <c r="K65" i="125"/>
  <c r="J65" i="125"/>
  <c r="I65" i="125"/>
  <c r="T61" i="125" l="1"/>
  <c r="T60" i="125"/>
  <c r="S61" i="125"/>
  <c r="S60" i="125"/>
  <c r="R61" i="125"/>
  <c r="R60" i="125"/>
  <c r="Q61" i="125"/>
  <c r="Q60" i="125"/>
  <c r="P61" i="125"/>
  <c r="P60" i="125"/>
  <c r="O61" i="125"/>
  <c r="O60" i="125"/>
  <c r="N61" i="125"/>
  <c r="N60" i="125"/>
  <c r="M61" i="125"/>
  <c r="M60" i="125"/>
  <c r="L61" i="125"/>
  <c r="L60" i="125"/>
  <c r="K61" i="125"/>
  <c r="K60" i="125"/>
  <c r="J61" i="125"/>
  <c r="J60" i="125"/>
  <c r="I61" i="125"/>
  <c r="I60" i="125"/>
  <c r="T56" i="125"/>
  <c r="S56" i="125"/>
  <c r="R56" i="125"/>
  <c r="Q56" i="125"/>
  <c r="P56" i="125"/>
  <c r="O56" i="125"/>
  <c r="N56" i="125"/>
  <c r="M56" i="125"/>
  <c r="L56" i="125"/>
  <c r="K56" i="125"/>
  <c r="J56" i="125"/>
  <c r="I56" i="125"/>
  <c r="T55" i="125"/>
  <c r="T54" i="125"/>
  <c r="S55" i="125"/>
  <c r="S54" i="125"/>
  <c r="R55" i="125"/>
  <c r="R54" i="125"/>
  <c r="Q55" i="125"/>
  <c r="Q54" i="125"/>
  <c r="P55" i="125"/>
  <c r="P54" i="125"/>
  <c r="O55" i="125"/>
  <c r="O54" i="125"/>
  <c r="N55" i="125"/>
  <c r="N54" i="125"/>
  <c r="M55" i="125"/>
  <c r="M54" i="125"/>
  <c r="L55" i="125"/>
  <c r="L54" i="125"/>
  <c r="K55" i="125"/>
  <c r="K54" i="125"/>
  <c r="J55" i="125"/>
  <c r="J54" i="125"/>
  <c r="I55" i="125"/>
  <c r="I54" i="125"/>
  <c r="T53" i="125"/>
  <c r="S53" i="125"/>
  <c r="R53" i="125"/>
  <c r="Q53" i="125"/>
  <c r="P53" i="125"/>
  <c r="O53" i="125"/>
  <c r="N53" i="125"/>
  <c r="M53" i="125"/>
  <c r="L53" i="125"/>
  <c r="K53" i="125"/>
  <c r="J53" i="125"/>
  <c r="I53" i="125"/>
  <c r="T52" i="125"/>
  <c r="T51" i="125"/>
  <c r="S52" i="125"/>
  <c r="S51" i="125"/>
  <c r="R52" i="125"/>
  <c r="R51" i="125"/>
  <c r="Q52" i="125"/>
  <c r="Q51" i="125"/>
  <c r="P52" i="125"/>
  <c r="P51" i="125"/>
  <c r="O52" i="125"/>
  <c r="O51" i="125"/>
  <c r="N52" i="125"/>
  <c r="N51" i="125"/>
  <c r="M52" i="125"/>
  <c r="M51" i="125"/>
  <c r="L52" i="125"/>
  <c r="L51" i="125"/>
  <c r="K52" i="125"/>
  <c r="K51" i="125"/>
  <c r="J52" i="125"/>
  <c r="J51" i="125"/>
  <c r="I52" i="125"/>
  <c r="I51" i="125"/>
  <c r="J51" i="124"/>
  <c r="I51" i="124"/>
  <c r="T82" i="125"/>
  <c r="S82" i="125"/>
  <c r="R82" i="125"/>
  <c r="Q82" i="125"/>
  <c r="P82" i="125"/>
  <c r="O82" i="125"/>
  <c r="N82" i="125"/>
  <c r="M82" i="125"/>
  <c r="L82" i="125"/>
  <c r="K82" i="125"/>
  <c r="T79" i="125"/>
  <c r="S79" i="125"/>
  <c r="R79" i="125"/>
  <c r="Q79" i="125"/>
  <c r="P79" i="125"/>
  <c r="O79" i="125"/>
  <c r="N79" i="125"/>
  <c r="M79" i="125"/>
  <c r="L79" i="125"/>
  <c r="K79" i="125"/>
  <c r="J79" i="125"/>
  <c r="I79" i="125"/>
  <c r="T80" i="125"/>
  <c r="S80" i="125"/>
  <c r="R80" i="125"/>
  <c r="Q80" i="125"/>
  <c r="P80" i="125"/>
  <c r="O80" i="125"/>
  <c r="N80" i="125"/>
  <c r="M80" i="125"/>
  <c r="L80" i="125"/>
  <c r="K80" i="125"/>
  <c r="J80" i="125"/>
  <c r="I80" i="125"/>
  <c r="F52" i="131" l="1"/>
  <c r="F53" i="131"/>
  <c r="F54" i="131"/>
  <c r="F55" i="131"/>
  <c r="F56" i="131"/>
  <c r="F57" i="131"/>
  <c r="F58" i="131"/>
  <c r="F59" i="131"/>
  <c r="F60" i="131"/>
  <c r="F61" i="131"/>
  <c r="F62" i="131"/>
  <c r="F51" i="131"/>
  <c r="J15" i="125" l="1"/>
  <c r="K15" i="125"/>
  <c r="L15" i="125"/>
  <c r="M15" i="125"/>
  <c r="N15" i="125"/>
  <c r="O15" i="125"/>
  <c r="P15" i="125"/>
  <c r="Q15" i="125"/>
  <c r="R15" i="125"/>
  <c r="S15" i="125"/>
  <c r="T15" i="125"/>
  <c r="I15" i="125"/>
  <c r="J14" i="125"/>
  <c r="K14" i="125"/>
  <c r="L14" i="125"/>
  <c r="M14" i="125"/>
  <c r="N14" i="125"/>
  <c r="O14" i="125"/>
  <c r="P14" i="125"/>
  <c r="Q14" i="125"/>
  <c r="R14" i="125"/>
  <c r="S14" i="125"/>
  <c r="T14" i="125"/>
  <c r="I14" i="125"/>
  <c r="J13" i="125"/>
  <c r="K13" i="125"/>
  <c r="L13" i="125"/>
  <c r="M13" i="125"/>
  <c r="N13" i="125"/>
  <c r="O13" i="125"/>
  <c r="P13" i="125"/>
  <c r="Q13" i="125"/>
  <c r="R13" i="125"/>
  <c r="S13" i="125"/>
  <c r="T13" i="125"/>
  <c r="I13" i="125"/>
  <c r="J12" i="125"/>
  <c r="K12" i="125"/>
  <c r="L12" i="125"/>
  <c r="M12" i="125"/>
  <c r="N12" i="125"/>
  <c r="O12" i="125"/>
  <c r="P12" i="125"/>
  <c r="Q12" i="125"/>
  <c r="R12" i="125"/>
  <c r="S12" i="125"/>
  <c r="T12" i="125"/>
  <c r="I12" i="125"/>
  <c r="J11" i="125"/>
  <c r="K11" i="125"/>
  <c r="L11" i="125"/>
  <c r="M11" i="125"/>
  <c r="N11" i="125"/>
  <c r="O11" i="125"/>
  <c r="P11" i="125"/>
  <c r="Q11" i="125"/>
  <c r="R11" i="125"/>
  <c r="S11" i="125"/>
  <c r="T11" i="125"/>
  <c r="I11" i="125"/>
  <c r="J10" i="125"/>
  <c r="K10" i="125"/>
  <c r="L10" i="125"/>
  <c r="M10" i="125"/>
  <c r="N10" i="125"/>
  <c r="O10" i="125"/>
  <c r="P10" i="125"/>
  <c r="Q10" i="125"/>
  <c r="R10" i="125"/>
  <c r="S10" i="125"/>
  <c r="T10" i="125"/>
  <c r="I10" i="125"/>
  <c r="J9" i="125"/>
  <c r="K9" i="125"/>
  <c r="L9" i="125"/>
  <c r="M9" i="125"/>
  <c r="N9" i="125"/>
  <c r="O9" i="125"/>
  <c r="P9" i="125"/>
  <c r="Q9" i="125"/>
  <c r="R9" i="125"/>
  <c r="S9" i="125"/>
  <c r="T9" i="125"/>
  <c r="I9" i="125"/>
  <c r="H127" i="125" l="1"/>
  <c r="H116" i="125"/>
  <c r="H117" i="125"/>
  <c r="H118" i="125"/>
  <c r="H119" i="125"/>
  <c r="H120" i="125"/>
  <c r="H121" i="125"/>
  <c r="H122" i="125"/>
  <c r="H123" i="125"/>
  <c r="H124" i="125"/>
  <c r="H115" i="125"/>
  <c r="G127" i="125"/>
  <c r="G116" i="125"/>
  <c r="G117" i="125"/>
  <c r="G118" i="125"/>
  <c r="G119" i="125"/>
  <c r="G120" i="125"/>
  <c r="G121" i="125"/>
  <c r="G122" i="125"/>
  <c r="G123" i="125"/>
  <c r="G124" i="125"/>
  <c r="G115" i="125"/>
  <c r="E127" i="125"/>
  <c r="E116" i="125"/>
  <c r="E117" i="125"/>
  <c r="E118" i="125"/>
  <c r="E119" i="125"/>
  <c r="E120" i="125"/>
  <c r="E121" i="125"/>
  <c r="E122" i="125"/>
  <c r="E123" i="125"/>
  <c r="E124" i="125"/>
  <c r="E115" i="125"/>
  <c r="G106" i="125"/>
  <c r="G107" i="125"/>
  <c r="G105" i="125"/>
  <c r="E106" i="125"/>
  <c r="E107" i="125"/>
  <c r="E106" i="131" s="1"/>
  <c r="E105" i="125"/>
  <c r="G97" i="125"/>
  <c r="G96" i="125"/>
  <c r="E97" i="125"/>
  <c r="E96" i="131" s="1"/>
  <c r="E96" i="125"/>
  <c r="E95" i="131" s="1"/>
  <c r="G80" i="125"/>
  <c r="G81" i="125"/>
  <c r="H81" i="125" s="1"/>
  <c r="G82" i="125"/>
  <c r="H82" i="125" s="1"/>
  <c r="G79" i="125"/>
  <c r="H79" i="125" s="1"/>
  <c r="E80" i="125"/>
  <c r="E81" i="125"/>
  <c r="E82" i="125"/>
  <c r="E79" i="125"/>
  <c r="G66" i="125"/>
  <c r="G65" i="125"/>
  <c r="G62" i="125"/>
  <c r="G61" i="125"/>
  <c r="G60" i="125"/>
  <c r="G59" i="125"/>
  <c r="G58" i="125"/>
  <c r="G57" i="125"/>
  <c r="G52" i="125"/>
  <c r="H52" i="125" s="1"/>
  <c r="G53" i="125"/>
  <c r="H53" i="125" s="1"/>
  <c r="G54" i="125"/>
  <c r="H54" i="125" s="1"/>
  <c r="G55" i="125"/>
  <c r="H55" i="125" s="1"/>
  <c r="G56" i="125"/>
  <c r="G51" i="125"/>
  <c r="E66" i="125"/>
  <c r="E65" i="125"/>
  <c r="E61" i="125"/>
  <c r="E62" i="125"/>
  <c r="E60" i="125"/>
  <c r="E59" i="125"/>
  <c r="E58" i="125"/>
  <c r="E57" i="125"/>
  <c r="E52" i="125"/>
  <c r="E53" i="125"/>
  <c r="E54" i="125"/>
  <c r="E55" i="125"/>
  <c r="E56" i="125"/>
  <c r="E51" i="125"/>
  <c r="G32" i="125"/>
  <c r="G33" i="125"/>
  <c r="G34" i="125"/>
  <c r="G35" i="125"/>
  <c r="H35" i="125" s="1"/>
  <c r="G36" i="125"/>
  <c r="G31" i="125"/>
  <c r="G30" i="125"/>
  <c r="G29" i="125"/>
  <c r="E32" i="125"/>
  <c r="E33" i="125"/>
  <c r="E34" i="125"/>
  <c r="E35" i="125"/>
  <c r="E36" i="125"/>
  <c r="E31" i="125"/>
  <c r="E30" i="125"/>
  <c r="E29" i="125"/>
  <c r="G10" i="125"/>
  <c r="H10" i="125" s="1"/>
  <c r="G11" i="125"/>
  <c r="H11" i="125" s="1"/>
  <c r="G12" i="125"/>
  <c r="H12" i="125" s="1"/>
  <c r="G13" i="125"/>
  <c r="H13" i="125" s="1"/>
  <c r="G14" i="125"/>
  <c r="H14" i="125" s="1"/>
  <c r="G15" i="125"/>
  <c r="H15" i="125" s="1"/>
  <c r="G16" i="125"/>
  <c r="G9" i="125"/>
  <c r="E10" i="125"/>
  <c r="E11" i="125"/>
  <c r="E12" i="125"/>
  <c r="E13" i="125"/>
  <c r="E14" i="125"/>
  <c r="E15" i="125"/>
  <c r="E16" i="125"/>
  <c r="E9" i="125"/>
  <c r="E102" i="131" l="1"/>
  <c r="H80" i="125"/>
  <c r="H96" i="125"/>
  <c r="H97" i="125"/>
  <c r="H29" i="125"/>
  <c r="H51" i="125"/>
  <c r="H36" i="125"/>
  <c r="H62" i="125"/>
  <c r="H61" i="125"/>
  <c r="H34" i="125"/>
  <c r="H60" i="125"/>
  <c r="H33" i="125"/>
  <c r="H59" i="125"/>
  <c r="H9" i="125"/>
  <c r="H32" i="125"/>
  <c r="H58" i="125"/>
  <c r="H31" i="125"/>
  <c r="H57" i="125"/>
  <c r="H30" i="125"/>
  <c r="H56" i="125"/>
  <c r="H123" i="124"/>
  <c r="E107" i="124"/>
  <c r="E106" i="124"/>
  <c r="E105" i="124"/>
  <c r="E97" i="124"/>
  <c r="E96" i="124"/>
  <c r="E82" i="124"/>
  <c r="E81" i="124"/>
  <c r="E80" i="124"/>
  <c r="E79" i="124"/>
  <c r="E66" i="124"/>
  <c r="E65" i="124"/>
  <c r="E62" i="124"/>
  <c r="E61" i="124"/>
  <c r="E60" i="124"/>
  <c r="E59" i="124"/>
  <c r="E58" i="124"/>
  <c r="E57" i="124"/>
  <c r="E56" i="124"/>
  <c r="E55" i="124"/>
  <c r="E54" i="124"/>
  <c r="E53" i="124"/>
  <c r="E52" i="124"/>
  <c r="E51" i="124"/>
  <c r="E36" i="124"/>
  <c r="E35" i="124"/>
  <c r="E34" i="124"/>
  <c r="E33" i="124"/>
  <c r="E32" i="124"/>
  <c r="E31" i="124"/>
  <c r="E30" i="124"/>
  <c r="E29" i="124"/>
  <c r="E16" i="124"/>
  <c r="E15" i="124"/>
  <c r="E14" i="124"/>
  <c r="E13" i="124"/>
  <c r="E12" i="124"/>
  <c r="E11" i="124"/>
  <c r="E10" i="124"/>
  <c r="E9" i="124"/>
  <c r="F155" i="131" l="1"/>
  <c r="G155" i="131"/>
  <c r="H155" i="131"/>
  <c r="I155" i="131"/>
  <c r="J155" i="131"/>
  <c r="K155" i="131"/>
  <c r="L155" i="131"/>
  <c r="M155" i="131"/>
  <c r="N155" i="131"/>
  <c r="O155" i="131"/>
  <c r="P155" i="131"/>
  <c r="Q155" i="131"/>
  <c r="R155" i="131"/>
  <c r="S155" i="131"/>
  <c r="T155" i="131"/>
  <c r="F157" i="132"/>
  <c r="G157" i="132"/>
  <c r="H157" i="132"/>
  <c r="F156" i="134"/>
  <c r="G156" i="134"/>
  <c r="H156" i="134"/>
  <c r="F156" i="135"/>
  <c r="G156" i="135"/>
  <c r="H156" i="135"/>
  <c r="F156" i="136"/>
  <c r="G156" i="136"/>
  <c r="H156" i="136"/>
  <c r="I156" i="136"/>
  <c r="J156" i="136"/>
  <c r="K156" i="136"/>
  <c r="L156" i="136"/>
  <c r="M156" i="136"/>
  <c r="N156" i="136"/>
  <c r="O156" i="136"/>
  <c r="P156" i="136"/>
  <c r="Q156" i="136"/>
  <c r="R156" i="136"/>
  <c r="S156" i="136"/>
  <c r="T156" i="136"/>
  <c r="F156" i="125"/>
  <c r="G156" i="125"/>
  <c r="H156" i="125"/>
  <c r="I156" i="125"/>
  <c r="J156" i="125"/>
  <c r="K156" i="125"/>
  <c r="L156" i="125"/>
  <c r="M156" i="125"/>
  <c r="N156" i="125"/>
  <c r="O156" i="125"/>
  <c r="P156" i="125"/>
  <c r="Q156" i="125"/>
  <c r="R156" i="125"/>
  <c r="S156" i="125"/>
  <c r="T156" i="125"/>
  <c r="E155" i="131"/>
  <c r="E157" i="132"/>
  <c r="E156" i="134"/>
  <c r="E156" i="135"/>
  <c r="E156" i="136"/>
  <c r="E156" i="125"/>
  <c r="F151" i="131"/>
  <c r="G151" i="131"/>
  <c r="H151" i="131"/>
  <c r="I151" i="131"/>
  <c r="J151" i="131"/>
  <c r="K151" i="131"/>
  <c r="L151" i="131"/>
  <c r="M151" i="131"/>
  <c r="N151" i="131"/>
  <c r="O151" i="131"/>
  <c r="P151" i="131"/>
  <c r="Q151" i="131"/>
  <c r="R151" i="131"/>
  <c r="S151" i="131"/>
  <c r="T151" i="131"/>
  <c r="F153" i="132"/>
  <c r="G153" i="132"/>
  <c r="H153" i="132"/>
  <c r="F152" i="134"/>
  <c r="G152" i="134"/>
  <c r="H152" i="134"/>
  <c r="F152" i="135"/>
  <c r="G152" i="135"/>
  <c r="H152" i="135"/>
  <c r="F152" i="136"/>
  <c r="G152" i="136"/>
  <c r="H152" i="136"/>
  <c r="I152" i="136"/>
  <c r="J152" i="136"/>
  <c r="K152" i="136"/>
  <c r="L152" i="136"/>
  <c r="M152" i="136"/>
  <c r="N152" i="136"/>
  <c r="O152" i="136"/>
  <c r="P152" i="136"/>
  <c r="Q152" i="136"/>
  <c r="R152" i="136"/>
  <c r="S152" i="136"/>
  <c r="T152" i="136"/>
  <c r="F152" i="125"/>
  <c r="G152" i="125"/>
  <c r="H152" i="125"/>
  <c r="I152" i="125"/>
  <c r="J152" i="125"/>
  <c r="K152" i="125"/>
  <c r="L152" i="125"/>
  <c r="M152" i="125"/>
  <c r="N152" i="125"/>
  <c r="O152" i="125"/>
  <c r="P152" i="125"/>
  <c r="Q152" i="125"/>
  <c r="R152" i="125"/>
  <c r="S152" i="125"/>
  <c r="T152" i="125"/>
  <c r="E151" i="131"/>
  <c r="E153" i="132"/>
  <c r="E152" i="134"/>
  <c r="E152" i="135"/>
  <c r="E152" i="136"/>
  <c r="E152" i="125"/>
  <c r="F138" i="131"/>
  <c r="G138" i="131"/>
  <c r="H138" i="131"/>
  <c r="I138" i="131"/>
  <c r="J138" i="131"/>
  <c r="K138" i="131"/>
  <c r="L138" i="131"/>
  <c r="M138" i="131"/>
  <c r="N138" i="131"/>
  <c r="O138" i="131"/>
  <c r="P138" i="131"/>
  <c r="Q138" i="131"/>
  <c r="R138" i="131"/>
  <c r="S138" i="131"/>
  <c r="T138" i="131"/>
  <c r="F140" i="132"/>
  <c r="G140" i="132"/>
  <c r="H140" i="132"/>
  <c r="F139" i="134"/>
  <c r="G139" i="134"/>
  <c r="H139" i="134"/>
  <c r="I139" i="134"/>
  <c r="J139" i="134"/>
  <c r="K139" i="134"/>
  <c r="L139" i="134"/>
  <c r="M139" i="134"/>
  <c r="N139" i="134"/>
  <c r="O139" i="134"/>
  <c r="P139" i="134"/>
  <c r="Q139" i="134"/>
  <c r="R139" i="134"/>
  <c r="S139" i="134"/>
  <c r="T139" i="134"/>
  <c r="F139" i="135"/>
  <c r="G139" i="135"/>
  <c r="H139" i="135"/>
  <c r="I139" i="135"/>
  <c r="J139" i="135"/>
  <c r="K139" i="135"/>
  <c r="L139" i="135"/>
  <c r="M139" i="135"/>
  <c r="N139" i="135"/>
  <c r="O139" i="135"/>
  <c r="P139" i="135"/>
  <c r="Q139" i="135"/>
  <c r="R139" i="135"/>
  <c r="S139" i="135"/>
  <c r="T139" i="135"/>
  <c r="F139" i="136"/>
  <c r="G139" i="136"/>
  <c r="H139" i="136"/>
  <c r="I139" i="136"/>
  <c r="J139" i="136"/>
  <c r="K139" i="136"/>
  <c r="L139" i="136"/>
  <c r="M139" i="136"/>
  <c r="N139" i="136"/>
  <c r="O139" i="136"/>
  <c r="P139" i="136"/>
  <c r="Q139" i="136"/>
  <c r="R139" i="136"/>
  <c r="S139" i="136"/>
  <c r="T139" i="136"/>
  <c r="F139" i="125"/>
  <c r="G139" i="125"/>
  <c r="H139" i="125"/>
  <c r="I139" i="125"/>
  <c r="J139" i="125"/>
  <c r="K139" i="125"/>
  <c r="L139" i="125"/>
  <c r="M139" i="125"/>
  <c r="N139" i="125"/>
  <c r="O139" i="125"/>
  <c r="P139" i="125"/>
  <c r="Q139" i="125"/>
  <c r="R139" i="125"/>
  <c r="S139" i="125"/>
  <c r="T139" i="125"/>
  <c r="E138" i="131"/>
  <c r="E140" i="132"/>
  <c r="E139" i="134"/>
  <c r="E139" i="135"/>
  <c r="E139" i="136"/>
  <c r="E139" i="125"/>
  <c r="F112" i="131"/>
  <c r="G112" i="131"/>
  <c r="H112" i="131"/>
  <c r="I112" i="131"/>
  <c r="J112" i="131"/>
  <c r="K112" i="131"/>
  <c r="L112" i="131"/>
  <c r="M112" i="131"/>
  <c r="N112" i="131"/>
  <c r="O112" i="131"/>
  <c r="P112" i="131"/>
  <c r="Q112" i="131"/>
  <c r="R112" i="131"/>
  <c r="S112" i="131"/>
  <c r="T112" i="131"/>
  <c r="F114" i="132"/>
  <c r="G114" i="132"/>
  <c r="H114" i="132"/>
  <c r="I114" i="132"/>
  <c r="J114" i="132"/>
  <c r="K114" i="132"/>
  <c r="L114" i="132"/>
  <c r="M114" i="132"/>
  <c r="N114" i="132"/>
  <c r="O114" i="132"/>
  <c r="P114" i="132"/>
  <c r="Q114" i="132"/>
  <c r="R114" i="132"/>
  <c r="S114" i="132"/>
  <c r="T114" i="132"/>
  <c r="F113" i="134"/>
  <c r="G113" i="134"/>
  <c r="H113" i="134"/>
  <c r="I113" i="134"/>
  <c r="J113" i="134"/>
  <c r="K113" i="134"/>
  <c r="L113" i="134"/>
  <c r="M113" i="134"/>
  <c r="N113" i="134"/>
  <c r="O113" i="134"/>
  <c r="P113" i="134"/>
  <c r="Q113" i="134"/>
  <c r="R113" i="134"/>
  <c r="S113" i="134"/>
  <c r="T113" i="134"/>
  <c r="F113" i="135"/>
  <c r="G113" i="135"/>
  <c r="H113" i="135"/>
  <c r="I113" i="135"/>
  <c r="J113" i="135"/>
  <c r="K113" i="135"/>
  <c r="L113" i="135"/>
  <c r="M113" i="135"/>
  <c r="N113" i="135"/>
  <c r="O113" i="135"/>
  <c r="P113" i="135"/>
  <c r="Q113" i="135"/>
  <c r="R113" i="135"/>
  <c r="S113" i="135"/>
  <c r="T113" i="135"/>
  <c r="F113" i="136"/>
  <c r="G113" i="136"/>
  <c r="H113" i="136"/>
  <c r="I113" i="136"/>
  <c r="J113" i="136"/>
  <c r="K113" i="136"/>
  <c r="L113" i="136"/>
  <c r="M113" i="136"/>
  <c r="N113" i="136"/>
  <c r="O113" i="136"/>
  <c r="P113" i="136"/>
  <c r="Q113" i="136"/>
  <c r="R113" i="136"/>
  <c r="S113" i="136"/>
  <c r="T113" i="136"/>
  <c r="F113" i="125"/>
  <c r="G113" i="125"/>
  <c r="H113" i="125"/>
  <c r="I113" i="125"/>
  <c r="J113" i="125"/>
  <c r="K113" i="125"/>
  <c r="L113" i="125"/>
  <c r="M113" i="125"/>
  <c r="N113" i="125"/>
  <c r="O113" i="125"/>
  <c r="P113" i="125"/>
  <c r="Q113" i="125"/>
  <c r="R113" i="125"/>
  <c r="S113" i="125"/>
  <c r="T113" i="125"/>
  <c r="E112" i="131"/>
  <c r="E114" i="132"/>
  <c r="E113" i="134"/>
  <c r="E113" i="135"/>
  <c r="E113" i="136"/>
  <c r="E113" i="125"/>
  <c r="F102" i="131"/>
  <c r="G102" i="131"/>
  <c r="H102" i="131"/>
  <c r="I102" i="131"/>
  <c r="J102" i="131"/>
  <c r="K102" i="131"/>
  <c r="L102" i="131"/>
  <c r="M102" i="131"/>
  <c r="N102" i="131"/>
  <c r="O102" i="131"/>
  <c r="P102" i="131"/>
  <c r="Q102" i="131"/>
  <c r="R102" i="131"/>
  <c r="S102" i="131"/>
  <c r="T102" i="131"/>
  <c r="F104" i="132"/>
  <c r="G104" i="132"/>
  <c r="H104" i="132"/>
  <c r="I104" i="132"/>
  <c r="J104" i="132"/>
  <c r="K104" i="132"/>
  <c r="L104" i="132"/>
  <c r="M104" i="132"/>
  <c r="N104" i="132"/>
  <c r="O104" i="132"/>
  <c r="P104" i="132"/>
  <c r="Q104" i="132"/>
  <c r="R104" i="132"/>
  <c r="S104" i="132"/>
  <c r="T104" i="132"/>
  <c r="F103" i="134"/>
  <c r="G103" i="134"/>
  <c r="H103" i="134"/>
  <c r="I103" i="134"/>
  <c r="J103" i="134"/>
  <c r="K103" i="134"/>
  <c r="L103" i="134"/>
  <c r="M103" i="134"/>
  <c r="N103" i="134"/>
  <c r="O103" i="134"/>
  <c r="P103" i="134"/>
  <c r="Q103" i="134"/>
  <c r="R103" i="134"/>
  <c r="S103" i="134"/>
  <c r="T103" i="134"/>
  <c r="F103" i="135"/>
  <c r="G103" i="135"/>
  <c r="H103" i="135"/>
  <c r="I103" i="135"/>
  <c r="J103" i="135"/>
  <c r="K103" i="135"/>
  <c r="L103" i="135"/>
  <c r="M103" i="135"/>
  <c r="N103" i="135"/>
  <c r="O103" i="135"/>
  <c r="P103" i="135"/>
  <c r="Q103" i="135"/>
  <c r="R103" i="135"/>
  <c r="S103" i="135"/>
  <c r="T103" i="135"/>
  <c r="F103" i="136"/>
  <c r="G103" i="136"/>
  <c r="H103" i="136"/>
  <c r="I103" i="136"/>
  <c r="J103" i="136"/>
  <c r="K103" i="136"/>
  <c r="L103" i="136"/>
  <c r="M103" i="136"/>
  <c r="N103" i="136"/>
  <c r="O103" i="136"/>
  <c r="P103" i="136"/>
  <c r="Q103" i="136"/>
  <c r="R103" i="136"/>
  <c r="S103" i="136"/>
  <c r="T103" i="136"/>
  <c r="F103" i="125"/>
  <c r="G103" i="125"/>
  <c r="H103" i="125"/>
  <c r="I103" i="125"/>
  <c r="J103" i="125"/>
  <c r="K103" i="125"/>
  <c r="L103" i="125"/>
  <c r="M103" i="125"/>
  <c r="N103" i="125"/>
  <c r="O103" i="125"/>
  <c r="P103" i="125"/>
  <c r="Q103" i="125"/>
  <c r="R103" i="125"/>
  <c r="S103" i="125"/>
  <c r="T103" i="125"/>
  <c r="E104" i="132"/>
  <c r="E103" i="134"/>
  <c r="E103" i="135"/>
  <c r="E103" i="136"/>
  <c r="E103" i="125"/>
  <c r="F92" i="131"/>
  <c r="G92" i="131"/>
  <c r="H92" i="131"/>
  <c r="I92" i="131"/>
  <c r="J92" i="131"/>
  <c r="K92" i="131"/>
  <c r="L92" i="131"/>
  <c r="M92" i="131"/>
  <c r="N92" i="131"/>
  <c r="O92" i="131"/>
  <c r="P92" i="131"/>
  <c r="Q92" i="131"/>
  <c r="R92" i="131"/>
  <c r="S92" i="131"/>
  <c r="T92" i="131"/>
  <c r="F94" i="132"/>
  <c r="G94" i="132"/>
  <c r="H94" i="132"/>
  <c r="I94" i="132"/>
  <c r="J94" i="132"/>
  <c r="K94" i="132"/>
  <c r="L94" i="132"/>
  <c r="M94" i="132"/>
  <c r="N94" i="132"/>
  <c r="O94" i="132"/>
  <c r="P94" i="132"/>
  <c r="Q94" i="132"/>
  <c r="R94" i="132"/>
  <c r="S94" i="132"/>
  <c r="T94" i="132"/>
  <c r="F93" i="134"/>
  <c r="G93" i="134"/>
  <c r="H93" i="134"/>
  <c r="I93" i="134"/>
  <c r="J93" i="134"/>
  <c r="K93" i="134"/>
  <c r="L93" i="134"/>
  <c r="M93" i="134"/>
  <c r="N93" i="134"/>
  <c r="O93" i="134"/>
  <c r="P93" i="134"/>
  <c r="Q93" i="134"/>
  <c r="R93" i="134"/>
  <c r="S93" i="134"/>
  <c r="T93" i="134"/>
  <c r="F93" i="135"/>
  <c r="G93" i="135"/>
  <c r="H93" i="135"/>
  <c r="I93" i="135"/>
  <c r="J93" i="135"/>
  <c r="K93" i="135"/>
  <c r="L93" i="135"/>
  <c r="M93" i="135"/>
  <c r="N93" i="135"/>
  <c r="O93" i="135"/>
  <c r="P93" i="135"/>
  <c r="Q93" i="135"/>
  <c r="R93" i="135"/>
  <c r="S93" i="135"/>
  <c r="T93" i="135"/>
  <c r="F93" i="136"/>
  <c r="G93" i="136"/>
  <c r="H93" i="136"/>
  <c r="I93" i="136"/>
  <c r="J93" i="136"/>
  <c r="K93" i="136"/>
  <c r="L93" i="136"/>
  <c r="M93" i="136"/>
  <c r="N93" i="136"/>
  <c r="O93" i="136"/>
  <c r="P93" i="136"/>
  <c r="Q93" i="136"/>
  <c r="R93" i="136"/>
  <c r="S93" i="136"/>
  <c r="T93" i="136"/>
  <c r="F93" i="125"/>
  <c r="G93" i="125"/>
  <c r="H93" i="125"/>
  <c r="I93" i="125"/>
  <c r="J93" i="125"/>
  <c r="K93" i="125"/>
  <c r="L93" i="125"/>
  <c r="M93" i="125"/>
  <c r="N93" i="125"/>
  <c r="O93" i="125"/>
  <c r="P93" i="125"/>
  <c r="Q93" i="125"/>
  <c r="R93" i="125"/>
  <c r="S93" i="125"/>
  <c r="T93" i="125"/>
  <c r="E92" i="131"/>
  <c r="E94" i="132"/>
  <c r="E93" i="134"/>
  <c r="E93" i="135"/>
  <c r="E93" i="136"/>
  <c r="E93" i="125"/>
  <c r="F76" i="131"/>
  <c r="G76" i="131"/>
  <c r="H76" i="131"/>
  <c r="I76" i="131"/>
  <c r="J76" i="131"/>
  <c r="K76" i="131"/>
  <c r="L76" i="131"/>
  <c r="M76" i="131"/>
  <c r="N76" i="131"/>
  <c r="O76" i="131"/>
  <c r="P76" i="131"/>
  <c r="F78" i="132"/>
  <c r="F95" i="132" s="1"/>
  <c r="G78" i="132"/>
  <c r="H78" i="132"/>
  <c r="I78" i="132"/>
  <c r="J78" i="132"/>
  <c r="K78" i="132"/>
  <c r="L78" i="132"/>
  <c r="M78" i="132"/>
  <c r="N78" i="132"/>
  <c r="O78" i="132"/>
  <c r="P78" i="132"/>
  <c r="Q78" i="132"/>
  <c r="R78" i="132"/>
  <c r="S78" i="132"/>
  <c r="S95" i="132" s="1"/>
  <c r="T78" i="132"/>
  <c r="F77" i="134"/>
  <c r="G77" i="134"/>
  <c r="H77" i="134"/>
  <c r="I77" i="134"/>
  <c r="J77" i="134"/>
  <c r="J94" i="134" s="1"/>
  <c r="K77" i="134"/>
  <c r="L77" i="134"/>
  <c r="M77" i="134"/>
  <c r="N77" i="134"/>
  <c r="O77" i="134"/>
  <c r="P77" i="134"/>
  <c r="P94" i="134" s="1"/>
  <c r="Q77" i="134"/>
  <c r="R77" i="134"/>
  <c r="S77" i="134"/>
  <c r="T77" i="134"/>
  <c r="F77" i="135"/>
  <c r="F94" i="135" s="1"/>
  <c r="G77" i="135"/>
  <c r="G94" i="135" s="1"/>
  <c r="H77" i="135"/>
  <c r="I77" i="135"/>
  <c r="I94" i="135" s="1"/>
  <c r="J77" i="135"/>
  <c r="K77" i="135"/>
  <c r="K94" i="135" s="1"/>
  <c r="L77" i="135"/>
  <c r="M77" i="135"/>
  <c r="N77" i="135"/>
  <c r="O77" i="135"/>
  <c r="O94" i="135" s="1"/>
  <c r="P77" i="135"/>
  <c r="Q77" i="135"/>
  <c r="R77" i="135"/>
  <c r="S77" i="135"/>
  <c r="T77" i="135"/>
  <c r="F77" i="136"/>
  <c r="G77" i="136"/>
  <c r="H77" i="136"/>
  <c r="H94" i="136" s="1"/>
  <c r="I77" i="136"/>
  <c r="J77" i="136"/>
  <c r="K77" i="136"/>
  <c r="L77" i="136"/>
  <c r="M77" i="136"/>
  <c r="N77" i="136"/>
  <c r="O77" i="136"/>
  <c r="P77" i="136"/>
  <c r="Q77" i="136"/>
  <c r="R77" i="136"/>
  <c r="S77" i="136"/>
  <c r="T77" i="136"/>
  <c r="T94" i="136" s="1"/>
  <c r="F77" i="125"/>
  <c r="F94" i="125" s="1"/>
  <c r="G77" i="125"/>
  <c r="H77" i="125"/>
  <c r="I77" i="125"/>
  <c r="J77" i="125"/>
  <c r="K77" i="125"/>
  <c r="L77" i="125"/>
  <c r="M77" i="125"/>
  <c r="N77" i="125"/>
  <c r="O77" i="125"/>
  <c r="P77" i="125"/>
  <c r="Q77" i="125"/>
  <c r="R77" i="125"/>
  <c r="S77" i="125"/>
  <c r="T77" i="125"/>
  <c r="E76" i="131"/>
  <c r="E78" i="132"/>
  <c r="E95" i="132" s="1"/>
  <c r="E77" i="134"/>
  <c r="E77" i="135"/>
  <c r="E94" i="135" s="1"/>
  <c r="E77" i="136"/>
  <c r="E77" i="125"/>
  <c r="F47" i="131"/>
  <c r="G47" i="131"/>
  <c r="H47" i="131"/>
  <c r="F47" i="132"/>
  <c r="G47" i="132"/>
  <c r="H47" i="132"/>
  <c r="F47" i="134"/>
  <c r="G47" i="134"/>
  <c r="H47" i="134"/>
  <c r="I47" i="134"/>
  <c r="J47" i="134"/>
  <c r="K47" i="134"/>
  <c r="L47" i="134"/>
  <c r="M47" i="134"/>
  <c r="N47" i="134"/>
  <c r="O47" i="134"/>
  <c r="P47" i="134"/>
  <c r="Q47" i="134"/>
  <c r="R47" i="134"/>
  <c r="S47" i="134"/>
  <c r="T47" i="134"/>
  <c r="F47" i="135"/>
  <c r="G47" i="135"/>
  <c r="H47" i="135"/>
  <c r="I47" i="135"/>
  <c r="J47" i="135"/>
  <c r="K47" i="135"/>
  <c r="L47" i="135"/>
  <c r="M47" i="135"/>
  <c r="N47" i="135"/>
  <c r="O47" i="135"/>
  <c r="P47" i="135"/>
  <c r="Q47" i="135"/>
  <c r="R47" i="135"/>
  <c r="S47" i="135"/>
  <c r="T47" i="135"/>
  <c r="F47" i="136"/>
  <c r="G47" i="136"/>
  <c r="H47" i="136"/>
  <c r="I47" i="136"/>
  <c r="J47" i="136"/>
  <c r="K47" i="136"/>
  <c r="L47" i="136"/>
  <c r="M47" i="136"/>
  <c r="N47" i="136"/>
  <c r="O47" i="136"/>
  <c r="P47" i="136"/>
  <c r="Q47" i="136"/>
  <c r="R47" i="136"/>
  <c r="S47" i="136"/>
  <c r="T47" i="136"/>
  <c r="F47" i="125"/>
  <c r="G47" i="125"/>
  <c r="H47" i="125"/>
  <c r="E47" i="131"/>
  <c r="E47" i="132"/>
  <c r="E47" i="134"/>
  <c r="E47" i="135"/>
  <c r="E47" i="136"/>
  <c r="E47" i="125"/>
  <c r="F27" i="131"/>
  <c r="G27" i="131"/>
  <c r="H27" i="131"/>
  <c r="I27" i="131"/>
  <c r="I48" i="131" s="1"/>
  <c r="J27" i="131"/>
  <c r="J48" i="131" s="1"/>
  <c r="K27" i="131"/>
  <c r="K48" i="131" s="1"/>
  <c r="L27" i="131"/>
  <c r="M27" i="131"/>
  <c r="M48" i="131" s="1"/>
  <c r="N27" i="131"/>
  <c r="N48" i="131" s="1"/>
  <c r="O27" i="131"/>
  <c r="P27" i="131"/>
  <c r="F27" i="132"/>
  <c r="G27" i="132"/>
  <c r="H27" i="132"/>
  <c r="I27" i="132"/>
  <c r="J27" i="132"/>
  <c r="K27" i="132"/>
  <c r="L27" i="132"/>
  <c r="M27" i="132"/>
  <c r="N27" i="132"/>
  <c r="O27" i="132"/>
  <c r="P27" i="132"/>
  <c r="Q27" i="132"/>
  <c r="R27" i="132"/>
  <c r="S27" i="132"/>
  <c r="T27" i="132"/>
  <c r="F27" i="134"/>
  <c r="F48" i="134" s="1"/>
  <c r="G27" i="134"/>
  <c r="H27" i="134"/>
  <c r="H48" i="134" s="1"/>
  <c r="I27" i="134"/>
  <c r="J27" i="134"/>
  <c r="K27" i="134"/>
  <c r="L27" i="134"/>
  <c r="M27" i="134"/>
  <c r="N27" i="134"/>
  <c r="O27" i="134"/>
  <c r="P27" i="134"/>
  <c r="Q27" i="134"/>
  <c r="R27" i="134"/>
  <c r="S27" i="134"/>
  <c r="T27" i="134"/>
  <c r="F27" i="135"/>
  <c r="F48" i="135" s="1"/>
  <c r="G27" i="135"/>
  <c r="H27" i="135"/>
  <c r="I27" i="135"/>
  <c r="J27" i="135"/>
  <c r="K27" i="135"/>
  <c r="L27" i="135"/>
  <c r="M27" i="135"/>
  <c r="N27" i="135"/>
  <c r="O27" i="135"/>
  <c r="P27" i="135"/>
  <c r="Q27" i="135"/>
  <c r="R27" i="135"/>
  <c r="S27" i="135"/>
  <c r="T27" i="135"/>
  <c r="F27" i="136"/>
  <c r="F48" i="136" s="1"/>
  <c r="G27" i="136"/>
  <c r="G48" i="136" s="1"/>
  <c r="H27" i="136"/>
  <c r="H48" i="136" s="1"/>
  <c r="I27" i="136"/>
  <c r="J27" i="136"/>
  <c r="K27" i="136"/>
  <c r="L27" i="136"/>
  <c r="M27" i="136"/>
  <c r="N27" i="136"/>
  <c r="O27" i="136"/>
  <c r="P27" i="136"/>
  <c r="Q27" i="136"/>
  <c r="R27" i="136"/>
  <c r="S27" i="136"/>
  <c r="T27" i="136"/>
  <c r="F27" i="125"/>
  <c r="G27" i="125"/>
  <c r="H27" i="125"/>
  <c r="I27" i="125"/>
  <c r="I48" i="125" s="1"/>
  <c r="J27" i="125"/>
  <c r="J48" i="125" s="1"/>
  <c r="K27" i="125"/>
  <c r="K48" i="125" s="1"/>
  <c r="L27" i="125"/>
  <c r="L48" i="125" s="1"/>
  <c r="M27" i="125"/>
  <c r="M48" i="125" s="1"/>
  <c r="N27" i="125"/>
  <c r="N48" i="125" s="1"/>
  <c r="O27" i="125"/>
  <c r="O48" i="125" s="1"/>
  <c r="P27" i="125"/>
  <c r="P48" i="125" s="1"/>
  <c r="Q27" i="125"/>
  <c r="Q48" i="125" s="1"/>
  <c r="R27" i="125"/>
  <c r="R48" i="125" s="1"/>
  <c r="S27" i="125"/>
  <c r="S48" i="125" s="1"/>
  <c r="T27" i="125"/>
  <c r="T48" i="125" s="1"/>
  <c r="E27" i="131"/>
  <c r="E27" i="132"/>
  <c r="E27" i="134"/>
  <c r="E27" i="135"/>
  <c r="E27" i="136"/>
  <c r="E27" i="125"/>
  <c r="R94" i="136" l="1"/>
  <c r="J94" i="136"/>
  <c r="O94" i="134"/>
  <c r="L95" i="132"/>
  <c r="I94" i="136"/>
  <c r="N94" i="134"/>
  <c r="H94" i="134"/>
  <c r="E94" i="136"/>
  <c r="P94" i="135"/>
  <c r="Q94" i="135"/>
  <c r="T94" i="134"/>
  <c r="R94" i="135"/>
  <c r="J94" i="135"/>
  <c r="Q94" i="134"/>
  <c r="I94" i="134"/>
  <c r="N94" i="136"/>
  <c r="E94" i="134"/>
  <c r="O94" i="136"/>
  <c r="N94" i="135"/>
  <c r="M94" i="134"/>
  <c r="M94" i="136"/>
  <c r="T94" i="135"/>
  <c r="S94" i="134"/>
  <c r="Q94" i="136"/>
  <c r="T48" i="134"/>
  <c r="K94" i="134"/>
  <c r="R94" i="134"/>
  <c r="L48" i="134"/>
  <c r="U152" i="136"/>
  <c r="P94" i="136"/>
  <c r="H94" i="135"/>
  <c r="S94" i="135"/>
  <c r="N95" i="132"/>
  <c r="M95" i="132"/>
  <c r="K95" i="132"/>
  <c r="T95" i="132"/>
  <c r="G95" i="132"/>
  <c r="F48" i="132"/>
  <c r="F158" i="132" s="1"/>
  <c r="J48" i="135"/>
  <c r="T48" i="135"/>
  <c r="L48" i="136"/>
  <c r="S48" i="135"/>
  <c r="R48" i="135"/>
  <c r="O48" i="134"/>
  <c r="N48" i="135"/>
  <c r="T48" i="136"/>
  <c r="T157" i="136" s="1"/>
  <c r="J48" i="134"/>
  <c r="P48" i="136"/>
  <c r="S48" i="136"/>
  <c r="K48" i="136"/>
  <c r="R48" i="134"/>
  <c r="N48" i="134"/>
  <c r="P48" i="135"/>
  <c r="S48" i="134"/>
  <c r="I48" i="134"/>
  <c r="P48" i="134"/>
  <c r="N48" i="136"/>
  <c r="J48" i="136"/>
  <c r="J157" i="136" s="1"/>
  <c r="O48" i="135"/>
  <c r="M48" i="135"/>
  <c r="M48" i="136"/>
  <c r="Q48" i="136"/>
  <c r="Q48" i="134"/>
  <c r="K48" i="134"/>
  <c r="K48" i="135"/>
  <c r="L48" i="135"/>
  <c r="I48" i="136"/>
  <c r="I157" i="136" s="1"/>
  <c r="M48" i="134"/>
  <c r="Q48" i="135"/>
  <c r="O48" i="136"/>
  <c r="R48" i="136"/>
  <c r="R157" i="136" s="1"/>
  <c r="I48" i="135"/>
  <c r="S94" i="136"/>
  <c r="K94" i="136"/>
  <c r="H48" i="135"/>
  <c r="M94" i="135"/>
  <c r="L94" i="134"/>
  <c r="R95" i="132"/>
  <c r="J95" i="132"/>
  <c r="L94" i="135"/>
  <c r="Q95" i="132"/>
  <c r="I95" i="132"/>
  <c r="L94" i="136"/>
  <c r="P95" i="132"/>
  <c r="H95" i="132"/>
  <c r="E48" i="134"/>
  <c r="E157" i="134" s="1"/>
  <c r="G94" i="136"/>
  <c r="G157" i="136" s="1"/>
  <c r="F94" i="136"/>
  <c r="F157" i="136" s="1"/>
  <c r="F94" i="134"/>
  <c r="F157" i="134" s="1"/>
  <c r="G94" i="134"/>
  <c r="H157" i="136"/>
  <c r="H157" i="134"/>
  <c r="E48" i="136"/>
  <c r="G48" i="135"/>
  <c r="G157" i="135" s="1"/>
  <c r="E48" i="135"/>
  <c r="E157" i="135" s="1"/>
  <c r="G48" i="134"/>
  <c r="F93" i="131"/>
  <c r="F48" i="131"/>
  <c r="F157" i="135"/>
  <c r="M93" i="131"/>
  <c r="M156" i="131" s="1"/>
  <c r="F48" i="125"/>
  <c r="F157" i="125" s="1"/>
  <c r="H48" i="132"/>
  <c r="G48" i="132"/>
  <c r="E48" i="132"/>
  <c r="E158" i="132" s="1"/>
  <c r="O95" i="132"/>
  <c r="H94" i="125"/>
  <c r="H48" i="125"/>
  <c r="H157" i="125" s="1"/>
  <c r="N93" i="131"/>
  <c r="N156" i="131" s="1"/>
  <c r="L93" i="131"/>
  <c r="K93" i="131"/>
  <c r="K156" i="131" s="1"/>
  <c r="J93" i="131"/>
  <c r="J156" i="131" s="1"/>
  <c r="O93" i="131"/>
  <c r="I93" i="131"/>
  <c r="I156" i="131" s="1"/>
  <c r="L48" i="131"/>
  <c r="P93" i="131"/>
  <c r="H93" i="131"/>
  <c r="G93" i="131"/>
  <c r="E93" i="131"/>
  <c r="T94" i="125"/>
  <c r="T157" i="125" s="1"/>
  <c r="S94" i="125"/>
  <c r="S157" i="125" s="1"/>
  <c r="R94" i="125"/>
  <c r="R157" i="125" s="1"/>
  <c r="Q94" i="125"/>
  <c r="Q157" i="125" s="1"/>
  <c r="P94" i="125"/>
  <c r="P157" i="125" s="1"/>
  <c r="O94" i="125"/>
  <c r="O157" i="125" s="1"/>
  <c r="N94" i="125"/>
  <c r="N157" i="125" s="1"/>
  <c r="M94" i="125"/>
  <c r="M157" i="125" s="1"/>
  <c r="L94" i="125"/>
  <c r="L157" i="125" s="1"/>
  <c r="K94" i="125"/>
  <c r="K157" i="125" s="1"/>
  <c r="J94" i="125"/>
  <c r="J157" i="125" s="1"/>
  <c r="I94" i="125"/>
  <c r="I157" i="125" s="1"/>
  <c r="H48" i="131"/>
  <c r="E48" i="131"/>
  <c r="G48" i="131"/>
  <c r="G94" i="125"/>
  <c r="E94" i="125"/>
  <c r="G48" i="125"/>
  <c r="E48" i="125"/>
  <c r="M157" i="136" l="1"/>
  <c r="E157" i="136"/>
  <c r="O157" i="136"/>
  <c r="N157" i="136"/>
  <c r="Q157" i="136"/>
  <c r="S157" i="136"/>
  <c r="L157" i="136"/>
  <c r="H157" i="135"/>
  <c r="G157" i="134"/>
  <c r="P157" i="136"/>
  <c r="G158" i="132"/>
  <c r="H158" i="132"/>
  <c r="K157" i="136"/>
  <c r="F156" i="131"/>
  <c r="L156" i="131"/>
  <c r="E156" i="131"/>
  <c r="H156" i="131"/>
  <c r="G156" i="131"/>
  <c r="G157" i="125"/>
  <c r="E157" i="125"/>
  <c r="N143" i="124"/>
  <c r="N100" i="124"/>
  <c r="N102" i="124"/>
  <c r="N87" i="124"/>
  <c r="N69" i="124"/>
  <c r="N71" i="124"/>
  <c r="N72" i="124"/>
  <c r="J155" i="124"/>
  <c r="J154" i="124"/>
  <c r="J142" i="124"/>
  <c r="J143" i="124"/>
  <c r="J144" i="124"/>
  <c r="J145" i="124"/>
  <c r="J146" i="124"/>
  <c r="J147" i="124"/>
  <c r="J148" i="124"/>
  <c r="J149" i="124"/>
  <c r="J150" i="124"/>
  <c r="J151" i="124"/>
  <c r="J141" i="124"/>
  <c r="J116" i="124"/>
  <c r="J117" i="124"/>
  <c r="J118" i="124"/>
  <c r="J119" i="124"/>
  <c r="J120" i="124"/>
  <c r="J121" i="124"/>
  <c r="J122" i="124"/>
  <c r="J123" i="124"/>
  <c r="J124" i="124"/>
  <c r="J125" i="124"/>
  <c r="J126" i="124"/>
  <c r="J127" i="124"/>
  <c r="J128" i="124"/>
  <c r="J129" i="124"/>
  <c r="J130" i="124"/>
  <c r="J131" i="124"/>
  <c r="J132" i="124"/>
  <c r="J133" i="124"/>
  <c r="J134" i="124"/>
  <c r="J135" i="124"/>
  <c r="J136" i="124"/>
  <c r="J137" i="124"/>
  <c r="J138" i="124"/>
  <c r="J115" i="124"/>
  <c r="J106" i="124"/>
  <c r="J107" i="124"/>
  <c r="J108" i="124"/>
  <c r="J109" i="124"/>
  <c r="J110" i="124"/>
  <c r="J111" i="124"/>
  <c r="J112" i="124"/>
  <c r="J105" i="124"/>
  <c r="J97" i="124"/>
  <c r="J98" i="124"/>
  <c r="J99" i="124"/>
  <c r="J100" i="124"/>
  <c r="J101" i="124"/>
  <c r="J102" i="124"/>
  <c r="J96" i="124"/>
  <c r="J80" i="124"/>
  <c r="J81" i="124"/>
  <c r="J82" i="124"/>
  <c r="J83" i="124"/>
  <c r="J84" i="124"/>
  <c r="J85" i="124"/>
  <c r="J86" i="124"/>
  <c r="J87" i="124"/>
  <c r="J88" i="124"/>
  <c r="J89" i="124"/>
  <c r="J90" i="124"/>
  <c r="J91" i="124"/>
  <c r="J92" i="124"/>
  <c r="J79" i="124"/>
  <c r="J52" i="124"/>
  <c r="J53" i="124"/>
  <c r="J54" i="124"/>
  <c r="J55" i="124"/>
  <c r="J56" i="124"/>
  <c r="J57" i="124"/>
  <c r="J58" i="124"/>
  <c r="J59" i="124"/>
  <c r="J60" i="124"/>
  <c r="J61" i="124"/>
  <c r="J62" i="124"/>
  <c r="J63" i="124"/>
  <c r="J66" i="124"/>
  <c r="J67" i="124"/>
  <c r="J68" i="124"/>
  <c r="J69" i="124"/>
  <c r="J70" i="124"/>
  <c r="J71" i="124"/>
  <c r="J72" i="124"/>
  <c r="J73" i="124"/>
  <c r="J74" i="124"/>
  <c r="J75" i="124"/>
  <c r="J76" i="124"/>
  <c r="J30" i="124"/>
  <c r="J31" i="124"/>
  <c r="J32" i="124"/>
  <c r="J33" i="124"/>
  <c r="J34" i="124"/>
  <c r="J35" i="124"/>
  <c r="J36" i="124"/>
  <c r="J38" i="124"/>
  <c r="J39" i="124"/>
  <c r="J40" i="124"/>
  <c r="J41" i="124"/>
  <c r="J42" i="124"/>
  <c r="J43" i="124"/>
  <c r="J44" i="124"/>
  <c r="J45" i="124"/>
  <c r="J46" i="124"/>
  <c r="J29" i="124"/>
  <c r="J10" i="124"/>
  <c r="J11" i="124"/>
  <c r="J12" i="124"/>
  <c r="J13" i="124"/>
  <c r="J14" i="124"/>
  <c r="J16" i="124"/>
  <c r="J17" i="124"/>
  <c r="J18" i="124"/>
  <c r="J19" i="124"/>
  <c r="J20" i="124"/>
  <c r="J21" i="124"/>
  <c r="J22" i="124"/>
  <c r="J23" i="124"/>
  <c r="J24" i="124"/>
  <c r="J25" i="124"/>
  <c r="J26" i="124"/>
  <c r="J9" i="124"/>
  <c r="I155" i="124"/>
  <c r="I154" i="124"/>
  <c r="I142" i="124"/>
  <c r="I143" i="124"/>
  <c r="I144" i="124"/>
  <c r="I145" i="124"/>
  <c r="I146" i="124"/>
  <c r="I147" i="124"/>
  <c r="I148" i="124"/>
  <c r="I149" i="124"/>
  <c r="I150" i="124"/>
  <c r="I151" i="124"/>
  <c r="I141" i="124"/>
  <c r="I116" i="124"/>
  <c r="I117" i="124"/>
  <c r="I118" i="124"/>
  <c r="I119" i="124"/>
  <c r="I120" i="124"/>
  <c r="I121" i="124"/>
  <c r="I122" i="124"/>
  <c r="I123" i="124"/>
  <c r="I124" i="124"/>
  <c r="I125" i="124"/>
  <c r="I126" i="124"/>
  <c r="I127" i="124"/>
  <c r="I128" i="124"/>
  <c r="I129" i="124"/>
  <c r="I130" i="124"/>
  <c r="I131" i="124"/>
  <c r="I132" i="124"/>
  <c r="I133" i="124"/>
  <c r="I134" i="124"/>
  <c r="I135" i="124"/>
  <c r="I136" i="124"/>
  <c r="I137" i="124"/>
  <c r="I138" i="124"/>
  <c r="I115" i="124"/>
  <c r="I112" i="124"/>
  <c r="I106" i="124"/>
  <c r="I107" i="124"/>
  <c r="I108" i="124"/>
  <c r="I109" i="124"/>
  <c r="I110" i="124"/>
  <c r="I111" i="124"/>
  <c r="I105" i="124"/>
  <c r="I97" i="124"/>
  <c r="I98" i="124"/>
  <c r="I99" i="124"/>
  <c r="I100" i="124"/>
  <c r="I101" i="124"/>
  <c r="I102" i="124"/>
  <c r="I96" i="124"/>
  <c r="I80" i="124"/>
  <c r="I81" i="124"/>
  <c r="I82" i="124"/>
  <c r="I83" i="124"/>
  <c r="I84" i="124"/>
  <c r="I85" i="124"/>
  <c r="I86" i="124"/>
  <c r="I87" i="124"/>
  <c r="I88" i="124"/>
  <c r="I89" i="124"/>
  <c r="I90" i="124"/>
  <c r="I91" i="124"/>
  <c r="I92" i="124"/>
  <c r="I79" i="124"/>
  <c r="I52" i="124"/>
  <c r="I53" i="124"/>
  <c r="I54" i="124"/>
  <c r="I55" i="124"/>
  <c r="I56" i="124"/>
  <c r="I57" i="124"/>
  <c r="I58" i="124"/>
  <c r="I59" i="124"/>
  <c r="I60" i="124"/>
  <c r="I61" i="124"/>
  <c r="I62" i="124"/>
  <c r="K65" i="124"/>
  <c r="I66" i="124"/>
  <c r="I67" i="124"/>
  <c r="I68" i="124"/>
  <c r="I69" i="124"/>
  <c r="I70" i="124"/>
  <c r="I71" i="124"/>
  <c r="I72" i="124"/>
  <c r="I73" i="124"/>
  <c r="I74" i="124"/>
  <c r="I75" i="124"/>
  <c r="I76" i="124"/>
  <c r="I46" i="124"/>
  <c r="K46" i="124" s="1"/>
  <c r="I30" i="124"/>
  <c r="I31" i="124"/>
  <c r="I32" i="124"/>
  <c r="I33" i="124"/>
  <c r="I34" i="124"/>
  <c r="I35" i="124"/>
  <c r="I36" i="124"/>
  <c r="I37" i="124"/>
  <c r="I38" i="124"/>
  <c r="I39" i="124"/>
  <c r="I40" i="124"/>
  <c r="I41" i="124"/>
  <c r="I42" i="124"/>
  <c r="I43" i="124"/>
  <c r="I44" i="124"/>
  <c r="I45" i="124"/>
  <c r="I29" i="124"/>
  <c r="I10" i="124"/>
  <c r="I11" i="124"/>
  <c r="I12" i="124"/>
  <c r="I13" i="124"/>
  <c r="I14" i="124"/>
  <c r="I15" i="124"/>
  <c r="I16" i="124"/>
  <c r="I17" i="124"/>
  <c r="I18" i="124"/>
  <c r="I19" i="124"/>
  <c r="I20" i="124"/>
  <c r="I21" i="124"/>
  <c r="I22" i="124"/>
  <c r="I23" i="124"/>
  <c r="I24" i="124"/>
  <c r="I25" i="124"/>
  <c r="I26" i="124"/>
  <c r="I9" i="124"/>
  <c r="F151" i="124"/>
  <c r="F108" i="124"/>
  <c r="F102" i="124"/>
  <c r="F81" i="124"/>
  <c r="U154" i="131"/>
  <c r="M155" i="124"/>
  <c r="U155" i="134"/>
  <c r="N155" i="124" s="1"/>
  <c r="U155" i="135"/>
  <c r="O155" i="124" s="1"/>
  <c r="U155" i="136"/>
  <c r="P155" i="124" s="1"/>
  <c r="U155" i="125"/>
  <c r="F155" i="124" s="1"/>
  <c r="U153" i="131"/>
  <c r="U154" i="136"/>
  <c r="U156" i="136" s="1"/>
  <c r="U154" i="125"/>
  <c r="F154" i="124" s="1"/>
  <c r="U150" i="131"/>
  <c r="U152" i="132"/>
  <c r="L151" i="124" s="1"/>
  <c r="M151" i="124"/>
  <c r="U151" i="134"/>
  <c r="N151" i="124" s="1"/>
  <c r="U151" i="135"/>
  <c r="O151" i="124" s="1"/>
  <c r="U151" i="136"/>
  <c r="P151" i="124" s="1"/>
  <c r="U151" i="125"/>
  <c r="U141" i="131"/>
  <c r="U142" i="131"/>
  <c r="U143" i="131"/>
  <c r="U144" i="131"/>
  <c r="U145" i="131"/>
  <c r="U146" i="131"/>
  <c r="U147" i="131"/>
  <c r="U148" i="131"/>
  <c r="U149" i="131"/>
  <c r="U144" i="132"/>
  <c r="L143" i="124" s="1"/>
  <c r="U145" i="132"/>
  <c r="L144" i="124" s="1"/>
  <c r="U146" i="132"/>
  <c r="L145" i="124" s="1"/>
  <c r="U147" i="132"/>
  <c r="L146" i="124" s="1"/>
  <c r="U148" i="132"/>
  <c r="L147" i="124" s="1"/>
  <c r="U149" i="132"/>
  <c r="L148" i="124" s="1"/>
  <c r="U150" i="132"/>
  <c r="L149" i="124" s="1"/>
  <c r="U151" i="132"/>
  <c r="L150" i="124" s="1"/>
  <c r="M143" i="124"/>
  <c r="M144" i="124"/>
  <c r="M145" i="124"/>
  <c r="M146" i="124"/>
  <c r="M147" i="124"/>
  <c r="M148" i="124"/>
  <c r="M149" i="124"/>
  <c r="M150" i="124"/>
  <c r="U143" i="134"/>
  <c r="U144" i="134"/>
  <c r="N144" i="124" s="1"/>
  <c r="U145" i="134"/>
  <c r="N145" i="124" s="1"/>
  <c r="U146" i="134"/>
  <c r="N146" i="124" s="1"/>
  <c r="U147" i="134"/>
  <c r="N147" i="124" s="1"/>
  <c r="U148" i="134"/>
  <c r="N148" i="124" s="1"/>
  <c r="U149" i="134"/>
  <c r="N149" i="124" s="1"/>
  <c r="U150" i="134"/>
  <c r="N150" i="124" s="1"/>
  <c r="U143" i="135"/>
  <c r="O143" i="124" s="1"/>
  <c r="U144" i="135"/>
  <c r="O144" i="124" s="1"/>
  <c r="U145" i="135"/>
  <c r="O145" i="124" s="1"/>
  <c r="U146" i="135"/>
  <c r="O146" i="124" s="1"/>
  <c r="U147" i="135"/>
  <c r="O147" i="124" s="1"/>
  <c r="U148" i="135"/>
  <c r="O148" i="124" s="1"/>
  <c r="U149" i="135"/>
  <c r="O149" i="124" s="1"/>
  <c r="U150" i="135"/>
  <c r="O150" i="124" s="1"/>
  <c r="U142" i="136"/>
  <c r="P142" i="124" s="1"/>
  <c r="U143" i="136"/>
  <c r="P143" i="124" s="1"/>
  <c r="U144" i="136"/>
  <c r="P144" i="124" s="1"/>
  <c r="U145" i="136"/>
  <c r="P145" i="124" s="1"/>
  <c r="U146" i="136"/>
  <c r="P146" i="124" s="1"/>
  <c r="U147" i="136"/>
  <c r="P147" i="124" s="1"/>
  <c r="U148" i="136"/>
  <c r="P148" i="124" s="1"/>
  <c r="U149" i="136"/>
  <c r="P149" i="124" s="1"/>
  <c r="U150" i="136"/>
  <c r="P150" i="124" s="1"/>
  <c r="U142" i="125"/>
  <c r="F142" i="124" s="1"/>
  <c r="U143" i="125"/>
  <c r="F143" i="124" s="1"/>
  <c r="U144" i="125"/>
  <c r="F144" i="124" s="1"/>
  <c r="U145" i="125"/>
  <c r="F145" i="124" s="1"/>
  <c r="U146" i="125"/>
  <c r="F146" i="124" s="1"/>
  <c r="U147" i="125"/>
  <c r="F147" i="124" s="1"/>
  <c r="U148" i="125"/>
  <c r="F148" i="124" s="1"/>
  <c r="U149" i="125"/>
  <c r="F149" i="124" s="1"/>
  <c r="U150" i="125"/>
  <c r="F150" i="124" s="1"/>
  <c r="U140" i="131"/>
  <c r="U141" i="136"/>
  <c r="P141" i="124" s="1"/>
  <c r="U141" i="125"/>
  <c r="F141" i="124" s="1"/>
  <c r="U115" i="131"/>
  <c r="U116" i="131"/>
  <c r="U117" i="131"/>
  <c r="U118" i="131"/>
  <c r="U119" i="131"/>
  <c r="U120" i="131"/>
  <c r="U121" i="131"/>
  <c r="U122" i="131"/>
  <c r="U123" i="131"/>
  <c r="U124" i="131"/>
  <c r="U125" i="131"/>
  <c r="U126" i="131"/>
  <c r="U127" i="131"/>
  <c r="U128" i="131"/>
  <c r="U129" i="131"/>
  <c r="U131" i="131"/>
  <c r="U132" i="131"/>
  <c r="U133" i="131"/>
  <c r="U134" i="131"/>
  <c r="U135" i="131"/>
  <c r="U136" i="131"/>
  <c r="U137" i="131"/>
  <c r="U117" i="132"/>
  <c r="L116" i="124" s="1"/>
  <c r="U127" i="132"/>
  <c r="L126" i="124" s="1"/>
  <c r="U130" i="132"/>
  <c r="L129" i="124" s="1"/>
  <c r="U131" i="132"/>
  <c r="L130" i="124" s="1"/>
  <c r="U132" i="132"/>
  <c r="L131" i="124" s="1"/>
  <c r="U133" i="132"/>
  <c r="L132" i="124" s="1"/>
  <c r="U134" i="132"/>
  <c r="L133" i="124" s="1"/>
  <c r="U135" i="132"/>
  <c r="L134" i="124" s="1"/>
  <c r="U136" i="132"/>
  <c r="L135" i="124" s="1"/>
  <c r="U137" i="132"/>
  <c r="L136" i="124" s="1"/>
  <c r="U138" i="132"/>
  <c r="L137" i="124" s="1"/>
  <c r="U139" i="132"/>
  <c r="L138" i="124" s="1"/>
  <c r="M116" i="124"/>
  <c r="M117" i="124"/>
  <c r="M118" i="124"/>
  <c r="M119" i="124"/>
  <c r="M121" i="124"/>
  <c r="M122" i="124"/>
  <c r="M123" i="124"/>
  <c r="M124" i="124"/>
  <c r="M125" i="124"/>
  <c r="M126" i="124"/>
  <c r="M127" i="124"/>
  <c r="M128" i="124"/>
  <c r="M129" i="124"/>
  <c r="M130" i="124"/>
  <c r="M131" i="124"/>
  <c r="M132" i="124"/>
  <c r="M133" i="124"/>
  <c r="M134" i="124"/>
  <c r="M135" i="124"/>
  <c r="M136" i="124"/>
  <c r="M137" i="124"/>
  <c r="M138" i="124"/>
  <c r="U116" i="134"/>
  <c r="N116" i="124" s="1"/>
  <c r="U117" i="134"/>
  <c r="N117" i="124" s="1"/>
  <c r="U118" i="134"/>
  <c r="N118" i="124" s="1"/>
  <c r="U119" i="134"/>
  <c r="N119" i="124" s="1"/>
  <c r="U120" i="134"/>
  <c r="N120" i="124" s="1"/>
  <c r="U121" i="134"/>
  <c r="N121" i="124" s="1"/>
  <c r="U122" i="134"/>
  <c r="N122" i="124" s="1"/>
  <c r="U123" i="134"/>
  <c r="N123" i="124" s="1"/>
  <c r="U124" i="134"/>
  <c r="N124" i="124" s="1"/>
  <c r="U125" i="134"/>
  <c r="N125" i="124" s="1"/>
  <c r="U126" i="134"/>
  <c r="N126" i="124" s="1"/>
  <c r="U127" i="134"/>
  <c r="N127" i="124" s="1"/>
  <c r="U128" i="134"/>
  <c r="N128" i="124" s="1"/>
  <c r="U129" i="134"/>
  <c r="N129" i="124" s="1"/>
  <c r="U130" i="134"/>
  <c r="N130" i="124" s="1"/>
  <c r="U131" i="134"/>
  <c r="N131" i="124" s="1"/>
  <c r="U132" i="134"/>
  <c r="N132" i="124" s="1"/>
  <c r="U133" i="134"/>
  <c r="N133" i="124" s="1"/>
  <c r="U134" i="134"/>
  <c r="N134" i="124" s="1"/>
  <c r="U135" i="134"/>
  <c r="N135" i="124" s="1"/>
  <c r="U136" i="134"/>
  <c r="N136" i="124" s="1"/>
  <c r="U137" i="134"/>
  <c r="N137" i="124" s="1"/>
  <c r="U138" i="134"/>
  <c r="N138" i="124" s="1"/>
  <c r="U116" i="135"/>
  <c r="O116" i="124" s="1"/>
  <c r="U117" i="135"/>
  <c r="O117" i="124" s="1"/>
  <c r="U118" i="135"/>
  <c r="O118" i="124" s="1"/>
  <c r="U119" i="135"/>
  <c r="O119" i="124" s="1"/>
  <c r="U120" i="135"/>
  <c r="O120" i="124" s="1"/>
  <c r="U121" i="135"/>
  <c r="O121" i="124" s="1"/>
  <c r="U122" i="135"/>
  <c r="O122" i="124" s="1"/>
  <c r="U123" i="135"/>
  <c r="O123" i="124" s="1"/>
  <c r="U124" i="135"/>
  <c r="O124" i="124" s="1"/>
  <c r="U125" i="135"/>
  <c r="O125" i="124" s="1"/>
  <c r="U126" i="135"/>
  <c r="O126" i="124" s="1"/>
  <c r="U127" i="135"/>
  <c r="O127" i="124" s="1"/>
  <c r="U128" i="135"/>
  <c r="O128" i="124" s="1"/>
  <c r="U129" i="135"/>
  <c r="O129" i="124" s="1"/>
  <c r="U130" i="135"/>
  <c r="O130" i="124" s="1"/>
  <c r="U131" i="135"/>
  <c r="O131" i="124" s="1"/>
  <c r="U132" i="135"/>
  <c r="O132" i="124" s="1"/>
  <c r="U133" i="135"/>
  <c r="O133" i="124" s="1"/>
  <c r="U134" i="135"/>
  <c r="O134" i="124" s="1"/>
  <c r="U135" i="135"/>
  <c r="O135" i="124" s="1"/>
  <c r="U136" i="135"/>
  <c r="O136" i="124" s="1"/>
  <c r="U137" i="135"/>
  <c r="O137" i="124" s="1"/>
  <c r="U138" i="135"/>
  <c r="O138" i="124" s="1"/>
  <c r="U116" i="136"/>
  <c r="P116" i="124" s="1"/>
  <c r="U117" i="136"/>
  <c r="P117" i="124" s="1"/>
  <c r="U118" i="136"/>
  <c r="P118" i="124" s="1"/>
  <c r="U119" i="136"/>
  <c r="P119" i="124" s="1"/>
  <c r="U120" i="136"/>
  <c r="P120" i="124" s="1"/>
  <c r="U121" i="136"/>
  <c r="P121" i="124" s="1"/>
  <c r="U122" i="136"/>
  <c r="P122" i="124" s="1"/>
  <c r="U123" i="136"/>
  <c r="P123" i="124" s="1"/>
  <c r="U124" i="136"/>
  <c r="P124" i="124" s="1"/>
  <c r="U125" i="136"/>
  <c r="P125" i="124" s="1"/>
  <c r="U126" i="136"/>
  <c r="P126" i="124" s="1"/>
  <c r="U127" i="136"/>
  <c r="P127" i="124" s="1"/>
  <c r="U128" i="136"/>
  <c r="P128" i="124" s="1"/>
  <c r="U129" i="136"/>
  <c r="P129" i="124" s="1"/>
  <c r="U130" i="136"/>
  <c r="P130" i="124" s="1"/>
  <c r="U131" i="136"/>
  <c r="P131" i="124" s="1"/>
  <c r="U132" i="136"/>
  <c r="P132" i="124" s="1"/>
  <c r="U133" i="136"/>
  <c r="P133" i="124" s="1"/>
  <c r="U134" i="136"/>
  <c r="P134" i="124" s="1"/>
  <c r="U135" i="136"/>
  <c r="P135" i="124" s="1"/>
  <c r="U136" i="136"/>
  <c r="P136" i="124" s="1"/>
  <c r="U137" i="136"/>
  <c r="P137" i="124" s="1"/>
  <c r="U138" i="136"/>
  <c r="P138" i="124" s="1"/>
  <c r="U116" i="125"/>
  <c r="F116" i="124" s="1"/>
  <c r="U117" i="125"/>
  <c r="F117" i="124" s="1"/>
  <c r="U118" i="125"/>
  <c r="F118" i="124" s="1"/>
  <c r="U119" i="125"/>
  <c r="F119" i="124" s="1"/>
  <c r="U120" i="125"/>
  <c r="F120" i="124" s="1"/>
  <c r="U121" i="125"/>
  <c r="F121" i="124" s="1"/>
  <c r="U122" i="125"/>
  <c r="F122" i="124" s="1"/>
  <c r="U123" i="125"/>
  <c r="F123" i="124" s="1"/>
  <c r="U124" i="125"/>
  <c r="F124" i="124" s="1"/>
  <c r="U125" i="125"/>
  <c r="F125" i="124" s="1"/>
  <c r="U126" i="125"/>
  <c r="F126" i="124" s="1"/>
  <c r="U127" i="125"/>
  <c r="F127" i="124" s="1"/>
  <c r="U128" i="125"/>
  <c r="F128" i="124" s="1"/>
  <c r="U129" i="125"/>
  <c r="F129" i="124" s="1"/>
  <c r="U130" i="125"/>
  <c r="F130" i="124" s="1"/>
  <c r="U131" i="125"/>
  <c r="F131" i="124" s="1"/>
  <c r="U132" i="125"/>
  <c r="F132" i="124" s="1"/>
  <c r="U133" i="125"/>
  <c r="F133" i="124" s="1"/>
  <c r="U134" i="125"/>
  <c r="F134" i="124" s="1"/>
  <c r="U135" i="125"/>
  <c r="F135" i="124" s="1"/>
  <c r="U136" i="125"/>
  <c r="F136" i="124" s="1"/>
  <c r="U137" i="125"/>
  <c r="F137" i="124" s="1"/>
  <c r="U138" i="125"/>
  <c r="F138" i="124" s="1"/>
  <c r="U114" i="131"/>
  <c r="M115" i="124"/>
  <c r="U115" i="134"/>
  <c r="N115" i="124" s="1"/>
  <c r="U115" i="135"/>
  <c r="O115" i="124" s="1"/>
  <c r="U115" i="136"/>
  <c r="P115" i="124" s="1"/>
  <c r="U115" i="125"/>
  <c r="F115" i="124" s="1"/>
  <c r="U105" i="131"/>
  <c r="U106" i="131"/>
  <c r="U107" i="131"/>
  <c r="U108" i="131"/>
  <c r="U109" i="131"/>
  <c r="U110" i="131"/>
  <c r="U111" i="131"/>
  <c r="U107" i="132"/>
  <c r="L106" i="124" s="1"/>
  <c r="U108" i="132"/>
  <c r="L107" i="124" s="1"/>
  <c r="U109" i="132"/>
  <c r="L108" i="124" s="1"/>
  <c r="U110" i="132"/>
  <c r="L109" i="124" s="1"/>
  <c r="U111" i="132"/>
  <c r="L110" i="124" s="1"/>
  <c r="U112" i="132"/>
  <c r="L111" i="124" s="1"/>
  <c r="U113" i="132"/>
  <c r="L112" i="124" s="1"/>
  <c r="M106" i="124"/>
  <c r="M107" i="124"/>
  <c r="M108" i="124"/>
  <c r="M109" i="124"/>
  <c r="M110" i="124"/>
  <c r="M111" i="124"/>
  <c r="M112" i="124"/>
  <c r="U106" i="134"/>
  <c r="N106" i="124" s="1"/>
  <c r="U107" i="134"/>
  <c r="N107" i="124" s="1"/>
  <c r="U108" i="134"/>
  <c r="N108" i="124" s="1"/>
  <c r="U109" i="134"/>
  <c r="N109" i="124" s="1"/>
  <c r="U110" i="134"/>
  <c r="N110" i="124" s="1"/>
  <c r="U111" i="134"/>
  <c r="N111" i="124" s="1"/>
  <c r="U112" i="134"/>
  <c r="N112" i="124" s="1"/>
  <c r="U106" i="135"/>
  <c r="O106" i="124" s="1"/>
  <c r="U107" i="135"/>
  <c r="O107" i="124" s="1"/>
  <c r="U108" i="135"/>
  <c r="O108" i="124" s="1"/>
  <c r="U109" i="135"/>
  <c r="O109" i="124" s="1"/>
  <c r="U110" i="135"/>
  <c r="O110" i="124" s="1"/>
  <c r="U111" i="135"/>
  <c r="O111" i="124" s="1"/>
  <c r="U112" i="135"/>
  <c r="O112" i="124" s="1"/>
  <c r="P106" i="124"/>
  <c r="P107" i="124"/>
  <c r="U108" i="136"/>
  <c r="P108" i="124" s="1"/>
  <c r="U109" i="136"/>
  <c r="P109" i="124" s="1"/>
  <c r="U110" i="136"/>
  <c r="P110" i="124" s="1"/>
  <c r="U111" i="136"/>
  <c r="P111" i="124" s="1"/>
  <c r="U112" i="136"/>
  <c r="P112" i="124" s="1"/>
  <c r="U106" i="125"/>
  <c r="F106" i="124" s="1"/>
  <c r="U107" i="125"/>
  <c r="F107" i="124" s="1"/>
  <c r="U108" i="125"/>
  <c r="U109" i="125"/>
  <c r="F109" i="124" s="1"/>
  <c r="U110" i="125"/>
  <c r="F110" i="124" s="1"/>
  <c r="U111" i="125"/>
  <c r="F111" i="124" s="1"/>
  <c r="U112" i="125"/>
  <c r="F112" i="124" s="1"/>
  <c r="U106" i="132"/>
  <c r="L105" i="124" s="1"/>
  <c r="M105" i="124"/>
  <c r="U105" i="134"/>
  <c r="N105" i="124" s="1"/>
  <c r="U105" i="135"/>
  <c r="O105" i="124" s="1"/>
  <c r="P105" i="124"/>
  <c r="U105" i="125"/>
  <c r="F105" i="124" s="1"/>
  <c r="U96" i="131"/>
  <c r="U97" i="131"/>
  <c r="U98" i="131"/>
  <c r="U99" i="131"/>
  <c r="U100" i="131"/>
  <c r="U101" i="131"/>
  <c r="U98" i="132"/>
  <c r="L97" i="124" s="1"/>
  <c r="U99" i="132"/>
  <c r="L98" i="124" s="1"/>
  <c r="U100" i="132"/>
  <c r="L99" i="124" s="1"/>
  <c r="U101" i="132"/>
  <c r="L100" i="124" s="1"/>
  <c r="U102" i="132"/>
  <c r="L101" i="124" s="1"/>
  <c r="U103" i="132"/>
  <c r="L102" i="124" s="1"/>
  <c r="M97" i="124"/>
  <c r="M98" i="124"/>
  <c r="M99" i="124"/>
  <c r="M100" i="124"/>
  <c r="M101" i="124"/>
  <c r="M102" i="124"/>
  <c r="U97" i="134"/>
  <c r="N97" i="124" s="1"/>
  <c r="U98" i="134"/>
  <c r="N98" i="124" s="1"/>
  <c r="U99" i="134"/>
  <c r="N99" i="124" s="1"/>
  <c r="U100" i="134"/>
  <c r="U101" i="134"/>
  <c r="N101" i="124" s="1"/>
  <c r="U102" i="134"/>
  <c r="U97" i="135"/>
  <c r="O97" i="124" s="1"/>
  <c r="U98" i="135"/>
  <c r="O98" i="124" s="1"/>
  <c r="U99" i="135"/>
  <c r="O99" i="124" s="1"/>
  <c r="U100" i="135"/>
  <c r="O100" i="124" s="1"/>
  <c r="U101" i="135"/>
  <c r="O101" i="124" s="1"/>
  <c r="U102" i="135"/>
  <c r="O102" i="124" s="1"/>
  <c r="U97" i="136"/>
  <c r="P97" i="124" s="1"/>
  <c r="U98" i="136"/>
  <c r="P98" i="124" s="1"/>
  <c r="U99" i="136"/>
  <c r="P99" i="124" s="1"/>
  <c r="U100" i="136"/>
  <c r="P100" i="124" s="1"/>
  <c r="U101" i="136"/>
  <c r="P101" i="124" s="1"/>
  <c r="U102" i="136"/>
  <c r="P102" i="124" s="1"/>
  <c r="U97" i="125"/>
  <c r="F97" i="124" s="1"/>
  <c r="U98" i="125"/>
  <c r="F98" i="124" s="1"/>
  <c r="U99" i="125"/>
  <c r="F99" i="124" s="1"/>
  <c r="U100" i="125"/>
  <c r="F100" i="124" s="1"/>
  <c r="U101" i="125"/>
  <c r="F101" i="124" s="1"/>
  <c r="U102" i="125"/>
  <c r="U95" i="131"/>
  <c r="U97" i="132"/>
  <c r="L96" i="124" s="1"/>
  <c r="M96" i="124"/>
  <c r="U96" i="134"/>
  <c r="N96" i="124" s="1"/>
  <c r="U96" i="135"/>
  <c r="O96" i="124" s="1"/>
  <c r="U96" i="136"/>
  <c r="P96" i="124" s="1"/>
  <c r="U96" i="125"/>
  <c r="F96" i="124" s="1"/>
  <c r="U79" i="131"/>
  <c r="U80" i="131"/>
  <c r="U81" i="131"/>
  <c r="U82" i="131"/>
  <c r="U83" i="131"/>
  <c r="U84" i="131"/>
  <c r="U85" i="131"/>
  <c r="U86" i="131"/>
  <c r="U87" i="131"/>
  <c r="U88" i="131"/>
  <c r="U89" i="131"/>
  <c r="U90" i="131"/>
  <c r="U91" i="131"/>
  <c r="U81" i="132"/>
  <c r="L80" i="124" s="1"/>
  <c r="U82" i="132"/>
  <c r="L81" i="124" s="1"/>
  <c r="U83" i="132"/>
  <c r="L82" i="124" s="1"/>
  <c r="U84" i="132"/>
  <c r="L83" i="124" s="1"/>
  <c r="U85" i="132"/>
  <c r="L84" i="124" s="1"/>
  <c r="U86" i="132"/>
  <c r="L85" i="124" s="1"/>
  <c r="U87" i="132"/>
  <c r="L86" i="124" s="1"/>
  <c r="U88" i="132"/>
  <c r="L87" i="124" s="1"/>
  <c r="U89" i="132"/>
  <c r="L88" i="124" s="1"/>
  <c r="U90" i="132"/>
  <c r="L89" i="124" s="1"/>
  <c r="U91" i="132"/>
  <c r="L90" i="124" s="1"/>
  <c r="U92" i="132"/>
  <c r="L91" i="124" s="1"/>
  <c r="U93" i="132"/>
  <c r="L92" i="124" s="1"/>
  <c r="M80" i="124"/>
  <c r="M81" i="124"/>
  <c r="M82" i="124"/>
  <c r="M83" i="124"/>
  <c r="M84" i="124"/>
  <c r="M85" i="124"/>
  <c r="M86" i="124"/>
  <c r="M87" i="124"/>
  <c r="M88" i="124"/>
  <c r="M89" i="124"/>
  <c r="M90" i="124"/>
  <c r="M91" i="124"/>
  <c r="M92" i="124"/>
  <c r="U80" i="134"/>
  <c r="N80" i="124" s="1"/>
  <c r="U81" i="134"/>
  <c r="N81" i="124" s="1"/>
  <c r="U82" i="134"/>
  <c r="N82" i="124" s="1"/>
  <c r="U83" i="134"/>
  <c r="N83" i="124" s="1"/>
  <c r="U84" i="134"/>
  <c r="N84" i="124" s="1"/>
  <c r="U85" i="134"/>
  <c r="N85" i="124" s="1"/>
  <c r="U86" i="134"/>
  <c r="N86" i="124" s="1"/>
  <c r="U87" i="134"/>
  <c r="U88" i="134"/>
  <c r="N88" i="124" s="1"/>
  <c r="U89" i="134"/>
  <c r="N89" i="124" s="1"/>
  <c r="U90" i="134"/>
  <c r="N90" i="124" s="1"/>
  <c r="U91" i="134"/>
  <c r="N91" i="124" s="1"/>
  <c r="U92" i="134"/>
  <c r="N92" i="124" s="1"/>
  <c r="U80" i="135"/>
  <c r="O80" i="124" s="1"/>
  <c r="U81" i="135"/>
  <c r="O81" i="124" s="1"/>
  <c r="U82" i="135"/>
  <c r="O82" i="124" s="1"/>
  <c r="U83" i="135"/>
  <c r="O83" i="124" s="1"/>
  <c r="U84" i="135"/>
  <c r="O84" i="124" s="1"/>
  <c r="U85" i="135"/>
  <c r="O85" i="124" s="1"/>
  <c r="U86" i="135"/>
  <c r="O86" i="124" s="1"/>
  <c r="U87" i="135"/>
  <c r="O87" i="124" s="1"/>
  <c r="U88" i="135"/>
  <c r="O88" i="124" s="1"/>
  <c r="U89" i="135"/>
  <c r="O89" i="124" s="1"/>
  <c r="U90" i="135"/>
  <c r="O90" i="124" s="1"/>
  <c r="U91" i="135"/>
  <c r="O91" i="124" s="1"/>
  <c r="U92" i="135"/>
  <c r="O92" i="124" s="1"/>
  <c r="U80" i="136"/>
  <c r="P80" i="124" s="1"/>
  <c r="U81" i="136"/>
  <c r="P81" i="124" s="1"/>
  <c r="U82" i="136"/>
  <c r="P82" i="124" s="1"/>
  <c r="U83" i="136"/>
  <c r="P83" i="124" s="1"/>
  <c r="U84" i="136"/>
  <c r="P84" i="124" s="1"/>
  <c r="U85" i="136"/>
  <c r="P85" i="124" s="1"/>
  <c r="U86" i="136"/>
  <c r="P86" i="124" s="1"/>
  <c r="U87" i="136"/>
  <c r="P87" i="124" s="1"/>
  <c r="U88" i="136"/>
  <c r="P88" i="124" s="1"/>
  <c r="U89" i="136"/>
  <c r="P89" i="124" s="1"/>
  <c r="U90" i="136"/>
  <c r="P90" i="124" s="1"/>
  <c r="U91" i="136"/>
  <c r="P91" i="124" s="1"/>
  <c r="U92" i="136"/>
  <c r="P92" i="124" s="1"/>
  <c r="U80" i="125"/>
  <c r="F80" i="124" s="1"/>
  <c r="U81" i="125"/>
  <c r="U82" i="125"/>
  <c r="F82" i="124" s="1"/>
  <c r="U83" i="125"/>
  <c r="F83" i="124" s="1"/>
  <c r="U84" i="125"/>
  <c r="F84" i="124" s="1"/>
  <c r="U85" i="125"/>
  <c r="F85" i="124" s="1"/>
  <c r="U86" i="125"/>
  <c r="F86" i="124" s="1"/>
  <c r="U87" i="125"/>
  <c r="F87" i="124" s="1"/>
  <c r="U88" i="125"/>
  <c r="F88" i="124" s="1"/>
  <c r="U89" i="125"/>
  <c r="F89" i="124" s="1"/>
  <c r="U90" i="125"/>
  <c r="F90" i="124" s="1"/>
  <c r="U91" i="125"/>
  <c r="F91" i="124" s="1"/>
  <c r="U92" i="125"/>
  <c r="F92" i="124" s="1"/>
  <c r="U78" i="131"/>
  <c r="U80" i="132"/>
  <c r="L79" i="124" s="1"/>
  <c r="M79" i="124"/>
  <c r="U79" i="134"/>
  <c r="N79" i="124" s="1"/>
  <c r="U79" i="135"/>
  <c r="O79" i="124" s="1"/>
  <c r="U79" i="136"/>
  <c r="P79" i="124" s="1"/>
  <c r="U79" i="125"/>
  <c r="F79" i="124" s="1"/>
  <c r="U52" i="131"/>
  <c r="U53" i="131"/>
  <c r="U54" i="131"/>
  <c r="U55" i="131"/>
  <c r="U56" i="131"/>
  <c r="U57" i="131"/>
  <c r="U58" i="131"/>
  <c r="U59" i="131"/>
  <c r="U60" i="131"/>
  <c r="U61" i="131"/>
  <c r="U62" i="131"/>
  <c r="U64" i="131"/>
  <c r="U65" i="131"/>
  <c r="U66" i="131"/>
  <c r="U67" i="131"/>
  <c r="U68" i="131"/>
  <c r="U69" i="131"/>
  <c r="U70" i="131"/>
  <c r="U71" i="131"/>
  <c r="U72" i="131"/>
  <c r="U73" i="131"/>
  <c r="U74" i="131"/>
  <c r="U75" i="131"/>
  <c r="U52" i="132"/>
  <c r="L52" i="124" s="1"/>
  <c r="U53" i="132"/>
  <c r="L53" i="124" s="1"/>
  <c r="U54" i="132"/>
  <c r="L54" i="124" s="1"/>
  <c r="U55" i="132"/>
  <c r="L55" i="124" s="1"/>
  <c r="U56" i="132"/>
  <c r="L56" i="124" s="1"/>
  <c r="U57" i="132"/>
  <c r="L57" i="124" s="1"/>
  <c r="U58" i="132"/>
  <c r="L58" i="124" s="1"/>
  <c r="U59" i="132"/>
  <c r="L59" i="124" s="1"/>
  <c r="U61" i="132"/>
  <c r="L60" i="124" s="1"/>
  <c r="U62" i="132"/>
  <c r="L61" i="124" s="1"/>
  <c r="U63" i="132"/>
  <c r="L62" i="124" s="1"/>
  <c r="U64" i="132"/>
  <c r="L63" i="124" s="1"/>
  <c r="U65" i="132"/>
  <c r="L64" i="124" s="1"/>
  <c r="U66" i="132"/>
  <c r="L65" i="124" s="1"/>
  <c r="U67" i="132"/>
  <c r="L66" i="124" s="1"/>
  <c r="U68" i="132"/>
  <c r="L67" i="124" s="1"/>
  <c r="U69" i="132"/>
  <c r="L68" i="124" s="1"/>
  <c r="U70" i="132"/>
  <c r="L69" i="124" s="1"/>
  <c r="U71" i="132"/>
  <c r="L70" i="124" s="1"/>
  <c r="U72" i="132"/>
  <c r="L71" i="124" s="1"/>
  <c r="U73" i="132"/>
  <c r="L72" i="124" s="1"/>
  <c r="U74" i="132"/>
  <c r="L73" i="124" s="1"/>
  <c r="U75" i="132"/>
  <c r="L74" i="124" s="1"/>
  <c r="U76" i="132"/>
  <c r="L75" i="124" s="1"/>
  <c r="U77" i="132"/>
  <c r="L76" i="124" s="1"/>
  <c r="M52" i="124"/>
  <c r="M53" i="124"/>
  <c r="M54" i="124"/>
  <c r="M55" i="124"/>
  <c r="M56" i="124"/>
  <c r="M57" i="124"/>
  <c r="M58" i="124"/>
  <c r="M59" i="124"/>
  <c r="M60" i="124"/>
  <c r="M61" i="124"/>
  <c r="M62" i="124"/>
  <c r="M63" i="124"/>
  <c r="M64" i="124"/>
  <c r="M65" i="124"/>
  <c r="M66" i="124"/>
  <c r="M67" i="124"/>
  <c r="M68" i="124"/>
  <c r="M69" i="124"/>
  <c r="M70" i="124"/>
  <c r="M71" i="124"/>
  <c r="M72" i="124"/>
  <c r="M73" i="124"/>
  <c r="M74" i="124"/>
  <c r="M75" i="124"/>
  <c r="M76" i="124"/>
  <c r="U52" i="134"/>
  <c r="N52" i="124" s="1"/>
  <c r="U53" i="134"/>
  <c r="N53" i="124" s="1"/>
  <c r="U54" i="134"/>
  <c r="N54" i="124" s="1"/>
  <c r="U55" i="134"/>
  <c r="N55" i="124" s="1"/>
  <c r="U56" i="134"/>
  <c r="N56" i="124" s="1"/>
  <c r="U57" i="134"/>
  <c r="N57" i="124" s="1"/>
  <c r="U58" i="134"/>
  <c r="N58" i="124" s="1"/>
  <c r="U59" i="134"/>
  <c r="N59" i="124" s="1"/>
  <c r="U60" i="134"/>
  <c r="N60" i="124" s="1"/>
  <c r="U61" i="134"/>
  <c r="N61" i="124" s="1"/>
  <c r="U62" i="134"/>
  <c r="N62" i="124" s="1"/>
  <c r="U63" i="134"/>
  <c r="N63" i="124" s="1"/>
  <c r="U64" i="134"/>
  <c r="N64" i="124" s="1"/>
  <c r="U65" i="134"/>
  <c r="N65" i="124" s="1"/>
  <c r="U66" i="134"/>
  <c r="N66" i="124" s="1"/>
  <c r="U67" i="134"/>
  <c r="N67" i="124" s="1"/>
  <c r="U68" i="134"/>
  <c r="N68" i="124" s="1"/>
  <c r="U69" i="134"/>
  <c r="U70" i="134"/>
  <c r="N70" i="124" s="1"/>
  <c r="U71" i="134"/>
  <c r="U72" i="134"/>
  <c r="U73" i="134"/>
  <c r="N73" i="124" s="1"/>
  <c r="U74" i="134"/>
  <c r="N74" i="124" s="1"/>
  <c r="U75" i="134"/>
  <c r="N75" i="124" s="1"/>
  <c r="U76" i="134"/>
  <c r="N76" i="124" s="1"/>
  <c r="U52" i="135"/>
  <c r="O52" i="124" s="1"/>
  <c r="U53" i="135"/>
  <c r="O53" i="124" s="1"/>
  <c r="U54" i="135"/>
  <c r="O54" i="124" s="1"/>
  <c r="U55" i="135"/>
  <c r="O55" i="124" s="1"/>
  <c r="U56" i="135"/>
  <c r="O56" i="124" s="1"/>
  <c r="U57" i="135"/>
  <c r="O57" i="124" s="1"/>
  <c r="U58" i="135"/>
  <c r="O58" i="124" s="1"/>
  <c r="U59" i="135"/>
  <c r="O59" i="124" s="1"/>
  <c r="U60" i="135"/>
  <c r="O60" i="124" s="1"/>
  <c r="U61" i="135"/>
  <c r="O61" i="124" s="1"/>
  <c r="U62" i="135"/>
  <c r="O62" i="124" s="1"/>
  <c r="U63" i="135"/>
  <c r="O63" i="124" s="1"/>
  <c r="U64" i="135"/>
  <c r="O64" i="124" s="1"/>
  <c r="U65" i="135"/>
  <c r="O65" i="124" s="1"/>
  <c r="U66" i="135"/>
  <c r="O66" i="124" s="1"/>
  <c r="U67" i="135"/>
  <c r="O67" i="124" s="1"/>
  <c r="U68" i="135"/>
  <c r="O68" i="124" s="1"/>
  <c r="U69" i="135"/>
  <c r="O69" i="124" s="1"/>
  <c r="U70" i="135"/>
  <c r="O70" i="124" s="1"/>
  <c r="U71" i="135"/>
  <c r="O71" i="124" s="1"/>
  <c r="U72" i="135"/>
  <c r="O72" i="124" s="1"/>
  <c r="U73" i="135"/>
  <c r="O73" i="124" s="1"/>
  <c r="U74" i="135"/>
  <c r="O74" i="124" s="1"/>
  <c r="U75" i="135"/>
  <c r="O75" i="124" s="1"/>
  <c r="U76" i="135"/>
  <c r="O76" i="124" s="1"/>
  <c r="U52" i="136"/>
  <c r="P52" i="124" s="1"/>
  <c r="U53" i="136"/>
  <c r="P53" i="124" s="1"/>
  <c r="U54" i="136"/>
  <c r="P54" i="124" s="1"/>
  <c r="U55" i="136"/>
  <c r="P55" i="124" s="1"/>
  <c r="U56" i="136"/>
  <c r="P56" i="124" s="1"/>
  <c r="U57" i="136"/>
  <c r="P57" i="124" s="1"/>
  <c r="U58" i="136"/>
  <c r="P58" i="124" s="1"/>
  <c r="U59" i="136"/>
  <c r="P59" i="124" s="1"/>
  <c r="U60" i="136"/>
  <c r="P60" i="124" s="1"/>
  <c r="U61" i="136"/>
  <c r="P61" i="124" s="1"/>
  <c r="U62" i="136"/>
  <c r="P62" i="124" s="1"/>
  <c r="U63" i="136"/>
  <c r="P63" i="124" s="1"/>
  <c r="U64" i="136"/>
  <c r="P64" i="124" s="1"/>
  <c r="U65" i="136"/>
  <c r="P65" i="124" s="1"/>
  <c r="U66" i="136"/>
  <c r="P66" i="124" s="1"/>
  <c r="U67" i="136"/>
  <c r="P67" i="124" s="1"/>
  <c r="U68" i="136"/>
  <c r="P68" i="124" s="1"/>
  <c r="U69" i="136"/>
  <c r="P69" i="124" s="1"/>
  <c r="U70" i="136"/>
  <c r="P70" i="124" s="1"/>
  <c r="U71" i="136"/>
  <c r="P71" i="124" s="1"/>
  <c r="U72" i="136"/>
  <c r="P72" i="124" s="1"/>
  <c r="U73" i="136"/>
  <c r="P73" i="124" s="1"/>
  <c r="U74" i="136"/>
  <c r="P74" i="124" s="1"/>
  <c r="U75" i="136"/>
  <c r="P75" i="124" s="1"/>
  <c r="U76" i="136"/>
  <c r="P76" i="124" s="1"/>
  <c r="U52" i="125"/>
  <c r="F52" i="124" s="1"/>
  <c r="U53" i="125"/>
  <c r="F53" i="124" s="1"/>
  <c r="U54" i="125"/>
  <c r="F54" i="124" s="1"/>
  <c r="U55" i="125"/>
  <c r="F55" i="124" s="1"/>
  <c r="U56" i="125"/>
  <c r="F56" i="124" s="1"/>
  <c r="U57" i="125"/>
  <c r="F57" i="124" s="1"/>
  <c r="U58" i="125"/>
  <c r="F58" i="124" s="1"/>
  <c r="U59" i="125"/>
  <c r="F59" i="124" s="1"/>
  <c r="U60" i="125"/>
  <c r="F60" i="124" s="1"/>
  <c r="U61" i="125"/>
  <c r="F61" i="124" s="1"/>
  <c r="U62" i="125"/>
  <c r="F62" i="124" s="1"/>
  <c r="U64" i="125"/>
  <c r="F64" i="124" s="1"/>
  <c r="U65" i="125"/>
  <c r="F65" i="124" s="1"/>
  <c r="U66" i="125"/>
  <c r="F66" i="124" s="1"/>
  <c r="U67" i="125"/>
  <c r="F67" i="124" s="1"/>
  <c r="U68" i="125"/>
  <c r="F68" i="124" s="1"/>
  <c r="U69" i="125"/>
  <c r="F69" i="124" s="1"/>
  <c r="U70" i="125"/>
  <c r="F70" i="124" s="1"/>
  <c r="U71" i="125"/>
  <c r="F71" i="124" s="1"/>
  <c r="U72" i="125"/>
  <c r="F72" i="124" s="1"/>
  <c r="U73" i="125"/>
  <c r="F73" i="124" s="1"/>
  <c r="U74" i="125"/>
  <c r="F74" i="124" s="1"/>
  <c r="U75" i="125"/>
  <c r="F75" i="124" s="1"/>
  <c r="U76" i="125"/>
  <c r="F76" i="124" s="1"/>
  <c r="U51" i="131"/>
  <c r="U51" i="132"/>
  <c r="L51" i="124" s="1"/>
  <c r="M51" i="124"/>
  <c r="U51" i="134"/>
  <c r="N51" i="124" s="1"/>
  <c r="U51" i="135"/>
  <c r="O51" i="124" s="1"/>
  <c r="U51" i="136"/>
  <c r="P51" i="124" s="1"/>
  <c r="U51" i="125"/>
  <c r="F51" i="124" s="1"/>
  <c r="U30" i="131"/>
  <c r="U31" i="131"/>
  <c r="U32" i="131"/>
  <c r="U33" i="131"/>
  <c r="U34" i="131"/>
  <c r="U35" i="131"/>
  <c r="U36" i="131"/>
  <c r="U39" i="131"/>
  <c r="U40" i="131"/>
  <c r="U41" i="131"/>
  <c r="U42" i="131"/>
  <c r="U43" i="131"/>
  <c r="U44" i="131"/>
  <c r="U45" i="131"/>
  <c r="U46" i="131"/>
  <c r="U37" i="132"/>
  <c r="L37" i="124" s="1"/>
  <c r="U40" i="132"/>
  <c r="L40" i="124" s="1"/>
  <c r="U41" i="132"/>
  <c r="L41" i="124" s="1"/>
  <c r="U42" i="132"/>
  <c r="L42" i="124" s="1"/>
  <c r="U43" i="132"/>
  <c r="L43" i="124" s="1"/>
  <c r="U44" i="132"/>
  <c r="L44" i="124" s="1"/>
  <c r="U45" i="132"/>
  <c r="L45" i="124" s="1"/>
  <c r="U46" i="132"/>
  <c r="L46" i="124" s="1"/>
  <c r="M30" i="124"/>
  <c r="M31" i="124"/>
  <c r="M32" i="124"/>
  <c r="M33" i="124"/>
  <c r="M34" i="124"/>
  <c r="M35" i="124"/>
  <c r="M36" i="124"/>
  <c r="M37" i="124"/>
  <c r="M38" i="124"/>
  <c r="M39" i="124"/>
  <c r="M40" i="124"/>
  <c r="M41" i="124"/>
  <c r="M42" i="124"/>
  <c r="M43" i="124"/>
  <c r="M44" i="124"/>
  <c r="M45" i="124"/>
  <c r="M46" i="124"/>
  <c r="U30" i="134"/>
  <c r="N30" i="124" s="1"/>
  <c r="U31" i="134"/>
  <c r="N31" i="124" s="1"/>
  <c r="U32" i="134"/>
  <c r="N32" i="124" s="1"/>
  <c r="U33" i="134"/>
  <c r="N33" i="124" s="1"/>
  <c r="U34" i="134"/>
  <c r="N34" i="124" s="1"/>
  <c r="U35" i="134"/>
  <c r="N35" i="124" s="1"/>
  <c r="U36" i="134"/>
  <c r="N36" i="124" s="1"/>
  <c r="U37" i="134"/>
  <c r="N37" i="124" s="1"/>
  <c r="U38" i="134"/>
  <c r="N38" i="124" s="1"/>
  <c r="U39" i="134"/>
  <c r="N39" i="124" s="1"/>
  <c r="U40" i="134"/>
  <c r="N40" i="124" s="1"/>
  <c r="U41" i="134"/>
  <c r="N41" i="124" s="1"/>
  <c r="U42" i="134"/>
  <c r="N42" i="124" s="1"/>
  <c r="U43" i="134"/>
  <c r="N43" i="124" s="1"/>
  <c r="U44" i="134"/>
  <c r="N44" i="124" s="1"/>
  <c r="U45" i="134"/>
  <c r="N45" i="124" s="1"/>
  <c r="U46" i="134"/>
  <c r="N46" i="124" s="1"/>
  <c r="U30" i="135"/>
  <c r="O30" i="124" s="1"/>
  <c r="U31" i="135"/>
  <c r="O31" i="124" s="1"/>
  <c r="U32" i="135"/>
  <c r="O32" i="124" s="1"/>
  <c r="U33" i="135"/>
  <c r="O33" i="124" s="1"/>
  <c r="U34" i="135"/>
  <c r="O34" i="124" s="1"/>
  <c r="U35" i="135"/>
  <c r="O35" i="124" s="1"/>
  <c r="U36" i="135"/>
  <c r="O36" i="124" s="1"/>
  <c r="U37" i="135"/>
  <c r="O37" i="124" s="1"/>
  <c r="U38" i="135"/>
  <c r="O38" i="124" s="1"/>
  <c r="U39" i="135"/>
  <c r="O39" i="124" s="1"/>
  <c r="U40" i="135"/>
  <c r="O40" i="124" s="1"/>
  <c r="U41" i="135"/>
  <c r="O41" i="124" s="1"/>
  <c r="U42" i="135"/>
  <c r="O42" i="124" s="1"/>
  <c r="U43" i="135"/>
  <c r="O43" i="124" s="1"/>
  <c r="U44" i="135"/>
  <c r="O44" i="124" s="1"/>
  <c r="U45" i="135"/>
  <c r="O45" i="124" s="1"/>
  <c r="U46" i="135"/>
  <c r="O46" i="124" s="1"/>
  <c r="U30" i="136"/>
  <c r="P30" i="124" s="1"/>
  <c r="U31" i="136"/>
  <c r="P31" i="124" s="1"/>
  <c r="U32" i="136"/>
  <c r="P32" i="124" s="1"/>
  <c r="U33" i="136"/>
  <c r="P33" i="124" s="1"/>
  <c r="U34" i="136"/>
  <c r="P34" i="124" s="1"/>
  <c r="U35" i="136"/>
  <c r="P35" i="124" s="1"/>
  <c r="U36" i="136"/>
  <c r="P36" i="124" s="1"/>
  <c r="U37" i="136"/>
  <c r="P37" i="124" s="1"/>
  <c r="U38" i="136"/>
  <c r="P38" i="124" s="1"/>
  <c r="U39" i="136"/>
  <c r="P39" i="124" s="1"/>
  <c r="U40" i="136"/>
  <c r="P40" i="124" s="1"/>
  <c r="U41" i="136"/>
  <c r="P41" i="124" s="1"/>
  <c r="U42" i="136"/>
  <c r="P42" i="124" s="1"/>
  <c r="U43" i="136"/>
  <c r="P43" i="124" s="1"/>
  <c r="U44" i="136"/>
  <c r="P44" i="124" s="1"/>
  <c r="U45" i="136"/>
  <c r="P45" i="124" s="1"/>
  <c r="U46" i="136"/>
  <c r="P46" i="124" s="1"/>
  <c r="U30" i="125"/>
  <c r="F30" i="124" s="1"/>
  <c r="U31" i="125"/>
  <c r="F31" i="124" s="1"/>
  <c r="U32" i="125"/>
  <c r="F32" i="124" s="1"/>
  <c r="U33" i="125"/>
  <c r="F33" i="124" s="1"/>
  <c r="U34" i="125"/>
  <c r="F34" i="124" s="1"/>
  <c r="U35" i="125"/>
  <c r="F35" i="124" s="1"/>
  <c r="U36" i="125"/>
  <c r="F36" i="124" s="1"/>
  <c r="U37" i="125"/>
  <c r="F37" i="124" s="1"/>
  <c r="U38" i="125"/>
  <c r="F38" i="124" s="1"/>
  <c r="U39" i="125"/>
  <c r="F39" i="124" s="1"/>
  <c r="U40" i="125"/>
  <c r="F40" i="124" s="1"/>
  <c r="U41" i="125"/>
  <c r="F41" i="124" s="1"/>
  <c r="U42" i="125"/>
  <c r="F42" i="124" s="1"/>
  <c r="U43" i="125"/>
  <c r="F43" i="124" s="1"/>
  <c r="U44" i="125"/>
  <c r="F44" i="124" s="1"/>
  <c r="U45" i="125"/>
  <c r="F45" i="124" s="1"/>
  <c r="U46" i="125"/>
  <c r="F46" i="124" s="1"/>
  <c r="U29" i="131"/>
  <c r="M29" i="124"/>
  <c r="U29" i="134"/>
  <c r="N29" i="124" s="1"/>
  <c r="U29" i="135"/>
  <c r="O29" i="124" s="1"/>
  <c r="U29" i="136"/>
  <c r="P29" i="124" s="1"/>
  <c r="U29" i="125"/>
  <c r="F29" i="124" s="1"/>
  <c r="U10" i="131"/>
  <c r="U11" i="131"/>
  <c r="U12" i="131"/>
  <c r="U13" i="131"/>
  <c r="U14" i="131"/>
  <c r="U16" i="131"/>
  <c r="U17" i="131"/>
  <c r="U20" i="131"/>
  <c r="U21" i="131"/>
  <c r="U22" i="131"/>
  <c r="U23" i="131"/>
  <c r="U24" i="131"/>
  <c r="U25" i="131"/>
  <c r="U26" i="131"/>
  <c r="L10" i="124"/>
  <c r="L11" i="124"/>
  <c r="L12" i="124"/>
  <c r="L13" i="124"/>
  <c r="L14" i="124"/>
  <c r="L15" i="124"/>
  <c r="L16" i="124"/>
  <c r="U17" i="132"/>
  <c r="L17" i="124" s="1"/>
  <c r="U18" i="132"/>
  <c r="L18" i="124" s="1"/>
  <c r="U19" i="132"/>
  <c r="L19" i="124" s="1"/>
  <c r="U20" i="132"/>
  <c r="L20" i="124" s="1"/>
  <c r="U21" i="132"/>
  <c r="L21" i="124" s="1"/>
  <c r="U22" i="132"/>
  <c r="L22" i="124" s="1"/>
  <c r="U23" i="132"/>
  <c r="L23" i="124" s="1"/>
  <c r="U24" i="132"/>
  <c r="L24" i="124" s="1"/>
  <c r="U25" i="132"/>
  <c r="L25" i="124" s="1"/>
  <c r="U26" i="132"/>
  <c r="L26" i="124" s="1"/>
  <c r="M10" i="124"/>
  <c r="M11" i="124"/>
  <c r="M12" i="124"/>
  <c r="M13" i="124"/>
  <c r="M14" i="124"/>
  <c r="M15" i="124"/>
  <c r="M16" i="124"/>
  <c r="M17" i="124"/>
  <c r="M18" i="124"/>
  <c r="M19" i="124"/>
  <c r="M20" i="124"/>
  <c r="M21" i="124"/>
  <c r="M22" i="124"/>
  <c r="M23" i="124"/>
  <c r="M24" i="124"/>
  <c r="M25" i="124"/>
  <c r="M26" i="124"/>
  <c r="U10" i="134"/>
  <c r="N10" i="124" s="1"/>
  <c r="U11" i="134"/>
  <c r="N11" i="124" s="1"/>
  <c r="U12" i="134"/>
  <c r="N12" i="124" s="1"/>
  <c r="U13" i="134"/>
  <c r="N13" i="124" s="1"/>
  <c r="U14" i="134"/>
  <c r="N14" i="124" s="1"/>
  <c r="U15" i="134"/>
  <c r="N15" i="124" s="1"/>
  <c r="U16" i="134"/>
  <c r="U17" i="134"/>
  <c r="N17" i="124" s="1"/>
  <c r="U18" i="134"/>
  <c r="N18" i="124" s="1"/>
  <c r="U19" i="134"/>
  <c r="N19" i="124" s="1"/>
  <c r="U20" i="134"/>
  <c r="N20" i="124" s="1"/>
  <c r="U21" i="134"/>
  <c r="N21" i="124" s="1"/>
  <c r="U22" i="134"/>
  <c r="N22" i="124" s="1"/>
  <c r="U23" i="134"/>
  <c r="N23" i="124" s="1"/>
  <c r="U24" i="134"/>
  <c r="N24" i="124" s="1"/>
  <c r="U25" i="134"/>
  <c r="N25" i="124" s="1"/>
  <c r="U26" i="134"/>
  <c r="N26" i="124" s="1"/>
  <c r="U10" i="135"/>
  <c r="U11" i="135"/>
  <c r="U12" i="135"/>
  <c r="U13" i="135"/>
  <c r="U14" i="135"/>
  <c r="U15" i="135"/>
  <c r="U16" i="135"/>
  <c r="U17" i="135"/>
  <c r="O17" i="124" s="1"/>
  <c r="U18" i="135"/>
  <c r="O18" i="124" s="1"/>
  <c r="U19" i="135"/>
  <c r="O19" i="124" s="1"/>
  <c r="U20" i="135"/>
  <c r="O20" i="124" s="1"/>
  <c r="U21" i="135"/>
  <c r="O21" i="124" s="1"/>
  <c r="U22" i="135"/>
  <c r="O22" i="124" s="1"/>
  <c r="U23" i="135"/>
  <c r="O23" i="124" s="1"/>
  <c r="U24" i="135"/>
  <c r="O24" i="124" s="1"/>
  <c r="U25" i="135"/>
  <c r="O25" i="124" s="1"/>
  <c r="U26" i="135"/>
  <c r="O26" i="124" s="1"/>
  <c r="U10" i="136"/>
  <c r="U11" i="136"/>
  <c r="U12" i="136"/>
  <c r="U13" i="136"/>
  <c r="U14" i="136"/>
  <c r="U15" i="136"/>
  <c r="U16" i="136"/>
  <c r="U17" i="136"/>
  <c r="P17" i="124" s="1"/>
  <c r="U18" i="136"/>
  <c r="P18" i="124" s="1"/>
  <c r="U19" i="136"/>
  <c r="P19" i="124" s="1"/>
  <c r="U20" i="136"/>
  <c r="P20" i="124" s="1"/>
  <c r="U21" i="136"/>
  <c r="P21" i="124" s="1"/>
  <c r="U22" i="136"/>
  <c r="P22" i="124" s="1"/>
  <c r="U23" i="136"/>
  <c r="P23" i="124" s="1"/>
  <c r="U24" i="136"/>
  <c r="P24" i="124" s="1"/>
  <c r="U25" i="136"/>
  <c r="P25" i="124" s="1"/>
  <c r="U26" i="136"/>
  <c r="P26" i="124" s="1"/>
  <c r="U10" i="125"/>
  <c r="F10" i="124" s="1"/>
  <c r="U11" i="125"/>
  <c r="F11" i="124" s="1"/>
  <c r="U12" i="125"/>
  <c r="F12" i="124" s="1"/>
  <c r="U13" i="125"/>
  <c r="F13" i="124" s="1"/>
  <c r="U14" i="125"/>
  <c r="F14" i="124" s="1"/>
  <c r="U15" i="125"/>
  <c r="F15" i="124" s="1"/>
  <c r="U16" i="125"/>
  <c r="F16" i="124" s="1"/>
  <c r="U17" i="125"/>
  <c r="F17" i="124" s="1"/>
  <c r="U18" i="125"/>
  <c r="F18" i="124" s="1"/>
  <c r="U19" i="125"/>
  <c r="F19" i="124" s="1"/>
  <c r="U20" i="125"/>
  <c r="F20" i="124" s="1"/>
  <c r="U21" i="125"/>
  <c r="F21" i="124" s="1"/>
  <c r="U22" i="125"/>
  <c r="F22" i="124" s="1"/>
  <c r="U23" i="125"/>
  <c r="F23" i="124" s="1"/>
  <c r="U24" i="125"/>
  <c r="F24" i="124" s="1"/>
  <c r="U25" i="125"/>
  <c r="F25" i="124" s="1"/>
  <c r="U26" i="125"/>
  <c r="F26" i="124" s="1"/>
  <c r="U9" i="131"/>
  <c r="L9" i="124"/>
  <c r="M9" i="124"/>
  <c r="U9" i="134"/>
  <c r="N9" i="124" s="1"/>
  <c r="U9" i="135"/>
  <c r="U9" i="136"/>
  <c r="U9" i="125"/>
  <c r="F9" i="124" s="1"/>
  <c r="P154" i="124" l="1"/>
  <c r="N16" i="124"/>
  <c r="W16" i="134"/>
  <c r="P15" i="124"/>
  <c r="W15" i="136"/>
  <c r="P10" i="124"/>
  <c r="W10" i="136"/>
  <c r="P16" i="124"/>
  <c r="W16" i="136"/>
  <c r="P14" i="124"/>
  <c r="W14" i="136"/>
  <c r="P9" i="124"/>
  <c r="W9" i="136"/>
  <c r="P13" i="124"/>
  <c r="W13" i="136"/>
  <c r="P12" i="124"/>
  <c r="W12" i="136"/>
  <c r="P11" i="124"/>
  <c r="W11" i="136"/>
  <c r="O15" i="124"/>
  <c r="W15" i="135"/>
  <c r="O14" i="124"/>
  <c r="W14" i="135"/>
  <c r="O9" i="124"/>
  <c r="W9" i="135"/>
  <c r="O16" i="124"/>
  <c r="W16" i="135"/>
  <c r="O13" i="124"/>
  <c r="W13" i="135"/>
  <c r="O10" i="124"/>
  <c r="W10" i="135"/>
  <c r="O12" i="124"/>
  <c r="W12" i="135"/>
  <c r="O11" i="124"/>
  <c r="W11" i="135"/>
  <c r="K29" i="124"/>
  <c r="K34" i="124"/>
  <c r="K112" i="124"/>
  <c r="K146" i="124"/>
  <c r="K147" i="124"/>
  <c r="K21" i="124"/>
  <c r="K36" i="124"/>
  <c r="K22" i="124"/>
  <c r="K10" i="124"/>
  <c r="K35" i="124"/>
  <c r="K71" i="124"/>
  <c r="K57" i="124"/>
  <c r="K151" i="124"/>
  <c r="K20" i="124"/>
  <c r="K45" i="124"/>
  <c r="K33" i="124"/>
  <c r="K70" i="124"/>
  <c r="K59" i="124"/>
  <c r="K89" i="124"/>
  <c r="K101" i="124"/>
  <c r="K128" i="124"/>
  <c r="K154" i="124"/>
  <c r="K58" i="124"/>
  <c r="K88" i="124"/>
  <c r="K100" i="124"/>
  <c r="K127" i="124"/>
  <c r="K141" i="124"/>
  <c r="K155" i="124"/>
  <c r="K69" i="124"/>
  <c r="K74" i="124"/>
  <c r="K106" i="124"/>
  <c r="K110" i="124"/>
  <c r="K109" i="124"/>
  <c r="K92" i="124"/>
  <c r="K131" i="124"/>
  <c r="K119" i="124"/>
  <c r="K144" i="124"/>
  <c r="K39" i="124"/>
  <c r="K116" i="124"/>
  <c r="K115" i="124"/>
  <c r="K62" i="124"/>
  <c r="K53" i="124"/>
  <c r="K52" i="124"/>
  <c r="K107" i="124"/>
  <c r="K23" i="124"/>
  <c r="K11" i="124"/>
  <c r="K72" i="124"/>
  <c r="K60" i="124"/>
  <c r="K90" i="124"/>
  <c r="K102" i="124"/>
  <c r="K129" i="124"/>
  <c r="K117" i="124"/>
  <c r="K80" i="124"/>
  <c r="K38" i="124"/>
  <c r="K108" i="124"/>
  <c r="K24" i="124"/>
  <c r="K12" i="124"/>
  <c r="K73" i="124"/>
  <c r="K61" i="124"/>
  <c r="K91" i="124"/>
  <c r="K96" i="124"/>
  <c r="K130" i="124"/>
  <c r="K118" i="124"/>
  <c r="K143" i="124"/>
  <c r="K145" i="124"/>
  <c r="K142" i="124"/>
  <c r="K19" i="124"/>
  <c r="K44" i="124"/>
  <c r="K32" i="124"/>
  <c r="K87" i="124"/>
  <c r="K99" i="124"/>
  <c r="K138" i="124"/>
  <c r="K126" i="124"/>
  <c r="K18" i="124"/>
  <c r="K43" i="124"/>
  <c r="K31" i="124"/>
  <c r="K68" i="124"/>
  <c r="K56" i="124"/>
  <c r="K86" i="124"/>
  <c r="K98" i="124"/>
  <c r="K137" i="124"/>
  <c r="K125" i="124"/>
  <c r="K150" i="124"/>
  <c r="K26" i="124"/>
  <c r="K14" i="124"/>
  <c r="K40" i="124"/>
  <c r="K76" i="124"/>
  <c r="K82" i="124"/>
  <c r="K111" i="124"/>
  <c r="K133" i="124"/>
  <c r="K121" i="124"/>
  <c r="K17" i="124"/>
  <c r="K30" i="124"/>
  <c r="K67" i="124"/>
  <c r="K85" i="124"/>
  <c r="K136" i="124"/>
  <c r="K149" i="124"/>
  <c r="K25" i="124"/>
  <c r="K75" i="124"/>
  <c r="K79" i="124"/>
  <c r="K120" i="124"/>
  <c r="K16" i="124"/>
  <c r="K41" i="124"/>
  <c r="K66" i="124"/>
  <c r="K54" i="124"/>
  <c r="K84" i="124"/>
  <c r="K105" i="124"/>
  <c r="K135" i="124"/>
  <c r="K123" i="124"/>
  <c r="K148" i="124"/>
  <c r="K42" i="124"/>
  <c r="K55" i="124"/>
  <c r="K97" i="124"/>
  <c r="K124" i="124"/>
  <c r="K13" i="124"/>
  <c r="K63" i="124"/>
  <c r="K81" i="124"/>
  <c r="K132" i="124"/>
  <c r="K9" i="124"/>
  <c r="K51" i="124"/>
  <c r="K83" i="124"/>
  <c r="K134" i="124"/>
  <c r="K122" i="124"/>
  <c r="F56" i="58" l="1"/>
  <c r="G56" i="58" s="1"/>
  <c r="F50" i="58"/>
  <c r="G50" i="58" s="1"/>
  <c r="F49" i="58"/>
  <c r="G49" i="58" s="1"/>
  <c r="F48" i="58"/>
  <c r="G48" i="58" s="1"/>
  <c r="F47" i="58"/>
  <c r="G47" i="58" s="1"/>
  <c r="G54" i="58"/>
  <c r="G53" i="58"/>
  <c r="G52" i="58"/>
  <c r="G51" i="58"/>
  <c r="I74" i="115"/>
  <c r="O10" i="115" s="1"/>
  <c r="H74" i="115"/>
  <c r="G74" i="115"/>
  <c r="O9" i="115" s="1"/>
  <c r="F74" i="115"/>
  <c r="E74" i="115"/>
  <c r="I65" i="115"/>
  <c r="N10" i="115" s="1"/>
  <c r="H65" i="115"/>
  <c r="G65" i="115"/>
  <c r="N9" i="115" s="1"/>
  <c r="F65" i="115"/>
  <c r="E65" i="115"/>
  <c r="I56" i="115"/>
  <c r="M10" i="115" s="1"/>
  <c r="H56" i="115"/>
  <c r="G56" i="115"/>
  <c r="M9" i="115" s="1"/>
  <c r="F56" i="115"/>
  <c r="E56" i="115"/>
  <c r="I47" i="115"/>
  <c r="L10" i="115" s="1"/>
  <c r="H47" i="115"/>
  <c r="G47" i="115"/>
  <c r="L9" i="115" s="1"/>
  <c r="F47" i="115"/>
  <c r="E47" i="115"/>
  <c r="I38" i="115"/>
  <c r="K10" i="115" s="1"/>
  <c r="H38" i="115"/>
  <c r="G38" i="115"/>
  <c r="K9" i="115" s="1"/>
  <c r="F38" i="115"/>
  <c r="E38" i="115"/>
  <c r="I29" i="115"/>
  <c r="H10" i="115" s="1"/>
  <c r="H29" i="115"/>
  <c r="G29" i="115"/>
  <c r="I9" i="115" s="1"/>
  <c r="F29" i="115"/>
  <c r="E29" i="115"/>
  <c r="F20" i="115"/>
  <c r="G20" i="115"/>
  <c r="E9" i="115" s="1"/>
  <c r="F9" i="115" s="1"/>
  <c r="H20" i="115"/>
  <c r="I20" i="115"/>
  <c r="E10" i="115" s="1"/>
  <c r="F10" i="115" s="1"/>
  <c r="E20" i="115"/>
  <c r="F19" i="116"/>
  <c r="E19" i="116"/>
  <c r="F37" i="58" s="1"/>
  <c r="G19" i="116"/>
  <c r="H19" i="116"/>
  <c r="I19" i="116"/>
  <c r="J19" i="116"/>
  <c r="K19" i="116"/>
  <c r="L19" i="116"/>
  <c r="M19" i="116"/>
  <c r="N19" i="116"/>
  <c r="O19" i="116"/>
  <c r="D19" i="116"/>
  <c r="F30" i="58"/>
  <c r="H19" i="158"/>
  <c r="H14" i="158"/>
  <c r="I157" i="124"/>
  <c r="J156" i="124"/>
  <c r="I156" i="124"/>
  <c r="H156" i="124"/>
  <c r="H157" i="124" s="1"/>
  <c r="E156" i="124"/>
  <c r="E157" i="124" s="1"/>
  <c r="J152" i="124"/>
  <c r="I152" i="124"/>
  <c r="H152" i="124"/>
  <c r="E152" i="124"/>
  <c r="J139" i="124"/>
  <c r="I139" i="124"/>
  <c r="H139" i="124"/>
  <c r="E139" i="124"/>
  <c r="J113" i="124"/>
  <c r="I113" i="124"/>
  <c r="H113" i="124"/>
  <c r="E113" i="124"/>
  <c r="J103" i="124"/>
  <c r="I103" i="124"/>
  <c r="H103" i="124"/>
  <c r="E103" i="124"/>
  <c r="I94" i="124"/>
  <c r="J93" i="124"/>
  <c r="I93" i="124"/>
  <c r="H93" i="124"/>
  <c r="H94" i="124" s="1"/>
  <c r="E93" i="124"/>
  <c r="E94" i="124" s="1"/>
  <c r="I77" i="124"/>
  <c r="E77" i="124"/>
  <c r="I48" i="124"/>
  <c r="I47" i="124"/>
  <c r="H47" i="124"/>
  <c r="E47" i="124"/>
  <c r="E48" i="124" s="1"/>
  <c r="I27" i="124"/>
  <c r="P156" i="124"/>
  <c r="P152" i="124"/>
  <c r="U139" i="136"/>
  <c r="P139" i="124" s="1"/>
  <c r="U113" i="136"/>
  <c r="P113" i="124" s="1"/>
  <c r="U103" i="136"/>
  <c r="P103" i="124" s="1"/>
  <c r="U93" i="136"/>
  <c r="P93" i="124" s="1"/>
  <c r="U77" i="136"/>
  <c r="U47" i="136"/>
  <c r="P47" i="124" s="1"/>
  <c r="U27" i="136"/>
  <c r="W27" i="136" s="1"/>
  <c r="U139" i="135"/>
  <c r="O139" i="124" s="1"/>
  <c r="U113" i="135"/>
  <c r="O113" i="124" s="1"/>
  <c r="U103" i="135"/>
  <c r="O103" i="124" s="1"/>
  <c r="U93" i="135"/>
  <c r="U77" i="135"/>
  <c r="O77" i="124" s="1"/>
  <c r="U47" i="135"/>
  <c r="U27" i="135"/>
  <c r="U139" i="134"/>
  <c r="N139" i="124" s="1"/>
  <c r="U113" i="134"/>
  <c r="N113" i="124" s="1"/>
  <c r="U103" i="134"/>
  <c r="N103" i="124" s="1"/>
  <c r="U93" i="134"/>
  <c r="U77" i="134"/>
  <c r="N77" i="124" s="1"/>
  <c r="U47" i="134"/>
  <c r="N47" i="124" s="1"/>
  <c r="U27" i="134"/>
  <c r="W27" i="134" s="1"/>
  <c r="M113" i="124"/>
  <c r="M103" i="124"/>
  <c r="M93" i="124"/>
  <c r="M77" i="124"/>
  <c r="M47" i="124"/>
  <c r="U114" i="132"/>
  <c r="U104" i="132"/>
  <c r="U94" i="132"/>
  <c r="L93" i="124" s="1"/>
  <c r="U78" i="132"/>
  <c r="U27" i="132"/>
  <c r="U155" i="131"/>
  <c r="U151" i="131"/>
  <c r="U138" i="131"/>
  <c r="U112" i="131"/>
  <c r="U102" i="131"/>
  <c r="U92" i="131"/>
  <c r="U156" i="125"/>
  <c r="F156" i="124" s="1"/>
  <c r="U152" i="125"/>
  <c r="F152" i="124" s="1"/>
  <c r="U139" i="125"/>
  <c r="F139" i="124" s="1"/>
  <c r="U113" i="125"/>
  <c r="F113" i="124" s="1"/>
  <c r="U103" i="125"/>
  <c r="F103" i="124" s="1"/>
  <c r="U93" i="125"/>
  <c r="F93" i="124" s="1"/>
  <c r="U77" i="125"/>
  <c r="U47" i="125"/>
  <c r="F47" i="124" s="1"/>
  <c r="U27" i="125"/>
  <c r="F19" i="58"/>
  <c r="G19" i="58" s="1"/>
  <c r="F9" i="58"/>
  <c r="G9" i="58" s="1"/>
  <c r="H27" i="124"/>
  <c r="E27" i="124"/>
  <c r="H133" i="71"/>
  <c r="I133" i="71" s="1"/>
  <c r="H132" i="71"/>
  <c r="I132" i="71" s="1"/>
  <c r="H128" i="71"/>
  <c r="I128" i="71" s="1"/>
  <c r="H127" i="71"/>
  <c r="I127" i="71" s="1"/>
  <c r="H123" i="71"/>
  <c r="I123" i="71" s="1"/>
  <c r="H122" i="71"/>
  <c r="I122" i="71" s="1"/>
  <c r="H114" i="71"/>
  <c r="I114" i="71" s="1"/>
  <c r="H113" i="71"/>
  <c r="I113" i="71" s="1"/>
  <c r="H109" i="71"/>
  <c r="I109" i="71" s="1"/>
  <c r="H108" i="71"/>
  <c r="I108" i="71" s="1"/>
  <c r="H104" i="71"/>
  <c r="I104" i="71" s="1"/>
  <c r="H103" i="71"/>
  <c r="I103" i="71" s="1"/>
  <c r="H95" i="71"/>
  <c r="I95" i="71" s="1"/>
  <c r="H94" i="71"/>
  <c r="I94" i="71" s="1"/>
  <c r="H90" i="71"/>
  <c r="I90" i="71" s="1"/>
  <c r="H89" i="71"/>
  <c r="I89" i="71" s="1"/>
  <c r="H85" i="71"/>
  <c r="I85" i="71" s="1"/>
  <c r="H84" i="71"/>
  <c r="I84" i="71" s="1"/>
  <c r="I75" i="71"/>
  <c r="H57" i="71"/>
  <c r="I57" i="71" s="1"/>
  <c r="H56" i="71"/>
  <c r="I56" i="71" s="1"/>
  <c r="H52" i="71"/>
  <c r="I52" i="71" s="1"/>
  <c r="H51" i="71"/>
  <c r="I51" i="71" s="1"/>
  <c r="H47" i="71"/>
  <c r="I47" i="71" s="1"/>
  <c r="H46" i="71"/>
  <c r="I46" i="71" s="1"/>
  <c r="H38" i="71"/>
  <c r="I38" i="71" s="1"/>
  <c r="H37" i="71"/>
  <c r="I37" i="71" s="1"/>
  <c r="H33" i="71"/>
  <c r="I33" i="71" s="1"/>
  <c r="H32" i="71"/>
  <c r="I32" i="71" s="1"/>
  <c r="H28" i="71"/>
  <c r="I28" i="71" s="1"/>
  <c r="H27" i="71"/>
  <c r="I27" i="71" s="1"/>
  <c r="H19" i="71"/>
  <c r="I19" i="71" s="1"/>
  <c r="H18" i="71"/>
  <c r="I18" i="71" s="1"/>
  <c r="H14" i="71"/>
  <c r="I14" i="71" s="1"/>
  <c r="H13" i="71"/>
  <c r="I13" i="71" s="1"/>
  <c r="H9" i="71"/>
  <c r="I9" i="71" s="1"/>
  <c r="H8" i="71"/>
  <c r="I8" i="71" s="1"/>
  <c r="G152" i="124" l="1"/>
  <c r="L113" i="124"/>
  <c r="L103" i="124"/>
  <c r="L27" i="124"/>
  <c r="F10" i="58"/>
  <c r="G10" i="58" s="1"/>
  <c r="O27" i="124"/>
  <c r="W27" i="135"/>
  <c r="O47" i="124"/>
  <c r="W47" i="135"/>
  <c r="M27" i="124"/>
  <c r="I10" i="115"/>
  <c r="L11" i="115"/>
  <c r="N11" i="115"/>
  <c r="K11" i="115"/>
  <c r="H9" i="115"/>
  <c r="M11" i="115"/>
  <c r="O11" i="115"/>
  <c r="H48" i="124"/>
  <c r="H77" i="124" s="1"/>
  <c r="F12" i="58"/>
  <c r="G12" i="58" s="1"/>
  <c r="F11" i="58"/>
  <c r="G11" i="58" s="1"/>
  <c r="G37" i="58"/>
  <c r="F15" i="58"/>
  <c r="G15" i="58" s="1"/>
  <c r="G30" i="58"/>
  <c r="F31" i="58"/>
  <c r="J9" i="115"/>
  <c r="F36" i="58"/>
  <c r="J10" i="115"/>
  <c r="F35" i="58"/>
  <c r="G35" i="58" s="1"/>
  <c r="G103" i="124"/>
  <c r="G139" i="124"/>
  <c r="G93" i="124"/>
  <c r="G113" i="124"/>
  <c r="U48" i="136"/>
  <c r="P48" i="124" s="1"/>
  <c r="G156" i="124"/>
  <c r="U48" i="125"/>
  <c r="F48" i="124" s="1"/>
  <c r="G48" i="124" s="1"/>
  <c r="U48" i="134"/>
  <c r="U94" i="135"/>
  <c r="O94" i="124" s="1"/>
  <c r="U94" i="125"/>
  <c r="F94" i="124" s="1"/>
  <c r="G94" i="124" s="1"/>
  <c r="K93" i="124"/>
  <c r="U94" i="136"/>
  <c r="P94" i="124" s="1"/>
  <c r="K152" i="124"/>
  <c r="U94" i="134"/>
  <c r="N94" i="124" s="1"/>
  <c r="F27" i="124"/>
  <c r="G27" i="124" s="1"/>
  <c r="F77" i="124"/>
  <c r="G77" i="124" s="1"/>
  <c r="K156" i="124"/>
  <c r="P77" i="124"/>
  <c r="P27" i="124"/>
  <c r="U48" i="135"/>
  <c r="O48" i="124" s="1"/>
  <c r="O93" i="124"/>
  <c r="N27" i="124"/>
  <c r="N93" i="124"/>
  <c r="M94" i="124"/>
  <c r="U95" i="132"/>
  <c r="L77" i="124"/>
  <c r="K103" i="124"/>
  <c r="K139" i="124"/>
  <c r="K113" i="124"/>
  <c r="G47" i="124"/>
  <c r="L94" i="124" l="1"/>
  <c r="N48" i="124"/>
  <c r="M48" i="124"/>
  <c r="G36" i="58"/>
  <c r="G31" i="58"/>
  <c r="F16" i="58"/>
  <c r="G16" i="58" s="1"/>
  <c r="F29" i="58"/>
  <c r="U157" i="125"/>
  <c r="F157" i="124" s="1"/>
  <c r="G157" i="124" s="1"/>
  <c r="U157" i="136"/>
  <c r="U160" i="136" s="1"/>
  <c r="W157" i="136" s="1"/>
  <c r="P157" i="124" l="1"/>
  <c r="G29" i="58"/>
  <c r="F14" i="58"/>
  <c r="G14" i="58" s="1"/>
  <c r="F57" i="58" l="1"/>
  <c r="G57" i="58"/>
  <c r="E57" i="58"/>
  <c r="E40" i="58"/>
  <c r="E21" i="58"/>
  <c r="F33" i="58" l="1"/>
  <c r="G33" i="58" l="1"/>
  <c r="F20" i="58"/>
  <c r="G20" i="58" s="1"/>
  <c r="B71" i="115"/>
  <c r="B72" i="115" s="1"/>
  <c r="B62" i="115"/>
  <c r="B63" i="115" s="1"/>
  <c r="B53" i="115"/>
  <c r="B54" i="115" s="1"/>
  <c r="B44" i="115"/>
  <c r="B45" i="115" s="1"/>
  <c r="B35" i="115"/>
  <c r="B36" i="115" s="1"/>
  <c r="B26" i="115"/>
  <c r="B27" i="115" s="1"/>
  <c r="B17" i="115"/>
  <c r="B18" i="115" s="1"/>
  <c r="B48" i="58" l="1"/>
  <c r="B49" i="58" s="1"/>
  <c r="B50" i="58" s="1"/>
  <c r="B51" i="58" s="1"/>
  <c r="B52" i="58" s="1"/>
  <c r="B53" i="58" s="1"/>
  <c r="B54" i="58" s="1"/>
  <c r="B30" i="58"/>
  <c r="B31" i="58" s="1"/>
  <c r="B32" i="58" s="1"/>
  <c r="B33" i="58" s="1"/>
  <c r="B10" i="58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34" i="58" l="1"/>
  <c r="B38" i="58" s="1"/>
  <c r="B40" i="58" s="1"/>
  <c r="B133" i="71" l="1"/>
  <c r="B128" i="71"/>
  <c r="B123" i="71"/>
  <c r="B114" i="71"/>
  <c r="B109" i="71"/>
  <c r="B104" i="71"/>
  <c r="B95" i="71"/>
  <c r="B90" i="71"/>
  <c r="B85" i="71"/>
  <c r="B76" i="71"/>
  <c r="B71" i="71"/>
  <c r="B66" i="71"/>
  <c r="B57" i="71"/>
  <c r="B52" i="71"/>
  <c r="B47" i="71"/>
  <c r="B38" i="71"/>
  <c r="B33" i="71"/>
  <c r="B28" i="71"/>
  <c r="B19" i="71"/>
  <c r="B14" i="71"/>
  <c r="B9" i="71"/>
  <c r="B10" i="116" l="1"/>
  <c r="B11" i="116" s="1"/>
  <c r="B12" i="116" s="1"/>
  <c r="B13" i="116" s="1"/>
  <c r="B14" i="116" s="1"/>
  <c r="B15" i="116" s="1"/>
  <c r="B16" i="116" s="1"/>
  <c r="B17" i="116" s="1"/>
  <c r="B18" i="116" s="1"/>
  <c r="B10" i="115"/>
  <c r="B8" i="57" l="1"/>
  <c r="B9" i="57" s="1"/>
  <c r="B10" i="57" s="1"/>
  <c r="B11" i="57" s="1"/>
  <c r="R27" i="131" l="1"/>
  <c r="Q47" i="131"/>
  <c r="T76" i="131" l="1"/>
  <c r="T93" i="131" s="1"/>
  <c r="Q76" i="131"/>
  <c r="S76" i="131"/>
  <c r="S93" i="131" s="1"/>
  <c r="P47" i="131"/>
  <c r="P48" i="131" s="1"/>
  <c r="P156" i="131" s="1"/>
  <c r="T47" i="131"/>
  <c r="R47" i="131"/>
  <c r="R48" i="131" s="1"/>
  <c r="S47" i="131"/>
  <c r="Q93" i="131" l="1"/>
  <c r="Q27" i="131"/>
  <c r="O47" i="131"/>
  <c r="J37" i="124"/>
  <c r="K37" i="124" s="1"/>
  <c r="T27" i="131"/>
  <c r="T48" i="131" s="1"/>
  <c r="T156" i="131" s="1"/>
  <c r="Q48" i="131" l="1"/>
  <c r="Q156" i="131" s="1"/>
  <c r="R76" i="131"/>
  <c r="J64" i="124"/>
  <c r="K64" i="124" s="1"/>
  <c r="U63" i="131"/>
  <c r="O48" i="131"/>
  <c r="U47" i="131"/>
  <c r="J47" i="124"/>
  <c r="K47" i="124" s="1"/>
  <c r="R93" i="131" l="1"/>
  <c r="J77" i="124"/>
  <c r="K77" i="124" s="1"/>
  <c r="U76" i="131"/>
  <c r="U93" i="131" s="1"/>
  <c r="S27" i="131"/>
  <c r="J15" i="124"/>
  <c r="K15" i="124" s="1"/>
  <c r="U15" i="131"/>
  <c r="O156" i="131"/>
  <c r="S48" i="131" l="1"/>
  <c r="J27" i="124"/>
  <c r="K27" i="124" s="1"/>
  <c r="U27" i="131"/>
  <c r="U48" i="131" s="1"/>
  <c r="U156" i="131" s="1"/>
  <c r="R156" i="131"/>
  <c r="J94" i="124"/>
  <c r="K94" i="124" s="1"/>
  <c r="S156" i="131" l="1"/>
  <c r="J157" i="124" s="1"/>
  <c r="K157" i="124" s="1"/>
  <c r="J48" i="124"/>
  <c r="K48" i="124" s="1"/>
  <c r="F21" i="58" l="1"/>
  <c r="G21" i="58"/>
  <c r="F32" i="58" l="1"/>
  <c r="G32" i="58" l="1"/>
  <c r="F18" i="58"/>
  <c r="G18" i="58" s="1"/>
  <c r="F39" i="58" l="1"/>
  <c r="F40" i="58" s="1"/>
  <c r="G39" i="58" l="1"/>
  <c r="G40" i="58" s="1"/>
  <c r="K471" i="241" l="1"/>
  <c r="N471" i="241"/>
  <c r="J471" i="241"/>
  <c r="I471" i="241"/>
  <c r="P471" i="241"/>
  <c r="H471" i="241"/>
  <c r="M471" i="241"/>
  <c r="F471" i="241"/>
  <c r="O471" i="241"/>
  <c r="L471" i="241"/>
  <c r="G471" i="241"/>
  <c r="M122" i="241" l="1"/>
  <c r="M141" i="241" s="1"/>
  <c r="M490" i="241"/>
  <c r="H122" i="241"/>
  <c r="H141" i="241" s="1"/>
  <c r="H490" i="241"/>
  <c r="P122" i="241"/>
  <c r="P141" i="241" s="1"/>
  <c r="P490" i="241"/>
  <c r="G122" i="241"/>
  <c r="G141" i="241" s="1"/>
  <c r="G490" i="241"/>
  <c r="I122" i="241"/>
  <c r="I141" i="241" s="1"/>
  <c r="I490" i="241"/>
  <c r="L122" i="241"/>
  <c r="L141" i="241" s="1"/>
  <c r="L490" i="241"/>
  <c r="J122" i="241"/>
  <c r="J141" i="241" s="1"/>
  <c r="J490" i="241"/>
  <c r="O122" i="241"/>
  <c r="O141" i="241" s="1"/>
  <c r="O490" i="241"/>
  <c r="N122" i="241"/>
  <c r="N141" i="241" s="1"/>
  <c r="N490" i="241"/>
  <c r="E471" i="241"/>
  <c r="K122" i="241"/>
  <c r="K141" i="241" s="1"/>
  <c r="K490" i="241"/>
  <c r="F122" i="241"/>
  <c r="F141" i="241" s="1"/>
  <c r="F490" i="241"/>
  <c r="J139" i="233" l="1"/>
  <c r="M139" i="233"/>
  <c r="F139" i="233"/>
  <c r="I139" i="233"/>
  <c r="K139" i="233"/>
  <c r="L139" i="233"/>
  <c r="O139" i="233"/>
  <c r="H139" i="233"/>
  <c r="G139" i="233"/>
  <c r="P139" i="233"/>
  <c r="N139" i="233"/>
  <c r="Q120" i="233"/>
  <c r="P121" i="226" s="1"/>
  <c r="P140" i="226" s="1"/>
  <c r="E139" i="233"/>
  <c r="E122" i="241"/>
  <c r="E490" i="241"/>
  <c r="Q471" i="241"/>
  <c r="P462" i="234" s="1"/>
  <c r="Q139" i="233" l="1"/>
  <c r="E141" i="241"/>
  <c r="Q122" i="241"/>
  <c r="P121" i="234" s="1"/>
  <c r="Q490" i="241"/>
  <c r="P481" i="234" s="1"/>
  <c r="Q141" i="241" l="1"/>
  <c r="P140" i="234" l="1"/>
  <c r="O157" i="233" l="1"/>
  <c r="Q154" i="233"/>
  <c r="M152" i="233" l="1"/>
  <c r="P155" i="226"/>
  <c r="F152" i="233" l="1"/>
  <c r="H152" i="233"/>
  <c r="N152" i="233"/>
  <c r="P152" i="233"/>
  <c r="N522" i="241"/>
  <c r="F522" i="241"/>
  <c r="F524" i="241" l="1"/>
  <c r="F175" i="241"/>
  <c r="N175" i="241"/>
  <c r="N177" i="241" s="1"/>
  <c r="N524" i="241"/>
  <c r="L152" i="233"/>
  <c r="I152" i="233"/>
  <c r="J152" i="233"/>
  <c r="M522" i="241"/>
  <c r="L522" i="241"/>
  <c r="H522" i="241"/>
  <c r="F350" i="241"/>
  <c r="F177" i="241"/>
  <c r="I522" i="241"/>
  <c r="P522" i="241"/>
  <c r="N350" i="241"/>
  <c r="J522" i="241"/>
  <c r="L524" i="241" l="1"/>
  <c r="L175" i="241"/>
  <c r="H175" i="241"/>
  <c r="H177" i="241" s="1"/>
  <c r="H524" i="241"/>
  <c r="M524" i="241"/>
  <c r="M175" i="241"/>
  <c r="M177" i="241" s="1"/>
  <c r="J524" i="241"/>
  <c r="J175" i="241"/>
  <c r="J177" i="241" s="1"/>
  <c r="P175" i="241"/>
  <c r="P177" i="241" s="1"/>
  <c r="P524" i="241"/>
  <c r="I524" i="241"/>
  <c r="I175" i="241"/>
  <c r="I177" i="241" s="1"/>
  <c r="G152" i="233"/>
  <c r="K152" i="233"/>
  <c r="O152" i="233"/>
  <c r="O158" i="233" s="1"/>
  <c r="O522" i="241"/>
  <c r="M143" i="241"/>
  <c r="M173" i="241" s="1"/>
  <c r="M520" i="241"/>
  <c r="J350" i="241"/>
  <c r="I350" i="241"/>
  <c r="K522" i="241"/>
  <c r="L350" i="241"/>
  <c r="L177" i="241"/>
  <c r="P350" i="241"/>
  <c r="M350" i="241"/>
  <c r="H350" i="241"/>
  <c r="G522" i="241"/>
  <c r="E522" i="241"/>
  <c r="M525" i="241" l="1"/>
  <c r="K524" i="241"/>
  <c r="K175" i="241"/>
  <c r="K177" i="241" s="1"/>
  <c r="E175" i="241"/>
  <c r="E524" i="241"/>
  <c r="Q522" i="241"/>
  <c r="O175" i="241"/>
  <c r="O177" i="241" s="1"/>
  <c r="O524" i="241"/>
  <c r="G524" i="241"/>
  <c r="G175" i="241"/>
  <c r="G177" i="241" s="1"/>
  <c r="M178" i="241"/>
  <c r="E350" i="241"/>
  <c r="P339" i="234"/>
  <c r="K350" i="241"/>
  <c r="G350" i="241"/>
  <c r="F143" i="241"/>
  <c r="F173" i="241" s="1"/>
  <c r="F178" i="241" s="1"/>
  <c r="F520" i="241"/>
  <c r="F525" i="241" s="1"/>
  <c r="P143" i="241"/>
  <c r="P173" i="241" s="1"/>
  <c r="P178" i="241" s="1"/>
  <c r="P520" i="241"/>
  <c r="P525" i="241" s="1"/>
  <c r="O350" i="241"/>
  <c r="Q141" i="233"/>
  <c r="P142" i="226" s="1"/>
  <c r="E152" i="233"/>
  <c r="Q152" i="233" s="1"/>
  <c r="P153" i="226" s="1"/>
  <c r="H143" i="241"/>
  <c r="H173" i="241" s="1"/>
  <c r="H178" i="241" s="1"/>
  <c r="H520" i="241"/>
  <c r="H525" i="241" s="1"/>
  <c r="N143" i="241"/>
  <c r="N173" i="241" s="1"/>
  <c r="N178" i="241" s="1"/>
  <c r="N520" i="241"/>
  <c r="N525" i="241" s="1"/>
  <c r="P509" i="234" l="1"/>
  <c r="Q524" i="241"/>
  <c r="P512" i="234" s="1"/>
  <c r="E177" i="241"/>
  <c r="Q177" i="241" s="1"/>
  <c r="Q175" i="241"/>
  <c r="Q349" i="241"/>
  <c r="P342" i="234" s="1"/>
  <c r="J143" i="241" l="1"/>
  <c r="J173" i="241" s="1"/>
  <c r="J178" i="241" s="1"/>
  <c r="J520" i="241"/>
  <c r="J525" i="241" s="1"/>
  <c r="Q350" i="241"/>
  <c r="P343" i="234" s="1"/>
  <c r="I143" i="241"/>
  <c r="I173" i="241" s="1"/>
  <c r="I178" i="241" s="1"/>
  <c r="I520" i="241"/>
  <c r="I525" i="241" s="1"/>
  <c r="E143" i="241"/>
  <c r="E520" i="241"/>
  <c r="P168" i="234"/>
  <c r="P171" i="234" s="1"/>
  <c r="L143" i="241" l="1"/>
  <c r="L173" i="241" s="1"/>
  <c r="L178" i="241" s="1"/>
  <c r="L520" i="241"/>
  <c r="L525" i="241" s="1"/>
  <c r="E525" i="241"/>
  <c r="E173" i="241"/>
  <c r="K143" i="241"/>
  <c r="K173" i="241" s="1"/>
  <c r="K178" i="241" s="1"/>
  <c r="K520" i="241"/>
  <c r="K525" i="241" s="1"/>
  <c r="E178" i="241" l="1"/>
  <c r="G143" i="241"/>
  <c r="G520" i="241"/>
  <c r="Q492" i="241"/>
  <c r="P500" i="234" s="1"/>
  <c r="O143" i="241"/>
  <c r="O173" i="241" s="1"/>
  <c r="O178" i="241" s="1"/>
  <c r="O520" i="241"/>
  <c r="O525" i="241" s="1"/>
  <c r="G525" i="241" l="1"/>
  <c r="Q520" i="241"/>
  <c r="G173" i="241"/>
  <c r="Q143" i="241"/>
  <c r="P144" i="234" l="1"/>
  <c r="P166" i="234" s="1"/>
  <c r="P172" i="234" s="1"/>
  <c r="Q525" i="241"/>
  <c r="P513" i="234" s="1"/>
  <c r="P507" i="234"/>
  <c r="G178" i="241"/>
  <c r="Q173" i="241"/>
  <c r="Q178" i="241" l="1"/>
  <c r="P47" i="58" s="1"/>
  <c r="P9" i="58" s="1"/>
  <c r="K116" i="211" l="1"/>
  <c r="K14" i="211" l="1"/>
  <c r="K157" i="211" l="1"/>
  <c r="K163" i="211"/>
  <c r="K199" i="211" l="1"/>
  <c r="K178" i="211" l="1"/>
  <c r="K177" i="211" l="1"/>
  <c r="J147" i="211" l="1"/>
  <c r="J149" i="211" l="1"/>
  <c r="L149" i="211" s="1"/>
  <c r="M149" i="211" s="1"/>
  <c r="H149" i="211"/>
  <c r="J148" i="211"/>
  <c r="L148" i="211" s="1"/>
  <c r="M148" i="211" s="1"/>
  <c r="H148" i="211"/>
  <c r="J146" i="211"/>
  <c r="J150" i="211"/>
  <c r="L150" i="211" s="1"/>
  <c r="M150" i="211" s="1"/>
  <c r="H150" i="211"/>
  <c r="J189" i="211" l="1"/>
  <c r="L189" i="211" s="1"/>
  <c r="M189" i="211" s="1"/>
  <c r="H189" i="211"/>
  <c r="J190" i="211"/>
  <c r="L190" i="211" s="1"/>
  <c r="M190" i="211" s="1"/>
  <c r="H190" i="211"/>
  <c r="J192" i="211"/>
  <c r="L192" i="211" s="1"/>
  <c r="M192" i="211" s="1"/>
  <c r="H192" i="211"/>
  <c r="J178" i="211"/>
  <c r="L178" i="211" s="1"/>
  <c r="M178" i="211" s="1"/>
  <c r="H178" i="211"/>
  <c r="J191" i="211"/>
  <c r="L191" i="211" s="1"/>
  <c r="M191" i="211" s="1"/>
  <c r="H191" i="211"/>
  <c r="J188" i="211" l="1"/>
  <c r="L188" i="211" s="1"/>
  <c r="M188" i="211" s="1"/>
  <c r="H188" i="211"/>
  <c r="J179" i="211"/>
  <c r="L179" i="211" s="1"/>
  <c r="M179" i="211" s="1"/>
  <c r="H179" i="211"/>
  <c r="J181" i="211" l="1"/>
  <c r="L181" i="211" s="1"/>
  <c r="M181" i="211" s="1"/>
  <c r="H181" i="211"/>
  <c r="J180" i="211"/>
  <c r="L180" i="211" s="1"/>
  <c r="M180" i="211" s="1"/>
  <c r="H180" i="211"/>
  <c r="J177" i="211" l="1"/>
  <c r="L177" i="211" s="1"/>
  <c r="M177" i="211" s="1"/>
  <c r="H177" i="211"/>
  <c r="J98" i="211" l="1"/>
  <c r="J99" i="211" l="1"/>
  <c r="L99" i="211" s="1"/>
  <c r="M99" i="211" s="1"/>
  <c r="H99" i="211"/>
  <c r="J101" i="211" l="1"/>
  <c r="L101" i="211" s="1"/>
  <c r="M101" i="211" s="1"/>
  <c r="H101" i="211"/>
  <c r="J100" i="211"/>
  <c r="L100" i="211" s="1"/>
  <c r="M100" i="211" s="1"/>
  <c r="H100" i="211"/>
  <c r="J97" i="211" l="1"/>
  <c r="K62" i="211" l="1"/>
  <c r="K45" i="211"/>
  <c r="K22" i="211"/>
  <c r="K209" i="211"/>
  <c r="K36" i="211"/>
  <c r="K78" i="211"/>
  <c r="K110" i="211"/>
  <c r="K139" i="211"/>
  <c r="K61" i="211"/>
  <c r="K35" i="211"/>
  <c r="K21" i="211"/>
  <c r="K202" i="211"/>
  <c r="K32" i="211"/>
  <c r="K108" i="211"/>
  <c r="K115" i="211"/>
  <c r="K60" i="211"/>
  <c r="K34" i="211"/>
  <c r="K20" i="211"/>
  <c r="K31" i="211"/>
  <c r="K164" i="211"/>
  <c r="K210" i="211"/>
  <c r="K58" i="211"/>
  <c r="K30" i="211"/>
  <c r="K17" i="211"/>
  <c r="K51" i="211"/>
  <c r="K159" i="211"/>
  <c r="K69" i="211"/>
  <c r="K57" i="211"/>
  <c r="K29" i="211"/>
  <c r="K70" i="211"/>
  <c r="K87" i="211"/>
  <c r="K68" i="211"/>
  <c r="K56" i="211"/>
  <c r="K28" i="211"/>
  <c r="K127" i="211"/>
  <c r="K114" i="211"/>
  <c r="K156" i="211"/>
  <c r="K67" i="211"/>
  <c r="K54" i="211"/>
  <c r="K26" i="211"/>
  <c r="K103" i="211"/>
  <c r="K141" i="211"/>
  <c r="K184" i="211"/>
  <c r="K65" i="211"/>
  <c r="K46" i="211"/>
  <c r="K23" i="211"/>
  <c r="K205" i="211"/>
  <c r="K13" i="211"/>
  <c r="K79" i="211"/>
  <c r="K140" i="211" l="1"/>
  <c r="K33" i="211"/>
  <c r="K25" i="211"/>
  <c r="K59" i="211"/>
  <c r="K107" i="211"/>
  <c r="K55" i="211"/>
  <c r="K27" i="211"/>
  <c r="K158" i="211"/>
  <c r="K18" i="211"/>
  <c r="K66" i="211"/>
  <c r="K201" i="211"/>
  <c r="K204" i="211"/>
  <c r="K12" i="211"/>
  <c r="K47" i="211"/>
  <c r="K53" i="211"/>
  <c r="K183" i="211"/>
  <c r="K102" i="211"/>
  <c r="K48" i="211"/>
  <c r="K126" i="211"/>
  <c r="K109" i="211"/>
  <c r="K198" i="211"/>
  <c r="K44" i="211"/>
  <c r="K15" i="211" l="1"/>
  <c r="K24" i="211"/>
  <c r="K64" i="211"/>
  <c r="K125" i="211" l="1"/>
  <c r="K166" i="211" s="1"/>
  <c r="G166" i="211"/>
  <c r="K86" i="211"/>
  <c r="J69" i="211" l="1"/>
  <c r="J70" i="211"/>
  <c r="K11" i="211"/>
  <c r="K72" i="211" s="1"/>
  <c r="G72" i="211"/>
  <c r="K93" i="211" l="1"/>
  <c r="J139" i="211"/>
  <c r="L139" i="211" s="1"/>
  <c r="M139" i="211" s="1"/>
  <c r="H139" i="211"/>
  <c r="K77" i="211" l="1"/>
  <c r="J209" i="211"/>
  <c r="L209" i="211" s="1"/>
  <c r="M209" i="211" s="1"/>
  <c r="H209" i="211"/>
  <c r="J163" i="211"/>
  <c r="L163" i="211" s="1"/>
  <c r="M163" i="211" s="1"/>
  <c r="H163" i="211"/>
  <c r="J115" i="211"/>
  <c r="L115" i="211" s="1"/>
  <c r="M115" i="211" s="1"/>
  <c r="H115" i="211"/>
  <c r="J114" i="211" l="1"/>
  <c r="L114" i="211" s="1"/>
  <c r="M114" i="211" s="1"/>
  <c r="H114" i="211"/>
  <c r="K92" i="211"/>
  <c r="J91" i="211"/>
  <c r="L91" i="211" s="1"/>
  <c r="M91" i="211" s="1"/>
  <c r="H91" i="211"/>
  <c r="J164" i="211" l="1"/>
  <c r="K76" i="211"/>
  <c r="K98" i="211" l="1"/>
  <c r="L98" i="211" s="1"/>
  <c r="M98" i="211" s="1"/>
  <c r="H98" i="211"/>
  <c r="J210" i="211" l="1"/>
  <c r="J157" i="211" l="1"/>
  <c r="L157" i="211" s="1"/>
  <c r="M157" i="211" s="1"/>
  <c r="H157" i="211"/>
  <c r="J108" i="211"/>
  <c r="L108" i="211" s="1"/>
  <c r="M108" i="211" s="1"/>
  <c r="H108" i="211"/>
  <c r="J159" i="211"/>
  <c r="L159" i="211" s="1"/>
  <c r="M159" i="211" s="1"/>
  <c r="H159" i="211"/>
  <c r="J38" i="211" l="1"/>
  <c r="J110" i="211"/>
  <c r="L110" i="211" s="1"/>
  <c r="M110" i="211" s="1"/>
  <c r="H110" i="211"/>
  <c r="J156" i="211"/>
  <c r="L156" i="211" s="1"/>
  <c r="M156" i="211" s="1"/>
  <c r="H156" i="211"/>
  <c r="J46" i="211"/>
  <c r="J45" i="211"/>
  <c r="J141" i="211"/>
  <c r="J107" i="211"/>
  <c r="L107" i="211" s="1"/>
  <c r="M107" i="211" s="1"/>
  <c r="H107" i="211"/>
  <c r="K97" i="211"/>
  <c r="L97" i="211" s="1"/>
  <c r="M97" i="211" s="1"/>
  <c r="H97" i="211"/>
  <c r="G122" i="211"/>
  <c r="J158" i="211"/>
  <c r="L158" i="211" s="1"/>
  <c r="M158" i="211" s="1"/>
  <c r="H158" i="211"/>
  <c r="K122" i="211" l="1"/>
  <c r="J142" i="211"/>
  <c r="J44" i="211"/>
  <c r="J109" i="211"/>
  <c r="L109" i="211" s="1"/>
  <c r="M109" i="211" s="1"/>
  <c r="H109" i="211"/>
  <c r="J184" i="211"/>
  <c r="L184" i="211" s="1"/>
  <c r="M184" i="211" s="1"/>
  <c r="H184" i="211"/>
  <c r="J185" i="211"/>
  <c r="L185" i="211" s="1"/>
  <c r="M185" i="211" s="1"/>
  <c r="H185" i="211"/>
  <c r="J143" i="211" l="1"/>
  <c r="G467" i="206"/>
  <c r="G522" i="206" s="1"/>
  <c r="G458" i="204"/>
  <c r="H467" i="206"/>
  <c r="H522" i="206" s="1"/>
  <c r="H458" i="204"/>
  <c r="I467" i="206"/>
  <c r="I522" i="206" s="1"/>
  <c r="I458" i="204"/>
  <c r="P467" i="206"/>
  <c r="P522" i="206" s="1"/>
  <c r="P458" i="204"/>
  <c r="M50" i="211"/>
  <c r="N467" i="206"/>
  <c r="N522" i="206" s="1"/>
  <c r="N458" i="204"/>
  <c r="M467" i="206"/>
  <c r="M522" i="206" s="1"/>
  <c r="M458" i="204"/>
  <c r="K467" i="206"/>
  <c r="K522" i="206" s="1"/>
  <c r="K458" i="204"/>
  <c r="E467" i="206"/>
  <c r="E458" i="204"/>
  <c r="O13" i="206"/>
  <c r="O13" i="204" s="1"/>
  <c r="J39" i="211"/>
  <c r="L39" i="211" s="1"/>
  <c r="M39" i="211" s="1"/>
  <c r="H39" i="211"/>
  <c r="L467" i="206"/>
  <c r="L522" i="206" s="1"/>
  <c r="L458" i="204"/>
  <c r="F467" i="206"/>
  <c r="F522" i="206" s="1"/>
  <c r="F458" i="204"/>
  <c r="J65" i="211"/>
  <c r="J467" i="206"/>
  <c r="J522" i="206" s="1"/>
  <c r="J458" i="204"/>
  <c r="O467" i="206"/>
  <c r="O522" i="206" s="1"/>
  <c r="O458" i="204"/>
  <c r="J40" i="211"/>
  <c r="J13" i="211" l="1"/>
  <c r="J144" i="211"/>
  <c r="Q458" i="204"/>
  <c r="E522" i="206"/>
  <c r="Q522" i="206" s="1"/>
  <c r="O77" i="206" s="1"/>
  <c r="Q467" i="206"/>
  <c r="O22" i="206" s="1"/>
  <c r="J14" i="211"/>
  <c r="J186" i="211"/>
  <c r="L186" i="211" s="1"/>
  <c r="M186" i="211" s="1"/>
  <c r="H186" i="211"/>
  <c r="J51" i="211"/>
  <c r="L51" i="211" s="1"/>
  <c r="M51" i="211" s="1"/>
  <c r="H51" i="211"/>
  <c r="J187" i="211" l="1"/>
  <c r="L187" i="211" s="1"/>
  <c r="M187" i="211" s="1"/>
  <c r="H187" i="211"/>
  <c r="J67" i="211"/>
  <c r="J26" i="211"/>
  <c r="J103" i="211"/>
  <c r="L103" i="211" s="1"/>
  <c r="M103" i="211" s="1"/>
  <c r="H103" i="211"/>
  <c r="J12" i="211"/>
  <c r="J140" i="211"/>
  <c r="J28" i="211"/>
  <c r="J68" i="211"/>
  <c r="J48" i="211"/>
  <c r="L48" i="211" s="1"/>
  <c r="M48" i="211" s="1"/>
  <c r="H48" i="211"/>
  <c r="J41" i="211"/>
  <c r="L41" i="211" s="1"/>
  <c r="M41" i="211" s="1"/>
  <c r="H41" i="211"/>
  <c r="J42" i="211"/>
  <c r="J205" i="211"/>
  <c r="L205" i="211" s="1"/>
  <c r="M205" i="211" s="1"/>
  <c r="H205" i="211"/>
  <c r="J29" i="211" l="1"/>
  <c r="J56" i="211"/>
  <c r="J66" i="211"/>
  <c r="J183" i="211"/>
  <c r="L183" i="211" s="1"/>
  <c r="M183" i="211" s="1"/>
  <c r="H183" i="211"/>
  <c r="J94" i="211"/>
  <c r="L94" i="211" s="1"/>
  <c r="M94" i="211" s="1"/>
  <c r="H94" i="211"/>
  <c r="J54" i="211"/>
  <c r="L54" i="211" s="1"/>
  <c r="M54" i="211" s="1"/>
  <c r="H54" i="211"/>
  <c r="J25" i="211"/>
  <c r="J145" i="211"/>
  <c r="L145" i="211" s="1"/>
  <c r="M145" i="211" s="1"/>
  <c r="H145" i="211"/>
  <c r="J104" i="211"/>
  <c r="L104" i="211" s="1"/>
  <c r="M104" i="211" s="1"/>
  <c r="H104" i="211"/>
  <c r="J93" i="211"/>
  <c r="L93" i="211" s="1"/>
  <c r="M93" i="211" s="1"/>
  <c r="H93" i="211"/>
  <c r="J16" i="211"/>
  <c r="J204" i="211"/>
  <c r="L204" i="211" s="1"/>
  <c r="M204" i="211" s="1"/>
  <c r="H204" i="211"/>
  <c r="J53" i="211" l="1"/>
  <c r="L53" i="211" s="1"/>
  <c r="M53" i="211" s="1"/>
  <c r="H53" i="211"/>
  <c r="J43" i="211"/>
  <c r="L43" i="211" s="1"/>
  <c r="M43" i="211" s="1"/>
  <c r="H43" i="211"/>
  <c r="J30" i="211"/>
  <c r="J37" i="211"/>
  <c r="J57" i="211"/>
  <c r="J105" i="211"/>
  <c r="L105" i="211" s="1"/>
  <c r="M105" i="211" s="1"/>
  <c r="H105" i="211"/>
  <c r="J17" i="211"/>
  <c r="J64" i="211"/>
  <c r="J106" i="211" l="1"/>
  <c r="L106" i="211" s="1"/>
  <c r="M106" i="211" s="1"/>
  <c r="H106" i="211"/>
  <c r="J58" i="211"/>
  <c r="J31" i="211"/>
  <c r="J15" i="211"/>
  <c r="J19" i="211"/>
  <c r="J47" i="211"/>
  <c r="L47" i="211" s="1"/>
  <c r="M47" i="211" s="1"/>
  <c r="H47" i="211"/>
  <c r="J95" i="211"/>
  <c r="L95" i="211" s="1"/>
  <c r="M95" i="211" s="1"/>
  <c r="H95" i="211"/>
  <c r="J55" i="211" l="1"/>
  <c r="J27" i="211"/>
  <c r="J96" i="211"/>
  <c r="L96" i="211" s="1"/>
  <c r="M96" i="211" s="1"/>
  <c r="H96" i="211"/>
  <c r="J32" i="211"/>
  <c r="J20" i="211"/>
  <c r="J102" i="211"/>
  <c r="L102" i="211" s="1"/>
  <c r="M102" i="211" s="1"/>
  <c r="H102" i="211"/>
  <c r="J92" i="211" l="1"/>
  <c r="L92" i="211" s="1"/>
  <c r="M92" i="211" s="1"/>
  <c r="H92" i="211"/>
  <c r="J21" i="211"/>
  <c r="J60" i="211" l="1"/>
  <c r="L60" i="211" s="1"/>
  <c r="M60" i="211" s="1"/>
  <c r="H60" i="211"/>
  <c r="J34" i="211"/>
  <c r="J22" i="211"/>
  <c r="J23" i="211"/>
  <c r="J35" i="211" l="1"/>
  <c r="J61" i="211"/>
  <c r="L61" i="211" s="1"/>
  <c r="M61" i="211" s="1"/>
  <c r="H61" i="211"/>
  <c r="J18" i="211"/>
  <c r="J78" i="211"/>
  <c r="L78" i="211" s="1"/>
  <c r="M78" i="211" s="1"/>
  <c r="H78" i="211"/>
  <c r="J36" i="211"/>
  <c r="J87" i="211" l="1"/>
  <c r="L87" i="211" s="1"/>
  <c r="M87" i="211" s="1"/>
  <c r="H87" i="211"/>
  <c r="J88" i="211"/>
  <c r="L88" i="211" s="1"/>
  <c r="M88" i="211" s="1"/>
  <c r="H88" i="211"/>
  <c r="D72" i="211"/>
  <c r="J174" i="211"/>
  <c r="L174" i="211" s="1"/>
  <c r="M174" i="211" s="1"/>
  <c r="H174" i="211"/>
  <c r="J33" i="211"/>
  <c r="J62" i="211"/>
  <c r="L62" i="211" s="1"/>
  <c r="M62" i="211" s="1"/>
  <c r="H62" i="211"/>
  <c r="J79" i="211"/>
  <c r="L79" i="211" s="1"/>
  <c r="M79" i="211" s="1"/>
  <c r="H79" i="211"/>
  <c r="J175" i="211" l="1"/>
  <c r="L175" i="211" s="1"/>
  <c r="M175" i="211" s="1"/>
  <c r="H175" i="211"/>
  <c r="J24" i="211"/>
  <c r="J59" i="211"/>
  <c r="L59" i="211" s="1"/>
  <c r="M59" i="211" s="1"/>
  <c r="H59" i="211"/>
  <c r="J89" i="211"/>
  <c r="L89" i="211" s="1"/>
  <c r="M89" i="211" s="1"/>
  <c r="H89" i="211"/>
  <c r="J11" i="211"/>
  <c r="J72" i="211" l="1"/>
  <c r="F72" i="211"/>
  <c r="J176" i="211" l="1"/>
  <c r="L176" i="211" s="1"/>
  <c r="M176" i="211" s="1"/>
  <c r="H176" i="211"/>
  <c r="J90" i="211"/>
  <c r="L90" i="211" s="1"/>
  <c r="M90" i="211" s="1"/>
  <c r="H90" i="211"/>
  <c r="J83" i="211" l="1"/>
  <c r="L83" i="211" s="1"/>
  <c r="M83" i="211" s="1"/>
  <c r="H83" i="211"/>
  <c r="J86" i="211"/>
  <c r="L86" i="211" s="1"/>
  <c r="M86" i="211" s="1"/>
  <c r="H86" i="211"/>
  <c r="J84" i="211" l="1"/>
  <c r="L84" i="211" s="1"/>
  <c r="M84" i="211" s="1"/>
  <c r="H84" i="211"/>
  <c r="J85" i="211"/>
  <c r="L85" i="211" s="1"/>
  <c r="M85" i="211" s="1"/>
  <c r="H85" i="211"/>
  <c r="J116" i="211" l="1"/>
  <c r="L116" i="211" s="1"/>
  <c r="M116" i="211" s="1"/>
  <c r="H116" i="211"/>
  <c r="J131" i="211" l="1"/>
  <c r="L131" i="211" s="1"/>
  <c r="M131" i="211" s="1"/>
  <c r="H131" i="211"/>
  <c r="J132" i="211" l="1"/>
  <c r="L132" i="211" s="1"/>
  <c r="M132" i="211" s="1"/>
  <c r="H132" i="211"/>
  <c r="J133" i="211" l="1"/>
  <c r="L133" i="211" s="1"/>
  <c r="M133" i="211" s="1"/>
  <c r="H133" i="211"/>
  <c r="J127" i="211" l="1"/>
  <c r="L127" i="211" s="1"/>
  <c r="M127" i="211" s="1"/>
  <c r="H127" i="211"/>
  <c r="D166" i="211"/>
  <c r="J126" i="211" l="1"/>
  <c r="L126" i="211" s="1"/>
  <c r="M126" i="211" s="1"/>
  <c r="H126" i="211"/>
  <c r="J125" i="211" l="1"/>
  <c r="H125" i="211"/>
  <c r="F166" i="211"/>
  <c r="J166" i="211" l="1"/>
  <c r="L125" i="211"/>
  <c r="M125" i="211" s="1"/>
  <c r="J199" i="211" l="1"/>
  <c r="J198" i="211" l="1"/>
  <c r="J202" i="211" l="1"/>
  <c r="L202" i="211" s="1"/>
  <c r="M202" i="211" s="1"/>
  <c r="H202" i="211"/>
  <c r="J201" i="211" l="1"/>
  <c r="L201" i="211" s="1"/>
  <c r="M201" i="211" s="1"/>
  <c r="H201" i="211"/>
  <c r="K170" i="211" l="1"/>
  <c r="K169" i="211" l="1"/>
  <c r="K211" i="211" s="1"/>
  <c r="K213" i="211" s="1"/>
  <c r="K214" i="211" s="1"/>
  <c r="G211" i="211"/>
  <c r="G213" i="211" s="1"/>
  <c r="G214" i="211" s="1"/>
  <c r="D122" i="211" l="1"/>
  <c r="J81" i="211"/>
  <c r="L81" i="211" s="1"/>
  <c r="M81" i="211" s="1"/>
  <c r="H81" i="211"/>
  <c r="J82" i="211"/>
  <c r="L82" i="211" s="1"/>
  <c r="M82" i="211" s="1"/>
  <c r="H82" i="211"/>
  <c r="J80" i="211"/>
  <c r="L80" i="211" s="1"/>
  <c r="M80" i="211" s="1"/>
  <c r="H80" i="211"/>
  <c r="J77" i="211" l="1"/>
  <c r="L77" i="211" s="1"/>
  <c r="M77" i="211" s="1"/>
  <c r="H77" i="211"/>
  <c r="J76" i="211" l="1"/>
  <c r="L76" i="211" s="1"/>
  <c r="M76" i="211" s="1"/>
  <c r="F122" i="211"/>
  <c r="H76" i="211"/>
  <c r="H122" i="211" s="1"/>
  <c r="J122" i="211" l="1"/>
  <c r="L122" i="211" l="1"/>
  <c r="M122" i="211" s="1"/>
  <c r="J171" i="211" l="1"/>
  <c r="K171" i="211"/>
  <c r="J172" i="211"/>
  <c r="K172" i="211"/>
  <c r="D211" i="211" l="1"/>
  <c r="D213" i="211" s="1"/>
  <c r="D214" i="211" s="1"/>
  <c r="I171" i="211"/>
  <c r="L171" i="211" s="1"/>
  <c r="M171" i="211" s="1"/>
  <c r="H171" i="211"/>
  <c r="I172" i="211"/>
  <c r="L172" i="211" s="1"/>
  <c r="M172" i="211" s="1"/>
  <c r="H172" i="211"/>
  <c r="J173" i="211" l="1"/>
  <c r="L173" i="211" s="1"/>
  <c r="M173" i="211" s="1"/>
  <c r="H173" i="211"/>
  <c r="J170" i="211"/>
  <c r="L170" i="211" s="1"/>
  <c r="M170" i="211" s="1"/>
  <c r="H170" i="211"/>
  <c r="J169" i="211" l="1"/>
  <c r="F211" i="211"/>
  <c r="F213" i="211" s="1"/>
  <c r="F214" i="211" s="1"/>
  <c r="H169" i="211"/>
  <c r="L169" i="211" l="1"/>
  <c r="M169" i="211" s="1"/>
  <c r="J211" i="211"/>
  <c r="J213" i="211" s="1"/>
  <c r="J214" i="211" s="1"/>
  <c r="G31" i="212" l="1"/>
  <c r="I31" i="212" s="1"/>
  <c r="J31" i="212" s="1"/>
  <c r="F30" i="212"/>
  <c r="F38" i="212" s="1"/>
  <c r="G30" i="212" l="1"/>
  <c r="I30" i="212" s="1"/>
  <c r="J30" i="212"/>
  <c r="I38" i="212"/>
  <c r="J38" i="212" s="1"/>
  <c r="G38" i="212"/>
  <c r="G40" i="212" s="1"/>
  <c r="I40" i="212" s="1"/>
  <c r="J40" i="212" s="1"/>
  <c r="J9" i="255" l="1"/>
  <c r="M9" i="255" s="1"/>
  <c r="J10" i="255"/>
  <c r="M10" i="255" s="1"/>
  <c r="J11" i="255"/>
  <c r="M11" i="255" s="1"/>
  <c r="J12" i="255"/>
  <c r="M12" i="255" s="1"/>
  <c r="J13" i="255"/>
  <c r="M13" i="255" s="1"/>
  <c r="J14" i="255"/>
  <c r="M14" i="255" s="1"/>
  <c r="J15" i="255"/>
  <c r="M15" i="255" s="1"/>
  <c r="J16" i="255"/>
  <c r="M16" i="255" s="1"/>
  <c r="J17" i="255"/>
  <c r="M17" i="255" s="1"/>
  <c r="J18" i="255"/>
  <c r="M18" i="255" s="1"/>
  <c r="J19" i="255"/>
  <c r="M19" i="255" s="1"/>
  <c r="J20" i="255"/>
  <c r="M20" i="255" s="1"/>
  <c r="J21" i="255"/>
  <c r="M21" i="255" s="1"/>
  <c r="J22" i="255"/>
  <c r="M22" i="255" s="1"/>
  <c r="J23" i="255"/>
  <c r="M23" i="255" s="1"/>
  <c r="J24" i="255"/>
  <c r="M24" i="255" s="1"/>
  <c r="J25" i="255"/>
  <c r="M25" i="255" s="1"/>
  <c r="J26" i="255"/>
  <c r="M26" i="255" s="1"/>
  <c r="J27" i="255"/>
  <c r="M27" i="255" s="1"/>
  <c r="J28" i="255"/>
  <c r="M28" i="255" s="1"/>
  <c r="J29" i="255"/>
  <c r="M29" i="255" s="1"/>
  <c r="J30" i="255"/>
  <c r="M30" i="255" s="1"/>
  <c r="J31" i="255"/>
  <c r="M31" i="255" s="1"/>
  <c r="J32" i="255"/>
  <c r="M32" i="255" s="1"/>
  <c r="J33" i="255"/>
  <c r="M33" i="255" s="1"/>
  <c r="J34" i="255"/>
  <c r="M34" i="255" s="1"/>
  <c r="J35" i="255"/>
  <c r="M35" i="255" s="1"/>
  <c r="J36" i="255"/>
  <c r="M36" i="255" s="1"/>
  <c r="J38" i="255"/>
  <c r="M38" i="255" s="1"/>
  <c r="J40" i="255"/>
  <c r="M40" i="255" s="1"/>
  <c r="J42" i="255"/>
  <c r="M42" i="255" s="1"/>
  <c r="J43" i="255"/>
  <c r="M43" i="255" s="1"/>
  <c r="J44" i="255"/>
  <c r="M44" i="255" s="1"/>
  <c r="J53" i="255"/>
  <c r="M53" i="255" s="1"/>
  <c r="J54" i="255"/>
  <c r="M54" i="255" s="1"/>
  <c r="J55" i="255"/>
  <c r="M55" i="255" s="1"/>
  <c r="J56" i="255"/>
  <c r="M56" i="255" s="1"/>
  <c r="J62" i="255"/>
  <c r="M62" i="255" s="1"/>
  <c r="J63" i="255"/>
  <c r="M63" i="255" s="1"/>
  <c r="J64" i="255"/>
  <c r="M64" i="255" s="1"/>
  <c r="J65" i="255"/>
  <c r="M65" i="255" s="1"/>
  <c r="J66" i="255"/>
  <c r="M66" i="255" s="1"/>
  <c r="J67" i="255"/>
  <c r="M67" i="255" s="1"/>
  <c r="J68" i="255"/>
  <c r="M68" i="255" s="1"/>
  <c r="J138" i="255"/>
  <c r="M138" i="255" s="1"/>
  <c r="J139" i="255"/>
  <c r="M139" i="255" s="1"/>
  <c r="J140" i="255"/>
  <c r="M140" i="255" s="1"/>
  <c r="J141" i="255"/>
  <c r="M141" i="255" s="1"/>
  <c r="J142" i="255"/>
  <c r="M142" i="255" s="1"/>
  <c r="J144" i="255"/>
  <c r="M144" i="255" s="1"/>
  <c r="J145" i="255"/>
  <c r="M145" i="255" s="1"/>
  <c r="J162" i="255"/>
  <c r="M162" i="255" s="1"/>
  <c r="J196" i="255"/>
  <c r="M196" i="255" s="1"/>
  <c r="J197" i="255"/>
  <c r="M197" i="255" s="1"/>
  <c r="J208" i="255"/>
  <c r="M208" i="255" s="1"/>
  <c r="E11" i="211"/>
  <c r="I11" i="211" s="1"/>
  <c r="L11" i="211" s="1"/>
  <c r="M11" i="211" s="1"/>
  <c r="E12" i="211"/>
  <c r="H12" i="211" s="1"/>
  <c r="E13" i="211"/>
  <c r="I13" i="211" s="1"/>
  <c r="L13" i="211" s="1"/>
  <c r="M13" i="211" s="1"/>
  <c r="E14" i="211"/>
  <c r="H14" i="211" s="1"/>
  <c r="E15" i="211"/>
  <c r="H15" i="211" s="1"/>
  <c r="E16" i="211"/>
  <c r="H16" i="211" s="1"/>
  <c r="E17" i="211"/>
  <c r="I17" i="211" s="1"/>
  <c r="L17" i="211" s="1"/>
  <c r="M17" i="211" s="1"/>
  <c r="E18" i="211"/>
  <c r="E19" i="211"/>
  <c r="H19" i="211" s="1"/>
  <c r="E20" i="211"/>
  <c r="H20" i="211" s="1"/>
  <c r="E21" i="211"/>
  <c r="I21" i="211" s="1"/>
  <c r="L21" i="211" s="1"/>
  <c r="M21" i="211" s="1"/>
  <c r="E22" i="211"/>
  <c r="H22" i="211" s="1"/>
  <c r="E23" i="211"/>
  <c r="H23" i="211" s="1"/>
  <c r="E24" i="211"/>
  <c r="H24" i="211" s="1"/>
  <c r="E25" i="211"/>
  <c r="I25" i="211" s="1"/>
  <c r="L25" i="211" s="1"/>
  <c r="M25" i="211" s="1"/>
  <c r="E26" i="211"/>
  <c r="E27" i="211"/>
  <c r="H27" i="211" s="1"/>
  <c r="E28" i="211"/>
  <c r="H28" i="211" s="1"/>
  <c r="E29" i="211"/>
  <c r="I29" i="211" s="1"/>
  <c r="L29" i="211" s="1"/>
  <c r="M29" i="211" s="1"/>
  <c r="E30" i="211"/>
  <c r="H30" i="211" s="1"/>
  <c r="E31" i="211"/>
  <c r="H31" i="211" s="1"/>
  <c r="E32" i="211"/>
  <c r="I32" i="211" s="1"/>
  <c r="L32" i="211" s="1"/>
  <c r="M32" i="211" s="1"/>
  <c r="E33" i="211"/>
  <c r="I33" i="211" s="1"/>
  <c r="L33" i="211" s="1"/>
  <c r="M33" i="211" s="1"/>
  <c r="E34" i="211"/>
  <c r="E35" i="211"/>
  <c r="I35" i="211" s="1"/>
  <c r="L35" i="211" s="1"/>
  <c r="M35" i="211" s="1"/>
  <c r="E36" i="211"/>
  <c r="H36" i="211" s="1"/>
  <c r="E37" i="211"/>
  <c r="I37" i="211" s="1"/>
  <c r="L37" i="211" s="1"/>
  <c r="M37" i="211" s="1"/>
  <c r="E38" i="211"/>
  <c r="H38" i="211" s="1"/>
  <c r="E40" i="211"/>
  <c r="I40" i="211" s="1"/>
  <c r="L40" i="211" s="1"/>
  <c r="M40" i="211" s="1"/>
  <c r="E42" i="211"/>
  <c r="I42" i="211" s="1"/>
  <c r="L42" i="211" s="1"/>
  <c r="M42" i="211" s="1"/>
  <c r="E44" i="211"/>
  <c r="H44" i="211" s="1"/>
  <c r="E45" i="211"/>
  <c r="E46" i="211"/>
  <c r="H46" i="211" s="1"/>
  <c r="E55" i="211"/>
  <c r="H55" i="211" s="1"/>
  <c r="E56" i="211"/>
  <c r="I56" i="211" s="1"/>
  <c r="L56" i="211" s="1"/>
  <c r="M56" i="211" s="1"/>
  <c r="E57" i="211"/>
  <c r="H57" i="211" s="1"/>
  <c r="E58" i="211"/>
  <c r="H58" i="211" s="1"/>
  <c r="E64" i="211"/>
  <c r="H64" i="211" s="1"/>
  <c r="E65" i="211"/>
  <c r="H65" i="211" s="1"/>
  <c r="E66" i="211"/>
  <c r="E67" i="211"/>
  <c r="H67" i="211" s="1"/>
  <c r="E68" i="211"/>
  <c r="H68" i="211" s="1"/>
  <c r="E69" i="211"/>
  <c r="I69" i="211" s="1"/>
  <c r="L69" i="211" s="1"/>
  <c r="M69" i="211" s="1"/>
  <c r="E70" i="211"/>
  <c r="H70" i="211" s="1"/>
  <c r="E140" i="211"/>
  <c r="H140" i="211" s="1"/>
  <c r="E141" i="211"/>
  <c r="H141" i="211" s="1"/>
  <c r="E142" i="211"/>
  <c r="E143" i="211"/>
  <c r="H143" i="211" s="1"/>
  <c r="E144" i="211"/>
  <c r="H144" i="211" s="1"/>
  <c r="E146" i="211"/>
  <c r="I146" i="211" s="1"/>
  <c r="L146" i="211" s="1"/>
  <c r="M146" i="211" s="1"/>
  <c r="E147" i="211"/>
  <c r="H147" i="211" s="1"/>
  <c r="E164" i="211"/>
  <c r="H164" i="211" s="1"/>
  <c r="E198" i="211"/>
  <c r="H198" i="211" s="1"/>
  <c r="E199" i="211"/>
  <c r="E210" i="211"/>
  <c r="H210" i="211" s="1"/>
  <c r="I198" i="211" l="1"/>
  <c r="L198" i="211" s="1"/>
  <c r="M198" i="211" s="1"/>
  <c r="H13" i="211"/>
  <c r="I20" i="211"/>
  <c r="L20" i="211" s="1"/>
  <c r="M20" i="211" s="1"/>
  <c r="H25" i="211"/>
  <c r="I27" i="211"/>
  <c r="L27" i="211" s="1"/>
  <c r="M27" i="211" s="1"/>
  <c r="I14" i="211"/>
  <c r="L14" i="211" s="1"/>
  <c r="M14" i="211" s="1"/>
  <c r="I143" i="211"/>
  <c r="L143" i="211" s="1"/>
  <c r="M143" i="211" s="1"/>
  <c r="H37" i="211"/>
  <c r="I22" i="211"/>
  <c r="L22" i="211" s="1"/>
  <c r="M22" i="211" s="1"/>
  <c r="H17" i="211"/>
  <c r="I64" i="211"/>
  <c r="L64" i="211" s="1"/>
  <c r="M64" i="211" s="1"/>
  <c r="H21" i="211"/>
  <c r="I16" i="211"/>
  <c r="L16" i="211" s="1"/>
  <c r="M16" i="211" s="1"/>
  <c r="E211" i="211"/>
  <c r="I12" i="211"/>
  <c r="L12" i="211" s="1"/>
  <c r="M12" i="211" s="1"/>
  <c r="H35" i="211"/>
  <c r="H29" i="211"/>
  <c r="H211" i="211"/>
  <c r="I19" i="211"/>
  <c r="L19" i="211" s="1"/>
  <c r="M19" i="211" s="1"/>
  <c r="J164" i="255"/>
  <c r="I57" i="211"/>
  <c r="L57" i="211" s="1"/>
  <c r="M57" i="211" s="1"/>
  <c r="H11" i="211"/>
  <c r="H56" i="211"/>
  <c r="H32" i="211"/>
  <c r="J209" i="255"/>
  <c r="M70" i="255"/>
  <c r="M209" i="255"/>
  <c r="M164" i="255"/>
  <c r="H146" i="211"/>
  <c r="H166" i="211" s="1"/>
  <c r="I44" i="211"/>
  <c r="L44" i="211" s="1"/>
  <c r="M44" i="211" s="1"/>
  <c r="I67" i="211"/>
  <c r="L67" i="211" s="1"/>
  <c r="M67" i="211" s="1"/>
  <c r="I38" i="211"/>
  <c r="L38" i="211" s="1"/>
  <c r="M38" i="211" s="1"/>
  <c r="I24" i="211"/>
  <c r="L24" i="211" s="1"/>
  <c r="M24" i="211" s="1"/>
  <c r="I210" i="211"/>
  <c r="I164" i="211"/>
  <c r="L164" i="211" s="1"/>
  <c r="M164" i="211" s="1"/>
  <c r="I46" i="211"/>
  <c r="L46" i="211" s="1"/>
  <c r="M46" i="211" s="1"/>
  <c r="I70" i="211"/>
  <c r="L70" i="211" s="1"/>
  <c r="M70" i="211" s="1"/>
  <c r="H42" i="211"/>
  <c r="J70" i="255"/>
  <c r="I147" i="211"/>
  <c r="L147" i="211" s="1"/>
  <c r="M147" i="211" s="1"/>
  <c r="H69" i="211"/>
  <c r="H40" i="211"/>
  <c r="H33" i="211"/>
  <c r="I30" i="211"/>
  <c r="L30" i="211" s="1"/>
  <c r="M30" i="211" s="1"/>
  <c r="H142" i="211"/>
  <c r="I142" i="211"/>
  <c r="L142" i="211" s="1"/>
  <c r="M142" i="211" s="1"/>
  <c r="H18" i="211"/>
  <c r="I18" i="211"/>
  <c r="L18" i="211" s="1"/>
  <c r="M18" i="211" s="1"/>
  <c r="H34" i="211"/>
  <c r="I34" i="211"/>
  <c r="L34" i="211" s="1"/>
  <c r="M34" i="211" s="1"/>
  <c r="H45" i="211"/>
  <c r="I45" i="211"/>
  <c r="L45" i="211" s="1"/>
  <c r="M45" i="211" s="1"/>
  <c r="H199" i="211"/>
  <c r="I199" i="211"/>
  <c r="L199" i="211" s="1"/>
  <c r="M199" i="211" s="1"/>
  <c r="H66" i="211"/>
  <c r="I66" i="211"/>
  <c r="L66" i="211" s="1"/>
  <c r="M66" i="211" s="1"/>
  <c r="H26" i="211"/>
  <c r="I26" i="211"/>
  <c r="L26" i="211" s="1"/>
  <c r="M26" i="211" s="1"/>
  <c r="E166" i="211"/>
  <c r="E72" i="211"/>
  <c r="I140" i="211"/>
  <c r="I141" i="211"/>
  <c r="L141" i="211" s="1"/>
  <c r="M141" i="211" s="1"/>
  <c r="I65" i="211"/>
  <c r="L65" i="211" s="1"/>
  <c r="M65" i="211" s="1"/>
  <c r="I144" i="211"/>
  <c r="L144" i="211" s="1"/>
  <c r="M144" i="211" s="1"/>
  <c r="I68" i="211"/>
  <c r="L68" i="211" s="1"/>
  <c r="M68" i="211" s="1"/>
  <c r="I55" i="211"/>
  <c r="L55" i="211" s="1"/>
  <c r="M55" i="211" s="1"/>
  <c r="I36" i="211"/>
  <c r="L36" i="211" s="1"/>
  <c r="M36" i="211" s="1"/>
  <c r="I28" i="211"/>
  <c r="L28" i="211" s="1"/>
  <c r="M28" i="211" s="1"/>
  <c r="I58" i="211"/>
  <c r="L58" i="211" s="1"/>
  <c r="M58" i="211" s="1"/>
  <c r="I31" i="211"/>
  <c r="L31" i="211" s="1"/>
  <c r="M31" i="211" s="1"/>
  <c r="I23" i="211"/>
  <c r="L23" i="211" s="1"/>
  <c r="M23" i="211" s="1"/>
  <c r="I15" i="211"/>
  <c r="L15" i="211" s="1"/>
  <c r="M15" i="211" s="1"/>
  <c r="M211" i="255" l="1"/>
  <c r="M212" i="255" s="1"/>
  <c r="E213" i="211"/>
  <c r="E214" i="211" s="1"/>
  <c r="J211" i="255"/>
  <c r="J212" i="255" s="1"/>
  <c r="H213" i="211"/>
  <c r="H72" i="211"/>
  <c r="I211" i="211"/>
  <c r="L211" i="211" s="1"/>
  <c r="M211" i="211" s="1"/>
  <c r="L210" i="211"/>
  <c r="M210" i="211" s="1"/>
  <c r="I72" i="211"/>
  <c r="L72" i="211" s="1"/>
  <c r="M72" i="211" s="1"/>
  <c r="L140" i="211"/>
  <c r="M140" i="211" s="1"/>
  <c r="I166" i="211"/>
  <c r="H214" i="211" l="1"/>
  <c r="L166" i="211"/>
  <c r="I213" i="211"/>
  <c r="I214" i="211" s="1"/>
  <c r="M166" i="211" l="1"/>
  <c r="L213" i="211"/>
  <c r="M213" i="211" l="1"/>
  <c r="L214" i="211"/>
  <c r="M214" i="211" s="1"/>
  <c r="G165" i="257" l="1"/>
  <c r="I165" i="257" l="1"/>
  <c r="E165" i="257"/>
  <c r="H165" i="257" s="1"/>
  <c r="K165" i="257" l="1"/>
  <c r="L165" i="257" l="1"/>
  <c r="M205" i="209" l="1"/>
  <c r="M192" i="209"/>
  <c r="M193" i="209"/>
  <c r="M194" i="209"/>
  <c r="M204" i="209"/>
  <c r="M206" i="209"/>
  <c r="M195" i="209"/>
  <c r="M191" i="209" l="1"/>
  <c r="L570" i="204" l="1"/>
  <c r="K570" i="204"/>
  <c r="M570" i="204"/>
  <c r="J570" i="204"/>
  <c r="I570" i="204"/>
  <c r="P570" i="204"/>
  <c r="H570" i="204"/>
  <c r="F570" i="204"/>
  <c r="O570" i="204"/>
  <c r="G570" i="204"/>
  <c r="N570" i="204"/>
  <c r="E570" i="204" l="1"/>
  <c r="Q570" i="204" s="1"/>
  <c r="P51" i="205"/>
  <c r="P51" i="204" s="1"/>
  <c r="I578" i="204" l="1"/>
  <c r="P578" i="204"/>
  <c r="H578" i="204"/>
  <c r="O578" i="204"/>
  <c r="G578" i="204"/>
  <c r="N578" i="204"/>
  <c r="F578" i="204"/>
  <c r="M578" i="204"/>
  <c r="L578" i="204"/>
  <c r="K578" i="204"/>
  <c r="J578" i="204"/>
  <c r="E578" i="204" l="1"/>
  <c r="Q578" i="204" s="1"/>
  <c r="P59" i="205"/>
  <c r="P59" i="204" s="1"/>
  <c r="F487" i="204" l="1"/>
  <c r="G487" i="204"/>
  <c r="H487" i="204"/>
  <c r="I487" i="204"/>
  <c r="J487" i="204"/>
  <c r="E487" i="204" l="1"/>
  <c r="J561" i="204"/>
  <c r="H561" i="204"/>
  <c r="I561" i="204"/>
  <c r="G561" i="204"/>
  <c r="F561" i="204"/>
  <c r="E561" i="204" l="1"/>
  <c r="O489" i="204" l="1"/>
  <c r="J489" i="204"/>
  <c r="I489" i="204"/>
  <c r="F489" i="204"/>
  <c r="P489" i="204"/>
  <c r="N489" i="204"/>
  <c r="G489" i="204"/>
  <c r="M489" i="204"/>
  <c r="L489" i="204"/>
  <c r="H489" i="204"/>
  <c r="K489" i="204"/>
  <c r="G506" i="204"/>
  <c r="J506" i="204"/>
  <c r="F506" i="204"/>
  <c r="H506" i="204"/>
  <c r="I506" i="204"/>
  <c r="E580" i="204" l="1"/>
  <c r="E506" i="204"/>
  <c r="E489" i="204"/>
  <c r="Q489" i="204" s="1"/>
  <c r="O44" i="205"/>
  <c r="O44" i="204" s="1"/>
  <c r="G580" i="204"/>
  <c r="I580" i="204"/>
  <c r="H580" i="204"/>
  <c r="J580" i="204"/>
  <c r="F580" i="204"/>
  <c r="N506" i="204" l="1"/>
  <c r="M506" i="204"/>
  <c r="O506" i="204"/>
  <c r="P506" i="204"/>
  <c r="L506" i="204"/>
  <c r="K580" i="204" l="1"/>
  <c r="K506" i="204"/>
  <c r="Q506" i="204" s="1"/>
  <c r="O61" i="205"/>
  <c r="O61" i="204" s="1"/>
  <c r="O580" i="204"/>
  <c r="N580" i="204"/>
  <c r="M580" i="204"/>
  <c r="P580" i="204"/>
  <c r="L580" i="204"/>
  <c r="P61" i="205" l="1"/>
  <c r="P61" i="204" s="1"/>
  <c r="Q580" i="204"/>
  <c r="P472" i="204" l="1"/>
  <c r="O472" i="204"/>
  <c r="H472" i="204"/>
  <c r="L472" i="204"/>
  <c r="N472" i="204"/>
  <c r="K472" i="204"/>
  <c r="I472" i="204"/>
  <c r="J472" i="204"/>
  <c r="M472" i="204"/>
  <c r="G472" i="204"/>
  <c r="F472" i="204"/>
  <c r="O27" i="205" l="1"/>
  <c r="O27" i="204" s="1"/>
  <c r="E472" i="204"/>
  <c r="Q472" i="204" s="1"/>
  <c r="L546" i="204"/>
  <c r="O546" i="204"/>
  <c r="K546" i="204"/>
  <c r="F546" i="204"/>
  <c r="G546" i="204"/>
  <c r="N546" i="204"/>
  <c r="H546" i="204"/>
  <c r="I546" i="204"/>
  <c r="J546" i="204"/>
  <c r="M546" i="204"/>
  <c r="P546" i="204"/>
  <c r="P27" i="205" l="1"/>
  <c r="P27" i="204" s="1"/>
  <c r="E546" i="204"/>
  <c r="Q546" i="204" s="1"/>
  <c r="L487" i="204" l="1"/>
  <c r="M487" i="204"/>
  <c r="N487" i="204"/>
  <c r="O487" i="204"/>
  <c r="P487" i="204"/>
  <c r="K487" i="204" l="1"/>
  <c r="Q487" i="204" s="1"/>
  <c r="O42" i="205"/>
  <c r="O42" i="204" s="1"/>
  <c r="F462" i="204"/>
  <c r="N462" i="204"/>
  <c r="M462" i="204"/>
  <c r="G462" i="204"/>
  <c r="O462" i="204"/>
  <c r="H462" i="204"/>
  <c r="P462" i="204"/>
  <c r="L462" i="204"/>
  <c r="I462" i="204"/>
  <c r="K462" i="204"/>
  <c r="J462" i="204"/>
  <c r="P561" i="204"/>
  <c r="O561" i="204"/>
  <c r="N561" i="204"/>
  <c r="M561" i="204"/>
  <c r="L561" i="204"/>
  <c r="H470" i="204"/>
  <c r="I470" i="204"/>
  <c r="G470" i="204"/>
  <c r="F470" i="204"/>
  <c r="F495" i="204"/>
  <c r="G495" i="204"/>
  <c r="I495" i="204"/>
  <c r="H495" i="204"/>
  <c r="H461" i="204"/>
  <c r="I461" i="204"/>
  <c r="J461" i="204"/>
  <c r="K461" i="204"/>
  <c r="L461" i="204"/>
  <c r="M461" i="204"/>
  <c r="F461" i="204"/>
  <c r="N461" i="204"/>
  <c r="G461" i="204"/>
  <c r="O461" i="204"/>
  <c r="P461" i="204"/>
  <c r="P495" i="204"/>
  <c r="N495" i="204"/>
  <c r="K495" i="204"/>
  <c r="M495" i="204"/>
  <c r="J495" i="204"/>
  <c r="O495" i="204"/>
  <c r="L495" i="204"/>
  <c r="E461" i="204" l="1"/>
  <c r="Q461" i="204" s="1"/>
  <c r="O16" i="205"/>
  <c r="O16" i="204" s="1"/>
  <c r="K561" i="204"/>
  <c r="Q561" i="204" s="1"/>
  <c r="P42" i="205"/>
  <c r="P42" i="204" s="1"/>
  <c r="E470" i="204"/>
  <c r="E495" i="204"/>
  <c r="Q495" i="204" s="1"/>
  <c r="O50" i="205"/>
  <c r="O50" i="204" s="1"/>
  <c r="O17" i="205"/>
  <c r="O17" i="204" s="1"/>
  <c r="E462" i="204"/>
  <c r="Q462" i="204" s="1"/>
  <c r="G536" i="204"/>
  <c r="O536" i="204"/>
  <c r="J536" i="204"/>
  <c r="M536" i="204"/>
  <c r="F536" i="204"/>
  <c r="N535" i="204"/>
  <c r="F535" i="204"/>
  <c r="F544" i="204"/>
  <c r="M535" i="204"/>
  <c r="G544" i="204"/>
  <c r="L535" i="204"/>
  <c r="I544" i="204"/>
  <c r="K535" i="204"/>
  <c r="H544" i="204"/>
  <c r="P535" i="204"/>
  <c r="J535" i="204"/>
  <c r="O535" i="204"/>
  <c r="I535" i="204"/>
  <c r="G535" i="204"/>
  <c r="H535" i="204"/>
  <c r="L569" i="204"/>
  <c r="N569" i="204"/>
  <c r="P569" i="204"/>
  <c r="H569" i="204"/>
  <c r="I569" i="204"/>
  <c r="O569" i="204"/>
  <c r="M569" i="204"/>
  <c r="G569" i="204"/>
  <c r="J569" i="204"/>
  <c r="K569" i="204"/>
  <c r="F569" i="204"/>
  <c r="I536" i="204"/>
  <c r="P536" i="204"/>
  <c r="H536" i="204"/>
  <c r="K536" i="204"/>
  <c r="N536" i="204"/>
  <c r="L536" i="204"/>
  <c r="P16" i="205" l="1"/>
  <c r="P16" i="204" s="1"/>
  <c r="E535" i="204"/>
  <c r="Q535" i="204" s="1"/>
  <c r="E536" i="204"/>
  <c r="Q536" i="204" s="1"/>
  <c r="P17" i="205"/>
  <c r="P17" i="204" s="1"/>
  <c r="E544" i="204"/>
  <c r="P50" i="205"/>
  <c r="P50" i="204" s="1"/>
  <c r="E569" i="204"/>
  <c r="Q569" i="204" s="1"/>
  <c r="O470" i="204"/>
  <c r="K470" i="204"/>
  <c r="M470" i="204"/>
  <c r="N470" i="204"/>
  <c r="L470" i="204"/>
  <c r="P470" i="204"/>
  <c r="K493" i="204"/>
  <c r="L493" i="204"/>
  <c r="F493" i="204"/>
  <c r="M493" i="204"/>
  <c r="N493" i="204"/>
  <c r="G493" i="204"/>
  <c r="O493" i="204"/>
  <c r="H493" i="204"/>
  <c r="P493" i="204"/>
  <c r="J493" i="204"/>
  <c r="I493" i="204"/>
  <c r="N512" i="204"/>
  <c r="F512" i="204"/>
  <c r="L512" i="204"/>
  <c r="P512" i="204"/>
  <c r="K512" i="204"/>
  <c r="O512" i="204"/>
  <c r="G512" i="204"/>
  <c r="M512" i="204"/>
  <c r="H512" i="204"/>
  <c r="I512" i="204"/>
  <c r="J512" i="204"/>
  <c r="O477" i="204"/>
  <c r="F477" i="204"/>
  <c r="N477" i="204"/>
  <c r="H477" i="204"/>
  <c r="P477" i="204"/>
  <c r="K477" i="204"/>
  <c r="I477" i="204"/>
  <c r="L477" i="204"/>
  <c r="J477" i="204"/>
  <c r="M477" i="204"/>
  <c r="G477" i="204"/>
  <c r="F490" i="204"/>
  <c r="H490" i="204"/>
  <c r="I490" i="204"/>
  <c r="G490" i="204"/>
  <c r="K476" i="204"/>
  <c r="O67" i="205" l="1"/>
  <c r="O67" i="204" s="1"/>
  <c r="E512" i="204"/>
  <c r="Q512" i="204" s="1"/>
  <c r="O48" i="205"/>
  <c r="O48" i="204" s="1"/>
  <c r="E493" i="204"/>
  <c r="Q493" i="204" s="1"/>
  <c r="O32" i="205"/>
  <c r="O32" i="204" s="1"/>
  <c r="E477" i="204"/>
  <c r="Q477" i="204" s="1"/>
  <c r="E490" i="204"/>
  <c r="P551" i="204"/>
  <c r="I586" i="204"/>
  <c r="F586" i="204"/>
  <c r="M551" i="204"/>
  <c r="K550" i="204"/>
  <c r="H586" i="204"/>
  <c r="P544" i="204"/>
  <c r="J551" i="204"/>
  <c r="O551" i="204"/>
  <c r="L544" i="204"/>
  <c r="K544" i="204"/>
  <c r="N551" i="204"/>
  <c r="F551" i="204"/>
  <c r="G586" i="204"/>
  <c r="L551" i="204"/>
  <c r="M544" i="204"/>
  <c r="O544" i="204"/>
  <c r="G551" i="204"/>
  <c r="K551" i="204"/>
  <c r="J586" i="204"/>
  <c r="L586" i="204"/>
  <c r="N544" i="204"/>
  <c r="H564" i="204"/>
  <c r="G564" i="204"/>
  <c r="F564" i="204"/>
  <c r="I564" i="204"/>
  <c r="P567" i="204"/>
  <c r="H551" i="204"/>
  <c r="H567" i="204"/>
  <c r="K567" i="204"/>
  <c r="N586" i="204"/>
  <c r="O567" i="204"/>
  <c r="M586" i="204"/>
  <c r="G567" i="204"/>
  <c r="N567" i="204"/>
  <c r="O586" i="204"/>
  <c r="M567" i="204"/>
  <c r="I551" i="204"/>
  <c r="K586" i="204"/>
  <c r="I567" i="204"/>
  <c r="F567" i="204"/>
  <c r="P586" i="204"/>
  <c r="J567" i="204"/>
  <c r="L567" i="204"/>
  <c r="M476" i="204"/>
  <c r="P476" i="204"/>
  <c r="F476" i="204"/>
  <c r="G476" i="204"/>
  <c r="H476" i="204"/>
  <c r="I476" i="204"/>
  <c r="J476" i="204"/>
  <c r="O476" i="204"/>
  <c r="N476" i="204"/>
  <c r="L476" i="204"/>
  <c r="E476" i="204" l="1"/>
  <c r="Q476" i="204" s="1"/>
  <c r="O31" i="205"/>
  <c r="O31" i="204" s="1"/>
  <c r="P67" i="205"/>
  <c r="P67" i="204" s="1"/>
  <c r="E586" i="204"/>
  <c r="Q586" i="204" s="1"/>
  <c r="P48" i="205"/>
  <c r="P48" i="204" s="1"/>
  <c r="E567" i="204"/>
  <c r="Q567" i="204" s="1"/>
  <c r="J470" i="204"/>
  <c r="Q470" i="204" s="1"/>
  <c r="O25" i="205"/>
  <c r="O25" i="204" s="1"/>
  <c r="E551" i="204"/>
  <c r="Q551" i="204" s="1"/>
  <c r="P32" i="205"/>
  <c r="P32" i="204" s="1"/>
  <c r="E564" i="204"/>
  <c r="M550" i="204"/>
  <c r="G563" i="204"/>
  <c r="H563" i="204"/>
  <c r="L550" i="204"/>
  <c r="P550" i="204"/>
  <c r="N550" i="204"/>
  <c r="I563" i="204"/>
  <c r="O550" i="204"/>
  <c r="F563" i="204"/>
  <c r="I550" i="204"/>
  <c r="H550" i="204"/>
  <c r="G550" i="204"/>
  <c r="F550" i="204"/>
  <c r="J550" i="204"/>
  <c r="F507" i="204"/>
  <c r="I507" i="204"/>
  <c r="G507" i="204"/>
  <c r="J507" i="204"/>
  <c r="H507" i="204"/>
  <c r="E563" i="204" l="1"/>
  <c r="J544" i="204"/>
  <c r="Q544" i="204" s="1"/>
  <c r="P25" i="205"/>
  <c r="P25" i="204" s="1"/>
  <c r="E507" i="204"/>
  <c r="E581" i="204"/>
  <c r="E550" i="204"/>
  <c r="Q550" i="204" s="1"/>
  <c r="P31" i="205"/>
  <c r="P31" i="204" s="1"/>
  <c r="F581" i="204"/>
  <c r="I581" i="204"/>
  <c r="G581" i="204"/>
  <c r="J581" i="204"/>
  <c r="H581" i="204"/>
  <c r="G509" i="204"/>
  <c r="G494" i="204"/>
  <c r="O494" i="204"/>
  <c r="H494" i="204"/>
  <c r="P494" i="204"/>
  <c r="I494" i="204"/>
  <c r="J494" i="204"/>
  <c r="L494" i="204"/>
  <c r="M494" i="204"/>
  <c r="F494" i="204"/>
  <c r="N494" i="204"/>
  <c r="K494" i="204"/>
  <c r="E494" i="204" l="1"/>
  <c r="Q494" i="204" s="1"/>
  <c r="O49" i="205"/>
  <c r="O49" i="204" s="1"/>
  <c r="N568" i="204"/>
  <c r="H568" i="204"/>
  <c r="F568" i="204"/>
  <c r="O568" i="204"/>
  <c r="M568" i="204"/>
  <c r="G568" i="204"/>
  <c r="K568" i="204"/>
  <c r="L568" i="204"/>
  <c r="J568" i="204"/>
  <c r="P568" i="204"/>
  <c r="I568" i="204"/>
  <c r="M509" i="204"/>
  <c r="K509" i="204"/>
  <c r="J509" i="204"/>
  <c r="F509" i="204"/>
  <c r="N509" i="204"/>
  <c r="O509" i="204"/>
  <c r="L509" i="204"/>
  <c r="H509" i="204"/>
  <c r="I509" i="204"/>
  <c r="P509" i="204"/>
  <c r="H475" i="204"/>
  <c r="G492" i="204"/>
  <c r="J491" i="204"/>
  <c r="M508" i="204"/>
  <c r="F508" i="204"/>
  <c r="N508" i="204"/>
  <c r="G508" i="204"/>
  <c r="O508" i="204"/>
  <c r="J508" i="204"/>
  <c r="H508" i="204"/>
  <c r="K508" i="204"/>
  <c r="P508" i="204"/>
  <c r="L508" i="204"/>
  <c r="I508" i="204"/>
  <c r="E508" i="204" l="1"/>
  <c r="Q508" i="204" s="1"/>
  <c r="O63" i="205"/>
  <c r="O63" i="204" s="1"/>
  <c r="P49" i="205"/>
  <c r="P49" i="204" s="1"/>
  <c r="E568" i="204"/>
  <c r="Q568" i="204" s="1"/>
  <c r="E509" i="204"/>
  <c r="Q509" i="204" s="1"/>
  <c r="O64" i="205"/>
  <c r="O64" i="204" s="1"/>
  <c r="E474" i="204"/>
  <c r="O491" i="204"/>
  <c r="M491" i="204"/>
  <c r="J492" i="204"/>
  <c r="I491" i="204"/>
  <c r="N492" i="204"/>
  <c r="L491" i="204"/>
  <c r="F492" i="204"/>
  <c r="O492" i="204"/>
  <c r="G491" i="204"/>
  <c r="P475" i="204"/>
  <c r="K475" i="204"/>
  <c r="O475" i="204"/>
  <c r="L475" i="204"/>
  <c r="J475" i="204"/>
  <c r="N475" i="204"/>
  <c r="M475" i="204"/>
  <c r="I475" i="204"/>
  <c r="F475" i="204"/>
  <c r="K492" i="204"/>
  <c r="M492" i="204"/>
  <c r="P492" i="204"/>
  <c r="H492" i="204"/>
  <c r="L492" i="204"/>
  <c r="I492" i="204"/>
  <c r="G475" i="204"/>
  <c r="L474" i="204"/>
  <c r="N474" i="204"/>
  <c r="P474" i="204"/>
  <c r="N491" i="204"/>
  <c r="K474" i="204"/>
  <c r="I474" i="204"/>
  <c r="H474" i="204"/>
  <c r="G474" i="204"/>
  <c r="H491" i="204"/>
  <c r="J474" i="204"/>
  <c r="M474" i="204"/>
  <c r="F474" i="204"/>
  <c r="K491" i="204"/>
  <c r="F491" i="204"/>
  <c r="O474" i="204"/>
  <c r="P491" i="204"/>
  <c r="L513" i="204"/>
  <c r="M513" i="204"/>
  <c r="F513" i="204"/>
  <c r="N513" i="204"/>
  <c r="G513" i="204"/>
  <c r="O513" i="204"/>
  <c r="H513" i="204"/>
  <c r="P513" i="204"/>
  <c r="I513" i="204"/>
  <c r="J513" i="204"/>
  <c r="K513" i="204"/>
  <c r="P490" i="204"/>
  <c r="M490" i="204"/>
  <c r="N507" i="204"/>
  <c r="K490" i="204"/>
  <c r="L490" i="204"/>
  <c r="O47" i="205" l="1"/>
  <c r="O47" i="204" s="1"/>
  <c r="E492" i="204"/>
  <c r="Q492" i="204" s="1"/>
  <c r="E491" i="204"/>
  <c r="Q491" i="204" s="1"/>
  <c r="O46" i="205"/>
  <c r="O46" i="204" s="1"/>
  <c r="O30" i="205"/>
  <c r="O30" i="204" s="1"/>
  <c r="E475" i="204"/>
  <c r="Q475" i="204" s="1"/>
  <c r="O68" i="205"/>
  <c r="O68" i="204" s="1"/>
  <c r="E513" i="204"/>
  <c r="Q513" i="204" s="1"/>
  <c r="O29" i="205"/>
  <c r="O29" i="204" s="1"/>
  <c r="J490" i="204"/>
  <c r="Q474" i="204"/>
  <c r="I587" i="204"/>
  <c r="L587" i="204"/>
  <c r="P587" i="204"/>
  <c r="O587" i="204"/>
  <c r="G587" i="204"/>
  <c r="K587" i="204"/>
  <c r="N587" i="204"/>
  <c r="J587" i="204"/>
  <c r="F587" i="204"/>
  <c r="M587" i="204"/>
  <c r="P564" i="204"/>
  <c r="K564" i="204"/>
  <c r="L564" i="204"/>
  <c r="M564" i="204"/>
  <c r="N581" i="204"/>
  <c r="H587" i="204"/>
  <c r="N490" i="204"/>
  <c r="L507" i="204"/>
  <c r="M507" i="204"/>
  <c r="O490" i="204"/>
  <c r="P507" i="204"/>
  <c r="E587" i="204" l="1"/>
  <c r="Q587" i="204" s="1"/>
  <c r="P68" i="205"/>
  <c r="P68" i="204" s="1"/>
  <c r="Q490" i="204"/>
  <c r="J564" i="204"/>
  <c r="K507" i="204"/>
  <c r="O45" i="205"/>
  <c r="O45" i="204" s="1"/>
  <c r="M563" i="204"/>
  <c r="L563" i="204"/>
  <c r="K563" i="204"/>
  <c r="P563" i="204"/>
  <c r="O507" i="204"/>
  <c r="M581" i="204"/>
  <c r="P581" i="204"/>
  <c r="O564" i="204"/>
  <c r="N564" i="204"/>
  <c r="L581" i="204"/>
  <c r="J563" i="204" l="1"/>
  <c r="O62" i="205"/>
  <c r="O62" i="204" s="1"/>
  <c r="P45" i="205"/>
  <c r="P45" i="204" s="1"/>
  <c r="K581" i="204"/>
  <c r="Q507" i="204"/>
  <c r="Q564" i="204"/>
  <c r="O563" i="204"/>
  <c r="N563" i="204"/>
  <c r="O581" i="204"/>
  <c r="N457" i="204"/>
  <c r="P44" i="205" l="1"/>
  <c r="P44" i="204" s="1"/>
  <c r="Q563" i="204"/>
  <c r="P62" i="205"/>
  <c r="P62" i="204" s="1"/>
  <c r="Q581" i="204"/>
  <c r="L457" i="204"/>
  <c r="K457" i="204"/>
  <c r="J457" i="204"/>
  <c r="O457" i="204"/>
  <c r="H457" i="204"/>
  <c r="M457" i="204"/>
  <c r="P457" i="204"/>
  <c r="I457" i="204"/>
  <c r="F457" i="204"/>
  <c r="G457" i="204"/>
  <c r="O12" i="205" l="1"/>
  <c r="O12" i="204" s="1"/>
  <c r="E457" i="204"/>
  <c r="Q457" i="204" s="1"/>
  <c r="O510" i="204"/>
  <c r="P510" i="204"/>
  <c r="K510" i="204"/>
  <c r="F510" i="204"/>
  <c r="G510" i="204"/>
  <c r="M510" i="204"/>
  <c r="I510" i="204"/>
  <c r="H510" i="204"/>
  <c r="N510" i="204"/>
  <c r="L510" i="204"/>
  <c r="J510" i="204"/>
  <c r="G566" i="204"/>
  <c r="O566" i="204"/>
  <c r="F566" i="204"/>
  <c r="J566" i="204"/>
  <c r="N566" i="204"/>
  <c r="H566" i="204"/>
  <c r="I566" i="204"/>
  <c r="L566" i="204"/>
  <c r="P566" i="204"/>
  <c r="M566" i="204"/>
  <c r="K566" i="204"/>
  <c r="J565" i="204"/>
  <c r="P565" i="204"/>
  <c r="N565" i="204"/>
  <c r="M565" i="204"/>
  <c r="K565" i="204"/>
  <c r="G565" i="204"/>
  <c r="I565" i="204"/>
  <c r="H565" i="204"/>
  <c r="O565" i="204"/>
  <c r="F565" i="204"/>
  <c r="L565" i="204"/>
  <c r="L549" i="204"/>
  <c r="O549" i="204"/>
  <c r="F549" i="204"/>
  <c r="K549" i="204"/>
  <c r="P549" i="204"/>
  <c r="I549" i="204"/>
  <c r="M549" i="204"/>
  <c r="M548" i="204"/>
  <c r="I548" i="204"/>
  <c r="G548" i="204"/>
  <c r="L548" i="204"/>
  <c r="J548" i="204"/>
  <c r="O548" i="204"/>
  <c r="K548" i="204"/>
  <c r="P548" i="204"/>
  <c r="F548" i="204"/>
  <c r="H548" i="204"/>
  <c r="N548" i="204"/>
  <c r="F505" i="204"/>
  <c r="K505" i="204"/>
  <c r="N549" i="204" l="1"/>
  <c r="E549" i="204"/>
  <c r="P47" i="205"/>
  <c r="P47" i="204" s="1"/>
  <c r="E566" i="204"/>
  <c r="Q566" i="204" s="1"/>
  <c r="P46" i="205"/>
  <c r="P46" i="204" s="1"/>
  <c r="E565" i="204"/>
  <c r="Q565" i="204" s="1"/>
  <c r="M183" i="209"/>
  <c r="P29" i="205"/>
  <c r="P29" i="204" s="1"/>
  <c r="E548" i="204"/>
  <c r="Q548" i="204" s="1"/>
  <c r="G549" i="204"/>
  <c r="J549" i="204"/>
  <c r="M183" i="256"/>
  <c r="H549" i="204"/>
  <c r="O65" i="205"/>
  <c r="O65" i="204" s="1"/>
  <c r="E510" i="204"/>
  <c r="Q510" i="204" s="1"/>
  <c r="F488" i="204"/>
  <c r="P488" i="204"/>
  <c r="O488" i="204"/>
  <c r="I488" i="204"/>
  <c r="L488" i="204"/>
  <c r="J488" i="204"/>
  <c r="N488" i="204"/>
  <c r="G505" i="204"/>
  <c r="M505" i="204"/>
  <c r="N505" i="204"/>
  <c r="P505" i="204"/>
  <c r="J505" i="204"/>
  <c r="O505" i="204"/>
  <c r="I505" i="204"/>
  <c r="L505" i="204"/>
  <c r="H505" i="204"/>
  <c r="G488" i="204"/>
  <c r="M488" i="204"/>
  <c r="M184" i="256" l="1"/>
  <c r="M37" i="209"/>
  <c r="O60" i="205"/>
  <c r="O60" i="204" s="1"/>
  <c r="E505" i="204"/>
  <c r="Q505" i="204" s="1"/>
  <c r="M37" i="256"/>
  <c r="P30" i="205"/>
  <c r="P30" i="204" s="1"/>
  <c r="Q549" i="204"/>
  <c r="K488" i="204"/>
  <c r="H488" i="204"/>
  <c r="K460" i="204"/>
  <c r="O43" i="205" l="1"/>
  <c r="O43" i="204" s="1"/>
  <c r="E488" i="204"/>
  <c r="Q488" i="204" s="1"/>
  <c r="M185" i="256"/>
  <c r="M184" i="209"/>
  <c r="P460" i="204"/>
  <c r="L456" i="204"/>
  <c r="F460" i="204"/>
  <c r="H460" i="204"/>
  <c r="L460" i="204"/>
  <c r="I460" i="204"/>
  <c r="H456" i="204"/>
  <c r="K456" i="204"/>
  <c r="J456" i="204"/>
  <c r="J460" i="204"/>
  <c r="I456" i="204"/>
  <c r="N460" i="204"/>
  <c r="G456" i="204"/>
  <c r="N456" i="204"/>
  <c r="K530" i="204"/>
  <c r="H530" i="204"/>
  <c r="M456" i="204"/>
  <c r="F456" i="204"/>
  <c r="J530" i="204"/>
  <c r="P456" i="204"/>
  <c r="G530" i="204"/>
  <c r="O456" i="204"/>
  <c r="L530" i="204"/>
  <c r="I530" i="204"/>
  <c r="O460" i="204"/>
  <c r="G460" i="204"/>
  <c r="M460" i="204"/>
  <c r="O473" i="204"/>
  <c r="M39" i="256" l="1"/>
  <c r="M39" i="209"/>
  <c r="M143" i="256"/>
  <c r="E456" i="204"/>
  <c r="Q456" i="204" s="1"/>
  <c r="O11" i="205"/>
  <c r="O11" i="204" s="1"/>
  <c r="E460" i="204"/>
  <c r="Q460" i="204" s="1"/>
  <c r="O15" i="205"/>
  <c r="O15" i="204" s="1"/>
  <c r="M185" i="209"/>
  <c r="F473" i="204"/>
  <c r="L473" i="204"/>
  <c r="G473" i="204"/>
  <c r="P473" i="204"/>
  <c r="H473" i="204"/>
  <c r="N473" i="204"/>
  <c r="J473" i="204"/>
  <c r="P530" i="204"/>
  <c r="O530" i="204"/>
  <c r="F530" i="204"/>
  <c r="M530" i="204"/>
  <c r="N530" i="204"/>
  <c r="K473" i="204"/>
  <c r="I473" i="204"/>
  <c r="M473" i="204"/>
  <c r="E530" i="204" l="1"/>
  <c r="Q530" i="204" s="1"/>
  <c r="P11" i="205"/>
  <c r="P11" i="204" s="1"/>
  <c r="E531" i="204"/>
  <c r="E473" i="204"/>
  <c r="Q473" i="204" s="1"/>
  <c r="O28" i="205"/>
  <c r="O28" i="204" s="1"/>
  <c r="M143" i="209"/>
  <c r="P531" i="204"/>
  <c r="M531" i="204"/>
  <c r="F531" i="204"/>
  <c r="I531" i="204"/>
  <c r="O531" i="204"/>
  <c r="N531" i="204"/>
  <c r="H531" i="204"/>
  <c r="J531" i="204"/>
  <c r="G531" i="204"/>
  <c r="L531" i="204"/>
  <c r="K531" i="204"/>
  <c r="I471" i="204"/>
  <c r="G471" i="204"/>
  <c r="J471" i="204"/>
  <c r="N471" i="204"/>
  <c r="P471" i="204"/>
  <c r="K471" i="204"/>
  <c r="F471" i="204"/>
  <c r="L471" i="204"/>
  <c r="H471" i="204"/>
  <c r="O471" i="204"/>
  <c r="M471" i="204"/>
  <c r="E471" i="204" l="1"/>
  <c r="Q471" i="204" s="1"/>
  <c r="O26" i="205"/>
  <c r="O26" i="204" s="1"/>
  <c r="M41" i="209"/>
  <c r="P12" i="205"/>
  <c r="P12" i="204" s="1"/>
  <c r="M41" i="256"/>
  <c r="Q531" i="204"/>
  <c r="K584" i="204" l="1"/>
  <c r="N584" i="204"/>
  <c r="M584" i="204"/>
  <c r="I584" i="204"/>
  <c r="P584" i="204"/>
  <c r="F584" i="204"/>
  <c r="H584" i="204"/>
  <c r="L584" i="204"/>
  <c r="O584" i="204"/>
  <c r="G584" i="204"/>
  <c r="J584" i="204"/>
  <c r="J454" i="204" l="1"/>
  <c r="E584" i="204"/>
  <c r="Q584" i="204" s="1"/>
  <c r="P65" i="205"/>
  <c r="P65" i="204" s="1"/>
  <c r="I579" i="204"/>
  <c r="O579" i="204"/>
  <c r="G579" i="204"/>
  <c r="L579" i="204"/>
  <c r="J579" i="204"/>
  <c r="H579" i="204"/>
  <c r="N579" i="204"/>
  <c r="M579" i="204"/>
  <c r="F579" i="204"/>
  <c r="P579" i="204"/>
  <c r="K579" i="204"/>
  <c r="K459" i="204"/>
  <c r="L459" i="204"/>
  <c r="O459" i="204"/>
  <c r="N459" i="204"/>
  <c r="M455" i="204"/>
  <c r="O454" i="204" l="1"/>
  <c r="K454" i="204"/>
  <c r="F454" i="204"/>
  <c r="P454" i="204"/>
  <c r="E454" i="204"/>
  <c r="O9" i="205"/>
  <c r="O9" i="204" s="1"/>
  <c r="L454" i="204"/>
  <c r="N454" i="204"/>
  <c r="M454" i="204"/>
  <c r="G454" i="204"/>
  <c r="H454" i="204"/>
  <c r="I454" i="204"/>
  <c r="E579" i="204"/>
  <c r="Q579" i="204" s="1"/>
  <c r="P60" i="205"/>
  <c r="P60" i="204" s="1"/>
  <c r="M562" i="204"/>
  <c r="G562" i="204"/>
  <c r="K562" i="204"/>
  <c r="O562" i="204"/>
  <c r="F562" i="204"/>
  <c r="H562" i="204"/>
  <c r="P562" i="204"/>
  <c r="N562" i="204"/>
  <c r="L562" i="204"/>
  <c r="I562" i="204"/>
  <c r="J562" i="204"/>
  <c r="G459" i="204"/>
  <c r="I455" i="204"/>
  <c r="O455" i="204"/>
  <c r="K455" i="204"/>
  <c r="N455" i="204"/>
  <c r="L455" i="204"/>
  <c r="P455" i="204"/>
  <c r="G455" i="204"/>
  <c r="F455" i="204"/>
  <c r="I459" i="204"/>
  <c r="H455" i="204"/>
  <c r="F459" i="204"/>
  <c r="J459" i="204"/>
  <c r="M459" i="204"/>
  <c r="P459" i="204"/>
  <c r="H459" i="204"/>
  <c r="F467" i="204" l="1"/>
  <c r="P43" i="205"/>
  <c r="P43" i="204" s="1"/>
  <c r="E562" i="204"/>
  <c r="Q562" i="204" s="1"/>
  <c r="I467" i="204"/>
  <c r="G467" i="204"/>
  <c r="N467" i="204"/>
  <c r="E459" i="204"/>
  <c r="Q459" i="204" s="1"/>
  <c r="O14" i="205"/>
  <c r="O14" i="204" s="1"/>
  <c r="J455" i="204"/>
  <c r="J467" i="204" s="1"/>
  <c r="H467" i="204"/>
  <c r="M467" i="204"/>
  <c r="L467" i="204"/>
  <c r="E455" i="204"/>
  <c r="O10" i="205"/>
  <c r="O10" i="204" s="1"/>
  <c r="K467" i="204"/>
  <c r="Q454" i="204"/>
  <c r="P467" i="204"/>
  <c r="O467" i="204"/>
  <c r="J547" i="204"/>
  <c r="F545" i="204"/>
  <c r="J545" i="204"/>
  <c r="K547" i="204"/>
  <c r="H547" i="204"/>
  <c r="O545" i="204"/>
  <c r="P545" i="204"/>
  <c r="F547" i="204"/>
  <c r="H545" i="204"/>
  <c r="I547" i="204"/>
  <c r="G547" i="204"/>
  <c r="L547" i="204"/>
  <c r="P547" i="204"/>
  <c r="N547" i="204"/>
  <c r="N545" i="204"/>
  <c r="K545" i="204"/>
  <c r="O547" i="204"/>
  <c r="G545" i="204"/>
  <c r="M545" i="204"/>
  <c r="M547" i="204"/>
  <c r="L545" i="204"/>
  <c r="I545" i="204"/>
  <c r="Q455" i="204" l="1"/>
  <c r="E467" i="204"/>
  <c r="Q467" i="204" s="1"/>
  <c r="O22" i="204" s="1"/>
  <c r="P28" i="205"/>
  <c r="P28" i="204" s="1"/>
  <c r="E547" i="204"/>
  <c r="Q547" i="204" s="1"/>
  <c r="O22" i="205"/>
  <c r="E545" i="204"/>
  <c r="Q545" i="204" s="1"/>
  <c r="P26" i="205"/>
  <c r="P26" i="204" s="1"/>
  <c r="P534" i="204"/>
  <c r="N534" i="204"/>
  <c r="L534" i="204"/>
  <c r="O534" i="204"/>
  <c r="G534" i="204"/>
  <c r="F534" i="204"/>
  <c r="I534" i="204"/>
  <c r="M534" i="204"/>
  <c r="K534" i="204"/>
  <c r="J534" i="204"/>
  <c r="H534" i="204"/>
  <c r="F532" i="204" l="1"/>
  <c r="F541" i="206"/>
  <c r="F596" i="206" s="1"/>
  <c r="J532" i="204"/>
  <c r="J541" i="206"/>
  <c r="J596" i="206" s="1"/>
  <c r="O541" i="206"/>
  <c r="O596" i="206" s="1"/>
  <c r="O532" i="204"/>
  <c r="K532" i="204"/>
  <c r="K541" i="206"/>
  <c r="K596" i="206" s="1"/>
  <c r="N541" i="206"/>
  <c r="N596" i="206" s="1"/>
  <c r="N532" i="204"/>
  <c r="I532" i="204"/>
  <c r="I541" i="206"/>
  <c r="I596" i="206" s="1"/>
  <c r="P541" i="206"/>
  <c r="P596" i="206" s="1"/>
  <c r="P532" i="204"/>
  <c r="P13" i="206"/>
  <c r="P13" i="204" s="1"/>
  <c r="E541" i="206"/>
  <c r="E532" i="204"/>
  <c r="G541" i="206"/>
  <c r="G596" i="206" s="1"/>
  <c r="G532" i="204"/>
  <c r="H541" i="206"/>
  <c r="H596" i="206" s="1"/>
  <c r="H532" i="204"/>
  <c r="M532" i="204"/>
  <c r="M541" i="206"/>
  <c r="M596" i="206" s="1"/>
  <c r="L532" i="204"/>
  <c r="L541" i="206"/>
  <c r="L596" i="206" s="1"/>
  <c r="P15" i="205" l="1"/>
  <c r="P15" i="204" s="1"/>
  <c r="E534" i="204"/>
  <c r="Q534" i="204" s="1"/>
  <c r="K70" i="256"/>
  <c r="Q532" i="204"/>
  <c r="Q541" i="206"/>
  <c r="P22" i="206" s="1"/>
  <c r="E596" i="206"/>
  <c r="Q596" i="206" s="1"/>
  <c r="P77" i="206" s="1"/>
  <c r="H478" i="204"/>
  <c r="P478" i="204"/>
  <c r="I478" i="204"/>
  <c r="J478" i="204"/>
  <c r="K478" i="204"/>
  <c r="M478" i="204"/>
  <c r="F478" i="204"/>
  <c r="N478" i="204"/>
  <c r="G478" i="204"/>
  <c r="O478" i="204"/>
  <c r="L478" i="204"/>
  <c r="O33" i="205" l="1"/>
  <c r="O33" i="204" s="1"/>
  <c r="E478" i="204"/>
  <c r="Q478" i="204" s="1"/>
  <c r="O552" i="204" l="1"/>
  <c r="K552" i="204"/>
  <c r="I552" i="204"/>
  <c r="J552" i="204"/>
  <c r="L552" i="204"/>
  <c r="H552" i="204"/>
  <c r="G552" i="204"/>
  <c r="P552" i="204"/>
  <c r="N552" i="204"/>
  <c r="F552" i="204"/>
  <c r="M552" i="204"/>
  <c r="P33" i="205" l="1"/>
  <c r="P33" i="204" s="1"/>
  <c r="E552" i="204"/>
  <c r="Q552" i="204" s="1"/>
  <c r="O41" i="205" l="1"/>
  <c r="O41" i="204" s="1"/>
  <c r="E486" i="204"/>
  <c r="F486" i="204"/>
  <c r="F501" i="204" s="1"/>
  <c r="M486" i="204"/>
  <c r="M501" i="204" s="1"/>
  <c r="H486" i="204"/>
  <c r="H501" i="204" s="1"/>
  <c r="P486" i="204"/>
  <c r="P501" i="204" s="1"/>
  <c r="N486" i="204"/>
  <c r="N501" i="204" s="1"/>
  <c r="G486" i="204"/>
  <c r="G501" i="204" s="1"/>
  <c r="O486" i="204"/>
  <c r="O501" i="204" s="1"/>
  <c r="L486" i="204"/>
  <c r="L501" i="204" s="1"/>
  <c r="J486" i="204"/>
  <c r="J501" i="204" s="1"/>
  <c r="I486" i="204"/>
  <c r="I501" i="204" s="1"/>
  <c r="K486" i="204"/>
  <c r="K501" i="204" s="1"/>
  <c r="E501" i="204" l="1"/>
  <c r="Q501" i="204" s="1"/>
  <c r="O56" i="204" s="1"/>
  <c r="Q486" i="204"/>
  <c r="O56" i="205"/>
  <c r="M533" i="204" l="1"/>
  <c r="H533" i="204"/>
  <c r="N533" i="204"/>
  <c r="P533" i="204"/>
  <c r="F533" i="204"/>
  <c r="J533" i="204"/>
  <c r="G533" i="204"/>
  <c r="L533" i="204"/>
  <c r="I533" i="204"/>
  <c r="K533" i="204"/>
  <c r="O533" i="204"/>
  <c r="H528" i="204" l="1"/>
  <c r="L528" i="204"/>
  <c r="I528" i="204"/>
  <c r="J528" i="204"/>
  <c r="M528" i="204"/>
  <c r="N528" i="204"/>
  <c r="K528" i="204"/>
  <c r="F528" i="204"/>
  <c r="G528" i="204"/>
  <c r="E528" i="204"/>
  <c r="P9" i="205"/>
  <c r="P9" i="204" s="1"/>
  <c r="O528" i="204"/>
  <c r="P528" i="204"/>
  <c r="P14" i="205"/>
  <c r="P14" i="204" s="1"/>
  <c r="E533" i="204"/>
  <c r="Q533" i="204" s="1"/>
  <c r="Q528" i="204" l="1"/>
  <c r="G529" i="204" l="1"/>
  <c r="G541" i="204" s="1"/>
  <c r="P10" i="205"/>
  <c r="P10" i="204" s="1"/>
  <c r="E529" i="204"/>
  <c r="K529" i="204"/>
  <c r="K541" i="204" s="1"/>
  <c r="P529" i="204"/>
  <c r="P541" i="204" s="1"/>
  <c r="H529" i="204"/>
  <c r="H541" i="204" s="1"/>
  <c r="N529" i="204"/>
  <c r="N541" i="204" s="1"/>
  <c r="M529" i="204"/>
  <c r="M541" i="204" s="1"/>
  <c r="L529" i="204"/>
  <c r="L541" i="204" s="1"/>
  <c r="O529" i="204"/>
  <c r="O541" i="204" s="1"/>
  <c r="J529" i="204"/>
  <c r="J541" i="204" s="1"/>
  <c r="I529" i="204"/>
  <c r="I541" i="204" s="1"/>
  <c r="F529" i="204"/>
  <c r="F541" i="204" s="1"/>
  <c r="P22" i="205" l="1"/>
  <c r="Q529" i="204"/>
  <c r="E541" i="204"/>
  <c r="Q541" i="204" s="1"/>
  <c r="P22" i="204" s="1"/>
  <c r="K164" i="256" l="1"/>
  <c r="G583" i="204" l="1"/>
  <c r="M583" i="204"/>
  <c r="H583" i="204"/>
  <c r="I583" i="204"/>
  <c r="N583" i="204"/>
  <c r="L583" i="204"/>
  <c r="K583" i="204"/>
  <c r="F583" i="204"/>
  <c r="J583" i="204"/>
  <c r="O583" i="204"/>
  <c r="P583" i="204"/>
  <c r="E583" i="204" l="1"/>
  <c r="Q583" i="204" s="1"/>
  <c r="P64" i="205"/>
  <c r="P64" i="204" s="1"/>
  <c r="I582" i="204"/>
  <c r="H582" i="204"/>
  <c r="N582" i="204"/>
  <c r="K582" i="204"/>
  <c r="L582" i="204"/>
  <c r="M582" i="204"/>
  <c r="J582" i="204"/>
  <c r="F582" i="204"/>
  <c r="G582" i="204"/>
  <c r="O582" i="204"/>
  <c r="P582" i="204"/>
  <c r="E582" i="204" l="1"/>
  <c r="Q582" i="204" s="1"/>
  <c r="P63" i="205"/>
  <c r="P63" i="204" s="1"/>
  <c r="G560" i="204" l="1"/>
  <c r="G575" i="204" s="1"/>
  <c r="L560" i="204"/>
  <c r="L575" i="204" s="1"/>
  <c r="H560" i="204"/>
  <c r="H575" i="204" s="1"/>
  <c r="J560" i="204"/>
  <c r="J575" i="204" s="1"/>
  <c r="O560" i="204"/>
  <c r="O575" i="204" s="1"/>
  <c r="I560" i="204"/>
  <c r="I575" i="204" s="1"/>
  <c r="P560" i="204"/>
  <c r="P575" i="204" s="1"/>
  <c r="K560" i="204"/>
  <c r="K575" i="204" s="1"/>
  <c r="M560" i="204"/>
  <c r="M575" i="204" s="1"/>
  <c r="F560" i="204"/>
  <c r="F575" i="204" s="1"/>
  <c r="N560" i="204"/>
  <c r="N575" i="204" s="1"/>
  <c r="E560" i="204" l="1"/>
  <c r="P41" i="205"/>
  <c r="P41" i="204" s="1"/>
  <c r="P56" i="205"/>
  <c r="E575" i="204" l="1"/>
  <c r="Q575" i="204" s="1"/>
  <c r="P56" i="204" s="1"/>
  <c r="Q560" i="204"/>
  <c r="E469" i="204" l="1"/>
  <c r="O24" i="205" l="1"/>
  <c r="O24" i="204" s="1"/>
  <c r="L469" i="204"/>
  <c r="L484" i="204" s="1"/>
  <c r="K469" i="204"/>
  <c r="K484" i="204" s="1"/>
  <c r="J469" i="204"/>
  <c r="J484" i="204" s="1"/>
  <c r="I469" i="204"/>
  <c r="I484" i="204" s="1"/>
  <c r="P469" i="204"/>
  <c r="P484" i="204" s="1"/>
  <c r="H469" i="204"/>
  <c r="H484" i="204" s="1"/>
  <c r="O469" i="204"/>
  <c r="O484" i="204" s="1"/>
  <c r="G469" i="204"/>
  <c r="G484" i="204" s="1"/>
  <c r="F469" i="204"/>
  <c r="F484" i="204" s="1"/>
  <c r="N469" i="204"/>
  <c r="N484" i="204" s="1"/>
  <c r="M469" i="204"/>
  <c r="M484" i="204" s="1"/>
  <c r="E484" i="204"/>
  <c r="O39" i="205" l="1"/>
  <c r="Q484" i="204"/>
  <c r="O39" i="204" s="1"/>
  <c r="Q469" i="204"/>
  <c r="K120" i="256" l="1"/>
  <c r="E503" i="204" l="1"/>
  <c r="O58" i="205" l="1"/>
  <c r="O58" i="204" s="1"/>
  <c r="N503" i="204"/>
  <c r="N520" i="204" s="1"/>
  <c r="N521" i="204" s="1"/>
  <c r="N522" i="204" s="1"/>
  <c r="K503" i="204"/>
  <c r="K520" i="204" s="1"/>
  <c r="K521" i="204" s="1"/>
  <c r="K522" i="204" s="1"/>
  <c r="L503" i="204"/>
  <c r="L520" i="204" s="1"/>
  <c r="L521" i="204" s="1"/>
  <c r="L522" i="204" s="1"/>
  <c r="F503" i="204"/>
  <c r="F520" i="204" s="1"/>
  <c r="F521" i="204" s="1"/>
  <c r="F522" i="204" s="1"/>
  <c r="J503" i="204"/>
  <c r="J520" i="204" s="1"/>
  <c r="J521" i="204" s="1"/>
  <c r="J522" i="204" s="1"/>
  <c r="I503" i="204"/>
  <c r="I520" i="204" s="1"/>
  <c r="I521" i="204" s="1"/>
  <c r="I522" i="204" s="1"/>
  <c r="P503" i="204"/>
  <c r="P520" i="204" s="1"/>
  <c r="P521" i="204" s="1"/>
  <c r="P522" i="204" s="1"/>
  <c r="H503" i="204"/>
  <c r="H520" i="204" s="1"/>
  <c r="H521" i="204" s="1"/>
  <c r="H522" i="204" s="1"/>
  <c r="M503" i="204"/>
  <c r="M520" i="204" s="1"/>
  <c r="M521" i="204" s="1"/>
  <c r="M522" i="204" s="1"/>
  <c r="O503" i="204"/>
  <c r="O520" i="204" s="1"/>
  <c r="O521" i="204" s="1"/>
  <c r="O522" i="204" s="1"/>
  <c r="G503" i="204"/>
  <c r="G520" i="204" s="1"/>
  <c r="G521" i="204" s="1"/>
  <c r="G522" i="204" s="1"/>
  <c r="E520" i="204"/>
  <c r="Q503" i="204" l="1"/>
  <c r="O75" i="205"/>
  <c r="E521" i="204"/>
  <c r="Q520" i="204"/>
  <c r="O75" i="204" s="1"/>
  <c r="O76" i="205"/>
  <c r="O77" i="205"/>
  <c r="Q521" i="204" l="1"/>
  <c r="O76" i="204" s="1"/>
  <c r="E522" i="204"/>
  <c r="Q522" i="204" s="1"/>
  <c r="O77" i="204" s="1"/>
  <c r="F209" i="209"/>
  <c r="F211" i="209" s="1"/>
  <c r="F212" i="209" s="1"/>
  <c r="K211" i="209" l="1"/>
  <c r="K212" i="209" s="1"/>
  <c r="K209" i="256"/>
  <c r="K211" i="256" s="1"/>
  <c r="K212" i="256" s="1"/>
  <c r="M543" i="204" l="1"/>
  <c r="M558" i="204" s="1"/>
  <c r="P543" i="204"/>
  <c r="P558" i="204" s="1"/>
  <c r="I543" i="204"/>
  <c r="I558" i="204" s="1"/>
  <c r="H543" i="204"/>
  <c r="H558" i="204" s="1"/>
  <c r="K543" i="204" l="1"/>
  <c r="K558" i="204" s="1"/>
  <c r="P24" i="205"/>
  <c r="P24" i="204" s="1"/>
  <c r="J543" i="204"/>
  <c r="J558" i="204" s="1"/>
  <c r="E543" i="204"/>
  <c r="N543" i="204"/>
  <c r="N558" i="204" s="1"/>
  <c r="G543" i="204"/>
  <c r="G558" i="204" s="1"/>
  <c r="F543" i="204"/>
  <c r="F558" i="204" s="1"/>
  <c r="L543" i="204"/>
  <c r="L558" i="204" s="1"/>
  <c r="E558" i="204" l="1"/>
  <c r="O543" i="204"/>
  <c r="O558" i="204" s="1"/>
  <c r="P39" i="205"/>
  <c r="Q558" i="204" l="1"/>
  <c r="P39" i="204" s="1"/>
  <c r="Q543" i="204"/>
  <c r="H577" i="204" l="1"/>
  <c r="H594" i="204" s="1"/>
  <c r="H595" i="204" s="1"/>
  <c r="H596" i="204" s="1"/>
  <c r="P58" i="205"/>
  <c r="P58" i="204" s="1"/>
  <c r="E577" i="204"/>
  <c r="K577" i="204"/>
  <c r="K594" i="204" s="1"/>
  <c r="K595" i="204" s="1"/>
  <c r="K596" i="204" s="1"/>
  <c r="F577" i="204"/>
  <c r="F594" i="204" s="1"/>
  <c r="F595" i="204" s="1"/>
  <c r="F596" i="204" s="1"/>
  <c r="N577" i="204"/>
  <c r="N594" i="204" s="1"/>
  <c r="N595" i="204" s="1"/>
  <c r="N596" i="204" s="1"/>
  <c r="G577" i="204"/>
  <c r="G594" i="204" s="1"/>
  <c r="G595" i="204" s="1"/>
  <c r="G596" i="204" s="1"/>
  <c r="I577" i="204"/>
  <c r="I594" i="204" s="1"/>
  <c r="I595" i="204" s="1"/>
  <c r="I596" i="204" s="1"/>
  <c r="M577" i="204"/>
  <c r="M594" i="204" s="1"/>
  <c r="M595" i="204" s="1"/>
  <c r="M596" i="204" s="1"/>
  <c r="J577" i="204"/>
  <c r="J594" i="204" s="1"/>
  <c r="J595" i="204" s="1"/>
  <c r="J596" i="204" s="1"/>
  <c r="L577" i="204"/>
  <c r="L594" i="204" s="1"/>
  <c r="L595" i="204" s="1"/>
  <c r="L596" i="204" s="1"/>
  <c r="O577" i="204"/>
  <c r="O594" i="204" s="1"/>
  <c r="O595" i="204" s="1"/>
  <c r="O596" i="204" s="1"/>
  <c r="P577" i="204"/>
  <c r="P594" i="204" s="1"/>
  <c r="P595" i="204" s="1"/>
  <c r="P596" i="204" s="1"/>
  <c r="E594" i="204" l="1"/>
  <c r="Q577" i="204"/>
  <c r="P75" i="205"/>
  <c r="P76" i="205" l="1"/>
  <c r="P77" i="205"/>
  <c r="E595" i="204"/>
  <c r="Q594" i="204"/>
  <c r="P75" i="204" s="1"/>
  <c r="E596" i="204" l="1"/>
  <c r="Q596" i="204" s="1"/>
  <c r="P77" i="204" s="1"/>
  <c r="Q595" i="204"/>
  <c r="P76" i="204" s="1"/>
  <c r="F11" i="212" l="1"/>
  <c r="G11" i="212" s="1"/>
  <c r="I11" i="212" l="1"/>
  <c r="G19" i="212"/>
  <c r="G21" i="212" s="1"/>
  <c r="I21" i="212" s="1"/>
  <c r="J21" i="212" s="1"/>
  <c r="F19" i="212"/>
  <c r="J11" i="212" l="1"/>
  <c r="I19" i="212"/>
  <c r="J19" i="212" s="1"/>
  <c r="N56" i="58" l="1"/>
  <c r="O56" i="58"/>
  <c r="P56" i="58"/>
  <c r="N19" i="58" l="1"/>
  <c r="M19" i="58"/>
  <c r="L19" i="58"/>
  <c r="P19" i="58"/>
  <c r="O19" i="58"/>
  <c r="E157" i="233" l="1"/>
  <c r="E158" i="233" s="1"/>
  <c r="F157" i="233"/>
  <c r="F158" i="233" s="1"/>
  <c r="H157" i="233"/>
  <c r="H158" i="233" s="1"/>
  <c r="J157" i="233"/>
  <c r="J158" i="233" s="1"/>
  <c r="M157" i="233"/>
  <c r="M158" i="233" s="1"/>
  <c r="N157" i="233"/>
  <c r="N158" i="233" s="1"/>
  <c r="P157" i="233"/>
  <c r="P158" i="233" s="1"/>
  <c r="I157" i="233"/>
  <c r="I158" i="233" s="1"/>
  <c r="K157" i="233"/>
  <c r="K158" i="233" s="1"/>
  <c r="L157" i="233"/>
  <c r="L158" i="233" s="1"/>
  <c r="T157" i="132" l="1"/>
  <c r="Q155" i="233"/>
  <c r="Q157" i="233" s="1"/>
  <c r="Q158" i="233" s="1"/>
  <c r="Q155" i="231"/>
  <c r="M156" i="226"/>
  <c r="N156" i="226"/>
  <c r="P156" i="226"/>
  <c r="P158" i="226" s="1"/>
  <c r="P159" i="226" s="1"/>
  <c r="G157" i="233"/>
  <c r="G158" i="233" s="1"/>
  <c r="O156" i="226" l="1"/>
  <c r="Q155" i="232"/>
  <c r="F141" i="243" l="1"/>
  <c r="F143" i="243"/>
  <c r="K141" i="243"/>
  <c r="K143" i="243"/>
  <c r="J143" i="243"/>
  <c r="F145" i="243"/>
  <c r="K145" i="243"/>
  <c r="K144" i="243" l="1"/>
  <c r="F144" i="243"/>
  <c r="L141" i="243"/>
  <c r="L143" i="243"/>
  <c r="I141" i="243"/>
  <c r="I143" i="243"/>
  <c r="H141" i="243"/>
  <c r="H143" i="243"/>
  <c r="N141" i="243"/>
  <c r="N143" i="243"/>
  <c r="M141" i="243"/>
  <c r="M143" i="243"/>
  <c r="O141" i="243"/>
  <c r="O143" i="243"/>
  <c r="G141" i="243"/>
  <c r="G143" i="243"/>
  <c r="P141" i="243"/>
  <c r="P143" i="243"/>
  <c r="O145" i="243"/>
  <c r="L145" i="243"/>
  <c r="L144" i="243" s="1"/>
  <c r="G145" i="243"/>
  <c r="E143" i="243"/>
  <c r="H145" i="243"/>
  <c r="J141" i="243"/>
  <c r="P145" i="243"/>
  <c r="H144" i="243" l="1"/>
  <c r="P144" i="243"/>
  <c r="G144" i="243"/>
  <c r="Q143" i="243"/>
  <c r="M33" i="242" s="1"/>
  <c r="O144" i="243"/>
  <c r="M145" i="243"/>
  <c r="M144" i="243" s="1"/>
  <c r="N145" i="243"/>
  <c r="N144" i="243" s="1"/>
  <c r="I145" i="243"/>
  <c r="I144" i="243" s="1"/>
  <c r="E141" i="243"/>
  <c r="Q141" i="243" s="1"/>
  <c r="M31" i="242" s="1"/>
  <c r="J145" i="243"/>
  <c r="J144" i="243" s="1"/>
  <c r="E145" i="243" l="1"/>
  <c r="Q145" i="243" l="1"/>
  <c r="E144" i="243"/>
  <c r="Q144" i="243" l="1"/>
  <c r="M34" i="242" s="1"/>
  <c r="M35" i="242"/>
  <c r="F129" i="243"/>
  <c r="G129" i="243"/>
  <c r="H129" i="243"/>
  <c r="I129" i="243"/>
  <c r="M129" i="243"/>
  <c r="N129" i="243"/>
  <c r="O129" i="243"/>
  <c r="P129" i="243"/>
  <c r="E129" i="243" l="1"/>
  <c r="L129" i="243"/>
  <c r="K129" i="243"/>
  <c r="J129" i="243" l="1"/>
  <c r="Q129" i="243" s="1"/>
  <c r="M19" i="242" s="1"/>
  <c r="E136" i="243" l="1"/>
  <c r="F136" i="243"/>
  <c r="G136" i="243"/>
  <c r="H136" i="243"/>
  <c r="I136" i="243"/>
  <c r="J136" i="243"/>
  <c r="K136" i="243"/>
  <c r="L136" i="243"/>
  <c r="M136" i="243"/>
  <c r="N136" i="243"/>
  <c r="O136" i="243"/>
  <c r="P136" i="243"/>
  <c r="E123" i="243"/>
  <c r="F123" i="243"/>
  <c r="G123" i="243"/>
  <c r="H123" i="243"/>
  <c r="I123" i="243"/>
  <c r="J123" i="243"/>
  <c r="K123" i="243"/>
  <c r="L123" i="243"/>
  <c r="M123" i="243"/>
  <c r="N123" i="243"/>
  <c r="O123" i="243"/>
  <c r="P123" i="243"/>
  <c r="G148" i="243" l="1"/>
  <c r="O148" i="243"/>
  <c r="L148" i="243"/>
  <c r="I148" i="243"/>
  <c r="J148" i="243"/>
  <c r="K148" i="243"/>
  <c r="M148" i="243"/>
  <c r="Q136" i="243"/>
  <c r="M26" i="242" s="1"/>
  <c r="F68" i="71" s="1"/>
  <c r="N148" i="243"/>
  <c r="H148" i="243"/>
  <c r="F148" i="243"/>
  <c r="P148" i="243"/>
  <c r="E148" i="243"/>
  <c r="Q123" i="243"/>
  <c r="M13" i="242" s="1"/>
  <c r="N134" i="243"/>
  <c r="J134" i="243"/>
  <c r="I134" i="243"/>
  <c r="H134" i="243"/>
  <c r="K134" i="243"/>
  <c r="G134" i="243"/>
  <c r="F134" i="243"/>
  <c r="M134" i="243"/>
  <c r="E134" i="243"/>
  <c r="P134" i="243"/>
  <c r="L134" i="243"/>
  <c r="O134" i="243"/>
  <c r="Q148" i="243" l="1"/>
  <c r="M38" i="242" s="1"/>
  <c r="Q134" i="243"/>
  <c r="M24" i="242" s="1"/>
  <c r="F66" i="71" s="1"/>
  <c r="O138" i="243"/>
  <c r="O137" i="243" s="1"/>
  <c r="N138" i="243"/>
  <c r="N137" i="243" s="1"/>
  <c r="I138" i="243"/>
  <c r="I137" i="243" s="1"/>
  <c r="E138" i="243"/>
  <c r="E139" i="243" s="1"/>
  <c r="L138" i="243"/>
  <c r="L137" i="243" s="1"/>
  <c r="G138" i="243"/>
  <c r="G137" i="243" s="1"/>
  <c r="H138" i="243"/>
  <c r="H137" i="243" s="1"/>
  <c r="M138" i="243"/>
  <c r="M137" i="243" s="1"/>
  <c r="J138" i="243"/>
  <c r="J137" i="243" s="1"/>
  <c r="P138" i="243"/>
  <c r="P137" i="243" s="1"/>
  <c r="K138" i="243"/>
  <c r="K137" i="243" s="1"/>
  <c r="F138" i="243"/>
  <c r="F137" i="243" s="1"/>
  <c r="J139" i="243" l="1"/>
  <c r="F139" i="243"/>
  <c r="O139" i="243"/>
  <c r="M139" i="243"/>
  <c r="G139" i="243"/>
  <c r="K139" i="243"/>
  <c r="I139" i="243"/>
  <c r="P139" i="243"/>
  <c r="L139" i="243"/>
  <c r="H139" i="243"/>
  <c r="N139" i="243"/>
  <c r="Q138" i="243"/>
  <c r="E137" i="243"/>
  <c r="Q137" i="243" l="1"/>
  <c r="M27" i="242" s="1"/>
  <c r="M28" i="242"/>
  <c r="Q139" i="243"/>
  <c r="M29" i="242" s="1"/>
  <c r="E128" i="243"/>
  <c r="J128" i="243"/>
  <c r="M128" i="243"/>
  <c r="K128" i="243"/>
  <c r="L128" i="243"/>
  <c r="G128" i="243"/>
  <c r="H128" i="243"/>
  <c r="I128" i="243"/>
  <c r="P128" i="243"/>
  <c r="N128" i="243"/>
  <c r="F128" i="243"/>
  <c r="O128" i="243"/>
  <c r="Q128" i="243" l="1"/>
  <c r="M18" i="242" s="1"/>
  <c r="O131" i="243"/>
  <c r="O130" i="243" s="1"/>
  <c r="I131" i="243"/>
  <c r="I130" i="243" s="1"/>
  <c r="L131" i="243"/>
  <c r="L130" i="243" s="1"/>
  <c r="K131" i="243"/>
  <c r="K130" i="243" s="1"/>
  <c r="E131" i="243"/>
  <c r="E132" i="243" s="1"/>
  <c r="F131" i="243"/>
  <c r="F130" i="243" s="1"/>
  <c r="N131" i="243"/>
  <c r="N130" i="243" s="1"/>
  <c r="J131" i="243"/>
  <c r="J130" i="243" s="1"/>
  <c r="H131" i="243"/>
  <c r="H130" i="243" s="1"/>
  <c r="M131" i="243"/>
  <c r="M130" i="243" s="1"/>
  <c r="G131" i="243"/>
  <c r="G130" i="243" s="1"/>
  <c r="P131" i="243"/>
  <c r="P130" i="243" s="1"/>
  <c r="O132" i="243" l="1"/>
  <c r="M132" i="243"/>
  <c r="H132" i="243"/>
  <c r="L132" i="243"/>
  <c r="J132" i="243"/>
  <c r="K132" i="243"/>
  <c r="F132" i="243"/>
  <c r="P132" i="243"/>
  <c r="G132" i="243"/>
  <c r="I132" i="243"/>
  <c r="N132" i="243"/>
  <c r="E130" i="243"/>
  <c r="Q131" i="243"/>
  <c r="Q130" i="243" l="1"/>
  <c r="M20" i="242" s="1"/>
  <c r="M21" i="242"/>
  <c r="Q132" i="243"/>
  <c r="M22" i="242" s="1"/>
  <c r="E122" i="243"/>
  <c r="E147" i="243" l="1"/>
  <c r="E125" i="243"/>
  <c r="E126" i="243" s="1"/>
  <c r="F122" i="243"/>
  <c r="F147" i="243" l="1"/>
  <c r="E124" i="243"/>
  <c r="E149" i="243"/>
  <c r="F125" i="243"/>
  <c r="F124" i="243" s="1"/>
  <c r="G122" i="243"/>
  <c r="F126" i="243" l="1"/>
  <c r="G147" i="243"/>
  <c r="E150" i="243"/>
  <c r="G125" i="243"/>
  <c r="G124" i="243" s="1"/>
  <c r="H122" i="243"/>
  <c r="G126" i="243" l="1"/>
  <c r="G149" i="243" s="1"/>
  <c r="G150" i="243" s="1"/>
  <c r="G151" i="243" s="1"/>
  <c r="F149" i="243"/>
  <c r="H147" i="243"/>
  <c r="E151" i="243"/>
  <c r="H125" i="243"/>
  <c r="H124" i="243" s="1"/>
  <c r="I122" i="243"/>
  <c r="F150" i="243" l="1"/>
  <c r="H126" i="243"/>
  <c r="I147" i="243"/>
  <c r="I125" i="243"/>
  <c r="I124" i="243" s="1"/>
  <c r="J122" i="243"/>
  <c r="I126" i="243" l="1"/>
  <c r="I149" i="243" s="1"/>
  <c r="I150" i="243" s="1"/>
  <c r="I151" i="243" s="1"/>
  <c r="H149" i="243"/>
  <c r="F151" i="243"/>
  <c r="J147" i="243"/>
  <c r="J125" i="243"/>
  <c r="J124" i="243" s="1"/>
  <c r="K122" i="243"/>
  <c r="J126" i="243" l="1"/>
  <c r="H150" i="243"/>
  <c r="K147" i="243"/>
  <c r="K125" i="243"/>
  <c r="K124" i="243" s="1"/>
  <c r="L122" i="243"/>
  <c r="K126" i="243" l="1"/>
  <c r="K149" i="243" s="1"/>
  <c r="K150" i="243" s="1"/>
  <c r="K151" i="243" s="1"/>
  <c r="H151" i="243"/>
  <c r="J149" i="243"/>
  <c r="L147" i="243"/>
  <c r="L125" i="243"/>
  <c r="L124" i="243" s="1"/>
  <c r="M122" i="243"/>
  <c r="L126" i="243" l="1"/>
  <c r="J150" i="243"/>
  <c r="M147" i="243"/>
  <c r="M125" i="243"/>
  <c r="M124" i="243" s="1"/>
  <c r="N122" i="243"/>
  <c r="M126" i="243" l="1"/>
  <c r="M149" i="243" s="1"/>
  <c r="M150" i="243" s="1"/>
  <c r="M151" i="243" s="1"/>
  <c r="J151" i="243"/>
  <c r="L149" i="243"/>
  <c r="N147" i="243"/>
  <c r="N125" i="243"/>
  <c r="N124" i="243" s="1"/>
  <c r="O122" i="243"/>
  <c r="N126" i="243" l="1"/>
  <c r="L150" i="243"/>
  <c r="O147" i="243"/>
  <c r="O125" i="243"/>
  <c r="O124" i="243" s="1"/>
  <c r="P122" i="243"/>
  <c r="Q122" i="243" s="1"/>
  <c r="M12" i="242" s="1"/>
  <c r="O126" i="243" l="1"/>
  <c r="O149" i="243" s="1"/>
  <c r="O150" i="243" s="1"/>
  <c r="O151" i="243" s="1"/>
  <c r="L151" i="243"/>
  <c r="N149" i="243"/>
  <c r="P147" i="243"/>
  <c r="Q147" i="243" s="1"/>
  <c r="M37" i="242" s="1"/>
  <c r="P125" i="243"/>
  <c r="P124" i="243" l="1"/>
  <c r="Q125" i="243"/>
  <c r="P126" i="243"/>
  <c r="N150" i="243"/>
  <c r="Q124" i="243" l="1"/>
  <c r="M14" i="242" s="1"/>
  <c r="M15" i="242"/>
  <c r="N151" i="243"/>
  <c r="P149" i="243"/>
  <c r="Q126" i="243"/>
  <c r="M16" i="242" s="1"/>
  <c r="P150" i="243" l="1"/>
  <c r="Q149" i="243"/>
  <c r="M39" i="242" s="1"/>
  <c r="P151" i="243" l="1"/>
  <c r="Q150" i="243"/>
  <c r="Q151" i="243" s="1"/>
  <c r="M41" i="242" l="1"/>
  <c r="M40" i="242"/>
  <c r="M121" i="226" l="1"/>
  <c r="M140" i="226" s="1"/>
  <c r="M462" i="234"/>
  <c r="M121" i="234" l="1"/>
  <c r="M120" i="124"/>
  <c r="M140" i="234" l="1"/>
  <c r="M481" i="234"/>
  <c r="M139" i="124" l="1"/>
  <c r="M143" i="226" l="1"/>
  <c r="M142" i="124"/>
  <c r="M155" i="226"/>
  <c r="M158" i="226" s="1"/>
  <c r="M499" i="234" l="1"/>
  <c r="M143" i="234"/>
  <c r="M156" i="124"/>
  <c r="M154" i="124"/>
  <c r="M168" i="234"/>
  <c r="M171" i="234" s="1"/>
  <c r="M512" i="234"/>
  <c r="M509" i="234"/>
  <c r="M142" i="226" l="1"/>
  <c r="M500" i="234"/>
  <c r="M141" i="124" l="1"/>
  <c r="M144" i="234"/>
  <c r="M166" i="234" s="1"/>
  <c r="M172" i="234" s="1"/>
  <c r="M507" i="234" l="1"/>
  <c r="M513" i="234"/>
  <c r="M153" i="226"/>
  <c r="M159" i="226" s="1"/>
  <c r="M152" i="124"/>
  <c r="M157" i="124"/>
  <c r="E141" i="231" l="1"/>
  <c r="F141" i="231"/>
  <c r="G141" i="231"/>
  <c r="H141" i="231"/>
  <c r="I141" i="231"/>
  <c r="M141" i="134" s="1"/>
  <c r="J141" i="231"/>
  <c r="N141" i="134" s="1"/>
  <c r="K141" i="231"/>
  <c r="O141" i="134" s="1"/>
  <c r="L141" i="231"/>
  <c r="P141" i="134" s="1"/>
  <c r="M141" i="231"/>
  <c r="N141" i="231"/>
  <c r="R141" i="134" s="1"/>
  <c r="O141" i="231"/>
  <c r="S141" i="134" s="1"/>
  <c r="P141" i="231"/>
  <c r="T141" i="134" s="1"/>
  <c r="E142" i="231"/>
  <c r="E152" i="231" s="1"/>
  <c r="F142" i="231"/>
  <c r="F152" i="231" s="1"/>
  <c r="G142" i="231"/>
  <c r="K142" i="134" s="1"/>
  <c r="H142" i="231"/>
  <c r="L142" i="134" s="1"/>
  <c r="I142" i="231"/>
  <c r="M142" i="134" s="1"/>
  <c r="J142" i="231"/>
  <c r="N142" i="134" s="1"/>
  <c r="K142" i="231"/>
  <c r="L142" i="231"/>
  <c r="P142" i="134" s="1"/>
  <c r="M142" i="231"/>
  <c r="Q142" i="134" s="1"/>
  <c r="N142" i="231"/>
  <c r="O142" i="231"/>
  <c r="S142" i="134" s="1"/>
  <c r="P142" i="231"/>
  <c r="E154" i="231"/>
  <c r="E157" i="231" s="1"/>
  <c r="F154" i="231"/>
  <c r="F157" i="231" s="1"/>
  <c r="G154" i="231"/>
  <c r="H154" i="231"/>
  <c r="H157" i="231" s="1"/>
  <c r="I154" i="231"/>
  <c r="I157" i="231" s="1"/>
  <c r="J154" i="231"/>
  <c r="J157" i="231" s="1"/>
  <c r="K154" i="231"/>
  <c r="K157" i="231" s="1"/>
  <c r="L154" i="231"/>
  <c r="L157" i="231" s="1"/>
  <c r="M154" i="231"/>
  <c r="M157" i="231" s="1"/>
  <c r="N154" i="231"/>
  <c r="N157" i="231" s="1"/>
  <c r="O154" i="231"/>
  <c r="O157" i="231" s="1"/>
  <c r="P154" i="231"/>
  <c r="P157" i="231" s="1"/>
  <c r="E492" i="239"/>
  <c r="E143" i="239" s="1"/>
  <c r="F492" i="239"/>
  <c r="F143" i="239" s="1"/>
  <c r="G492" i="239"/>
  <c r="G143" i="239" s="1"/>
  <c r="H492" i="239"/>
  <c r="H143" i="239" s="1"/>
  <c r="I492" i="239"/>
  <c r="J492" i="239"/>
  <c r="K492" i="239"/>
  <c r="L492" i="239"/>
  <c r="L143" i="239" s="1"/>
  <c r="M492" i="239"/>
  <c r="N492" i="239"/>
  <c r="O492" i="239"/>
  <c r="O143" i="239" s="1"/>
  <c r="P492" i="239"/>
  <c r="P143" i="239" s="1"/>
  <c r="E493" i="239"/>
  <c r="E144" i="239" s="1"/>
  <c r="F493" i="239"/>
  <c r="F144" i="239" s="1"/>
  <c r="G493" i="239"/>
  <c r="G144" i="239" s="1"/>
  <c r="H493" i="239"/>
  <c r="H144" i="239" s="1"/>
  <c r="I493" i="239"/>
  <c r="I144" i="239" s="1"/>
  <c r="J493" i="239"/>
  <c r="J144" i="239" s="1"/>
  <c r="K493" i="239"/>
  <c r="K144" i="239" s="1"/>
  <c r="L493" i="239"/>
  <c r="L144" i="239" s="1"/>
  <c r="M493" i="239"/>
  <c r="M144" i="239" s="1"/>
  <c r="N493" i="239"/>
  <c r="N144" i="239" s="1"/>
  <c r="O493" i="239"/>
  <c r="P493" i="239"/>
  <c r="P144" i="239" s="1"/>
  <c r="E523" i="239"/>
  <c r="E176" i="239" s="1"/>
  <c r="E177" i="239" s="1"/>
  <c r="F523" i="239"/>
  <c r="F176" i="239" s="1"/>
  <c r="G523" i="239"/>
  <c r="G176" i="239" s="1"/>
  <c r="G177" i="239" s="1"/>
  <c r="H523" i="239"/>
  <c r="H524" i="239" s="1"/>
  <c r="I523" i="239"/>
  <c r="I176" i="239" s="1"/>
  <c r="I177" i="239" s="1"/>
  <c r="J523" i="239"/>
  <c r="J176" i="239" s="1"/>
  <c r="J177" i="239" s="1"/>
  <c r="K523" i="239"/>
  <c r="K524" i="239" s="1"/>
  <c r="L523" i="239"/>
  <c r="L176" i="239" s="1"/>
  <c r="L177" i="239" s="1"/>
  <c r="M523" i="239"/>
  <c r="M524" i="239" s="1"/>
  <c r="N523" i="239"/>
  <c r="N524" i="239" s="1"/>
  <c r="O523" i="239"/>
  <c r="O176" i="239" s="1"/>
  <c r="O177" i="239" s="1"/>
  <c r="P523" i="239"/>
  <c r="P176" i="239" s="1"/>
  <c r="P177" i="239" s="1"/>
  <c r="E155" i="243"/>
  <c r="F155" i="243"/>
  <c r="G155" i="243"/>
  <c r="H155" i="243"/>
  <c r="I155" i="243"/>
  <c r="J155" i="243"/>
  <c r="K155" i="243"/>
  <c r="L155" i="243"/>
  <c r="M155" i="243"/>
  <c r="N155" i="243"/>
  <c r="O155" i="243"/>
  <c r="P155" i="243"/>
  <c r="E157" i="243"/>
  <c r="F157" i="243"/>
  <c r="G157" i="243"/>
  <c r="H157" i="243"/>
  <c r="I157" i="243"/>
  <c r="J157" i="243"/>
  <c r="K157" i="243"/>
  <c r="L157" i="243"/>
  <c r="M157" i="243"/>
  <c r="N157" i="243"/>
  <c r="O157" i="243"/>
  <c r="P157" i="243"/>
  <c r="I141" i="134"/>
  <c r="J141" i="134"/>
  <c r="K141" i="134"/>
  <c r="L141" i="134"/>
  <c r="I154" i="134"/>
  <c r="I156" i="134" s="1"/>
  <c r="J154" i="134"/>
  <c r="J156" i="134" s="1"/>
  <c r="K154" i="134"/>
  <c r="L154" i="134" l="1"/>
  <c r="L156" i="134" s="1"/>
  <c r="J156" i="243"/>
  <c r="S154" i="134"/>
  <c r="S156" i="134" s="1"/>
  <c r="N152" i="231"/>
  <c r="N158" i="231" s="1"/>
  <c r="R154" i="134"/>
  <c r="R156" i="134" s="1"/>
  <c r="O520" i="239"/>
  <c r="P152" i="134"/>
  <c r="F158" i="243"/>
  <c r="F159" i="243" s="1"/>
  <c r="F163" i="243" s="1"/>
  <c r="F186" i="243" s="1"/>
  <c r="F187" i="243" s="1"/>
  <c r="F188" i="243" s="1"/>
  <c r="E173" i="239"/>
  <c r="E178" i="239" s="1"/>
  <c r="P152" i="231"/>
  <c r="P158" i="231" s="1"/>
  <c r="T154" i="134"/>
  <c r="T156" i="134" s="1"/>
  <c r="Q154" i="134"/>
  <c r="Q156" i="134" s="1"/>
  <c r="J142" i="134"/>
  <c r="J152" i="134" s="1"/>
  <c r="J157" i="134" s="1"/>
  <c r="E156" i="243"/>
  <c r="I158" i="243"/>
  <c r="I159" i="243" s="1"/>
  <c r="I161" i="243" s="1"/>
  <c r="L524" i="239"/>
  <c r="P154" i="134"/>
  <c r="P156" i="134" s="1"/>
  <c r="I142" i="134"/>
  <c r="I152" i="134" s="1"/>
  <c r="I157" i="134" s="1"/>
  <c r="M154" i="134"/>
  <c r="M156" i="134" s="1"/>
  <c r="H156" i="243"/>
  <c r="F156" i="243"/>
  <c r="T142" i="134"/>
  <c r="T152" i="134" s="1"/>
  <c r="O154" i="134"/>
  <c r="O156" i="134" s="1"/>
  <c r="N156" i="243"/>
  <c r="P520" i="239"/>
  <c r="O144" i="239"/>
  <c r="Q144" i="239" s="1"/>
  <c r="N143" i="234" s="1"/>
  <c r="O156" i="243"/>
  <c r="E524" i="239"/>
  <c r="K152" i="231"/>
  <c r="K158" i="231" s="1"/>
  <c r="N154" i="134"/>
  <c r="N156" i="134" s="1"/>
  <c r="M152" i="231"/>
  <c r="M158" i="231" s="1"/>
  <c r="N152" i="134"/>
  <c r="M152" i="134"/>
  <c r="R142" i="134"/>
  <c r="R152" i="134" s="1"/>
  <c r="R157" i="134" s="1"/>
  <c r="P156" i="243"/>
  <c r="O142" i="134"/>
  <c r="O152" i="134" s="1"/>
  <c r="H152" i="231"/>
  <c r="H158" i="231" s="1"/>
  <c r="M158" i="243"/>
  <c r="M159" i="243" s="1"/>
  <c r="M163" i="243" s="1"/>
  <c r="M186" i="243" s="1"/>
  <c r="M187" i="243" s="1"/>
  <c r="M188" i="243" s="1"/>
  <c r="K156" i="243"/>
  <c r="G520" i="239"/>
  <c r="G524" i="239"/>
  <c r="E520" i="239"/>
  <c r="S152" i="134"/>
  <c r="J524" i="239"/>
  <c r="P173" i="239"/>
  <c r="P178" i="239" s="1"/>
  <c r="Q141" i="134"/>
  <c r="Q152" i="134" s="1"/>
  <c r="F158" i="231"/>
  <c r="M520" i="239"/>
  <c r="M525" i="239" s="1"/>
  <c r="O158" i="243"/>
  <c r="O159" i="243" s="1"/>
  <c r="O161" i="243" s="1"/>
  <c r="L173" i="239"/>
  <c r="L178" i="239" s="1"/>
  <c r="K158" i="243"/>
  <c r="K159" i="243" s="1"/>
  <c r="K161" i="243" s="1"/>
  <c r="I524" i="239"/>
  <c r="K520" i="239"/>
  <c r="K525" i="239" s="1"/>
  <c r="L152" i="231"/>
  <c r="L158" i="231" s="1"/>
  <c r="J520" i="239"/>
  <c r="Q154" i="231"/>
  <c r="Q157" i="231" s="1"/>
  <c r="I520" i="239"/>
  <c r="J152" i="231"/>
  <c r="J158" i="231" s="1"/>
  <c r="K156" i="134"/>
  <c r="E158" i="243"/>
  <c r="E159" i="243" s="1"/>
  <c r="E161" i="243" s="1"/>
  <c r="Q142" i="231"/>
  <c r="N143" i="226" s="1"/>
  <c r="M156" i="243"/>
  <c r="H158" i="243"/>
  <c r="H159" i="243" s="1"/>
  <c r="H161" i="243" s="1"/>
  <c r="L520" i="239"/>
  <c r="G173" i="239"/>
  <c r="G178" i="239" s="1"/>
  <c r="L152" i="134"/>
  <c r="L157" i="134" s="1"/>
  <c r="G152" i="231"/>
  <c r="K152" i="134"/>
  <c r="Q141" i="231"/>
  <c r="N142" i="226" s="1"/>
  <c r="L156" i="243"/>
  <c r="P158" i="243"/>
  <c r="P159" i="243" s="1"/>
  <c r="P161" i="243" s="1"/>
  <c r="O524" i="239"/>
  <c r="O525" i="239" s="1"/>
  <c r="N176" i="239"/>
  <c r="N177" i="239" s="1"/>
  <c r="M143" i="239"/>
  <c r="M173" i="239" s="1"/>
  <c r="N520" i="239"/>
  <c r="N525" i="239" s="1"/>
  <c r="M176" i="239"/>
  <c r="M177" i="239" s="1"/>
  <c r="O152" i="231"/>
  <c r="O158" i="231" s="1"/>
  <c r="F177" i="239"/>
  <c r="L158" i="243"/>
  <c r="G156" i="243"/>
  <c r="G158" i="243"/>
  <c r="F173" i="239"/>
  <c r="J158" i="243"/>
  <c r="I156" i="243"/>
  <c r="E158" i="231"/>
  <c r="H173" i="239"/>
  <c r="F524" i="239"/>
  <c r="H520" i="239"/>
  <c r="H525" i="239" s="1"/>
  <c r="P524" i="239"/>
  <c r="Q523" i="239"/>
  <c r="F520" i="239"/>
  <c r="K176" i="239"/>
  <c r="K177" i="239" s="1"/>
  <c r="N143" i="239"/>
  <c r="N173" i="239" s="1"/>
  <c r="Q157" i="243"/>
  <c r="N10" i="242" s="1"/>
  <c r="Q493" i="239"/>
  <c r="N499" i="234" s="1"/>
  <c r="Q492" i="239"/>
  <c r="N500" i="234" s="1"/>
  <c r="H176" i="239"/>
  <c r="H177" i="239" s="1"/>
  <c r="K143" i="239"/>
  <c r="K173" i="239" s="1"/>
  <c r="G157" i="231"/>
  <c r="I152" i="231"/>
  <c r="I158" i="231" s="1"/>
  <c r="N158" i="243"/>
  <c r="Q155" i="243"/>
  <c r="N8" i="242" s="1"/>
  <c r="J143" i="239"/>
  <c r="J173" i="239" s="1"/>
  <c r="J178" i="239" s="1"/>
  <c r="I143" i="239"/>
  <c r="I173" i="239" s="1"/>
  <c r="I178" i="239" s="1"/>
  <c r="O157" i="134" l="1"/>
  <c r="N157" i="134"/>
  <c r="U141" i="134"/>
  <c r="N141" i="124" s="1"/>
  <c r="S157" i="134"/>
  <c r="N155" i="226"/>
  <c r="N158" i="226" s="1"/>
  <c r="P157" i="134"/>
  <c r="O173" i="239"/>
  <c r="O178" i="239" s="1"/>
  <c r="U154" i="134"/>
  <c r="L525" i="239"/>
  <c r="I525" i="239"/>
  <c r="Q157" i="134"/>
  <c r="M157" i="134"/>
  <c r="T157" i="134"/>
  <c r="E525" i="239"/>
  <c r="H163" i="243"/>
  <c r="H186" i="243" s="1"/>
  <c r="H187" i="243" s="1"/>
  <c r="H188" i="243" s="1"/>
  <c r="P525" i="239"/>
  <c r="N178" i="239"/>
  <c r="G158" i="231"/>
  <c r="J525" i="239"/>
  <c r="U142" i="134"/>
  <c r="N142" i="124" s="1"/>
  <c r="G525" i="239"/>
  <c r="I163" i="243"/>
  <c r="I186" i="243" s="1"/>
  <c r="I187" i="243" s="1"/>
  <c r="I188" i="243" s="1"/>
  <c r="H184" i="243"/>
  <c r="E163" i="243"/>
  <c r="E186" i="243" s="1"/>
  <c r="K163" i="243"/>
  <c r="K186" i="243" s="1"/>
  <c r="K187" i="243" s="1"/>
  <c r="K188" i="243" s="1"/>
  <c r="M178" i="239"/>
  <c r="K184" i="243"/>
  <c r="E184" i="243"/>
  <c r="O184" i="243"/>
  <c r="K157" i="134"/>
  <c r="P184" i="243"/>
  <c r="Q152" i="231"/>
  <c r="N153" i="226" s="1"/>
  <c r="N159" i="226" s="1"/>
  <c r="K178" i="239"/>
  <c r="H178" i="239"/>
  <c r="Q177" i="239"/>
  <c r="Q156" i="243"/>
  <c r="N9" i="242" s="1"/>
  <c r="O163" i="243"/>
  <c r="O186" i="243" s="1"/>
  <c r="O187" i="243" s="1"/>
  <c r="O188" i="243" s="1"/>
  <c r="U152" i="134"/>
  <c r="N152" i="124" s="1"/>
  <c r="G159" i="243"/>
  <c r="M161" i="243"/>
  <c r="M184" i="243"/>
  <c r="F161" i="243"/>
  <c r="Q158" i="243"/>
  <c r="N11" i="242" s="1"/>
  <c r="L159" i="243"/>
  <c r="L163" i="243" s="1"/>
  <c r="L186" i="243" s="1"/>
  <c r="L187" i="243" s="1"/>
  <c r="L188" i="243" s="1"/>
  <c r="Q176" i="239"/>
  <c r="N169" i="234" s="1"/>
  <c r="N171" i="234" s="1"/>
  <c r="N510" i="234"/>
  <c r="Q524" i="239"/>
  <c r="N512" i="234" s="1"/>
  <c r="N159" i="243"/>
  <c r="N163" i="243" s="1"/>
  <c r="N186" i="243" s="1"/>
  <c r="N187" i="243" s="1"/>
  <c r="N188" i="243" s="1"/>
  <c r="F525" i="239"/>
  <c r="Q520" i="239"/>
  <c r="F178" i="239"/>
  <c r="J159" i="243"/>
  <c r="J163" i="243" s="1"/>
  <c r="J186" i="243" s="1"/>
  <c r="J187" i="243" s="1"/>
  <c r="J188" i="243" s="1"/>
  <c r="I184" i="243"/>
  <c r="Q143" i="239"/>
  <c r="N144" i="234" s="1"/>
  <c r="N166" i="234" s="1"/>
  <c r="P163" i="243"/>
  <c r="P186" i="243" s="1"/>
  <c r="P187" i="243" s="1"/>
  <c r="P188" i="243" s="1"/>
  <c r="F184" i="243"/>
  <c r="Q158" i="231" l="1"/>
  <c r="Q173" i="239"/>
  <c r="N154" i="124"/>
  <c r="U156" i="134"/>
  <c r="N156" i="124" s="1"/>
  <c r="Q178" i="239"/>
  <c r="N47" i="58" s="1"/>
  <c r="N9" i="58" s="1"/>
  <c r="N172" i="234"/>
  <c r="N507" i="234"/>
  <c r="Q525" i="239"/>
  <c r="N513" i="234" s="1"/>
  <c r="N161" i="243"/>
  <c r="N184" i="243"/>
  <c r="L161" i="243"/>
  <c r="L184" i="243"/>
  <c r="Q159" i="243"/>
  <c r="J161" i="243"/>
  <c r="J184" i="243"/>
  <c r="G184" i="243"/>
  <c r="G161" i="243"/>
  <c r="G163" i="243"/>
  <c r="E187" i="243"/>
  <c r="U157" i="134" l="1"/>
  <c r="Q161" i="243"/>
  <c r="N14" i="242" s="1"/>
  <c r="N12" i="242"/>
  <c r="Q184" i="243"/>
  <c r="N37" i="242" s="1"/>
  <c r="E188" i="243"/>
  <c r="G186" i="243"/>
  <c r="Q163" i="243"/>
  <c r="N16" i="242" s="1"/>
  <c r="U160" i="134" l="1"/>
  <c r="W157" i="134" s="1"/>
  <c r="N157" i="124"/>
  <c r="G187" i="243"/>
  <c r="Q186" i="243"/>
  <c r="N39" i="242" s="1"/>
  <c r="G188" i="243" l="1"/>
  <c r="Q187" i="243"/>
  <c r="Q188" i="243" l="1"/>
  <c r="N41" i="242" s="1"/>
  <c r="N40" i="242"/>
  <c r="E141" i="232" l="1"/>
  <c r="F141" i="232"/>
  <c r="G141" i="232"/>
  <c r="H141" i="232"/>
  <c r="I141" i="232"/>
  <c r="J141" i="232"/>
  <c r="K141" i="232"/>
  <c r="O141" i="135" s="1"/>
  <c r="L141" i="232"/>
  <c r="P141" i="135" s="1"/>
  <c r="M141" i="232"/>
  <c r="Q141" i="135" s="1"/>
  <c r="N141" i="232"/>
  <c r="R141" i="135" s="1"/>
  <c r="O141" i="232"/>
  <c r="S141" i="135" s="1"/>
  <c r="P141" i="232"/>
  <c r="T141" i="135" s="1"/>
  <c r="E142" i="232"/>
  <c r="I142" i="135" s="1"/>
  <c r="F142" i="232"/>
  <c r="F152" i="232" s="1"/>
  <c r="G142" i="232"/>
  <c r="G152" i="232" s="1"/>
  <c r="H142" i="232"/>
  <c r="L142" i="135" s="1"/>
  <c r="I142" i="232"/>
  <c r="J142" i="232"/>
  <c r="N142" i="135" s="1"/>
  <c r="K142" i="232"/>
  <c r="L142" i="232"/>
  <c r="P142" i="135" s="1"/>
  <c r="M142" i="232"/>
  <c r="N142" i="232"/>
  <c r="O142" i="232"/>
  <c r="P142" i="232"/>
  <c r="T142" i="135" s="1"/>
  <c r="E154" i="232"/>
  <c r="E157" i="232" s="1"/>
  <c r="F154" i="232"/>
  <c r="F157" i="232" s="1"/>
  <c r="G154" i="232"/>
  <c r="G157" i="232" s="1"/>
  <c r="H154" i="232"/>
  <c r="H157" i="232" s="1"/>
  <c r="I154" i="232"/>
  <c r="I157" i="232" s="1"/>
  <c r="J154" i="232"/>
  <c r="J157" i="232" s="1"/>
  <c r="K154" i="232"/>
  <c r="K157" i="232" s="1"/>
  <c r="L154" i="232"/>
  <c r="P154" i="135" s="1"/>
  <c r="P156" i="135" s="1"/>
  <c r="M154" i="232"/>
  <c r="M157" i="232" s="1"/>
  <c r="N154" i="232"/>
  <c r="N157" i="232" s="1"/>
  <c r="O154" i="232"/>
  <c r="O157" i="232" s="1"/>
  <c r="P154" i="232"/>
  <c r="P157" i="232" s="1"/>
  <c r="O143" i="234"/>
  <c r="E492" i="240"/>
  <c r="E143" i="240" s="1"/>
  <c r="F492" i="240"/>
  <c r="F143" i="240" s="1"/>
  <c r="G492" i="240"/>
  <c r="G143" i="240" s="1"/>
  <c r="H492" i="240"/>
  <c r="H143" i="240" s="1"/>
  <c r="I492" i="240"/>
  <c r="I143" i="240" s="1"/>
  <c r="J492" i="240"/>
  <c r="J143" i="240" s="1"/>
  <c r="K492" i="240"/>
  <c r="K143" i="240" s="1"/>
  <c r="L492" i="240"/>
  <c r="L143" i="240" s="1"/>
  <c r="M492" i="240"/>
  <c r="M143" i="240" s="1"/>
  <c r="N492" i="240"/>
  <c r="N143" i="240" s="1"/>
  <c r="O492" i="240"/>
  <c r="O143" i="240" s="1"/>
  <c r="P492" i="240"/>
  <c r="P143" i="240" s="1"/>
  <c r="E493" i="240"/>
  <c r="E144" i="240" s="1"/>
  <c r="F493" i="240"/>
  <c r="F144" i="240" s="1"/>
  <c r="G493" i="240"/>
  <c r="G144" i="240" s="1"/>
  <c r="H493" i="240"/>
  <c r="H144" i="240" s="1"/>
  <c r="I493" i="240"/>
  <c r="I144" i="240" s="1"/>
  <c r="J493" i="240"/>
  <c r="J144" i="240" s="1"/>
  <c r="K493" i="240"/>
  <c r="K144" i="240" s="1"/>
  <c r="L493" i="240"/>
  <c r="L144" i="240" s="1"/>
  <c r="M493" i="240"/>
  <c r="M144" i="240" s="1"/>
  <c r="N493" i="240"/>
  <c r="N144" i="240" s="1"/>
  <c r="O493" i="240"/>
  <c r="O144" i="240" s="1"/>
  <c r="P493" i="240"/>
  <c r="P144" i="240" s="1"/>
  <c r="Q493" i="240"/>
  <c r="Q144" i="240" s="1"/>
  <c r="E523" i="240"/>
  <c r="E176" i="240" s="1"/>
  <c r="F523" i="240"/>
  <c r="F176" i="240" s="1"/>
  <c r="F177" i="240" s="1"/>
  <c r="G523" i="240"/>
  <c r="G176" i="240" s="1"/>
  <c r="G177" i="240" s="1"/>
  <c r="H523" i="240"/>
  <c r="H176" i="240" s="1"/>
  <c r="H177" i="240" s="1"/>
  <c r="I523" i="240"/>
  <c r="I176" i="240" s="1"/>
  <c r="I177" i="240" s="1"/>
  <c r="J523" i="240"/>
  <c r="J176" i="240" s="1"/>
  <c r="J177" i="240" s="1"/>
  <c r="K523" i="240"/>
  <c r="K176" i="240" s="1"/>
  <c r="K177" i="240" s="1"/>
  <c r="L523" i="240"/>
  <c r="L176" i="240" s="1"/>
  <c r="L177" i="240" s="1"/>
  <c r="M523" i="240"/>
  <c r="M176" i="240" s="1"/>
  <c r="M177" i="240" s="1"/>
  <c r="N523" i="240"/>
  <c r="N176" i="240" s="1"/>
  <c r="N177" i="240" s="1"/>
  <c r="O523" i="240"/>
  <c r="O176" i="240" s="1"/>
  <c r="O177" i="240" s="1"/>
  <c r="P523" i="240"/>
  <c r="P176" i="240" s="1"/>
  <c r="P177" i="240" s="1"/>
  <c r="E192" i="243"/>
  <c r="F192" i="243"/>
  <c r="G192" i="243"/>
  <c r="H192" i="243"/>
  <c r="I192" i="243"/>
  <c r="J192" i="243"/>
  <c r="K192" i="243"/>
  <c r="L192" i="243"/>
  <c r="M192" i="243"/>
  <c r="N192" i="243"/>
  <c r="O192" i="243"/>
  <c r="P192" i="243"/>
  <c r="E194" i="243"/>
  <c r="F194" i="243"/>
  <c r="G194" i="243"/>
  <c r="H194" i="243"/>
  <c r="I194" i="243"/>
  <c r="J194" i="243"/>
  <c r="K194" i="243"/>
  <c r="L194" i="243"/>
  <c r="M194" i="243"/>
  <c r="N194" i="243"/>
  <c r="O194" i="243"/>
  <c r="P194" i="243"/>
  <c r="I141" i="135"/>
  <c r="J141" i="135"/>
  <c r="K141" i="135"/>
  <c r="L141" i="135"/>
  <c r="M142" i="135"/>
  <c r="O142" i="135"/>
  <c r="I154" i="135"/>
  <c r="I156" i="135" s="1"/>
  <c r="J154" i="135"/>
  <c r="J156" i="135" s="1"/>
  <c r="K154" i="135"/>
  <c r="K156" i="135" s="1"/>
  <c r="M154" i="135"/>
  <c r="M156" i="135" s="1"/>
  <c r="M152" i="232" l="1"/>
  <c r="O152" i="232"/>
  <c r="S154" i="135"/>
  <c r="S156" i="135" s="1"/>
  <c r="L154" i="135"/>
  <c r="L156" i="135" s="1"/>
  <c r="J152" i="232"/>
  <c r="Q154" i="135"/>
  <c r="Q156" i="135" s="1"/>
  <c r="R154" i="135"/>
  <c r="R156" i="135" s="1"/>
  <c r="I152" i="232"/>
  <c r="I158" i="232" s="1"/>
  <c r="L195" i="243"/>
  <c r="L196" i="243" s="1"/>
  <c r="L198" i="243" s="1"/>
  <c r="N152" i="232"/>
  <c r="N158" i="232" s="1"/>
  <c r="F195" i="243"/>
  <c r="F196" i="243" s="1"/>
  <c r="F221" i="243" s="1"/>
  <c r="T154" i="135"/>
  <c r="T156" i="135" s="1"/>
  <c r="I152" i="135"/>
  <c r="I157" i="135" s="1"/>
  <c r="K524" i="240"/>
  <c r="I524" i="240"/>
  <c r="J142" i="135"/>
  <c r="J152" i="135" s="1"/>
  <c r="J157" i="135" s="1"/>
  <c r="M141" i="135"/>
  <c r="F193" i="243"/>
  <c r="N141" i="135"/>
  <c r="N152" i="135" s="1"/>
  <c r="R142" i="135"/>
  <c r="R152" i="135" s="1"/>
  <c r="O154" i="135"/>
  <c r="O156" i="135" s="1"/>
  <c r="Q142" i="135"/>
  <c r="Q152" i="135" s="1"/>
  <c r="O158" i="232"/>
  <c r="L157" i="232"/>
  <c r="L193" i="243"/>
  <c r="P195" i="243"/>
  <c r="P196" i="243" s="1"/>
  <c r="P198" i="243" s="1"/>
  <c r="H195" i="243"/>
  <c r="H196" i="243" s="1"/>
  <c r="P152" i="232"/>
  <c r="P158" i="232" s="1"/>
  <c r="K193" i="243"/>
  <c r="O195" i="243"/>
  <c r="O196" i="243" s="1"/>
  <c r="O198" i="243" s="1"/>
  <c r="G195" i="243"/>
  <c r="G196" i="243" s="1"/>
  <c r="G198" i="243" s="1"/>
  <c r="J193" i="243"/>
  <c r="N195" i="243"/>
  <c r="N196" i="243" s="1"/>
  <c r="N198" i="243" s="1"/>
  <c r="K520" i="240"/>
  <c r="P193" i="243"/>
  <c r="H193" i="243"/>
  <c r="O193" i="243"/>
  <c r="G193" i="243"/>
  <c r="L524" i="240"/>
  <c r="E520" i="240"/>
  <c r="N173" i="240"/>
  <c r="N178" i="240" s="1"/>
  <c r="F173" i="240"/>
  <c r="F178" i="240" s="1"/>
  <c r="H152" i="232"/>
  <c r="H158" i="232" s="1"/>
  <c r="N154" i="135"/>
  <c r="N156" i="135" s="1"/>
  <c r="T152" i="135"/>
  <c r="S142" i="135"/>
  <c r="S152" i="135" s="1"/>
  <c r="S157" i="135" s="1"/>
  <c r="K142" i="135"/>
  <c r="K152" i="135" s="1"/>
  <c r="K157" i="135" s="1"/>
  <c r="M193" i="243"/>
  <c r="E193" i="243"/>
  <c r="J524" i="240"/>
  <c r="L520" i="240"/>
  <c r="G158" i="232"/>
  <c r="F158" i="232"/>
  <c r="E195" i="243"/>
  <c r="I195" i="243"/>
  <c r="I196" i="243" s="1"/>
  <c r="H524" i="240"/>
  <c r="J520" i="240"/>
  <c r="L152" i="232"/>
  <c r="Q141" i="232"/>
  <c r="O142" i="226" s="1"/>
  <c r="L152" i="135"/>
  <c r="M195" i="243"/>
  <c r="M196" i="243" s="1"/>
  <c r="M198" i="243" s="1"/>
  <c r="M173" i="240"/>
  <c r="M178" i="240" s="1"/>
  <c r="E173" i="240"/>
  <c r="N193" i="243"/>
  <c r="P524" i="240"/>
  <c r="M520" i="240"/>
  <c r="Q192" i="243"/>
  <c r="O8" i="242" s="1"/>
  <c r="M524" i="240"/>
  <c r="E524" i="240"/>
  <c r="O520" i="240"/>
  <c r="G520" i="240"/>
  <c r="Q492" i="240"/>
  <c r="O500" i="234" s="1"/>
  <c r="Q523" i="240"/>
  <c r="O510" i="234" s="1"/>
  <c r="N520" i="240"/>
  <c r="F520" i="240"/>
  <c r="P173" i="240"/>
  <c r="P178" i="240" s="1"/>
  <c r="H173" i="240"/>
  <c r="H178" i="240" s="1"/>
  <c r="K195" i="243"/>
  <c r="K196" i="243" s="1"/>
  <c r="K200" i="243" s="1"/>
  <c r="K223" i="243" s="1"/>
  <c r="K224" i="243" s="1"/>
  <c r="K225" i="243" s="1"/>
  <c r="O173" i="240"/>
  <c r="O178" i="240" s="1"/>
  <c r="G173" i="240"/>
  <c r="G178" i="240" s="1"/>
  <c r="M158" i="232"/>
  <c r="Q142" i="232"/>
  <c r="O143" i="226" s="1"/>
  <c r="P152" i="135"/>
  <c r="P157" i="135" s="1"/>
  <c r="Q194" i="243"/>
  <c r="O10" i="242" s="1"/>
  <c r="K152" i="232"/>
  <c r="K158" i="232" s="1"/>
  <c r="O524" i="240"/>
  <c r="G524" i="240"/>
  <c r="I520" i="240"/>
  <c r="I525" i="240" s="1"/>
  <c r="N524" i="240"/>
  <c r="F524" i="240"/>
  <c r="P520" i="240"/>
  <c r="H520" i="240"/>
  <c r="I173" i="240"/>
  <c r="I178" i="240" s="1"/>
  <c r="J158" i="232"/>
  <c r="O152" i="135"/>
  <c r="Q176" i="240"/>
  <c r="O169" i="234" s="1"/>
  <c r="O171" i="234" s="1"/>
  <c r="E177" i="240"/>
  <c r="Q177" i="240" s="1"/>
  <c r="Q178" i="240" s="1"/>
  <c r="O47" i="58" s="1"/>
  <c r="L173" i="240"/>
  <c r="L178" i="240" s="1"/>
  <c r="K173" i="240"/>
  <c r="K178" i="240" s="1"/>
  <c r="J173" i="240"/>
  <c r="J178" i="240" s="1"/>
  <c r="I193" i="243"/>
  <c r="O200" i="243"/>
  <c r="O223" i="243" s="1"/>
  <c r="O224" i="243" s="1"/>
  <c r="O225" i="243" s="1"/>
  <c r="G200" i="243"/>
  <c r="G223" i="243" s="1"/>
  <c r="G224" i="243" s="1"/>
  <c r="G225" i="243" s="1"/>
  <c r="O499" i="234"/>
  <c r="Q154" i="232"/>
  <c r="E152" i="232"/>
  <c r="J195" i="243"/>
  <c r="N157" i="135" l="1"/>
  <c r="R157" i="135"/>
  <c r="Q157" i="135"/>
  <c r="O221" i="243"/>
  <c r="L157" i="135"/>
  <c r="L221" i="243"/>
  <c r="L200" i="243"/>
  <c r="L223" i="243" s="1"/>
  <c r="L224" i="243" s="1"/>
  <c r="L225" i="243" s="1"/>
  <c r="F198" i="243"/>
  <c r="F200" i="243"/>
  <c r="F223" i="243" s="1"/>
  <c r="F224" i="243" s="1"/>
  <c r="F225" i="243" s="1"/>
  <c r="O157" i="135"/>
  <c r="U154" i="135"/>
  <c r="O154" i="124" s="1"/>
  <c r="P221" i="243"/>
  <c r="P200" i="243"/>
  <c r="P223" i="243" s="1"/>
  <c r="P224" i="243" s="1"/>
  <c r="P225" i="243" s="1"/>
  <c r="N200" i="243"/>
  <c r="N223" i="243" s="1"/>
  <c r="N224" i="243" s="1"/>
  <c r="N225" i="243" s="1"/>
  <c r="N221" i="243"/>
  <c r="G221" i="243"/>
  <c r="L158" i="232"/>
  <c r="T157" i="135"/>
  <c r="U141" i="135"/>
  <c r="O141" i="124" s="1"/>
  <c r="K525" i="240"/>
  <c r="O525" i="240"/>
  <c r="H525" i="240"/>
  <c r="M152" i="135"/>
  <c r="M157" i="135" s="1"/>
  <c r="Q195" i="243"/>
  <c r="O11" i="242" s="1"/>
  <c r="M525" i="240"/>
  <c r="Q193" i="243"/>
  <c r="O9" i="242" s="1"/>
  <c r="E178" i="240"/>
  <c r="E525" i="240"/>
  <c r="N525" i="240"/>
  <c r="L525" i="240"/>
  <c r="J525" i="240"/>
  <c r="M200" i="243"/>
  <c r="M223" i="243" s="1"/>
  <c r="M224" i="243" s="1"/>
  <c r="M225" i="243" s="1"/>
  <c r="M221" i="243"/>
  <c r="U142" i="135"/>
  <c r="O142" i="124" s="1"/>
  <c r="E196" i="243"/>
  <c r="E221" i="243" s="1"/>
  <c r="P525" i="240"/>
  <c r="Q524" i="240"/>
  <c r="O512" i="234" s="1"/>
  <c r="F525" i="240"/>
  <c r="H198" i="243"/>
  <c r="H221" i="243"/>
  <c r="H200" i="243"/>
  <c r="H223" i="243" s="1"/>
  <c r="H224" i="243" s="1"/>
  <c r="H225" i="243" s="1"/>
  <c r="Q143" i="240"/>
  <c r="O144" i="234" s="1"/>
  <c r="O166" i="234" s="1"/>
  <c r="O172" i="234" s="1"/>
  <c r="Q520" i="240"/>
  <c r="O507" i="234" s="1"/>
  <c r="G525" i="240"/>
  <c r="K198" i="243"/>
  <c r="K221" i="243"/>
  <c r="Q157" i="232"/>
  <c r="O155" i="226"/>
  <c r="O158" i="226" s="1"/>
  <c r="O9" i="58"/>
  <c r="I198" i="243"/>
  <c r="I221" i="243"/>
  <c r="I200" i="243"/>
  <c r="I223" i="243" s="1"/>
  <c r="I224" i="243" s="1"/>
  <c r="I225" i="243" s="1"/>
  <c r="Q152" i="232"/>
  <c r="E158" i="232"/>
  <c r="J196" i="243"/>
  <c r="U156" i="135" l="1"/>
  <c r="O156" i="124" s="1"/>
  <c r="U152" i="135"/>
  <c r="U157" i="135" s="1"/>
  <c r="E198" i="243"/>
  <c r="E200" i="243"/>
  <c r="E223" i="243" s="1"/>
  <c r="Q525" i="240"/>
  <c r="O513" i="234" s="1"/>
  <c r="J198" i="243"/>
  <c r="J221" i="243"/>
  <c r="Q221" i="243" s="1"/>
  <c r="O37" i="242" s="1"/>
  <c r="J200" i="243"/>
  <c r="J223" i="243" s="1"/>
  <c r="J224" i="243" s="1"/>
  <c r="J225" i="243" s="1"/>
  <c r="Q196" i="243"/>
  <c r="O153" i="226"/>
  <c r="O159" i="226" s="1"/>
  <c r="Q158" i="232"/>
  <c r="O152" i="124"/>
  <c r="Q198" i="243" l="1"/>
  <c r="O14" i="242" s="1"/>
  <c r="O12" i="242"/>
  <c r="Q200" i="243"/>
  <c r="O16" i="242" s="1"/>
  <c r="Q223" i="243"/>
  <c r="O39" i="242" s="1"/>
  <c r="E224" i="243"/>
  <c r="O157" i="124"/>
  <c r="U160" i="135"/>
  <c r="W157" i="135" s="1"/>
  <c r="E225" i="243" l="1"/>
  <c r="Q224" i="243"/>
  <c r="Q225" i="243" l="1"/>
  <c r="O41" i="242" s="1"/>
  <c r="O40" i="242"/>
  <c r="N13" i="58" l="1"/>
  <c r="O13" i="58"/>
  <c r="P13" i="58"/>
  <c r="L47" i="207" l="1"/>
  <c r="L48" i="207"/>
  <c r="L50" i="207"/>
  <c r="L12" i="207" l="1"/>
  <c r="L15" i="207"/>
  <c r="L17" i="207"/>
  <c r="L19" i="207"/>
  <c r="L21" i="207"/>
  <c r="L14" i="207"/>
  <c r="L18" i="207"/>
  <c r="L20" i="207"/>
  <c r="L14" i="58" l="1"/>
  <c r="M14" i="58"/>
  <c r="N14" i="58"/>
  <c r="O14" i="58"/>
  <c r="P14" i="58"/>
  <c r="L15" i="58"/>
  <c r="M15" i="58"/>
  <c r="N15" i="58"/>
  <c r="O15" i="58"/>
  <c r="P15" i="58"/>
  <c r="L16" i="58"/>
  <c r="M16" i="58"/>
  <c r="N16" i="58"/>
  <c r="O16" i="58"/>
  <c r="P16" i="58"/>
  <c r="M17" i="58"/>
  <c r="N17" i="58"/>
  <c r="O17" i="58"/>
  <c r="P17" i="58"/>
  <c r="L18" i="58"/>
  <c r="M18" i="58"/>
  <c r="N54" i="58" l="1"/>
  <c r="N18" i="58" s="1"/>
  <c r="N21" i="58" s="1"/>
  <c r="O54" i="58"/>
  <c r="O18" i="58" s="1"/>
  <c r="O21" i="58" s="1"/>
  <c r="P54" i="58"/>
  <c r="P57" i="58" s="1"/>
  <c r="P18" i="58" l="1"/>
  <c r="P21" i="58" s="1"/>
  <c r="O57" i="58"/>
  <c r="N57" i="58"/>
  <c r="L19" i="158" l="1"/>
  <c r="K50" i="58" s="1"/>
  <c r="K12" i="58" s="1"/>
  <c r="L9" i="158"/>
  <c r="K48" i="58" s="1"/>
  <c r="L14" i="158"/>
  <c r="K49" i="58" s="1"/>
  <c r="K11" i="58" s="1"/>
  <c r="K10" i="58" l="1"/>
  <c r="K21" i="58" s="1"/>
  <c r="K57" i="58"/>
  <c r="O157" i="229" l="1"/>
  <c r="S157" i="132"/>
  <c r="P157" i="229"/>
  <c r="Q154" i="229" l="1"/>
  <c r="L237" i="234"/>
  <c r="L155" i="226" l="1"/>
  <c r="L117" i="229" l="1"/>
  <c r="P118" i="132" s="1"/>
  <c r="E117" i="229"/>
  <c r="H117" i="229"/>
  <c r="L118" i="132" s="1"/>
  <c r="K117" i="229"/>
  <c r="O118" i="132" s="1"/>
  <c r="M117" i="229"/>
  <c r="Q118" i="132" s="1"/>
  <c r="F117" i="229"/>
  <c r="J118" i="132" s="1"/>
  <c r="N117" i="229"/>
  <c r="R118" i="132" s="1"/>
  <c r="O117" i="229"/>
  <c r="S118" i="132" s="1"/>
  <c r="P117" i="229"/>
  <c r="T118" i="132" s="1"/>
  <c r="J117" i="229"/>
  <c r="N118" i="132" s="1"/>
  <c r="I117" i="229"/>
  <c r="M118" i="132" s="1"/>
  <c r="G117" i="229"/>
  <c r="K118" i="132" s="1"/>
  <c r="K33" i="229"/>
  <c r="O32" i="132" s="1"/>
  <c r="N39" i="229"/>
  <c r="R38" i="132" s="1"/>
  <c r="I39" i="229"/>
  <c r="M38" i="132" s="1"/>
  <c r="L40" i="229"/>
  <c r="P39" i="132" s="1"/>
  <c r="P82" i="229"/>
  <c r="L79" i="229"/>
  <c r="K97" i="229"/>
  <c r="F79" i="229"/>
  <c r="E97" i="229"/>
  <c r="K82" i="229"/>
  <c r="O37" i="229"/>
  <c r="S36" i="132" s="1"/>
  <c r="N37" i="229"/>
  <c r="R36" i="132" s="1"/>
  <c r="E82" i="229"/>
  <c r="F37" i="229"/>
  <c r="J36" i="132" s="1"/>
  <c r="K79" i="229"/>
  <c r="F82" i="229"/>
  <c r="F35" i="229"/>
  <c r="J34" i="132" s="1"/>
  <c r="L35" i="229"/>
  <c r="P34" i="132" s="1"/>
  <c r="H82" i="229"/>
  <c r="P97" i="229"/>
  <c r="P40" i="229"/>
  <c r="T39" i="132" s="1"/>
  <c r="J79" i="229"/>
  <c r="I97" i="229"/>
  <c r="N33" i="229"/>
  <c r="R32" i="132" s="1"/>
  <c r="I31" i="229"/>
  <c r="M30" i="132" s="1"/>
  <c r="N17" i="229"/>
  <c r="H17" i="229"/>
  <c r="P33" i="229"/>
  <c r="T32" i="132" s="1"/>
  <c r="F40" i="229"/>
  <c r="J39" i="132" s="1"/>
  <c r="M82" i="229"/>
  <c r="H40" i="229"/>
  <c r="L39" i="132" s="1"/>
  <c r="P79" i="229"/>
  <c r="E79" i="229"/>
  <c r="O79" i="229"/>
  <c r="G79" i="229"/>
  <c r="J82" i="229"/>
  <c r="J40" i="229"/>
  <c r="N39" i="132" s="1"/>
  <c r="G82" i="229"/>
  <c r="H97" i="229"/>
  <c r="N97" i="229"/>
  <c r="G37" i="229"/>
  <c r="K36" i="132" s="1"/>
  <c r="O97" i="229"/>
  <c r="J97" i="229"/>
  <c r="K40" i="229"/>
  <c r="O39" i="132" s="1"/>
  <c r="P35" i="229"/>
  <c r="T34" i="132" s="1"/>
  <c r="L82" i="229"/>
  <c r="H79" i="229"/>
  <c r="M35" i="229"/>
  <c r="Q34" i="132" s="1"/>
  <c r="G97" i="229"/>
  <c r="M97" i="229"/>
  <c r="F97" i="229"/>
  <c r="G40" i="229"/>
  <c r="K39" i="132" s="1"/>
  <c r="P39" i="229"/>
  <c r="T38" i="132" s="1"/>
  <c r="M79" i="229"/>
  <c r="P37" i="229"/>
  <c r="T36" i="132" s="1"/>
  <c r="N79" i="229"/>
  <c r="I79" i="229"/>
  <c r="L39" i="229"/>
  <c r="P38" i="132" s="1"/>
  <c r="H35" i="229"/>
  <c r="L34" i="132" s="1"/>
  <c r="L97" i="229"/>
  <c r="J17" i="229"/>
  <c r="I82" i="229"/>
  <c r="N82" i="229"/>
  <c r="I35" i="229"/>
  <c r="M34" i="132" s="1"/>
  <c r="O39" i="229"/>
  <c r="S38" i="132" s="1"/>
  <c r="O33" i="229"/>
  <c r="S32" i="132" s="1"/>
  <c r="O82" i="229"/>
  <c r="K37" i="229"/>
  <c r="O36" i="132" s="1"/>
  <c r="I17" i="229"/>
  <c r="O35" i="229"/>
  <c r="S34" i="132" s="1"/>
  <c r="K17" i="229" l="1"/>
  <c r="G80" i="229"/>
  <c r="N31" i="229"/>
  <c r="R30" i="132" s="1"/>
  <c r="G81" i="229"/>
  <c r="J30" i="229"/>
  <c r="O80" i="229"/>
  <c r="L17" i="229"/>
  <c r="N35" i="229"/>
  <c r="R34" i="132" s="1"/>
  <c r="N36" i="229"/>
  <c r="R35" i="132" s="1"/>
  <c r="F17" i="229"/>
  <c r="K81" i="229"/>
  <c r="N34" i="229"/>
  <c r="R33" i="132" s="1"/>
  <c r="G36" i="229"/>
  <c r="K35" i="132" s="1"/>
  <c r="J80" i="229"/>
  <c r="H31" i="229"/>
  <c r="L30" i="132" s="1"/>
  <c r="M30" i="229"/>
  <c r="H33" i="229"/>
  <c r="L32" i="132" s="1"/>
  <c r="K34" i="229"/>
  <c r="O33" i="132" s="1"/>
  <c r="O30" i="229"/>
  <c r="O17" i="229"/>
  <c r="K31" i="229"/>
  <c r="O30" i="132" s="1"/>
  <c r="L119" i="229"/>
  <c r="P120" i="132" s="1"/>
  <c r="O119" i="229"/>
  <c r="S120" i="132" s="1"/>
  <c r="O32" i="229"/>
  <c r="S31" i="132" s="1"/>
  <c r="I119" i="229"/>
  <c r="M120" i="132" s="1"/>
  <c r="M80" i="229"/>
  <c r="L32" i="229"/>
  <c r="P31" i="132" s="1"/>
  <c r="F30" i="229"/>
  <c r="N80" i="229"/>
  <c r="F33" i="229"/>
  <c r="J32" i="132" s="1"/>
  <c r="N119" i="229"/>
  <c r="R120" i="132" s="1"/>
  <c r="E119" i="229"/>
  <c r="P36" i="229"/>
  <c r="T35" i="132" s="1"/>
  <c r="E33" i="229"/>
  <c r="E40" i="229"/>
  <c r="N32" i="229"/>
  <c r="R31" i="132" s="1"/>
  <c r="N40" i="229"/>
  <c r="R39" i="132" s="1"/>
  <c r="P32" i="229"/>
  <c r="T31" i="132" s="1"/>
  <c r="F31" i="229"/>
  <c r="J30" i="132" s="1"/>
  <c r="J33" i="229"/>
  <c r="N32" i="132" s="1"/>
  <c r="J34" i="229"/>
  <c r="N33" i="132" s="1"/>
  <c r="M34" i="229"/>
  <c r="Q33" i="132" s="1"/>
  <c r="P34" i="229"/>
  <c r="T33" i="132" s="1"/>
  <c r="E39" i="229"/>
  <c r="M39" i="229"/>
  <c r="Q38" i="132" s="1"/>
  <c r="E32" i="229"/>
  <c r="P119" i="229"/>
  <c r="T120" i="132" s="1"/>
  <c r="F119" i="229"/>
  <c r="J120" i="132" s="1"/>
  <c r="N428" i="237"/>
  <c r="N81" i="237" s="1"/>
  <c r="M81" i="229"/>
  <c r="K428" i="237"/>
  <c r="K81" i="237" s="1"/>
  <c r="K80" i="229"/>
  <c r="G34" i="229"/>
  <c r="K33" i="132" s="1"/>
  <c r="O34" i="229"/>
  <c r="S33" i="132" s="1"/>
  <c r="P81" i="229"/>
  <c r="P31" i="229"/>
  <c r="T30" i="132" s="1"/>
  <c r="J428" i="237"/>
  <c r="J81" i="237" s="1"/>
  <c r="I428" i="237"/>
  <c r="I81" i="237" s="1"/>
  <c r="I40" i="229"/>
  <c r="M39" i="132" s="1"/>
  <c r="Q97" i="229"/>
  <c r="L98" i="226" s="1"/>
  <c r="H36" i="229"/>
  <c r="L35" i="132" s="1"/>
  <c r="L33" i="229"/>
  <c r="P32" i="132" s="1"/>
  <c r="L37" i="229"/>
  <c r="P36" i="132" s="1"/>
  <c r="E34" i="229"/>
  <c r="E36" i="229"/>
  <c r="E17" i="229"/>
  <c r="G33" i="229"/>
  <c r="K32" i="132" s="1"/>
  <c r="J37" i="229"/>
  <c r="N36" i="132" s="1"/>
  <c r="K32" i="229"/>
  <c r="O31" i="132" s="1"/>
  <c r="H81" i="229"/>
  <c r="Q79" i="229"/>
  <c r="L80" i="226" s="1"/>
  <c r="G32" i="229"/>
  <c r="K31" i="132" s="1"/>
  <c r="L80" i="229"/>
  <c r="H39" i="229"/>
  <c r="L38" i="132" s="1"/>
  <c r="L36" i="229"/>
  <c r="P35" i="132" s="1"/>
  <c r="J81" i="229"/>
  <c r="J93" i="229" s="1"/>
  <c r="M40" i="229"/>
  <c r="Q39" i="132" s="1"/>
  <c r="H119" i="229"/>
  <c r="L120" i="132" s="1"/>
  <c r="P30" i="229"/>
  <c r="I34" i="229"/>
  <c r="M33" i="132" s="1"/>
  <c r="E37" i="229"/>
  <c r="E81" i="229"/>
  <c r="J32" i="229"/>
  <c r="N31" i="132" s="1"/>
  <c r="F39" i="229"/>
  <c r="J38" i="132" s="1"/>
  <c r="J36" i="229"/>
  <c r="N35" i="132" s="1"/>
  <c r="E35" i="229"/>
  <c r="N81" i="229"/>
  <c r="O428" i="237"/>
  <c r="O81" i="237" s="1"/>
  <c r="P80" i="229"/>
  <c r="K39" i="229"/>
  <c r="O38" i="132" s="1"/>
  <c r="M17" i="229"/>
  <c r="N30" i="229"/>
  <c r="Q82" i="229"/>
  <c r="L83" i="226" s="1"/>
  <c r="K36" i="229"/>
  <c r="O35" i="132" s="1"/>
  <c r="O36" i="229"/>
  <c r="S35" i="132" s="1"/>
  <c r="F34" i="229"/>
  <c r="J33" i="132" s="1"/>
  <c r="I37" i="229"/>
  <c r="M36" i="132" s="1"/>
  <c r="P17" i="229"/>
  <c r="M36" i="229"/>
  <c r="Q35" i="132" s="1"/>
  <c r="E31" i="229"/>
  <c r="K119" i="229"/>
  <c r="O120" i="132" s="1"/>
  <c r="G30" i="229"/>
  <c r="J119" i="229"/>
  <c r="N120" i="132" s="1"/>
  <c r="M37" i="229"/>
  <c r="Q36" i="132" s="1"/>
  <c r="L428" i="237"/>
  <c r="L81" i="237" s="1"/>
  <c r="F428" i="237"/>
  <c r="F81" i="237" s="1"/>
  <c r="F80" i="229"/>
  <c r="K30" i="229"/>
  <c r="G39" i="229"/>
  <c r="K38" i="132" s="1"/>
  <c r="K35" i="229"/>
  <c r="O34" i="132" s="1"/>
  <c r="J35" i="229"/>
  <c r="N34" i="132" s="1"/>
  <c r="H30" i="229"/>
  <c r="M119" i="229"/>
  <c r="Q120" i="132" s="1"/>
  <c r="G119" i="229"/>
  <c r="K120" i="132" s="1"/>
  <c r="O81" i="229"/>
  <c r="G17" i="229"/>
  <c r="O40" i="229"/>
  <c r="S39" i="132" s="1"/>
  <c r="L31" i="229"/>
  <c r="P30" i="132" s="1"/>
  <c r="I80" i="229"/>
  <c r="F81" i="229"/>
  <c r="H32" i="229"/>
  <c r="L31" i="132" s="1"/>
  <c r="H37" i="229"/>
  <c r="L36" i="132" s="1"/>
  <c r="O31" i="229"/>
  <c r="S30" i="132" s="1"/>
  <c r="G93" i="229"/>
  <c r="L30" i="229"/>
  <c r="I32" i="229"/>
  <c r="M31" i="132" s="1"/>
  <c r="M32" i="229"/>
  <c r="Q31" i="132" s="1"/>
  <c r="M31" i="229"/>
  <c r="Q30" i="132" s="1"/>
  <c r="I36" i="229"/>
  <c r="M35" i="132" s="1"/>
  <c r="H428" i="237"/>
  <c r="H81" i="237" s="1"/>
  <c r="M33" i="229"/>
  <c r="Q32" i="132" s="1"/>
  <c r="G35" i="229"/>
  <c r="K34" i="132" s="1"/>
  <c r="G428" i="237"/>
  <c r="G81" i="237" s="1"/>
  <c r="I30" i="229"/>
  <c r="L34" i="229"/>
  <c r="P33" i="132" s="1"/>
  <c r="E30" i="229"/>
  <c r="M428" i="237"/>
  <c r="M81" i="237" s="1"/>
  <c r="F32" i="229"/>
  <c r="J31" i="132" s="1"/>
  <c r="F36" i="229"/>
  <c r="J35" i="132" s="1"/>
  <c r="J31" i="229"/>
  <c r="N30" i="132" s="1"/>
  <c r="E428" i="237"/>
  <c r="E80" i="229"/>
  <c r="H34" i="229"/>
  <c r="L33" i="132" s="1"/>
  <c r="K93" i="229"/>
  <c r="P428" i="237"/>
  <c r="P81" i="237" s="1"/>
  <c r="H80" i="229"/>
  <c r="I33" i="229"/>
  <c r="M32" i="132" s="1"/>
  <c r="I81" i="229"/>
  <c r="G31" i="229"/>
  <c r="K30" i="132" s="1"/>
  <c r="L81" i="229"/>
  <c r="L93" i="229" s="1"/>
  <c r="J39" i="229"/>
  <c r="N38" i="132" s="1"/>
  <c r="I118" i="132"/>
  <c r="U118" i="132" s="1"/>
  <c r="L117" i="124" s="1"/>
  <c r="Q117" i="229"/>
  <c r="L118" i="226" s="1"/>
  <c r="F445" i="237"/>
  <c r="F98" i="237" s="1"/>
  <c r="N445" i="237"/>
  <c r="N98" i="237" s="1"/>
  <c r="G427" i="237"/>
  <c r="F430" i="237"/>
  <c r="F83" i="237" s="1"/>
  <c r="M216" i="237"/>
  <c r="M41" i="237" s="1"/>
  <c r="I216" i="237"/>
  <c r="I41" i="237" s="1"/>
  <c r="L216" i="237"/>
  <c r="L41" i="237" s="1"/>
  <c r="G216" i="237"/>
  <c r="G41" i="237" s="1"/>
  <c r="N430" i="237"/>
  <c r="N83" i="237" s="1"/>
  <c r="N427" i="237"/>
  <c r="E427" i="237"/>
  <c r="K445" i="237"/>
  <c r="K98" i="237" s="1"/>
  <c r="L211" i="237"/>
  <c r="L36" i="237" s="1"/>
  <c r="J211" i="237"/>
  <c r="J36" i="237" s="1"/>
  <c r="P211" i="237"/>
  <c r="P36" i="237" s="1"/>
  <c r="K211" i="237"/>
  <c r="K36" i="237" s="1"/>
  <c r="G211" i="237"/>
  <c r="G36" i="237" s="1"/>
  <c r="G445" i="237"/>
  <c r="G98" i="237" s="1"/>
  <c r="H427" i="237"/>
  <c r="O445" i="237"/>
  <c r="O98" i="237" s="1"/>
  <c r="H445" i="237"/>
  <c r="H98" i="237" s="1"/>
  <c r="J430" i="237"/>
  <c r="J83" i="237" s="1"/>
  <c r="G208" i="237"/>
  <c r="G33" i="237" s="1"/>
  <c r="N208" i="237"/>
  <c r="N33" i="237" s="1"/>
  <c r="F215" i="237"/>
  <c r="F40" i="237" s="1"/>
  <c r="L215" i="237"/>
  <c r="L40" i="237" s="1"/>
  <c r="J215" i="237"/>
  <c r="J40" i="237" s="1"/>
  <c r="E215" i="237"/>
  <c r="P215" i="237"/>
  <c r="P40" i="237" s="1"/>
  <c r="I430" i="237"/>
  <c r="I83" i="237" s="1"/>
  <c r="L445" i="237"/>
  <c r="L98" i="237" s="1"/>
  <c r="M430" i="237"/>
  <c r="M83" i="237" s="1"/>
  <c r="N212" i="237"/>
  <c r="N37" i="237" s="1"/>
  <c r="L212" i="237"/>
  <c r="L37" i="237" s="1"/>
  <c r="M212" i="237"/>
  <c r="M37" i="237" s="1"/>
  <c r="K212" i="237"/>
  <c r="K37" i="237" s="1"/>
  <c r="H212" i="237"/>
  <c r="H37" i="237" s="1"/>
  <c r="F212" i="237"/>
  <c r="F37" i="237" s="1"/>
  <c r="P212" i="237"/>
  <c r="P37" i="237" s="1"/>
  <c r="E212" i="237"/>
  <c r="I212" i="237"/>
  <c r="I37" i="237" s="1"/>
  <c r="P213" i="237"/>
  <c r="P38" i="237" s="1"/>
  <c r="K213" i="237"/>
  <c r="K38" i="237" s="1"/>
  <c r="H213" i="237"/>
  <c r="H38" i="237" s="1"/>
  <c r="J213" i="237"/>
  <c r="J38" i="237" s="1"/>
  <c r="L213" i="237"/>
  <c r="L38" i="237" s="1"/>
  <c r="I213" i="237"/>
  <c r="I38" i="237" s="1"/>
  <c r="G213" i="237"/>
  <c r="G38" i="237" s="1"/>
  <c r="O213" i="237"/>
  <c r="O38" i="237" s="1"/>
  <c r="O206" i="237"/>
  <c r="H206" i="237"/>
  <c r="K206" i="237"/>
  <c r="I206" i="237"/>
  <c r="M445" i="237"/>
  <c r="M98" i="237" s="1"/>
  <c r="L430" i="237"/>
  <c r="L83" i="237" s="1"/>
  <c r="O427" i="237"/>
  <c r="I445" i="237"/>
  <c r="I98" i="237" s="1"/>
  <c r="P445" i="237"/>
  <c r="P98" i="237" s="1"/>
  <c r="K430" i="237"/>
  <c r="K83" i="237" s="1"/>
  <c r="E445" i="237"/>
  <c r="L427" i="237"/>
  <c r="N209" i="237"/>
  <c r="N34" i="237" s="1"/>
  <c r="K209" i="237"/>
  <c r="K34" i="237" s="1"/>
  <c r="I209" i="237"/>
  <c r="I34" i="237" s="1"/>
  <c r="J445" i="237"/>
  <c r="J98" i="237" s="1"/>
  <c r="G430" i="237"/>
  <c r="G83" i="237" s="1"/>
  <c r="J427" i="237"/>
  <c r="H430" i="237"/>
  <c r="H83" i="237" s="1"/>
  <c r="K427" i="237"/>
  <c r="O430" i="237"/>
  <c r="O83" i="237" s="1"/>
  <c r="I427" i="237"/>
  <c r="M427" i="237"/>
  <c r="P427" i="237"/>
  <c r="E430" i="237"/>
  <c r="F427" i="237"/>
  <c r="P430" i="237"/>
  <c r="P83" i="237" s="1"/>
  <c r="L207" i="237"/>
  <c r="L32" i="237" s="1"/>
  <c r="K207" i="237"/>
  <c r="K32" i="237" s="1"/>
  <c r="P207" i="237"/>
  <c r="P32" i="237" s="1"/>
  <c r="N210" i="237"/>
  <c r="N35" i="237" s="1"/>
  <c r="I210" i="237"/>
  <c r="I35" i="237" s="1"/>
  <c r="J210" i="237"/>
  <c r="J35" i="237" s="1"/>
  <c r="G210" i="237"/>
  <c r="G35" i="237" s="1"/>
  <c r="H210" i="237"/>
  <c r="H35" i="237" s="1"/>
  <c r="I93" i="229" l="1"/>
  <c r="M93" i="229"/>
  <c r="N93" i="229"/>
  <c r="O93" i="229"/>
  <c r="F93" i="229"/>
  <c r="H93" i="229"/>
  <c r="P93" i="229"/>
  <c r="Q80" i="229"/>
  <c r="L81" i="226" s="1"/>
  <c r="E81" i="237"/>
  <c r="Q81" i="237" s="1"/>
  <c r="L81" i="234" s="1"/>
  <c r="Q428" i="237"/>
  <c r="L422" i="234" s="1"/>
  <c r="H215" i="237"/>
  <c r="H40" i="237" s="1"/>
  <c r="J208" i="237"/>
  <c r="J33" i="237" s="1"/>
  <c r="N80" i="237"/>
  <c r="I29" i="132"/>
  <c r="Q30" i="229"/>
  <c r="L30" i="226" s="1"/>
  <c r="E48" i="229"/>
  <c r="I34" i="132"/>
  <c r="U34" i="132" s="1"/>
  <c r="L34" i="124" s="1"/>
  <c r="Q35" i="229"/>
  <c r="L35" i="226" s="1"/>
  <c r="M48" i="229"/>
  <c r="Q29" i="132"/>
  <c r="Q47" i="132" s="1"/>
  <c r="Q48" i="132" s="1"/>
  <c r="N206" i="237"/>
  <c r="E37" i="237"/>
  <c r="L210" i="237"/>
  <c r="L35" i="237" s="1"/>
  <c r="M207" i="237"/>
  <c r="M32" i="237" s="1"/>
  <c r="M80" i="237"/>
  <c r="J80" i="237"/>
  <c r="M209" i="237"/>
  <c r="M34" i="237" s="1"/>
  <c r="J206" i="237"/>
  <c r="O212" i="237"/>
  <c r="O37" i="237" s="1"/>
  <c r="G215" i="237"/>
  <c r="G40" i="237" s="1"/>
  <c r="K208" i="237"/>
  <c r="K33" i="237" s="1"/>
  <c r="M211" i="237"/>
  <c r="M36" i="237" s="1"/>
  <c r="J216" i="237"/>
  <c r="J41" i="237" s="1"/>
  <c r="G80" i="237"/>
  <c r="P29" i="132"/>
  <c r="P47" i="132" s="1"/>
  <c r="P48" i="132" s="1"/>
  <c r="L48" i="229"/>
  <c r="Q17" i="229"/>
  <c r="L17" i="226" s="1"/>
  <c r="I120" i="132"/>
  <c r="U120" i="132" s="1"/>
  <c r="L119" i="124" s="1"/>
  <c r="Q119" i="229"/>
  <c r="L120" i="226" s="1"/>
  <c r="L80" i="237"/>
  <c r="O215" i="237"/>
  <c r="O40" i="237" s="1"/>
  <c r="H48" i="229"/>
  <c r="L29" i="132"/>
  <c r="L47" i="132" s="1"/>
  <c r="L48" i="132" s="1"/>
  <c r="Q36" i="229"/>
  <c r="L38" i="226" s="1"/>
  <c r="I35" i="132"/>
  <c r="U35" i="132" s="1"/>
  <c r="L35" i="124" s="1"/>
  <c r="J48" i="229"/>
  <c r="N29" i="132"/>
  <c r="N47" i="132" s="1"/>
  <c r="N48" i="132" s="1"/>
  <c r="I31" i="237"/>
  <c r="E210" i="237"/>
  <c r="G207" i="237"/>
  <c r="G32" i="237" s="1"/>
  <c r="I80" i="237"/>
  <c r="H209" i="237"/>
  <c r="H34" i="237" s="1"/>
  <c r="P206" i="237"/>
  <c r="N213" i="237"/>
  <c r="N38" i="237" s="1"/>
  <c r="M208" i="237"/>
  <c r="M33" i="237" s="1"/>
  <c r="E211" i="237"/>
  <c r="N216" i="237"/>
  <c r="N41" i="237" s="1"/>
  <c r="G48" i="229"/>
  <c r="K29" i="132"/>
  <c r="K47" i="132" s="1"/>
  <c r="K48" i="132" s="1"/>
  <c r="N48" i="229"/>
  <c r="R29" i="132"/>
  <c r="R47" i="132" s="1"/>
  <c r="R48" i="132" s="1"/>
  <c r="Q32" i="229"/>
  <c r="L32" i="226" s="1"/>
  <c r="I31" i="132"/>
  <c r="U31" i="132" s="1"/>
  <c r="L31" i="124" s="1"/>
  <c r="Q40" i="229"/>
  <c r="L42" i="226" s="1"/>
  <c r="I39" i="132"/>
  <c r="U39" i="132" s="1"/>
  <c r="L39" i="124" s="1"/>
  <c r="L208" i="237"/>
  <c r="L33" i="237" s="1"/>
  <c r="O210" i="237"/>
  <c r="O35" i="237" s="1"/>
  <c r="E207" i="237"/>
  <c r="F209" i="237"/>
  <c r="F34" i="237" s="1"/>
  <c r="E98" i="237"/>
  <c r="Q98" i="237" s="1"/>
  <c r="L98" i="234" s="1"/>
  <c r="Q445" i="237"/>
  <c r="L439" i="234" s="1"/>
  <c r="E206" i="237"/>
  <c r="F213" i="237"/>
  <c r="F38" i="237" s="1"/>
  <c r="I215" i="237"/>
  <c r="I40" i="237" s="1"/>
  <c r="O208" i="237"/>
  <c r="O33" i="237" s="1"/>
  <c r="H80" i="237"/>
  <c r="F211" i="237"/>
  <c r="F36" i="237" s="1"/>
  <c r="K216" i="237"/>
  <c r="K41" i="237" s="1"/>
  <c r="I30" i="132"/>
  <c r="U30" i="132" s="1"/>
  <c r="L30" i="124" s="1"/>
  <c r="Q31" i="229"/>
  <c r="L31" i="226" s="1"/>
  <c r="Q34" i="229"/>
  <c r="L34" i="226" s="1"/>
  <c r="I33" i="132"/>
  <c r="U33" i="132" s="1"/>
  <c r="L33" i="124" s="1"/>
  <c r="I32" i="132"/>
  <c r="U32" i="132" s="1"/>
  <c r="L32" i="124" s="1"/>
  <c r="Q33" i="229"/>
  <c r="L33" i="226" s="1"/>
  <c r="F207" i="237"/>
  <c r="F32" i="237" s="1"/>
  <c r="O209" i="237"/>
  <c r="O34" i="237" s="1"/>
  <c r="K31" i="237"/>
  <c r="E40" i="237"/>
  <c r="H216" i="237"/>
  <c r="H41" i="237" s="1"/>
  <c r="Q81" i="229"/>
  <c r="L82" i="226" s="1"/>
  <c r="M29" i="132"/>
  <c r="M47" i="132" s="1"/>
  <c r="M48" i="132" s="1"/>
  <c r="I48" i="229"/>
  <c r="E93" i="229"/>
  <c r="I38" i="132"/>
  <c r="U38" i="132" s="1"/>
  <c r="L38" i="124" s="1"/>
  <c r="Q39" i="229"/>
  <c r="L41" i="226" s="1"/>
  <c r="P209" i="237"/>
  <c r="P34" i="237" s="1"/>
  <c r="N211" i="237"/>
  <c r="N36" i="237" s="1"/>
  <c r="K48" i="229"/>
  <c r="O29" i="132"/>
  <c r="O47" i="132" s="1"/>
  <c r="O48" i="132" s="1"/>
  <c r="K210" i="237"/>
  <c r="K35" i="237" s="1"/>
  <c r="L209" i="237"/>
  <c r="L34" i="237" s="1"/>
  <c r="O80" i="237"/>
  <c r="N215" i="237"/>
  <c r="N40" i="237" s="1"/>
  <c r="E216" i="237"/>
  <c r="I36" i="132"/>
  <c r="U36" i="132" s="1"/>
  <c r="L36" i="124" s="1"/>
  <c r="Q37" i="229"/>
  <c r="L39" i="226" s="1"/>
  <c r="O31" i="237"/>
  <c r="P210" i="237"/>
  <c r="P35" i="237" s="1"/>
  <c r="H207" i="237"/>
  <c r="H32" i="237" s="1"/>
  <c r="E83" i="237"/>
  <c r="Q83" i="237" s="1"/>
  <c r="L83" i="234" s="1"/>
  <c r="Q430" i="237"/>
  <c r="L424" i="234" s="1"/>
  <c r="K80" i="237"/>
  <c r="J209" i="237"/>
  <c r="J34" i="237" s="1"/>
  <c r="F206" i="237"/>
  <c r="G212" i="237"/>
  <c r="G37" i="237" s="1"/>
  <c r="P208" i="237"/>
  <c r="P33" i="237" s="1"/>
  <c r="I211" i="237"/>
  <c r="I36" i="237" s="1"/>
  <c r="E80" i="237"/>
  <c r="Q427" i="237"/>
  <c r="L421" i="234" s="1"/>
  <c r="O216" i="237"/>
  <c r="O41" i="237" s="1"/>
  <c r="H31" i="237"/>
  <c r="H208" i="237"/>
  <c r="H33" i="237" s="1"/>
  <c r="N207" i="237"/>
  <c r="N32" i="237" s="1"/>
  <c r="L206" i="237"/>
  <c r="M210" i="237"/>
  <c r="M35" i="237" s="1"/>
  <c r="I207" i="237"/>
  <c r="I32" i="237" s="1"/>
  <c r="E209" i="237"/>
  <c r="G206" i="237"/>
  <c r="E213" i="237"/>
  <c r="K215" i="237"/>
  <c r="K40" i="237" s="1"/>
  <c r="F208" i="237"/>
  <c r="F33" i="237" s="1"/>
  <c r="P216" i="237"/>
  <c r="P41" i="237" s="1"/>
  <c r="P48" i="229"/>
  <c r="T29" i="132"/>
  <c r="T47" i="132" s="1"/>
  <c r="T48" i="132" s="1"/>
  <c r="O207" i="237"/>
  <c r="O32" i="237" s="1"/>
  <c r="F80" i="237"/>
  <c r="E208" i="237"/>
  <c r="O211" i="237"/>
  <c r="O36" i="237" s="1"/>
  <c r="F210" i="237"/>
  <c r="F35" i="237" s="1"/>
  <c r="J207" i="237"/>
  <c r="J32" i="237" s="1"/>
  <c r="P80" i="237"/>
  <c r="G209" i="237"/>
  <c r="G34" i="237" s="1"/>
  <c r="M206" i="237"/>
  <c r="M213" i="237"/>
  <c r="M38" i="237" s="1"/>
  <c r="J212" i="237"/>
  <c r="J37" i="237" s="1"/>
  <c r="M215" i="237"/>
  <c r="M40" i="237" s="1"/>
  <c r="I208" i="237"/>
  <c r="I33" i="237" s="1"/>
  <c r="H211" i="237"/>
  <c r="H36" i="237" s="1"/>
  <c r="F216" i="237"/>
  <c r="F41" i="237" s="1"/>
  <c r="F48" i="229"/>
  <c r="J29" i="132"/>
  <c r="J47" i="132" s="1"/>
  <c r="J48" i="132" s="1"/>
  <c r="O48" i="229"/>
  <c r="S29" i="132"/>
  <c r="S47" i="132" s="1"/>
  <c r="S48" i="132" s="1"/>
  <c r="E193" i="237"/>
  <c r="N193" i="237"/>
  <c r="Q93" i="229" l="1"/>
  <c r="L94" i="226"/>
  <c r="O224" i="237"/>
  <c r="O49" i="237" s="1"/>
  <c r="Q215" i="237"/>
  <c r="L210" i="234" s="1"/>
  <c r="J193" i="237"/>
  <c r="O193" i="237"/>
  <c r="M193" i="237"/>
  <c r="M224" i="237"/>
  <c r="M49" i="237" s="1"/>
  <c r="M31" i="237"/>
  <c r="H224" i="237"/>
  <c r="H49" i="237" s="1"/>
  <c r="I224" i="237"/>
  <c r="I49" i="237" s="1"/>
  <c r="Q213" i="237"/>
  <c r="L208" i="234" s="1"/>
  <c r="E38" i="237"/>
  <c r="Q38" i="237" s="1"/>
  <c r="L38" i="234" s="1"/>
  <c r="Q216" i="237"/>
  <c r="L211" i="234" s="1"/>
  <c r="E41" i="237"/>
  <c r="Q41" i="237" s="1"/>
  <c r="L41" i="234" s="1"/>
  <c r="Q208" i="237"/>
  <c r="L203" i="234" s="1"/>
  <c r="E33" i="237"/>
  <c r="Q33" i="237" s="1"/>
  <c r="L33" i="234" s="1"/>
  <c r="F224" i="237"/>
  <c r="F49" i="237" s="1"/>
  <c r="F31" i="237"/>
  <c r="F193" i="237"/>
  <c r="L193" i="237"/>
  <c r="G224" i="237"/>
  <c r="G49" i="237" s="1"/>
  <c r="G31" i="237"/>
  <c r="Q211" i="237"/>
  <c r="L206" i="234" s="1"/>
  <c r="E36" i="237"/>
  <c r="Q36" i="237" s="1"/>
  <c r="L36" i="234" s="1"/>
  <c r="Q37" i="237"/>
  <c r="L37" i="234" s="1"/>
  <c r="Q212" i="237"/>
  <c r="L207" i="234" s="1"/>
  <c r="Q80" i="237"/>
  <c r="L80" i="234" s="1"/>
  <c r="N224" i="237"/>
  <c r="N49" i="237" s="1"/>
  <c r="N31" i="237"/>
  <c r="I193" i="237"/>
  <c r="P224" i="237"/>
  <c r="P49" i="237" s="1"/>
  <c r="P31" i="237"/>
  <c r="G193" i="237"/>
  <c r="Q40" i="237"/>
  <c r="L40" i="234" s="1"/>
  <c r="J224" i="237"/>
  <c r="J49" i="237" s="1"/>
  <c r="J31" i="237"/>
  <c r="E224" i="237"/>
  <c r="Q206" i="237"/>
  <c r="L201" i="234" s="1"/>
  <c r="E31" i="237"/>
  <c r="H193" i="237"/>
  <c r="K224" i="237"/>
  <c r="K49" i="237" s="1"/>
  <c r="Q48" i="229"/>
  <c r="L48" i="226" s="1"/>
  <c r="L224" i="237"/>
  <c r="L49" i="237" s="1"/>
  <c r="L31" i="237"/>
  <c r="P193" i="237"/>
  <c r="Q210" i="237"/>
  <c r="L205" i="234" s="1"/>
  <c r="E35" i="237"/>
  <c r="Q35" i="237" s="1"/>
  <c r="L35" i="234" s="1"/>
  <c r="Q209" i="237"/>
  <c r="L204" i="234" s="1"/>
  <c r="E34" i="237"/>
  <c r="Q34" i="237" s="1"/>
  <c r="L34" i="234" s="1"/>
  <c r="K193" i="237"/>
  <c r="Q207" i="237"/>
  <c r="L202" i="234" s="1"/>
  <c r="E32" i="237"/>
  <c r="Q32" i="237" s="1"/>
  <c r="L32" i="234" s="1"/>
  <c r="I47" i="132"/>
  <c r="U29" i="132"/>
  <c r="L29" i="124" s="1"/>
  <c r="Q224" i="237" l="1"/>
  <c r="E49" i="237"/>
  <c r="Q193" i="237"/>
  <c r="L188" i="234" s="1"/>
  <c r="I48" i="132"/>
  <c r="U47" i="132"/>
  <c r="Q31" i="237"/>
  <c r="L31" i="234" s="1"/>
  <c r="U48" i="132" l="1"/>
  <c r="L48" i="124" s="1"/>
  <c r="L47" i="124"/>
  <c r="L219" i="234"/>
  <c r="Q49" i="237"/>
  <c r="L49" i="234" s="1"/>
  <c r="L473" i="237" l="1"/>
  <c r="L126" i="237" s="1"/>
  <c r="L125" i="229"/>
  <c r="P126" i="132" s="1"/>
  <c r="M470" i="237"/>
  <c r="M123" i="237" s="1"/>
  <c r="M122" i="229"/>
  <c r="Q123" i="132" s="1"/>
  <c r="G469" i="237"/>
  <c r="G122" i="237" s="1"/>
  <c r="G121" i="229"/>
  <c r="K122" i="132" s="1"/>
  <c r="O473" i="237"/>
  <c r="O126" i="237" s="1"/>
  <c r="O125" i="229"/>
  <c r="S126" i="132" s="1"/>
  <c r="N470" i="237"/>
  <c r="N123" i="237" s="1"/>
  <c r="N122" i="229"/>
  <c r="R123" i="132" s="1"/>
  <c r="H469" i="237"/>
  <c r="H122" i="237" s="1"/>
  <c r="H121" i="229"/>
  <c r="L122" i="132" s="1"/>
  <c r="P473" i="237"/>
  <c r="P126" i="237" s="1"/>
  <c r="P125" i="229"/>
  <c r="T126" i="132" s="1"/>
  <c r="F470" i="237"/>
  <c r="F123" i="237" s="1"/>
  <c r="F122" i="229"/>
  <c r="J123" i="132" s="1"/>
  <c r="J469" i="237"/>
  <c r="J122" i="237" s="1"/>
  <c r="J121" i="229"/>
  <c r="N122" i="132" s="1"/>
  <c r="E473" i="237"/>
  <c r="E125" i="229"/>
  <c r="P470" i="237"/>
  <c r="P123" i="237" s="1"/>
  <c r="P122" i="229"/>
  <c r="T123" i="132" s="1"/>
  <c r="I469" i="237"/>
  <c r="I122" i="237" s="1"/>
  <c r="I121" i="229"/>
  <c r="M122" i="132" s="1"/>
  <c r="G470" i="237"/>
  <c r="G123" i="237" s="1"/>
  <c r="G122" i="229"/>
  <c r="K123" i="132" s="1"/>
  <c r="K469" i="237"/>
  <c r="K122" i="237" s="1"/>
  <c r="K121" i="229"/>
  <c r="O122" i="132" s="1"/>
  <c r="N473" i="237"/>
  <c r="N126" i="237" s="1"/>
  <c r="N125" i="229"/>
  <c r="R126" i="132" s="1"/>
  <c r="H470" i="237"/>
  <c r="H123" i="237" s="1"/>
  <c r="H122" i="229"/>
  <c r="L123" i="132" s="1"/>
  <c r="L469" i="237"/>
  <c r="L122" i="237" s="1"/>
  <c r="L121" i="229"/>
  <c r="P122" i="132" s="1"/>
  <c r="F473" i="237"/>
  <c r="F126" i="237" s="1"/>
  <c r="F125" i="229"/>
  <c r="J126" i="132" s="1"/>
  <c r="O470" i="237"/>
  <c r="O123" i="237" s="1"/>
  <c r="O122" i="229"/>
  <c r="S123" i="132" s="1"/>
  <c r="M469" i="237"/>
  <c r="M122" i="237" s="1"/>
  <c r="M121" i="229"/>
  <c r="Q122" i="132" s="1"/>
  <c r="G473" i="237"/>
  <c r="G126" i="237" s="1"/>
  <c r="G125" i="229"/>
  <c r="K126" i="132" s="1"/>
  <c r="E470" i="237"/>
  <c r="E122" i="229"/>
  <c r="N469" i="237"/>
  <c r="N122" i="237" s="1"/>
  <c r="N121" i="229"/>
  <c r="R122" i="132" s="1"/>
  <c r="H473" i="237"/>
  <c r="H126" i="237" s="1"/>
  <c r="H125" i="229"/>
  <c r="L126" i="132" s="1"/>
  <c r="I470" i="237"/>
  <c r="I123" i="237" s="1"/>
  <c r="I122" i="229"/>
  <c r="M123" i="132" s="1"/>
  <c r="O469" i="237"/>
  <c r="O122" i="237" s="1"/>
  <c r="O121" i="229"/>
  <c r="S122" i="132" s="1"/>
  <c r="I473" i="237"/>
  <c r="I126" i="237" s="1"/>
  <c r="I125" i="229"/>
  <c r="M126" i="132" s="1"/>
  <c r="J470" i="237"/>
  <c r="J123" i="237" s="1"/>
  <c r="J122" i="229"/>
  <c r="N123" i="132" s="1"/>
  <c r="P469" i="237"/>
  <c r="P122" i="237" s="1"/>
  <c r="P121" i="229"/>
  <c r="T122" i="132" s="1"/>
  <c r="J473" i="237"/>
  <c r="J126" i="237" s="1"/>
  <c r="J125" i="229"/>
  <c r="N126" i="132" s="1"/>
  <c r="K470" i="237"/>
  <c r="K123" i="237" s="1"/>
  <c r="K122" i="229"/>
  <c r="O123" i="132" s="1"/>
  <c r="E469" i="237"/>
  <c r="E121" i="229"/>
  <c r="M473" i="237"/>
  <c r="M126" i="237" s="1"/>
  <c r="M125" i="229"/>
  <c r="Q126" i="132" s="1"/>
  <c r="K473" i="237"/>
  <c r="K126" i="237" s="1"/>
  <c r="K125" i="229"/>
  <c r="O126" i="132" s="1"/>
  <c r="L470" i="237"/>
  <c r="L123" i="237" s="1"/>
  <c r="L122" i="229"/>
  <c r="P123" i="132" s="1"/>
  <c r="F469" i="237"/>
  <c r="F122" i="237" s="1"/>
  <c r="F121" i="229"/>
  <c r="J122" i="132" s="1"/>
  <c r="E472" i="237" l="1"/>
  <c r="E124" i="229"/>
  <c r="H475" i="237"/>
  <c r="H128" i="237" s="1"/>
  <c r="H127" i="229"/>
  <c r="L128" i="132" s="1"/>
  <c r="F472" i="237"/>
  <c r="F125" i="237" s="1"/>
  <c r="F124" i="229"/>
  <c r="J125" i="132" s="1"/>
  <c r="K476" i="237"/>
  <c r="K129" i="237" s="1"/>
  <c r="K128" i="229"/>
  <c r="O129" i="132" s="1"/>
  <c r="M463" i="237"/>
  <c r="M115" i="229"/>
  <c r="I118" i="229"/>
  <c r="M119" i="132" s="1"/>
  <c r="O118" i="229"/>
  <c r="S119" i="132" s="1"/>
  <c r="I123" i="132"/>
  <c r="U123" i="132" s="1"/>
  <c r="L122" i="124" s="1"/>
  <c r="Q122" i="229"/>
  <c r="L123" i="226" s="1"/>
  <c r="L476" i="237"/>
  <c r="L129" i="237" s="1"/>
  <c r="L128" i="229"/>
  <c r="P129" i="132" s="1"/>
  <c r="M471" i="237"/>
  <c r="M124" i="237" s="1"/>
  <c r="M123" i="229"/>
  <c r="Q124" i="132" s="1"/>
  <c r="N463" i="237"/>
  <c r="N115" i="229"/>
  <c r="K475" i="237"/>
  <c r="K128" i="237" s="1"/>
  <c r="K127" i="229"/>
  <c r="O128" i="132" s="1"/>
  <c r="G472" i="237"/>
  <c r="G125" i="237" s="1"/>
  <c r="G124" i="229"/>
  <c r="K125" i="132" s="1"/>
  <c r="M476" i="237"/>
  <c r="M129" i="237" s="1"/>
  <c r="M128" i="229"/>
  <c r="Q129" i="132" s="1"/>
  <c r="G471" i="237"/>
  <c r="G124" i="237" s="1"/>
  <c r="G123" i="229"/>
  <c r="K124" i="132" s="1"/>
  <c r="J463" i="237"/>
  <c r="J115" i="229"/>
  <c r="I122" i="132"/>
  <c r="U122" i="132" s="1"/>
  <c r="L121" i="124" s="1"/>
  <c r="Q121" i="229"/>
  <c r="L122" i="226" s="1"/>
  <c r="E123" i="237"/>
  <c r="Q123" i="237" s="1"/>
  <c r="L123" i="234" s="1"/>
  <c r="Q470" i="237"/>
  <c r="L464" i="234" s="1"/>
  <c r="O471" i="237"/>
  <c r="O124" i="237" s="1"/>
  <c r="O123" i="229"/>
  <c r="S124" i="132" s="1"/>
  <c r="G475" i="237"/>
  <c r="G128" i="237" s="1"/>
  <c r="G127" i="229"/>
  <c r="K128" i="132" s="1"/>
  <c r="H472" i="237"/>
  <c r="H125" i="237" s="1"/>
  <c r="H124" i="229"/>
  <c r="L125" i="132" s="1"/>
  <c r="O476" i="237"/>
  <c r="O129" i="237" s="1"/>
  <c r="O128" i="229"/>
  <c r="S129" i="132" s="1"/>
  <c r="P471" i="237"/>
  <c r="P124" i="237" s="1"/>
  <c r="P123" i="229"/>
  <c r="T124" i="132" s="1"/>
  <c r="K463" i="237"/>
  <c r="K115" i="229"/>
  <c r="E122" i="237"/>
  <c r="Q122" i="237" s="1"/>
  <c r="L122" i="234" s="1"/>
  <c r="Q469" i="237"/>
  <c r="L463" i="234" s="1"/>
  <c r="I475" i="237"/>
  <c r="I128" i="237" s="1"/>
  <c r="I127" i="229"/>
  <c r="M128" i="132" s="1"/>
  <c r="M472" i="237"/>
  <c r="M125" i="237" s="1"/>
  <c r="M124" i="229"/>
  <c r="Q125" i="132" s="1"/>
  <c r="P476" i="237"/>
  <c r="P129" i="237" s="1"/>
  <c r="P128" i="229"/>
  <c r="T129" i="132" s="1"/>
  <c r="F471" i="237"/>
  <c r="F124" i="237" s="1"/>
  <c r="F123" i="229"/>
  <c r="J124" i="132" s="1"/>
  <c r="F118" i="229"/>
  <c r="J119" i="132" s="1"/>
  <c r="M118" i="229"/>
  <c r="Q119" i="132" s="1"/>
  <c r="P118" i="229"/>
  <c r="T119" i="132" s="1"/>
  <c r="M475" i="237"/>
  <c r="M128" i="237" s="1"/>
  <c r="M127" i="229"/>
  <c r="Q128" i="132" s="1"/>
  <c r="J475" i="237"/>
  <c r="J128" i="237" s="1"/>
  <c r="J127" i="229"/>
  <c r="N128" i="132" s="1"/>
  <c r="I472" i="237"/>
  <c r="I125" i="237" s="1"/>
  <c r="I124" i="229"/>
  <c r="M125" i="132" s="1"/>
  <c r="E476" i="237"/>
  <c r="E128" i="229"/>
  <c r="N471" i="237"/>
  <c r="N124" i="237" s="1"/>
  <c r="N123" i="229"/>
  <c r="R124" i="132" s="1"/>
  <c r="I463" i="237"/>
  <c r="I115" i="229"/>
  <c r="O463" i="237"/>
  <c r="O115" i="229"/>
  <c r="J118" i="229"/>
  <c r="N119" i="132" s="1"/>
  <c r="I126" i="132"/>
  <c r="U126" i="132" s="1"/>
  <c r="L125" i="124" s="1"/>
  <c r="Q125" i="229"/>
  <c r="L126" i="226" s="1"/>
  <c r="N475" i="237"/>
  <c r="N128" i="237" s="1"/>
  <c r="N127" i="229"/>
  <c r="R128" i="132" s="1"/>
  <c r="J472" i="237"/>
  <c r="J125" i="237" s="1"/>
  <c r="J124" i="229"/>
  <c r="N125" i="132" s="1"/>
  <c r="H471" i="237"/>
  <c r="H124" i="237" s="1"/>
  <c r="H123" i="229"/>
  <c r="L124" i="132" s="1"/>
  <c r="F463" i="237"/>
  <c r="F115" i="229"/>
  <c r="E126" i="237"/>
  <c r="Q126" i="237" s="1"/>
  <c r="L126" i="234" s="1"/>
  <c r="Q473" i="237"/>
  <c r="L467" i="234" s="1"/>
  <c r="O475" i="237"/>
  <c r="O128" i="237" s="1"/>
  <c r="O127" i="229"/>
  <c r="S128" i="132" s="1"/>
  <c r="K472" i="237"/>
  <c r="K125" i="237" s="1"/>
  <c r="K124" i="229"/>
  <c r="O125" i="132" s="1"/>
  <c r="F476" i="237"/>
  <c r="F129" i="237" s="1"/>
  <c r="F128" i="229"/>
  <c r="J129" i="132" s="1"/>
  <c r="I471" i="237"/>
  <c r="I124" i="237" s="1"/>
  <c r="I123" i="229"/>
  <c r="M124" i="132" s="1"/>
  <c r="P463" i="237"/>
  <c r="P115" i="229"/>
  <c r="O472" i="237"/>
  <c r="O125" i="237" s="1"/>
  <c r="O124" i="229"/>
  <c r="S125" i="132" s="1"/>
  <c r="L472" i="237"/>
  <c r="L125" i="237" s="1"/>
  <c r="L124" i="229"/>
  <c r="P125" i="132" s="1"/>
  <c r="J471" i="237"/>
  <c r="J124" i="237" s="1"/>
  <c r="J123" i="229"/>
  <c r="N124" i="132" s="1"/>
  <c r="G118" i="229"/>
  <c r="K119" i="132" s="1"/>
  <c r="L475" i="237"/>
  <c r="L128" i="237" s="1"/>
  <c r="L127" i="229"/>
  <c r="P128" i="132" s="1"/>
  <c r="P472" i="237"/>
  <c r="P125" i="237" s="1"/>
  <c r="P124" i="229"/>
  <c r="T125" i="132" s="1"/>
  <c r="G476" i="237"/>
  <c r="G129" i="237" s="1"/>
  <c r="G128" i="229"/>
  <c r="K129" i="132" s="1"/>
  <c r="K471" i="237"/>
  <c r="K124" i="237" s="1"/>
  <c r="K123" i="229"/>
  <c r="O124" i="132" s="1"/>
  <c r="H463" i="237"/>
  <c r="H115" i="229"/>
  <c r="K118" i="229"/>
  <c r="O119" i="132" s="1"/>
  <c r="N118" i="229"/>
  <c r="R119" i="132" s="1"/>
  <c r="H118" i="229"/>
  <c r="L119" i="132" s="1"/>
  <c r="P475" i="237"/>
  <c r="P128" i="237" s="1"/>
  <c r="P127" i="229"/>
  <c r="T128" i="132" s="1"/>
  <c r="H476" i="237"/>
  <c r="H129" i="237" s="1"/>
  <c r="H128" i="229"/>
  <c r="L129" i="132" s="1"/>
  <c r="G463" i="237"/>
  <c r="G115" i="229"/>
  <c r="E475" i="237"/>
  <c r="E127" i="229"/>
  <c r="N472" i="237"/>
  <c r="N125" i="237" s="1"/>
  <c r="N124" i="229"/>
  <c r="R125" i="132" s="1"/>
  <c r="J476" i="237"/>
  <c r="J129" i="237" s="1"/>
  <c r="J128" i="229"/>
  <c r="N129" i="132" s="1"/>
  <c r="I476" i="237"/>
  <c r="I129" i="237" s="1"/>
  <c r="I128" i="229"/>
  <c r="M129" i="132" s="1"/>
  <c r="L471" i="237"/>
  <c r="L124" i="237" s="1"/>
  <c r="L123" i="229"/>
  <c r="P124" i="132" s="1"/>
  <c r="E118" i="229"/>
  <c r="L463" i="237"/>
  <c r="L115" i="229"/>
  <c r="F475" i="237"/>
  <c r="F128" i="237" s="1"/>
  <c r="F127" i="229"/>
  <c r="J128" i="132" s="1"/>
  <c r="N476" i="237"/>
  <c r="N129" i="237" s="1"/>
  <c r="N128" i="229"/>
  <c r="R129" i="132" s="1"/>
  <c r="E471" i="237"/>
  <c r="E123" i="229"/>
  <c r="E463" i="237"/>
  <c r="E115" i="229"/>
  <c r="L118" i="229"/>
  <c r="P119" i="132" s="1"/>
  <c r="M116" i="237" l="1"/>
  <c r="E124" i="237"/>
  <c r="Q124" i="237" s="1"/>
  <c r="L124" i="234" s="1"/>
  <c r="Q471" i="237"/>
  <c r="L465" i="234" s="1"/>
  <c r="J116" i="132"/>
  <c r="I129" i="132"/>
  <c r="U129" i="132" s="1"/>
  <c r="L128" i="124" s="1"/>
  <c r="Q128" i="229"/>
  <c r="L129" i="226" s="1"/>
  <c r="T116" i="132"/>
  <c r="F116" i="237"/>
  <c r="E129" i="237"/>
  <c r="Q129" i="237" s="1"/>
  <c r="L129" i="234" s="1"/>
  <c r="Q476" i="237"/>
  <c r="L470" i="234" s="1"/>
  <c r="P116" i="132"/>
  <c r="P116" i="237"/>
  <c r="O116" i="132"/>
  <c r="L116" i="237"/>
  <c r="I128" i="132"/>
  <c r="U128" i="132" s="1"/>
  <c r="L127" i="124" s="1"/>
  <c r="Q127" i="229"/>
  <c r="L128" i="226" s="1"/>
  <c r="K116" i="237"/>
  <c r="E128" i="237"/>
  <c r="Q128" i="237" s="1"/>
  <c r="L128" i="234" s="1"/>
  <c r="Q475" i="237"/>
  <c r="L469" i="234" s="1"/>
  <c r="S116" i="132"/>
  <c r="R116" i="132"/>
  <c r="I119" i="132"/>
  <c r="U119" i="132" s="1"/>
  <c r="L118" i="124" s="1"/>
  <c r="Q118" i="229"/>
  <c r="L119" i="226" s="1"/>
  <c r="K116" i="132"/>
  <c r="O116" i="237"/>
  <c r="N116" i="237"/>
  <c r="Q115" i="229"/>
  <c r="L116" i="226" s="1"/>
  <c r="I116" i="132"/>
  <c r="G116" i="237"/>
  <c r="I125" i="132"/>
  <c r="U125" i="132" s="1"/>
  <c r="L124" i="124" s="1"/>
  <c r="Q124" i="229"/>
  <c r="L125" i="226" s="1"/>
  <c r="E116" i="237"/>
  <c r="Q463" i="237"/>
  <c r="L457" i="234" s="1"/>
  <c r="M116" i="132"/>
  <c r="N116" i="132"/>
  <c r="E125" i="237"/>
  <c r="Q125" i="237" s="1"/>
  <c r="L125" i="234" s="1"/>
  <c r="Q472" i="237"/>
  <c r="L466" i="234" s="1"/>
  <c r="L116" i="132"/>
  <c r="I116" i="237"/>
  <c r="J116" i="237"/>
  <c r="I124" i="132"/>
  <c r="U124" i="132" s="1"/>
  <c r="L123" i="124" s="1"/>
  <c r="Q123" i="229"/>
  <c r="L124" i="226" s="1"/>
  <c r="H116" i="237"/>
  <c r="Q116" i="132"/>
  <c r="U116" i="132" l="1"/>
  <c r="L115" i="124" s="1"/>
  <c r="Q116" i="237"/>
  <c r="L116" i="234" s="1"/>
  <c r="M465" i="237" l="1"/>
  <c r="J465" i="237"/>
  <c r="I465" i="237"/>
  <c r="L465" i="237"/>
  <c r="F465" i="237"/>
  <c r="N465" i="237"/>
  <c r="H465" i="237"/>
  <c r="K465" i="237"/>
  <c r="G465" i="237"/>
  <c r="O465" i="237"/>
  <c r="E465" i="237"/>
  <c r="P465" i="237"/>
  <c r="I466" i="237"/>
  <c r="I119" i="237" s="1"/>
  <c r="P466" i="237"/>
  <c r="P119" i="237" s="1"/>
  <c r="K466" i="237"/>
  <c r="K119" i="237" s="1"/>
  <c r="O466" i="237"/>
  <c r="O119" i="237" s="1"/>
  <c r="E466" i="237"/>
  <c r="N466" i="237"/>
  <c r="N119" i="237" s="1"/>
  <c r="L466" i="237"/>
  <c r="L119" i="237" s="1"/>
  <c r="G466" i="237"/>
  <c r="G119" i="237" s="1"/>
  <c r="J466" i="237"/>
  <c r="J119" i="237" s="1"/>
  <c r="F466" i="237"/>
  <c r="F119" i="237" s="1"/>
  <c r="H466" i="237"/>
  <c r="H119" i="237" s="1"/>
  <c r="M466" i="237"/>
  <c r="M119" i="237" s="1"/>
  <c r="P467" i="237"/>
  <c r="P120" i="237" s="1"/>
  <c r="K467" i="237"/>
  <c r="K120" i="237" s="1"/>
  <c r="L467" i="237"/>
  <c r="L120" i="237" s="1"/>
  <c r="H467" i="237"/>
  <c r="H120" i="237" s="1"/>
  <c r="F467" i="237"/>
  <c r="F120" i="237" s="1"/>
  <c r="I467" i="237"/>
  <c r="I120" i="237" s="1"/>
  <c r="M467" i="237"/>
  <c r="M120" i="237" s="1"/>
  <c r="N467" i="237"/>
  <c r="N120" i="237" s="1"/>
  <c r="O467" i="237"/>
  <c r="O120" i="237" s="1"/>
  <c r="G467" i="237"/>
  <c r="G120" i="237" s="1"/>
  <c r="E467" i="237"/>
  <c r="J467" i="237"/>
  <c r="J120" i="237" s="1"/>
  <c r="P118" i="237" l="1"/>
  <c r="E120" i="237"/>
  <c r="Q120" i="237" s="1"/>
  <c r="L120" i="234" s="1"/>
  <c r="Q467" i="237"/>
  <c r="L461" i="234" s="1"/>
  <c r="E118" i="237"/>
  <c r="Q465" i="237"/>
  <c r="L459" i="234" s="1"/>
  <c r="G118" i="237"/>
  <c r="K118" i="237"/>
  <c r="H118" i="237"/>
  <c r="N118" i="237"/>
  <c r="E119" i="237"/>
  <c r="Q119" i="237" s="1"/>
  <c r="L119" i="234" s="1"/>
  <c r="Q466" i="237"/>
  <c r="L460" i="234" s="1"/>
  <c r="F118" i="237"/>
  <c r="L118" i="237"/>
  <c r="I118" i="237"/>
  <c r="O118" i="237"/>
  <c r="J118" i="237"/>
  <c r="M118" i="237"/>
  <c r="Q118" i="237" l="1"/>
  <c r="L118" i="234" s="1"/>
  <c r="P61" i="229" l="1"/>
  <c r="H61" i="229"/>
  <c r="L60" i="229"/>
  <c r="I59" i="229"/>
  <c r="M58" i="229"/>
  <c r="E58" i="229"/>
  <c r="I64" i="229"/>
  <c r="E57" i="229"/>
  <c r="I68" i="229"/>
  <c r="M67" i="229"/>
  <c r="E67" i="229"/>
  <c r="I56" i="229"/>
  <c r="M55" i="229"/>
  <c r="E55" i="229"/>
  <c r="I65" i="229"/>
  <c r="I66" i="229" s="1"/>
  <c r="M63" i="229"/>
  <c r="E63" i="229"/>
  <c r="I62" i="229"/>
  <c r="M53" i="229"/>
  <c r="E53" i="229"/>
  <c r="I105" i="229"/>
  <c r="I113" i="229" s="1"/>
  <c r="I16" i="229"/>
  <c r="M15" i="229"/>
  <c r="E15" i="229"/>
  <c r="I14" i="229"/>
  <c r="M13" i="229"/>
  <c r="E13" i="229"/>
  <c r="I12" i="229"/>
  <c r="M11" i="229"/>
  <c r="E11" i="229"/>
  <c r="O61" i="229"/>
  <c r="G61" i="229"/>
  <c r="K60" i="229"/>
  <c r="P59" i="229"/>
  <c r="H59" i="229"/>
  <c r="L58" i="229"/>
  <c r="P64" i="229"/>
  <c r="H64" i="229"/>
  <c r="P68" i="229"/>
  <c r="H68" i="229"/>
  <c r="L67" i="229"/>
  <c r="P56" i="229"/>
  <c r="H56" i="229"/>
  <c r="L55" i="229"/>
  <c r="P65" i="229"/>
  <c r="P66" i="229" s="1"/>
  <c r="H65" i="229"/>
  <c r="H66" i="229" s="1"/>
  <c r="L63" i="229"/>
  <c r="P62" i="229"/>
  <c r="H62" i="229"/>
  <c r="L53" i="229"/>
  <c r="P96" i="229"/>
  <c r="P103" i="229" s="1"/>
  <c r="H96" i="229"/>
  <c r="H103" i="229" s="1"/>
  <c r="L15" i="229"/>
  <c r="P14" i="229"/>
  <c r="H14" i="229"/>
  <c r="L13" i="229"/>
  <c r="P12" i="229"/>
  <c r="H12" i="229"/>
  <c r="L11" i="229"/>
  <c r="N61" i="229"/>
  <c r="F61" i="229"/>
  <c r="J60" i="229"/>
  <c r="O59" i="229"/>
  <c r="G59" i="229"/>
  <c r="K58" i="229"/>
  <c r="O64" i="229"/>
  <c r="G64" i="229"/>
  <c r="O68" i="229"/>
  <c r="G68" i="229"/>
  <c r="K67" i="229"/>
  <c r="O56" i="229"/>
  <c r="G56" i="229"/>
  <c r="K55" i="229"/>
  <c r="O65" i="229"/>
  <c r="O66" i="229" s="1"/>
  <c r="G65" i="229"/>
  <c r="G66" i="229" s="1"/>
  <c r="K63" i="229"/>
  <c r="O62" i="229"/>
  <c r="G62" i="229"/>
  <c r="K53" i="229"/>
  <c r="O96" i="229"/>
  <c r="O103" i="229" s="1"/>
  <c r="G96" i="229"/>
  <c r="G103" i="229" s="1"/>
  <c r="K15" i="229"/>
  <c r="O14" i="229"/>
  <c r="G14" i="229"/>
  <c r="K13" i="229"/>
  <c r="O12" i="229"/>
  <c r="G12" i="229"/>
  <c r="K11" i="229"/>
  <c r="I60" i="229"/>
  <c r="N59" i="229"/>
  <c r="F59" i="229"/>
  <c r="J58" i="229"/>
  <c r="N64" i="229"/>
  <c r="F64" i="229"/>
  <c r="N68" i="229"/>
  <c r="F68" i="229"/>
  <c r="J67" i="229"/>
  <c r="J54" i="229"/>
  <c r="N56" i="229"/>
  <c r="F56" i="229"/>
  <c r="J55" i="229"/>
  <c r="N65" i="229"/>
  <c r="N66" i="229" s="1"/>
  <c r="F65" i="229"/>
  <c r="F66" i="229" s="1"/>
  <c r="J63" i="229"/>
  <c r="N62" i="229"/>
  <c r="F62" i="229"/>
  <c r="J53" i="229"/>
  <c r="N96" i="229"/>
  <c r="N103" i="229" s="1"/>
  <c r="F96" i="229"/>
  <c r="F103" i="229" s="1"/>
  <c r="J15" i="229"/>
  <c r="N14" i="229"/>
  <c r="F14" i="229"/>
  <c r="J13" i="229"/>
  <c r="N12" i="229"/>
  <c r="F12" i="229"/>
  <c r="J11" i="229"/>
  <c r="M61" i="229"/>
  <c r="L61" i="229"/>
  <c r="P60" i="229"/>
  <c r="H60" i="229"/>
  <c r="M59" i="229"/>
  <c r="E59" i="229"/>
  <c r="I58" i="229"/>
  <c r="M64" i="229"/>
  <c r="E64" i="229"/>
  <c r="I57" i="229"/>
  <c r="M68" i="229"/>
  <c r="I67" i="229"/>
  <c r="I54" i="229"/>
  <c r="M56" i="229"/>
  <c r="E56" i="229"/>
  <c r="I55" i="229"/>
  <c r="M65" i="229"/>
  <c r="M66" i="229" s="1"/>
  <c r="I63" i="229"/>
  <c r="M62" i="229"/>
  <c r="E62" i="229"/>
  <c r="I53" i="229"/>
  <c r="M96" i="229"/>
  <c r="M103" i="229" s="1"/>
  <c r="E96" i="229"/>
  <c r="M105" i="229"/>
  <c r="M113" i="229" s="1"/>
  <c r="E105" i="229"/>
  <c r="M16" i="229"/>
  <c r="I15" i="229"/>
  <c r="M14" i="229"/>
  <c r="E14" i="229"/>
  <c r="I13" i="229"/>
  <c r="M12" i="229"/>
  <c r="E12" i="229"/>
  <c r="I11" i="229"/>
  <c r="I10" i="229"/>
  <c r="K61" i="229"/>
  <c r="O60" i="229"/>
  <c r="G60" i="229"/>
  <c r="L59" i="229"/>
  <c r="P58" i="229"/>
  <c r="H58" i="229"/>
  <c r="L64" i="229"/>
  <c r="P57" i="229"/>
  <c r="L68" i="229"/>
  <c r="P67" i="229"/>
  <c r="H67" i="229"/>
  <c r="L56" i="229"/>
  <c r="P55" i="229"/>
  <c r="H55" i="229"/>
  <c r="L65" i="229"/>
  <c r="L66" i="229" s="1"/>
  <c r="P63" i="229"/>
  <c r="H63" i="229"/>
  <c r="L62" i="229"/>
  <c r="P53" i="229"/>
  <c r="H53" i="229"/>
  <c r="L96" i="229"/>
  <c r="L103" i="229" s="1"/>
  <c r="L105" i="229"/>
  <c r="L113" i="229" s="1"/>
  <c r="L16" i="229"/>
  <c r="P15" i="229"/>
  <c r="H15" i="229"/>
  <c r="L14" i="229"/>
  <c r="P13" i="229"/>
  <c r="H13" i="229"/>
  <c r="L12" i="229"/>
  <c r="P11" i="229"/>
  <c r="H11" i="229"/>
  <c r="P10" i="229"/>
  <c r="H10" i="229"/>
  <c r="J61" i="229"/>
  <c r="N60" i="229"/>
  <c r="F60" i="229"/>
  <c r="K59" i="229"/>
  <c r="O58" i="229"/>
  <c r="G58" i="229"/>
  <c r="K64" i="229"/>
  <c r="O57" i="229"/>
  <c r="G57" i="229"/>
  <c r="K68" i="229"/>
  <c r="O67" i="229"/>
  <c r="G67" i="229"/>
  <c r="K56" i="229"/>
  <c r="O55" i="229"/>
  <c r="G55" i="229"/>
  <c r="K65" i="229"/>
  <c r="K66" i="229" s="1"/>
  <c r="O63" i="229"/>
  <c r="G63" i="229"/>
  <c r="K62" i="229"/>
  <c r="O53" i="229"/>
  <c r="G53" i="229"/>
  <c r="K96" i="229"/>
  <c r="K103" i="229" s="1"/>
  <c r="K105" i="229"/>
  <c r="K113" i="229" s="1"/>
  <c r="K16" i="229"/>
  <c r="O15" i="229"/>
  <c r="G15" i="229"/>
  <c r="K14" i="229"/>
  <c r="O13" i="229"/>
  <c r="G13" i="229"/>
  <c r="O11" i="229"/>
  <c r="G11" i="229"/>
  <c r="G10" i="229"/>
  <c r="I61" i="229"/>
  <c r="M60" i="229"/>
  <c r="E60" i="229"/>
  <c r="J59" i="229"/>
  <c r="N58" i="229"/>
  <c r="F58" i="229"/>
  <c r="J64" i="229"/>
  <c r="F57" i="229"/>
  <c r="J68" i="229"/>
  <c r="N67" i="229"/>
  <c r="F67" i="229"/>
  <c r="N54" i="229"/>
  <c r="J56" i="229"/>
  <c r="N55" i="229"/>
  <c r="F55" i="229"/>
  <c r="J65" i="229"/>
  <c r="J66" i="229" s="1"/>
  <c r="N63" i="229"/>
  <c r="F63" i="229"/>
  <c r="J62" i="229"/>
  <c r="N53" i="229"/>
  <c r="F53" i="229"/>
  <c r="N52" i="229"/>
  <c r="J96" i="229"/>
  <c r="J103" i="229" s="1"/>
  <c r="J105" i="229"/>
  <c r="J113" i="229" s="1"/>
  <c r="N15" i="229"/>
  <c r="F15" i="229"/>
  <c r="J14" i="229"/>
  <c r="N13" i="229"/>
  <c r="F13" i="229"/>
  <c r="J12" i="229"/>
  <c r="N11" i="229"/>
  <c r="F11" i="229"/>
  <c r="N10" i="229"/>
  <c r="F10" i="229"/>
  <c r="E61" i="229"/>
  <c r="E68" i="229"/>
  <c r="E65" i="229"/>
  <c r="I96" i="229"/>
  <c r="I103" i="229" s="1"/>
  <c r="K12" i="229"/>
  <c r="Q61" i="229" l="1"/>
  <c r="L61" i="226" s="1"/>
  <c r="Q64" i="229"/>
  <c r="L64" i="226" s="1"/>
  <c r="J16" i="229"/>
  <c r="H105" i="229"/>
  <c r="H113" i="229" s="1"/>
  <c r="M52" i="229"/>
  <c r="Q58" i="229"/>
  <c r="L58" i="226" s="1"/>
  <c r="H57" i="229"/>
  <c r="I28" i="229"/>
  <c r="I49" i="229" s="1"/>
  <c r="Q62" i="229"/>
  <c r="L62" i="226" s="1"/>
  <c r="G16" i="229"/>
  <c r="G28" i="229" s="1"/>
  <c r="G49" i="229" s="1"/>
  <c r="G105" i="229"/>
  <c r="G113" i="229" s="1"/>
  <c r="H16" i="229"/>
  <c r="H28" i="229" s="1"/>
  <c r="H49" i="229" s="1"/>
  <c r="E103" i="229"/>
  <c r="Q103" i="229" s="1"/>
  <c r="Q96" i="229"/>
  <c r="L97" i="226" s="1"/>
  <c r="L104" i="226" s="1"/>
  <c r="Q14" i="229"/>
  <c r="L14" i="226" s="1"/>
  <c r="J52" i="229"/>
  <c r="O16" i="229"/>
  <c r="O105" i="229"/>
  <c r="O113" i="229" s="1"/>
  <c r="P16" i="229"/>
  <c r="P28" i="229" s="1"/>
  <c r="P49" i="229" s="1"/>
  <c r="P105" i="229"/>
  <c r="P113" i="229" s="1"/>
  <c r="E54" i="229"/>
  <c r="N57" i="229"/>
  <c r="N77" i="229" s="1"/>
  <c r="N94" i="229" s="1"/>
  <c r="O10" i="229"/>
  <c r="F16" i="229"/>
  <c r="F28" i="229" s="1"/>
  <c r="F49" i="229" s="1"/>
  <c r="F105" i="229"/>
  <c r="F113" i="229" s="1"/>
  <c r="K10" i="229"/>
  <c r="K28" i="229" s="1"/>
  <c r="K49" i="229" s="1"/>
  <c r="K57" i="229"/>
  <c r="L10" i="229"/>
  <c r="L28" i="229" s="1"/>
  <c r="L49" i="229" s="1"/>
  <c r="L57" i="229"/>
  <c r="E10" i="229"/>
  <c r="Q13" i="229"/>
  <c r="L13" i="226" s="1"/>
  <c r="Q53" i="229"/>
  <c r="L53" i="226" s="1"/>
  <c r="Q55" i="229"/>
  <c r="L55" i="226" s="1"/>
  <c r="M57" i="229"/>
  <c r="N16" i="229"/>
  <c r="N28" i="229" s="1"/>
  <c r="N49" i="229" s="1"/>
  <c r="N105" i="229"/>
  <c r="N113" i="229" s="1"/>
  <c r="M10" i="229"/>
  <c r="M28" i="229" s="1"/>
  <c r="M49" i="229" s="1"/>
  <c r="G52" i="229"/>
  <c r="G54" i="229"/>
  <c r="H52" i="229"/>
  <c r="H54" i="229"/>
  <c r="I52" i="229"/>
  <c r="I77" i="229" s="1"/>
  <c r="I94" i="229" s="1"/>
  <c r="F52" i="229"/>
  <c r="F54" i="229"/>
  <c r="Q60" i="229"/>
  <c r="L60" i="226" s="1"/>
  <c r="O52" i="229"/>
  <c r="O54" i="229"/>
  <c r="P52" i="229"/>
  <c r="P54" i="229"/>
  <c r="Q12" i="229"/>
  <c r="L12" i="226" s="1"/>
  <c r="Q59" i="229"/>
  <c r="L59" i="226" s="1"/>
  <c r="J10" i="229"/>
  <c r="J57" i="229"/>
  <c r="Q67" i="229"/>
  <c r="L67" i="226" s="1"/>
  <c r="E16" i="229"/>
  <c r="E113" i="229"/>
  <c r="K52" i="229"/>
  <c r="K54" i="229"/>
  <c r="L52" i="229"/>
  <c r="L54" i="229"/>
  <c r="Q11" i="229"/>
  <c r="L11" i="226" s="1"/>
  <c r="Q15" i="229"/>
  <c r="L15" i="226" s="1"/>
  <c r="E52" i="229"/>
  <c r="Q63" i="229"/>
  <c r="L63" i="226" s="1"/>
  <c r="M54" i="229"/>
  <c r="E66" i="229"/>
  <c r="Q66" i="229" s="1"/>
  <c r="L66" i="226" s="1"/>
  <c r="Q65" i="229"/>
  <c r="L65" i="226" s="1"/>
  <c r="Q56" i="229"/>
  <c r="L56" i="226" s="1"/>
  <c r="Q68" i="229"/>
  <c r="L68" i="226" s="1"/>
  <c r="K188" i="237"/>
  <c r="K359" i="237"/>
  <c r="N187" i="237"/>
  <c r="N358" i="237"/>
  <c r="J361" i="237"/>
  <c r="J190" i="237"/>
  <c r="J444" i="237"/>
  <c r="J451" i="237" s="1"/>
  <c r="J272" i="237"/>
  <c r="J238" i="237"/>
  <c r="J409" i="237"/>
  <c r="F231" i="237"/>
  <c r="F402" i="237"/>
  <c r="J406" i="237"/>
  <c r="J235" i="237"/>
  <c r="O187" i="237"/>
  <c r="O358" i="237"/>
  <c r="G362" i="237"/>
  <c r="G191" i="237"/>
  <c r="G239" i="237"/>
  <c r="G410" i="237"/>
  <c r="O231" i="237"/>
  <c r="O402" i="237"/>
  <c r="G242" i="237"/>
  <c r="G413" i="237"/>
  <c r="K240" i="237"/>
  <c r="K411" i="237"/>
  <c r="F407" i="237"/>
  <c r="F236" i="237"/>
  <c r="L188" i="237"/>
  <c r="L359" i="237"/>
  <c r="H191" i="237"/>
  <c r="H362" i="237"/>
  <c r="L453" i="237"/>
  <c r="L461" i="237" s="1"/>
  <c r="H239" i="237"/>
  <c r="H410" i="237"/>
  <c r="P231" i="237"/>
  <c r="P402" i="237"/>
  <c r="H242" i="237"/>
  <c r="H413" i="237"/>
  <c r="L240" i="237"/>
  <c r="L411" i="237"/>
  <c r="G407" i="237"/>
  <c r="G236" i="237"/>
  <c r="M359" i="237"/>
  <c r="M188" i="237"/>
  <c r="I191" i="237"/>
  <c r="I362" i="237"/>
  <c r="M453" i="237"/>
  <c r="M461" i="237" s="1"/>
  <c r="I229" i="237"/>
  <c r="I400" i="237"/>
  <c r="M243" i="237"/>
  <c r="M412" i="237"/>
  <c r="E411" i="237"/>
  <c r="E240" i="237"/>
  <c r="M406" i="237"/>
  <c r="M235" i="237"/>
  <c r="M237" i="237"/>
  <c r="M408" i="237"/>
  <c r="J358" i="237"/>
  <c r="J187" i="237"/>
  <c r="F361" i="237"/>
  <c r="F190" i="237"/>
  <c r="F444" i="237"/>
  <c r="F451" i="237" s="1"/>
  <c r="F272" i="237"/>
  <c r="F238" i="237"/>
  <c r="F409" i="237"/>
  <c r="N243" i="237"/>
  <c r="N412" i="237"/>
  <c r="N241" i="237"/>
  <c r="N414" i="237"/>
  <c r="F406" i="237"/>
  <c r="F235" i="237"/>
  <c r="O188" i="237"/>
  <c r="O359" i="237"/>
  <c r="K362" i="237"/>
  <c r="K191" i="237"/>
  <c r="O453" i="237"/>
  <c r="O461" i="237" s="1"/>
  <c r="K228" i="237"/>
  <c r="K239" i="237"/>
  <c r="K410" i="237"/>
  <c r="G232" i="237"/>
  <c r="K242" i="237"/>
  <c r="K413" i="237"/>
  <c r="O411" i="237"/>
  <c r="O240" i="237"/>
  <c r="J407" i="237"/>
  <c r="J236" i="237"/>
  <c r="P359" i="237"/>
  <c r="P188" i="237"/>
  <c r="L362" i="237"/>
  <c r="L191" i="237"/>
  <c r="L239" i="237"/>
  <c r="L410" i="237"/>
  <c r="H232" i="237"/>
  <c r="L242" i="237"/>
  <c r="L413" i="237"/>
  <c r="P411" i="237"/>
  <c r="P240" i="237"/>
  <c r="K407" i="237"/>
  <c r="K236" i="237"/>
  <c r="I188" i="237"/>
  <c r="I359" i="237"/>
  <c r="E362" i="237"/>
  <c r="E191" i="237"/>
  <c r="I281" i="237"/>
  <c r="E228" i="237"/>
  <c r="E239" i="237"/>
  <c r="E410" i="237"/>
  <c r="M231" i="237"/>
  <c r="M402" i="237"/>
  <c r="M242" i="237"/>
  <c r="M413" i="237"/>
  <c r="M405" i="237"/>
  <c r="M234" i="237"/>
  <c r="P237" i="237"/>
  <c r="P408" i="237"/>
  <c r="I444" i="237"/>
  <c r="I451" i="237" s="1"/>
  <c r="I272" i="237"/>
  <c r="N186" i="237"/>
  <c r="J188" i="237"/>
  <c r="J359" i="237"/>
  <c r="F191" i="237"/>
  <c r="F362" i="237"/>
  <c r="F239" i="237"/>
  <c r="F410" i="237"/>
  <c r="N231" i="237"/>
  <c r="N402" i="237"/>
  <c r="F242" i="237"/>
  <c r="F413" i="237"/>
  <c r="J240" i="237"/>
  <c r="J411" i="237"/>
  <c r="E407" i="237"/>
  <c r="E236" i="237"/>
  <c r="O357" i="237"/>
  <c r="G189" i="237"/>
  <c r="G360" i="237"/>
  <c r="O362" i="237"/>
  <c r="O191" i="237"/>
  <c r="G229" i="237"/>
  <c r="G400" i="237"/>
  <c r="O239" i="237"/>
  <c r="O410" i="237"/>
  <c r="K232" i="237"/>
  <c r="O242" i="237"/>
  <c r="O413" i="237"/>
  <c r="G405" i="237"/>
  <c r="G234" i="237"/>
  <c r="N407" i="237"/>
  <c r="N236" i="237"/>
  <c r="H189" i="237"/>
  <c r="H360" i="237"/>
  <c r="P362" i="237"/>
  <c r="P191" i="237"/>
  <c r="H229" i="237"/>
  <c r="H400" i="237"/>
  <c r="P239" i="237"/>
  <c r="P410" i="237"/>
  <c r="L232" i="237"/>
  <c r="P242" i="237"/>
  <c r="P413" i="237"/>
  <c r="H234" i="237"/>
  <c r="H405" i="237"/>
  <c r="O407" i="237"/>
  <c r="O236" i="237"/>
  <c r="I360" i="237"/>
  <c r="I189" i="237"/>
  <c r="E238" i="237"/>
  <c r="E409" i="237"/>
  <c r="I231" i="237"/>
  <c r="I402" i="237"/>
  <c r="M411" i="237"/>
  <c r="M240" i="237"/>
  <c r="H407" i="237"/>
  <c r="H236" i="237"/>
  <c r="J357" i="237"/>
  <c r="J186" i="237"/>
  <c r="F359" i="237"/>
  <c r="F188" i="237"/>
  <c r="N361" i="237"/>
  <c r="N190" i="237"/>
  <c r="N444" i="237"/>
  <c r="N451" i="237" s="1"/>
  <c r="N272" i="237"/>
  <c r="N238" i="237"/>
  <c r="N409" i="237"/>
  <c r="J231" i="237"/>
  <c r="J402" i="237"/>
  <c r="J233" i="237"/>
  <c r="J404" i="237"/>
  <c r="F240" i="237"/>
  <c r="F411" i="237"/>
  <c r="N406" i="237"/>
  <c r="N235" i="237"/>
  <c r="K189" i="237"/>
  <c r="K360" i="237"/>
  <c r="G192" i="237"/>
  <c r="K229" i="237"/>
  <c r="K400" i="237"/>
  <c r="G412" i="237"/>
  <c r="G243" i="237"/>
  <c r="O232" i="237"/>
  <c r="G241" i="237"/>
  <c r="G414" i="237"/>
  <c r="K405" i="237"/>
  <c r="K234" i="237"/>
  <c r="F237" i="237"/>
  <c r="F408" i="237"/>
  <c r="L189" i="237"/>
  <c r="L360" i="237"/>
  <c r="L229" i="237"/>
  <c r="L400" i="237"/>
  <c r="H243" i="237"/>
  <c r="H412" i="237"/>
  <c r="P232" i="237"/>
  <c r="H241" i="237"/>
  <c r="H66" i="237" s="1"/>
  <c r="H414" i="237"/>
  <c r="L405" i="237"/>
  <c r="L234" i="237"/>
  <c r="G237" i="237"/>
  <c r="G408" i="237"/>
  <c r="E189" i="237"/>
  <c r="E360" i="237"/>
  <c r="M191" i="237"/>
  <c r="M362" i="237"/>
  <c r="E229" i="237"/>
  <c r="E400" i="237"/>
  <c r="M239" i="237"/>
  <c r="M410" i="237"/>
  <c r="I232" i="237"/>
  <c r="I241" i="237"/>
  <c r="I414" i="237"/>
  <c r="I406" i="237"/>
  <c r="I235" i="237"/>
  <c r="E243" i="237"/>
  <c r="E412" i="237"/>
  <c r="F360" i="237"/>
  <c r="F189" i="237"/>
  <c r="N191" i="237"/>
  <c r="N362" i="237"/>
  <c r="F229" i="237"/>
  <c r="F400" i="237"/>
  <c r="N239" i="237"/>
  <c r="N410" i="237"/>
  <c r="J232" i="237"/>
  <c r="N242" i="237"/>
  <c r="N413" i="237"/>
  <c r="F234" i="237"/>
  <c r="F405" i="237"/>
  <c r="M407" i="237"/>
  <c r="M236" i="237"/>
  <c r="O360" i="237"/>
  <c r="O189" i="237"/>
  <c r="O229" i="237"/>
  <c r="O400" i="237"/>
  <c r="K243" i="237"/>
  <c r="K412" i="237"/>
  <c r="K241" i="237"/>
  <c r="K414" i="237"/>
  <c r="O405" i="237"/>
  <c r="O234" i="237"/>
  <c r="J237" i="237"/>
  <c r="J408" i="237"/>
  <c r="H358" i="237"/>
  <c r="H187" i="237"/>
  <c r="P360" i="237"/>
  <c r="P189" i="237"/>
  <c r="P229" i="237"/>
  <c r="P400" i="237"/>
  <c r="L412" i="237"/>
  <c r="L243" i="237"/>
  <c r="L241" i="237"/>
  <c r="L414" i="237"/>
  <c r="P405" i="237"/>
  <c r="P234" i="237"/>
  <c r="K237" i="237"/>
  <c r="K408" i="237"/>
  <c r="I187" i="237"/>
  <c r="I358" i="237"/>
  <c r="E361" i="237"/>
  <c r="E190" i="237"/>
  <c r="M192" i="237"/>
  <c r="E444" i="237"/>
  <c r="E272" i="237"/>
  <c r="M238" i="237"/>
  <c r="M409" i="237"/>
  <c r="E232" i="237"/>
  <c r="I242" i="237"/>
  <c r="I413" i="237"/>
  <c r="I405" i="237"/>
  <c r="I234" i="237"/>
  <c r="P407" i="237"/>
  <c r="P236" i="237"/>
  <c r="N359" i="237"/>
  <c r="N188" i="237"/>
  <c r="J191" i="237"/>
  <c r="J362" i="237"/>
  <c r="J228" i="237"/>
  <c r="J239" i="237"/>
  <c r="J410" i="237"/>
  <c r="F232" i="237"/>
  <c r="J242" i="237"/>
  <c r="J413" i="237"/>
  <c r="N240" i="237"/>
  <c r="N411" i="237"/>
  <c r="I407" i="237"/>
  <c r="I236" i="237"/>
  <c r="K358" i="237"/>
  <c r="K187" i="237"/>
  <c r="G190" i="237"/>
  <c r="G361" i="237"/>
  <c r="O192" i="237"/>
  <c r="O363" i="237"/>
  <c r="G444" i="237"/>
  <c r="G451" i="237" s="1"/>
  <c r="G272" i="237"/>
  <c r="G238" i="237"/>
  <c r="G409" i="237"/>
  <c r="O412" i="237"/>
  <c r="O243" i="237"/>
  <c r="K230" i="237"/>
  <c r="O241" i="237"/>
  <c r="O414" i="237"/>
  <c r="G406" i="237"/>
  <c r="G235" i="237"/>
  <c r="N237" i="237"/>
  <c r="N408" i="237"/>
  <c r="L187" i="237"/>
  <c r="L358" i="237"/>
  <c r="H190" i="237"/>
  <c r="H361" i="237"/>
  <c r="H444" i="237"/>
  <c r="H451" i="237" s="1"/>
  <c r="H272" i="237"/>
  <c r="H238" i="237"/>
  <c r="H409" i="237"/>
  <c r="P243" i="237"/>
  <c r="P412" i="237"/>
  <c r="P241" i="237"/>
  <c r="P414" i="237"/>
  <c r="H406" i="237"/>
  <c r="H235" i="237"/>
  <c r="O237" i="237"/>
  <c r="O408" i="237"/>
  <c r="E358" i="237"/>
  <c r="E187" i="237"/>
  <c r="M189" i="237"/>
  <c r="M360" i="237"/>
  <c r="I192" i="237"/>
  <c r="M229" i="237"/>
  <c r="M400" i="237"/>
  <c r="I243" i="237"/>
  <c r="I412" i="237"/>
  <c r="M230" i="237"/>
  <c r="M401" i="237"/>
  <c r="I240" i="237"/>
  <c r="I411" i="237"/>
  <c r="L407" i="237"/>
  <c r="L236" i="237"/>
  <c r="E241" i="237"/>
  <c r="E414" i="237"/>
  <c r="E237" i="237"/>
  <c r="E408" i="237"/>
  <c r="F187" i="237"/>
  <c r="F358" i="237"/>
  <c r="N360" i="237"/>
  <c r="N189" i="237"/>
  <c r="N229" i="237"/>
  <c r="N400" i="237"/>
  <c r="J243" i="237"/>
  <c r="J412" i="237"/>
  <c r="F230" i="237"/>
  <c r="J241" i="237"/>
  <c r="J414" i="237"/>
  <c r="N405" i="237"/>
  <c r="N234" i="237"/>
  <c r="I237" i="237"/>
  <c r="I408" i="237"/>
  <c r="G358" i="237"/>
  <c r="G187" i="237"/>
  <c r="K361" i="237"/>
  <c r="K190" i="237"/>
  <c r="K444" i="237"/>
  <c r="K451" i="237" s="1"/>
  <c r="K272" i="237"/>
  <c r="K238" i="237"/>
  <c r="K409" i="237"/>
  <c r="G231" i="237"/>
  <c r="G402" i="237"/>
  <c r="K235" i="237"/>
  <c r="K406" i="237"/>
  <c r="H186" i="237"/>
  <c r="H357" i="237"/>
  <c r="P187" i="237"/>
  <c r="P358" i="237"/>
  <c r="L190" i="237"/>
  <c r="L361" i="237"/>
  <c r="L444" i="237"/>
  <c r="L451" i="237" s="1"/>
  <c r="L272" i="237"/>
  <c r="L238" i="237"/>
  <c r="L409" i="237"/>
  <c r="H231" i="237"/>
  <c r="H402" i="237"/>
  <c r="P401" i="237"/>
  <c r="H233" i="237"/>
  <c r="H404" i="237"/>
  <c r="L406" i="237"/>
  <c r="L235" i="237"/>
  <c r="I357" i="237"/>
  <c r="I186" i="237"/>
  <c r="E188" i="237"/>
  <c r="E359" i="237"/>
  <c r="M190" i="237"/>
  <c r="M361" i="237"/>
  <c r="E281" i="237"/>
  <c r="M444" i="237"/>
  <c r="M451" i="237" s="1"/>
  <c r="M272" i="237"/>
  <c r="I239" i="237"/>
  <c r="I410" i="237"/>
  <c r="M232" i="237"/>
  <c r="M241" i="237"/>
  <c r="M66" i="237" s="1"/>
  <c r="M414" i="237"/>
  <c r="E235" i="237"/>
  <c r="E406" i="237"/>
  <c r="L237" i="237"/>
  <c r="L408" i="237"/>
  <c r="J360" i="237"/>
  <c r="J189" i="237"/>
  <c r="J229" i="237"/>
  <c r="J400" i="237"/>
  <c r="F412" i="237"/>
  <c r="F243" i="237"/>
  <c r="N232" i="237"/>
  <c r="F241" i="237"/>
  <c r="F414" i="237"/>
  <c r="J234" i="237"/>
  <c r="J405" i="237"/>
  <c r="G359" i="237"/>
  <c r="G188" i="237"/>
  <c r="O361" i="237"/>
  <c r="O190" i="237"/>
  <c r="G453" i="237"/>
  <c r="G461" i="237" s="1"/>
  <c r="G281" i="237"/>
  <c r="O444" i="237"/>
  <c r="O451" i="237" s="1"/>
  <c r="O272" i="237"/>
  <c r="O238" i="237"/>
  <c r="O409" i="237"/>
  <c r="K231" i="237"/>
  <c r="K402" i="237"/>
  <c r="K404" i="237"/>
  <c r="G411" i="237"/>
  <c r="G240" i="237"/>
  <c r="O235" i="237"/>
  <c r="O406" i="237"/>
  <c r="L186" i="237"/>
  <c r="H359" i="237"/>
  <c r="H188" i="237"/>
  <c r="P190" i="237"/>
  <c r="P361" i="237"/>
  <c r="H281" i="237"/>
  <c r="P444" i="237"/>
  <c r="P451" i="237" s="1"/>
  <c r="P272" i="237"/>
  <c r="P238" i="237"/>
  <c r="P409" i="237"/>
  <c r="L231" i="237"/>
  <c r="L402" i="237"/>
  <c r="H240" i="237"/>
  <c r="H411" i="237"/>
  <c r="P235" i="237"/>
  <c r="P406" i="237"/>
  <c r="E186" i="237"/>
  <c r="E357" i="237"/>
  <c r="M187" i="237"/>
  <c r="M358" i="237"/>
  <c r="I190" i="237"/>
  <c r="I361" i="237"/>
  <c r="I238" i="237"/>
  <c r="I409" i="237"/>
  <c r="E231" i="237"/>
  <c r="E402" i="237"/>
  <c r="E242" i="237"/>
  <c r="E413" i="237"/>
  <c r="M233" i="237"/>
  <c r="E405" i="237"/>
  <c r="E234" i="237"/>
  <c r="H237" i="237"/>
  <c r="H408" i="237"/>
  <c r="J28" i="229" l="1"/>
  <c r="J49" i="229" s="1"/>
  <c r="K15" i="237"/>
  <c r="K68" i="237"/>
  <c r="J66" i="237"/>
  <c r="M16" i="237"/>
  <c r="H14" i="237"/>
  <c r="P63" i="237"/>
  <c r="M55" i="237"/>
  <c r="G63" i="237"/>
  <c r="G62" i="237"/>
  <c r="H67" i="237"/>
  <c r="F12" i="237"/>
  <c r="J67" i="237"/>
  <c r="J13" i="237"/>
  <c r="F14" i="237"/>
  <c r="O61" i="237"/>
  <c r="M60" i="237"/>
  <c r="L66" i="237"/>
  <c r="O16" i="237"/>
  <c r="O15" i="237"/>
  <c r="G12" i="237"/>
  <c r="I60" i="237"/>
  <c r="K16" i="237"/>
  <c r="M64" i="237"/>
  <c r="G13" i="237"/>
  <c r="K65" i="237"/>
  <c r="J59" i="237"/>
  <c r="G67" i="237"/>
  <c r="F66" i="237"/>
  <c r="G56" i="237"/>
  <c r="K67" i="237"/>
  <c r="M59" i="237"/>
  <c r="G16" i="237"/>
  <c r="M54" i="237"/>
  <c r="J54" i="237"/>
  <c r="N67" i="237"/>
  <c r="H58" i="237"/>
  <c r="I68" i="237"/>
  <c r="I12" i="237"/>
  <c r="P60" i="237"/>
  <c r="L64" i="237"/>
  <c r="G15" i="237"/>
  <c r="L68" i="237"/>
  <c r="J62" i="237"/>
  <c r="L12" i="237"/>
  <c r="P14" i="237"/>
  <c r="F62" i="237"/>
  <c r="M56" i="237"/>
  <c r="N59" i="237"/>
  <c r="K59" i="237"/>
  <c r="N15" i="237"/>
  <c r="J12" i="237"/>
  <c r="P66" i="237"/>
  <c r="O14" i="237"/>
  <c r="I16" i="237"/>
  <c r="H64" i="237"/>
  <c r="P15" i="237"/>
  <c r="P59" i="237"/>
  <c r="M61" i="237"/>
  <c r="P16" i="237"/>
  <c r="N66" i="237"/>
  <c r="M62" i="237"/>
  <c r="M13" i="237"/>
  <c r="O56" i="237"/>
  <c r="J63" i="237"/>
  <c r="Q57" i="229"/>
  <c r="L57" i="226" s="1"/>
  <c r="L60" i="237"/>
  <c r="M14" i="237"/>
  <c r="H63" i="237"/>
  <c r="K12" i="237"/>
  <c r="M63" i="237"/>
  <c r="O59" i="237"/>
  <c r="G54" i="237"/>
  <c r="N68" i="237"/>
  <c r="H16" i="237"/>
  <c r="J77" i="229"/>
  <c r="J94" i="229" s="1"/>
  <c r="P12" i="237"/>
  <c r="I65" i="237"/>
  <c r="O68" i="237"/>
  <c r="I61" i="237"/>
  <c r="L54" i="237"/>
  <c r="N61" i="237"/>
  <c r="P13" i="237"/>
  <c r="F63" i="237"/>
  <c r="L13" i="237"/>
  <c r="N14" i="237"/>
  <c r="H15" i="237"/>
  <c r="L14" i="237"/>
  <c r="G14" i="237"/>
  <c r="M67" i="237"/>
  <c r="J61" i="237"/>
  <c r="N233" i="237"/>
  <c r="L404" i="237"/>
  <c r="M404" i="237"/>
  <c r="M58" i="237" s="1"/>
  <c r="O279" i="237"/>
  <c r="O97" i="237"/>
  <c r="O104" i="237" s="1"/>
  <c r="J14" i="237"/>
  <c r="E453" i="237"/>
  <c r="E106" i="237" s="1"/>
  <c r="O401" i="237"/>
  <c r="H60" i="237"/>
  <c r="G279" i="237"/>
  <c r="G97" i="237"/>
  <c r="G104" i="237" s="1"/>
  <c r="N65" i="237"/>
  <c r="N13" i="237"/>
  <c r="H12" i="237"/>
  <c r="G230" i="237"/>
  <c r="H363" i="237"/>
  <c r="N60" i="237"/>
  <c r="J65" i="237"/>
  <c r="M186" i="237"/>
  <c r="N363" i="237"/>
  <c r="I404" i="237"/>
  <c r="G61" i="237"/>
  <c r="J60" i="237"/>
  <c r="J15" i="237"/>
  <c r="E67" i="237"/>
  <c r="Q242" i="237"/>
  <c r="L238" i="234" s="1"/>
  <c r="Q237" i="237"/>
  <c r="L232" i="234" s="1"/>
  <c r="E62" i="237"/>
  <c r="K192" i="237"/>
  <c r="I64" i="237"/>
  <c r="K63" i="237"/>
  <c r="Q406" i="237"/>
  <c r="L401" i="234" s="1"/>
  <c r="O63" i="237"/>
  <c r="E289" i="237"/>
  <c r="O230" i="237"/>
  <c r="G401" i="237"/>
  <c r="I66" i="237"/>
  <c r="M228" i="237"/>
  <c r="H68" i="237"/>
  <c r="H192" i="237"/>
  <c r="H204" i="237" s="1"/>
  <c r="H225" i="237" s="1"/>
  <c r="G66" i="237"/>
  <c r="N63" i="237"/>
  <c r="H59" i="237"/>
  <c r="H54" i="237"/>
  <c r="M357" i="237"/>
  <c r="N192" i="237"/>
  <c r="I233" i="237"/>
  <c r="I228" i="237"/>
  <c r="G228" i="237"/>
  <c r="P77" i="229"/>
  <c r="P94" i="229" s="1"/>
  <c r="G77" i="229"/>
  <c r="G94" i="229" s="1"/>
  <c r="Q10" i="229"/>
  <c r="L10" i="226" s="1"/>
  <c r="E28" i="229"/>
  <c r="Q413" i="237"/>
  <c r="L409" i="234" s="1"/>
  <c r="H65" i="237"/>
  <c r="H13" i="237"/>
  <c r="G106" i="237"/>
  <c r="G114" i="237" s="1"/>
  <c r="G289" i="237"/>
  <c r="Q408" i="237"/>
  <c r="L403" i="234" s="1"/>
  <c r="K401" i="237"/>
  <c r="K55" i="237" s="1"/>
  <c r="M363" i="237"/>
  <c r="M17" i="237" s="1"/>
  <c r="K363" i="237"/>
  <c r="Q412" i="237"/>
  <c r="L408" i="234" s="1"/>
  <c r="L59" i="237"/>
  <c r="F65" i="237"/>
  <c r="F13" i="237"/>
  <c r="N404" i="237"/>
  <c r="N357" i="237"/>
  <c r="N11" i="237" s="1"/>
  <c r="K61" i="237"/>
  <c r="L16" i="237"/>
  <c r="F60" i="237"/>
  <c r="F15" i="237"/>
  <c r="M281" i="237"/>
  <c r="L65" i="237"/>
  <c r="K281" i="237"/>
  <c r="Q52" i="229"/>
  <c r="L52" i="226" s="1"/>
  <c r="E77" i="229"/>
  <c r="H11" i="237"/>
  <c r="K453" i="237"/>
  <c r="K461" i="237" s="1"/>
  <c r="N12" i="237"/>
  <c r="Q105" i="229"/>
  <c r="L106" i="226" s="1"/>
  <c r="L114" i="226" s="1"/>
  <c r="O77" i="229"/>
  <c r="O94" i="229" s="1"/>
  <c r="P61" i="237"/>
  <c r="Q190" i="237"/>
  <c r="L185" i="234" s="1"/>
  <c r="E15" i="237"/>
  <c r="J11" i="237"/>
  <c r="E363" i="237"/>
  <c r="E230" i="237"/>
  <c r="I289" i="237"/>
  <c r="I230" i="237"/>
  <c r="P404" i="237"/>
  <c r="P357" i="237"/>
  <c r="F404" i="237"/>
  <c r="F357" i="237"/>
  <c r="Q113" i="229"/>
  <c r="Q361" i="237"/>
  <c r="L356" i="234" s="1"/>
  <c r="O54" i="237"/>
  <c r="J58" i="237"/>
  <c r="I56" i="237"/>
  <c r="E192" i="237"/>
  <c r="E204" i="237" s="1"/>
  <c r="P67" i="237"/>
  <c r="P228" i="237"/>
  <c r="O64" i="237"/>
  <c r="F67" i="237"/>
  <c r="F228" i="237"/>
  <c r="E401" i="237"/>
  <c r="I453" i="237"/>
  <c r="I461" i="237" s="1"/>
  <c r="P65" i="237"/>
  <c r="O281" i="237"/>
  <c r="I401" i="237"/>
  <c r="P233" i="237"/>
  <c r="P186" i="237"/>
  <c r="F233" i="237"/>
  <c r="F186" i="237"/>
  <c r="Q16" i="229"/>
  <c r="L16" i="226" s="1"/>
  <c r="F401" i="237"/>
  <c r="F55" i="237" s="1"/>
  <c r="L61" i="237"/>
  <c r="H97" i="237"/>
  <c r="H104" i="237" s="1"/>
  <c r="H279" i="237"/>
  <c r="G60" i="237"/>
  <c r="N453" i="237"/>
  <c r="N461" i="237" s="1"/>
  <c r="I59" i="237"/>
  <c r="H401" i="237"/>
  <c r="G68" i="237"/>
  <c r="G363" i="237"/>
  <c r="G17" i="237" s="1"/>
  <c r="N97" i="237"/>
  <c r="N104" i="237" s="1"/>
  <c r="N279" i="237"/>
  <c r="H61" i="237"/>
  <c r="Q409" i="237"/>
  <c r="L404" i="234" s="1"/>
  <c r="I14" i="237"/>
  <c r="G59" i="237"/>
  <c r="J453" i="237"/>
  <c r="J461" i="237" s="1"/>
  <c r="I279" i="237"/>
  <c r="I97" i="237"/>
  <c r="I104" i="237" s="1"/>
  <c r="F61" i="237"/>
  <c r="J97" i="237"/>
  <c r="J104" i="237" s="1"/>
  <c r="J279" i="237"/>
  <c r="L77" i="229"/>
  <c r="L94" i="229" s="1"/>
  <c r="F77" i="229"/>
  <c r="F94" i="229" s="1"/>
  <c r="Q232" i="237"/>
  <c r="L227" i="234" s="1"/>
  <c r="Q243" i="237"/>
  <c r="L239" i="234" s="1"/>
  <c r="E68" i="237"/>
  <c r="L233" i="237"/>
  <c r="L357" i="237"/>
  <c r="N62" i="237"/>
  <c r="Q402" i="237"/>
  <c r="L397" i="234" s="1"/>
  <c r="N281" i="237"/>
  <c r="H230" i="237"/>
  <c r="E63" i="237"/>
  <c r="Q238" i="237"/>
  <c r="L233" i="234" s="1"/>
  <c r="J281" i="237"/>
  <c r="M68" i="237"/>
  <c r="H228" i="237"/>
  <c r="G64" i="237"/>
  <c r="K13" i="237"/>
  <c r="N228" i="237"/>
  <c r="Q414" i="237"/>
  <c r="L410" i="234" s="1"/>
  <c r="L62" i="237"/>
  <c r="K60" i="237"/>
  <c r="E66" i="237"/>
  <c r="Q241" i="237"/>
  <c r="L236" i="234" s="1"/>
  <c r="E56" i="237"/>
  <c r="Q231" i="237"/>
  <c r="L226" i="234" s="1"/>
  <c r="O60" i="237"/>
  <c r="P230" i="237"/>
  <c r="P55" i="237" s="1"/>
  <c r="E12" i="237"/>
  <c r="Q187" i="237"/>
  <c r="L182" i="234" s="1"/>
  <c r="L401" i="237"/>
  <c r="L363" i="237"/>
  <c r="Q400" i="237"/>
  <c r="L395" i="234" s="1"/>
  <c r="Q360" i="237"/>
  <c r="L355" i="234" s="1"/>
  <c r="F453" i="237"/>
  <c r="F461" i="237" s="1"/>
  <c r="Q410" i="237"/>
  <c r="L405" i="234" s="1"/>
  <c r="E16" i="237"/>
  <c r="Q191" i="237"/>
  <c r="L186" i="234" s="1"/>
  <c r="F97" i="237"/>
  <c r="F104" i="237" s="1"/>
  <c r="F279" i="237"/>
  <c r="N401" i="237"/>
  <c r="K77" i="229"/>
  <c r="K94" i="229" s="1"/>
  <c r="O28" i="229"/>
  <c r="O49" i="229" s="1"/>
  <c r="M77" i="229"/>
  <c r="M94" i="229" s="1"/>
  <c r="L279" i="237"/>
  <c r="L97" i="237"/>
  <c r="L104" i="237" s="1"/>
  <c r="O17" i="237"/>
  <c r="P279" i="237"/>
  <c r="P97" i="237"/>
  <c r="P104" i="237" s="1"/>
  <c r="I15" i="237"/>
  <c r="Q188" i="237"/>
  <c r="L183" i="234" s="1"/>
  <c r="E13" i="237"/>
  <c r="H289" i="237"/>
  <c r="I11" i="237"/>
  <c r="I204" i="237"/>
  <c r="I225" i="237" s="1"/>
  <c r="G404" i="237"/>
  <c r="J363" i="237"/>
  <c r="H62" i="237"/>
  <c r="I63" i="237"/>
  <c r="M12" i="237"/>
  <c r="H453" i="237"/>
  <c r="H461" i="237" s="1"/>
  <c r="G65" i="237"/>
  <c r="H56" i="237"/>
  <c r="G233" i="237"/>
  <c r="I62" i="237"/>
  <c r="J68" i="237"/>
  <c r="J192" i="237"/>
  <c r="J204" i="237" s="1"/>
  <c r="J225" i="237" s="1"/>
  <c r="Q358" i="237"/>
  <c r="L353" i="234" s="1"/>
  <c r="L230" i="237"/>
  <c r="K62" i="237"/>
  <c r="L192" i="237"/>
  <c r="K66" i="237"/>
  <c r="N64" i="237"/>
  <c r="N16" i="237"/>
  <c r="E54" i="237"/>
  <c r="Q229" i="237"/>
  <c r="L224" i="234" s="1"/>
  <c r="E14" i="237"/>
  <c r="Q189" i="237"/>
  <c r="L184" i="234" s="1"/>
  <c r="K54" i="237"/>
  <c r="K14" i="237"/>
  <c r="F281" i="237"/>
  <c r="M65" i="237"/>
  <c r="O186" i="237"/>
  <c r="N56" i="237"/>
  <c r="P62" i="237"/>
  <c r="Q239" i="237"/>
  <c r="L234" i="234" s="1"/>
  <c r="E64" i="237"/>
  <c r="Q362" i="237"/>
  <c r="L357" i="234" s="1"/>
  <c r="L67" i="237"/>
  <c r="L228" i="237"/>
  <c r="K64" i="237"/>
  <c r="I54" i="237"/>
  <c r="L281" i="237"/>
  <c r="O12" i="237"/>
  <c r="N230" i="237"/>
  <c r="Q359" i="237"/>
  <c r="L354" i="234" s="1"/>
  <c r="E60" i="237"/>
  <c r="Q235" i="237"/>
  <c r="L230" i="234" s="1"/>
  <c r="Q234" i="237"/>
  <c r="L229" i="234" s="1"/>
  <c r="E59" i="237"/>
  <c r="K357" i="237"/>
  <c r="F68" i="237"/>
  <c r="F363" i="237"/>
  <c r="M279" i="237"/>
  <c r="M97" i="237"/>
  <c r="M104" i="237" s="1"/>
  <c r="K279" i="237"/>
  <c r="K97" i="237"/>
  <c r="K104" i="237" s="1"/>
  <c r="E404" i="237"/>
  <c r="P363" i="237"/>
  <c r="E97" i="237"/>
  <c r="Q272" i="237"/>
  <c r="L268" i="234" s="1"/>
  <c r="E279" i="237"/>
  <c r="E61" i="237"/>
  <c r="Q236" i="237"/>
  <c r="L231" i="234" s="1"/>
  <c r="P453" i="237"/>
  <c r="P461" i="237" s="1"/>
  <c r="J230" i="237"/>
  <c r="E65" i="237"/>
  <c r="Q240" i="237"/>
  <c r="L235" i="234" s="1"/>
  <c r="O404" i="237"/>
  <c r="G186" i="237"/>
  <c r="I363" i="237"/>
  <c r="I17" i="237" s="1"/>
  <c r="K56" i="237"/>
  <c r="M15" i="237"/>
  <c r="Q405" i="237"/>
  <c r="L400" i="234" s="1"/>
  <c r="E11" i="237"/>
  <c r="L56" i="237"/>
  <c r="K233" i="237"/>
  <c r="K58" i="237" s="1"/>
  <c r="K186" i="237"/>
  <c r="F192" i="237"/>
  <c r="L63" i="237"/>
  <c r="L15" i="237"/>
  <c r="N54" i="237"/>
  <c r="E233" i="237"/>
  <c r="O62" i="237"/>
  <c r="P68" i="237"/>
  <c r="P192" i="237"/>
  <c r="O66" i="237"/>
  <c r="J64" i="237"/>
  <c r="J16" i="237"/>
  <c r="I67" i="237"/>
  <c r="E451" i="237"/>
  <c r="Q451" i="237" s="1"/>
  <c r="L445" i="234" s="1"/>
  <c r="Q444" i="237"/>
  <c r="L438" i="234" s="1"/>
  <c r="P54" i="237"/>
  <c r="F59" i="237"/>
  <c r="F54" i="237"/>
  <c r="J56" i="237"/>
  <c r="P64" i="237"/>
  <c r="O67" i="237"/>
  <c r="O228" i="237"/>
  <c r="Q407" i="237"/>
  <c r="L402" i="234" s="1"/>
  <c r="F64" i="237"/>
  <c r="F16" i="237"/>
  <c r="I13" i="237"/>
  <c r="P281" i="237"/>
  <c r="O65" i="237"/>
  <c r="O13" i="237"/>
  <c r="J401" i="237"/>
  <c r="Q411" i="237"/>
  <c r="L406" i="234" s="1"/>
  <c r="P56" i="237"/>
  <c r="O233" i="237"/>
  <c r="G357" i="237"/>
  <c r="F56" i="237"/>
  <c r="H77" i="229"/>
  <c r="H94" i="229" s="1"/>
  <c r="Q54" i="229"/>
  <c r="L54" i="226" s="1"/>
  <c r="P17" i="237" l="1"/>
  <c r="F17" i="237"/>
  <c r="N17" i="237"/>
  <c r="J55" i="237"/>
  <c r="L58" i="237"/>
  <c r="G58" i="237"/>
  <c r="Q404" i="237"/>
  <c r="L399" i="234" s="1"/>
  <c r="N55" i="237"/>
  <c r="L17" i="237"/>
  <c r="H55" i="237"/>
  <c r="F58" i="237"/>
  <c r="I58" i="237"/>
  <c r="I55" i="237"/>
  <c r="L204" i="237"/>
  <c r="L225" i="237" s="1"/>
  <c r="P58" i="237"/>
  <c r="Q363" i="237"/>
  <c r="L358" i="234" s="1"/>
  <c r="O58" i="237"/>
  <c r="Q281" i="237"/>
  <c r="L277" i="234" s="1"/>
  <c r="Q62" i="237"/>
  <c r="L62" i="234" s="1"/>
  <c r="Q54" i="237"/>
  <c r="L54" i="234" s="1"/>
  <c r="E114" i="237"/>
  <c r="K204" i="237"/>
  <c r="K225" i="237" s="1"/>
  <c r="K11" i="237"/>
  <c r="Q14" i="237"/>
  <c r="L14" i="234" s="1"/>
  <c r="N289" i="237"/>
  <c r="N106" i="237"/>
  <c r="N114" i="237" s="1"/>
  <c r="N204" i="237"/>
  <c r="N225" i="237" s="1"/>
  <c r="E94" i="229"/>
  <c r="Q77" i="229"/>
  <c r="Q94" i="229" s="1"/>
  <c r="I253" i="237"/>
  <c r="I270" i="237" s="1"/>
  <c r="I348" i="237" s="1"/>
  <c r="K17" i="237"/>
  <c r="O253" i="237"/>
  <c r="O270" i="237" s="1"/>
  <c r="Q65" i="237"/>
  <c r="L65" i="234" s="1"/>
  <c r="Q60" i="237"/>
  <c r="L60" i="234" s="1"/>
  <c r="Q64" i="237"/>
  <c r="L64" i="234" s="1"/>
  <c r="Q401" i="237"/>
  <c r="L396" i="234" s="1"/>
  <c r="L78" i="226"/>
  <c r="L95" i="226" s="1"/>
  <c r="E225" i="237"/>
  <c r="Q66" i="237"/>
  <c r="L66" i="234" s="1"/>
  <c r="M289" i="237"/>
  <c r="M106" i="237"/>
  <c r="M114" i="237" s="1"/>
  <c r="F253" i="237"/>
  <c r="F270" i="237" s="1"/>
  <c r="M11" i="237"/>
  <c r="M204" i="237"/>
  <c r="M225" i="237" s="1"/>
  <c r="Q61" i="237"/>
  <c r="L61" i="234" s="1"/>
  <c r="O11" i="237"/>
  <c r="O204" i="237"/>
  <c r="O225" i="237" s="1"/>
  <c r="H106" i="237"/>
  <c r="H114" i="237" s="1"/>
  <c r="F204" i="237"/>
  <c r="F225" i="237" s="1"/>
  <c r="F11" i="237"/>
  <c r="P253" i="237"/>
  <c r="P270" i="237" s="1"/>
  <c r="Q67" i="237"/>
  <c r="L67" i="234" s="1"/>
  <c r="Q56" i="237"/>
  <c r="L56" i="234" s="1"/>
  <c r="H253" i="237"/>
  <c r="H270" i="237" s="1"/>
  <c r="H348" i="237" s="1"/>
  <c r="O55" i="237"/>
  <c r="Q13" i="237"/>
  <c r="L13" i="234" s="1"/>
  <c r="J289" i="237"/>
  <c r="J106" i="237"/>
  <c r="J114" i="237" s="1"/>
  <c r="Q68" i="237"/>
  <c r="L68" i="234" s="1"/>
  <c r="K253" i="237"/>
  <c r="K270" i="237" s="1"/>
  <c r="E58" i="237"/>
  <c r="Q233" i="237"/>
  <c r="L228" i="234" s="1"/>
  <c r="L106" i="237"/>
  <c r="L114" i="237" s="1"/>
  <c r="L289" i="237"/>
  <c r="P11" i="237"/>
  <c r="P204" i="237"/>
  <c r="P225" i="237" s="1"/>
  <c r="Q192" i="237"/>
  <c r="L187" i="234" s="1"/>
  <c r="E17" i="237"/>
  <c r="Q15" i="237"/>
  <c r="L15" i="234" s="1"/>
  <c r="E253" i="237"/>
  <c r="E49" i="229"/>
  <c r="Q28" i="229"/>
  <c r="Q49" i="229" s="1"/>
  <c r="L49" i="226" s="1"/>
  <c r="G55" i="237"/>
  <c r="Q279" i="237"/>
  <c r="L275" i="234" s="1"/>
  <c r="Q357" i="237"/>
  <c r="L352" i="234" s="1"/>
  <c r="F289" i="237"/>
  <c r="F106" i="237"/>
  <c r="F114" i="237" s="1"/>
  <c r="Q63" i="237"/>
  <c r="L63" i="234" s="1"/>
  <c r="Q228" i="237"/>
  <c r="L223" i="234" s="1"/>
  <c r="L28" i="226"/>
  <c r="J253" i="237"/>
  <c r="J270" i="237" s="1"/>
  <c r="K289" i="237"/>
  <c r="K106" i="237"/>
  <c r="K114" i="237" s="1"/>
  <c r="Q453" i="237"/>
  <c r="L447" i="234" s="1"/>
  <c r="E461" i="237"/>
  <c r="Q461" i="237" s="1"/>
  <c r="L455" i="234" s="1"/>
  <c r="P289" i="237"/>
  <c r="P106" i="237"/>
  <c r="P114" i="237" s="1"/>
  <c r="L55" i="237"/>
  <c r="Q12" i="237"/>
  <c r="L12" i="234" s="1"/>
  <c r="L11" i="237"/>
  <c r="I106" i="237"/>
  <c r="I114" i="237" s="1"/>
  <c r="H17" i="237"/>
  <c r="Q186" i="237"/>
  <c r="L181" i="234" s="1"/>
  <c r="G204" i="237"/>
  <c r="G225" i="237" s="1"/>
  <c r="G11" i="237"/>
  <c r="E104" i="237"/>
  <c r="Q104" i="237" s="1"/>
  <c r="L104" i="234" s="1"/>
  <c r="Q97" i="237"/>
  <c r="L97" i="234" s="1"/>
  <c r="Q59" i="237"/>
  <c r="L59" i="234" s="1"/>
  <c r="L253" i="237"/>
  <c r="L270" i="237" s="1"/>
  <c r="N253" i="237"/>
  <c r="N270" i="237" s="1"/>
  <c r="O289" i="237"/>
  <c r="O106" i="237"/>
  <c r="O114" i="237" s="1"/>
  <c r="J17" i="237"/>
  <c r="Q16" i="237"/>
  <c r="L16" i="234" s="1"/>
  <c r="E55" i="237"/>
  <c r="Q230" i="237"/>
  <c r="L225" i="234" s="1"/>
  <c r="G253" i="237"/>
  <c r="G270" i="237" s="1"/>
  <c r="M253" i="237"/>
  <c r="M270" i="237" s="1"/>
  <c r="N58" i="237"/>
  <c r="L348" i="237" l="1"/>
  <c r="Q289" i="237"/>
  <c r="L285" i="234" s="1"/>
  <c r="M348" i="237"/>
  <c r="J348" i="237"/>
  <c r="N348" i="237"/>
  <c r="Q11" i="237"/>
  <c r="L11" i="234" s="1"/>
  <c r="G348" i="237"/>
  <c r="Q58" i="237"/>
  <c r="L58" i="234" s="1"/>
  <c r="Q204" i="237"/>
  <c r="F403" i="237"/>
  <c r="F57" i="237" s="1"/>
  <c r="N403" i="237"/>
  <c r="N57" i="237" s="1"/>
  <c r="E403" i="237"/>
  <c r="P403" i="237"/>
  <c r="P57" i="237" s="1"/>
  <c r="L403" i="237"/>
  <c r="L57" i="237" s="1"/>
  <c r="I403" i="237"/>
  <c r="I57" i="237" s="1"/>
  <c r="O403" i="237"/>
  <c r="O57" i="237" s="1"/>
  <c r="J403" i="237"/>
  <c r="J57" i="237" s="1"/>
  <c r="G403" i="237"/>
  <c r="G57" i="237" s="1"/>
  <c r="H403" i="237"/>
  <c r="H57" i="237" s="1"/>
  <c r="M403" i="237"/>
  <c r="M57" i="237" s="1"/>
  <c r="K403" i="237"/>
  <c r="K57" i="237" s="1"/>
  <c r="Q17" i="237"/>
  <c r="L17" i="234" s="1"/>
  <c r="P348" i="237"/>
  <c r="F348" i="237"/>
  <c r="Q253" i="237"/>
  <c r="E270" i="237"/>
  <c r="E348" i="237" s="1"/>
  <c r="I399" i="237"/>
  <c r="E399" i="237"/>
  <c r="J399" i="237"/>
  <c r="L399" i="237"/>
  <c r="G399" i="237"/>
  <c r="K399" i="237"/>
  <c r="M399" i="237"/>
  <c r="N399" i="237"/>
  <c r="O399" i="237"/>
  <c r="H399" i="237"/>
  <c r="P399" i="237"/>
  <c r="F399" i="237"/>
  <c r="K348" i="237"/>
  <c r="Q55" i="237"/>
  <c r="L55" i="234" s="1"/>
  <c r="O348" i="237"/>
  <c r="Q106" i="237"/>
  <c r="L106" i="234" s="1"/>
  <c r="Q114" i="237"/>
  <c r="L114" i="234" s="1"/>
  <c r="P425" i="237" l="1"/>
  <c r="P53" i="237"/>
  <c r="P78" i="237" s="1"/>
  <c r="Q270" i="237"/>
  <c r="L266" i="234" s="1"/>
  <c r="L249" i="234"/>
  <c r="H425" i="237"/>
  <c r="H53" i="237"/>
  <c r="H78" i="237" s="1"/>
  <c r="M425" i="237"/>
  <c r="M53" i="237"/>
  <c r="M78" i="237" s="1"/>
  <c r="K425" i="237"/>
  <c r="K53" i="237"/>
  <c r="K78" i="237" s="1"/>
  <c r="G425" i="237"/>
  <c r="G53" i="237"/>
  <c r="G78" i="237" s="1"/>
  <c r="L425" i="237"/>
  <c r="L53" i="237"/>
  <c r="L78" i="237" s="1"/>
  <c r="Q225" i="237"/>
  <c r="L199" i="234"/>
  <c r="N425" i="237"/>
  <c r="N53" i="237"/>
  <c r="N78" i="237" s="1"/>
  <c r="J425" i="237"/>
  <c r="J53" i="237"/>
  <c r="J78" i="237" s="1"/>
  <c r="E425" i="237"/>
  <c r="Q399" i="237"/>
  <c r="L394" i="234" s="1"/>
  <c r="E53" i="237"/>
  <c r="O425" i="237"/>
  <c r="O53" i="237"/>
  <c r="O78" i="237" s="1"/>
  <c r="Q403" i="237"/>
  <c r="L398" i="234" s="1"/>
  <c r="E57" i="237"/>
  <c r="Q57" i="237" s="1"/>
  <c r="L57" i="234" s="1"/>
  <c r="I425" i="237"/>
  <c r="I53" i="237"/>
  <c r="I78" i="237" s="1"/>
  <c r="F425" i="237"/>
  <c r="F53" i="237"/>
  <c r="F78" i="237" s="1"/>
  <c r="Q53" i="237" l="1"/>
  <c r="L53" i="234" s="1"/>
  <c r="E78" i="237"/>
  <c r="Q425" i="237"/>
  <c r="L220" i="234"/>
  <c r="Q348" i="237"/>
  <c r="L343" i="234" s="1"/>
  <c r="L419" i="234" l="1"/>
  <c r="Q78" i="237"/>
  <c r="L78" i="234" s="1"/>
  <c r="K364" i="237" l="1"/>
  <c r="N364" i="237"/>
  <c r="E364" i="237"/>
  <c r="P364" i="237"/>
  <c r="J364" i="237"/>
  <c r="I364" i="237"/>
  <c r="M364" i="237"/>
  <c r="H364" i="237"/>
  <c r="O364" i="237"/>
  <c r="G364" i="237"/>
  <c r="L364" i="237"/>
  <c r="F364" i="237"/>
  <c r="H18" i="237" l="1"/>
  <c r="H29" i="237" s="1"/>
  <c r="H50" i="237" s="1"/>
  <c r="H375" i="237"/>
  <c r="H396" i="237" s="1"/>
  <c r="J18" i="237"/>
  <c r="J29" i="237" s="1"/>
  <c r="J50" i="237" s="1"/>
  <c r="J375" i="237"/>
  <c r="J396" i="237" s="1"/>
  <c r="K18" i="237"/>
  <c r="K29" i="237" s="1"/>
  <c r="K50" i="237" s="1"/>
  <c r="K375" i="237"/>
  <c r="K396" i="237" s="1"/>
  <c r="M18" i="237"/>
  <c r="M29" i="237" s="1"/>
  <c r="M50" i="237" s="1"/>
  <c r="M375" i="237"/>
  <c r="M396" i="237" s="1"/>
  <c r="P18" i="237"/>
  <c r="P29" i="237" s="1"/>
  <c r="P50" i="237" s="1"/>
  <c r="P375" i="237"/>
  <c r="P396" i="237" s="1"/>
  <c r="N18" i="237"/>
  <c r="N29" i="237" s="1"/>
  <c r="N50" i="237" s="1"/>
  <c r="N375" i="237"/>
  <c r="N396" i="237" s="1"/>
  <c r="F18" i="237"/>
  <c r="F29" i="237" s="1"/>
  <c r="F50" i="237" s="1"/>
  <c r="F375" i="237"/>
  <c r="F396" i="237" s="1"/>
  <c r="G18" i="237"/>
  <c r="G29" i="237" s="1"/>
  <c r="G50" i="237" s="1"/>
  <c r="G375" i="237"/>
  <c r="G396" i="237" s="1"/>
  <c r="O18" i="237"/>
  <c r="O29" i="237" s="1"/>
  <c r="O50" i="237" s="1"/>
  <c r="O375" i="237"/>
  <c r="O396" i="237" s="1"/>
  <c r="I18" i="237"/>
  <c r="I29" i="237" s="1"/>
  <c r="I50" i="237" s="1"/>
  <c r="I375" i="237"/>
  <c r="I396" i="237" s="1"/>
  <c r="Q364" i="237"/>
  <c r="L359" i="234" s="1"/>
  <c r="E18" i="237"/>
  <c r="E375" i="237"/>
  <c r="L18" i="237"/>
  <c r="L29" i="237" s="1"/>
  <c r="L50" i="237" s="1"/>
  <c r="L375" i="237"/>
  <c r="L396" i="237" s="1"/>
  <c r="Q18" i="237" l="1"/>
  <c r="L18" i="234" s="1"/>
  <c r="E29" i="237"/>
  <c r="Q375" i="237"/>
  <c r="E396" i="237"/>
  <c r="E50" i="237" l="1"/>
  <c r="Q29" i="237"/>
  <c r="Q396" i="237"/>
  <c r="L391" i="234" s="1"/>
  <c r="L370" i="234"/>
  <c r="L29" i="234" l="1"/>
  <c r="Q50" i="237"/>
  <c r="L50" i="234" s="1"/>
  <c r="O520" i="237" l="1"/>
  <c r="O175" i="237" s="1"/>
  <c r="P520" i="237" l="1"/>
  <c r="P175" i="237" s="1"/>
  <c r="H142" i="229" l="1"/>
  <c r="N142" i="229"/>
  <c r="E81" i="243"/>
  <c r="F81" i="243"/>
  <c r="G81" i="243"/>
  <c r="H81" i="243"/>
  <c r="I81" i="243"/>
  <c r="J81" i="243"/>
  <c r="K81" i="243"/>
  <c r="L81" i="243"/>
  <c r="M81" i="243"/>
  <c r="N81" i="243"/>
  <c r="O81" i="243"/>
  <c r="P81" i="243"/>
  <c r="E83" i="243"/>
  <c r="F83" i="243"/>
  <c r="G83" i="243"/>
  <c r="H83" i="243"/>
  <c r="I83" i="243"/>
  <c r="J83" i="243"/>
  <c r="K83" i="243"/>
  <c r="L83" i="243"/>
  <c r="M83" i="243"/>
  <c r="N83" i="243"/>
  <c r="O83" i="243"/>
  <c r="P83" i="243"/>
  <c r="O84" i="243" l="1"/>
  <c r="E84" i="243"/>
  <c r="F84" i="243"/>
  <c r="L84" i="243"/>
  <c r="O82" i="243"/>
  <c r="M84" i="243"/>
  <c r="H82" i="243"/>
  <c r="J84" i="243"/>
  <c r="I84" i="243"/>
  <c r="K84" i="243"/>
  <c r="P82" i="243"/>
  <c r="P84" i="243"/>
  <c r="I82" i="243"/>
  <c r="L82" i="243"/>
  <c r="J82" i="243"/>
  <c r="M82" i="243"/>
  <c r="F82" i="243"/>
  <c r="K82" i="243"/>
  <c r="N82" i="243"/>
  <c r="Q83" i="243"/>
  <c r="N84" i="243"/>
  <c r="H84" i="243"/>
  <c r="G84" i="243"/>
  <c r="Q81" i="243"/>
  <c r="L8" i="242" s="1"/>
  <c r="G82" i="243"/>
  <c r="E82" i="243"/>
  <c r="Q84" i="243" l="1"/>
  <c r="L11" i="242" s="1"/>
  <c r="U155" i="132"/>
  <c r="L10" i="242"/>
  <c r="Q82" i="243"/>
  <c r="L9" i="242" s="1"/>
  <c r="L154" i="124" l="1"/>
  <c r="E11" i="267" l="1"/>
  <c r="F11" i="267"/>
  <c r="E26" i="267"/>
  <c r="F26" i="267"/>
  <c r="E30" i="267"/>
  <c r="F30" i="267" s="1"/>
  <c r="E41" i="267"/>
  <c r="F41" i="267"/>
  <c r="E45" i="267"/>
  <c r="E15" i="267" s="1"/>
  <c r="E32" i="267" l="1"/>
  <c r="F32" i="267" s="1"/>
  <c r="F45" i="267"/>
  <c r="F15" i="267"/>
  <c r="E17" i="267"/>
  <c r="F17" i="267" s="1"/>
  <c r="E47" i="267"/>
  <c r="F47" i="267" s="1"/>
  <c r="M35" i="209"/>
  <c r="M36" i="209"/>
  <c r="M38" i="209"/>
  <c r="M40" i="209"/>
  <c r="M208" i="209"/>
  <c r="M35" i="256"/>
  <c r="M36" i="256"/>
  <c r="M38" i="256"/>
  <c r="M40" i="256"/>
  <c r="M208" i="256"/>
  <c r="J70" i="256" l="1"/>
  <c r="J164" i="256"/>
  <c r="J211" i="209"/>
  <c r="J209" i="256"/>
  <c r="J211" i="256" l="1"/>
  <c r="J212" i="256" s="1"/>
  <c r="J212" i="209"/>
  <c r="L17" i="58"/>
  <c r="L57" i="58"/>
  <c r="L35" i="58"/>
  <c r="L40" i="58" s="1"/>
  <c r="L13" i="58" s="1"/>
  <c r="L21" i="58" s="1"/>
  <c r="M35" i="58"/>
  <c r="M40" i="58" s="1"/>
  <c r="M13" i="58" s="1"/>
  <c r="I27" i="203" l="1"/>
  <c r="K438" i="205" l="1"/>
  <c r="L438" i="205"/>
  <c r="L438" i="204" s="1"/>
  <c r="M438" i="205"/>
  <c r="M438" i="204" s="1"/>
  <c r="N438" i="205"/>
  <c r="N438" i="204" s="1"/>
  <c r="O438" i="205"/>
  <c r="O438" i="204" s="1"/>
  <c r="P438" i="205"/>
  <c r="P438" i="204" s="1"/>
  <c r="K419" i="205"/>
  <c r="L419" i="205"/>
  <c r="L419" i="204" s="1"/>
  <c r="M419" i="205"/>
  <c r="M419" i="204" s="1"/>
  <c r="N419" i="205"/>
  <c r="N419" i="204" s="1"/>
  <c r="O419" i="205"/>
  <c r="O419" i="204" s="1"/>
  <c r="P419" i="205"/>
  <c r="P419" i="204" s="1"/>
  <c r="K419" i="204" l="1"/>
  <c r="M48" i="205"/>
  <c r="M48" i="204" s="1"/>
  <c r="K438" i="204"/>
  <c r="M67" i="205"/>
  <c r="M67" i="204" s="1"/>
  <c r="J438" i="205" l="1"/>
  <c r="J438" i="204" s="1"/>
  <c r="J419" i="205"/>
  <c r="J419" i="204" s="1"/>
  <c r="F438" i="205" l="1"/>
  <c r="F438" i="204" s="1"/>
  <c r="G438" i="205"/>
  <c r="G438" i="204" s="1"/>
  <c r="H438" i="205"/>
  <c r="H438" i="204" s="1"/>
  <c r="I438" i="205"/>
  <c r="I438" i="204" s="1"/>
  <c r="E438" i="205"/>
  <c r="F419" i="205"/>
  <c r="F419" i="204" s="1"/>
  <c r="G419" i="205"/>
  <c r="G419" i="204" s="1"/>
  <c r="H419" i="205"/>
  <c r="H419" i="204" s="1"/>
  <c r="I419" i="205"/>
  <c r="I419" i="204" s="1"/>
  <c r="E419" i="205"/>
  <c r="Q419" i="205" l="1"/>
  <c r="E419" i="204"/>
  <c r="Q419" i="204" s="1"/>
  <c r="L48" i="205"/>
  <c r="Q438" i="205"/>
  <c r="L67" i="205"/>
  <c r="E438" i="204"/>
  <c r="Q438" i="204" s="1"/>
  <c r="N67" i="205" l="1"/>
  <c r="N67" i="204" s="1"/>
  <c r="L67" i="204"/>
  <c r="N48" i="205"/>
  <c r="N48" i="204" s="1"/>
  <c r="L48" i="204"/>
  <c r="I16" i="202" l="1"/>
  <c r="I17" i="202"/>
  <c r="I16" i="203"/>
  <c r="I17" i="203" l="1"/>
  <c r="I9" i="203" l="1"/>
  <c r="I12" i="203" l="1"/>
  <c r="I15" i="203"/>
  <c r="I11" i="203" l="1"/>
  <c r="I10" i="203"/>
  <c r="I49" i="203" l="1"/>
  <c r="I58" i="203"/>
  <c r="I60" i="203"/>
  <c r="I32" i="203"/>
  <c r="I43" i="203"/>
  <c r="I28" i="203"/>
  <c r="I31" i="203"/>
  <c r="I42" i="203"/>
  <c r="I29" i="203"/>
  <c r="I63" i="203"/>
  <c r="I41" i="203"/>
  <c r="I65" i="203"/>
  <c r="I67" i="202"/>
  <c r="I66" i="203"/>
  <c r="I67" i="203"/>
  <c r="I46" i="203"/>
  <c r="I26" i="203"/>
  <c r="I48" i="203"/>
  <c r="I64" i="202" l="1"/>
  <c r="I42" i="202"/>
  <c r="I32" i="202"/>
  <c r="I31" i="202"/>
  <c r="I63" i="202"/>
  <c r="I33" i="202"/>
  <c r="I49" i="202"/>
  <c r="I48" i="202"/>
  <c r="I66" i="202"/>
  <c r="I64" i="203"/>
  <c r="I74" i="203" s="1"/>
  <c r="I47" i="203"/>
  <c r="I56" i="203" s="1"/>
  <c r="I30" i="203"/>
  <c r="I33" i="203"/>
  <c r="I24" i="203" l="1"/>
  <c r="I39" i="203" s="1"/>
  <c r="I75" i="203" s="1"/>
  <c r="J644" i="205" l="1"/>
  <c r="J644" i="204" s="1"/>
  <c r="P644" i="205"/>
  <c r="P644" i="204" s="1"/>
  <c r="G644" i="205"/>
  <c r="G644" i="204" s="1"/>
  <c r="M644" i="205"/>
  <c r="M644" i="204" s="1"/>
  <c r="H644" i="205"/>
  <c r="H644" i="204" s="1"/>
  <c r="E644" i="205"/>
  <c r="N644" i="205"/>
  <c r="N644" i="204" s="1"/>
  <c r="O644" i="205"/>
  <c r="O644" i="204" s="1"/>
  <c r="K644" i="205"/>
  <c r="K644" i="204" s="1"/>
  <c r="I644" i="205"/>
  <c r="I644" i="204" s="1"/>
  <c r="F644" i="205"/>
  <c r="F644" i="204" s="1"/>
  <c r="L644" i="205"/>
  <c r="L644" i="204" s="1"/>
  <c r="Q644" i="205" l="1"/>
  <c r="Q51" i="205" s="1"/>
  <c r="Q51" i="204" s="1"/>
  <c r="E644" i="204"/>
  <c r="Q644" i="204" s="1"/>
  <c r="O718" i="205"/>
  <c r="O718" i="204" s="1"/>
  <c r="N718" i="205"/>
  <c r="N718" i="204" s="1"/>
  <c r="E718" i="205"/>
  <c r="H718" i="205"/>
  <c r="H718" i="204" s="1"/>
  <c r="L718" i="205"/>
  <c r="L718" i="204" s="1"/>
  <c r="M718" i="205"/>
  <c r="M718" i="204" s="1"/>
  <c r="F718" i="205"/>
  <c r="F718" i="204" s="1"/>
  <c r="G718" i="205"/>
  <c r="G718" i="204" s="1"/>
  <c r="I718" i="205"/>
  <c r="I718" i="204" s="1"/>
  <c r="P718" i="205"/>
  <c r="P718" i="204" s="1"/>
  <c r="K718" i="205"/>
  <c r="K718" i="204" s="1"/>
  <c r="J718" i="205"/>
  <c r="J718" i="204" s="1"/>
  <c r="E718" i="204" l="1"/>
  <c r="Q718" i="204" s="1"/>
  <c r="Q718" i="205"/>
  <c r="R51" i="205" s="1"/>
  <c r="R51" i="204" s="1"/>
  <c r="F792" i="205"/>
  <c r="F792" i="204" s="1"/>
  <c r="L792" i="205"/>
  <c r="L792" i="204" s="1"/>
  <c r="H792" i="205"/>
  <c r="H792" i="204" s="1"/>
  <c r="G792" i="205"/>
  <c r="G792" i="204" s="1"/>
  <c r="J792" i="205"/>
  <c r="J792" i="204" s="1"/>
  <c r="K792" i="205"/>
  <c r="K792" i="204" s="1"/>
  <c r="E792" i="205"/>
  <c r="M792" i="205"/>
  <c r="M792" i="204" s="1"/>
  <c r="P792" i="205"/>
  <c r="P792" i="204" s="1"/>
  <c r="N792" i="205"/>
  <c r="N792" i="204" s="1"/>
  <c r="I792" i="205"/>
  <c r="I792" i="204" s="1"/>
  <c r="O792" i="205"/>
  <c r="O792" i="204" s="1"/>
  <c r="E792" i="204" l="1"/>
  <c r="Q792" i="204" s="1"/>
  <c r="Q792" i="205"/>
  <c r="S51" i="205" s="1"/>
  <c r="S51" i="204" s="1"/>
  <c r="F652" i="205" l="1"/>
  <c r="F652" i="204" s="1"/>
  <c r="N652" i="205"/>
  <c r="N652" i="204" s="1"/>
  <c r="G652" i="205"/>
  <c r="G652" i="204" s="1"/>
  <c r="J652" i="205"/>
  <c r="J652" i="204" s="1"/>
  <c r="O652" i="205"/>
  <c r="O652" i="204" s="1"/>
  <c r="K652" i="205"/>
  <c r="K652" i="204" s="1"/>
  <c r="H652" i="205"/>
  <c r="H652" i="204" s="1"/>
  <c r="M652" i="205"/>
  <c r="M652" i="204" s="1"/>
  <c r="L652" i="205"/>
  <c r="L652" i="204" s="1"/>
  <c r="P652" i="205"/>
  <c r="P652" i="204" s="1"/>
  <c r="E652" i="205"/>
  <c r="I652" i="205"/>
  <c r="I652" i="204" s="1"/>
  <c r="F422" i="205"/>
  <c r="F422" i="204" s="1"/>
  <c r="G422" i="205"/>
  <c r="G422" i="204" s="1"/>
  <c r="H422" i="205"/>
  <c r="H422" i="204" s="1"/>
  <c r="I422" i="205"/>
  <c r="I422" i="204" s="1"/>
  <c r="J422" i="205"/>
  <c r="J422" i="204" s="1"/>
  <c r="K422" i="205"/>
  <c r="L422" i="205"/>
  <c r="L422" i="204" s="1"/>
  <c r="M422" i="205"/>
  <c r="M422" i="204" s="1"/>
  <c r="N422" i="205"/>
  <c r="N422" i="204" s="1"/>
  <c r="O422" i="205"/>
  <c r="O422" i="204" s="1"/>
  <c r="P422" i="205"/>
  <c r="P422" i="204" s="1"/>
  <c r="E422" i="205"/>
  <c r="K422" i="204" l="1"/>
  <c r="M51" i="205"/>
  <c r="M51" i="204" s="1"/>
  <c r="E652" i="204"/>
  <c r="Q652" i="204" s="1"/>
  <c r="Q652" i="205"/>
  <c r="Q59" i="205" s="1"/>
  <c r="Q59" i="204" s="1"/>
  <c r="Q422" i="205"/>
  <c r="L51" i="205"/>
  <c r="E422" i="204"/>
  <c r="Q422" i="204" s="1"/>
  <c r="E726" i="205"/>
  <c r="J726" i="205"/>
  <c r="J726" i="204" s="1"/>
  <c r="P726" i="205"/>
  <c r="P726" i="204" s="1"/>
  <c r="I726" i="205"/>
  <c r="I726" i="204" s="1"/>
  <c r="L726" i="205"/>
  <c r="L726" i="204" s="1"/>
  <c r="G726" i="205"/>
  <c r="G726" i="204" s="1"/>
  <c r="N726" i="205"/>
  <c r="N726" i="204" s="1"/>
  <c r="M726" i="205"/>
  <c r="M726" i="204" s="1"/>
  <c r="H726" i="205"/>
  <c r="H726" i="204" s="1"/>
  <c r="F726" i="205"/>
  <c r="F726" i="204" s="1"/>
  <c r="O726" i="205"/>
  <c r="O726" i="204" s="1"/>
  <c r="K726" i="205"/>
  <c r="K726" i="204" s="1"/>
  <c r="F439" i="205"/>
  <c r="F439" i="204" s="1"/>
  <c r="G439" i="205"/>
  <c r="G439" i="204" s="1"/>
  <c r="H439" i="205"/>
  <c r="H439" i="204" s="1"/>
  <c r="I439" i="205"/>
  <c r="I439" i="204" s="1"/>
  <c r="J439" i="205"/>
  <c r="J439" i="204" s="1"/>
  <c r="K439" i="205"/>
  <c r="L439" i="205"/>
  <c r="L439" i="204" s="1"/>
  <c r="M439" i="205"/>
  <c r="M439" i="204" s="1"/>
  <c r="N439" i="205"/>
  <c r="N439" i="204" s="1"/>
  <c r="O439" i="205"/>
  <c r="O439" i="204" s="1"/>
  <c r="P439" i="205"/>
  <c r="P439" i="204" s="1"/>
  <c r="E439" i="205"/>
  <c r="F436" i="205"/>
  <c r="F436" i="204" s="1"/>
  <c r="G436" i="205"/>
  <c r="G436" i="204" s="1"/>
  <c r="H436" i="205"/>
  <c r="H436" i="204" s="1"/>
  <c r="I436" i="205"/>
  <c r="I436" i="204" s="1"/>
  <c r="J436" i="205"/>
  <c r="J436" i="204" s="1"/>
  <c r="K436" i="205"/>
  <c r="L436" i="205"/>
  <c r="L436" i="204" s="1"/>
  <c r="M436" i="205"/>
  <c r="M436" i="204" s="1"/>
  <c r="N436" i="205"/>
  <c r="N436" i="204" s="1"/>
  <c r="O436" i="205"/>
  <c r="O436" i="204" s="1"/>
  <c r="P436" i="205"/>
  <c r="P436" i="204" s="1"/>
  <c r="E436" i="205"/>
  <c r="F435" i="205"/>
  <c r="F435" i="204" s="1"/>
  <c r="G435" i="205"/>
  <c r="G435" i="204" s="1"/>
  <c r="H435" i="205"/>
  <c r="H435" i="204" s="1"/>
  <c r="I435" i="205"/>
  <c r="I435" i="204" s="1"/>
  <c r="J435" i="205"/>
  <c r="J435" i="204" s="1"/>
  <c r="K435" i="205"/>
  <c r="L435" i="205"/>
  <c r="L435" i="204" s="1"/>
  <c r="M435" i="205"/>
  <c r="M435" i="204" s="1"/>
  <c r="N435" i="205"/>
  <c r="N435" i="204" s="1"/>
  <c r="O435" i="205"/>
  <c r="O435" i="204" s="1"/>
  <c r="P435" i="205"/>
  <c r="P435" i="204" s="1"/>
  <c r="E435" i="205"/>
  <c r="F434" i="205"/>
  <c r="F434" i="204" s="1"/>
  <c r="G434" i="205"/>
  <c r="G434" i="204" s="1"/>
  <c r="H434" i="205"/>
  <c r="H434" i="204" s="1"/>
  <c r="I434" i="205"/>
  <c r="I434" i="204" s="1"/>
  <c r="J434" i="205"/>
  <c r="J434" i="204" s="1"/>
  <c r="K434" i="205"/>
  <c r="L434" i="205"/>
  <c r="L434" i="204" s="1"/>
  <c r="M434" i="205"/>
  <c r="M434" i="204" s="1"/>
  <c r="N434" i="205"/>
  <c r="N434" i="204" s="1"/>
  <c r="O434" i="205"/>
  <c r="O434" i="204" s="1"/>
  <c r="P434" i="205"/>
  <c r="P434" i="204" s="1"/>
  <c r="E434" i="205"/>
  <c r="F420" i="205"/>
  <c r="F420" i="204" s="1"/>
  <c r="G420" i="205"/>
  <c r="G420" i="204" s="1"/>
  <c r="H420" i="205"/>
  <c r="H420" i="204" s="1"/>
  <c r="I420" i="205"/>
  <c r="I420" i="204" s="1"/>
  <c r="J420" i="205"/>
  <c r="J420" i="204" s="1"/>
  <c r="K420" i="205"/>
  <c r="L420" i="205"/>
  <c r="L420" i="204" s="1"/>
  <c r="M420" i="205"/>
  <c r="M420" i="204" s="1"/>
  <c r="N420" i="205"/>
  <c r="N420" i="204" s="1"/>
  <c r="O420" i="205"/>
  <c r="O420" i="204" s="1"/>
  <c r="P420" i="205"/>
  <c r="P420" i="204" s="1"/>
  <c r="E420" i="205"/>
  <c r="F418" i="205"/>
  <c r="F418" i="204" s="1"/>
  <c r="G418" i="205"/>
  <c r="G418" i="204" s="1"/>
  <c r="H418" i="205"/>
  <c r="H418" i="204" s="1"/>
  <c r="I418" i="205"/>
  <c r="I418" i="204" s="1"/>
  <c r="F417" i="205"/>
  <c r="F417" i="204" s="1"/>
  <c r="G417" i="205"/>
  <c r="G417" i="204" s="1"/>
  <c r="H417" i="205"/>
  <c r="H417" i="204" s="1"/>
  <c r="I417" i="205"/>
  <c r="I417" i="204" s="1"/>
  <c r="J417" i="205"/>
  <c r="J417" i="204" s="1"/>
  <c r="K417" i="205"/>
  <c r="L417" i="205"/>
  <c r="L417" i="204" s="1"/>
  <c r="M417" i="205"/>
  <c r="M417" i="204" s="1"/>
  <c r="N417" i="205"/>
  <c r="N417" i="204" s="1"/>
  <c r="O417" i="205"/>
  <c r="O417" i="204" s="1"/>
  <c r="P417" i="205"/>
  <c r="P417" i="204" s="1"/>
  <c r="E418" i="205"/>
  <c r="E417" i="205"/>
  <c r="F413" i="205"/>
  <c r="F413" i="204" s="1"/>
  <c r="G413" i="205"/>
  <c r="G413" i="204" s="1"/>
  <c r="H413" i="205"/>
  <c r="H413" i="204" s="1"/>
  <c r="I413" i="205"/>
  <c r="I413" i="204" s="1"/>
  <c r="J413" i="205"/>
  <c r="J413" i="204" s="1"/>
  <c r="K413" i="205"/>
  <c r="L413" i="205"/>
  <c r="L413" i="204" s="1"/>
  <c r="M413" i="205"/>
  <c r="M413" i="204" s="1"/>
  <c r="N413" i="205"/>
  <c r="N413" i="204" s="1"/>
  <c r="O413" i="205"/>
  <c r="O413" i="204" s="1"/>
  <c r="P413" i="205"/>
  <c r="P413" i="204" s="1"/>
  <c r="E413" i="205"/>
  <c r="Q417" i="205" l="1"/>
  <c r="E417" i="204"/>
  <c r="L46" i="205"/>
  <c r="Q434" i="205"/>
  <c r="L63" i="205"/>
  <c r="E434" i="204"/>
  <c r="E726" i="204"/>
  <c r="Q726" i="204" s="1"/>
  <c r="Q726" i="205"/>
  <c r="R59" i="205" s="1"/>
  <c r="R59" i="204" s="1"/>
  <c r="E418" i="204"/>
  <c r="K413" i="204"/>
  <c r="M42" i="205"/>
  <c r="M42" i="204" s="1"/>
  <c r="K420" i="204"/>
  <c r="M49" i="205"/>
  <c r="M49" i="204" s="1"/>
  <c r="K434" i="204"/>
  <c r="M63" i="205"/>
  <c r="M63" i="204" s="1"/>
  <c r="M64" i="205"/>
  <c r="M64" i="204" s="1"/>
  <c r="K435" i="204"/>
  <c r="M65" i="205"/>
  <c r="M65" i="204" s="1"/>
  <c r="K436" i="204"/>
  <c r="M68" i="205"/>
  <c r="M68" i="204" s="1"/>
  <c r="K439" i="204"/>
  <c r="L51" i="204"/>
  <c r="N51" i="205"/>
  <c r="N51" i="204" s="1"/>
  <c r="Q435" i="205"/>
  <c r="E435" i="204"/>
  <c r="L64" i="205"/>
  <c r="K417" i="204"/>
  <c r="M46" i="205"/>
  <c r="M46" i="204" s="1"/>
  <c r="Q436" i="205"/>
  <c r="E436" i="204"/>
  <c r="L65" i="205"/>
  <c r="Q413" i="205"/>
  <c r="E413" i="204"/>
  <c r="L42" i="205"/>
  <c r="Q420" i="205"/>
  <c r="E420" i="204"/>
  <c r="L49" i="205"/>
  <c r="Q439" i="205"/>
  <c r="E439" i="204"/>
  <c r="L68" i="205"/>
  <c r="G800" i="205"/>
  <c r="G800" i="204" s="1"/>
  <c r="O800" i="205"/>
  <c r="O800" i="204" s="1"/>
  <c r="L800" i="205"/>
  <c r="L800" i="204" s="1"/>
  <c r="K800" i="205"/>
  <c r="K800" i="204" s="1"/>
  <c r="F800" i="205"/>
  <c r="F800" i="204" s="1"/>
  <c r="I800" i="205"/>
  <c r="I800" i="204" s="1"/>
  <c r="P800" i="205"/>
  <c r="P800" i="204" s="1"/>
  <c r="H800" i="205"/>
  <c r="H800" i="204" s="1"/>
  <c r="M800" i="205"/>
  <c r="M800" i="204" s="1"/>
  <c r="J800" i="205"/>
  <c r="J800" i="204" s="1"/>
  <c r="N800" i="205"/>
  <c r="N800" i="204" s="1"/>
  <c r="E800" i="205"/>
  <c r="Q420" i="204" l="1"/>
  <c r="Q413" i="204"/>
  <c r="Q436" i="204"/>
  <c r="Q439" i="204"/>
  <c r="Q435" i="204"/>
  <c r="E800" i="204"/>
  <c r="Q800" i="204" s="1"/>
  <c r="Q800" i="205"/>
  <c r="S59" i="205" s="1"/>
  <c r="S59" i="204" s="1"/>
  <c r="Q434" i="204"/>
  <c r="L63" i="204"/>
  <c r="N63" i="205"/>
  <c r="N63" i="204" s="1"/>
  <c r="L42" i="204"/>
  <c r="N42" i="205"/>
  <c r="N42" i="204" s="1"/>
  <c r="N46" i="205"/>
  <c r="N46" i="204" s="1"/>
  <c r="L46" i="204"/>
  <c r="N65" i="205"/>
  <c r="N65" i="204" s="1"/>
  <c r="L65" i="204"/>
  <c r="Q417" i="204"/>
  <c r="L64" i="204"/>
  <c r="N64" i="205"/>
  <c r="N64" i="204" s="1"/>
  <c r="L49" i="204"/>
  <c r="N49" i="205"/>
  <c r="N49" i="204" s="1"/>
  <c r="L68" i="204"/>
  <c r="N68" i="205"/>
  <c r="N68" i="204" s="1"/>
  <c r="F402" i="205"/>
  <c r="F402" i="204" s="1"/>
  <c r="G402" i="205"/>
  <c r="G402" i="204" s="1"/>
  <c r="H402" i="205"/>
  <c r="H402" i="204" s="1"/>
  <c r="I402" i="205"/>
  <c r="I402" i="204" s="1"/>
  <c r="J402" i="205"/>
  <c r="J402" i="204" s="1"/>
  <c r="K402" i="205"/>
  <c r="L402" i="205"/>
  <c r="L402" i="204" s="1"/>
  <c r="M402" i="205"/>
  <c r="M402" i="204" s="1"/>
  <c r="N402" i="205"/>
  <c r="N402" i="204" s="1"/>
  <c r="O402" i="205"/>
  <c r="O402" i="204" s="1"/>
  <c r="P402" i="205"/>
  <c r="P402" i="204" s="1"/>
  <c r="F403" i="205"/>
  <c r="F403" i="204" s="1"/>
  <c r="G403" i="205"/>
  <c r="G403" i="204" s="1"/>
  <c r="H403" i="205"/>
  <c r="H403" i="204" s="1"/>
  <c r="I403" i="205"/>
  <c r="I403" i="204" s="1"/>
  <c r="J403" i="205"/>
  <c r="J403" i="204" s="1"/>
  <c r="K403" i="205"/>
  <c r="L403" i="205"/>
  <c r="L403" i="204" s="1"/>
  <c r="M403" i="205"/>
  <c r="M403" i="204" s="1"/>
  <c r="N403" i="205"/>
  <c r="N403" i="204" s="1"/>
  <c r="O403" i="205"/>
  <c r="O403" i="204" s="1"/>
  <c r="P403" i="205"/>
  <c r="P403" i="204" s="1"/>
  <c r="F404" i="205"/>
  <c r="F404" i="204" s="1"/>
  <c r="G404" i="205"/>
  <c r="G404" i="204" s="1"/>
  <c r="H404" i="205"/>
  <c r="H404" i="204" s="1"/>
  <c r="I404" i="205"/>
  <c r="I404" i="204" s="1"/>
  <c r="J404" i="205"/>
  <c r="J404" i="204" s="1"/>
  <c r="K404" i="205"/>
  <c r="L404" i="205"/>
  <c r="L404" i="204" s="1"/>
  <c r="M404" i="205"/>
  <c r="M404" i="204" s="1"/>
  <c r="N404" i="205"/>
  <c r="N404" i="204" s="1"/>
  <c r="O404" i="205"/>
  <c r="O404" i="204" s="1"/>
  <c r="P404" i="205"/>
  <c r="P404" i="204" s="1"/>
  <c r="E403" i="205"/>
  <c r="E404" i="205"/>
  <c r="E402" i="205"/>
  <c r="F400" i="205"/>
  <c r="F400" i="204" s="1"/>
  <c r="G400" i="205"/>
  <c r="G400" i="204" s="1"/>
  <c r="H400" i="205"/>
  <c r="H400" i="204" s="1"/>
  <c r="I400" i="205"/>
  <c r="I400" i="204" s="1"/>
  <c r="J400" i="205"/>
  <c r="J400" i="204" s="1"/>
  <c r="K400" i="205"/>
  <c r="L400" i="205"/>
  <c r="L400" i="204" s="1"/>
  <c r="M400" i="205"/>
  <c r="M400" i="204" s="1"/>
  <c r="N400" i="205"/>
  <c r="N400" i="204" s="1"/>
  <c r="O400" i="205"/>
  <c r="O400" i="204" s="1"/>
  <c r="P400" i="205"/>
  <c r="P400" i="204" s="1"/>
  <c r="F401" i="205"/>
  <c r="F401" i="204" s="1"/>
  <c r="G401" i="205"/>
  <c r="G401" i="204" s="1"/>
  <c r="H401" i="205"/>
  <c r="H401" i="204" s="1"/>
  <c r="I401" i="205"/>
  <c r="I401" i="204" s="1"/>
  <c r="J401" i="205"/>
  <c r="J401" i="204" s="1"/>
  <c r="K401" i="205"/>
  <c r="L401" i="205"/>
  <c r="L401" i="204" s="1"/>
  <c r="M401" i="205"/>
  <c r="M401" i="204" s="1"/>
  <c r="N401" i="205"/>
  <c r="N401" i="204" s="1"/>
  <c r="O401" i="205"/>
  <c r="O401" i="204" s="1"/>
  <c r="P401" i="205"/>
  <c r="P401" i="204" s="1"/>
  <c r="E401" i="205"/>
  <c r="E400" i="205"/>
  <c r="F388" i="205"/>
  <c r="F388" i="204" s="1"/>
  <c r="G388" i="205"/>
  <c r="G388" i="204" s="1"/>
  <c r="H388" i="205"/>
  <c r="H388" i="204" s="1"/>
  <c r="I388" i="205"/>
  <c r="I388" i="204" s="1"/>
  <c r="J388" i="205"/>
  <c r="J388" i="204" s="1"/>
  <c r="K388" i="205"/>
  <c r="L388" i="205"/>
  <c r="L388" i="204" s="1"/>
  <c r="M388" i="205"/>
  <c r="M388" i="204" s="1"/>
  <c r="N388" i="205"/>
  <c r="N388" i="204" s="1"/>
  <c r="O388" i="205"/>
  <c r="O388" i="204" s="1"/>
  <c r="P388" i="205"/>
  <c r="P388" i="204" s="1"/>
  <c r="E388" i="205"/>
  <c r="F387" i="205"/>
  <c r="F387" i="204" s="1"/>
  <c r="G387" i="205"/>
  <c r="G387" i="204" s="1"/>
  <c r="H387" i="205"/>
  <c r="H387" i="204" s="1"/>
  <c r="I387" i="205"/>
  <c r="I387" i="204" s="1"/>
  <c r="J387" i="205"/>
  <c r="J387" i="204" s="1"/>
  <c r="K387" i="205"/>
  <c r="L387" i="205"/>
  <c r="L387" i="204" s="1"/>
  <c r="M387" i="205"/>
  <c r="M387" i="204" s="1"/>
  <c r="N387" i="205"/>
  <c r="N387" i="204" s="1"/>
  <c r="O387" i="205"/>
  <c r="O387" i="204" s="1"/>
  <c r="P387" i="205"/>
  <c r="P387" i="204" s="1"/>
  <c r="E387" i="205"/>
  <c r="K387" i="204" l="1"/>
  <c r="M16" i="205"/>
  <c r="M16" i="204" s="1"/>
  <c r="K388" i="204"/>
  <c r="M17" i="205"/>
  <c r="M17" i="204" s="1"/>
  <c r="K400" i="204"/>
  <c r="M29" i="205"/>
  <c r="M29" i="204" s="1"/>
  <c r="M31" i="205"/>
  <c r="M31" i="204" s="1"/>
  <c r="K402" i="204"/>
  <c r="M30" i="205"/>
  <c r="M30" i="204" s="1"/>
  <c r="K401" i="204"/>
  <c r="M32" i="205"/>
  <c r="M32" i="204" s="1"/>
  <c r="K403" i="204"/>
  <c r="K404" i="204"/>
  <c r="M33" i="205"/>
  <c r="M33" i="204" s="1"/>
  <c r="Q387" i="205"/>
  <c r="E387" i="204"/>
  <c r="L16" i="205"/>
  <c r="Q388" i="205"/>
  <c r="L17" i="205"/>
  <c r="E388" i="204"/>
  <c r="Q400" i="205"/>
  <c r="E400" i="204"/>
  <c r="L29" i="205"/>
  <c r="Q402" i="205"/>
  <c r="E402" i="204"/>
  <c r="L31" i="205"/>
  <c r="Q401" i="205"/>
  <c r="E401" i="204"/>
  <c r="L30" i="205"/>
  <c r="Q404" i="205"/>
  <c r="E404" i="204"/>
  <c r="L33" i="205"/>
  <c r="Q403" i="205"/>
  <c r="E403" i="204"/>
  <c r="L32" i="205"/>
  <c r="Q388" i="204" l="1"/>
  <c r="Q400" i="204"/>
  <c r="Q404" i="204"/>
  <c r="Q387" i="204"/>
  <c r="Q403" i="204"/>
  <c r="L32" i="204"/>
  <c r="N32" i="205"/>
  <c r="N32" i="204" s="1"/>
  <c r="N29" i="205"/>
  <c r="N29" i="204" s="1"/>
  <c r="L29" i="204"/>
  <c r="N33" i="205"/>
  <c r="N33" i="204" s="1"/>
  <c r="L33" i="204"/>
  <c r="N17" i="205"/>
  <c r="N17" i="204" s="1"/>
  <c r="L17" i="204"/>
  <c r="N30" i="205"/>
  <c r="N30" i="204" s="1"/>
  <c r="L30" i="204"/>
  <c r="L16" i="204"/>
  <c r="N16" i="205"/>
  <c r="N16" i="204" s="1"/>
  <c r="Q401" i="204"/>
  <c r="N31" i="205"/>
  <c r="N31" i="204" s="1"/>
  <c r="L31" i="204"/>
  <c r="Q402" i="204"/>
  <c r="J635" i="205" l="1"/>
  <c r="J635" i="204" s="1"/>
  <c r="E635" i="205"/>
  <c r="F635" i="205"/>
  <c r="F635" i="204" s="1"/>
  <c r="I635" i="205"/>
  <c r="I635" i="204" s="1"/>
  <c r="G635" i="205"/>
  <c r="G635" i="204" s="1"/>
  <c r="H635" i="205"/>
  <c r="H635" i="204" s="1"/>
  <c r="E635" i="204" l="1"/>
  <c r="E709" i="205"/>
  <c r="J709" i="205"/>
  <c r="J709" i="204" s="1"/>
  <c r="G709" i="205"/>
  <c r="G709" i="204" s="1"/>
  <c r="I709" i="205"/>
  <c r="I709" i="204" s="1"/>
  <c r="H709" i="205"/>
  <c r="H709" i="204" s="1"/>
  <c r="F709" i="205"/>
  <c r="F709" i="204" s="1"/>
  <c r="E709" i="204" l="1"/>
  <c r="J783" i="205"/>
  <c r="J783" i="204" s="1"/>
  <c r="E783" i="205"/>
  <c r="G783" i="205"/>
  <c r="G783" i="204" s="1"/>
  <c r="H783" i="205"/>
  <c r="H783" i="204" s="1"/>
  <c r="I783" i="205"/>
  <c r="I783" i="204" s="1"/>
  <c r="F783" i="205"/>
  <c r="F783" i="204" s="1"/>
  <c r="E783" i="204" l="1"/>
  <c r="I30" i="202" l="1"/>
  <c r="I28" i="202"/>
  <c r="I29" i="202"/>
  <c r="I27" i="202"/>
  <c r="I14" i="203"/>
  <c r="I26" i="202" l="1"/>
  <c r="I10" i="202"/>
  <c r="I14" i="202"/>
  <c r="I13" i="203"/>
  <c r="I22" i="203" s="1"/>
  <c r="I76" i="203" s="1"/>
  <c r="I11" i="202"/>
  <c r="I12" i="202"/>
  <c r="I15" i="202"/>
  <c r="I9" i="202"/>
  <c r="I13" i="202"/>
  <c r="I22" i="202" l="1"/>
  <c r="I24" i="202"/>
  <c r="I39" i="202" s="1"/>
  <c r="G116" i="257" l="1"/>
  <c r="K178" i="257" l="1"/>
  <c r="G14" i="257"/>
  <c r="K177" i="257" l="1"/>
  <c r="G163" i="257" l="1"/>
  <c r="G157" i="257"/>
  <c r="E398" i="205" l="1"/>
  <c r="E398" i="204" l="1"/>
  <c r="I47" i="202"/>
  <c r="J429" i="205" l="1"/>
  <c r="I429" i="205"/>
  <c r="H429" i="205"/>
  <c r="G429" i="205"/>
  <c r="F429" i="205"/>
  <c r="E429" i="205"/>
  <c r="G429" i="204" l="1"/>
  <c r="H429" i="204"/>
  <c r="F429" i="204"/>
  <c r="J429" i="204"/>
  <c r="E429" i="204"/>
  <c r="L58" i="205"/>
  <c r="I429" i="204"/>
  <c r="L58" i="204" l="1"/>
  <c r="G199" i="257" l="1"/>
  <c r="F398" i="205" l="1"/>
  <c r="G398" i="205"/>
  <c r="G398" i="204" s="1"/>
  <c r="H398" i="205"/>
  <c r="H398" i="204" s="1"/>
  <c r="I398" i="205"/>
  <c r="I398" i="204" s="1"/>
  <c r="J398" i="205"/>
  <c r="J398" i="204" s="1"/>
  <c r="G178" i="257"/>
  <c r="F398" i="204" l="1"/>
  <c r="L27" i="205"/>
  <c r="G177" i="257"/>
  <c r="L27" i="204" l="1"/>
  <c r="E654" i="205" l="1"/>
  <c r="D149" i="257"/>
  <c r="M149" i="257" s="1"/>
  <c r="D148" i="257"/>
  <c r="M148" i="257" s="1"/>
  <c r="D147" i="257"/>
  <c r="D150" i="257"/>
  <c r="M150" i="257" s="1"/>
  <c r="E654" i="204" l="1"/>
  <c r="G654" i="205"/>
  <c r="G654" i="204" s="1"/>
  <c r="F654" i="205"/>
  <c r="F654" i="204" s="1"/>
  <c r="I654" i="205"/>
  <c r="I654" i="204" s="1"/>
  <c r="J654" i="205"/>
  <c r="J654" i="204" s="1"/>
  <c r="H654" i="205"/>
  <c r="H654" i="204" s="1"/>
  <c r="E728" i="205"/>
  <c r="F148" i="257"/>
  <c r="H148" i="257" s="1"/>
  <c r="F149" i="257"/>
  <c r="H149" i="257" s="1"/>
  <c r="F147" i="257"/>
  <c r="F150" i="257"/>
  <c r="H150" i="257" s="1"/>
  <c r="D146" i="257"/>
  <c r="E728" i="204" l="1"/>
  <c r="I728" i="205"/>
  <c r="I728" i="204" s="1"/>
  <c r="H728" i="205"/>
  <c r="H728" i="204" s="1"/>
  <c r="J728" i="205"/>
  <c r="J728" i="204" s="1"/>
  <c r="G728" i="205"/>
  <c r="G728" i="204" s="1"/>
  <c r="F728" i="205"/>
  <c r="F728" i="204" s="1"/>
  <c r="E802" i="205"/>
  <c r="F146" i="257"/>
  <c r="E802" i="204" l="1"/>
  <c r="J178" i="257"/>
  <c r="L178" i="257" s="1"/>
  <c r="J802" i="205"/>
  <c r="J802" i="204" s="1"/>
  <c r="F802" i="205"/>
  <c r="F802" i="204" s="1"/>
  <c r="I802" i="205"/>
  <c r="I802" i="204" s="1"/>
  <c r="G802" i="205"/>
  <c r="G802" i="204" s="1"/>
  <c r="H802" i="205"/>
  <c r="H802" i="204" s="1"/>
  <c r="K654" i="205"/>
  <c r="D178" i="257"/>
  <c r="D192" i="257"/>
  <c r="M192" i="257" s="1"/>
  <c r="D190" i="257"/>
  <c r="M190" i="257" s="1"/>
  <c r="D189" i="257"/>
  <c r="M189" i="257" s="1"/>
  <c r="D191" i="257"/>
  <c r="M191" i="257" s="1"/>
  <c r="M178" i="257" l="1"/>
  <c r="K654" i="204"/>
  <c r="J179" i="257"/>
  <c r="L179" i="257" s="1"/>
  <c r="F178" i="257"/>
  <c r="H178" i="257" s="1"/>
  <c r="M654" i="205"/>
  <c r="M654" i="204" s="1"/>
  <c r="P654" i="205"/>
  <c r="P654" i="204" s="1"/>
  <c r="N654" i="205"/>
  <c r="N654" i="204" s="1"/>
  <c r="O654" i="205"/>
  <c r="O654" i="204" s="1"/>
  <c r="L654" i="205"/>
  <c r="L654" i="204" s="1"/>
  <c r="K728" i="205"/>
  <c r="D179" i="257"/>
  <c r="F192" i="257"/>
  <c r="H192" i="257" s="1"/>
  <c r="F189" i="257"/>
  <c r="H189" i="257" s="1"/>
  <c r="F191" i="257"/>
  <c r="H191" i="257" s="1"/>
  <c r="F190" i="257"/>
  <c r="H190" i="257" s="1"/>
  <c r="D188" i="257"/>
  <c r="M188" i="257" s="1"/>
  <c r="Q654" i="205" l="1"/>
  <c r="Q61" i="205" s="1"/>
  <c r="Q61" i="204" s="1"/>
  <c r="Q654" i="204"/>
  <c r="K728" i="204"/>
  <c r="M179" i="257"/>
  <c r="J180" i="257"/>
  <c r="L180" i="257" s="1"/>
  <c r="F179" i="257"/>
  <c r="H179" i="257" s="1"/>
  <c r="M728" i="205"/>
  <c r="M728" i="204" s="1"/>
  <c r="N728" i="205"/>
  <c r="N728" i="204" s="1"/>
  <c r="P728" i="205"/>
  <c r="P728" i="204" s="1"/>
  <c r="L728" i="205"/>
  <c r="L728" i="204" s="1"/>
  <c r="O728" i="205"/>
  <c r="O728" i="204" s="1"/>
  <c r="D181" i="257"/>
  <c r="K802" i="205"/>
  <c r="D180" i="257"/>
  <c r="F188" i="257"/>
  <c r="H188" i="257" s="1"/>
  <c r="M180" i="257" l="1"/>
  <c r="Q728" i="205"/>
  <c r="R61" i="205" s="1"/>
  <c r="R61" i="204" s="1"/>
  <c r="K802" i="204"/>
  <c r="Q728" i="204"/>
  <c r="J181" i="257"/>
  <c r="L181" i="257" s="1"/>
  <c r="M181" i="257" s="1"/>
  <c r="F181" i="257"/>
  <c r="H181" i="257" s="1"/>
  <c r="L802" i="205"/>
  <c r="L802" i="204" s="1"/>
  <c r="P802" i="205"/>
  <c r="P802" i="204" s="1"/>
  <c r="O802" i="205"/>
  <c r="O802" i="204" s="1"/>
  <c r="N802" i="205"/>
  <c r="N802" i="204" s="1"/>
  <c r="M802" i="205"/>
  <c r="M802" i="204" s="1"/>
  <c r="D177" i="257"/>
  <c r="F180" i="257"/>
  <c r="H180" i="257" s="1"/>
  <c r="Q802" i="205" l="1"/>
  <c r="S61" i="205" s="1"/>
  <c r="S61" i="204" s="1"/>
  <c r="Q802" i="204"/>
  <c r="F177" i="257"/>
  <c r="H177" i="257" s="1"/>
  <c r="J386" i="205" l="1"/>
  <c r="J386" i="204" s="1"/>
  <c r="J98" i="257" l="1"/>
  <c r="D98" i="257"/>
  <c r="J99" i="257" l="1"/>
  <c r="L99" i="257" s="1"/>
  <c r="F98" i="257"/>
  <c r="D99" i="257"/>
  <c r="M99" i="257" l="1"/>
  <c r="J100" i="257"/>
  <c r="L100" i="257" s="1"/>
  <c r="J101" i="257"/>
  <c r="L101" i="257" s="1"/>
  <c r="F99" i="257"/>
  <c r="H99" i="257" s="1"/>
  <c r="P620" i="205"/>
  <c r="P620" i="204" s="1"/>
  <c r="D100" i="257"/>
  <c r="D101" i="257"/>
  <c r="M101" i="257" l="1"/>
  <c r="M100" i="257"/>
  <c r="E620" i="205"/>
  <c r="F100" i="257"/>
  <c r="H100" i="257" s="1"/>
  <c r="N620" i="205"/>
  <c r="N620" i="204" s="1"/>
  <c r="K620" i="205"/>
  <c r="K620" i="204" s="1"/>
  <c r="I620" i="205"/>
  <c r="I620" i="204" s="1"/>
  <c r="J620" i="205"/>
  <c r="J620" i="204" s="1"/>
  <c r="F620" i="205"/>
  <c r="F620" i="204" s="1"/>
  <c r="G620" i="205"/>
  <c r="G620" i="204" s="1"/>
  <c r="L620" i="205"/>
  <c r="L620" i="204" s="1"/>
  <c r="H620" i="205"/>
  <c r="H620" i="204" s="1"/>
  <c r="M620" i="205"/>
  <c r="M620" i="204" s="1"/>
  <c r="O620" i="205"/>
  <c r="O620" i="204" s="1"/>
  <c r="P694" i="205"/>
  <c r="P694" i="204" s="1"/>
  <c r="D97" i="257"/>
  <c r="F101" i="257"/>
  <c r="H101" i="257" s="1"/>
  <c r="E620" i="204" l="1"/>
  <c r="Q620" i="204" s="1"/>
  <c r="Q620" i="205"/>
  <c r="Q27" i="205" s="1"/>
  <c r="Q27" i="204" s="1"/>
  <c r="E694" i="205"/>
  <c r="F97" i="257"/>
  <c r="L694" i="205"/>
  <c r="L694" i="204" s="1"/>
  <c r="H694" i="205"/>
  <c r="H694" i="204" s="1"/>
  <c r="P768" i="205"/>
  <c r="P768" i="204" s="1"/>
  <c r="M694" i="205"/>
  <c r="M694" i="204" s="1"/>
  <c r="K694" i="205"/>
  <c r="K694" i="204" s="1"/>
  <c r="N694" i="205"/>
  <c r="N694" i="204" s="1"/>
  <c r="I694" i="205"/>
  <c r="I694" i="204" s="1"/>
  <c r="O694" i="205"/>
  <c r="O694" i="204" s="1"/>
  <c r="G694" i="205"/>
  <c r="G694" i="204" s="1"/>
  <c r="J694" i="205"/>
  <c r="J694" i="204" s="1"/>
  <c r="F694" i="205"/>
  <c r="F694" i="204" s="1"/>
  <c r="E768" i="205"/>
  <c r="E768" i="204" l="1"/>
  <c r="E694" i="204"/>
  <c r="Q694" i="204" s="1"/>
  <c r="Q694" i="205"/>
  <c r="R27" i="205" s="1"/>
  <c r="R27" i="204" s="1"/>
  <c r="L768" i="205"/>
  <c r="L768" i="204" s="1"/>
  <c r="J768" i="205"/>
  <c r="J768" i="204" s="1"/>
  <c r="M768" i="205"/>
  <c r="M768" i="204" s="1"/>
  <c r="H768" i="205"/>
  <c r="H768" i="204" s="1"/>
  <c r="N768" i="205"/>
  <c r="N768" i="204" s="1"/>
  <c r="G768" i="205"/>
  <c r="G768" i="204" s="1"/>
  <c r="O768" i="205"/>
  <c r="O768" i="204" s="1"/>
  <c r="K768" i="205"/>
  <c r="K768" i="204" s="1"/>
  <c r="I768" i="205"/>
  <c r="I768" i="204" s="1"/>
  <c r="F768" i="205"/>
  <c r="F768" i="204" s="1"/>
  <c r="Q768" i="205" l="1"/>
  <c r="S27" i="205" s="1"/>
  <c r="S27" i="204" s="1"/>
  <c r="Q768" i="204"/>
  <c r="I60" i="202"/>
  <c r="P432" i="205" l="1"/>
  <c r="P432" i="204" s="1"/>
  <c r="O432" i="205"/>
  <c r="O432" i="204" s="1"/>
  <c r="N432" i="205"/>
  <c r="N432" i="204" s="1"/>
  <c r="M432" i="205"/>
  <c r="M432" i="204" s="1"/>
  <c r="L432" i="205"/>
  <c r="L432" i="204" s="1"/>
  <c r="K432" i="205"/>
  <c r="P398" i="205"/>
  <c r="P398" i="204" s="1"/>
  <c r="O398" i="205"/>
  <c r="O398" i="204" s="1"/>
  <c r="N398" i="205"/>
  <c r="N398" i="204" s="1"/>
  <c r="M398" i="205"/>
  <c r="M398" i="204" s="1"/>
  <c r="L398" i="205"/>
  <c r="L398" i="204" s="1"/>
  <c r="K398" i="205"/>
  <c r="M27" i="205" l="1"/>
  <c r="K398" i="204"/>
  <c r="Q398" i="204" s="1"/>
  <c r="Q398" i="205"/>
  <c r="Q432" i="205"/>
  <c r="M61" i="205"/>
  <c r="K432" i="204"/>
  <c r="Q432" i="204" s="1"/>
  <c r="M61" i="204" l="1"/>
  <c r="N61" i="205"/>
  <c r="N61" i="204" s="1"/>
  <c r="M27" i="204"/>
  <c r="N27" i="205"/>
  <c r="N27" i="204" s="1"/>
  <c r="G79" i="257" l="1"/>
  <c r="I46" i="202"/>
  <c r="I399" i="205"/>
  <c r="I399" i="204" s="1"/>
  <c r="I397" i="205"/>
  <c r="I397" i="204" s="1"/>
  <c r="I414" i="205"/>
  <c r="I414" i="204" s="1"/>
  <c r="I431" i="205"/>
  <c r="I386" i="205"/>
  <c r="I386" i="204" s="1"/>
  <c r="I383" i="205"/>
  <c r="I383" i="204" s="1"/>
  <c r="I382" i="205"/>
  <c r="I382" i="204" s="1"/>
  <c r="H399" i="205"/>
  <c r="H399" i="204" s="1"/>
  <c r="H397" i="205"/>
  <c r="H397" i="204" s="1"/>
  <c r="H414" i="205"/>
  <c r="H414" i="204" s="1"/>
  <c r="H431" i="205"/>
  <c r="H386" i="205"/>
  <c r="H386" i="204" s="1"/>
  <c r="H383" i="205"/>
  <c r="H383" i="204" s="1"/>
  <c r="H382" i="205"/>
  <c r="H382" i="204" s="1"/>
  <c r="G399" i="205"/>
  <c r="G399" i="204" s="1"/>
  <c r="G397" i="205"/>
  <c r="G397" i="204" s="1"/>
  <c r="G414" i="205"/>
  <c r="G414" i="204" s="1"/>
  <c r="G431" i="205"/>
  <c r="G386" i="205"/>
  <c r="G386" i="204" s="1"/>
  <c r="G383" i="205"/>
  <c r="G383" i="204" s="1"/>
  <c r="G382" i="205"/>
  <c r="G382" i="204" s="1"/>
  <c r="F399" i="205"/>
  <c r="F399" i="204" s="1"/>
  <c r="F397" i="205"/>
  <c r="F397" i="204" s="1"/>
  <c r="F414" i="205"/>
  <c r="F414" i="204" s="1"/>
  <c r="F431" i="205"/>
  <c r="F386" i="205"/>
  <c r="F386" i="204" s="1"/>
  <c r="F383" i="205"/>
  <c r="F383" i="204" s="1"/>
  <c r="F382" i="205"/>
  <c r="F382" i="204" s="1"/>
  <c r="E399" i="205"/>
  <c r="E397" i="205"/>
  <c r="E414" i="205"/>
  <c r="E431" i="205"/>
  <c r="E386" i="205"/>
  <c r="E383" i="205"/>
  <c r="E382" i="205"/>
  <c r="D206" i="257"/>
  <c r="M206" i="257" s="1"/>
  <c r="D207" i="257"/>
  <c r="M207" i="257" s="1"/>
  <c r="D208" i="257"/>
  <c r="M208" i="257" s="1"/>
  <c r="D194" i="257"/>
  <c r="M194" i="257" s="1"/>
  <c r="D195" i="257"/>
  <c r="M195" i="257" s="1"/>
  <c r="D196" i="257"/>
  <c r="M196" i="257" s="1"/>
  <c r="D197" i="257"/>
  <c r="M197" i="257" s="1"/>
  <c r="G51" i="257"/>
  <c r="H51" i="257" s="1"/>
  <c r="G31" i="257"/>
  <c r="G32" i="257"/>
  <c r="G36" i="257"/>
  <c r="G13" i="257"/>
  <c r="G127" i="257"/>
  <c r="G202" i="257"/>
  <c r="G209" i="257"/>
  <c r="G205" i="257"/>
  <c r="G17" i="257"/>
  <c r="G20" i="257"/>
  <c r="G21" i="257"/>
  <c r="G22" i="257"/>
  <c r="G23" i="257"/>
  <c r="G26" i="257"/>
  <c r="G28" i="257"/>
  <c r="G29" i="257"/>
  <c r="G30" i="257"/>
  <c r="G34" i="257"/>
  <c r="G35" i="257"/>
  <c r="G45" i="257"/>
  <c r="G46" i="257"/>
  <c r="G54" i="257"/>
  <c r="H54" i="257" s="1"/>
  <c r="G56" i="257"/>
  <c r="G57" i="257"/>
  <c r="G58" i="257"/>
  <c r="G60" i="257"/>
  <c r="G61" i="257"/>
  <c r="G62" i="257"/>
  <c r="G65" i="257"/>
  <c r="G67" i="257"/>
  <c r="G68" i="257"/>
  <c r="G69" i="257"/>
  <c r="I65" i="202"/>
  <c r="I43" i="202"/>
  <c r="I41" i="202"/>
  <c r="G210" i="257"/>
  <c r="G184" i="257"/>
  <c r="G159" i="257"/>
  <c r="G164" i="257"/>
  <c r="G156" i="257"/>
  <c r="G141" i="257"/>
  <c r="G139" i="257"/>
  <c r="G110" i="257"/>
  <c r="G115" i="257"/>
  <c r="G114" i="257"/>
  <c r="G108" i="257"/>
  <c r="G103" i="257"/>
  <c r="G87" i="257"/>
  <c r="G78" i="257"/>
  <c r="G70" i="257"/>
  <c r="J383" i="205"/>
  <c r="J383" i="204" s="1"/>
  <c r="J397" i="205"/>
  <c r="J397" i="204" s="1"/>
  <c r="J384" i="206"/>
  <c r="J431" i="205"/>
  <c r="J382" i="205"/>
  <c r="J382" i="204" s="1"/>
  <c r="J399" i="205"/>
  <c r="J399" i="204" s="1"/>
  <c r="E397" i="204" l="1"/>
  <c r="L26" i="205"/>
  <c r="E386" i="204"/>
  <c r="L15" i="205"/>
  <c r="L28" i="205"/>
  <c r="E399" i="204"/>
  <c r="G431" i="204"/>
  <c r="G446" i="204" s="1"/>
  <c r="G446" i="205"/>
  <c r="E431" i="204"/>
  <c r="L60" i="205"/>
  <c r="E446" i="205"/>
  <c r="I56" i="202"/>
  <c r="F431" i="204"/>
  <c r="F446" i="204" s="1"/>
  <c r="F446" i="205"/>
  <c r="J431" i="204"/>
  <c r="J446" i="204" s="1"/>
  <c r="J446" i="205"/>
  <c r="J384" i="204"/>
  <c r="J393" i="206"/>
  <c r="J448" i="206" s="1"/>
  <c r="E382" i="204"/>
  <c r="L11" i="205"/>
  <c r="H431" i="204"/>
  <c r="H446" i="204" s="1"/>
  <c r="H446" i="205"/>
  <c r="E414" i="204"/>
  <c r="E383" i="204"/>
  <c r="L12" i="205"/>
  <c r="I431" i="204"/>
  <c r="I446" i="204" s="1"/>
  <c r="I446" i="205"/>
  <c r="J139" i="257"/>
  <c r="K116" i="257"/>
  <c r="G107" i="257"/>
  <c r="G48" i="257"/>
  <c r="H48" i="257" s="1"/>
  <c r="G53" i="257"/>
  <c r="H53" i="257" s="1"/>
  <c r="K163" i="257"/>
  <c r="K199" i="257"/>
  <c r="F207" i="257"/>
  <c r="H207" i="257" s="1"/>
  <c r="F197" i="257"/>
  <c r="H197" i="257" s="1"/>
  <c r="F196" i="257"/>
  <c r="H196" i="257" s="1"/>
  <c r="F195" i="257"/>
  <c r="H195" i="257" s="1"/>
  <c r="F194" i="257"/>
  <c r="H194" i="257" s="1"/>
  <c r="K36" i="257"/>
  <c r="K20" i="257"/>
  <c r="K28" i="257"/>
  <c r="K210" i="257"/>
  <c r="K164" i="257"/>
  <c r="K87" i="257"/>
  <c r="K108" i="257"/>
  <c r="E395" i="205"/>
  <c r="I384" i="206"/>
  <c r="K209" i="257"/>
  <c r="K35" i="257"/>
  <c r="K70" i="257"/>
  <c r="F206" i="257"/>
  <c r="H206" i="257" s="1"/>
  <c r="K69" i="257"/>
  <c r="K57" i="257"/>
  <c r="G12" i="257"/>
  <c r="H395" i="205"/>
  <c r="F412" i="205"/>
  <c r="I381" i="205"/>
  <c r="I381" i="204" s="1"/>
  <c r="E384" i="206"/>
  <c r="G385" i="205"/>
  <c r="G385" i="204" s="1"/>
  <c r="I395" i="205"/>
  <c r="K65" i="257"/>
  <c r="G102" i="257"/>
  <c r="K17" i="257"/>
  <c r="K68" i="257"/>
  <c r="K45" i="257"/>
  <c r="F208" i="257"/>
  <c r="H208" i="257" s="1"/>
  <c r="E380" i="205"/>
  <c r="H384" i="206"/>
  <c r="I412" i="205"/>
  <c r="K23" i="257"/>
  <c r="D193" i="257"/>
  <c r="M193" i="257" s="1"/>
  <c r="K31" i="257"/>
  <c r="K141" i="257"/>
  <c r="E381" i="205"/>
  <c r="F384" i="206"/>
  <c r="G412" i="205"/>
  <c r="H385" i="205"/>
  <c r="H385" i="204" s="1"/>
  <c r="G44" i="257"/>
  <c r="E412" i="205"/>
  <c r="F385" i="205"/>
  <c r="F385" i="204" s="1"/>
  <c r="K66" i="257"/>
  <c r="F380" i="205"/>
  <c r="K32" i="257"/>
  <c r="E385" i="205"/>
  <c r="G381" i="205"/>
  <c r="G381" i="204" s="1"/>
  <c r="H380" i="205"/>
  <c r="G198" i="257"/>
  <c r="K14" i="257"/>
  <c r="K22" i="257"/>
  <c r="K61" i="257"/>
  <c r="K115" i="257"/>
  <c r="K159" i="257"/>
  <c r="K202" i="257"/>
  <c r="K110" i="257"/>
  <c r="F381" i="205"/>
  <c r="F381" i="204" s="1"/>
  <c r="G380" i="205"/>
  <c r="G384" i="206"/>
  <c r="H412" i="205"/>
  <c r="I385" i="205"/>
  <c r="I385" i="204" s="1"/>
  <c r="K30" i="257"/>
  <c r="H381" i="205"/>
  <c r="H381" i="204" s="1"/>
  <c r="I380" i="205"/>
  <c r="K26" i="257"/>
  <c r="K78" i="257"/>
  <c r="K157" i="257"/>
  <c r="G55" i="257"/>
  <c r="F395" i="205"/>
  <c r="J380" i="205"/>
  <c r="K29" i="257"/>
  <c r="K58" i="257"/>
  <c r="K62" i="257"/>
  <c r="K103" i="257"/>
  <c r="K205" i="257"/>
  <c r="K46" i="257"/>
  <c r="K54" i="257"/>
  <c r="L54" i="257" s="1"/>
  <c r="M54" i="257" s="1"/>
  <c r="K67" i="257"/>
  <c r="K127" i="257"/>
  <c r="G158" i="257"/>
  <c r="G59" i="257"/>
  <c r="G25" i="257"/>
  <c r="K34" i="257"/>
  <c r="K56" i="257"/>
  <c r="K184" i="257"/>
  <c r="G395" i="205"/>
  <c r="G109" i="257"/>
  <c r="G18" i="257"/>
  <c r="G33" i="257"/>
  <c r="G126" i="257"/>
  <c r="G201" i="257"/>
  <c r="G183" i="257"/>
  <c r="G204" i="257"/>
  <c r="G140" i="257"/>
  <c r="J381" i="205"/>
  <c r="J381" i="204" s="1"/>
  <c r="J395" i="205"/>
  <c r="K13" i="257"/>
  <c r="K21" i="257"/>
  <c r="K51" i="257"/>
  <c r="L51" i="257" s="1"/>
  <c r="M51" i="257" s="1"/>
  <c r="K60" i="257"/>
  <c r="K114" i="257"/>
  <c r="K139" i="257"/>
  <c r="G66" i="257"/>
  <c r="G27" i="257"/>
  <c r="L12" i="204" l="1"/>
  <c r="E427" i="205"/>
  <c r="E412" i="204"/>
  <c r="I427" i="205"/>
  <c r="I412" i="204"/>
  <c r="I427" i="204" s="1"/>
  <c r="L139" i="257"/>
  <c r="H384" i="204"/>
  <c r="H393" i="206"/>
  <c r="H448" i="206" s="1"/>
  <c r="I384" i="204"/>
  <c r="I393" i="206"/>
  <c r="I448" i="206" s="1"/>
  <c r="L28" i="204"/>
  <c r="F410" i="205"/>
  <c r="F395" i="204"/>
  <c r="F410" i="204" s="1"/>
  <c r="E393" i="205"/>
  <c r="E380" i="204"/>
  <c r="L9" i="205"/>
  <c r="E393" i="206"/>
  <c r="L13" i="206"/>
  <c r="E384" i="204"/>
  <c r="L15" i="204"/>
  <c r="J395" i="204"/>
  <c r="G410" i="205"/>
  <c r="G395" i="204"/>
  <c r="G410" i="204" s="1"/>
  <c r="H393" i="205"/>
  <c r="H380" i="204"/>
  <c r="F393" i="205"/>
  <c r="F380" i="204"/>
  <c r="G427" i="205"/>
  <c r="G412" i="204"/>
  <c r="G427" i="204" s="1"/>
  <c r="I410" i="205"/>
  <c r="I395" i="204"/>
  <c r="I410" i="204" s="1"/>
  <c r="J380" i="204"/>
  <c r="H427" i="205"/>
  <c r="H412" i="204"/>
  <c r="H427" i="204" s="1"/>
  <c r="E385" i="204"/>
  <c r="F384" i="204"/>
  <c r="F393" i="206"/>
  <c r="F448" i="206" s="1"/>
  <c r="H410" i="205"/>
  <c r="H395" i="204"/>
  <c r="H410" i="204" s="1"/>
  <c r="E410" i="205"/>
  <c r="E447" i="205" s="1"/>
  <c r="E395" i="204"/>
  <c r="L24" i="205"/>
  <c r="L75" i="205"/>
  <c r="L26" i="204"/>
  <c r="G393" i="206"/>
  <c r="G448" i="206" s="1"/>
  <c r="G384" i="204"/>
  <c r="L10" i="205"/>
  <c r="E381" i="204"/>
  <c r="F427" i="205"/>
  <c r="F412" i="204"/>
  <c r="F427" i="204" s="1"/>
  <c r="L11" i="204"/>
  <c r="L60" i="204"/>
  <c r="I393" i="205"/>
  <c r="I380" i="204"/>
  <c r="G393" i="205"/>
  <c r="G380" i="204"/>
  <c r="E446" i="204"/>
  <c r="G47" i="257"/>
  <c r="H47" i="257" s="1"/>
  <c r="G64" i="257"/>
  <c r="K156" i="257"/>
  <c r="K107" i="257"/>
  <c r="P635" i="205"/>
  <c r="P635" i="204" s="1"/>
  <c r="O635" i="205"/>
  <c r="O635" i="204" s="1"/>
  <c r="L635" i="205"/>
  <c r="L635" i="204" s="1"/>
  <c r="M635" i="205"/>
  <c r="M635" i="204" s="1"/>
  <c r="N635" i="205"/>
  <c r="N635" i="204" s="1"/>
  <c r="K635" i="205"/>
  <c r="F193" i="257"/>
  <c r="H193" i="257" s="1"/>
  <c r="K25" i="257"/>
  <c r="K109" i="257"/>
  <c r="K64" i="257"/>
  <c r="K15" i="257"/>
  <c r="K201" i="257"/>
  <c r="K27" i="257"/>
  <c r="K126" i="257"/>
  <c r="K140" i="257"/>
  <c r="K158" i="257"/>
  <c r="K44" i="257"/>
  <c r="K204" i="257"/>
  <c r="K430" i="205"/>
  <c r="G15" i="257"/>
  <c r="G125" i="257"/>
  <c r="G166" i="257" s="1"/>
  <c r="K102" i="257"/>
  <c r="K53" i="257"/>
  <c r="L53" i="257" s="1"/>
  <c r="M53" i="257" s="1"/>
  <c r="K55" i="257"/>
  <c r="K33" i="257"/>
  <c r="G24" i="257"/>
  <c r="K198" i="257"/>
  <c r="K18" i="257"/>
  <c r="K59" i="257"/>
  <c r="K12" i="257"/>
  <c r="K48" i="257"/>
  <c r="L48" i="257" s="1"/>
  <c r="M48" i="257" s="1"/>
  <c r="K183" i="257"/>
  <c r="K79" i="257"/>
  <c r="O396" i="205"/>
  <c r="O396" i="204" s="1"/>
  <c r="P396" i="205"/>
  <c r="P396" i="204" s="1"/>
  <c r="L396" i="205"/>
  <c r="L396" i="204" s="1"/>
  <c r="N396" i="205"/>
  <c r="N396" i="204" s="1"/>
  <c r="M396" i="205"/>
  <c r="M396" i="204" s="1"/>
  <c r="K396" i="205"/>
  <c r="G447" i="205" l="1"/>
  <c r="H447" i="204"/>
  <c r="F447" i="205"/>
  <c r="F448" i="205" s="1"/>
  <c r="H447" i="205"/>
  <c r="H448" i="205" s="1"/>
  <c r="G448" i="205"/>
  <c r="G447" i="204"/>
  <c r="I447" i="205"/>
  <c r="I448" i="205" s="1"/>
  <c r="F393" i="204"/>
  <c r="E448" i="205"/>
  <c r="K396" i="204"/>
  <c r="M25" i="205"/>
  <c r="M25" i="204" s="1"/>
  <c r="I447" i="204"/>
  <c r="G393" i="204"/>
  <c r="E427" i="204"/>
  <c r="K635" i="204"/>
  <c r="Q635" i="204" s="1"/>
  <c r="Q635" i="205"/>
  <c r="Q42" i="205" s="1"/>
  <c r="Q42" i="204" s="1"/>
  <c r="L13" i="204"/>
  <c r="I393" i="204"/>
  <c r="L22" i="206"/>
  <c r="E448" i="206"/>
  <c r="L9" i="204"/>
  <c r="H393" i="204"/>
  <c r="H448" i="204" s="1"/>
  <c r="K430" i="204"/>
  <c r="F447" i="204"/>
  <c r="F448" i="204" s="1"/>
  <c r="L24" i="204"/>
  <c r="E393" i="204"/>
  <c r="L75" i="204"/>
  <c r="E410" i="204"/>
  <c r="L10" i="204"/>
  <c r="F610" i="205"/>
  <c r="F610" i="204" s="1"/>
  <c r="O610" i="205"/>
  <c r="O610" i="204" s="1"/>
  <c r="E610" i="205"/>
  <c r="J610" i="205"/>
  <c r="J610" i="204" s="1"/>
  <c r="O709" i="205"/>
  <c r="O709" i="204" s="1"/>
  <c r="G610" i="205"/>
  <c r="G610" i="204" s="1"/>
  <c r="M610" i="205"/>
  <c r="M610" i="204" s="1"/>
  <c r="P709" i="205"/>
  <c r="P709" i="204" s="1"/>
  <c r="N709" i="205"/>
  <c r="N709" i="204" s="1"/>
  <c r="M709" i="205"/>
  <c r="M709" i="204" s="1"/>
  <c r="F609" i="205"/>
  <c r="F609" i="204" s="1"/>
  <c r="H609" i="205"/>
  <c r="H609" i="204" s="1"/>
  <c r="J609" i="205"/>
  <c r="J609" i="204" s="1"/>
  <c r="G618" i="205"/>
  <c r="G618" i="204" s="1"/>
  <c r="I618" i="205"/>
  <c r="I618" i="204" s="1"/>
  <c r="E609" i="205"/>
  <c r="F618" i="205"/>
  <c r="F618" i="204" s="1"/>
  <c r="O609" i="205"/>
  <c r="O609" i="204" s="1"/>
  <c r="K609" i="205"/>
  <c r="K609" i="204" s="1"/>
  <c r="L709" i="205"/>
  <c r="L709" i="204" s="1"/>
  <c r="N609" i="205"/>
  <c r="N609" i="204" s="1"/>
  <c r="I609" i="205"/>
  <c r="I609" i="204" s="1"/>
  <c r="H618" i="205"/>
  <c r="H618" i="204" s="1"/>
  <c r="L609" i="205"/>
  <c r="L609" i="204" s="1"/>
  <c r="G609" i="205"/>
  <c r="G609" i="204" s="1"/>
  <c r="P609" i="205"/>
  <c r="P609" i="204" s="1"/>
  <c r="M609" i="205"/>
  <c r="M609" i="204" s="1"/>
  <c r="E618" i="205"/>
  <c r="K709" i="205"/>
  <c r="K643" i="205"/>
  <c r="K643" i="204" s="1"/>
  <c r="P643" i="205"/>
  <c r="P643" i="204" s="1"/>
  <c r="J643" i="205"/>
  <c r="J643" i="204" s="1"/>
  <c r="N643" i="205"/>
  <c r="N643" i="204" s="1"/>
  <c r="G643" i="205"/>
  <c r="G643" i="204" s="1"/>
  <c r="L643" i="205"/>
  <c r="L643" i="204" s="1"/>
  <c r="M643" i="205"/>
  <c r="M643" i="204" s="1"/>
  <c r="O643" i="205"/>
  <c r="O643" i="204" s="1"/>
  <c r="I643" i="205"/>
  <c r="I643" i="204" s="1"/>
  <c r="E643" i="205"/>
  <c r="F643" i="205"/>
  <c r="F643" i="204" s="1"/>
  <c r="H643" i="205"/>
  <c r="H643" i="204" s="1"/>
  <c r="H610" i="205"/>
  <c r="H610" i="204" s="1"/>
  <c r="I610" i="205"/>
  <c r="I610" i="204" s="1"/>
  <c r="K610" i="205"/>
  <c r="K610" i="204" s="1"/>
  <c r="L610" i="205"/>
  <c r="L610" i="204" s="1"/>
  <c r="N610" i="205"/>
  <c r="N610" i="204" s="1"/>
  <c r="P610" i="205"/>
  <c r="P610" i="204" s="1"/>
  <c r="J396" i="205"/>
  <c r="D70" i="257"/>
  <c r="N418" i="205"/>
  <c r="N418" i="204" s="1"/>
  <c r="O418" i="205"/>
  <c r="O418" i="204" s="1"/>
  <c r="P418" i="205"/>
  <c r="P418" i="204" s="1"/>
  <c r="J418" i="205"/>
  <c r="K418" i="205"/>
  <c r="M418" i="205"/>
  <c r="M418" i="204" s="1"/>
  <c r="L418" i="205"/>
  <c r="L418" i="204" s="1"/>
  <c r="J97" i="257"/>
  <c r="G86" i="257"/>
  <c r="D139" i="257"/>
  <c r="M139" i="257" s="1"/>
  <c r="P384" i="206"/>
  <c r="L384" i="206"/>
  <c r="M384" i="206"/>
  <c r="O384" i="206"/>
  <c r="P430" i="205"/>
  <c r="P430" i="204" s="1"/>
  <c r="N430" i="205"/>
  <c r="N430" i="204" s="1"/>
  <c r="M430" i="205"/>
  <c r="M430" i="204" s="1"/>
  <c r="K384" i="206"/>
  <c r="O430" i="205"/>
  <c r="O430" i="204" s="1"/>
  <c r="N384" i="206"/>
  <c r="L430" i="205"/>
  <c r="L430" i="204" s="1"/>
  <c r="K125" i="257"/>
  <c r="K166" i="257" s="1"/>
  <c r="K24" i="257"/>
  <c r="G11" i="257"/>
  <c r="G72" i="257" s="1"/>
  <c r="K47" i="257"/>
  <c r="L47" i="257" s="1"/>
  <c r="M47" i="257" s="1"/>
  <c r="K11" i="257"/>
  <c r="D69" i="257"/>
  <c r="I448" i="204" l="1"/>
  <c r="G448" i="204"/>
  <c r="E447" i="204"/>
  <c r="K72" i="257"/>
  <c r="M13" i="206"/>
  <c r="K393" i="206"/>
  <c r="K384" i="204"/>
  <c r="Q384" i="206"/>
  <c r="K709" i="204"/>
  <c r="Q709" i="204" s="1"/>
  <c r="Q709" i="205"/>
  <c r="R42" i="205" s="1"/>
  <c r="R42" i="204" s="1"/>
  <c r="L77" i="206"/>
  <c r="Q610" i="205"/>
  <c r="Q17" i="205" s="1"/>
  <c r="Q17" i="204" s="1"/>
  <c r="E610" i="204"/>
  <c r="Q610" i="204" s="1"/>
  <c r="P384" i="204"/>
  <c r="P393" i="206"/>
  <c r="P448" i="206" s="1"/>
  <c r="M47" i="205"/>
  <c r="M47" i="204" s="1"/>
  <c r="K418" i="204"/>
  <c r="E618" i="204"/>
  <c r="M59" i="205"/>
  <c r="N384" i="204"/>
  <c r="N393" i="206"/>
  <c r="N448" i="206" s="1"/>
  <c r="J418" i="204"/>
  <c r="Q418" i="205"/>
  <c r="L47" i="205"/>
  <c r="Q430" i="204"/>
  <c r="Q643" i="205"/>
  <c r="Q50" i="205" s="1"/>
  <c r="Q50" i="204" s="1"/>
  <c r="E643" i="204"/>
  <c r="Q643" i="204" s="1"/>
  <c r="Q430" i="205"/>
  <c r="Q609" i="205"/>
  <c r="Q16" i="205" s="1"/>
  <c r="Q16" i="204" s="1"/>
  <c r="E609" i="204"/>
  <c r="Q609" i="204" s="1"/>
  <c r="Q396" i="205"/>
  <c r="J396" i="204"/>
  <c r="L25" i="205"/>
  <c r="J410" i="205"/>
  <c r="E448" i="204"/>
  <c r="O393" i="206"/>
  <c r="O448" i="206" s="1"/>
  <c r="O384" i="204"/>
  <c r="M393" i="206"/>
  <c r="M448" i="206" s="1"/>
  <c r="M384" i="204"/>
  <c r="L393" i="206"/>
  <c r="L448" i="206" s="1"/>
  <c r="L384" i="204"/>
  <c r="F684" i="205"/>
  <c r="F684" i="204" s="1"/>
  <c r="G684" i="205"/>
  <c r="G684" i="204" s="1"/>
  <c r="E684" i="205"/>
  <c r="P783" i="205"/>
  <c r="P783" i="204" s="1"/>
  <c r="O684" i="205"/>
  <c r="O684" i="204" s="1"/>
  <c r="J684" i="205"/>
  <c r="J684" i="204" s="1"/>
  <c r="E683" i="205"/>
  <c r="F683" i="205"/>
  <c r="F683" i="204" s="1"/>
  <c r="O783" i="205"/>
  <c r="O783" i="204" s="1"/>
  <c r="M684" i="205"/>
  <c r="M684" i="204" s="1"/>
  <c r="I692" i="205"/>
  <c r="I692" i="204" s="1"/>
  <c r="N783" i="205"/>
  <c r="N783" i="204" s="1"/>
  <c r="J683" i="205"/>
  <c r="J683" i="204" s="1"/>
  <c r="M783" i="205"/>
  <c r="M783" i="204" s="1"/>
  <c r="M683" i="205"/>
  <c r="M683" i="204" s="1"/>
  <c r="F692" i="205"/>
  <c r="F692" i="204" s="1"/>
  <c r="G692" i="205"/>
  <c r="G692" i="204" s="1"/>
  <c r="H683" i="205"/>
  <c r="H683" i="204" s="1"/>
  <c r="L783" i="205"/>
  <c r="L783" i="204" s="1"/>
  <c r="H692" i="205"/>
  <c r="H692" i="204" s="1"/>
  <c r="I683" i="205"/>
  <c r="I683" i="204" s="1"/>
  <c r="N683" i="205"/>
  <c r="N683" i="204" s="1"/>
  <c r="O683" i="205"/>
  <c r="O683" i="204" s="1"/>
  <c r="G683" i="205"/>
  <c r="G683" i="204" s="1"/>
  <c r="K683" i="205"/>
  <c r="K683" i="204" s="1"/>
  <c r="P683" i="205"/>
  <c r="P683" i="204" s="1"/>
  <c r="L683" i="205"/>
  <c r="L683" i="204" s="1"/>
  <c r="E692" i="205"/>
  <c r="K783" i="205"/>
  <c r="E717" i="205"/>
  <c r="J717" i="205"/>
  <c r="J717" i="204" s="1"/>
  <c r="H717" i="205"/>
  <c r="H717" i="204" s="1"/>
  <c r="M717" i="205"/>
  <c r="M717" i="204" s="1"/>
  <c r="N717" i="205"/>
  <c r="N717" i="204" s="1"/>
  <c r="P717" i="205"/>
  <c r="P717" i="204" s="1"/>
  <c r="F717" i="205"/>
  <c r="F717" i="204" s="1"/>
  <c r="G717" i="205"/>
  <c r="G717" i="204" s="1"/>
  <c r="O717" i="205"/>
  <c r="O717" i="204" s="1"/>
  <c r="L717" i="205"/>
  <c r="L717" i="204" s="1"/>
  <c r="I717" i="205"/>
  <c r="I717" i="204" s="1"/>
  <c r="K717" i="205"/>
  <c r="K717" i="204" s="1"/>
  <c r="G758" i="205"/>
  <c r="G758" i="204" s="1"/>
  <c r="F758" i="205"/>
  <c r="F758" i="204" s="1"/>
  <c r="E757" i="205"/>
  <c r="H684" i="205"/>
  <c r="H684" i="204" s="1"/>
  <c r="I684" i="205"/>
  <c r="I684" i="204" s="1"/>
  <c r="P684" i="205"/>
  <c r="P684" i="204" s="1"/>
  <c r="N684" i="205"/>
  <c r="N684" i="204" s="1"/>
  <c r="K684" i="205"/>
  <c r="K684" i="204" s="1"/>
  <c r="L684" i="205"/>
  <c r="L684" i="204" s="1"/>
  <c r="F70" i="257"/>
  <c r="J70" i="257"/>
  <c r="J69" i="257"/>
  <c r="F139" i="257"/>
  <c r="H139" i="257" s="1"/>
  <c r="K86" i="257"/>
  <c r="K431" i="205"/>
  <c r="J414" i="205"/>
  <c r="F69" i="257"/>
  <c r="Q418" i="204" l="1"/>
  <c r="Q396" i="204"/>
  <c r="J410" i="204"/>
  <c r="E692" i="204"/>
  <c r="K431" i="204"/>
  <c r="M59" i="204"/>
  <c r="N59" i="205"/>
  <c r="N59" i="204" s="1"/>
  <c r="E757" i="204"/>
  <c r="Q683" i="205"/>
  <c r="R16" i="205" s="1"/>
  <c r="R16" i="204" s="1"/>
  <c r="E683" i="204"/>
  <c r="Q683" i="204" s="1"/>
  <c r="E717" i="204"/>
  <c r="Q717" i="204" s="1"/>
  <c r="Q717" i="205"/>
  <c r="R50" i="205" s="1"/>
  <c r="R50" i="204" s="1"/>
  <c r="E684" i="204"/>
  <c r="Q684" i="204" s="1"/>
  <c r="Q684" i="205"/>
  <c r="R17" i="205" s="1"/>
  <c r="R17" i="204" s="1"/>
  <c r="Q384" i="204"/>
  <c r="J414" i="204"/>
  <c r="L43" i="205"/>
  <c r="K783" i="204"/>
  <c r="Q783" i="204" s="1"/>
  <c r="Q783" i="205"/>
  <c r="S42" i="205" s="1"/>
  <c r="S42" i="204" s="1"/>
  <c r="L39" i="205"/>
  <c r="M22" i="206"/>
  <c r="N22" i="206" s="1"/>
  <c r="K448" i="206"/>
  <c r="Q393" i="206"/>
  <c r="L25" i="204"/>
  <c r="N25" i="205"/>
  <c r="N25" i="204" s="1"/>
  <c r="L47" i="204"/>
  <c r="N47" i="205"/>
  <c r="N47" i="204" s="1"/>
  <c r="M13" i="204"/>
  <c r="N13" i="206"/>
  <c r="N13" i="204" s="1"/>
  <c r="J209" i="257"/>
  <c r="L209" i="257" s="1"/>
  <c r="J91" i="257"/>
  <c r="L91" i="257" s="1"/>
  <c r="J758" i="205"/>
  <c r="J758" i="204" s="1"/>
  <c r="J163" i="257"/>
  <c r="L163" i="257" s="1"/>
  <c r="J115" i="257"/>
  <c r="L115" i="257" s="1"/>
  <c r="E758" i="205"/>
  <c r="O758" i="205"/>
  <c r="O758" i="204" s="1"/>
  <c r="F766" i="205"/>
  <c r="F766" i="204" s="1"/>
  <c r="F757" i="205"/>
  <c r="F757" i="204" s="1"/>
  <c r="H757" i="205"/>
  <c r="H757" i="204" s="1"/>
  <c r="I766" i="205"/>
  <c r="I766" i="204" s="1"/>
  <c r="M757" i="205"/>
  <c r="M757" i="204" s="1"/>
  <c r="M758" i="205"/>
  <c r="M758" i="204" s="1"/>
  <c r="K757" i="205"/>
  <c r="K757" i="204" s="1"/>
  <c r="J757" i="205"/>
  <c r="J757" i="204" s="1"/>
  <c r="G757" i="205"/>
  <c r="G757" i="204" s="1"/>
  <c r="H766" i="205"/>
  <c r="H766" i="204" s="1"/>
  <c r="G766" i="205"/>
  <c r="G766" i="204" s="1"/>
  <c r="I757" i="205"/>
  <c r="I757" i="204" s="1"/>
  <c r="N757" i="205"/>
  <c r="N757" i="204" s="1"/>
  <c r="H660" i="205"/>
  <c r="H660" i="204" s="1"/>
  <c r="O757" i="205"/>
  <c r="O757" i="204" s="1"/>
  <c r="P757" i="205"/>
  <c r="P757" i="204" s="1"/>
  <c r="K625" i="205"/>
  <c r="K625" i="204" s="1"/>
  <c r="G660" i="205"/>
  <c r="G660" i="204" s="1"/>
  <c r="G625" i="205"/>
  <c r="G625" i="204" s="1"/>
  <c r="F625" i="205"/>
  <c r="F625" i="204" s="1"/>
  <c r="E660" i="205"/>
  <c r="F660" i="205"/>
  <c r="F660" i="204" s="1"/>
  <c r="O625" i="205"/>
  <c r="O625" i="204" s="1"/>
  <c r="L660" i="205"/>
  <c r="L660" i="204" s="1"/>
  <c r="E625" i="205"/>
  <c r="J625" i="205"/>
  <c r="J625" i="204" s="1"/>
  <c r="P625" i="205"/>
  <c r="P625" i="204" s="1"/>
  <c r="L757" i="205"/>
  <c r="L757" i="204" s="1"/>
  <c r="J660" i="205"/>
  <c r="J660" i="204" s="1"/>
  <c r="M625" i="205"/>
  <c r="M625" i="204" s="1"/>
  <c r="N625" i="205"/>
  <c r="N625" i="204" s="1"/>
  <c r="K624" i="205"/>
  <c r="K624" i="204" s="1"/>
  <c r="L625" i="205"/>
  <c r="L625" i="204" s="1"/>
  <c r="E641" i="205"/>
  <c r="I660" i="205"/>
  <c r="I660" i="204" s="1"/>
  <c r="L618" i="205"/>
  <c r="L618" i="204" s="1"/>
  <c r="M618" i="205"/>
  <c r="M618" i="204" s="1"/>
  <c r="P618" i="205"/>
  <c r="P618" i="204" s="1"/>
  <c r="O618" i="205"/>
  <c r="O618" i="204" s="1"/>
  <c r="K618" i="205"/>
  <c r="K618" i="204" s="1"/>
  <c r="N618" i="205"/>
  <c r="N618" i="204" s="1"/>
  <c r="E638" i="205"/>
  <c r="K791" i="205"/>
  <c r="K791" i="204" s="1"/>
  <c r="F791" i="205"/>
  <c r="F791" i="204" s="1"/>
  <c r="E766" i="205"/>
  <c r="L791" i="205"/>
  <c r="L791" i="204" s="1"/>
  <c r="P791" i="205"/>
  <c r="P791" i="204" s="1"/>
  <c r="N791" i="205"/>
  <c r="N791" i="204" s="1"/>
  <c r="M791" i="205"/>
  <c r="M791" i="204" s="1"/>
  <c r="G791" i="205"/>
  <c r="G791" i="204" s="1"/>
  <c r="I791" i="205"/>
  <c r="I791" i="204" s="1"/>
  <c r="O791" i="205"/>
  <c r="O791" i="204" s="1"/>
  <c r="J791" i="205"/>
  <c r="J791" i="204" s="1"/>
  <c r="H791" i="205"/>
  <c r="H791" i="204" s="1"/>
  <c r="E791" i="205"/>
  <c r="H638" i="205"/>
  <c r="H638" i="204" s="1"/>
  <c r="G638" i="205"/>
  <c r="G638" i="204" s="1"/>
  <c r="F638" i="205"/>
  <c r="F638" i="204" s="1"/>
  <c r="I638" i="205"/>
  <c r="I638" i="204" s="1"/>
  <c r="K660" i="205"/>
  <c r="K660" i="204" s="1"/>
  <c r="G641" i="205"/>
  <c r="G641" i="204" s="1"/>
  <c r="P641" i="205"/>
  <c r="P641" i="204" s="1"/>
  <c r="M660" i="205"/>
  <c r="M660" i="204" s="1"/>
  <c r="L641" i="205"/>
  <c r="L641" i="204" s="1"/>
  <c r="J641" i="205"/>
  <c r="J641" i="204" s="1"/>
  <c r="M641" i="205"/>
  <c r="M641" i="204" s="1"/>
  <c r="O641" i="205"/>
  <c r="O641" i="204" s="1"/>
  <c r="P660" i="205"/>
  <c r="P660" i="204" s="1"/>
  <c r="O660" i="205"/>
  <c r="O660" i="204" s="1"/>
  <c r="N660" i="205"/>
  <c r="N660" i="204" s="1"/>
  <c r="K641" i="205"/>
  <c r="K641" i="204" s="1"/>
  <c r="F641" i="205"/>
  <c r="F641" i="204" s="1"/>
  <c r="N641" i="205"/>
  <c r="N641" i="204" s="1"/>
  <c r="H641" i="205"/>
  <c r="H641" i="204" s="1"/>
  <c r="I641" i="205"/>
  <c r="I641" i="204" s="1"/>
  <c r="H758" i="205"/>
  <c r="H758" i="204" s="1"/>
  <c r="I758" i="205"/>
  <c r="I758" i="204" s="1"/>
  <c r="I625" i="205"/>
  <c r="I625" i="204" s="1"/>
  <c r="H625" i="205"/>
  <c r="H625" i="204" s="1"/>
  <c r="L758" i="205"/>
  <c r="L758" i="204" s="1"/>
  <c r="K758" i="205"/>
  <c r="K758" i="204" s="1"/>
  <c r="P758" i="205"/>
  <c r="P758" i="204" s="1"/>
  <c r="N758" i="205"/>
  <c r="N758" i="204" s="1"/>
  <c r="D163" i="257"/>
  <c r="D209" i="257"/>
  <c r="J177" i="257"/>
  <c r="L177" i="257" s="1"/>
  <c r="M177" i="257" s="1"/>
  <c r="D115" i="257"/>
  <c r="P431" i="205"/>
  <c r="P431" i="204" s="1"/>
  <c r="G93" i="257"/>
  <c r="M414" i="205"/>
  <c r="M414" i="204" s="1"/>
  <c r="N414" i="205"/>
  <c r="N414" i="204" s="1"/>
  <c r="N431" i="205"/>
  <c r="N431" i="204" s="1"/>
  <c r="L431" i="205"/>
  <c r="L431" i="204" s="1"/>
  <c r="K414" i="205"/>
  <c r="P382" i="205"/>
  <c r="P382" i="204" s="1"/>
  <c r="P414" i="205"/>
  <c r="P414" i="204" s="1"/>
  <c r="O382" i="205"/>
  <c r="O382" i="204" s="1"/>
  <c r="L382" i="205"/>
  <c r="L382" i="204" s="1"/>
  <c r="N382" i="205"/>
  <c r="N382" i="204" s="1"/>
  <c r="M382" i="205"/>
  <c r="M382" i="204" s="1"/>
  <c r="O414" i="205"/>
  <c r="O414" i="204" s="1"/>
  <c r="M431" i="205"/>
  <c r="M431" i="204" s="1"/>
  <c r="O431" i="205"/>
  <c r="O431" i="204" s="1"/>
  <c r="L414" i="205"/>
  <c r="L414" i="204" s="1"/>
  <c r="K382" i="205"/>
  <c r="M383" i="205"/>
  <c r="M383" i="204" s="1"/>
  <c r="L383" i="205"/>
  <c r="L383" i="204" s="1"/>
  <c r="P383" i="205"/>
  <c r="P383" i="204" s="1"/>
  <c r="N383" i="205"/>
  <c r="N383" i="204" s="1"/>
  <c r="O383" i="205"/>
  <c r="O383" i="204" s="1"/>
  <c r="K383" i="205"/>
  <c r="Q414" i="205" l="1"/>
  <c r="K382" i="204"/>
  <c r="Q382" i="204" s="1"/>
  <c r="M11" i="205"/>
  <c r="Q382" i="205"/>
  <c r="Q660" i="205"/>
  <c r="Q67" i="205" s="1"/>
  <c r="Q67" i="204" s="1"/>
  <c r="E660" i="204"/>
  <c r="Q660" i="204" s="1"/>
  <c r="E758" i="204"/>
  <c r="Q758" i="204" s="1"/>
  <c r="Q758" i="205"/>
  <c r="S17" i="205" s="1"/>
  <c r="S17" i="204" s="1"/>
  <c r="L43" i="204"/>
  <c r="Q757" i="205"/>
  <c r="S16" i="205" s="1"/>
  <c r="S16" i="204" s="1"/>
  <c r="E638" i="204"/>
  <c r="Q757" i="204"/>
  <c r="M163" i="257"/>
  <c r="Q431" i="205"/>
  <c r="K414" i="204"/>
  <c r="Q414" i="204" s="1"/>
  <c r="M43" i="205"/>
  <c r="M43" i="204" s="1"/>
  <c r="M60" i="205"/>
  <c r="Q791" i="205"/>
  <c r="S50" i="205" s="1"/>
  <c r="S50" i="204" s="1"/>
  <c r="E791" i="204"/>
  <c r="Q791" i="204" s="1"/>
  <c r="E766" i="204"/>
  <c r="Q625" i="205"/>
  <c r="Q32" i="205" s="1"/>
  <c r="Q32" i="204" s="1"/>
  <c r="E625" i="204"/>
  <c r="Q625" i="204" s="1"/>
  <c r="M209" i="257"/>
  <c r="M77" i="206"/>
  <c r="N77" i="206" s="1"/>
  <c r="Q448" i="206"/>
  <c r="Q431" i="204"/>
  <c r="M115" i="257"/>
  <c r="K383" i="204"/>
  <c r="Q383" i="204" s="1"/>
  <c r="M12" i="205"/>
  <c r="Q383" i="205"/>
  <c r="E641" i="204"/>
  <c r="Q641" i="204" s="1"/>
  <c r="Q641" i="205"/>
  <c r="Q48" i="205" s="1"/>
  <c r="Q48" i="204" s="1"/>
  <c r="L39" i="204"/>
  <c r="J114" i="257"/>
  <c r="L114" i="257" s="1"/>
  <c r="J618" i="205"/>
  <c r="G734" i="205"/>
  <c r="G734" i="204" s="1"/>
  <c r="J734" i="205"/>
  <c r="J734" i="204" s="1"/>
  <c r="O699" i="205"/>
  <c r="O699" i="204" s="1"/>
  <c r="P699" i="205"/>
  <c r="P699" i="204" s="1"/>
  <c r="E734" i="205"/>
  <c r="J699" i="205"/>
  <c r="J699" i="204" s="1"/>
  <c r="H734" i="205"/>
  <c r="H734" i="204" s="1"/>
  <c r="F699" i="205"/>
  <c r="F699" i="204" s="1"/>
  <c r="L734" i="205"/>
  <c r="L734" i="204" s="1"/>
  <c r="K699" i="205"/>
  <c r="K699" i="204" s="1"/>
  <c r="I734" i="205"/>
  <c r="I734" i="204" s="1"/>
  <c r="F734" i="205"/>
  <c r="F734" i="204" s="1"/>
  <c r="L699" i="205"/>
  <c r="L699" i="204" s="1"/>
  <c r="K698" i="205"/>
  <c r="K698" i="204" s="1"/>
  <c r="E699" i="205"/>
  <c r="M699" i="205"/>
  <c r="M699" i="204" s="1"/>
  <c r="G699" i="205"/>
  <c r="G699" i="204" s="1"/>
  <c r="P624" i="205"/>
  <c r="P624" i="204" s="1"/>
  <c r="N624" i="205"/>
  <c r="N624" i="204" s="1"/>
  <c r="N699" i="205"/>
  <c r="N699" i="204" s="1"/>
  <c r="O624" i="205"/>
  <c r="O624" i="204" s="1"/>
  <c r="M624" i="205"/>
  <c r="M624" i="204" s="1"/>
  <c r="D91" i="257"/>
  <c r="M91" i="257" s="1"/>
  <c r="E715" i="205"/>
  <c r="L624" i="205"/>
  <c r="L624" i="204" s="1"/>
  <c r="E624" i="205"/>
  <c r="P692" i="205"/>
  <c r="P692" i="204" s="1"/>
  <c r="H637" i="205"/>
  <c r="H637" i="204" s="1"/>
  <c r="L692" i="205"/>
  <c r="L692" i="204" s="1"/>
  <c r="I637" i="205"/>
  <c r="I637" i="204" s="1"/>
  <c r="E637" i="205"/>
  <c r="F637" i="205"/>
  <c r="F637" i="204" s="1"/>
  <c r="O692" i="205"/>
  <c r="O692" i="204" s="1"/>
  <c r="G637" i="205"/>
  <c r="G637" i="204" s="1"/>
  <c r="N692" i="205"/>
  <c r="N692" i="204" s="1"/>
  <c r="K692" i="205"/>
  <c r="K692" i="204" s="1"/>
  <c r="M692" i="205"/>
  <c r="M692" i="204" s="1"/>
  <c r="H712" i="205"/>
  <c r="H712" i="204" s="1"/>
  <c r="F712" i="205"/>
  <c r="F712" i="204" s="1"/>
  <c r="I712" i="205"/>
  <c r="I712" i="204" s="1"/>
  <c r="G712" i="205"/>
  <c r="G712" i="204" s="1"/>
  <c r="E712" i="205"/>
  <c r="I715" i="205"/>
  <c r="I715" i="204" s="1"/>
  <c r="P715" i="205"/>
  <c r="P715" i="204" s="1"/>
  <c r="G715" i="205"/>
  <c r="G715" i="204" s="1"/>
  <c r="M734" i="205"/>
  <c r="M734" i="204" s="1"/>
  <c r="K734" i="205"/>
  <c r="K734" i="204" s="1"/>
  <c r="H699" i="205"/>
  <c r="H699" i="204" s="1"/>
  <c r="N734" i="205"/>
  <c r="N734" i="204" s="1"/>
  <c r="O715" i="205"/>
  <c r="O715" i="204" s="1"/>
  <c r="I699" i="205"/>
  <c r="I699" i="204" s="1"/>
  <c r="H715" i="205"/>
  <c r="H715" i="204" s="1"/>
  <c r="K715" i="205"/>
  <c r="K715" i="204" s="1"/>
  <c r="O734" i="205"/>
  <c r="O734" i="204" s="1"/>
  <c r="M715" i="205"/>
  <c r="M715" i="204" s="1"/>
  <c r="L715" i="205"/>
  <c r="L715" i="204" s="1"/>
  <c r="N715" i="205"/>
  <c r="N715" i="204" s="1"/>
  <c r="P734" i="205"/>
  <c r="P734" i="204" s="1"/>
  <c r="J715" i="205"/>
  <c r="J715" i="204" s="1"/>
  <c r="F715" i="205"/>
  <c r="F715" i="204" s="1"/>
  <c r="I624" i="205"/>
  <c r="I624" i="204" s="1"/>
  <c r="H624" i="205"/>
  <c r="H624" i="204" s="1"/>
  <c r="D114" i="257"/>
  <c r="F624" i="205"/>
  <c r="F624" i="204" s="1"/>
  <c r="J624" i="205"/>
  <c r="J624" i="204" s="1"/>
  <c r="G624" i="205"/>
  <c r="G624" i="204" s="1"/>
  <c r="F163" i="257"/>
  <c r="H163" i="257" s="1"/>
  <c r="F209" i="257"/>
  <c r="H209" i="257" s="1"/>
  <c r="E655" i="205"/>
  <c r="F115" i="257"/>
  <c r="H115" i="257" s="1"/>
  <c r="K93" i="257"/>
  <c r="L386" i="205"/>
  <c r="L386" i="204" s="1"/>
  <c r="M386" i="205"/>
  <c r="M386" i="204" s="1"/>
  <c r="N386" i="205"/>
  <c r="N386" i="204" s="1"/>
  <c r="P386" i="205"/>
  <c r="P386" i="204" s="1"/>
  <c r="O386" i="205"/>
  <c r="O386" i="204" s="1"/>
  <c r="M114" i="257" l="1"/>
  <c r="N43" i="205"/>
  <c r="N43" i="204" s="1"/>
  <c r="E712" i="204"/>
  <c r="Q624" i="205"/>
  <c r="Q31" i="205" s="1"/>
  <c r="Q31" i="204" s="1"/>
  <c r="E624" i="204"/>
  <c r="Q624" i="204" s="1"/>
  <c r="J618" i="204"/>
  <c r="Q618" i="204" s="1"/>
  <c r="Q618" i="205"/>
  <c r="Q25" i="205" s="1"/>
  <c r="Q25" i="204" s="1"/>
  <c r="E715" i="204"/>
  <c r="Q715" i="204" s="1"/>
  <c r="Q715" i="205"/>
  <c r="R48" i="205" s="1"/>
  <c r="R48" i="204" s="1"/>
  <c r="M12" i="204"/>
  <c r="N12" i="205"/>
  <c r="N12" i="204" s="1"/>
  <c r="E734" i="204"/>
  <c r="Q734" i="204" s="1"/>
  <c r="Q734" i="205"/>
  <c r="R67" i="205" s="1"/>
  <c r="R67" i="204" s="1"/>
  <c r="M60" i="204"/>
  <c r="N60" i="205"/>
  <c r="N60" i="204" s="1"/>
  <c r="E637" i="204"/>
  <c r="E699" i="204"/>
  <c r="Q699" i="204" s="1"/>
  <c r="Q699" i="205"/>
  <c r="R32" i="205" s="1"/>
  <c r="R32" i="204" s="1"/>
  <c r="E655" i="204"/>
  <c r="M11" i="204"/>
  <c r="N11" i="205"/>
  <c r="N11" i="204" s="1"/>
  <c r="J692" i="205"/>
  <c r="J773" i="205"/>
  <c r="J773" i="204" s="1"/>
  <c r="J808" i="205"/>
  <c r="J808" i="204" s="1"/>
  <c r="P773" i="205"/>
  <c r="P773" i="204" s="1"/>
  <c r="G808" i="205"/>
  <c r="G808" i="204" s="1"/>
  <c r="E773" i="205"/>
  <c r="N698" i="205"/>
  <c r="N698" i="204" s="1"/>
  <c r="H808" i="205"/>
  <c r="H808" i="204" s="1"/>
  <c r="O773" i="205"/>
  <c r="O773" i="204" s="1"/>
  <c r="K773" i="205"/>
  <c r="K773" i="204" s="1"/>
  <c r="L808" i="205"/>
  <c r="L808" i="204" s="1"/>
  <c r="E808" i="205"/>
  <c r="M773" i="205"/>
  <c r="M773" i="204" s="1"/>
  <c r="F808" i="205"/>
  <c r="F808" i="204" s="1"/>
  <c r="F773" i="205"/>
  <c r="F773" i="204" s="1"/>
  <c r="M698" i="205"/>
  <c r="M698" i="204" s="1"/>
  <c r="G773" i="205"/>
  <c r="G773" i="204" s="1"/>
  <c r="P698" i="205"/>
  <c r="P698" i="204" s="1"/>
  <c r="L773" i="205"/>
  <c r="L773" i="204" s="1"/>
  <c r="N773" i="205"/>
  <c r="N773" i="204" s="1"/>
  <c r="K772" i="205"/>
  <c r="K772" i="204" s="1"/>
  <c r="I808" i="205"/>
  <c r="I808" i="204" s="1"/>
  <c r="O698" i="205"/>
  <c r="O698" i="204" s="1"/>
  <c r="F91" i="257"/>
  <c r="H91" i="257" s="1"/>
  <c r="E698" i="205"/>
  <c r="L698" i="205"/>
  <c r="L698" i="204" s="1"/>
  <c r="M766" i="205"/>
  <c r="M766" i="204" s="1"/>
  <c r="N766" i="205"/>
  <c r="N766" i="204" s="1"/>
  <c r="O766" i="205"/>
  <c r="O766" i="204" s="1"/>
  <c r="E711" i="205"/>
  <c r="I711" i="205"/>
  <c r="I711" i="204" s="1"/>
  <c r="H711" i="205"/>
  <c r="H711" i="204" s="1"/>
  <c r="K766" i="205"/>
  <c r="K766" i="204" s="1"/>
  <c r="G711" i="205"/>
  <c r="G711" i="204" s="1"/>
  <c r="F711" i="205"/>
  <c r="F711" i="204" s="1"/>
  <c r="L766" i="205"/>
  <c r="L766" i="204" s="1"/>
  <c r="P766" i="205"/>
  <c r="P766" i="204" s="1"/>
  <c r="F114" i="257"/>
  <c r="H114" i="257" s="1"/>
  <c r="H655" i="205"/>
  <c r="H655" i="204" s="1"/>
  <c r="F786" i="205"/>
  <c r="F786" i="204" s="1"/>
  <c r="G786" i="205"/>
  <c r="G786" i="204" s="1"/>
  <c r="F655" i="205"/>
  <c r="F655" i="204" s="1"/>
  <c r="I773" i="205"/>
  <c r="I773" i="204" s="1"/>
  <c r="M808" i="205"/>
  <c r="M808" i="204" s="1"/>
  <c r="K808" i="205"/>
  <c r="K808" i="204" s="1"/>
  <c r="I786" i="205"/>
  <c r="I786" i="204" s="1"/>
  <c r="O808" i="205"/>
  <c r="O808" i="204" s="1"/>
  <c r="N808" i="205"/>
  <c r="N808" i="204" s="1"/>
  <c r="E786" i="205"/>
  <c r="P808" i="205"/>
  <c r="P808" i="204" s="1"/>
  <c r="H773" i="205"/>
  <c r="H773" i="204" s="1"/>
  <c r="H786" i="205"/>
  <c r="H786" i="204" s="1"/>
  <c r="J655" i="205"/>
  <c r="J655" i="204" s="1"/>
  <c r="G698" i="205"/>
  <c r="G698" i="204" s="1"/>
  <c r="J698" i="205"/>
  <c r="J698" i="204" s="1"/>
  <c r="F698" i="205"/>
  <c r="F698" i="204" s="1"/>
  <c r="I698" i="205"/>
  <c r="I698" i="204" s="1"/>
  <c r="H698" i="205"/>
  <c r="H698" i="204" s="1"/>
  <c r="G655" i="205"/>
  <c r="G655" i="204" s="1"/>
  <c r="I655" i="205"/>
  <c r="I655" i="204" s="1"/>
  <c r="E729" i="205"/>
  <c r="L381" i="205"/>
  <c r="L381" i="204" s="1"/>
  <c r="M381" i="205"/>
  <c r="M381" i="204" s="1"/>
  <c r="K386" i="205"/>
  <c r="P399" i="205"/>
  <c r="P399" i="204" s="1"/>
  <c r="L399" i="205"/>
  <c r="L399" i="204" s="1"/>
  <c r="M399" i="205"/>
  <c r="M399" i="204" s="1"/>
  <c r="N399" i="205"/>
  <c r="N399" i="204" s="1"/>
  <c r="O399" i="205"/>
  <c r="O399" i="204" s="1"/>
  <c r="N381" i="205"/>
  <c r="N381" i="204" s="1"/>
  <c r="N380" i="205"/>
  <c r="P380" i="205"/>
  <c r="O380" i="205"/>
  <c r="K381" i="205"/>
  <c r="L380" i="205"/>
  <c r="K380" i="205"/>
  <c r="P381" i="205"/>
  <c r="P381" i="204" s="1"/>
  <c r="M380" i="205"/>
  <c r="O381" i="205"/>
  <c r="O381" i="204" s="1"/>
  <c r="G77" i="257"/>
  <c r="K381" i="204" l="1"/>
  <c r="Q381" i="204" s="1"/>
  <c r="M10" i="205"/>
  <c r="Q381" i="205"/>
  <c r="Q808" i="205"/>
  <c r="S67" i="205" s="1"/>
  <c r="S67" i="204" s="1"/>
  <c r="E808" i="204"/>
  <c r="Q808" i="204" s="1"/>
  <c r="Q773" i="205"/>
  <c r="S32" i="205" s="1"/>
  <c r="S32" i="204" s="1"/>
  <c r="E773" i="204"/>
  <c r="Q773" i="204" s="1"/>
  <c r="P380" i="204"/>
  <c r="K386" i="204"/>
  <c r="Q386" i="204" s="1"/>
  <c r="M15" i="205"/>
  <c r="Q386" i="205"/>
  <c r="M9" i="205"/>
  <c r="K380" i="204"/>
  <c r="Q380" i="205"/>
  <c r="E729" i="204"/>
  <c r="E786" i="204"/>
  <c r="J692" i="204"/>
  <c r="Q692" i="204" s="1"/>
  <c r="Q692" i="205"/>
  <c r="R25" i="205" s="1"/>
  <c r="R25" i="204" s="1"/>
  <c r="O380" i="204"/>
  <c r="M380" i="204"/>
  <c r="L380" i="204"/>
  <c r="Q698" i="205"/>
  <c r="R31" i="205" s="1"/>
  <c r="R31" i="204" s="1"/>
  <c r="E698" i="204"/>
  <c r="Q698" i="204" s="1"/>
  <c r="N380" i="204"/>
  <c r="E711" i="204"/>
  <c r="J164" i="257"/>
  <c r="J766" i="205"/>
  <c r="M772" i="205"/>
  <c r="M772" i="204" s="1"/>
  <c r="N772" i="205"/>
  <c r="N772" i="204" s="1"/>
  <c r="P772" i="205"/>
  <c r="P772" i="204" s="1"/>
  <c r="G76" i="257"/>
  <c r="O772" i="205"/>
  <c r="O772" i="204" s="1"/>
  <c r="E772" i="205"/>
  <c r="L772" i="205"/>
  <c r="L772" i="204" s="1"/>
  <c r="E642" i="205"/>
  <c r="I785" i="205"/>
  <c r="I785" i="204" s="1"/>
  <c r="H785" i="205"/>
  <c r="H785" i="204" s="1"/>
  <c r="F785" i="205"/>
  <c r="F785" i="204" s="1"/>
  <c r="G785" i="205"/>
  <c r="G785" i="204" s="1"/>
  <c r="E785" i="205"/>
  <c r="F772" i="205"/>
  <c r="F772" i="204" s="1"/>
  <c r="H772" i="205"/>
  <c r="H772" i="204" s="1"/>
  <c r="I772" i="205"/>
  <c r="I772" i="204" s="1"/>
  <c r="J772" i="205"/>
  <c r="J772" i="204" s="1"/>
  <c r="G772" i="205"/>
  <c r="G772" i="204" s="1"/>
  <c r="G729" i="205"/>
  <c r="G729" i="204" s="1"/>
  <c r="I729" i="205"/>
  <c r="I729" i="204" s="1"/>
  <c r="H729" i="205"/>
  <c r="H729" i="204" s="1"/>
  <c r="F729" i="205"/>
  <c r="F729" i="204" s="1"/>
  <c r="J729" i="205"/>
  <c r="J729" i="204" s="1"/>
  <c r="L642" i="205"/>
  <c r="L642" i="204" s="1"/>
  <c r="H642" i="205"/>
  <c r="H642" i="204" s="1"/>
  <c r="N642" i="205"/>
  <c r="N642" i="204" s="1"/>
  <c r="K642" i="205"/>
  <c r="K642" i="204" s="1"/>
  <c r="I642" i="205"/>
  <c r="I642" i="204" s="1"/>
  <c r="G642" i="205"/>
  <c r="G642" i="204" s="1"/>
  <c r="P642" i="205"/>
  <c r="P642" i="204" s="1"/>
  <c r="M642" i="205"/>
  <c r="M642" i="204" s="1"/>
  <c r="J642" i="205"/>
  <c r="J642" i="204" s="1"/>
  <c r="O642" i="205"/>
  <c r="O642" i="204" s="1"/>
  <c r="F642" i="205"/>
  <c r="F642" i="204" s="1"/>
  <c r="E803" i="205"/>
  <c r="K399" i="205"/>
  <c r="G92" i="257"/>
  <c r="D164" i="257"/>
  <c r="N397" i="205"/>
  <c r="N397" i="204" s="1"/>
  <c r="M397" i="205"/>
  <c r="M397" i="204" s="1"/>
  <c r="O397" i="205"/>
  <c r="O397" i="204" s="1"/>
  <c r="L397" i="205"/>
  <c r="L397" i="204" s="1"/>
  <c r="J416" i="205"/>
  <c r="M416" i="205"/>
  <c r="M416" i="204" s="1"/>
  <c r="L416" i="205"/>
  <c r="L416" i="204" s="1"/>
  <c r="P416" i="205"/>
  <c r="P416" i="204" s="1"/>
  <c r="K416" i="205"/>
  <c r="J385" i="205"/>
  <c r="K397" i="205"/>
  <c r="N433" i="205"/>
  <c r="N433" i="204" s="1"/>
  <c r="E803" i="204" l="1"/>
  <c r="Q642" i="205"/>
  <c r="Q49" i="205" s="1"/>
  <c r="Q49" i="204" s="1"/>
  <c r="E642" i="204"/>
  <c r="Q642" i="204" s="1"/>
  <c r="J385" i="204"/>
  <c r="J393" i="205"/>
  <c r="L14" i="205"/>
  <c r="L45" i="205"/>
  <c r="J416" i="204"/>
  <c r="J766" i="204"/>
  <c r="Q766" i="204" s="1"/>
  <c r="Q766" i="205"/>
  <c r="S25" i="205" s="1"/>
  <c r="S25" i="204" s="1"/>
  <c r="M28" i="205"/>
  <c r="K399" i="204"/>
  <c r="Q399" i="204" s="1"/>
  <c r="Q399" i="205"/>
  <c r="Q772" i="205"/>
  <c r="S31" i="205" s="1"/>
  <c r="S31" i="204" s="1"/>
  <c r="E772" i="204"/>
  <c r="Q772" i="204" s="1"/>
  <c r="E785" i="204"/>
  <c r="K416" i="204"/>
  <c r="Q380" i="204"/>
  <c r="M9" i="204"/>
  <c r="N9" i="205"/>
  <c r="N9" i="204" s="1"/>
  <c r="M10" i="204"/>
  <c r="N10" i="205"/>
  <c r="N10" i="204" s="1"/>
  <c r="K397" i="204"/>
  <c r="M15" i="204"/>
  <c r="N15" i="205"/>
  <c r="N15" i="204" s="1"/>
  <c r="J202" i="257"/>
  <c r="L202" i="257" s="1"/>
  <c r="J199" i="257"/>
  <c r="E716" i="205"/>
  <c r="P415" i="205"/>
  <c r="P415" i="204" s="1"/>
  <c r="K415" i="205"/>
  <c r="I803" i="205"/>
  <c r="I803" i="204" s="1"/>
  <c r="H803" i="205"/>
  <c r="H803" i="204" s="1"/>
  <c r="J803" i="205"/>
  <c r="J803" i="204" s="1"/>
  <c r="G803" i="205"/>
  <c r="G803" i="204" s="1"/>
  <c r="F803" i="205"/>
  <c r="F803" i="204" s="1"/>
  <c r="O716" i="205"/>
  <c r="O716" i="204" s="1"/>
  <c r="K716" i="205"/>
  <c r="K716" i="204" s="1"/>
  <c r="J716" i="205"/>
  <c r="J716" i="204" s="1"/>
  <c r="M716" i="205"/>
  <c r="M716" i="204" s="1"/>
  <c r="N716" i="205"/>
  <c r="N716" i="204" s="1"/>
  <c r="P716" i="205"/>
  <c r="P716" i="204" s="1"/>
  <c r="G716" i="205"/>
  <c r="G716" i="204" s="1"/>
  <c r="H716" i="205"/>
  <c r="H716" i="204" s="1"/>
  <c r="L716" i="205"/>
  <c r="L716" i="204" s="1"/>
  <c r="F716" i="205"/>
  <c r="F716" i="204" s="1"/>
  <c r="I716" i="205"/>
  <c r="I716" i="204" s="1"/>
  <c r="E789" i="205"/>
  <c r="K789" i="205"/>
  <c r="K789" i="204" s="1"/>
  <c r="F789" i="205"/>
  <c r="F789" i="204" s="1"/>
  <c r="G789" i="205"/>
  <c r="G789" i="204" s="1"/>
  <c r="L789" i="205"/>
  <c r="L789" i="204" s="1"/>
  <c r="N789" i="205"/>
  <c r="N789" i="204" s="1"/>
  <c r="P789" i="205"/>
  <c r="P789" i="204" s="1"/>
  <c r="J789" i="205"/>
  <c r="J789" i="204" s="1"/>
  <c r="H789" i="205"/>
  <c r="H789" i="204" s="1"/>
  <c r="M789" i="205"/>
  <c r="M789" i="204" s="1"/>
  <c r="O789" i="205"/>
  <c r="O789" i="204" s="1"/>
  <c r="I789" i="205"/>
  <c r="I789" i="204" s="1"/>
  <c r="M415" i="205"/>
  <c r="M415" i="204" s="1"/>
  <c r="L415" i="205"/>
  <c r="L415" i="204" s="1"/>
  <c r="O433" i="205"/>
  <c r="O433" i="204" s="1"/>
  <c r="G98" i="257"/>
  <c r="H98" i="257" s="1"/>
  <c r="P397" i="205"/>
  <c r="P397" i="204" s="1"/>
  <c r="F164" i="257"/>
  <c r="O416" i="205"/>
  <c r="O416" i="204" s="1"/>
  <c r="N416" i="205"/>
  <c r="N416" i="204" s="1"/>
  <c r="M433" i="205"/>
  <c r="M433" i="204" s="1"/>
  <c r="P433" i="205"/>
  <c r="P433" i="204" s="1"/>
  <c r="L433" i="205"/>
  <c r="L433" i="204" s="1"/>
  <c r="N385" i="205"/>
  <c r="K433" i="205"/>
  <c r="O385" i="205"/>
  <c r="M385" i="205"/>
  <c r="P385" i="205"/>
  <c r="K385" i="205"/>
  <c r="K77" i="257"/>
  <c r="K429" i="205"/>
  <c r="M429" i="205"/>
  <c r="Q397" i="205" l="1"/>
  <c r="Q416" i="204"/>
  <c r="M26" i="205"/>
  <c r="L45" i="204"/>
  <c r="Q397" i="204"/>
  <c r="Q416" i="205"/>
  <c r="E716" i="204"/>
  <c r="Q716" i="204" s="1"/>
  <c r="Q716" i="205"/>
  <c r="R49" i="205" s="1"/>
  <c r="R49" i="204" s="1"/>
  <c r="L14" i="204"/>
  <c r="K446" i="205"/>
  <c r="K429" i="204"/>
  <c r="K385" i="204"/>
  <c r="K393" i="204" s="1"/>
  <c r="K393" i="205"/>
  <c r="M385" i="204"/>
  <c r="M393" i="204" s="1"/>
  <c r="M393" i="205"/>
  <c r="L22" i="205"/>
  <c r="Q433" i="205"/>
  <c r="K433" i="204"/>
  <c r="Q433" i="204" s="1"/>
  <c r="M62" i="205"/>
  <c r="M28" i="204"/>
  <c r="N28" i="205"/>
  <c r="N28" i="204" s="1"/>
  <c r="J393" i="204"/>
  <c r="E789" i="204"/>
  <c r="Q789" i="204" s="1"/>
  <c r="Q789" i="205"/>
  <c r="S48" i="205" s="1"/>
  <c r="S48" i="204" s="1"/>
  <c r="K415" i="204"/>
  <c r="M45" i="205"/>
  <c r="M45" i="204" s="1"/>
  <c r="N385" i="204"/>
  <c r="N393" i="204" s="1"/>
  <c r="N393" i="205"/>
  <c r="O385" i="204"/>
  <c r="O393" i="204" s="1"/>
  <c r="O393" i="205"/>
  <c r="M446" i="205"/>
  <c r="M429" i="204"/>
  <c r="M446" i="204" s="1"/>
  <c r="P385" i="204"/>
  <c r="P393" i="204" s="1"/>
  <c r="P393" i="205"/>
  <c r="J210" i="257"/>
  <c r="J159" i="257"/>
  <c r="L159" i="257" s="1"/>
  <c r="J157" i="257"/>
  <c r="L157" i="257" s="1"/>
  <c r="J110" i="257"/>
  <c r="L110" i="257" s="1"/>
  <c r="J108" i="257"/>
  <c r="L108" i="257" s="1"/>
  <c r="M661" i="205"/>
  <c r="M661" i="204" s="1"/>
  <c r="J661" i="205"/>
  <c r="J661" i="204" s="1"/>
  <c r="L661" i="205"/>
  <c r="L661" i="204" s="1"/>
  <c r="P661" i="205"/>
  <c r="P661" i="204" s="1"/>
  <c r="F661" i="205"/>
  <c r="F661" i="204" s="1"/>
  <c r="E661" i="205"/>
  <c r="G661" i="205"/>
  <c r="G661" i="204" s="1"/>
  <c r="O661" i="205"/>
  <c r="O661" i="204" s="1"/>
  <c r="K661" i="205"/>
  <c r="K661" i="204" s="1"/>
  <c r="N661" i="205"/>
  <c r="N661" i="204" s="1"/>
  <c r="I661" i="205"/>
  <c r="I661" i="204" s="1"/>
  <c r="L638" i="205"/>
  <c r="L638" i="204" s="1"/>
  <c r="M638" i="205"/>
  <c r="M638" i="204" s="1"/>
  <c r="N655" i="205"/>
  <c r="N655" i="204" s="1"/>
  <c r="P638" i="205"/>
  <c r="P638" i="204" s="1"/>
  <c r="H661" i="205"/>
  <c r="H661" i="204" s="1"/>
  <c r="K638" i="205"/>
  <c r="K638" i="204" s="1"/>
  <c r="D108" i="257"/>
  <c r="D159" i="257"/>
  <c r="D157" i="257"/>
  <c r="J638" i="205"/>
  <c r="L429" i="205"/>
  <c r="K98" i="257"/>
  <c r="L98" i="257" s="1"/>
  <c r="M98" i="257" s="1"/>
  <c r="O429" i="205"/>
  <c r="P429" i="205"/>
  <c r="N429" i="205"/>
  <c r="K92" i="257"/>
  <c r="D210" i="257"/>
  <c r="N415" i="205"/>
  <c r="N415" i="204" s="1"/>
  <c r="O415" i="205"/>
  <c r="O415" i="204" s="1"/>
  <c r="L385" i="205"/>
  <c r="K76" i="257"/>
  <c r="M159" i="257" l="1"/>
  <c r="N446" i="205"/>
  <c r="N429" i="204"/>
  <c r="N446" i="204" s="1"/>
  <c r="P446" i="205"/>
  <c r="P429" i="204"/>
  <c r="P446" i="204" s="1"/>
  <c r="M44" i="205"/>
  <c r="O446" i="205"/>
  <c r="O429" i="204"/>
  <c r="O446" i="204" s="1"/>
  <c r="J638" i="204"/>
  <c r="E661" i="204"/>
  <c r="Q661" i="204" s="1"/>
  <c r="Q661" i="205"/>
  <c r="Q68" i="205" s="1"/>
  <c r="Q68" i="204" s="1"/>
  <c r="M108" i="257"/>
  <c r="Q415" i="204"/>
  <c r="L385" i="204"/>
  <c r="L393" i="205"/>
  <c r="Q393" i="205" s="1"/>
  <c r="M735" i="205"/>
  <c r="M735" i="204" s="1"/>
  <c r="Q415" i="205"/>
  <c r="K446" i="204"/>
  <c r="L446" i="205"/>
  <c r="L429" i="204"/>
  <c r="L446" i="204" s="1"/>
  <c r="Q385" i="205"/>
  <c r="L22" i="204"/>
  <c r="M14" i="205"/>
  <c r="N45" i="205"/>
  <c r="N45" i="204" s="1"/>
  <c r="M157" i="257"/>
  <c r="Q429" i="205"/>
  <c r="M62" i="204"/>
  <c r="N62" i="205"/>
  <c r="N62" i="204" s="1"/>
  <c r="M58" i="205"/>
  <c r="M26" i="204"/>
  <c r="N26" i="205"/>
  <c r="N26" i="204" s="1"/>
  <c r="F157" i="257"/>
  <c r="H157" i="257" s="1"/>
  <c r="L735" i="205"/>
  <c r="L735" i="204" s="1"/>
  <c r="K735" i="205"/>
  <c r="K735" i="204" s="1"/>
  <c r="P735" i="205"/>
  <c r="P735" i="204" s="1"/>
  <c r="J735" i="205"/>
  <c r="J735" i="204" s="1"/>
  <c r="I735" i="205"/>
  <c r="I735" i="204" s="1"/>
  <c r="G735" i="205"/>
  <c r="G735" i="204" s="1"/>
  <c r="F735" i="205"/>
  <c r="F735" i="204" s="1"/>
  <c r="E735" i="205"/>
  <c r="O735" i="205"/>
  <c r="O735" i="204" s="1"/>
  <c r="N735" i="205"/>
  <c r="N735" i="204" s="1"/>
  <c r="L637" i="205"/>
  <c r="L637" i="204" s="1"/>
  <c r="P637" i="205"/>
  <c r="P637" i="204" s="1"/>
  <c r="K637" i="205"/>
  <c r="K637" i="204" s="1"/>
  <c r="M637" i="205"/>
  <c r="M637" i="204" s="1"/>
  <c r="E790" i="205"/>
  <c r="M712" i="205"/>
  <c r="M712" i="204" s="1"/>
  <c r="K712" i="205"/>
  <c r="K712" i="204" s="1"/>
  <c r="P712" i="205"/>
  <c r="P712" i="204" s="1"/>
  <c r="N729" i="205"/>
  <c r="N729" i="204" s="1"/>
  <c r="H735" i="205"/>
  <c r="H735" i="204" s="1"/>
  <c r="L712" i="205"/>
  <c r="L712" i="204" s="1"/>
  <c r="F159" i="257"/>
  <c r="H159" i="257" s="1"/>
  <c r="D110" i="257"/>
  <c r="M110" i="257" s="1"/>
  <c r="F108" i="257"/>
  <c r="H108" i="257" s="1"/>
  <c r="D158" i="257"/>
  <c r="D107" i="257"/>
  <c r="D156" i="257"/>
  <c r="N638" i="205"/>
  <c r="N638" i="204" s="1"/>
  <c r="P655" i="205"/>
  <c r="P655" i="204" s="1"/>
  <c r="L655" i="205"/>
  <c r="L655" i="204" s="1"/>
  <c r="J637" i="205"/>
  <c r="J786" i="205"/>
  <c r="J712" i="205"/>
  <c r="K655" i="205"/>
  <c r="O638" i="205"/>
  <c r="O638" i="204" s="1"/>
  <c r="M655" i="205"/>
  <c r="M655" i="204" s="1"/>
  <c r="F210" i="257"/>
  <c r="M22" i="205" l="1"/>
  <c r="N22" i="205" s="1"/>
  <c r="Q429" i="204"/>
  <c r="Q638" i="204"/>
  <c r="K655" i="204"/>
  <c r="M75" i="204"/>
  <c r="N75" i="204" s="1"/>
  <c r="Q446" i="204"/>
  <c r="J712" i="204"/>
  <c r="J786" i="204"/>
  <c r="E735" i="204"/>
  <c r="Q735" i="204" s="1"/>
  <c r="Q735" i="205"/>
  <c r="R68" i="205" s="1"/>
  <c r="R68" i="204" s="1"/>
  <c r="N44" i="205"/>
  <c r="N44" i="204" s="1"/>
  <c r="M44" i="204"/>
  <c r="M14" i="204"/>
  <c r="N14" i="205"/>
  <c r="N14" i="204" s="1"/>
  <c r="J637" i="204"/>
  <c r="L393" i="204"/>
  <c r="Q385" i="204"/>
  <c r="E790" i="204"/>
  <c r="Q446" i="205"/>
  <c r="M75" i="205"/>
  <c r="N75" i="205" s="1"/>
  <c r="M58" i="204"/>
  <c r="N58" i="205"/>
  <c r="N58" i="204" s="1"/>
  <c r="Q638" i="205"/>
  <c r="Q45" i="205" s="1"/>
  <c r="Q45" i="204" s="1"/>
  <c r="J184" i="257"/>
  <c r="L184" i="257" s="1"/>
  <c r="J141" i="257"/>
  <c r="J107" i="257"/>
  <c r="L107" i="257" s="1"/>
  <c r="M107" i="257" s="1"/>
  <c r="F156" i="257"/>
  <c r="H156" i="257" s="1"/>
  <c r="F110" i="257"/>
  <c r="H110" i="257" s="1"/>
  <c r="L790" i="205"/>
  <c r="L790" i="204" s="1"/>
  <c r="F790" i="205"/>
  <c r="F790" i="204" s="1"/>
  <c r="G790" i="205"/>
  <c r="G790" i="204" s="1"/>
  <c r="L711" i="205"/>
  <c r="L711" i="204" s="1"/>
  <c r="P790" i="205"/>
  <c r="P790" i="204" s="1"/>
  <c r="K711" i="205"/>
  <c r="K711" i="204" s="1"/>
  <c r="M711" i="205"/>
  <c r="M711" i="204" s="1"/>
  <c r="K790" i="205"/>
  <c r="K790" i="204" s="1"/>
  <c r="O637" i="205"/>
  <c r="O637" i="204" s="1"/>
  <c r="P711" i="205"/>
  <c r="P711" i="204" s="1"/>
  <c r="M790" i="205"/>
  <c r="M790" i="204" s="1"/>
  <c r="I790" i="205"/>
  <c r="I790" i="204" s="1"/>
  <c r="O790" i="205"/>
  <c r="O790" i="204" s="1"/>
  <c r="N790" i="205"/>
  <c r="N790" i="204" s="1"/>
  <c r="J790" i="205"/>
  <c r="J790" i="204" s="1"/>
  <c r="H790" i="205"/>
  <c r="H790" i="204" s="1"/>
  <c r="F158" i="257"/>
  <c r="H158" i="257" s="1"/>
  <c r="P786" i="205"/>
  <c r="P786" i="204" s="1"/>
  <c r="M786" i="205"/>
  <c r="M786" i="204" s="1"/>
  <c r="K786" i="205"/>
  <c r="K786" i="204" s="1"/>
  <c r="L786" i="205"/>
  <c r="L786" i="204" s="1"/>
  <c r="D109" i="257"/>
  <c r="N803" i="205"/>
  <c r="N803" i="204" s="1"/>
  <c r="J156" i="257"/>
  <c r="L156" i="257" s="1"/>
  <c r="M156" i="257" s="1"/>
  <c r="F107" i="257"/>
  <c r="H107" i="257" s="1"/>
  <c r="J158" i="257"/>
  <c r="L158" i="257" s="1"/>
  <c r="M158" i="257" s="1"/>
  <c r="D38" i="257"/>
  <c r="D46" i="257"/>
  <c r="M803" i="205"/>
  <c r="M803" i="204" s="1"/>
  <c r="M729" i="205"/>
  <c r="M729" i="204" s="1"/>
  <c r="K729" i="205"/>
  <c r="L803" i="205"/>
  <c r="L803" i="204" s="1"/>
  <c r="L729" i="205"/>
  <c r="L729" i="204" s="1"/>
  <c r="O655" i="205"/>
  <c r="O655" i="204" s="1"/>
  <c r="O786" i="205"/>
  <c r="O786" i="204" s="1"/>
  <c r="O712" i="205"/>
  <c r="O712" i="204" s="1"/>
  <c r="J711" i="205"/>
  <c r="N637" i="205"/>
  <c r="N637" i="204" s="1"/>
  <c r="J785" i="205"/>
  <c r="P803" i="205"/>
  <c r="P803" i="204" s="1"/>
  <c r="P729" i="205"/>
  <c r="P729" i="204" s="1"/>
  <c r="N786" i="205"/>
  <c r="N786" i="204" s="1"/>
  <c r="N712" i="205"/>
  <c r="N712" i="204" s="1"/>
  <c r="D184" i="257"/>
  <c r="D141" i="257"/>
  <c r="D185" i="257"/>
  <c r="G97" i="257"/>
  <c r="D45" i="257"/>
  <c r="Q790" i="204" l="1"/>
  <c r="Q786" i="205"/>
  <c r="S45" i="205" s="1"/>
  <c r="S45" i="204" s="1"/>
  <c r="J785" i="204"/>
  <c r="M184" i="257"/>
  <c r="Q786" i="204"/>
  <c r="Q712" i="205"/>
  <c r="R45" i="205" s="1"/>
  <c r="R45" i="204" s="1"/>
  <c r="J711" i="204"/>
  <c r="Q393" i="204"/>
  <c r="M22" i="204"/>
  <c r="N22" i="204" s="1"/>
  <c r="Q712" i="204"/>
  <c r="Q637" i="205"/>
  <c r="Q44" i="205" s="1"/>
  <c r="Q44" i="204" s="1"/>
  <c r="Q637" i="204"/>
  <c r="H97" i="257"/>
  <c r="G122" i="257"/>
  <c r="Q655" i="205"/>
  <c r="Q62" i="205" s="1"/>
  <c r="Q62" i="204" s="1"/>
  <c r="Q655" i="204"/>
  <c r="K729" i="204"/>
  <c r="Q790" i="205"/>
  <c r="S49" i="205" s="1"/>
  <c r="S49" i="204" s="1"/>
  <c r="J185" i="257"/>
  <c r="L185" i="257" s="1"/>
  <c r="M185" i="257" s="1"/>
  <c r="J142" i="257"/>
  <c r="F109" i="257"/>
  <c r="H109" i="257" s="1"/>
  <c r="F185" i="257"/>
  <c r="H185" i="257" s="1"/>
  <c r="K785" i="205"/>
  <c r="K785" i="204" s="1"/>
  <c r="L809" i="205"/>
  <c r="L809" i="204" s="1"/>
  <c r="M785" i="205"/>
  <c r="M785" i="204" s="1"/>
  <c r="P785" i="205"/>
  <c r="P785" i="204" s="1"/>
  <c r="O711" i="205"/>
  <c r="O711" i="204" s="1"/>
  <c r="L785" i="205"/>
  <c r="L785" i="204" s="1"/>
  <c r="O785" i="205"/>
  <c r="O785" i="204" s="1"/>
  <c r="J109" i="257"/>
  <c r="L109" i="257" s="1"/>
  <c r="M109" i="257" s="1"/>
  <c r="D39" i="257"/>
  <c r="F38" i="257"/>
  <c r="J38" i="257"/>
  <c r="O803" i="205"/>
  <c r="O803" i="204" s="1"/>
  <c r="O729" i="205"/>
  <c r="O729" i="204" s="1"/>
  <c r="N711" i="205"/>
  <c r="N711" i="204" s="1"/>
  <c r="N785" i="205"/>
  <c r="N785" i="204" s="1"/>
  <c r="K803" i="205"/>
  <c r="F141" i="257"/>
  <c r="D142" i="257"/>
  <c r="F184" i="257"/>
  <c r="H184" i="257" s="1"/>
  <c r="J46" i="257"/>
  <c r="F46" i="257"/>
  <c r="J45" i="257"/>
  <c r="K395" i="205"/>
  <c r="O395" i="205"/>
  <c r="M395" i="205"/>
  <c r="N395" i="205"/>
  <c r="L395" i="205"/>
  <c r="D44" i="257"/>
  <c r="F45" i="257"/>
  <c r="L410" i="205" l="1"/>
  <c r="L395" i="204"/>
  <c r="L410" i="204" s="1"/>
  <c r="Q711" i="205"/>
  <c r="R44" i="205" s="1"/>
  <c r="R44" i="204" s="1"/>
  <c r="Q729" i="205"/>
  <c r="R62" i="205" s="1"/>
  <c r="R62" i="204" s="1"/>
  <c r="Q711" i="204"/>
  <c r="N410" i="205"/>
  <c r="N395" i="204"/>
  <c r="N410" i="204" s="1"/>
  <c r="Q729" i="204"/>
  <c r="K803" i="204"/>
  <c r="Q803" i="204" s="1"/>
  <c r="Q803" i="205"/>
  <c r="S62" i="205" s="1"/>
  <c r="S62" i="204" s="1"/>
  <c r="Q785" i="205"/>
  <c r="S44" i="205" s="1"/>
  <c r="S44" i="204" s="1"/>
  <c r="Q785" i="204"/>
  <c r="M410" i="205"/>
  <c r="M395" i="204"/>
  <c r="M410" i="204" s="1"/>
  <c r="K410" i="205"/>
  <c r="K395" i="204"/>
  <c r="O410" i="205"/>
  <c r="O395" i="204"/>
  <c r="O410" i="204" s="1"/>
  <c r="J143" i="257"/>
  <c r="J186" i="257"/>
  <c r="L186" i="257" s="1"/>
  <c r="G809" i="205"/>
  <c r="G809" i="204" s="1"/>
  <c r="E809" i="205"/>
  <c r="K809" i="205"/>
  <c r="K809" i="204" s="1"/>
  <c r="H809" i="205"/>
  <c r="H809" i="204" s="1"/>
  <c r="M809" i="205"/>
  <c r="M809" i="204" s="1"/>
  <c r="P809" i="205"/>
  <c r="P809" i="204" s="1"/>
  <c r="F809" i="205"/>
  <c r="F809" i="204" s="1"/>
  <c r="J809" i="205"/>
  <c r="J809" i="204" s="1"/>
  <c r="I809" i="205"/>
  <c r="I809" i="204" s="1"/>
  <c r="O809" i="205"/>
  <c r="O809" i="204" s="1"/>
  <c r="N809" i="205"/>
  <c r="N809" i="204" s="1"/>
  <c r="D40" i="257"/>
  <c r="J39" i="257"/>
  <c r="L39" i="257" s="1"/>
  <c r="M39" i="257" s="1"/>
  <c r="F39" i="257"/>
  <c r="H39" i="257" s="1"/>
  <c r="F142" i="257"/>
  <c r="D186" i="257"/>
  <c r="D143" i="257"/>
  <c r="J44" i="257"/>
  <c r="K97" i="257"/>
  <c r="P395" i="205"/>
  <c r="M24" i="205" s="1"/>
  <c r="D65" i="257"/>
  <c r="F44" i="257"/>
  <c r="M24" i="204" l="1"/>
  <c r="N24" i="205"/>
  <c r="N24" i="204" s="1"/>
  <c r="Q809" i="205"/>
  <c r="S68" i="205" s="1"/>
  <c r="S68" i="204" s="1"/>
  <c r="E809" i="204"/>
  <c r="Q809" i="204" s="1"/>
  <c r="Q395" i="205"/>
  <c r="M186" i="257"/>
  <c r="K410" i="204"/>
  <c r="L97" i="257"/>
  <c r="M97" i="257" s="1"/>
  <c r="K122" i="257"/>
  <c r="P410" i="205"/>
  <c r="Q410" i="205" s="1"/>
  <c r="P395" i="204"/>
  <c r="P410" i="204" s="1"/>
  <c r="J205" i="257"/>
  <c r="L205" i="257" s="1"/>
  <c r="J187" i="257"/>
  <c r="L187" i="257" s="1"/>
  <c r="J144" i="257"/>
  <c r="J103" i="257"/>
  <c r="L103" i="257" s="1"/>
  <c r="D187" i="257"/>
  <c r="D41" i="257"/>
  <c r="J40" i="257"/>
  <c r="F40" i="257"/>
  <c r="D144" i="257"/>
  <c r="F143" i="257"/>
  <c r="F186" i="257"/>
  <c r="H186" i="257" s="1"/>
  <c r="D13" i="257"/>
  <c r="J65" i="257"/>
  <c r="D103" i="257"/>
  <c r="D14" i="257"/>
  <c r="F65" i="257"/>
  <c r="N412" i="205"/>
  <c r="M412" i="205"/>
  <c r="O412" i="205"/>
  <c r="J412" i="205"/>
  <c r="D205" i="257"/>
  <c r="M39" i="205" l="1"/>
  <c r="N39" i="205" s="1"/>
  <c r="Q395" i="204"/>
  <c r="O427" i="205"/>
  <c r="O447" i="205" s="1"/>
  <c r="O448" i="205" s="1"/>
  <c r="O412" i="204"/>
  <c r="O427" i="204" s="1"/>
  <c r="O447" i="204" s="1"/>
  <c r="O448" i="204" s="1"/>
  <c r="N427" i="205"/>
  <c r="N447" i="205" s="1"/>
  <c r="N448" i="205" s="1"/>
  <c r="N412" i="204"/>
  <c r="N427" i="204" s="1"/>
  <c r="N447" i="204" s="1"/>
  <c r="N448" i="204" s="1"/>
  <c r="M103" i="257"/>
  <c r="M205" i="257"/>
  <c r="M39" i="204"/>
  <c r="N39" i="204" s="1"/>
  <c r="Q410" i="204"/>
  <c r="M427" i="205"/>
  <c r="M447" i="205" s="1"/>
  <c r="M448" i="205" s="1"/>
  <c r="M412" i="204"/>
  <c r="M427" i="204" s="1"/>
  <c r="M447" i="204" s="1"/>
  <c r="M448" i="204" s="1"/>
  <c r="J427" i="205"/>
  <c r="J412" i="204"/>
  <c r="L41" i="205"/>
  <c r="M187" i="257"/>
  <c r="J104" i="257"/>
  <c r="L104" i="257" s="1"/>
  <c r="J94" i="257"/>
  <c r="L94" i="257" s="1"/>
  <c r="J93" i="257"/>
  <c r="L93" i="257" s="1"/>
  <c r="J145" i="257"/>
  <c r="L145" i="257" s="1"/>
  <c r="D145" i="257"/>
  <c r="F13" i="257"/>
  <c r="D183" i="257"/>
  <c r="F187" i="257"/>
  <c r="H187" i="257" s="1"/>
  <c r="F41" i="257"/>
  <c r="H41" i="257" s="1"/>
  <c r="J41" i="257"/>
  <c r="L41" i="257" s="1"/>
  <c r="M41" i="257" s="1"/>
  <c r="D42" i="257"/>
  <c r="D68" i="257"/>
  <c r="D26" i="257"/>
  <c r="F144" i="257"/>
  <c r="J13" i="257"/>
  <c r="D67" i="257"/>
  <c r="D94" i="257"/>
  <c r="D104" i="257"/>
  <c r="J14" i="257"/>
  <c r="F103" i="257"/>
  <c r="H103" i="257" s="1"/>
  <c r="K412" i="205"/>
  <c r="D93" i="257"/>
  <c r="P412" i="205"/>
  <c r="L412" i="205"/>
  <c r="F14" i="257"/>
  <c r="D12" i="257"/>
  <c r="D204" i="257"/>
  <c r="F205" i="257"/>
  <c r="H205" i="257" s="1"/>
  <c r="J447" i="205" l="1"/>
  <c r="L56" i="205"/>
  <c r="M104" i="257"/>
  <c r="J427" i="204"/>
  <c r="L427" i="205"/>
  <c r="L447" i="205" s="1"/>
  <c r="L448" i="205" s="1"/>
  <c r="L412" i="204"/>
  <c r="L427" i="204" s="1"/>
  <c r="L447" i="204" s="1"/>
  <c r="L448" i="204" s="1"/>
  <c r="M93" i="257"/>
  <c r="M94" i="257"/>
  <c r="P427" i="205"/>
  <c r="P447" i="205" s="1"/>
  <c r="P448" i="205" s="1"/>
  <c r="P412" i="204"/>
  <c r="P427" i="204" s="1"/>
  <c r="P447" i="204" s="1"/>
  <c r="P448" i="204" s="1"/>
  <c r="M145" i="257"/>
  <c r="K427" i="205"/>
  <c r="M41" i="205"/>
  <c r="M41" i="204" s="1"/>
  <c r="K412" i="204"/>
  <c r="K427" i="204" s="1"/>
  <c r="L41" i="204"/>
  <c r="Q412" i="205"/>
  <c r="J105" i="257"/>
  <c r="L105" i="257" s="1"/>
  <c r="D28" i="257"/>
  <c r="D140" i="257"/>
  <c r="F145" i="257"/>
  <c r="H145" i="257" s="1"/>
  <c r="J68" i="257"/>
  <c r="F183" i="257"/>
  <c r="H183" i="257" s="1"/>
  <c r="L604" i="205"/>
  <c r="L604" i="204" s="1"/>
  <c r="J183" i="257"/>
  <c r="L183" i="257" s="1"/>
  <c r="M183" i="257" s="1"/>
  <c r="G622" i="205"/>
  <c r="G622" i="204" s="1"/>
  <c r="M622" i="205"/>
  <c r="M622" i="204" s="1"/>
  <c r="P622" i="205"/>
  <c r="P622" i="204" s="1"/>
  <c r="K622" i="205"/>
  <c r="K622" i="204" s="1"/>
  <c r="E622" i="205"/>
  <c r="H622" i="205"/>
  <c r="H622" i="204" s="1"/>
  <c r="J622" i="205"/>
  <c r="J622" i="204" s="1"/>
  <c r="N622" i="205"/>
  <c r="N622" i="204" s="1"/>
  <c r="I622" i="205"/>
  <c r="I622" i="204" s="1"/>
  <c r="O622" i="205"/>
  <c r="O622" i="204" s="1"/>
  <c r="L622" i="205"/>
  <c r="L622" i="204" s="1"/>
  <c r="F622" i="205"/>
  <c r="F622" i="204" s="1"/>
  <c r="J204" i="257"/>
  <c r="L204" i="257" s="1"/>
  <c r="M204" i="257" s="1"/>
  <c r="J604" i="205"/>
  <c r="J604" i="204" s="1"/>
  <c r="K604" i="205"/>
  <c r="K604" i="204" s="1"/>
  <c r="D43" i="257"/>
  <c r="I604" i="205"/>
  <c r="I604" i="204" s="1"/>
  <c r="J42" i="257"/>
  <c r="F42" i="257"/>
  <c r="H604" i="205"/>
  <c r="H604" i="204" s="1"/>
  <c r="G604" i="205"/>
  <c r="G604" i="204" s="1"/>
  <c r="J26" i="257"/>
  <c r="F26" i="257"/>
  <c r="D25" i="257"/>
  <c r="J140" i="257"/>
  <c r="J12" i="257"/>
  <c r="F104" i="257"/>
  <c r="H104" i="257" s="1"/>
  <c r="J67" i="257"/>
  <c r="F68" i="257"/>
  <c r="F67" i="257"/>
  <c r="F94" i="257"/>
  <c r="H94" i="257" s="1"/>
  <c r="D29" i="257"/>
  <c r="D16" i="257"/>
  <c r="D105" i="257"/>
  <c r="F93" i="257"/>
  <c r="H93" i="257" s="1"/>
  <c r="F12" i="257"/>
  <c r="D56" i="257"/>
  <c r="F204" i="257"/>
  <c r="H204" i="257" s="1"/>
  <c r="M105" i="257" l="1"/>
  <c r="E622" i="204"/>
  <c r="Q622" i="204" s="1"/>
  <c r="Q622" i="205"/>
  <c r="Q29" i="205" s="1"/>
  <c r="Q29" i="204" s="1"/>
  <c r="N41" i="205"/>
  <c r="N41" i="204" s="1"/>
  <c r="Q412" i="204"/>
  <c r="J447" i="204"/>
  <c r="Q427" i="204"/>
  <c r="L56" i="204"/>
  <c r="M56" i="204"/>
  <c r="K447" i="204"/>
  <c r="M56" i="205"/>
  <c r="N56" i="205" s="1"/>
  <c r="K447" i="205"/>
  <c r="Q447" i="205" s="1"/>
  <c r="Q427" i="205"/>
  <c r="J448" i="205"/>
  <c r="L76" i="205"/>
  <c r="J28" i="257"/>
  <c r="J95" i="257"/>
  <c r="L95" i="257" s="1"/>
  <c r="J106" i="257"/>
  <c r="L106" i="257" s="1"/>
  <c r="F28" i="257"/>
  <c r="J170" i="257"/>
  <c r="F140" i="257"/>
  <c r="F25" i="257"/>
  <c r="D37" i="257"/>
  <c r="F16" i="257"/>
  <c r="L678" i="205"/>
  <c r="L678" i="204" s="1"/>
  <c r="M623" i="205"/>
  <c r="M623" i="204" s="1"/>
  <c r="K623" i="205"/>
  <c r="K623" i="204" s="1"/>
  <c r="H623" i="205"/>
  <c r="H623" i="204" s="1"/>
  <c r="N623" i="205"/>
  <c r="N623" i="204" s="1"/>
  <c r="F623" i="205"/>
  <c r="F623" i="204" s="1"/>
  <c r="I623" i="205"/>
  <c r="I623" i="204" s="1"/>
  <c r="P623" i="205"/>
  <c r="P623" i="204" s="1"/>
  <c r="G623" i="205"/>
  <c r="G623" i="204" s="1"/>
  <c r="F639" i="205"/>
  <c r="F639" i="204" s="1"/>
  <c r="O639" i="205"/>
  <c r="O639" i="204" s="1"/>
  <c r="I639" i="205"/>
  <c r="I639" i="204" s="1"/>
  <c r="K639" i="205"/>
  <c r="K639" i="204" s="1"/>
  <c r="L639" i="205"/>
  <c r="L639" i="204" s="1"/>
  <c r="N639" i="205"/>
  <c r="N639" i="204" s="1"/>
  <c r="E639" i="205"/>
  <c r="J639" i="205"/>
  <c r="J639" i="204" s="1"/>
  <c r="H639" i="205"/>
  <c r="H639" i="204" s="1"/>
  <c r="M639" i="205"/>
  <c r="M639" i="204" s="1"/>
  <c r="P639" i="205"/>
  <c r="P639" i="204" s="1"/>
  <c r="G639" i="205"/>
  <c r="G639" i="204" s="1"/>
  <c r="G640" i="205"/>
  <c r="G640" i="204" s="1"/>
  <c r="I640" i="205"/>
  <c r="I640" i="204" s="1"/>
  <c r="F640" i="205"/>
  <c r="F640" i="204" s="1"/>
  <c r="J640" i="205"/>
  <c r="J640" i="204" s="1"/>
  <c r="L640" i="205"/>
  <c r="L640" i="204" s="1"/>
  <c r="D66" i="257"/>
  <c r="J66" i="257"/>
  <c r="G678" i="205"/>
  <c r="G678" i="204" s="1"/>
  <c r="M604" i="205"/>
  <c r="M604" i="204" s="1"/>
  <c r="F604" i="205"/>
  <c r="F604" i="204" s="1"/>
  <c r="E604" i="205"/>
  <c r="J678" i="205"/>
  <c r="J678" i="204" s="1"/>
  <c r="H678" i="205"/>
  <c r="H678" i="204" s="1"/>
  <c r="O604" i="205"/>
  <c r="O604" i="204" s="1"/>
  <c r="P604" i="205"/>
  <c r="P604" i="204" s="1"/>
  <c r="N604" i="205"/>
  <c r="N604" i="204" s="1"/>
  <c r="I678" i="205"/>
  <c r="I678" i="204" s="1"/>
  <c r="J43" i="257"/>
  <c r="L43" i="257" s="1"/>
  <c r="M43" i="257" s="1"/>
  <c r="F43" i="257"/>
  <c r="H43" i="257" s="1"/>
  <c r="K678" i="205"/>
  <c r="K678" i="204" s="1"/>
  <c r="D106" i="257"/>
  <c r="J25" i="257"/>
  <c r="D95" i="257"/>
  <c r="F66" i="257"/>
  <c r="J16" i="257"/>
  <c r="F29" i="257"/>
  <c r="J29" i="257"/>
  <c r="D57" i="257"/>
  <c r="J56" i="257"/>
  <c r="F105" i="257"/>
  <c r="H105" i="257" s="1"/>
  <c r="D17" i="257"/>
  <c r="F56" i="257"/>
  <c r="D30" i="257"/>
  <c r="O640" i="205" l="1"/>
  <c r="O640" i="204" s="1"/>
  <c r="K448" i="204"/>
  <c r="M77" i="204" s="1"/>
  <c r="M76" i="204"/>
  <c r="E640" i="205"/>
  <c r="P640" i="205"/>
  <c r="P640" i="204" s="1"/>
  <c r="M106" i="257"/>
  <c r="N56" i="204"/>
  <c r="O623" i="205"/>
  <c r="O623" i="204" s="1"/>
  <c r="J448" i="204"/>
  <c r="L76" i="204"/>
  <c r="Q447" i="204"/>
  <c r="M95" i="257"/>
  <c r="M640" i="205"/>
  <c r="M640" i="204" s="1"/>
  <c r="K640" i="205"/>
  <c r="K640" i="204" s="1"/>
  <c r="E639" i="204"/>
  <c r="Q639" i="204" s="1"/>
  <c r="Q639" i="205"/>
  <c r="Q46" i="205" s="1"/>
  <c r="Q46" i="204" s="1"/>
  <c r="L623" i="205"/>
  <c r="L623" i="204" s="1"/>
  <c r="J623" i="205"/>
  <c r="J623" i="204" s="1"/>
  <c r="L77" i="205"/>
  <c r="N640" i="205"/>
  <c r="N640" i="204" s="1"/>
  <c r="E604" i="204"/>
  <c r="Q604" i="204" s="1"/>
  <c r="Q604" i="205"/>
  <c r="Q11" i="205" s="1"/>
  <c r="Q11" i="204" s="1"/>
  <c r="H640" i="205"/>
  <c r="H640" i="204" s="1"/>
  <c r="E623" i="205"/>
  <c r="K448" i="205"/>
  <c r="M77" i="205" s="1"/>
  <c r="M76" i="205"/>
  <c r="N76" i="205" s="1"/>
  <c r="J96" i="257"/>
  <c r="L96" i="257" s="1"/>
  <c r="F64" i="257"/>
  <c r="F57" i="257"/>
  <c r="H752" i="205"/>
  <c r="H752" i="204" s="1"/>
  <c r="J752" i="205"/>
  <c r="J752" i="204" s="1"/>
  <c r="K752" i="205"/>
  <c r="K752" i="204" s="1"/>
  <c r="E678" i="205"/>
  <c r="G752" i="205"/>
  <c r="G752" i="204" s="1"/>
  <c r="I752" i="205"/>
  <c r="I752" i="204" s="1"/>
  <c r="L752" i="205"/>
  <c r="L752" i="204" s="1"/>
  <c r="D64" i="257"/>
  <c r="J64" i="257"/>
  <c r="D102" i="257"/>
  <c r="F106" i="257"/>
  <c r="H106" i="257" s="1"/>
  <c r="P752" i="205"/>
  <c r="P752" i="204" s="1"/>
  <c r="P678" i="205"/>
  <c r="P678" i="204" s="1"/>
  <c r="O752" i="205"/>
  <c r="O752" i="204" s="1"/>
  <c r="O678" i="205"/>
  <c r="O678" i="204" s="1"/>
  <c r="F752" i="205"/>
  <c r="F752" i="204" s="1"/>
  <c r="F678" i="205"/>
  <c r="F678" i="204" s="1"/>
  <c r="J37" i="257"/>
  <c r="F37" i="257"/>
  <c r="N752" i="205"/>
  <c r="N752" i="204" s="1"/>
  <c r="N678" i="205"/>
  <c r="N678" i="204" s="1"/>
  <c r="M752" i="205"/>
  <c r="M752" i="204" s="1"/>
  <c r="M678" i="205"/>
  <c r="M678" i="204" s="1"/>
  <c r="D19" i="257"/>
  <c r="F95" i="257"/>
  <c r="H95" i="257" s="1"/>
  <c r="D96" i="257"/>
  <c r="J57" i="257"/>
  <c r="D31" i="257"/>
  <c r="J30" i="257"/>
  <c r="J17" i="257"/>
  <c r="F17" i="257"/>
  <c r="D15" i="257"/>
  <c r="F30" i="257"/>
  <c r="D58" i="257"/>
  <c r="N77" i="205" l="1"/>
  <c r="Q448" i="205"/>
  <c r="N76" i="204"/>
  <c r="M96" i="257"/>
  <c r="Q448" i="204"/>
  <c r="L77" i="204"/>
  <c r="N77" i="204" s="1"/>
  <c r="E678" i="204"/>
  <c r="Q678" i="204" s="1"/>
  <c r="Q678" i="205"/>
  <c r="R11" i="205" s="1"/>
  <c r="R11" i="204" s="1"/>
  <c r="E640" i="204"/>
  <c r="Q640" i="204" s="1"/>
  <c r="Q640" i="205"/>
  <c r="Q47" i="205" s="1"/>
  <c r="Q47" i="204" s="1"/>
  <c r="Q623" i="205"/>
  <c r="Q30" i="205" s="1"/>
  <c r="Q30" i="204" s="1"/>
  <c r="E623" i="204"/>
  <c r="Q623" i="204" s="1"/>
  <c r="J19" i="257"/>
  <c r="J102" i="257"/>
  <c r="L102" i="257" s="1"/>
  <c r="M102" i="257" s="1"/>
  <c r="F102" i="257"/>
  <c r="H102" i="257" s="1"/>
  <c r="J15" i="257"/>
  <c r="E752" i="205"/>
  <c r="F96" i="257"/>
  <c r="H96" i="257" s="1"/>
  <c r="D92" i="257"/>
  <c r="F19" i="257"/>
  <c r="D27" i="257"/>
  <c r="J31" i="257"/>
  <c r="F31" i="257"/>
  <c r="D32" i="257"/>
  <c r="D20" i="257"/>
  <c r="J58" i="257"/>
  <c r="F15" i="257"/>
  <c r="F58" i="257"/>
  <c r="D55" i="257"/>
  <c r="E752" i="204" l="1"/>
  <c r="Q752" i="204" s="1"/>
  <c r="Q752" i="205"/>
  <c r="S11" i="205" s="1"/>
  <c r="S11" i="204" s="1"/>
  <c r="F20" i="257"/>
  <c r="F27" i="257"/>
  <c r="J55" i="257"/>
  <c r="J27" i="257"/>
  <c r="F92" i="257"/>
  <c r="H92" i="257" s="1"/>
  <c r="J92" i="257"/>
  <c r="L92" i="257" s="1"/>
  <c r="M92" i="257" s="1"/>
  <c r="J32" i="257"/>
  <c r="F32" i="257"/>
  <c r="J20" i="257"/>
  <c r="D21" i="257"/>
  <c r="D60" i="257"/>
  <c r="F55" i="257"/>
  <c r="J173" i="257" l="1"/>
  <c r="L173" i="257" s="1"/>
  <c r="J78" i="257"/>
  <c r="L78" i="257" s="1"/>
  <c r="J21" i="257"/>
  <c r="M697" i="205"/>
  <c r="M697" i="204" s="1"/>
  <c r="O697" i="205"/>
  <c r="O697" i="204" s="1"/>
  <c r="N697" i="205"/>
  <c r="N697" i="204" s="1"/>
  <c r="G697" i="205"/>
  <c r="G697" i="204" s="1"/>
  <c r="M696" i="205"/>
  <c r="M696" i="204" s="1"/>
  <c r="K696" i="205"/>
  <c r="K696" i="204" s="1"/>
  <c r="I696" i="205"/>
  <c r="I696" i="204" s="1"/>
  <c r="H696" i="205"/>
  <c r="H696" i="204" s="1"/>
  <c r="E696" i="205"/>
  <c r="L696" i="205"/>
  <c r="L696" i="204" s="1"/>
  <c r="G696" i="205"/>
  <c r="G696" i="204" s="1"/>
  <c r="P696" i="205"/>
  <c r="P696" i="204" s="1"/>
  <c r="N696" i="205"/>
  <c r="N696" i="204" s="1"/>
  <c r="O696" i="205"/>
  <c r="O696" i="204" s="1"/>
  <c r="F696" i="205"/>
  <c r="F696" i="204" s="1"/>
  <c r="J696" i="205"/>
  <c r="J696" i="204" s="1"/>
  <c r="D23" i="257"/>
  <c r="F21" i="257"/>
  <c r="D61" i="257"/>
  <c r="J60" i="257"/>
  <c r="L60" i="257" s="1"/>
  <c r="M60" i="257" s="1"/>
  <c r="D22" i="257"/>
  <c r="D78" i="257"/>
  <c r="D34" i="257"/>
  <c r="F60" i="257"/>
  <c r="H60" i="257" s="1"/>
  <c r="E697" i="205" l="1"/>
  <c r="H697" i="205"/>
  <c r="H697" i="204" s="1"/>
  <c r="E696" i="204"/>
  <c r="Q696" i="204" s="1"/>
  <c r="Q696" i="205"/>
  <c r="R29" i="205" s="1"/>
  <c r="R29" i="204" s="1"/>
  <c r="I697" i="205"/>
  <c r="I697" i="204" s="1"/>
  <c r="M78" i="257"/>
  <c r="K697" i="205"/>
  <c r="K697" i="204" s="1"/>
  <c r="J697" i="205"/>
  <c r="J697" i="204" s="1"/>
  <c r="F697" i="205"/>
  <c r="F697" i="204" s="1"/>
  <c r="L697" i="205"/>
  <c r="L697" i="204" s="1"/>
  <c r="P697" i="205"/>
  <c r="P697" i="204" s="1"/>
  <c r="J79" i="257"/>
  <c r="L79" i="257" s="1"/>
  <c r="J88" i="257"/>
  <c r="L88" i="257" s="1"/>
  <c r="J87" i="257"/>
  <c r="L87" i="257" s="1"/>
  <c r="J174" i="257"/>
  <c r="L174" i="257" s="1"/>
  <c r="J23" i="257"/>
  <c r="J61" i="257"/>
  <c r="L61" i="257" s="1"/>
  <c r="M61" i="257" s="1"/>
  <c r="F714" i="205"/>
  <c r="F714" i="204" s="1"/>
  <c r="N714" i="205"/>
  <c r="N714" i="204" s="1"/>
  <c r="J714" i="205"/>
  <c r="J714" i="204" s="1"/>
  <c r="E714" i="205"/>
  <c r="L714" i="205"/>
  <c r="L714" i="204" s="1"/>
  <c r="G714" i="205"/>
  <c r="G714" i="204" s="1"/>
  <c r="I714" i="205"/>
  <c r="I714" i="204" s="1"/>
  <c r="P714" i="205"/>
  <c r="P714" i="204" s="1"/>
  <c r="H714" i="205"/>
  <c r="H714" i="204" s="1"/>
  <c r="O714" i="205"/>
  <c r="O714" i="204" s="1"/>
  <c r="M714" i="205"/>
  <c r="M714" i="204" s="1"/>
  <c r="K714" i="205"/>
  <c r="K714" i="204" s="1"/>
  <c r="K713" i="205"/>
  <c r="K713" i="204" s="1"/>
  <c r="P713" i="205"/>
  <c r="P713" i="204" s="1"/>
  <c r="E713" i="205"/>
  <c r="N713" i="205"/>
  <c r="N713" i="204" s="1"/>
  <c r="I713" i="205"/>
  <c r="I713" i="204" s="1"/>
  <c r="M713" i="205"/>
  <c r="M713" i="204" s="1"/>
  <c r="L713" i="205"/>
  <c r="L713" i="204" s="1"/>
  <c r="O713" i="205"/>
  <c r="O713" i="204" s="1"/>
  <c r="H713" i="205"/>
  <c r="H713" i="204" s="1"/>
  <c r="J713" i="205"/>
  <c r="J713" i="204" s="1"/>
  <c r="G713" i="205"/>
  <c r="G713" i="204" s="1"/>
  <c r="F713" i="205"/>
  <c r="F713" i="204" s="1"/>
  <c r="L605" i="205"/>
  <c r="L605" i="204" s="1"/>
  <c r="I605" i="205"/>
  <c r="I605" i="204" s="1"/>
  <c r="N605" i="205"/>
  <c r="N605" i="204" s="1"/>
  <c r="M605" i="205"/>
  <c r="M605" i="204" s="1"/>
  <c r="H605" i="205"/>
  <c r="H605" i="204" s="1"/>
  <c r="G605" i="205"/>
  <c r="G605" i="204" s="1"/>
  <c r="P605" i="205"/>
  <c r="P605" i="204" s="1"/>
  <c r="F605" i="205"/>
  <c r="F605" i="204" s="1"/>
  <c r="J605" i="205"/>
  <c r="J605" i="204" s="1"/>
  <c r="E605" i="205"/>
  <c r="O605" i="205"/>
  <c r="O605" i="204" s="1"/>
  <c r="K605" i="205"/>
  <c r="K605" i="204" s="1"/>
  <c r="D174" i="257"/>
  <c r="D87" i="257"/>
  <c r="D36" i="257"/>
  <c r="F23" i="257"/>
  <c r="F61" i="257"/>
  <c r="H61" i="257" s="1"/>
  <c r="D88" i="257"/>
  <c r="D62" i="257"/>
  <c r="D35" i="257"/>
  <c r="D79" i="257"/>
  <c r="J34" i="257"/>
  <c r="J22" i="257"/>
  <c r="D18" i="257"/>
  <c r="F22" i="257"/>
  <c r="F34" i="257"/>
  <c r="F78" i="257"/>
  <c r="H78" i="257" s="1"/>
  <c r="M88" i="257" l="1"/>
  <c r="M87" i="257"/>
  <c r="E605" i="204"/>
  <c r="Q605" i="204" s="1"/>
  <c r="Q605" i="205"/>
  <c r="Q12" i="205" s="1"/>
  <c r="Q12" i="204" s="1"/>
  <c r="M174" i="257"/>
  <c r="Q713" i="205"/>
  <c r="R46" i="205" s="1"/>
  <c r="R46" i="204" s="1"/>
  <c r="E713" i="204"/>
  <c r="Q713" i="204" s="1"/>
  <c r="E714" i="204"/>
  <c r="Q714" i="204" s="1"/>
  <c r="Q714" i="205"/>
  <c r="R47" i="205" s="1"/>
  <c r="R47" i="204" s="1"/>
  <c r="M79" i="257"/>
  <c r="Q697" i="205"/>
  <c r="R30" i="205" s="1"/>
  <c r="R30" i="204" s="1"/>
  <c r="E697" i="204"/>
  <c r="Q697" i="204" s="1"/>
  <c r="J175" i="257"/>
  <c r="L175" i="257" s="1"/>
  <c r="J80" i="257"/>
  <c r="L80" i="257" s="1"/>
  <c r="J89" i="257"/>
  <c r="L89" i="257" s="1"/>
  <c r="J36" i="257"/>
  <c r="F35" i="257"/>
  <c r="F87" i="257"/>
  <c r="H87" i="257" s="1"/>
  <c r="F174" i="257"/>
  <c r="H174" i="257" s="1"/>
  <c r="D175" i="257"/>
  <c r="J18" i="257"/>
  <c r="F88" i="257"/>
  <c r="H88" i="257" s="1"/>
  <c r="J62" i="257"/>
  <c r="L62" i="257" s="1"/>
  <c r="M62" i="257" s="1"/>
  <c r="J35" i="257"/>
  <c r="D59" i="257"/>
  <c r="F62" i="257"/>
  <c r="H62" i="257" s="1"/>
  <c r="D89" i="257"/>
  <c r="F79" i="257"/>
  <c r="H79" i="257" s="1"/>
  <c r="F36" i="257"/>
  <c r="D33" i="257"/>
  <c r="F18" i="257"/>
  <c r="D11" i="257"/>
  <c r="M89" i="257" l="1"/>
  <c r="M175" i="257"/>
  <c r="J81" i="257"/>
  <c r="L81" i="257" s="1"/>
  <c r="F89" i="257"/>
  <c r="H89" i="257" s="1"/>
  <c r="F11" i="257"/>
  <c r="F175" i="257"/>
  <c r="H175" i="257" s="1"/>
  <c r="J33" i="257"/>
  <c r="J11" i="257"/>
  <c r="J59" i="257"/>
  <c r="L59" i="257" s="1"/>
  <c r="M59" i="257" s="1"/>
  <c r="F59" i="257"/>
  <c r="H59" i="257" s="1"/>
  <c r="F33" i="257"/>
  <c r="D24" i="257"/>
  <c r="D72" i="257" s="1"/>
  <c r="J82" i="257" l="1"/>
  <c r="L82" i="257" s="1"/>
  <c r="J127" i="257"/>
  <c r="L127" i="257" s="1"/>
  <c r="J90" i="257"/>
  <c r="L90" i="257" s="1"/>
  <c r="J176" i="257"/>
  <c r="L176" i="257" s="1"/>
  <c r="F24" i="257"/>
  <c r="F72" i="257" s="1"/>
  <c r="M770" i="205"/>
  <c r="M770" i="204" s="1"/>
  <c r="G771" i="205"/>
  <c r="G771" i="204" s="1"/>
  <c r="O771" i="205"/>
  <c r="O771" i="204" s="1"/>
  <c r="I771" i="205"/>
  <c r="I771" i="204" s="1"/>
  <c r="K771" i="205"/>
  <c r="K771" i="204" s="1"/>
  <c r="E771" i="205"/>
  <c r="L771" i="205"/>
  <c r="L771" i="204" s="1"/>
  <c r="M771" i="205"/>
  <c r="M771" i="204" s="1"/>
  <c r="F771" i="205"/>
  <c r="F771" i="204" s="1"/>
  <c r="P771" i="205"/>
  <c r="P771" i="204" s="1"/>
  <c r="H771" i="205"/>
  <c r="H771" i="204" s="1"/>
  <c r="N771" i="205"/>
  <c r="N771" i="204" s="1"/>
  <c r="J771" i="205"/>
  <c r="J771" i="204" s="1"/>
  <c r="D176" i="257"/>
  <c r="J24" i="257"/>
  <c r="J72" i="257" s="1"/>
  <c r="D90" i="257"/>
  <c r="M90" i="257" l="1"/>
  <c r="M176" i="257"/>
  <c r="E771" i="204"/>
  <c r="Q771" i="204" s="1"/>
  <c r="Q771" i="205"/>
  <c r="S30" i="205" s="1"/>
  <c r="S30" i="204" s="1"/>
  <c r="J83" i="257"/>
  <c r="L83" i="257" s="1"/>
  <c r="L770" i="205"/>
  <c r="L770" i="204" s="1"/>
  <c r="G770" i="205"/>
  <c r="G770" i="204" s="1"/>
  <c r="O770" i="205"/>
  <c r="O770" i="204" s="1"/>
  <c r="I770" i="205"/>
  <c r="I770" i="204" s="1"/>
  <c r="P770" i="205"/>
  <c r="P770" i="204" s="1"/>
  <c r="N770" i="205"/>
  <c r="N770" i="204" s="1"/>
  <c r="K770" i="205"/>
  <c r="K770" i="204" s="1"/>
  <c r="F770" i="205"/>
  <c r="F770" i="204" s="1"/>
  <c r="J770" i="205"/>
  <c r="J770" i="204" s="1"/>
  <c r="H770" i="205"/>
  <c r="H770" i="204" s="1"/>
  <c r="E770" i="205"/>
  <c r="F176" i="257"/>
  <c r="H176" i="257" s="1"/>
  <c r="D86" i="257"/>
  <c r="F90" i="257"/>
  <c r="H90" i="257" s="1"/>
  <c r="D83" i="257"/>
  <c r="Q770" i="205" l="1"/>
  <c r="S29" i="205" s="1"/>
  <c r="S29" i="204" s="1"/>
  <c r="E770" i="204"/>
  <c r="Q770" i="204" s="1"/>
  <c r="M83" i="257"/>
  <c r="J84" i="257"/>
  <c r="L84" i="257" s="1"/>
  <c r="F83" i="257"/>
  <c r="H83" i="257" s="1"/>
  <c r="F788" i="205"/>
  <c r="F788" i="204" s="1"/>
  <c r="K788" i="205"/>
  <c r="K788" i="204" s="1"/>
  <c r="L788" i="205"/>
  <c r="L788" i="204" s="1"/>
  <c r="P788" i="205"/>
  <c r="P788" i="204" s="1"/>
  <c r="E788" i="205"/>
  <c r="O788" i="205"/>
  <c r="O788" i="204" s="1"/>
  <c r="E787" i="205"/>
  <c r="M787" i="205"/>
  <c r="M787" i="204" s="1"/>
  <c r="F787" i="205"/>
  <c r="F787" i="204" s="1"/>
  <c r="H787" i="205"/>
  <c r="H787" i="204" s="1"/>
  <c r="O787" i="205"/>
  <c r="O787" i="204" s="1"/>
  <c r="N787" i="205"/>
  <c r="N787" i="204" s="1"/>
  <c r="J787" i="205"/>
  <c r="J787" i="204" s="1"/>
  <c r="K787" i="205"/>
  <c r="K787" i="204" s="1"/>
  <c r="L787" i="205"/>
  <c r="L787" i="204" s="1"/>
  <c r="G787" i="205"/>
  <c r="G787" i="204" s="1"/>
  <c r="I787" i="205"/>
  <c r="I787" i="204" s="1"/>
  <c r="P787" i="205"/>
  <c r="P787" i="204" s="1"/>
  <c r="D85" i="257"/>
  <c r="F86" i="257"/>
  <c r="H86" i="257" s="1"/>
  <c r="J86" i="257"/>
  <c r="L86" i="257" s="1"/>
  <c r="M86" i="257" s="1"/>
  <c r="D84" i="257"/>
  <c r="G788" i="205" l="1"/>
  <c r="G788" i="204" s="1"/>
  <c r="M84" i="257"/>
  <c r="Q787" i="205"/>
  <c r="S46" i="205" s="1"/>
  <c r="S46" i="204" s="1"/>
  <c r="E787" i="204"/>
  <c r="Q787" i="204" s="1"/>
  <c r="I788" i="205"/>
  <c r="I788" i="204" s="1"/>
  <c r="J788" i="205"/>
  <c r="J788" i="204" s="1"/>
  <c r="E788" i="204"/>
  <c r="H788" i="205"/>
  <c r="H788" i="204" s="1"/>
  <c r="N788" i="205"/>
  <c r="N788" i="204" s="1"/>
  <c r="M788" i="205"/>
  <c r="M788" i="204" s="1"/>
  <c r="J116" i="257"/>
  <c r="L116" i="257" s="1"/>
  <c r="J85" i="257"/>
  <c r="L85" i="257" s="1"/>
  <c r="M85" i="257" s="1"/>
  <c r="P679" i="205"/>
  <c r="P679" i="204" s="1"/>
  <c r="H679" i="205"/>
  <c r="H679" i="204" s="1"/>
  <c r="O679" i="205"/>
  <c r="O679" i="204" s="1"/>
  <c r="L679" i="205"/>
  <c r="L679" i="204" s="1"/>
  <c r="F679" i="205"/>
  <c r="F679" i="204" s="1"/>
  <c r="N679" i="205"/>
  <c r="N679" i="204" s="1"/>
  <c r="K679" i="205"/>
  <c r="K679" i="204" s="1"/>
  <c r="E679" i="205"/>
  <c r="J679" i="205"/>
  <c r="J679" i="204" s="1"/>
  <c r="M679" i="205"/>
  <c r="M679" i="204" s="1"/>
  <c r="G679" i="205"/>
  <c r="G679" i="204" s="1"/>
  <c r="I679" i="205"/>
  <c r="I679" i="204" s="1"/>
  <c r="F85" i="257"/>
  <c r="H85" i="257" s="1"/>
  <c r="F84" i="257"/>
  <c r="H84" i="257" s="1"/>
  <c r="D116" i="257"/>
  <c r="Q788" i="205" l="1"/>
  <c r="S47" i="205" s="1"/>
  <c r="S47" i="204" s="1"/>
  <c r="M116" i="257"/>
  <c r="Q788" i="204"/>
  <c r="Q679" i="205"/>
  <c r="R12" i="205" s="1"/>
  <c r="R12" i="204" s="1"/>
  <c r="E679" i="204"/>
  <c r="Q679" i="204" s="1"/>
  <c r="J131" i="257"/>
  <c r="L131" i="257" s="1"/>
  <c r="O653" i="205"/>
  <c r="O653" i="204" s="1"/>
  <c r="K653" i="205"/>
  <c r="K653" i="204" s="1"/>
  <c r="N653" i="205"/>
  <c r="N653" i="204" s="1"/>
  <c r="J653" i="205"/>
  <c r="J653" i="204" s="1"/>
  <c r="M653" i="205"/>
  <c r="M653" i="204" s="1"/>
  <c r="L653" i="205"/>
  <c r="L653" i="204" s="1"/>
  <c r="I653" i="205"/>
  <c r="I653" i="204" s="1"/>
  <c r="G653" i="205"/>
  <c r="G653" i="204" s="1"/>
  <c r="F653" i="205"/>
  <c r="F653" i="204" s="1"/>
  <c r="H653" i="205"/>
  <c r="H653" i="204" s="1"/>
  <c r="P653" i="205"/>
  <c r="P653" i="204" s="1"/>
  <c r="E653" i="205"/>
  <c r="L619" i="205"/>
  <c r="L619" i="204" s="1"/>
  <c r="K619" i="205"/>
  <c r="K619" i="204" s="1"/>
  <c r="F619" i="205"/>
  <c r="F619" i="204" s="1"/>
  <c r="G619" i="205"/>
  <c r="G619" i="204" s="1"/>
  <c r="E619" i="205"/>
  <c r="J619" i="205"/>
  <c r="J619" i="204" s="1"/>
  <c r="M619" i="205"/>
  <c r="M619" i="204" s="1"/>
  <c r="I619" i="205"/>
  <c r="I619" i="204" s="1"/>
  <c r="N619" i="205"/>
  <c r="N619" i="204" s="1"/>
  <c r="H619" i="205"/>
  <c r="H619" i="204" s="1"/>
  <c r="P619" i="205"/>
  <c r="P619" i="204" s="1"/>
  <c r="O619" i="205"/>
  <c r="O619" i="204" s="1"/>
  <c r="D131" i="257"/>
  <c r="F116" i="257"/>
  <c r="H116" i="257" s="1"/>
  <c r="E653" i="204" l="1"/>
  <c r="Q653" i="204" s="1"/>
  <c r="Q653" i="205"/>
  <c r="Q60" i="205" s="1"/>
  <c r="Q60" i="204" s="1"/>
  <c r="E619" i="204"/>
  <c r="Q619" i="204" s="1"/>
  <c r="Q619" i="205"/>
  <c r="Q26" i="205" s="1"/>
  <c r="Q26" i="204" s="1"/>
  <c r="M131" i="257"/>
  <c r="J132" i="257"/>
  <c r="L132" i="257" s="1"/>
  <c r="M636" i="205"/>
  <c r="M636" i="204" s="1"/>
  <c r="P658" i="205"/>
  <c r="P658" i="204" s="1"/>
  <c r="F658" i="205"/>
  <c r="F658" i="204" s="1"/>
  <c r="I621" i="205"/>
  <c r="I621" i="204" s="1"/>
  <c r="I658" i="205"/>
  <c r="I658" i="204" s="1"/>
  <c r="L658" i="205"/>
  <c r="L658" i="204" s="1"/>
  <c r="K658" i="205"/>
  <c r="K658" i="204" s="1"/>
  <c r="J658" i="205"/>
  <c r="J658" i="204" s="1"/>
  <c r="G658" i="205"/>
  <c r="G658" i="204" s="1"/>
  <c r="O658" i="205"/>
  <c r="O658" i="204" s="1"/>
  <c r="E658" i="205"/>
  <c r="H658" i="205"/>
  <c r="H658" i="204" s="1"/>
  <c r="N658" i="205"/>
  <c r="N658" i="204" s="1"/>
  <c r="M658" i="205"/>
  <c r="M658" i="204" s="1"/>
  <c r="J621" i="205"/>
  <c r="J621" i="204" s="1"/>
  <c r="H621" i="205"/>
  <c r="H621" i="204" s="1"/>
  <c r="F621" i="205"/>
  <c r="F621" i="204" s="1"/>
  <c r="M621" i="205"/>
  <c r="M621" i="204" s="1"/>
  <c r="K621" i="205"/>
  <c r="K621" i="204" s="1"/>
  <c r="E636" i="205"/>
  <c r="K636" i="205"/>
  <c r="K636" i="204" s="1"/>
  <c r="N621" i="205"/>
  <c r="N621" i="204" s="1"/>
  <c r="P636" i="205"/>
  <c r="P636" i="204" s="1"/>
  <c r="I636" i="205"/>
  <c r="I636" i="204" s="1"/>
  <c r="O621" i="205"/>
  <c r="O621" i="204" s="1"/>
  <c r="L636" i="205"/>
  <c r="L636" i="204" s="1"/>
  <c r="L621" i="205"/>
  <c r="L621" i="204" s="1"/>
  <c r="O636" i="205"/>
  <c r="O636" i="204" s="1"/>
  <c r="H636" i="205"/>
  <c r="H636" i="204" s="1"/>
  <c r="G636" i="205"/>
  <c r="G636" i="204" s="1"/>
  <c r="N636" i="205"/>
  <c r="N636" i="204" s="1"/>
  <c r="E621" i="205"/>
  <c r="P621" i="205"/>
  <c r="P621" i="204" s="1"/>
  <c r="G621" i="205"/>
  <c r="G621" i="204" s="1"/>
  <c r="J636" i="205"/>
  <c r="J636" i="204" s="1"/>
  <c r="F636" i="205"/>
  <c r="F636" i="204" s="1"/>
  <c r="F131" i="257"/>
  <c r="H131" i="257" s="1"/>
  <c r="E621" i="204" l="1"/>
  <c r="Q621" i="204" s="1"/>
  <c r="Q621" i="205"/>
  <c r="Q28" i="205" s="1"/>
  <c r="Q28" i="204" s="1"/>
  <c r="E658" i="204"/>
  <c r="Q658" i="204" s="1"/>
  <c r="Q658" i="205"/>
  <c r="Q65" i="205" s="1"/>
  <c r="Q65" i="204" s="1"/>
  <c r="E636" i="204"/>
  <c r="Q636" i="204" s="1"/>
  <c r="Q636" i="205"/>
  <c r="Q43" i="205" s="1"/>
  <c r="Q43" i="204" s="1"/>
  <c r="D132" i="257"/>
  <c r="M132" i="257" s="1"/>
  <c r="J133" i="257" l="1"/>
  <c r="L133" i="257" s="1"/>
  <c r="F132" i="257"/>
  <c r="H132" i="257" s="1"/>
  <c r="E626" i="205"/>
  <c r="N626" i="205"/>
  <c r="N626" i="204" s="1"/>
  <c r="F626" i="205"/>
  <c r="F626" i="204" s="1"/>
  <c r="G626" i="205"/>
  <c r="G626" i="204" s="1"/>
  <c r="I626" i="205"/>
  <c r="I626" i="204" s="1"/>
  <c r="L626" i="205"/>
  <c r="L626" i="204" s="1"/>
  <c r="K626" i="205"/>
  <c r="K626" i="204" s="1"/>
  <c r="H626" i="205"/>
  <c r="H626" i="204" s="1"/>
  <c r="M626" i="205"/>
  <c r="M626" i="204" s="1"/>
  <c r="P626" i="205"/>
  <c r="P626" i="204" s="1"/>
  <c r="J626" i="205"/>
  <c r="J626" i="204" s="1"/>
  <c r="O626" i="205"/>
  <c r="O626" i="204" s="1"/>
  <c r="F608" i="205"/>
  <c r="F608" i="204" s="1"/>
  <c r="N608" i="205"/>
  <c r="N608" i="204" s="1"/>
  <c r="P608" i="205"/>
  <c r="P608" i="204" s="1"/>
  <c r="K608" i="205"/>
  <c r="K608" i="204" s="1"/>
  <c r="J608" i="205"/>
  <c r="J608" i="204" s="1"/>
  <c r="L608" i="205"/>
  <c r="L608" i="204" s="1"/>
  <c r="G608" i="205"/>
  <c r="G608" i="204" s="1"/>
  <c r="M608" i="205"/>
  <c r="M608" i="204" s="1"/>
  <c r="I608" i="205"/>
  <c r="I608" i="204" s="1"/>
  <c r="O608" i="205"/>
  <c r="O608" i="204" s="1"/>
  <c r="H608" i="205"/>
  <c r="H608" i="204" s="1"/>
  <c r="D133" i="257"/>
  <c r="M133" i="257" l="1"/>
  <c r="E626" i="204"/>
  <c r="Q626" i="204" s="1"/>
  <c r="Q626" i="205"/>
  <c r="Q33" i="205" s="1"/>
  <c r="Q33" i="204" s="1"/>
  <c r="E608" i="205"/>
  <c r="F133" i="257"/>
  <c r="H133" i="257" s="1"/>
  <c r="Q608" i="205" l="1"/>
  <c r="Q15" i="205" s="1"/>
  <c r="Q15" i="204" s="1"/>
  <c r="E608" i="204"/>
  <c r="Q608" i="204" s="1"/>
  <c r="L606" i="206"/>
  <c r="G606" i="206"/>
  <c r="M606" i="206"/>
  <c r="H606" i="206"/>
  <c r="F606" i="206"/>
  <c r="N606" i="206"/>
  <c r="I606" i="206"/>
  <c r="O606" i="206"/>
  <c r="J606" i="206"/>
  <c r="P606" i="206"/>
  <c r="K606" i="206"/>
  <c r="L753" i="205"/>
  <c r="L753" i="204" s="1"/>
  <c r="E606" i="206"/>
  <c r="N753" i="205"/>
  <c r="N753" i="204" s="1"/>
  <c r="J753" i="205"/>
  <c r="J753" i="204" s="1"/>
  <c r="G753" i="205"/>
  <c r="G753" i="204" s="1"/>
  <c r="E753" i="205"/>
  <c r="I753" i="205"/>
  <c r="I753" i="204" s="1"/>
  <c r="H753" i="205"/>
  <c r="H753" i="204" s="1"/>
  <c r="K753" i="205"/>
  <c r="K753" i="204" s="1"/>
  <c r="F753" i="205"/>
  <c r="F753" i="204" s="1"/>
  <c r="O753" i="205"/>
  <c r="O753" i="204" s="1"/>
  <c r="M753" i="205"/>
  <c r="M753" i="204" s="1"/>
  <c r="P753" i="205"/>
  <c r="P753" i="204" s="1"/>
  <c r="I615" i="206" l="1"/>
  <c r="I670" i="206" s="1"/>
  <c r="I606" i="204"/>
  <c r="N615" i="206"/>
  <c r="N670" i="206" s="1"/>
  <c r="N606" i="204"/>
  <c r="F615" i="206"/>
  <c r="F670" i="206" s="1"/>
  <c r="F606" i="204"/>
  <c r="H615" i="206"/>
  <c r="H670" i="206" s="1"/>
  <c r="H606" i="204"/>
  <c r="Q753" i="205"/>
  <c r="S12" i="205" s="1"/>
  <c r="S12" i="204" s="1"/>
  <c r="E753" i="204"/>
  <c r="Q753" i="204" s="1"/>
  <c r="M606" i="204"/>
  <c r="M615" i="206"/>
  <c r="M670" i="206" s="1"/>
  <c r="G615" i="206"/>
  <c r="G670" i="206" s="1"/>
  <c r="G606" i="204"/>
  <c r="L606" i="204"/>
  <c r="L615" i="206"/>
  <c r="L670" i="206" s="1"/>
  <c r="K606" i="204"/>
  <c r="K615" i="206"/>
  <c r="K670" i="206" s="1"/>
  <c r="P615" i="206"/>
  <c r="P670" i="206" s="1"/>
  <c r="P606" i="204"/>
  <c r="J615" i="206"/>
  <c r="J670" i="206" s="1"/>
  <c r="J606" i="204"/>
  <c r="E615" i="206"/>
  <c r="E606" i="204"/>
  <c r="Q606" i="206"/>
  <c r="Q13" i="206" s="1"/>
  <c r="Q13" i="204" s="1"/>
  <c r="O615" i="206"/>
  <c r="O670" i="206" s="1"/>
  <c r="O606" i="204"/>
  <c r="F732" i="205"/>
  <c r="F732" i="204" s="1"/>
  <c r="O732" i="205"/>
  <c r="O732" i="204" s="1"/>
  <c r="G732" i="205"/>
  <c r="G732" i="204" s="1"/>
  <c r="L732" i="205"/>
  <c r="L732" i="204" s="1"/>
  <c r="J732" i="205"/>
  <c r="J732" i="204" s="1"/>
  <c r="N732" i="205"/>
  <c r="N732" i="204" s="1"/>
  <c r="M732" i="205"/>
  <c r="M732" i="204" s="1"/>
  <c r="H732" i="205"/>
  <c r="H732" i="204" s="1"/>
  <c r="E732" i="205"/>
  <c r="I732" i="205"/>
  <c r="I732" i="204" s="1"/>
  <c r="K732" i="205"/>
  <c r="K732" i="204" s="1"/>
  <c r="P732" i="205"/>
  <c r="P732" i="204" s="1"/>
  <c r="P693" i="205"/>
  <c r="P693" i="204" s="1"/>
  <c r="H693" i="205"/>
  <c r="H693" i="204" s="1"/>
  <c r="L700" i="205"/>
  <c r="L700" i="204" s="1"/>
  <c r="F700" i="205"/>
  <c r="F700" i="204" s="1"/>
  <c r="E700" i="205"/>
  <c r="K700" i="205"/>
  <c r="K700" i="204" s="1"/>
  <c r="H700" i="205"/>
  <c r="H700" i="204" s="1"/>
  <c r="I700" i="205"/>
  <c r="I700" i="204" s="1"/>
  <c r="O700" i="205"/>
  <c r="O700" i="204" s="1"/>
  <c r="P700" i="205"/>
  <c r="P700" i="204" s="1"/>
  <c r="M700" i="205"/>
  <c r="M700" i="204" s="1"/>
  <c r="G700" i="205"/>
  <c r="G700" i="204" s="1"/>
  <c r="J700" i="205"/>
  <c r="J700" i="204" s="1"/>
  <c r="N700" i="205"/>
  <c r="N700" i="204" s="1"/>
  <c r="I693" i="205"/>
  <c r="I693" i="204" s="1"/>
  <c r="J693" i="205"/>
  <c r="J693" i="204" s="1"/>
  <c r="L693" i="205"/>
  <c r="L693" i="204" s="1"/>
  <c r="E693" i="205"/>
  <c r="K693" i="205"/>
  <c r="K693" i="204" s="1"/>
  <c r="O693" i="205"/>
  <c r="O693" i="204" s="1"/>
  <c r="M693" i="205"/>
  <c r="M693" i="204" s="1"/>
  <c r="F693" i="205"/>
  <c r="F693" i="204" s="1"/>
  <c r="G693" i="205"/>
  <c r="G693" i="204" s="1"/>
  <c r="N693" i="205"/>
  <c r="N693" i="204" s="1"/>
  <c r="Q615" i="206" l="1"/>
  <c r="Q22" i="206" s="1"/>
  <c r="E670" i="206"/>
  <c r="Q670" i="206" s="1"/>
  <c r="Q77" i="206" s="1"/>
  <c r="Q606" i="204"/>
  <c r="E693" i="204"/>
  <c r="Q693" i="204" s="1"/>
  <c r="Q693" i="205"/>
  <c r="R26" i="205" s="1"/>
  <c r="R26" i="204" s="1"/>
  <c r="Q732" i="205"/>
  <c r="R65" i="205" s="1"/>
  <c r="R65" i="204" s="1"/>
  <c r="E732" i="204"/>
  <c r="Q732" i="204" s="1"/>
  <c r="E700" i="204"/>
  <c r="Q700" i="204" s="1"/>
  <c r="Q700" i="205"/>
  <c r="R33" i="205" s="1"/>
  <c r="R33" i="204" s="1"/>
  <c r="I727" i="205" l="1"/>
  <c r="I727" i="204" s="1"/>
  <c r="N727" i="205"/>
  <c r="N727" i="204" s="1"/>
  <c r="O727" i="205"/>
  <c r="O727" i="204" s="1"/>
  <c r="H727" i="205"/>
  <c r="H727" i="204" s="1"/>
  <c r="K727" i="205"/>
  <c r="K727" i="204" s="1"/>
  <c r="L727" i="205"/>
  <c r="L727" i="204" s="1"/>
  <c r="P727" i="205"/>
  <c r="P727" i="204" s="1"/>
  <c r="J727" i="205"/>
  <c r="J727" i="204" s="1"/>
  <c r="G727" i="205"/>
  <c r="G727" i="204" s="1"/>
  <c r="F727" i="205"/>
  <c r="F727" i="204" s="1"/>
  <c r="M727" i="205"/>
  <c r="M727" i="204" s="1"/>
  <c r="E727" i="205"/>
  <c r="J695" i="205"/>
  <c r="J695" i="204" s="1"/>
  <c r="G695" i="205"/>
  <c r="G695" i="204" s="1"/>
  <c r="I695" i="205"/>
  <c r="I695" i="204" s="1"/>
  <c r="N695" i="205"/>
  <c r="N695" i="204" s="1"/>
  <c r="P695" i="205"/>
  <c r="P695" i="204" s="1"/>
  <c r="L695" i="205"/>
  <c r="L695" i="204" s="1"/>
  <c r="H695" i="205"/>
  <c r="H695" i="204" s="1"/>
  <c r="F695" i="205"/>
  <c r="F695" i="204" s="1"/>
  <c r="E695" i="205"/>
  <c r="M695" i="205"/>
  <c r="M695" i="204" s="1"/>
  <c r="O695" i="205"/>
  <c r="O695" i="204" s="1"/>
  <c r="K695" i="205"/>
  <c r="K695" i="204" s="1"/>
  <c r="E695" i="204" l="1"/>
  <c r="Q695" i="204" s="1"/>
  <c r="Q695" i="205"/>
  <c r="R28" i="205" s="1"/>
  <c r="R28" i="204" s="1"/>
  <c r="E727" i="204"/>
  <c r="Q727" i="204" s="1"/>
  <c r="Q727" i="205"/>
  <c r="R60" i="205" s="1"/>
  <c r="R60" i="204" s="1"/>
  <c r="I710" i="205"/>
  <c r="I710" i="204" s="1"/>
  <c r="E710" i="205"/>
  <c r="H710" i="205"/>
  <c r="H710" i="204" s="1"/>
  <c r="N710" i="205"/>
  <c r="N710" i="204" s="1"/>
  <c r="M710" i="205"/>
  <c r="M710" i="204" s="1"/>
  <c r="L710" i="205"/>
  <c r="L710" i="204" s="1"/>
  <c r="O774" i="205"/>
  <c r="O774" i="204" s="1"/>
  <c r="H774" i="205"/>
  <c r="H774" i="204" s="1"/>
  <c r="M774" i="205"/>
  <c r="M774" i="204" s="1"/>
  <c r="N774" i="205"/>
  <c r="N774" i="204" s="1"/>
  <c r="G774" i="205"/>
  <c r="G774" i="204" s="1"/>
  <c r="L774" i="205"/>
  <c r="L774" i="204" s="1"/>
  <c r="P774" i="205"/>
  <c r="P774" i="204" s="1"/>
  <c r="I774" i="205"/>
  <c r="I774" i="204" s="1"/>
  <c r="F774" i="205"/>
  <c r="F774" i="204" s="1"/>
  <c r="K774" i="205"/>
  <c r="K774" i="204" s="1"/>
  <c r="E774" i="205"/>
  <c r="J774" i="205"/>
  <c r="J774" i="204" s="1"/>
  <c r="F710" i="205"/>
  <c r="F710" i="204" s="1"/>
  <c r="O710" i="205"/>
  <c r="O710" i="204" s="1"/>
  <c r="J710" i="205"/>
  <c r="J710" i="204" s="1"/>
  <c r="G710" i="205"/>
  <c r="G710" i="204" s="1"/>
  <c r="K710" i="205"/>
  <c r="K710" i="204" s="1"/>
  <c r="P710" i="205"/>
  <c r="P710" i="204" s="1"/>
  <c r="Q774" i="205" l="1"/>
  <c r="S33" i="205" s="1"/>
  <c r="S33" i="204" s="1"/>
  <c r="E774" i="204"/>
  <c r="Q774" i="204" s="1"/>
  <c r="E710" i="204"/>
  <c r="Q710" i="204" s="1"/>
  <c r="Q710" i="205"/>
  <c r="R43" i="205" s="1"/>
  <c r="R43" i="204" s="1"/>
  <c r="J682" i="205"/>
  <c r="J682" i="204" s="1"/>
  <c r="K682" i="205"/>
  <c r="K682" i="204" s="1"/>
  <c r="F682" i="205"/>
  <c r="F682" i="204" s="1"/>
  <c r="M682" i="205"/>
  <c r="M682" i="204" s="1"/>
  <c r="L682" i="205"/>
  <c r="L682" i="204" s="1"/>
  <c r="I682" i="205"/>
  <c r="I682" i="204" s="1"/>
  <c r="N682" i="205"/>
  <c r="N682" i="204" s="1"/>
  <c r="P682" i="205"/>
  <c r="P682" i="204" s="1"/>
  <c r="O682" i="205"/>
  <c r="O682" i="204" s="1"/>
  <c r="G682" i="205"/>
  <c r="G682" i="204" s="1"/>
  <c r="H682" i="205"/>
  <c r="H682" i="204" s="1"/>
  <c r="E682" i="205"/>
  <c r="E682" i="204" l="1"/>
  <c r="Q682" i="204" s="1"/>
  <c r="Q682" i="205"/>
  <c r="R15" i="205" s="1"/>
  <c r="R15" i="204" s="1"/>
  <c r="P767" i="205" l="1"/>
  <c r="P767" i="204" s="1"/>
  <c r="M767" i="205"/>
  <c r="M767" i="204" s="1"/>
  <c r="N767" i="205"/>
  <c r="N767" i="204" s="1"/>
  <c r="K767" i="205"/>
  <c r="K767" i="204" s="1"/>
  <c r="O767" i="205"/>
  <c r="O767" i="204" s="1"/>
  <c r="J767" i="205"/>
  <c r="J767" i="204" s="1"/>
  <c r="H767" i="205"/>
  <c r="H767" i="204" s="1"/>
  <c r="G767" i="205"/>
  <c r="G767" i="204" s="1"/>
  <c r="F767" i="205"/>
  <c r="F767" i="204" s="1"/>
  <c r="L767" i="205"/>
  <c r="L767" i="204" s="1"/>
  <c r="E767" i="205"/>
  <c r="I767" i="205"/>
  <c r="I767" i="204" s="1"/>
  <c r="E767" i="204" l="1"/>
  <c r="Q767" i="204" s="1"/>
  <c r="Q767" i="205"/>
  <c r="S26" i="205" s="1"/>
  <c r="S26" i="204" s="1"/>
  <c r="O806" i="205" l="1"/>
  <c r="O806" i="204" s="1"/>
  <c r="E806" i="205"/>
  <c r="L806" i="205"/>
  <c r="L806" i="204" s="1"/>
  <c r="K806" i="205"/>
  <c r="K806" i="204" s="1"/>
  <c r="J806" i="205"/>
  <c r="J806" i="204" s="1"/>
  <c r="H806" i="205"/>
  <c r="H806" i="204" s="1"/>
  <c r="I806" i="205"/>
  <c r="I806" i="204" s="1"/>
  <c r="G806" i="205"/>
  <c r="G806" i="204" s="1"/>
  <c r="N806" i="205"/>
  <c r="N806" i="204" s="1"/>
  <c r="F806" i="205"/>
  <c r="F806" i="204" s="1"/>
  <c r="P806" i="205"/>
  <c r="P806" i="204" s="1"/>
  <c r="M806" i="205"/>
  <c r="M806" i="204" s="1"/>
  <c r="E806" i="204" l="1"/>
  <c r="Q806" i="204" s="1"/>
  <c r="Q806" i="205"/>
  <c r="S65" i="205" s="1"/>
  <c r="S65" i="204" s="1"/>
  <c r="J680" i="206"/>
  <c r="G680" i="206"/>
  <c r="H680" i="206"/>
  <c r="F680" i="206"/>
  <c r="O680" i="206"/>
  <c r="N680" i="206"/>
  <c r="L680" i="206"/>
  <c r="M680" i="206"/>
  <c r="I680" i="206"/>
  <c r="P680" i="206"/>
  <c r="K680" i="206"/>
  <c r="G801" i="205"/>
  <c r="G801" i="204" s="1"/>
  <c r="N801" i="205"/>
  <c r="N801" i="204" s="1"/>
  <c r="I801" i="205"/>
  <c r="I801" i="204" s="1"/>
  <c r="P801" i="205"/>
  <c r="P801" i="204" s="1"/>
  <c r="L801" i="205"/>
  <c r="L801" i="204" s="1"/>
  <c r="H801" i="205"/>
  <c r="H801" i="204" s="1"/>
  <c r="J801" i="205"/>
  <c r="J801" i="204" s="1"/>
  <c r="O801" i="205"/>
  <c r="O801" i="204" s="1"/>
  <c r="K801" i="205"/>
  <c r="K801" i="204" s="1"/>
  <c r="E801" i="205"/>
  <c r="F801" i="205"/>
  <c r="F801" i="204" s="1"/>
  <c r="M801" i="205"/>
  <c r="M801" i="204" s="1"/>
  <c r="P769" i="205"/>
  <c r="P769" i="204" s="1"/>
  <c r="H769" i="205"/>
  <c r="H769" i="204" s="1"/>
  <c r="I769" i="205"/>
  <c r="I769" i="204" s="1"/>
  <c r="G769" i="205"/>
  <c r="G769" i="204" s="1"/>
  <c r="N769" i="205"/>
  <c r="N769" i="204" s="1"/>
  <c r="J769" i="205"/>
  <c r="J769" i="204" s="1"/>
  <c r="F769" i="205"/>
  <c r="F769" i="204" s="1"/>
  <c r="L769" i="205"/>
  <c r="L769" i="204" s="1"/>
  <c r="O769" i="205"/>
  <c r="O769" i="204" s="1"/>
  <c r="E769" i="205"/>
  <c r="M769" i="205"/>
  <c r="M769" i="204" s="1"/>
  <c r="K769" i="205"/>
  <c r="K769" i="204" s="1"/>
  <c r="E680" i="206"/>
  <c r="I680" i="204" l="1"/>
  <c r="I689" i="206"/>
  <c r="I744" i="206" s="1"/>
  <c r="M689" i="206"/>
  <c r="M744" i="206" s="1"/>
  <c r="M680" i="204"/>
  <c r="L680" i="204"/>
  <c r="L689" i="206"/>
  <c r="L744" i="206" s="1"/>
  <c r="E680" i="204"/>
  <c r="E689" i="206"/>
  <c r="Q680" i="206"/>
  <c r="R13" i="206" s="1"/>
  <c r="R13" i="204" s="1"/>
  <c r="N680" i="204"/>
  <c r="N689" i="206"/>
  <c r="N744" i="206" s="1"/>
  <c r="E801" i="204"/>
  <c r="Q801" i="204" s="1"/>
  <c r="Q801" i="205"/>
  <c r="S60" i="205" s="1"/>
  <c r="S60" i="204" s="1"/>
  <c r="O680" i="204"/>
  <c r="O689" i="206"/>
  <c r="O744" i="206" s="1"/>
  <c r="F680" i="204"/>
  <c r="F689" i="206"/>
  <c r="F744" i="206" s="1"/>
  <c r="H680" i="204"/>
  <c r="H689" i="206"/>
  <c r="H744" i="206" s="1"/>
  <c r="E769" i="204"/>
  <c r="Q769" i="204" s="1"/>
  <c r="Q769" i="205"/>
  <c r="S28" i="205" s="1"/>
  <c r="S28" i="204" s="1"/>
  <c r="G680" i="204"/>
  <c r="G689" i="206"/>
  <c r="G744" i="206" s="1"/>
  <c r="J689" i="206"/>
  <c r="J744" i="206" s="1"/>
  <c r="J680" i="204"/>
  <c r="K689" i="206"/>
  <c r="K744" i="206" s="1"/>
  <c r="K680" i="204"/>
  <c r="P680" i="204"/>
  <c r="P689" i="206"/>
  <c r="P744" i="206" s="1"/>
  <c r="Q689" i="206" l="1"/>
  <c r="R22" i="206" s="1"/>
  <c r="E744" i="206"/>
  <c r="Q744" i="206" s="1"/>
  <c r="R77" i="206" s="1"/>
  <c r="Q680" i="204"/>
  <c r="K756" i="205"/>
  <c r="K756" i="204" s="1"/>
  <c r="O756" i="205"/>
  <c r="O756" i="204" s="1"/>
  <c r="M756" i="205"/>
  <c r="M756" i="204" s="1"/>
  <c r="I756" i="205"/>
  <c r="I756" i="204" s="1"/>
  <c r="G756" i="205"/>
  <c r="G756" i="204" s="1"/>
  <c r="H756" i="205"/>
  <c r="H756" i="204" s="1"/>
  <c r="L756" i="205"/>
  <c r="L756" i="204" s="1"/>
  <c r="P756" i="205"/>
  <c r="P756" i="204" s="1"/>
  <c r="N756" i="205"/>
  <c r="N756" i="204" s="1"/>
  <c r="F756" i="205"/>
  <c r="F756" i="204" s="1"/>
  <c r="J756" i="205"/>
  <c r="J756" i="204" s="1"/>
  <c r="E784" i="205" l="1"/>
  <c r="P784" i="205"/>
  <c r="P784" i="204" s="1"/>
  <c r="G784" i="205"/>
  <c r="G784" i="204" s="1"/>
  <c r="F784" i="205"/>
  <c r="F784" i="204" s="1"/>
  <c r="J784" i="205"/>
  <c r="J784" i="204" s="1"/>
  <c r="H784" i="205"/>
  <c r="H784" i="204" s="1"/>
  <c r="L784" i="205"/>
  <c r="L784" i="204" s="1"/>
  <c r="K784" i="205"/>
  <c r="K784" i="204" s="1"/>
  <c r="O784" i="205"/>
  <c r="O784" i="204" s="1"/>
  <c r="N784" i="205"/>
  <c r="N784" i="204" s="1"/>
  <c r="M784" i="205"/>
  <c r="M784" i="204" s="1"/>
  <c r="I784" i="205"/>
  <c r="I784" i="204" s="1"/>
  <c r="E607" i="205"/>
  <c r="E756" i="205"/>
  <c r="F607" i="205"/>
  <c r="F607" i="204" s="1"/>
  <c r="K607" i="205"/>
  <c r="K607" i="204" s="1"/>
  <c r="H607" i="205"/>
  <c r="H607" i="204" s="1"/>
  <c r="M607" i="205"/>
  <c r="M607" i="204" s="1"/>
  <c r="J607" i="205"/>
  <c r="J607" i="204" s="1"/>
  <c r="N607" i="205"/>
  <c r="N607" i="204" s="1"/>
  <c r="P607" i="205"/>
  <c r="P607" i="204" s="1"/>
  <c r="L607" i="205"/>
  <c r="L607" i="204" s="1"/>
  <c r="I607" i="205"/>
  <c r="I607" i="204" s="1"/>
  <c r="O607" i="205"/>
  <c r="O607" i="204" s="1"/>
  <c r="G607" i="205"/>
  <c r="G607" i="204" s="1"/>
  <c r="Q607" i="205" l="1"/>
  <c r="Q14" i="205" s="1"/>
  <c r="Q14" i="204" s="1"/>
  <c r="E607" i="204"/>
  <c r="Q607" i="204" s="1"/>
  <c r="E756" i="204"/>
  <c r="Q756" i="204" s="1"/>
  <c r="Q756" i="205"/>
  <c r="S15" i="205" s="1"/>
  <c r="S15" i="204" s="1"/>
  <c r="Q784" i="205"/>
  <c r="S43" i="205" s="1"/>
  <c r="S43" i="204" s="1"/>
  <c r="E784" i="204"/>
  <c r="Q784" i="204" s="1"/>
  <c r="N602" i="205" l="1"/>
  <c r="E602" i="205"/>
  <c r="P602" i="205"/>
  <c r="J602" i="205"/>
  <c r="M602" i="205"/>
  <c r="H602" i="205"/>
  <c r="L602" i="205"/>
  <c r="K602" i="205"/>
  <c r="O602" i="205"/>
  <c r="I602" i="205"/>
  <c r="G602" i="205"/>
  <c r="F602" i="205"/>
  <c r="F602" i="204" l="1"/>
  <c r="P602" i="204"/>
  <c r="E602" i="204"/>
  <c r="Q602" i="205"/>
  <c r="Q9" i="205" s="1"/>
  <c r="Q9" i="204" s="1"/>
  <c r="G602" i="204"/>
  <c r="I602" i="204"/>
  <c r="O602" i="204"/>
  <c r="K602" i="204"/>
  <c r="L602" i="204"/>
  <c r="H602" i="204"/>
  <c r="M602" i="204"/>
  <c r="J602" i="204"/>
  <c r="N602" i="204"/>
  <c r="Q602" i="204" l="1"/>
  <c r="K754" i="206" l="1"/>
  <c r="I754" i="206"/>
  <c r="P754" i="206"/>
  <c r="H754" i="206"/>
  <c r="J754" i="206"/>
  <c r="O754" i="206"/>
  <c r="G754" i="206"/>
  <c r="M754" i="206"/>
  <c r="N754" i="206"/>
  <c r="F754" i="206"/>
  <c r="L754" i="206"/>
  <c r="P603" i="205"/>
  <c r="H603" i="205"/>
  <c r="I603" i="205"/>
  <c r="K603" i="205"/>
  <c r="G603" i="205"/>
  <c r="L603" i="205"/>
  <c r="O603" i="205"/>
  <c r="E603" i="205"/>
  <c r="N603" i="205"/>
  <c r="M603" i="205"/>
  <c r="J603" i="205"/>
  <c r="F603" i="205"/>
  <c r="E754" i="206"/>
  <c r="F763" i="206" l="1"/>
  <c r="F818" i="206" s="1"/>
  <c r="F754" i="204"/>
  <c r="M603" i="204"/>
  <c r="M615" i="204" s="1"/>
  <c r="M615" i="205"/>
  <c r="N763" i="206"/>
  <c r="N818" i="206" s="1"/>
  <c r="N754" i="204"/>
  <c r="N603" i="204"/>
  <c r="N615" i="204" s="1"/>
  <c r="N615" i="205"/>
  <c r="M763" i="206"/>
  <c r="M818" i="206" s="1"/>
  <c r="M754" i="204"/>
  <c r="Q603" i="205"/>
  <c r="Q10" i="205" s="1"/>
  <c r="Q10" i="204" s="1"/>
  <c r="E603" i="204"/>
  <c r="E615" i="205"/>
  <c r="G763" i="206"/>
  <c r="G818" i="206" s="1"/>
  <c r="G754" i="204"/>
  <c r="O603" i="204"/>
  <c r="O615" i="204" s="1"/>
  <c r="O615" i="205"/>
  <c r="O763" i="206"/>
  <c r="O818" i="206" s="1"/>
  <c r="O754" i="204"/>
  <c r="Q754" i="206"/>
  <c r="S13" i="206" s="1"/>
  <c r="S13" i="204" s="1"/>
  <c r="E763" i="206"/>
  <c r="E754" i="204"/>
  <c r="L603" i="204"/>
  <c r="L615" i="204" s="1"/>
  <c r="L615" i="205"/>
  <c r="J763" i="206"/>
  <c r="J818" i="206" s="1"/>
  <c r="J754" i="204"/>
  <c r="J603" i="204"/>
  <c r="J615" i="204" s="1"/>
  <c r="J615" i="205"/>
  <c r="G603" i="204"/>
  <c r="G615" i="204" s="1"/>
  <c r="G615" i="205"/>
  <c r="H754" i="204"/>
  <c r="H763" i="206"/>
  <c r="H818" i="206" s="1"/>
  <c r="K603" i="204"/>
  <c r="K615" i="204" s="1"/>
  <c r="K615" i="205"/>
  <c r="P754" i="204"/>
  <c r="P763" i="206"/>
  <c r="P818" i="206" s="1"/>
  <c r="I603" i="204"/>
  <c r="I615" i="204" s="1"/>
  <c r="I615" i="205"/>
  <c r="I754" i="204"/>
  <c r="I763" i="206"/>
  <c r="I818" i="206" s="1"/>
  <c r="H603" i="204"/>
  <c r="H615" i="204" s="1"/>
  <c r="H615" i="205"/>
  <c r="K763" i="206"/>
  <c r="K818" i="206" s="1"/>
  <c r="K754" i="204"/>
  <c r="P603" i="204"/>
  <c r="P615" i="204" s="1"/>
  <c r="P615" i="205"/>
  <c r="F603" i="204"/>
  <c r="F615" i="204" s="1"/>
  <c r="F615" i="205"/>
  <c r="L763" i="206"/>
  <c r="L818" i="206" s="1"/>
  <c r="L754" i="204"/>
  <c r="Q603" i="204" l="1"/>
  <c r="E615" i="204"/>
  <c r="Q615" i="204" s="1"/>
  <c r="Q22" i="204" s="1"/>
  <c r="Q754" i="204"/>
  <c r="Q763" i="206"/>
  <c r="S22" i="206" s="1"/>
  <c r="E818" i="206"/>
  <c r="Q818" i="206" s="1"/>
  <c r="S77" i="206" s="1"/>
  <c r="Q615" i="205"/>
  <c r="Q22" i="205" s="1"/>
  <c r="F681" i="205" l="1"/>
  <c r="F681" i="204" s="1"/>
  <c r="E681" i="205"/>
  <c r="L681" i="205"/>
  <c r="L681" i="204" s="1"/>
  <c r="I681" i="205"/>
  <c r="I681" i="204" s="1"/>
  <c r="K681" i="205"/>
  <c r="K681" i="204" s="1"/>
  <c r="H681" i="205"/>
  <c r="H681" i="204" s="1"/>
  <c r="P681" i="205"/>
  <c r="P681" i="204" s="1"/>
  <c r="O681" i="205"/>
  <c r="O681" i="204" s="1"/>
  <c r="G681" i="205"/>
  <c r="G681" i="204" s="1"/>
  <c r="N681" i="205"/>
  <c r="N681" i="204" s="1"/>
  <c r="M681" i="205"/>
  <c r="M681" i="204" s="1"/>
  <c r="J681" i="205"/>
  <c r="J681" i="204" s="1"/>
  <c r="E681" i="204" l="1"/>
  <c r="Q681" i="204" s="1"/>
  <c r="Q681" i="205"/>
  <c r="R14" i="205" s="1"/>
  <c r="R14" i="204" s="1"/>
  <c r="D127" i="257" l="1"/>
  <c r="M127" i="257" s="1"/>
  <c r="D126" i="257" l="1"/>
  <c r="F127" i="257"/>
  <c r="H127" i="257" s="1"/>
  <c r="E676" i="205" l="1"/>
  <c r="N676" i="205"/>
  <c r="M676" i="205"/>
  <c r="H676" i="205"/>
  <c r="K676" i="205"/>
  <c r="F676" i="205"/>
  <c r="L676" i="205"/>
  <c r="J676" i="205"/>
  <c r="O676" i="205"/>
  <c r="P676" i="205"/>
  <c r="G676" i="205"/>
  <c r="I676" i="205"/>
  <c r="J126" i="257"/>
  <c r="L126" i="257" s="1"/>
  <c r="M126" i="257" s="1"/>
  <c r="D125" i="257"/>
  <c r="D166" i="257" s="1"/>
  <c r="F126" i="257"/>
  <c r="H126" i="257" s="1"/>
  <c r="G676" i="204" l="1"/>
  <c r="P676" i="204"/>
  <c r="M676" i="204"/>
  <c r="J676" i="204"/>
  <c r="I676" i="204"/>
  <c r="L676" i="204"/>
  <c r="O676" i="204"/>
  <c r="K676" i="204"/>
  <c r="F676" i="204"/>
  <c r="N676" i="204"/>
  <c r="Q676" i="205"/>
  <c r="R9" i="205" s="1"/>
  <c r="R9" i="204" s="1"/>
  <c r="E676" i="204"/>
  <c r="H676" i="204"/>
  <c r="J125" i="257"/>
  <c r="F125" i="257"/>
  <c r="Q676" i="204" l="1"/>
  <c r="H125" i="257"/>
  <c r="F166" i="257"/>
  <c r="L125" i="257"/>
  <c r="M125" i="257" s="1"/>
  <c r="J166" i="257"/>
  <c r="P677" i="205" l="1"/>
  <c r="L677" i="205"/>
  <c r="O677" i="205"/>
  <c r="G677" i="205"/>
  <c r="H677" i="205"/>
  <c r="N677" i="205"/>
  <c r="K677" i="205"/>
  <c r="J677" i="205"/>
  <c r="F677" i="205"/>
  <c r="I677" i="205"/>
  <c r="E677" i="205"/>
  <c r="M677" i="205"/>
  <c r="I677" i="204" l="1"/>
  <c r="I689" i="204" s="1"/>
  <c r="I689" i="205"/>
  <c r="F677" i="204"/>
  <c r="F689" i="204" s="1"/>
  <c r="F689" i="205"/>
  <c r="J677" i="204"/>
  <c r="J689" i="204" s="1"/>
  <c r="J689" i="205"/>
  <c r="K677" i="204"/>
  <c r="K689" i="204" s="1"/>
  <c r="K689" i="205"/>
  <c r="N677" i="204"/>
  <c r="N689" i="204" s="1"/>
  <c r="N689" i="205"/>
  <c r="H677" i="204"/>
  <c r="H689" i="204" s="1"/>
  <c r="H689" i="205"/>
  <c r="G677" i="204"/>
  <c r="G689" i="204" s="1"/>
  <c r="G689" i="205"/>
  <c r="O677" i="204"/>
  <c r="O689" i="204" s="1"/>
  <c r="O689" i="205"/>
  <c r="P677" i="204"/>
  <c r="P689" i="204" s="1"/>
  <c r="P689" i="205"/>
  <c r="M677" i="204"/>
  <c r="M689" i="204" s="1"/>
  <c r="M689" i="205"/>
  <c r="L677" i="204"/>
  <c r="L689" i="204" s="1"/>
  <c r="L689" i="205"/>
  <c r="Q677" i="205"/>
  <c r="R10" i="205" s="1"/>
  <c r="R10" i="204" s="1"/>
  <c r="E677" i="204"/>
  <c r="E689" i="205"/>
  <c r="Q677" i="204" l="1"/>
  <c r="E689" i="204"/>
  <c r="Q689" i="204" s="1"/>
  <c r="R22" i="204" s="1"/>
  <c r="Q689" i="205"/>
  <c r="R22" i="205" s="1"/>
  <c r="E755" i="205"/>
  <c r="M755" i="205"/>
  <c r="M755" i="204" s="1"/>
  <c r="K755" i="205"/>
  <c r="K755" i="204" s="1"/>
  <c r="F755" i="205"/>
  <c r="F755" i="204" s="1"/>
  <c r="N755" i="205"/>
  <c r="N755" i="204" s="1"/>
  <c r="I755" i="205"/>
  <c r="I755" i="204" s="1"/>
  <c r="O755" i="205"/>
  <c r="O755" i="204" s="1"/>
  <c r="H755" i="205"/>
  <c r="H755" i="204" s="1"/>
  <c r="J755" i="205"/>
  <c r="J755" i="204" s="1"/>
  <c r="L755" i="205"/>
  <c r="L755" i="204" s="1"/>
  <c r="P755" i="205"/>
  <c r="P755" i="204" s="1"/>
  <c r="G755" i="205"/>
  <c r="G755" i="204" s="1"/>
  <c r="E755" i="204" l="1"/>
  <c r="Q755" i="204" s="1"/>
  <c r="Q755" i="205"/>
  <c r="S14" i="205" s="1"/>
  <c r="S14" i="204" s="1"/>
  <c r="P750" i="205" l="1"/>
  <c r="N750" i="205"/>
  <c r="H750" i="205"/>
  <c r="I750" i="205"/>
  <c r="F750" i="205"/>
  <c r="O750" i="205"/>
  <c r="M750" i="205"/>
  <c r="G750" i="205"/>
  <c r="J750" i="205"/>
  <c r="K750" i="205"/>
  <c r="L750" i="205"/>
  <c r="E750" i="205"/>
  <c r="O750" i="204" l="1"/>
  <c r="I750" i="204"/>
  <c r="H750" i="204"/>
  <c r="M750" i="204"/>
  <c r="P750" i="204"/>
  <c r="N750" i="204"/>
  <c r="F750" i="204"/>
  <c r="L750" i="204"/>
  <c r="Q750" i="205"/>
  <c r="S9" i="205" s="1"/>
  <c r="S9" i="204" s="1"/>
  <c r="E750" i="204"/>
  <c r="K750" i="204"/>
  <c r="J750" i="204"/>
  <c r="G750" i="204"/>
  <c r="Q750" i="204" l="1"/>
  <c r="N751" i="205" l="1"/>
  <c r="K751" i="205"/>
  <c r="I751" i="205"/>
  <c r="J751" i="205"/>
  <c r="F751" i="205"/>
  <c r="M751" i="205"/>
  <c r="H751" i="205"/>
  <c r="G751" i="205"/>
  <c r="E751" i="205"/>
  <c r="O751" i="205"/>
  <c r="P751" i="205"/>
  <c r="L751" i="205"/>
  <c r="O751" i="204" l="1"/>
  <c r="O763" i="204" s="1"/>
  <c r="O763" i="205"/>
  <c r="Q751" i="205"/>
  <c r="S10" i="205" s="1"/>
  <c r="S10" i="204" s="1"/>
  <c r="E751" i="204"/>
  <c r="E763" i="205"/>
  <c r="G751" i="204"/>
  <c r="G763" i="204" s="1"/>
  <c r="G763" i="205"/>
  <c r="F751" i="204"/>
  <c r="F763" i="204" s="1"/>
  <c r="F763" i="205"/>
  <c r="J751" i="204"/>
  <c r="J763" i="204" s="1"/>
  <c r="J763" i="205"/>
  <c r="H751" i="204"/>
  <c r="H763" i="204" s="1"/>
  <c r="H763" i="205"/>
  <c r="M751" i="204"/>
  <c r="M763" i="204" s="1"/>
  <c r="M763" i="205"/>
  <c r="L751" i="204"/>
  <c r="L763" i="204" s="1"/>
  <c r="L763" i="205"/>
  <c r="P751" i="204"/>
  <c r="P763" i="204" s="1"/>
  <c r="P763" i="205"/>
  <c r="I751" i="204"/>
  <c r="I763" i="204" s="1"/>
  <c r="I763" i="205"/>
  <c r="K751" i="204"/>
  <c r="K763" i="204" s="1"/>
  <c r="K763" i="205"/>
  <c r="N751" i="204"/>
  <c r="N763" i="204" s="1"/>
  <c r="N763" i="205"/>
  <c r="Q763" i="205" l="1"/>
  <c r="S22" i="205" s="1"/>
  <c r="Q751" i="204"/>
  <c r="E763" i="204"/>
  <c r="Q763" i="204" s="1"/>
  <c r="S22" i="204" s="1"/>
  <c r="D199" i="257" l="1"/>
  <c r="D198" i="257" l="1"/>
  <c r="F199" i="257"/>
  <c r="J198" i="257" l="1"/>
  <c r="F198" i="257"/>
  <c r="D202" i="257" l="1"/>
  <c r="M202" i="257" s="1"/>
  <c r="D201" i="257" l="1"/>
  <c r="F202" i="257"/>
  <c r="H202" i="257" s="1"/>
  <c r="J201" i="257" l="1"/>
  <c r="L201" i="257" s="1"/>
  <c r="M201" i="257" s="1"/>
  <c r="F201" i="257"/>
  <c r="H201" i="257" s="1"/>
  <c r="P657" i="205" l="1"/>
  <c r="P657" i="204" s="1"/>
  <c r="K657" i="205"/>
  <c r="K657" i="204" s="1"/>
  <c r="O657" i="205"/>
  <c r="O657" i="204" s="1"/>
  <c r="M657" i="205"/>
  <c r="M657" i="204" s="1"/>
  <c r="H657" i="205"/>
  <c r="H657" i="204" s="1"/>
  <c r="J657" i="205"/>
  <c r="J657" i="204" s="1"/>
  <c r="F657" i="205"/>
  <c r="F657" i="204" s="1"/>
  <c r="G657" i="205"/>
  <c r="G657" i="204" s="1"/>
  <c r="I657" i="205"/>
  <c r="I657" i="204" s="1"/>
  <c r="E657" i="205"/>
  <c r="N657" i="205"/>
  <c r="N657" i="204" s="1"/>
  <c r="L657" i="205"/>
  <c r="L657" i="204" s="1"/>
  <c r="E657" i="204" l="1"/>
  <c r="Q657" i="204" s="1"/>
  <c r="Q657" i="205"/>
  <c r="Q64" i="205" s="1"/>
  <c r="Q64" i="204" s="1"/>
  <c r="H656" i="205"/>
  <c r="H656" i="204" s="1"/>
  <c r="F656" i="205"/>
  <c r="F656" i="204" s="1"/>
  <c r="J656" i="205"/>
  <c r="J656" i="204" s="1"/>
  <c r="E656" i="205"/>
  <c r="N656" i="205"/>
  <c r="N656" i="204" s="1"/>
  <c r="G656" i="205"/>
  <c r="G656" i="204" s="1"/>
  <c r="K656" i="205"/>
  <c r="K656" i="204" s="1"/>
  <c r="I656" i="205"/>
  <c r="I656" i="204" s="1"/>
  <c r="M656" i="205"/>
  <c r="M656" i="204" s="1"/>
  <c r="P656" i="205"/>
  <c r="P656" i="204" s="1"/>
  <c r="L656" i="205"/>
  <c r="L656" i="204" s="1"/>
  <c r="O656" i="205"/>
  <c r="O656" i="204" s="1"/>
  <c r="E656" i="204" l="1"/>
  <c r="Q656" i="204" s="1"/>
  <c r="Q656" i="205"/>
  <c r="Q63" i="205" s="1"/>
  <c r="Q63" i="204" s="1"/>
  <c r="E731" i="205" l="1"/>
  <c r="J731" i="205"/>
  <c r="J731" i="204" s="1"/>
  <c r="N731" i="205"/>
  <c r="N731" i="204" s="1"/>
  <c r="K731" i="205"/>
  <c r="K731" i="204" s="1"/>
  <c r="G731" i="205"/>
  <c r="G731" i="204" s="1"/>
  <c r="P731" i="205"/>
  <c r="P731" i="204" s="1"/>
  <c r="M731" i="205"/>
  <c r="M731" i="204" s="1"/>
  <c r="H731" i="205"/>
  <c r="H731" i="204" s="1"/>
  <c r="E731" i="204" l="1"/>
  <c r="L731" i="205"/>
  <c r="L731" i="204" s="1"/>
  <c r="I731" i="205"/>
  <c r="I731" i="204" s="1"/>
  <c r="F731" i="205"/>
  <c r="F731" i="204" s="1"/>
  <c r="O731" i="205"/>
  <c r="O731" i="204" s="1"/>
  <c r="H730" i="205"/>
  <c r="H730" i="204" s="1"/>
  <c r="M730" i="205"/>
  <c r="M730" i="204" s="1"/>
  <c r="G730" i="205"/>
  <c r="G730" i="204" s="1"/>
  <c r="P730" i="205"/>
  <c r="P730" i="204" s="1"/>
  <c r="L730" i="205"/>
  <c r="L730" i="204" s="1"/>
  <c r="J730" i="205"/>
  <c r="J730" i="204" s="1"/>
  <c r="N730" i="205"/>
  <c r="N730" i="204" s="1"/>
  <c r="K730" i="205" l="1"/>
  <c r="K730" i="204" s="1"/>
  <c r="E730" i="205"/>
  <c r="Q731" i="204"/>
  <c r="O730" i="205"/>
  <c r="O730" i="204" s="1"/>
  <c r="I730" i="205"/>
  <c r="I730" i="204" s="1"/>
  <c r="F730" i="205"/>
  <c r="F730" i="204" s="1"/>
  <c r="Q731" i="205"/>
  <c r="R64" i="205" s="1"/>
  <c r="R64" i="204" s="1"/>
  <c r="E730" i="204" l="1"/>
  <c r="Q730" i="204" s="1"/>
  <c r="Q730" i="205"/>
  <c r="R63" i="205" s="1"/>
  <c r="R63" i="204" s="1"/>
  <c r="L805" i="205" l="1"/>
  <c r="L805" i="204" s="1"/>
  <c r="J805" i="205"/>
  <c r="J805" i="204" s="1"/>
  <c r="P805" i="205"/>
  <c r="P805" i="204" s="1"/>
  <c r="I805" i="205"/>
  <c r="I805" i="204" s="1"/>
  <c r="G805" i="205"/>
  <c r="G805" i="204" s="1"/>
  <c r="E805" i="205"/>
  <c r="K805" i="205"/>
  <c r="K805" i="204" s="1"/>
  <c r="H805" i="205" l="1"/>
  <c r="H805" i="204" s="1"/>
  <c r="O805" i="205"/>
  <c r="O805" i="204" s="1"/>
  <c r="N805" i="205"/>
  <c r="N805" i="204" s="1"/>
  <c r="E805" i="204"/>
  <c r="M805" i="205"/>
  <c r="M805" i="204" s="1"/>
  <c r="F805" i="205"/>
  <c r="F805" i="204" s="1"/>
  <c r="L804" i="205"/>
  <c r="L804" i="204" s="1"/>
  <c r="P804" i="205"/>
  <c r="P804" i="204" s="1"/>
  <c r="J804" i="205"/>
  <c r="J804" i="204" s="1"/>
  <c r="I804" i="205"/>
  <c r="I804" i="204" s="1"/>
  <c r="H804" i="205"/>
  <c r="H804" i="204" s="1"/>
  <c r="M804" i="205"/>
  <c r="M804" i="204" s="1"/>
  <c r="K804" i="205"/>
  <c r="K804" i="204" s="1"/>
  <c r="Q805" i="204" l="1"/>
  <c r="O804" i="205"/>
  <c r="O804" i="204" s="1"/>
  <c r="G804" i="205"/>
  <c r="G804" i="204" s="1"/>
  <c r="Q805" i="205"/>
  <c r="S64" i="205" s="1"/>
  <c r="S64" i="204" s="1"/>
  <c r="F804" i="205"/>
  <c r="F804" i="204" s="1"/>
  <c r="E804" i="205"/>
  <c r="N804" i="205"/>
  <c r="N804" i="204" s="1"/>
  <c r="E804" i="204" l="1"/>
  <c r="Q804" i="204" s="1"/>
  <c r="Q804" i="205"/>
  <c r="S63" i="205" s="1"/>
  <c r="S63" i="204" s="1"/>
  <c r="L634" i="205" l="1"/>
  <c r="N634" i="205"/>
  <c r="O634" i="205"/>
  <c r="K634" i="205"/>
  <c r="G634" i="205"/>
  <c r="H634" i="205"/>
  <c r="M634" i="205"/>
  <c r="J634" i="205"/>
  <c r="P634" i="205"/>
  <c r="F634" i="205"/>
  <c r="I634" i="205"/>
  <c r="M649" i="205" l="1"/>
  <c r="M634" i="204"/>
  <c r="M649" i="204" s="1"/>
  <c r="H649" i="205"/>
  <c r="H634" i="204"/>
  <c r="H649" i="204" s="1"/>
  <c r="G649" i="205"/>
  <c r="G634" i="204"/>
  <c r="G649" i="204" s="1"/>
  <c r="K649" i="205"/>
  <c r="K634" i="204"/>
  <c r="K649" i="204" s="1"/>
  <c r="O634" i="204"/>
  <c r="O649" i="204" s="1"/>
  <c r="O649" i="205"/>
  <c r="J634" i="204"/>
  <c r="J649" i="204" s="1"/>
  <c r="J649" i="205"/>
  <c r="N634" i="204"/>
  <c r="N649" i="204" s="1"/>
  <c r="N649" i="205"/>
  <c r="F649" i="205"/>
  <c r="F634" i="204"/>
  <c r="F649" i="204" s="1"/>
  <c r="I634" i="204"/>
  <c r="I649" i="204" s="1"/>
  <c r="I649" i="205"/>
  <c r="P649" i="205"/>
  <c r="P634" i="204"/>
  <c r="P649" i="204" s="1"/>
  <c r="L634" i="204"/>
  <c r="L649" i="204" s="1"/>
  <c r="L649" i="205"/>
  <c r="E634" i="205"/>
  <c r="E634" i="204" l="1"/>
  <c r="Q634" i="205"/>
  <c r="Q41" i="205" s="1"/>
  <c r="Q41" i="204" s="1"/>
  <c r="E649" i="205"/>
  <c r="Q649" i="205" s="1"/>
  <c r="Q56" i="205" s="1"/>
  <c r="G170" i="257"/>
  <c r="K170" i="257"/>
  <c r="L170" i="257" s="1"/>
  <c r="E649" i="204" l="1"/>
  <c r="Q649" i="204" s="1"/>
  <c r="Q56" i="204" s="1"/>
  <c r="Q634" i="204"/>
  <c r="I58" i="202" l="1"/>
  <c r="I74" i="202" s="1"/>
  <c r="I75" i="202" s="1"/>
  <c r="I76" i="202" s="1"/>
  <c r="K169" i="257"/>
  <c r="K211" i="257" s="1"/>
  <c r="K213" i="257" s="1"/>
  <c r="K214" i="257" s="1"/>
  <c r="G169" i="257" l="1"/>
  <c r="G211" i="257" s="1"/>
  <c r="G213" i="257" s="1"/>
  <c r="G214" i="257" s="1"/>
  <c r="F708" i="205" l="1"/>
  <c r="P708" i="205"/>
  <c r="G708" i="205"/>
  <c r="O708" i="205"/>
  <c r="M708" i="205"/>
  <c r="H708" i="205"/>
  <c r="L708" i="205"/>
  <c r="I708" i="205"/>
  <c r="J708" i="205"/>
  <c r="K708" i="205"/>
  <c r="N708" i="205"/>
  <c r="H723" i="205" l="1"/>
  <c r="H708" i="204"/>
  <c r="H723" i="204" s="1"/>
  <c r="M723" i="205"/>
  <c r="M708" i="204"/>
  <c r="M723" i="204" s="1"/>
  <c r="O723" i="205"/>
  <c r="O708" i="204"/>
  <c r="O723" i="204" s="1"/>
  <c r="G708" i="204"/>
  <c r="G723" i="204" s="1"/>
  <c r="G723" i="205"/>
  <c r="N723" i="205"/>
  <c r="N708" i="204"/>
  <c r="N723" i="204" s="1"/>
  <c r="P708" i="204"/>
  <c r="P723" i="204" s="1"/>
  <c r="P723" i="205"/>
  <c r="K708" i="204"/>
  <c r="K723" i="204" s="1"/>
  <c r="K723" i="205"/>
  <c r="J708" i="204"/>
  <c r="J723" i="204" s="1"/>
  <c r="J723" i="205"/>
  <c r="I723" i="205"/>
  <c r="I708" i="204"/>
  <c r="I723" i="204" s="1"/>
  <c r="F723" i="205"/>
  <c r="F708" i="204"/>
  <c r="F723" i="204" s="1"/>
  <c r="L723" i="205"/>
  <c r="L708" i="204"/>
  <c r="L723" i="204" s="1"/>
  <c r="E708" i="205"/>
  <c r="E708" i="204" l="1"/>
  <c r="E723" i="205"/>
  <c r="Q723" i="205" s="1"/>
  <c r="R56" i="205" s="1"/>
  <c r="Q708" i="205"/>
  <c r="R41" i="205" s="1"/>
  <c r="R41" i="204" s="1"/>
  <c r="Q708" i="204" l="1"/>
  <c r="E723" i="204"/>
  <c r="Q723" i="204" s="1"/>
  <c r="R56" i="204" s="1"/>
  <c r="I782" i="205" l="1"/>
  <c r="P782" i="205"/>
  <c r="G782" i="205"/>
  <c r="J782" i="205"/>
  <c r="O782" i="205"/>
  <c r="N782" i="205"/>
  <c r="K782" i="205"/>
  <c r="F782" i="205"/>
  <c r="L782" i="205"/>
  <c r="M782" i="205"/>
  <c r="H782" i="205"/>
  <c r="L797" i="205" l="1"/>
  <c r="L782" i="204"/>
  <c r="L797" i="204" s="1"/>
  <c r="K782" i="204"/>
  <c r="K797" i="204" s="1"/>
  <c r="K797" i="205"/>
  <c r="O782" i="204"/>
  <c r="O797" i="204" s="1"/>
  <c r="O797" i="205"/>
  <c r="J782" i="204"/>
  <c r="J797" i="204" s="1"/>
  <c r="J797" i="205"/>
  <c r="M782" i="204"/>
  <c r="M797" i="204" s="1"/>
  <c r="M797" i="205"/>
  <c r="N797" i="205"/>
  <c r="N782" i="204"/>
  <c r="N797" i="204" s="1"/>
  <c r="G782" i="204"/>
  <c r="G797" i="204" s="1"/>
  <c r="G797" i="205"/>
  <c r="P782" i="204"/>
  <c r="P797" i="204" s="1"/>
  <c r="P797" i="205"/>
  <c r="F797" i="205"/>
  <c r="F782" i="204"/>
  <c r="F797" i="204" s="1"/>
  <c r="H797" i="205"/>
  <c r="H782" i="204"/>
  <c r="H797" i="204" s="1"/>
  <c r="I782" i="204"/>
  <c r="I797" i="204" s="1"/>
  <c r="I797" i="205"/>
  <c r="E782" i="205"/>
  <c r="E782" i="204" l="1"/>
  <c r="E797" i="205"/>
  <c r="Q797" i="205" s="1"/>
  <c r="S56" i="205" s="1"/>
  <c r="Q782" i="205"/>
  <c r="S41" i="205" s="1"/>
  <c r="S41" i="204" s="1"/>
  <c r="Q782" i="204" l="1"/>
  <c r="E797" i="204"/>
  <c r="Q797" i="204" s="1"/>
  <c r="S56" i="204" s="1"/>
  <c r="D82" i="257" l="1"/>
  <c r="M82" i="257" s="1"/>
  <c r="D81" i="257"/>
  <c r="M81" i="257" s="1"/>
  <c r="D80" i="257"/>
  <c r="M80" i="257" s="1"/>
  <c r="F82" i="257" l="1"/>
  <c r="H82" i="257" s="1"/>
  <c r="F80" i="257"/>
  <c r="H80" i="257" s="1"/>
  <c r="D77" i="257"/>
  <c r="F81" i="257"/>
  <c r="H81" i="257" s="1"/>
  <c r="D76" i="257" l="1"/>
  <c r="D122" i="257" s="1"/>
  <c r="J77" i="257"/>
  <c r="L77" i="257" s="1"/>
  <c r="M77" i="257" s="1"/>
  <c r="F77" i="257"/>
  <c r="H77" i="257" s="1"/>
  <c r="F76" i="257" l="1"/>
  <c r="J76" i="257"/>
  <c r="J122" i="257" l="1"/>
  <c r="L122" i="257" s="1"/>
  <c r="M122" i="257" s="1"/>
  <c r="L76" i="257"/>
  <c r="M76" i="257" s="1"/>
  <c r="F122" i="257"/>
  <c r="H76" i="257"/>
  <c r="H122" i="257" s="1"/>
  <c r="D173" i="257" l="1"/>
  <c r="M173" i="257" s="1"/>
  <c r="D170" i="257"/>
  <c r="M170" i="257" s="1"/>
  <c r="G172" i="257" l="1"/>
  <c r="F172" i="257"/>
  <c r="E172" i="257"/>
  <c r="D172" i="257"/>
  <c r="K172" i="257"/>
  <c r="I172" i="257"/>
  <c r="J172" i="257"/>
  <c r="E171" i="257"/>
  <c r="H171" i="257" s="1"/>
  <c r="J171" i="257"/>
  <c r="I171" i="257"/>
  <c r="D171" i="257"/>
  <c r="K171" i="257"/>
  <c r="F171" i="257"/>
  <c r="G171" i="257"/>
  <c r="F173" i="257"/>
  <c r="H173" i="257" s="1"/>
  <c r="D169" i="257"/>
  <c r="D211" i="257" s="1"/>
  <c r="D213" i="257" s="1"/>
  <c r="D214" i="257" s="1"/>
  <c r="F170" i="257"/>
  <c r="H170" i="257" s="1"/>
  <c r="H172" i="257" l="1"/>
  <c r="L171" i="257"/>
  <c r="M171" i="257" s="1"/>
  <c r="L172" i="257"/>
  <c r="M172" i="257" s="1"/>
  <c r="F169" i="257"/>
  <c r="J169" i="257"/>
  <c r="H169" i="257" l="1"/>
  <c r="F211" i="257"/>
  <c r="F213" i="257" s="1"/>
  <c r="F214" i="257" s="1"/>
  <c r="L169" i="257"/>
  <c r="M169" i="257" s="1"/>
  <c r="J211" i="257"/>
  <c r="J213" i="257" s="1"/>
  <c r="J214" i="257" s="1"/>
  <c r="O617" i="205" l="1"/>
  <c r="H617" i="205"/>
  <c r="G617" i="205"/>
  <c r="L617" i="205"/>
  <c r="I617" i="205"/>
  <c r="N617" i="205"/>
  <c r="M617" i="205"/>
  <c r="J617" i="205"/>
  <c r="F617" i="205"/>
  <c r="E617" i="205"/>
  <c r="N632" i="205" l="1"/>
  <c r="N617" i="204"/>
  <c r="N632" i="204" s="1"/>
  <c r="I617" i="204"/>
  <c r="I632" i="204" s="1"/>
  <c r="I632" i="205"/>
  <c r="L632" i="205"/>
  <c r="L617" i="204"/>
  <c r="L632" i="204" s="1"/>
  <c r="G632" i="205"/>
  <c r="G617" i="204"/>
  <c r="G632" i="204" s="1"/>
  <c r="H617" i="204"/>
  <c r="H632" i="204" s="1"/>
  <c r="H632" i="205"/>
  <c r="O617" i="204"/>
  <c r="O632" i="204" s="1"/>
  <c r="O632" i="205"/>
  <c r="E632" i="205"/>
  <c r="E617" i="204"/>
  <c r="F632" i="205"/>
  <c r="F617" i="204"/>
  <c r="F632" i="204" s="1"/>
  <c r="J632" i="205"/>
  <c r="J617" i="204"/>
  <c r="J632" i="204" s="1"/>
  <c r="M617" i="204"/>
  <c r="M632" i="204" s="1"/>
  <c r="M632" i="205"/>
  <c r="K617" i="205"/>
  <c r="K617" i="204" l="1"/>
  <c r="K632" i="204" s="1"/>
  <c r="K632" i="205"/>
  <c r="P617" i="205"/>
  <c r="E632" i="204"/>
  <c r="Q617" i="205"/>
  <c r="Q24" i="205" s="1"/>
  <c r="Q24" i="204" s="1"/>
  <c r="P632" i="205" l="1"/>
  <c r="Q632" i="205" s="1"/>
  <c r="Q39" i="205" s="1"/>
  <c r="P617" i="204"/>
  <c r="P632" i="204" l="1"/>
  <c r="Q632" i="204" s="1"/>
  <c r="Q39" i="204" s="1"/>
  <c r="Q617" i="204"/>
  <c r="J651" i="205" l="1"/>
  <c r="E651" i="205"/>
  <c r="G651" i="205"/>
  <c r="F651" i="205"/>
  <c r="P651" i="205"/>
  <c r="L651" i="205"/>
  <c r="O651" i="205"/>
  <c r="N651" i="205"/>
  <c r="K651" i="205"/>
  <c r="H651" i="205"/>
  <c r="I651" i="205"/>
  <c r="M651" i="205"/>
  <c r="F668" i="205" l="1"/>
  <c r="F669" i="205" s="1"/>
  <c r="F670" i="205" s="1"/>
  <c r="F651" i="204"/>
  <c r="F668" i="204" s="1"/>
  <c r="F669" i="204" s="1"/>
  <c r="F670" i="204" s="1"/>
  <c r="G668" i="205"/>
  <c r="G669" i="205" s="1"/>
  <c r="G670" i="205" s="1"/>
  <c r="G651" i="204"/>
  <c r="G668" i="204" s="1"/>
  <c r="G669" i="204" s="1"/>
  <c r="G670" i="204" s="1"/>
  <c r="E651" i="204"/>
  <c r="Q651" i="205"/>
  <c r="Q58" i="205" s="1"/>
  <c r="Q58" i="204" s="1"/>
  <c r="E668" i="205"/>
  <c r="M668" i="205"/>
  <c r="M669" i="205" s="1"/>
  <c r="M670" i="205" s="1"/>
  <c r="M651" i="204"/>
  <c r="M668" i="204" s="1"/>
  <c r="M669" i="204" s="1"/>
  <c r="M670" i="204" s="1"/>
  <c r="I651" i="204"/>
  <c r="I668" i="204" s="1"/>
  <c r="I669" i="204" s="1"/>
  <c r="I670" i="204" s="1"/>
  <c r="I668" i="205"/>
  <c r="I669" i="205" s="1"/>
  <c r="I670" i="205" s="1"/>
  <c r="H651" i="204"/>
  <c r="H668" i="204" s="1"/>
  <c r="H669" i="204" s="1"/>
  <c r="H670" i="204" s="1"/>
  <c r="H668" i="205"/>
  <c r="H669" i="205" s="1"/>
  <c r="H670" i="205" s="1"/>
  <c r="K668" i="205"/>
  <c r="K669" i="205" s="1"/>
  <c r="K670" i="205" s="1"/>
  <c r="K651" i="204"/>
  <c r="K668" i="204" s="1"/>
  <c r="K669" i="204" s="1"/>
  <c r="K670" i="204" s="1"/>
  <c r="N651" i="204"/>
  <c r="N668" i="204" s="1"/>
  <c r="N669" i="204" s="1"/>
  <c r="N670" i="204" s="1"/>
  <c r="N668" i="205"/>
  <c r="N669" i="205" s="1"/>
  <c r="N670" i="205" s="1"/>
  <c r="J651" i="204"/>
  <c r="J668" i="204" s="1"/>
  <c r="J669" i="204" s="1"/>
  <c r="J670" i="204" s="1"/>
  <c r="J668" i="205"/>
  <c r="J669" i="205" s="1"/>
  <c r="J670" i="205" s="1"/>
  <c r="O651" i="204"/>
  <c r="O668" i="204" s="1"/>
  <c r="O669" i="204" s="1"/>
  <c r="O670" i="204" s="1"/>
  <c r="O668" i="205"/>
  <c r="O669" i="205" s="1"/>
  <c r="O670" i="205" s="1"/>
  <c r="L668" i="205"/>
  <c r="L669" i="205" s="1"/>
  <c r="L670" i="205" s="1"/>
  <c r="L651" i="204"/>
  <c r="L668" i="204" s="1"/>
  <c r="L669" i="204" s="1"/>
  <c r="L670" i="204" s="1"/>
  <c r="P651" i="204"/>
  <c r="P668" i="204" s="1"/>
  <c r="P669" i="204" s="1"/>
  <c r="P670" i="204" s="1"/>
  <c r="P668" i="205"/>
  <c r="P669" i="205" s="1"/>
  <c r="P670" i="205" s="1"/>
  <c r="E669" i="205" l="1"/>
  <c r="Q668" i="205"/>
  <c r="Q75" i="205" s="1"/>
  <c r="E668" i="204"/>
  <c r="Q651" i="204"/>
  <c r="Q668" i="204" l="1"/>
  <c r="Q75" i="204" s="1"/>
  <c r="E669" i="204"/>
  <c r="Q669" i="205"/>
  <c r="Q76" i="205" s="1"/>
  <c r="E670" i="205"/>
  <c r="Q670" i="205" s="1"/>
  <c r="Q77" i="205" s="1"/>
  <c r="Q669" i="204" l="1"/>
  <c r="Q76" i="204" s="1"/>
  <c r="E670" i="204"/>
  <c r="Q670" i="204" s="1"/>
  <c r="Q77" i="204" s="1"/>
  <c r="L691" i="205" l="1"/>
  <c r="N691" i="205"/>
  <c r="O691" i="205"/>
  <c r="M691" i="205"/>
  <c r="G691" i="205"/>
  <c r="H691" i="205"/>
  <c r="J691" i="205"/>
  <c r="E691" i="205"/>
  <c r="M706" i="205" l="1"/>
  <c r="M691" i="204"/>
  <c r="M706" i="204" s="1"/>
  <c r="G691" i="204"/>
  <c r="G706" i="204" s="1"/>
  <c r="G706" i="205"/>
  <c r="E691" i="204"/>
  <c r="E706" i="205"/>
  <c r="J691" i="204"/>
  <c r="J706" i="204" s="1"/>
  <c r="J706" i="205"/>
  <c r="O691" i="204"/>
  <c r="O706" i="204" s="1"/>
  <c r="O706" i="205"/>
  <c r="N706" i="205"/>
  <c r="N691" i="204"/>
  <c r="N706" i="204" s="1"/>
  <c r="H691" i="204"/>
  <c r="H706" i="204" s="1"/>
  <c r="H706" i="205"/>
  <c r="L706" i="205"/>
  <c r="L691" i="204"/>
  <c r="L706" i="204" s="1"/>
  <c r="P691" i="205"/>
  <c r="F691" i="205"/>
  <c r="K691" i="205"/>
  <c r="K706" i="205" l="1"/>
  <c r="K691" i="204"/>
  <c r="K706" i="204" s="1"/>
  <c r="F691" i="204"/>
  <c r="F706" i="204" s="1"/>
  <c r="F706" i="205"/>
  <c r="I691" i="205"/>
  <c r="Q691" i="205" s="1"/>
  <c r="R24" i="205" s="1"/>
  <c r="R24" i="204" s="1"/>
  <c r="P706" i="205"/>
  <c r="P691" i="204"/>
  <c r="P706" i="204" s="1"/>
  <c r="E706" i="204"/>
  <c r="I691" i="204" l="1"/>
  <c r="I706" i="205"/>
  <c r="Q706" i="205" s="1"/>
  <c r="R39" i="205" s="1"/>
  <c r="I706" i="204" l="1"/>
  <c r="Q706" i="204" s="1"/>
  <c r="R39" i="204" s="1"/>
  <c r="Q691" i="204"/>
  <c r="P725" i="205" l="1"/>
  <c r="N725" i="205"/>
  <c r="L725" i="205"/>
  <c r="M725" i="205"/>
  <c r="K725" i="205"/>
  <c r="I725" i="205"/>
  <c r="F725" i="205"/>
  <c r="E725" i="205"/>
  <c r="G725" i="205"/>
  <c r="J725" i="205"/>
  <c r="H725" i="205"/>
  <c r="O725" i="205"/>
  <c r="P742" i="205" l="1"/>
  <c r="P743" i="205" s="1"/>
  <c r="P744" i="205" s="1"/>
  <c r="P725" i="204"/>
  <c r="P742" i="204" s="1"/>
  <c r="P743" i="204" s="1"/>
  <c r="P744" i="204" s="1"/>
  <c r="O725" i="204"/>
  <c r="O742" i="204" s="1"/>
  <c r="O743" i="204" s="1"/>
  <c r="O744" i="204" s="1"/>
  <c r="O742" i="205"/>
  <c r="O743" i="205" s="1"/>
  <c r="O744" i="205" s="1"/>
  <c r="H742" i="205"/>
  <c r="H743" i="205" s="1"/>
  <c r="H744" i="205" s="1"/>
  <c r="H725" i="204"/>
  <c r="H742" i="204" s="1"/>
  <c r="H743" i="204" s="1"/>
  <c r="H744" i="204" s="1"/>
  <c r="J742" i="205"/>
  <c r="J743" i="205" s="1"/>
  <c r="J744" i="205" s="1"/>
  <c r="J725" i="204"/>
  <c r="J742" i="204" s="1"/>
  <c r="J743" i="204" s="1"/>
  <c r="J744" i="204" s="1"/>
  <c r="G742" i="205"/>
  <c r="G743" i="205" s="1"/>
  <c r="G744" i="205" s="1"/>
  <c r="G725" i="204"/>
  <c r="G742" i="204" s="1"/>
  <c r="G743" i="204" s="1"/>
  <c r="G744" i="204" s="1"/>
  <c r="Q725" i="205"/>
  <c r="R58" i="205" s="1"/>
  <c r="R58" i="204" s="1"/>
  <c r="E742" i="205"/>
  <c r="E725" i="204"/>
  <c r="F725" i="204"/>
  <c r="F742" i="204" s="1"/>
  <c r="F743" i="204" s="1"/>
  <c r="F744" i="204" s="1"/>
  <c r="F742" i="205"/>
  <c r="F743" i="205" s="1"/>
  <c r="F744" i="205" s="1"/>
  <c r="I742" i="205"/>
  <c r="I743" i="205" s="1"/>
  <c r="I744" i="205" s="1"/>
  <c r="I725" i="204"/>
  <c r="I742" i="204" s="1"/>
  <c r="I743" i="204" s="1"/>
  <c r="I744" i="204" s="1"/>
  <c r="K742" i="205"/>
  <c r="K743" i="205" s="1"/>
  <c r="K744" i="205" s="1"/>
  <c r="K725" i="204"/>
  <c r="K742" i="204" s="1"/>
  <c r="K743" i="204" s="1"/>
  <c r="K744" i="204" s="1"/>
  <c r="M725" i="204"/>
  <c r="M742" i="204" s="1"/>
  <c r="M743" i="204" s="1"/>
  <c r="M744" i="204" s="1"/>
  <c r="M742" i="205"/>
  <c r="M743" i="205" s="1"/>
  <c r="M744" i="205" s="1"/>
  <c r="L742" i="205"/>
  <c r="L743" i="205" s="1"/>
  <c r="L744" i="205" s="1"/>
  <c r="L725" i="204"/>
  <c r="L742" i="204" s="1"/>
  <c r="L743" i="204" s="1"/>
  <c r="L744" i="204" s="1"/>
  <c r="N725" i="204"/>
  <c r="N742" i="204" s="1"/>
  <c r="N743" i="204" s="1"/>
  <c r="N744" i="204" s="1"/>
  <c r="N742" i="205"/>
  <c r="N743" i="205" s="1"/>
  <c r="N744" i="205" s="1"/>
  <c r="Q742" i="205" l="1"/>
  <c r="R75" i="205" s="1"/>
  <c r="E743" i="205"/>
  <c r="Q725" i="204"/>
  <c r="E742" i="204"/>
  <c r="Q742" i="204" l="1"/>
  <c r="R75" i="204" s="1"/>
  <c r="E743" i="204"/>
  <c r="E744" i="205"/>
  <c r="Q744" i="205" s="1"/>
  <c r="R77" i="205" s="1"/>
  <c r="Q743" i="205"/>
  <c r="R76" i="205" s="1"/>
  <c r="E744" i="204" l="1"/>
  <c r="Q744" i="204" s="1"/>
  <c r="R77" i="204" s="1"/>
  <c r="Q743" i="204"/>
  <c r="R76" i="204" s="1"/>
  <c r="P765" i="205" l="1"/>
  <c r="L765" i="205"/>
  <c r="F765" i="205"/>
  <c r="M765" i="205"/>
  <c r="E765" i="205"/>
  <c r="K765" i="205"/>
  <c r="M780" i="205" l="1"/>
  <c r="M765" i="204"/>
  <c r="M780" i="204" s="1"/>
  <c r="K765" i="204"/>
  <c r="K780" i="204" s="1"/>
  <c r="K780" i="205"/>
  <c r="P765" i="204"/>
  <c r="P780" i="204" s="1"/>
  <c r="P780" i="205"/>
  <c r="E765" i="204"/>
  <c r="E780" i="205"/>
  <c r="F780" i="205"/>
  <c r="F765" i="204"/>
  <c r="F780" i="204" s="1"/>
  <c r="L765" i="204"/>
  <c r="L780" i="204" s="1"/>
  <c r="L780" i="205"/>
  <c r="I765" i="205"/>
  <c r="O765" i="205"/>
  <c r="N765" i="205"/>
  <c r="J765" i="205"/>
  <c r="H765" i="205"/>
  <c r="H780" i="205" l="1"/>
  <c r="H765" i="204"/>
  <c r="H780" i="204" s="1"/>
  <c r="G765" i="205"/>
  <c r="E780" i="204"/>
  <c r="I780" i="205"/>
  <c r="I765" i="204"/>
  <c r="I780" i="204" s="1"/>
  <c r="J780" i="205"/>
  <c r="J765" i="204"/>
  <c r="J780" i="204" s="1"/>
  <c r="N765" i="204"/>
  <c r="N780" i="204" s="1"/>
  <c r="N780" i="205"/>
  <c r="O765" i="204"/>
  <c r="O780" i="204" s="1"/>
  <c r="O780" i="205"/>
  <c r="G780" i="205" l="1"/>
  <c r="Q780" i="205" s="1"/>
  <c r="S39" i="205" s="1"/>
  <c r="G765" i="204"/>
  <c r="Q765" i="205"/>
  <c r="S24" i="205" s="1"/>
  <c r="S24" i="204" s="1"/>
  <c r="G780" i="204" l="1"/>
  <c r="Q780" i="204" s="1"/>
  <c r="S39" i="204" s="1"/>
  <c r="Q765" i="204"/>
  <c r="M799" i="205"/>
  <c r="N799" i="205"/>
  <c r="G799" i="205"/>
  <c r="I799" i="205"/>
  <c r="P799" i="205"/>
  <c r="L799" i="205"/>
  <c r="K799" i="205"/>
  <c r="O799" i="205"/>
  <c r="F799" i="205"/>
  <c r="E799" i="205"/>
  <c r="J799" i="205"/>
  <c r="H799" i="205"/>
  <c r="F816" i="205" l="1"/>
  <c r="F817" i="205" s="1"/>
  <c r="F818" i="205" s="1"/>
  <c r="F799" i="204"/>
  <c r="F816" i="204" s="1"/>
  <c r="F817" i="204" s="1"/>
  <c r="F818" i="204" s="1"/>
  <c r="O799" i="204"/>
  <c r="O816" i="204" s="1"/>
  <c r="O817" i="204" s="1"/>
  <c r="O818" i="204" s="1"/>
  <c r="O816" i="205"/>
  <c r="O817" i="205" s="1"/>
  <c r="O818" i="205" s="1"/>
  <c r="L816" i="205"/>
  <c r="L817" i="205" s="1"/>
  <c r="L818" i="205" s="1"/>
  <c r="L799" i="204"/>
  <c r="L816" i="204" s="1"/>
  <c r="L817" i="204" s="1"/>
  <c r="L818" i="204" s="1"/>
  <c r="I816" i="205"/>
  <c r="I817" i="205" s="1"/>
  <c r="I818" i="205" s="1"/>
  <c r="I799" i="204"/>
  <c r="I816" i="204" s="1"/>
  <c r="I817" i="204" s="1"/>
  <c r="I818" i="204" s="1"/>
  <c r="G816" i="205"/>
  <c r="G817" i="205" s="1"/>
  <c r="G818" i="205" s="1"/>
  <c r="G799" i="204"/>
  <c r="G816" i="204" s="1"/>
  <c r="G817" i="204" s="1"/>
  <c r="G818" i="204" s="1"/>
  <c r="H799" i="204"/>
  <c r="H816" i="204" s="1"/>
  <c r="H817" i="204" s="1"/>
  <c r="H818" i="204" s="1"/>
  <c r="H816" i="205"/>
  <c r="H817" i="205" s="1"/>
  <c r="H818" i="205" s="1"/>
  <c r="J799" i="204"/>
  <c r="J816" i="204" s="1"/>
  <c r="J817" i="204" s="1"/>
  <c r="J818" i="204" s="1"/>
  <c r="J816" i="205"/>
  <c r="J817" i="205" s="1"/>
  <c r="J818" i="205" s="1"/>
  <c r="K799" i="204"/>
  <c r="K816" i="204" s="1"/>
  <c r="K817" i="204" s="1"/>
  <c r="K818" i="204" s="1"/>
  <c r="K816" i="205"/>
  <c r="K817" i="205" s="1"/>
  <c r="K818" i="205" s="1"/>
  <c r="P816" i="205"/>
  <c r="P817" i="205" s="1"/>
  <c r="P818" i="205" s="1"/>
  <c r="P799" i="204"/>
  <c r="P816" i="204" s="1"/>
  <c r="P817" i="204" s="1"/>
  <c r="P818" i="204" s="1"/>
  <c r="N799" i="204"/>
  <c r="N816" i="204" s="1"/>
  <c r="N817" i="204" s="1"/>
  <c r="N818" i="204" s="1"/>
  <c r="N816" i="205"/>
  <c r="N817" i="205" s="1"/>
  <c r="N818" i="205" s="1"/>
  <c r="M816" i="205"/>
  <c r="M817" i="205" s="1"/>
  <c r="M818" i="205" s="1"/>
  <c r="M799" i="204"/>
  <c r="M816" i="204" s="1"/>
  <c r="M817" i="204" s="1"/>
  <c r="M818" i="204" s="1"/>
  <c r="E799" i="204"/>
  <c r="E816" i="205"/>
  <c r="Q799" i="205"/>
  <c r="S58" i="205" s="1"/>
  <c r="S58" i="204" s="1"/>
  <c r="E817" i="205" l="1"/>
  <c r="Q816" i="205"/>
  <c r="S75" i="205" s="1"/>
  <c r="Q799" i="204"/>
  <c r="E816" i="204"/>
  <c r="Q816" i="204" l="1"/>
  <c r="S75" i="204" s="1"/>
  <c r="E817" i="204"/>
  <c r="E818" i="205"/>
  <c r="Q818" i="205" s="1"/>
  <c r="S77" i="205" s="1"/>
  <c r="Q817" i="205"/>
  <c r="S76" i="205" s="1"/>
  <c r="Q817" i="204" l="1"/>
  <c r="S76" i="204" s="1"/>
  <c r="E818" i="204"/>
  <c r="Q818" i="204" s="1"/>
  <c r="S77" i="204" s="1"/>
  <c r="N490" i="237" l="1"/>
  <c r="N143" i="237" s="1"/>
  <c r="H490" i="237"/>
  <c r="H143" i="237" s="1"/>
  <c r="N519" i="237"/>
  <c r="N174" i="237" l="1"/>
  <c r="L89" i="209" l="1"/>
  <c r="M89" i="209" s="1"/>
  <c r="L89" i="256"/>
  <c r="M89" i="256" s="1"/>
  <c r="L145" i="209"/>
  <c r="M145" i="209" s="1"/>
  <c r="L145" i="256"/>
  <c r="M145" i="256" s="1"/>
  <c r="L147" i="209"/>
  <c r="M147" i="209" s="1"/>
  <c r="L147" i="256"/>
  <c r="M147" i="256" s="1"/>
  <c r="L148" i="209"/>
  <c r="M148" i="209" s="1"/>
  <c r="L148" i="256"/>
  <c r="M148" i="256" s="1"/>
  <c r="L169" i="209"/>
  <c r="M169" i="209" s="1"/>
  <c r="L169" i="256"/>
  <c r="M169" i="256" s="1"/>
  <c r="L170" i="209"/>
  <c r="M170" i="209" s="1"/>
  <c r="L170" i="256"/>
  <c r="M170" i="256" s="1"/>
  <c r="L171" i="209"/>
  <c r="M171" i="209" s="1"/>
  <c r="L171" i="256"/>
  <c r="M171" i="256" s="1"/>
  <c r="L172" i="209"/>
  <c r="M172" i="209" s="1"/>
  <c r="L172" i="256"/>
  <c r="M172" i="256" s="1"/>
  <c r="L173" i="209"/>
  <c r="M173" i="209" s="1"/>
  <c r="L173" i="256"/>
  <c r="M173" i="256" s="1"/>
  <c r="L174" i="209"/>
  <c r="M174" i="209" s="1"/>
  <c r="L174" i="256"/>
  <c r="M174" i="256" s="1"/>
  <c r="L180" i="209"/>
  <c r="M180" i="209" s="1"/>
  <c r="L180" i="256"/>
  <c r="M180" i="256" s="1"/>
  <c r="L177" i="209"/>
  <c r="M177" i="209" s="1"/>
  <c r="L177" i="256"/>
  <c r="M177" i="256" s="1"/>
  <c r="L178" i="209"/>
  <c r="M178" i="209" s="1"/>
  <c r="L178" i="256"/>
  <c r="M178" i="256" s="1"/>
  <c r="L179" i="209"/>
  <c r="M179" i="209" s="1"/>
  <c r="L179" i="256"/>
  <c r="M179" i="256" s="1"/>
  <c r="L187" i="209"/>
  <c r="M187" i="209" s="1"/>
  <c r="L187" i="256"/>
  <c r="M187" i="256" s="1"/>
  <c r="L189" i="209"/>
  <c r="M189" i="209" s="1"/>
  <c r="L189" i="256"/>
  <c r="M189" i="256" s="1"/>
  <c r="L190" i="209"/>
  <c r="M190" i="209" s="1"/>
  <c r="L190" i="256"/>
  <c r="M190" i="256" s="1"/>
  <c r="L198" i="209"/>
  <c r="M198" i="209" s="1"/>
  <c r="L198" i="256"/>
  <c r="M198" i="256" s="1"/>
  <c r="L150" i="209" l="1"/>
  <c r="M150" i="209" s="1"/>
  <c r="L150" i="256"/>
  <c r="M150" i="256" s="1"/>
  <c r="L207" i="209"/>
  <c r="M207" i="209" s="1"/>
  <c r="L207" i="256"/>
  <c r="M207" i="256" s="1"/>
  <c r="L146" i="209"/>
  <c r="M146" i="209" s="1"/>
  <c r="L146" i="256"/>
  <c r="M146" i="256" s="1"/>
  <c r="L188" i="209"/>
  <c r="M188" i="209" s="1"/>
  <c r="L188" i="256"/>
  <c r="M188" i="256" s="1"/>
  <c r="L115" i="209"/>
  <c r="M115" i="209" s="1"/>
  <c r="L115" i="256"/>
  <c r="M115" i="256" s="1"/>
  <c r="L11" i="209" l="1"/>
  <c r="M11" i="209" s="1"/>
  <c r="L11" i="256"/>
  <c r="M11" i="256" s="1"/>
  <c r="L12" i="209"/>
  <c r="M12" i="209" s="1"/>
  <c r="L12" i="256"/>
  <c r="M12" i="256" s="1"/>
  <c r="L14" i="209"/>
  <c r="M14" i="209" s="1"/>
  <c r="L14" i="256"/>
  <c r="M14" i="256" s="1"/>
  <c r="L17" i="209"/>
  <c r="M17" i="209" s="1"/>
  <c r="L17" i="256"/>
  <c r="M17" i="256" s="1"/>
  <c r="L18" i="209"/>
  <c r="M18" i="209" s="1"/>
  <c r="L18" i="256"/>
  <c r="M18" i="256" s="1"/>
  <c r="L19" i="209"/>
  <c r="M19" i="209" s="1"/>
  <c r="L19" i="256"/>
  <c r="M19" i="256" s="1"/>
  <c r="L20" i="209"/>
  <c r="M20" i="209" s="1"/>
  <c r="L20" i="256"/>
  <c r="M20" i="256" s="1"/>
  <c r="L21" i="209"/>
  <c r="M21" i="209" s="1"/>
  <c r="L21" i="256"/>
  <c r="M21" i="256" s="1"/>
  <c r="L24" i="209"/>
  <c r="M24" i="209" s="1"/>
  <c r="L24" i="256"/>
  <c r="M24" i="256" s="1"/>
  <c r="L26" i="209"/>
  <c r="M26" i="209" s="1"/>
  <c r="L26" i="256"/>
  <c r="M26" i="256" s="1"/>
  <c r="L27" i="209"/>
  <c r="M27" i="209" s="1"/>
  <c r="L27" i="256"/>
  <c r="M27" i="256" s="1"/>
  <c r="L28" i="209"/>
  <c r="M28" i="209" s="1"/>
  <c r="L28" i="256"/>
  <c r="M28" i="256" s="1"/>
  <c r="L29" i="209"/>
  <c r="M29" i="209" s="1"/>
  <c r="L29" i="256"/>
  <c r="M29" i="256" s="1"/>
  <c r="L30" i="209"/>
  <c r="M30" i="209" s="1"/>
  <c r="L30" i="256"/>
  <c r="M30" i="256" s="1"/>
  <c r="L32" i="209"/>
  <c r="M32" i="209" s="1"/>
  <c r="L32" i="256"/>
  <c r="M32" i="256" s="1"/>
  <c r="L33" i="209"/>
  <c r="M33" i="209" s="1"/>
  <c r="L33" i="256"/>
  <c r="M33" i="256" s="1"/>
  <c r="L34" i="209"/>
  <c r="M34" i="209" s="1"/>
  <c r="L34" i="256"/>
  <c r="M34" i="256" s="1"/>
  <c r="L43" i="209"/>
  <c r="M43" i="209" s="1"/>
  <c r="L43" i="256"/>
  <c r="M43" i="256" s="1"/>
  <c r="L44" i="209"/>
  <c r="M44" i="209" s="1"/>
  <c r="L44" i="256"/>
  <c r="M44" i="256" s="1"/>
  <c r="L47" i="209"/>
  <c r="M47" i="209" s="1"/>
  <c r="L47" i="256"/>
  <c r="M47" i="256" s="1"/>
  <c r="L54" i="209"/>
  <c r="M54" i="209" s="1"/>
  <c r="L54" i="256"/>
  <c r="M54" i="256" s="1"/>
  <c r="L55" i="209"/>
  <c r="M55" i="209" s="1"/>
  <c r="L55" i="256"/>
  <c r="M55" i="256" s="1"/>
  <c r="L56" i="209"/>
  <c r="M56" i="209" s="1"/>
  <c r="L56" i="256"/>
  <c r="M56" i="256" s="1"/>
  <c r="L63" i="209"/>
  <c r="M63" i="209" s="1"/>
  <c r="L63" i="256"/>
  <c r="M63" i="256" s="1"/>
  <c r="L65" i="209"/>
  <c r="M65" i="209" s="1"/>
  <c r="L65" i="256"/>
  <c r="M65" i="256" s="1"/>
  <c r="L66" i="209"/>
  <c r="M66" i="209" s="1"/>
  <c r="L66" i="256"/>
  <c r="M66" i="256" s="1"/>
  <c r="L67" i="209"/>
  <c r="M67" i="209" s="1"/>
  <c r="L67" i="256"/>
  <c r="M67" i="256" s="1"/>
  <c r="L68" i="209"/>
  <c r="M68" i="209" s="1"/>
  <c r="L68" i="256"/>
  <c r="M68" i="256" s="1"/>
  <c r="L58" i="209"/>
  <c r="M58" i="209" s="1"/>
  <c r="L58" i="256"/>
  <c r="M58" i="256" s="1"/>
  <c r="L59" i="209"/>
  <c r="M59" i="209" s="1"/>
  <c r="L59" i="256"/>
  <c r="M59" i="256" s="1"/>
  <c r="L60" i="209"/>
  <c r="M60" i="209" s="1"/>
  <c r="L60" i="256"/>
  <c r="M60" i="256" s="1"/>
  <c r="L76" i="209"/>
  <c r="M76" i="209" s="1"/>
  <c r="L76" i="256"/>
  <c r="M76" i="256" s="1"/>
  <c r="L77" i="209"/>
  <c r="M77" i="209" s="1"/>
  <c r="L77" i="256"/>
  <c r="M77" i="256" s="1"/>
  <c r="L78" i="209"/>
  <c r="M78" i="209" s="1"/>
  <c r="L78" i="256"/>
  <c r="M78" i="256" s="1"/>
  <c r="L79" i="209"/>
  <c r="M79" i="209" s="1"/>
  <c r="L79" i="256"/>
  <c r="M79" i="256" s="1"/>
  <c r="L80" i="209"/>
  <c r="M80" i="209" s="1"/>
  <c r="L80" i="256"/>
  <c r="M80" i="256" s="1"/>
  <c r="L81" i="209"/>
  <c r="M81" i="209" s="1"/>
  <c r="L81" i="256"/>
  <c r="M81" i="256" s="1"/>
  <c r="L82" i="209"/>
  <c r="M82" i="209" s="1"/>
  <c r="L82" i="256"/>
  <c r="M82" i="256" s="1"/>
  <c r="L83" i="209"/>
  <c r="M83" i="209" s="1"/>
  <c r="L83" i="256"/>
  <c r="M83" i="256" s="1"/>
  <c r="L85" i="209"/>
  <c r="M85" i="209" s="1"/>
  <c r="L85" i="256"/>
  <c r="M85" i="256" s="1"/>
  <c r="L86" i="209"/>
  <c r="M86" i="209" s="1"/>
  <c r="L86" i="256"/>
  <c r="M86" i="256" s="1"/>
  <c r="L87" i="209"/>
  <c r="M87" i="209" s="1"/>
  <c r="L87" i="256"/>
  <c r="M87" i="256" s="1"/>
  <c r="L88" i="209"/>
  <c r="M88" i="209" s="1"/>
  <c r="L88" i="256"/>
  <c r="M88" i="256" s="1"/>
  <c r="L91" i="209"/>
  <c r="M91" i="209" s="1"/>
  <c r="L91" i="256"/>
  <c r="M91" i="256" s="1"/>
  <c r="L92" i="209"/>
  <c r="M92" i="209" s="1"/>
  <c r="L92" i="256"/>
  <c r="M92" i="256" s="1"/>
  <c r="L93" i="209"/>
  <c r="M93" i="209" s="1"/>
  <c r="L93" i="256"/>
  <c r="M93" i="256" s="1"/>
  <c r="L94" i="209"/>
  <c r="M94" i="209" s="1"/>
  <c r="L94" i="256"/>
  <c r="M94" i="256" s="1"/>
  <c r="L96" i="209"/>
  <c r="M96" i="209" s="1"/>
  <c r="L96" i="256"/>
  <c r="M96" i="256" s="1"/>
  <c r="L97" i="209"/>
  <c r="M97" i="209" s="1"/>
  <c r="L97" i="256"/>
  <c r="M97" i="256" s="1"/>
  <c r="L98" i="209"/>
  <c r="M98" i="209" s="1"/>
  <c r="L98" i="256"/>
  <c r="M98" i="256" s="1"/>
  <c r="L99" i="209"/>
  <c r="M99" i="209" s="1"/>
  <c r="L99" i="256"/>
  <c r="M99" i="256" s="1"/>
  <c r="L102" i="209"/>
  <c r="M102" i="209" s="1"/>
  <c r="L102" i="256"/>
  <c r="M102" i="256" s="1"/>
  <c r="L103" i="209"/>
  <c r="M103" i="209" s="1"/>
  <c r="L103" i="256"/>
  <c r="M103" i="256" s="1"/>
  <c r="L104" i="209"/>
  <c r="M104" i="209" s="1"/>
  <c r="L104" i="256"/>
  <c r="M104" i="256" s="1"/>
  <c r="L112" i="209"/>
  <c r="M112" i="209" s="1"/>
  <c r="L112" i="256"/>
  <c r="M112" i="256" s="1"/>
  <c r="L113" i="209"/>
  <c r="M113" i="209" s="1"/>
  <c r="L113" i="256"/>
  <c r="M113" i="256" s="1"/>
  <c r="L114" i="209"/>
  <c r="M114" i="209" s="1"/>
  <c r="L114" i="256"/>
  <c r="M114" i="256" s="1"/>
  <c r="L125" i="209"/>
  <c r="M125" i="209" s="1"/>
  <c r="L125" i="256"/>
  <c r="M125" i="256" s="1"/>
  <c r="L126" i="209"/>
  <c r="M126" i="209" s="1"/>
  <c r="L126" i="256"/>
  <c r="M126" i="256" s="1"/>
  <c r="L127" i="209"/>
  <c r="M127" i="209" s="1"/>
  <c r="L127" i="256"/>
  <c r="M127" i="256" s="1"/>
  <c r="L128" i="209"/>
  <c r="M128" i="209" s="1"/>
  <c r="L128" i="256"/>
  <c r="M128" i="256" s="1"/>
  <c r="L129" i="209"/>
  <c r="M129" i="209" s="1"/>
  <c r="L129" i="256"/>
  <c r="M129" i="256" s="1"/>
  <c r="L130" i="209"/>
  <c r="M130" i="209" s="1"/>
  <c r="L130" i="256"/>
  <c r="M130" i="256" s="1"/>
  <c r="L131" i="209"/>
  <c r="M131" i="209" s="1"/>
  <c r="L131" i="256"/>
  <c r="M131" i="256" s="1"/>
  <c r="L133" i="209"/>
  <c r="M133" i="209" s="1"/>
  <c r="L133" i="256"/>
  <c r="M133" i="256" s="1"/>
  <c r="L137" i="209"/>
  <c r="M137" i="209" s="1"/>
  <c r="L137" i="256"/>
  <c r="M137" i="256" s="1"/>
  <c r="L139" i="209"/>
  <c r="M139" i="209" s="1"/>
  <c r="L139" i="256"/>
  <c r="M139" i="256" s="1"/>
  <c r="L140" i="209"/>
  <c r="M140" i="209" s="1"/>
  <c r="L140" i="256"/>
  <c r="M140" i="256" s="1"/>
  <c r="L141" i="209"/>
  <c r="M141" i="209" s="1"/>
  <c r="L141" i="256"/>
  <c r="M141" i="256" s="1"/>
  <c r="L142" i="209"/>
  <c r="M142" i="209" s="1"/>
  <c r="L142" i="256"/>
  <c r="M142" i="256" s="1"/>
  <c r="L161" i="209"/>
  <c r="M161" i="209" s="1"/>
  <c r="L161" i="256"/>
  <c r="M161" i="256" s="1"/>
  <c r="L162" i="209"/>
  <c r="M162" i="209" s="1"/>
  <c r="L162" i="256"/>
  <c r="M162" i="256" s="1"/>
  <c r="L163" i="209"/>
  <c r="M163" i="209" s="1"/>
  <c r="L163" i="256"/>
  <c r="M163" i="256" s="1"/>
  <c r="L186" i="209"/>
  <c r="M186" i="209" s="1"/>
  <c r="L186" i="256"/>
  <c r="M186" i="256" s="1"/>
  <c r="L144" i="209"/>
  <c r="M144" i="209" s="1"/>
  <c r="L144" i="256"/>
  <c r="M144" i="256" s="1"/>
  <c r="L149" i="209"/>
  <c r="M149" i="209" s="1"/>
  <c r="L149" i="256"/>
  <c r="M149" i="256" s="1"/>
  <c r="L203" i="209" l="1"/>
  <c r="M203" i="209" s="1"/>
  <c r="L203" i="256"/>
  <c r="M203" i="256" s="1"/>
  <c r="L176" i="209"/>
  <c r="M176" i="209" s="1"/>
  <c r="L176" i="256"/>
  <c r="M176" i="256" s="1"/>
  <c r="L108" i="209"/>
  <c r="M108" i="209" s="1"/>
  <c r="L108" i="256"/>
  <c r="M108" i="256" s="1"/>
  <c r="L53" i="209"/>
  <c r="M53" i="209" s="1"/>
  <c r="L53" i="256"/>
  <c r="M53" i="256" s="1"/>
  <c r="L31" i="209"/>
  <c r="M31" i="209" s="1"/>
  <c r="L31" i="256"/>
  <c r="M31" i="256" s="1"/>
  <c r="L197" i="209"/>
  <c r="M197" i="209" s="1"/>
  <c r="L197" i="256"/>
  <c r="M197" i="256" s="1"/>
  <c r="L168" i="209"/>
  <c r="M168" i="209" s="1"/>
  <c r="L168" i="256"/>
  <c r="M168" i="256" s="1"/>
  <c r="L106" i="209"/>
  <c r="M106" i="209" s="1"/>
  <c r="L106" i="256"/>
  <c r="M106" i="256" s="1"/>
  <c r="L101" i="209"/>
  <c r="M101" i="209" s="1"/>
  <c r="L101" i="256"/>
  <c r="M101" i="256" s="1"/>
  <c r="L95" i="209"/>
  <c r="M95" i="209" s="1"/>
  <c r="L95" i="256"/>
  <c r="M95" i="256" s="1"/>
  <c r="L90" i="209"/>
  <c r="M90" i="209" s="1"/>
  <c r="L90" i="256"/>
  <c r="M90" i="256" s="1"/>
  <c r="L84" i="209"/>
  <c r="M84" i="209" s="1"/>
  <c r="L84" i="256"/>
  <c r="M84" i="256" s="1"/>
  <c r="L75" i="209"/>
  <c r="M75" i="209" s="1"/>
  <c r="L75" i="256"/>
  <c r="M75" i="256" s="1"/>
  <c r="L52" i="209"/>
  <c r="M52" i="209" s="1"/>
  <c r="L52" i="256"/>
  <c r="M52" i="256" s="1"/>
  <c r="L155" i="209"/>
  <c r="M155" i="209" s="1"/>
  <c r="L155" i="256"/>
  <c r="M155" i="256" s="1"/>
  <c r="L16" i="209"/>
  <c r="M16" i="209" s="1"/>
  <c r="L16" i="256"/>
  <c r="M16" i="256" s="1"/>
  <c r="L49" i="209"/>
  <c r="M49" i="209" s="1"/>
  <c r="L49" i="256"/>
  <c r="M49" i="256" s="1"/>
  <c r="L200" i="209"/>
  <c r="M200" i="209" s="1"/>
  <c r="L200" i="256"/>
  <c r="M200" i="256" s="1"/>
  <c r="L182" i="209"/>
  <c r="M182" i="209" s="1"/>
  <c r="L182" i="256"/>
  <c r="M182" i="256" s="1"/>
  <c r="L157" i="209"/>
  <c r="M157" i="209" s="1"/>
  <c r="L157" i="256"/>
  <c r="M157" i="256" s="1"/>
  <c r="L15" i="209"/>
  <c r="M15" i="209" s="1"/>
  <c r="L15" i="256"/>
  <c r="M15" i="256" s="1"/>
  <c r="L57" i="209"/>
  <c r="M57" i="209" s="1"/>
  <c r="L57" i="256"/>
  <c r="M57" i="256" s="1"/>
  <c r="L64" i="209"/>
  <c r="M64" i="209" s="1"/>
  <c r="L64" i="256"/>
  <c r="M64" i="256" s="1"/>
  <c r="L42" i="209"/>
  <c r="M42" i="209" s="1"/>
  <c r="L42" i="256"/>
  <c r="M42" i="256" s="1"/>
  <c r="L138" i="209"/>
  <c r="M138" i="209" s="1"/>
  <c r="L138" i="256"/>
  <c r="M138" i="256" s="1"/>
  <c r="L124" i="209"/>
  <c r="M124" i="209" s="1"/>
  <c r="L124" i="256"/>
  <c r="M124" i="256" s="1"/>
  <c r="L25" i="209"/>
  <c r="M25" i="209" s="1"/>
  <c r="L25" i="256"/>
  <c r="M25" i="256" s="1"/>
  <c r="L10" i="209"/>
  <c r="M10" i="209" s="1"/>
  <c r="L10" i="256"/>
  <c r="M10" i="256" s="1"/>
  <c r="L132" i="209"/>
  <c r="M132" i="209" s="1"/>
  <c r="L132" i="256"/>
  <c r="M132" i="256" s="1"/>
  <c r="L23" i="209"/>
  <c r="M23" i="209" s="1"/>
  <c r="L23" i="256"/>
  <c r="M23" i="256" s="1"/>
  <c r="L45" i="209" l="1"/>
  <c r="M45" i="209" s="1"/>
  <c r="L45" i="256"/>
  <c r="M45" i="256" s="1"/>
  <c r="L9" i="209"/>
  <c r="L9" i="256"/>
  <c r="L74" i="209"/>
  <c r="L74" i="256"/>
  <c r="L22" i="209"/>
  <c r="M22" i="209" s="1"/>
  <c r="L22" i="256"/>
  <c r="M22" i="256" s="1"/>
  <c r="L123" i="209"/>
  <c r="L123" i="256"/>
  <c r="L62" i="209"/>
  <c r="M62" i="209" s="1"/>
  <c r="L62" i="256"/>
  <c r="M62" i="256" s="1"/>
  <c r="L13" i="209"/>
  <c r="M13" i="209" s="1"/>
  <c r="L13" i="256"/>
  <c r="M13" i="256" s="1"/>
  <c r="L156" i="209"/>
  <c r="M156" i="209" s="1"/>
  <c r="L156" i="256"/>
  <c r="M156" i="256" s="1"/>
  <c r="L181" i="209"/>
  <c r="M181" i="209" s="1"/>
  <c r="L181" i="256"/>
  <c r="M181" i="256" s="1"/>
  <c r="L199" i="209"/>
  <c r="M199" i="209" s="1"/>
  <c r="L199" i="256"/>
  <c r="M199" i="256" s="1"/>
  <c r="L46" i="209"/>
  <c r="M46" i="209" s="1"/>
  <c r="L46" i="256"/>
  <c r="M46" i="256" s="1"/>
  <c r="L154" i="209"/>
  <c r="M154" i="209" s="1"/>
  <c r="L154" i="256"/>
  <c r="M154" i="256" s="1"/>
  <c r="L51" i="209"/>
  <c r="M51" i="209" s="1"/>
  <c r="L51" i="256"/>
  <c r="M51" i="256" s="1"/>
  <c r="L100" i="209"/>
  <c r="M100" i="209" s="1"/>
  <c r="L100" i="256"/>
  <c r="M100" i="256" s="1"/>
  <c r="L105" i="209"/>
  <c r="M105" i="209" s="1"/>
  <c r="L105" i="256"/>
  <c r="M105" i="256" s="1"/>
  <c r="L167" i="209"/>
  <c r="L167" i="256"/>
  <c r="L196" i="209"/>
  <c r="M196" i="209" s="1"/>
  <c r="L196" i="256"/>
  <c r="M196" i="256" s="1"/>
  <c r="L107" i="209"/>
  <c r="M107" i="209" s="1"/>
  <c r="L107" i="256"/>
  <c r="M107" i="256" s="1"/>
  <c r="L175" i="209"/>
  <c r="M175" i="209" s="1"/>
  <c r="L175" i="256"/>
  <c r="M175" i="256" s="1"/>
  <c r="L202" i="209"/>
  <c r="M202" i="209" s="1"/>
  <c r="L202" i="256"/>
  <c r="M202" i="256" s="1"/>
  <c r="M167" i="256" l="1"/>
  <c r="M209" i="256" s="1"/>
  <c r="L209" i="256"/>
  <c r="L209" i="209"/>
  <c r="M167" i="209"/>
  <c r="M209" i="209" s="1"/>
  <c r="L164" i="256"/>
  <c r="M123" i="256"/>
  <c r="M164" i="256" s="1"/>
  <c r="L164" i="209"/>
  <c r="M123" i="209"/>
  <c r="M164" i="209" s="1"/>
  <c r="L120" i="256"/>
  <c r="M74" i="256"/>
  <c r="M120" i="256" s="1"/>
  <c r="L120" i="209"/>
  <c r="M74" i="209"/>
  <c r="M120" i="209" s="1"/>
  <c r="L70" i="256"/>
  <c r="M9" i="256"/>
  <c r="M70" i="256" s="1"/>
  <c r="L70" i="209"/>
  <c r="M9" i="209"/>
  <c r="M70" i="209" s="1"/>
  <c r="M211" i="209" l="1"/>
  <c r="M212" i="209" s="1"/>
  <c r="L211" i="256"/>
  <c r="L212" i="256" s="1"/>
  <c r="M211" i="256"/>
  <c r="M212" i="256" s="1"/>
  <c r="L211" i="209"/>
  <c r="L212" i="209" s="1"/>
  <c r="E11" i="257"/>
  <c r="H11" i="257" s="1"/>
  <c r="I11" i="257"/>
  <c r="L11" i="257" s="1"/>
  <c r="M11" i="257" s="1"/>
  <c r="E12" i="257"/>
  <c r="H12" i="257" s="1"/>
  <c r="I12" i="257"/>
  <c r="L12" i="257" s="1"/>
  <c r="M12" i="257" s="1"/>
  <c r="E13" i="257"/>
  <c r="H13" i="257" s="1"/>
  <c r="I13" i="257"/>
  <c r="L13" i="257" s="1"/>
  <c r="M13" i="257" s="1"/>
  <c r="E14" i="257"/>
  <c r="H14" i="257" s="1"/>
  <c r="I14" i="257"/>
  <c r="L14" i="257" s="1"/>
  <c r="M14" i="257" s="1"/>
  <c r="E15" i="257"/>
  <c r="H15" i="257" s="1"/>
  <c r="I15" i="257"/>
  <c r="L15" i="257"/>
  <c r="M15" i="257"/>
  <c r="E16" i="257"/>
  <c r="H16" i="257" s="1"/>
  <c r="I16" i="257"/>
  <c r="L16" i="257" s="1"/>
  <c r="M16" i="257" s="1"/>
  <c r="E17" i="257"/>
  <c r="H17" i="257" s="1"/>
  <c r="I17" i="257"/>
  <c r="L17" i="257" s="1"/>
  <c r="M17" i="257" s="1"/>
  <c r="E18" i="257"/>
  <c r="H18" i="257" s="1"/>
  <c r="I18" i="257"/>
  <c r="L18" i="257" s="1"/>
  <c r="M18" i="257" s="1"/>
  <c r="E19" i="257"/>
  <c r="H19" i="257" s="1"/>
  <c r="I19" i="257"/>
  <c r="L19" i="257" s="1"/>
  <c r="M19" i="257" s="1"/>
  <c r="E20" i="257"/>
  <c r="H20" i="257"/>
  <c r="I20" i="257"/>
  <c r="L20" i="257"/>
  <c r="M20" i="257" s="1"/>
  <c r="E21" i="257"/>
  <c r="H21" i="257" s="1"/>
  <c r="I21" i="257"/>
  <c r="L21" i="257" s="1"/>
  <c r="M21" i="257" s="1"/>
  <c r="E22" i="257"/>
  <c r="H22" i="257" s="1"/>
  <c r="I22" i="257"/>
  <c r="L22" i="257" s="1"/>
  <c r="M22" i="257" s="1"/>
  <c r="E23" i="257"/>
  <c r="H23" i="257"/>
  <c r="I23" i="257"/>
  <c r="L23" i="257" s="1"/>
  <c r="M23" i="257" s="1"/>
  <c r="E24" i="257"/>
  <c r="H24" i="257" s="1"/>
  <c r="I24" i="257"/>
  <c r="L24" i="257" s="1"/>
  <c r="M24" i="257" s="1"/>
  <c r="E25" i="257"/>
  <c r="H25" i="257" s="1"/>
  <c r="I25" i="257"/>
  <c r="L25" i="257" s="1"/>
  <c r="M25" i="257" s="1"/>
  <c r="E26" i="257"/>
  <c r="H26" i="257" s="1"/>
  <c r="I26" i="257"/>
  <c r="L26" i="257" s="1"/>
  <c r="M26" i="257" s="1"/>
  <c r="E27" i="257"/>
  <c r="H27" i="257" s="1"/>
  <c r="I27" i="257"/>
  <c r="L27" i="257" s="1"/>
  <c r="M27" i="257" s="1"/>
  <c r="E28" i="257"/>
  <c r="H28" i="257" s="1"/>
  <c r="I28" i="257"/>
  <c r="L28" i="257" s="1"/>
  <c r="M28" i="257" s="1"/>
  <c r="E29" i="257"/>
  <c r="H29" i="257" s="1"/>
  <c r="I29" i="257"/>
  <c r="L29" i="257" s="1"/>
  <c r="M29" i="257" s="1"/>
  <c r="E30" i="257"/>
  <c r="H30" i="257"/>
  <c r="I30" i="257"/>
  <c r="L30" i="257" s="1"/>
  <c r="M30" i="257" s="1"/>
  <c r="E31" i="257"/>
  <c r="H31" i="257" s="1"/>
  <c r="I31" i="257"/>
  <c r="L31" i="257" s="1"/>
  <c r="M31" i="257" s="1"/>
  <c r="E32" i="257"/>
  <c r="H32" i="257" s="1"/>
  <c r="I32" i="257"/>
  <c r="L32" i="257" s="1"/>
  <c r="M32" i="257" s="1"/>
  <c r="E33" i="257"/>
  <c r="H33" i="257" s="1"/>
  <c r="I33" i="257"/>
  <c r="L33" i="257" s="1"/>
  <c r="M33" i="257" s="1"/>
  <c r="E34" i="257"/>
  <c r="H34" i="257" s="1"/>
  <c r="I34" i="257"/>
  <c r="L34" i="257" s="1"/>
  <c r="M34" i="257" s="1"/>
  <c r="E35" i="257"/>
  <c r="H35" i="257" s="1"/>
  <c r="I35" i="257"/>
  <c r="L35" i="257" s="1"/>
  <c r="M35" i="257" s="1"/>
  <c r="E36" i="257"/>
  <c r="H36" i="257"/>
  <c r="I36" i="257"/>
  <c r="L36" i="257" s="1"/>
  <c r="M36" i="257" s="1"/>
  <c r="E37" i="257"/>
  <c r="H37" i="257" s="1"/>
  <c r="I37" i="257"/>
  <c r="L37" i="257" s="1"/>
  <c r="M37" i="257" s="1"/>
  <c r="E38" i="257"/>
  <c r="H38" i="257" s="1"/>
  <c r="I38" i="257"/>
  <c r="L38" i="257" s="1"/>
  <c r="M38" i="257" s="1"/>
  <c r="E40" i="257"/>
  <c r="H40" i="257" s="1"/>
  <c r="I40" i="257"/>
  <c r="L40" i="257" s="1"/>
  <c r="M40" i="257" s="1"/>
  <c r="E42" i="257"/>
  <c r="H42" i="257" s="1"/>
  <c r="I42" i="257"/>
  <c r="L42" i="257"/>
  <c r="M42" i="257" s="1"/>
  <c r="E44" i="257"/>
  <c r="H44" i="257"/>
  <c r="I44" i="257"/>
  <c r="L44" i="257" s="1"/>
  <c r="M44" i="257" s="1"/>
  <c r="E45" i="257"/>
  <c r="H45" i="257" s="1"/>
  <c r="I45" i="257"/>
  <c r="L45" i="257" s="1"/>
  <c r="M45" i="257" s="1"/>
  <c r="E46" i="257"/>
  <c r="H46" i="257" s="1"/>
  <c r="I46" i="257"/>
  <c r="L46" i="257" s="1"/>
  <c r="M46" i="257" s="1"/>
  <c r="E55" i="257"/>
  <c r="H55" i="257" s="1"/>
  <c r="I55" i="257"/>
  <c r="L55" i="257" s="1"/>
  <c r="M55" i="257" s="1"/>
  <c r="E56" i="257"/>
  <c r="H56" i="257" s="1"/>
  <c r="I56" i="257"/>
  <c r="L56" i="257" s="1"/>
  <c r="M56" i="257" s="1"/>
  <c r="E57" i="257"/>
  <c r="H57" i="257"/>
  <c r="I57" i="257"/>
  <c r="L57" i="257" s="1"/>
  <c r="M57" i="257" s="1"/>
  <c r="E58" i="257"/>
  <c r="H58" i="257" s="1"/>
  <c r="I58" i="257"/>
  <c r="L58" i="257" s="1"/>
  <c r="M58" i="257" s="1"/>
  <c r="E64" i="257"/>
  <c r="H64" i="257" s="1"/>
  <c r="I64" i="257"/>
  <c r="L64" i="257"/>
  <c r="M64" i="257" s="1"/>
  <c r="E65" i="257"/>
  <c r="H65" i="257" s="1"/>
  <c r="I65" i="257"/>
  <c r="L65" i="257" s="1"/>
  <c r="M65" i="257" s="1"/>
  <c r="E66" i="257"/>
  <c r="H66" i="257" s="1"/>
  <c r="I66" i="257"/>
  <c r="L66" i="257" s="1"/>
  <c r="M66" i="257" s="1"/>
  <c r="E67" i="257"/>
  <c r="H67" i="257" s="1"/>
  <c r="I67" i="257"/>
  <c r="L67" i="257" s="1"/>
  <c r="M67" i="257" s="1"/>
  <c r="E68" i="257"/>
  <c r="H68" i="257" s="1"/>
  <c r="I68" i="257"/>
  <c r="L68" i="257" s="1"/>
  <c r="M68" i="257" s="1"/>
  <c r="E69" i="257"/>
  <c r="H69" i="257" s="1"/>
  <c r="I69" i="257"/>
  <c r="L69" i="257" s="1"/>
  <c r="M69" i="257" s="1"/>
  <c r="E70" i="257"/>
  <c r="H70" i="257" s="1"/>
  <c r="I70" i="257"/>
  <c r="L70" i="257" s="1"/>
  <c r="M70" i="257" s="1"/>
  <c r="E140" i="257"/>
  <c r="H140" i="257" s="1"/>
  <c r="I140" i="257"/>
  <c r="L140" i="257"/>
  <c r="M140" i="257" s="1"/>
  <c r="E141" i="257"/>
  <c r="H141" i="257" s="1"/>
  <c r="I141" i="257"/>
  <c r="L141" i="257" s="1"/>
  <c r="M141" i="257" s="1"/>
  <c r="E142" i="257"/>
  <c r="H142" i="257"/>
  <c r="I142" i="257"/>
  <c r="L142" i="257" s="1"/>
  <c r="M142" i="257" s="1"/>
  <c r="E143" i="257"/>
  <c r="H143" i="257" s="1"/>
  <c r="I143" i="257"/>
  <c r="L143" i="257" s="1"/>
  <c r="M143" i="257" s="1"/>
  <c r="E144" i="257"/>
  <c r="H144" i="257" s="1"/>
  <c r="I144" i="257"/>
  <c r="L144" i="257"/>
  <c r="M144" i="257" s="1"/>
  <c r="E146" i="257"/>
  <c r="H146" i="257"/>
  <c r="I146" i="257"/>
  <c r="L146" i="257" s="1"/>
  <c r="M146" i="257" s="1"/>
  <c r="E147" i="257"/>
  <c r="H147" i="257" s="1"/>
  <c r="I147" i="257"/>
  <c r="L147" i="257" s="1"/>
  <c r="M147" i="257" s="1"/>
  <c r="E164" i="257"/>
  <c r="I164" i="257"/>
  <c r="L164" i="257" s="1"/>
  <c r="M164" i="257" s="1"/>
  <c r="E198" i="257"/>
  <c r="H198" i="257" s="1"/>
  <c r="H211" i="257" s="1"/>
  <c r="I198" i="257"/>
  <c r="E199" i="257"/>
  <c r="H199" i="257" s="1"/>
  <c r="I199" i="257"/>
  <c r="L199" i="257" s="1"/>
  <c r="M199" i="257" s="1"/>
  <c r="E210" i="257"/>
  <c r="H210" i="257" s="1"/>
  <c r="I210" i="257"/>
  <c r="L210" i="257" s="1"/>
  <c r="M210" i="257" s="1"/>
  <c r="I166" i="257" l="1"/>
  <c r="L166" i="257" s="1"/>
  <c r="E72" i="257"/>
  <c r="I72" i="257"/>
  <c r="L72" i="257" s="1"/>
  <c r="M72" i="257" s="1"/>
  <c r="H164" i="257"/>
  <c r="H166" i="257" s="1"/>
  <c r="H213" i="257" s="1"/>
  <c r="E166" i="257"/>
  <c r="L198" i="257"/>
  <c r="M198" i="257" s="1"/>
  <c r="I211" i="257"/>
  <c r="M166" i="257"/>
  <c r="H72" i="257"/>
  <c r="E211" i="257"/>
  <c r="L211" i="257" l="1"/>
  <c r="I213" i="257"/>
  <c r="I214" i="257" s="1"/>
  <c r="E213" i="257"/>
  <c r="E214" i="257" s="1"/>
  <c r="H214" i="257"/>
  <c r="M211" i="257" l="1"/>
  <c r="L213" i="257"/>
  <c r="L214" i="257" l="1"/>
  <c r="M214" i="257" s="1"/>
  <c r="M213" i="257"/>
  <c r="G15" i="199" l="1"/>
  <c r="G9" i="199"/>
  <c r="G49" i="199"/>
  <c r="G46" i="199"/>
  <c r="G43" i="199"/>
  <c r="G39" i="199"/>
  <c r="G36" i="199"/>
  <c r="G33" i="199"/>
  <c r="G29" i="199"/>
  <c r="G26" i="199"/>
  <c r="G23" i="199"/>
  <c r="G18" i="199"/>
  <c r="G14" i="199"/>
  <c r="G13" i="199"/>
  <c r="G51" i="199"/>
  <c r="G48" i="199"/>
  <c r="G45" i="199"/>
  <c r="G42" i="199"/>
  <c r="G38" i="199"/>
  <c r="G35" i="199"/>
  <c r="G32" i="199"/>
  <c r="G28" i="199"/>
  <c r="G25" i="199"/>
  <c r="G22" i="199"/>
  <c r="G17" i="199"/>
  <c r="G12" i="199"/>
  <c r="G11" i="199"/>
  <c r="G40" i="199"/>
  <c r="G21" i="199"/>
  <c r="G37" i="199"/>
  <c r="G47" i="199"/>
  <c r="G34" i="199"/>
  <c r="G16" i="199"/>
  <c r="G50" i="199"/>
  <c r="G30" i="199"/>
  <c r="G10" i="199"/>
  <c r="G44" i="199"/>
  <c r="G24" i="199"/>
  <c r="G27" i="199"/>
  <c r="E16" i="199"/>
  <c r="E10" i="199"/>
  <c r="E50" i="199"/>
  <c r="E47" i="199"/>
  <c r="E44" i="199"/>
  <c r="E40" i="199"/>
  <c r="E37" i="199"/>
  <c r="E34" i="199"/>
  <c r="E30" i="199"/>
  <c r="E27" i="199"/>
  <c r="E24" i="199"/>
  <c r="E21" i="199"/>
  <c r="E15" i="199"/>
  <c r="E9" i="199"/>
  <c r="E14" i="199"/>
  <c r="E49" i="199"/>
  <c r="E46" i="199"/>
  <c r="E43" i="199"/>
  <c r="E39" i="199"/>
  <c r="E36" i="199"/>
  <c r="E33" i="199"/>
  <c r="E29" i="199"/>
  <c r="E26" i="199"/>
  <c r="E23" i="199"/>
  <c r="E18" i="199"/>
  <c r="E13" i="199"/>
  <c r="E51" i="199"/>
  <c r="E48" i="199"/>
  <c r="E45" i="199"/>
  <c r="E42" i="199"/>
  <c r="E38" i="199"/>
  <c r="E35" i="199"/>
  <c r="E32" i="199"/>
  <c r="E28" i="199"/>
  <c r="E25" i="199"/>
  <c r="E22" i="199"/>
  <c r="E17" i="199"/>
  <c r="E12" i="199"/>
  <c r="E11" i="199"/>
  <c r="E52" i="199" l="1"/>
  <c r="G52" i="199"/>
  <c r="D14" i="201" l="1"/>
  <c r="D23" i="201"/>
  <c r="D9" i="201"/>
  <c r="D17" i="201"/>
  <c r="D26" i="201"/>
  <c r="D12" i="201"/>
  <c r="D15" i="201"/>
  <c r="D24" i="201"/>
  <c r="D32" i="201"/>
  <c r="D13" i="201"/>
  <c r="D16" i="201"/>
  <c r="D25" i="201"/>
  <c r="D33" i="201"/>
  <c r="D10" i="201"/>
  <c r="D37" i="201"/>
  <c r="D45" i="201"/>
  <c r="D11" i="201"/>
  <c r="D21" i="201"/>
  <c r="D48" i="201"/>
  <c r="D27" i="201"/>
  <c r="D35" i="201"/>
  <c r="D43" i="201"/>
  <c r="D22" i="201"/>
  <c r="D38" i="201"/>
  <c r="D46" i="201"/>
  <c r="D28" i="201"/>
  <c r="D49" i="201"/>
  <c r="D34" i="201"/>
  <c r="D36" i="201"/>
  <c r="D44" i="201"/>
  <c r="D29" i="201"/>
  <c r="D39" i="201"/>
  <c r="D47" i="201"/>
  <c r="D42" i="201"/>
  <c r="D50" i="201"/>
  <c r="E16" i="201" l="1"/>
  <c r="T18" i="193"/>
  <c r="V18" i="193" s="1"/>
  <c r="E29" i="201"/>
  <c r="T31" i="193"/>
  <c r="V31" i="193" s="1"/>
  <c r="E17" i="201"/>
  <c r="T19" i="193"/>
  <c r="V19" i="193" s="1"/>
  <c r="D8" i="201"/>
  <c r="D31" i="201"/>
  <c r="D20" i="201"/>
  <c r="D41" i="201"/>
  <c r="D51" i="201" l="1"/>
  <c r="U16" i="193" l="1"/>
  <c r="AD16" i="193" s="1"/>
  <c r="U10" i="193"/>
  <c r="U11" i="193"/>
  <c r="AD11" i="193" s="1"/>
  <c r="U15" i="193"/>
  <c r="AD15" i="193" s="1"/>
  <c r="U12" i="193"/>
  <c r="AD12" i="193" s="1"/>
  <c r="U17" i="193"/>
  <c r="AD17" i="193" s="1"/>
  <c r="U13" i="193"/>
  <c r="AD13" i="193" s="1"/>
  <c r="AD10" i="193" l="1"/>
  <c r="U25" i="193"/>
  <c r="AD25" i="193" s="1"/>
  <c r="I25" i="193"/>
  <c r="I29" i="193"/>
  <c r="U29" i="193"/>
  <c r="AD29" i="193" s="1"/>
  <c r="U26" i="193"/>
  <c r="AD26" i="193" s="1"/>
  <c r="I26" i="193"/>
  <c r="U24" i="193"/>
  <c r="AD24" i="193" s="1"/>
  <c r="I24" i="193"/>
  <c r="I23" i="193"/>
  <c r="U23" i="193"/>
  <c r="AD23" i="193" s="1"/>
  <c r="D29" i="196"/>
  <c r="D25" i="196"/>
  <c r="D26" i="196"/>
  <c r="D24" i="196"/>
  <c r="D41" i="196" l="1"/>
  <c r="U41" i="193"/>
  <c r="AD41" i="193" s="1"/>
  <c r="I41" i="193"/>
  <c r="D13" i="196"/>
  <c r="I13" i="193"/>
  <c r="D12" i="196"/>
  <c r="I12" i="193"/>
  <c r="D11" i="196"/>
  <c r="I11" i="193"/>
  <c r="D47" i="196"/>
  <c r="I47" i="193"/>
  <c r="U47" i="193"/>
  <c r="AD47" i="193" s="1"/>
  <c r="I28" i="193"/>
  <c r="U28" i="193"/>
  <c r="AD28" i="193" s="1"/>
  <c r="D51" i="196"/>
  <c r="U51" i="193"/>
  <c r="AD51" i="193" s="1"/>
  <c r="I51" i="193"/>
  <c r="I27" i="193"/>
  <c r="U27" i="193"/>
  <c r="AD27" i="193" s="1"/>
  <c r="D17" i="196"/>
  <c r="I17" i="193"/>
  <c r="E30" i="195"/>
  <c r="I30" i="193"/>
  <c r="U30" i="193"/>
  <c r="AD30" i="193" s="1"/>
  <c r="D34" i="196"/>
  <c r="U34" i="193"/>
  <c r="AD34" i="193" s="1"/>
  <c r="I34" i="193"/>
  <c r="D36" i="196"/>
  <c r="I36" i="193"/>
  <c r="U36" i="193"/>
  <c r="AD36" i="193" s="1"/>
  <c r="D33" i="196"/>
  <c r="U33" i="193"/>
  <c r="AD33" i="193" s="1"/>
  <c r="I33" i="193"/>
  <c r="D48" i="196"/>
  <c r="U48" i="193"/>
  <c r="AD48" i="193" s="1"/>
  <c r="I48" i="193"/>
  <c r="D44" i="196"/>
  <c r="U44" i="193"/>
  <c r="AD44" i="193" s="1"/>
  <c r="I44" i="193"/>
  <c r="U22" i="193"/>
  <c r="AD22" i="193" s="1"/>
  <c r="I22" i="193"/>
  <c r="D35" i="196"/>
  <c r="U35" i="193"/>
  <c r="AD35" i="193" s="1"/>
  <c r="I35" i="193"/>
  <c r="D10" i="196"/>
  <c r="I10" i="193"/>
  <c r="D40" i="196"/>
  <c r="I40" i="193"/>
  <c r="U40" i="193"/>
  <c r="AD40" i="193" s="1"/>
  <c r="D38" i="196"/>
  <c r="U38" i="193"/>
  <c r="AD38" i="193" s="1"/>
  <c r="I38" i="193"/>
  <c r="U14" i="193"/>
  <c r="D23" i="196"/>
  <c r="D16" i="196"/>
  <c r="I16" i="193"/>
  <c r="D49" i="196"/>
  <c r="I49" i="193"/>
  <c r="U49" i="193"/>
  <c r="AD49" i="193" s="1"/>
  <c r="D15" i="196"/>
  <c r="I15" i="193"/>
  <c r="D52" i="196"/>
  <c r="I52" i="193"/>
  <c r="U52" i="193"/>
  <c r="AD52" i="193" s="1"/>
  <c r="D45" i="196"/>
  <c r="U45" i="193"/>
  <c r="AD45" i="193" s="1"/>
  <c r="I45" i="193"/>
  <c r="D46" i="196"/>
  <c r="I46" i="193"/>
  <c r="U46" i="193"/>
  <c r="AD46" i="193" s="1"/>
  <c r="D30" i="196"/>
  <c r="D27" i="196"/>
  <c r="D28" i="196"/>
  <c r="D22" i="196"/>
  <c r="D43" i="196" l="1"/>
  <c r="U43" i="193"/>
  <c r="AD43" i="193" s="1"/>
  <c r="I43" i="193"/>
  <c r="D39" i="196"/>
  <c r="U39" i="193"/>
  <c r="AD39" i="193" s="1"/>
  <c r="I39" i="193"/>
  <c r="E38" i="201"/>
  <c r="T40" i="193"/>
  <c r="V40" i="193" s="1"/>
  <c r="D14" i="196"/>
  <c r="I14" i="193"/>
  <c r="D50" i="196"/>
  <c r="U50" i="193"/>
  <c r="AD50" i="193" s="1"/>
  <c r="I50" i="193"/>
  <c r="D37" i="196"/>
  <c r="U37" i="193"/>
  <c r="AD37" i="193" s="1"/>
  <c r="I37" i="193"/>
  <c r="AD14" i="193"/>
  <c r="K26" i="196"/>
  <c r="K12" i="196"/>
  <c r="K29" i="196"/>
  <c r="K46" i="196"/>
  <c r="K15" i="196"/>
  <c r="K13" i="196"/>
  <c r="K51" i="196"/>
  <c r="I53" i="193" l="1"/>
  <c r="AD53" i="193"/>
  <c r="U53" i="193"/>
  <c r="E47" i="201"/>
  <c r="T49" i="193"/>
  <c r="V49" i="193" s="1"/>
  <c r="E45" i="195"/>
  <c r="E44" i="201"/>
  <c r="T46" i="193"/>
  <c r="V46" i="193" s="1"/>
  <c r="E50" i="201"/>
  <c r="T52" i="193"/>
  <c r="V52" i="193" s="1"/>
  <c r="E49" i="201"/>
  <c r="T51" i="193"/>
  <c r="V51" i="193" s="1"/>
  <c r="E42" i="201"/>
  <c r="T44" i="193"/>
  <c r="V44" i="193" s="1"/>
  <c r="E34" i="201"/>
  <c r="T36" i="193"/>
  <c r="V36" i="193" s="1"/>
  <c r="E50" i="195"/>
  <c r="E21" i="201"/>
  <c r="T23" i="193"/>
  <c r="V23" i="193" s="1"/>
  <c r="E14" i="195"/>
  <c r="D53" i="196"/>
  <c r="E11" i="195"/>
  <c r="K10" i="196"/>
  <c r="K23" i="196"/>
  <c r="K39" i="196"/>
  <c r="K48" i="196"/>
  <c r="K17" i="196"/>
  <c r="K52" i="196"/>
  <c r="K41" i="196"/>
  <c r="K11" i="196"/>
  <c r="K16" i="196"/>
  <c r="K27" i="196"/>
  <c r="K49" i="196"/>
  <c r="E32" i="195" l="1"/>
  <c r="E10" i="195"/>
  <c r="E51" i="195"/>
  <c r="E25" i="195"/>
  <c r="E22" i="195"/>
  <c r="E15" i="195"/>
  <c r="E48" i="195"/>
  <c r="E9" i="195"/>
  <c r="K33" i="196"/>
  <c r="K40" i="196"/>
  <c r="K44" i="196"/>
  <c r="K47" i="196"/>
  <c r="K24" i="196"/>
  <c r="K25" i="196"/>
  <c r="K45" i="196"/>
  <c r="E12" i="195" l="1"/>
  <c r="E26" i="195"/>
  <c r="E28" i="195"/>
  <c r="E47" i="195"/>
  <c r="E44" i="195"/>
  <c r="E16" i="195"/>
  <c r="E40" i="195"/>
  <c r="K30" i="196"/>
  <c r="K50" i="196"/>
  <c r="K35" i="196"/>
  <c r="K28" i="196"/>
  <c r="K38" i="196"/>
  <c r="E46" i="195" l="1"/>
  <c r="E24" i="195"/>
  <c r="E10" i="201"/>
  <c r="T12" i="193"/>
  <c r="V12" i="193" s="1"/>
  <c r="E37" i="195"/>
  <c r="E39" i="195"/>
  <c r="E35" i="201"/>
  <c r="T37" i="193"/>
  <c r="V37" i="193" s="1"/>
  <c r="E23" i="195"/>
  <c r="E38" i="195"/>
  <c r="E12" i="201"/>
  <c r="T14" i="193"/>
  <c r="V14" i="193" s="1"/>
  <c r="E27" i="195"/>
  <c r="E34" i="195"/>
  <c r="E43" i="195"/>
  <c r="E32" i="201"/>
  <c r="T34" i="193"/>
  <c r="V34" i="193" s="1"/>
  <c r="E24" i="201"/>
  <c r="T26" i="193"/>
  <c r="V26" i="193" s="1"/>
  <c r="K34" i="196"/>
  <c r="K37" i="196"/>
  <c r="K36" i="196"/>
  <c r="E15" i="201" l="1"/>
  <c r="T17" i="193"/>
  <c r="V17" i="193" s="1"/>
  <c r="E26" i="201"/>
  <c r="T28" i="193"/>
  <c r="V28" i="193" s="1"/>
  <c r="T13" i="193"/>
  <c r="V13" i="193" s="1"/>
  <c r="E11" i="201"/>
  <c r="E8" i="201"/>
  <c r="T10" i="193"/>
  <c r="E27" i="201"/>
  <c r="T29" i="193"/>
  <c r="V29" i="193" s="1"/>
  <c r="E9" i="201"/>
  <c r="T11" i="193"/>
  <c r="V11" i="193" s="1"/>
  <c r="E28" i="201"/>
  <c r="T30" i="193"/>
  <c r="V30" i="193" s="1"/>
  <c r="E36" i="201"/>
  <c r="T38" i="193"/>
  <c r="V38" i="193" s="1"/>
  <c r="E14" i="201"/>
  <c r="T16" i="193"/>
  <c r="V16" i="193" s="1"/>
  <c r="E31" i="201"/>
  <c r="T33" i="193"/>
  <c r="V33" i="193" s="1"/>
  <c r="E37" i="201"/>
  <c r="T39" i="193"/>
  <c r="V39" i="193" s="1"/>
  <c r="E33" i="195"/>
  <c r="E29" i="195"/>
  <c r="E48" i="201"/>
  <c r="T50" i="193"/>
  <c r="V50" i="193" s="1"/>
  <c r="E20" i="201"/>
  <c r="T22" i="193"/>
  <c r="V22" i="193" s="1"/>
  <c r="E45" i="201"/>
  <c r="T47" i="193"/>
  <c r="V47" i="193" s="1"/>
  <c r="E39" i="201"/>
  <c r="T41" i="193"/>
  <c r="V41" i="193" s="1"/>
  <c r="E35" i="195"/>
  <c r="E33" i="201"/>
  <c r="T35" i="193"/>
  <c r="V35" i="193" s="1"/>
  <c r="E41" i="201"/>
  <c r="T43" i="193"/>
  <c r="V43" i="193" s="1"/>
  <c r="E23" i="201"/>
  <c r="T25" i="193"/>
  <c r="V25" i="193" s="1"/>
  <c r="E43" i="201"/>
  <c r="T45" i="193"/>
  <c r="V45" i="193" s="1"/>
  <c r="E13" i="201"/>
  <c r="T15" i="193"/>
  <c r="V15" i="193" s="1"/>
  <c r="E36" i="195"/>
  <c r="E49" i="195"/>
  <c r="E22" i="201"/>
  <c r="T24" i="193"/>
  <c r="V24" i="193" s="1"/>
  <c r="E13" i="195"/>
  <c r="E21" i="195"/>
  <c r="E42" i="195"/>
  <c r="E46" i="201"/>
  <c r="T48" i="193"/>
  <c r="V48" i="193" s="1"/>
  <c r="E25" i="201"/>
  <c r="T27" i="193"/>
  <c r="V27" i="193" s="1"/>
  <c r="K43" i="196"/>
  <c r="K22" i="196"/>
  <c r="K14" i="196" l="1"/>
  <c r="V10" i="193"/>
  <c r="T53" i="193"/>
  <c r="V53" i="193" s="1"/>
  <c r="E51" i="201"/>
  <c r="K53" i="196" l="1"/>
  <c r="F37" i="199" l="1"/>
  <c r="D37" i="199"/>
  <c r="N38" i="193"/>
  <c r="K38" i="193"/>
  <c r="F50" i="199"/>
  <c r="D50" i="199"/>
  <c r="K51" i="193"/>
  <c r="N51" i="193"/>
  <c r="F24" i="199"/>
  <c r="D24" i="199"/>
  <c r="N25" i="193"/>
  <c r="K25" i="193"/>
  <c r="X25" i="193" s="1"/>
  <c r="F27" i="199"/>
  <c r="D27" i="199"/>
  <c r="N28" i="193"/>
  <c r="K28" i="193"/>
  <c r="X28" i="193" s="1"/>
  <c r="F48" i="199"/>
  <c r="K49" i="193"/>
  <c r="D48" i="199"/>
  <c r="N49" i="193"/>
  <c r="F49" i="199"/>
  <c r="D49" i="199"/>
  <c r="N50" i="193"/>
  <c r="K50" i="193"/>
  <c r="X50" i="193" s="1"/>
  <c r="F35" i="199"/>
  <c r="D35" i="199"/>
  <c r="N36" i="193"/>
  <c r="K36" i="193"/>
  <c r="F43" i="199"/>
  <c r="D43" i="199"/>
  <c r="N44" i="193"/>
  <c r="K44" i="193"/>
  <c r="F30" i="199"/>
  <c r="D30" i="199"/>
  <c r="N31" i="193"/>
  <c r="K31" i="193"/>
  <c r="F51" i="199"/>
  <c r="N52" i="193"/>
  <c r="D51" i="199"/>
  <c r="K52" i="193"/>
  <c r="F40" i="199"/>
  <c r="D40" i="199"/>
  <c r="N41" i="193"/>
  <c r="K41" i="193"/>
  <c r="D22" i="199"/>
  <c r="N23" i="193"/>
  <c r="F22" i="199"/>
  <c r="K23" i="193"/>
  <c r="F36" i="199"/>
  <c r="D36" i="199"/>
  <c r="N37" i="193"/>
  <c r="K37" i="193"/>
  <c r="F34" i="199"/>
  <c r="D34" i="199"/>
  <c r="N35" i="193"/>
  <c r="K35" i="193"/>
  <c r="X35" i="193" s="1"/>
  <c r="F29" i="199"/>
  <c r="D29" i="199"/>
  <c r="N30" i="193"/>
  <c r="K30" i="193"/>
  <c r="F28" i="199"/>
  <c r="N29" i="193"/>
  <c r="K29" i="193"/>
  <c r="D28" i="199"/>
  <c r="F44" i="199"/>
  <c r="D44" i="199"/>
  <c r="N45" i="193"/>
  <c r="K45" i="193"/>
  <c r="X45" i="193" s="1"/>
  <c r="F25" i="199"/>
  <c r="N26" i="193"/>
  <c r="K26" i="193"/>
  <c r="D25" i="199"/>
  <c r="F46" i="199"/>
  <c r="D46" i="199"/>
  <c r="N47" i="193"/>
  <c r="K47" i="193"/>
  <c r="F33" i="199"/>
  <c r="D33" i="199"/>
  <c r="N34" i="193"/>
  <c r="K34" i="193"/>
  <c r="X34" i="193" s="1"/>
  <c r="F26" i="199"/>
  <c r="D26" i="199"/>
  <c r="K27" i="193"/>
  <c r="N27" i="193"/>
  <c r="F45" i="199"/>
  <c r="D45" i="199"/>
  <c r="N46" i="193"/>
  <c r="K46" i="193"/>
  <c r="F38" i="199"/>
  <c r="D38" i="199"/>
  <c r="N39" i="193"/>
  <c r="K39" i="193"/>
  <c r="X39" i="193" s="1"/>
  <c r="F39" i="199"/>
  <c r="D39" i="199"/>
  <c r="N40" i="193"/>
  <c r="K40" i="193"/>
  <c r="F23" i="199"/>
  <c r="D23" i="199"/>
  <c r="N24" i="193"/>
  <c r="K24" i="193"/>
  <c r="X24" i="193" s="1"/>
  <c r="F47" i="199"/>
  <c r="D47" i="199"/>
  <c r="N48" i="193"/>
  <c r="K48" i="193"/>
  <c r="X48" i="193" s="1"/>
  <c r="X27" i="193" l="1"/>
  <c r="X41" i="193"/>
  <c r="X37" i="193"/>
  <c r="X38" i="193"/>
  <c r="X47" i="193"/>
  <c r="X40" i="193"/>
  <c r="X30" i="193"/>
  <c r="X23" i="193"/>
  <c r="X31" i="193"/>
  <c r="X26" i="193"/>
  <c r="X51" i="193"/>
  <c r="X49" i="193"/>
  <c r="X44" i="193"/>
  <c r="X46" i="193"/>
  <c r="X52" i="193"/>
  <c r="X36" i="193"/>
  <c r="X29" i="193"/>
  <c r="F42" i="199" l="1"/>
  <c r="N43" i="193"/>
  <c r="K43" i="193"/>
  <c r="D42" i="199"/>
  <c r="F32" i="199"/>
  <c r="N33" i="193"/>
  <c r="K33" i="193"/>
  <c r="X33" i="193" s="1"/>
  <c r="D32" i="199"/>
  <c r="F21" i="199"/>
  <c r="D21" i="199"/>
  <c r="K22" i="193"/>
  <c r="X22" i="193" s="1"/>
  <c r="N22" i="193"/>
  <c r="X43" i="193" l="1"/>
  <c r="K106" i="243" l="1"/>
  <c r="F106" i="243"/>
  <c r="F104" i="243" l="1"/>
  <c r="K104" i="243"/>
  <c r="P106" i="243"/>
  <c r="G106" i="243"/>
  <c r="O106" i="243"/>
  <c r="J106" i="243"/>
  <c r="M106" i="243"/>
  <c r="N106" i="243"/>
  <c r="H106" i="243"/>
  <c r="I106" i="243"/>
  <c r="L106" i="243"/>
  <c r="K108" i="243" l="1"/>
  <c r="K107" i="243" s="1"/>
  <c r="F108" i="243"/>
  <c r="F107" i="243" s="1"/>
  <c r="L104" i="243"/>
  <c r="I104" i="243"/>
  <c r="H104" i="243"/>
  <c r="N104" i="243"/>
  <c r="M104" i="243"/>
  <c r="O104" i="243"/>
  <c r="G104" i="243"/>
  <c r="P104" i="243"/>
  <c r="E106" i="243"/>
  <c r="Q106" i="243" s="1"/>
  <c r="L33" i="242" s="1"/>
  <c r="H76" i="71" s="1"/>
  <c r="I76" i="71" s="1"/>
  <c r="J104" i="243"/>
  <c r="O108" i="243" l="1"/>
  <c r="O107" i="243" s="1"/>
  <c r="H108" i="243"/>
  <c r="H107" i="243" s="1"/>
  <c r="P108" i="243"/>
  <c r="P107" i="243" s="1"/>
  <c r="G108" i="243"/>
  <c r="G107" i="243" s="1"/>
  <c r="L108" i="243"/>
  <c r="L107" i="243" s="1"/>
  <c r="M108" i="243"/>
  <c r="M107" i="243" s="1"/>
  <c r="N108" i="243"/>
  <c r="N107" i="243" s="1"/>
  <c r="I108" i="243"/>
  <c r="I107" i="243" s="1"/>
  <c r="E104" i="243"/>
  <c r="Q104" i="243" s="1"/>
  <c r="L31" i="242" s="1"/>
  <c r="J108" i="243"/>
  <c r="J107" i="243" s="1"/>
  <c r="E108" i="243" l="1"/>
  <c r="E107" i="243" l="1"/>
  <c r="Q108" i="243"/>
  <c r="L35" i="242" l="1"/>
  <c r="Q107" i="243"/>
  <c r="L34" i="242" s="1"/>
  <c r="H77" i="71" s="1"/>
  <c r="H74" i="71" l="1"/>
  <c r="H78" i="71"/>
  <c r="E429" i="237" l="1"/>
  <c r="L429" i="237"/>
  <c r="G429" i="237"/>
  <c r="O429" i="237"/>
  <c r="M429" i="237"/>
  <c r="N429" i="237"/>
  <c r="F429" i="237"/>
  <c r="P429" i="237"/>
  <c r="K429" i="237"/>
  <c r="H429" i="237"/>
  <c r="J429" i="237"/>
  <c r="I429" i="237"/>
  <c r="I82" i="237" l="1"/>
  <c r="I94" i="237" s="1"/>
  <c r="I95" i="237" s="1"/>
  <c r="I441" i="237"/>
  <c r="I442" i="237" s="1"/>
  <c r="J82" i="237"/>
  <c r="J94" i="237" s="1"/>
  <c r="J95" i="237" s="1"/>
  <c r="J441" i="237"/>
  <c r="J442" i="237" s="1"/>
  <c r="H82" i="237"/>
  <c r="H94" i="237" s="1"/>
  <c r="H95" i="237" s="1"/>
  <c r="H441" i="237"/>
  <c r="H442" i="237" s="1"/>
  <c r="K82" i="237"/>
  <c r="K94" i="237" s="1"/>
  <c r="K95" i="237" s="1"/>
  <c r="K441" i="237"/>
  <c r="K442" i="237" s="1"/>
  <c r="P82" i="237"/>
  <c r="P94" i="237" s="1"/>
  <c r="P95" i="237" s="1"/>
  <c r="P441" i="237"/>
  <c r="P442" i="237" s="1"/>
  <c r="F82" i="237"/>
  <c r="F94" i="237" s="1"/>
  <c r="F95" i="237" s="1"/>
  <c r="F441" i="237"/>
  <c r="F442" i="237" s="1"/>
  <c r="N82" i="237"/>
  <c r="N94" i="237" s="1"/>
  <c r="N95" i="237" s="1"/>
  <c r="N441" i="237"/>
  <c r="N442" i="237" s="1"/>
  <c r="M82" i="237"/>
  <c r="M94" i="237" s="1"/>
  <c r="M95" i="237" s="1"/>
  <c r="M441" i="237"/>
  <c r="M442" i="237" s="1"/>
  <c r="O82" i="237"/>
  <c r="O94" i="237" s="1"/>
  <c r="O95" i="237" s="1"/>
  <c r="O441" i="237"/>
  <c r="O442" i="237" s="1"/>
  <c r="G82" i="237"/>
  <c r="G94" i="237" s="1"/>
  <c r="G95" i="237" s="1"/>
  <c r="G441" i="237"/>
  <c r="G442" i="237" s="1"/>
  <c r="L82" i="237"/>
  <c r="L94" i="237" s="1"/>
  <c r="L95" i="237" s="1"/>
  <c r="L441" i="237"/>
  <c r="L442" i="237" s="1"/>
  <c r="E82" i="237"/>
  <c r="E441" i="237"/>
  <c r="Q429" i="237"/>
  <c r="L423" i="234" s="1"/>
  <c r="Q441" i="237" l="1"/>
  <c r="E442" i="237"/>
  <c r="Q82" i="237"/>
  <c r="L82" i="234" s="1"/>
  <c r="E94" i="237"/>
  <c r="Q94" i="237" l="1"/>
  <c r="L94" i="234" s="1"/>
  <c r="E95" i="237"/>
  <c r="Q95" i="237" s="1"/>
  <c r="L435" i="234"/>
  <c r="Q442" i="237"/>
  <c r="L436" i="234" s="1"/>
  <c r="L95" i="234" l="1"/>
  <c r="F92" i="243" l="1"/>
  <c r="G92" i="243"/>
  <c r="H92" i="243"/>
  <c r="I92" i="243"/>
  <c r="M92" i="243"/>
  <c r="N92" i="243"/>
  <c r="O92" i="243"/>
  <c r="P92" i="243"/>
  <c r="E92" i="243" l="1"/>
  <c r="L92" i="243"/>
  <c r="K92" i="243"/>
  <c r="J92" i="243" l="1"/>
  <c r="Q92" i="243" s="1"/>
  <c r="L19" i="242" s="1"/>
  <c r="F64" i="71" s="1"/>
  <c r="E99" i="243" l="1"/>
  <c r="F99" i="243"/>
  <c r="G99" i="243"/>
  <c r="H99" i="243"/>
  <c r="I99" i="243"/>
  <c r="J99" i="243"/>
  <c r="K99" i="243"/>
  <c r="L99" i="243"/>
  <c r="M99" i="243"/>
  <c r="N99" i="243"/>
  <c r="O99" i="243"/>
  <c r="P99" i="243"/>
  <c r="E86" i="243"/>
  <c r="F86" i="243"/>
  <c r="F111" i="243" s="1"/>
  <c r="G86" i="243"/>
  <c r="H86" i="243"/>
  <c r="H111" i="243" s="1"/>
  <c r="I86" i="243"/>
  <c r="J86" i="243"/>
  <c r="J111" i="243" s="1"/>
  <c r="K86" i="243"/>
  <c r="K111" i="243" s="1"/>
  <c r="L86" i="243"/>
  <c r="M86" i="243"/>
  <c r="N86" i="243"/>
  <c r="O86" i="243"/>
  <c r="O111" i="243" s="1"/>
  <c r="P86" i="243"/>
  <c r="P111" i="243" s="1"/>
  <c r="L111" i="243" l="1"/>
  <c r="M111" i="243"/>
  <c r="I111" i="243"/>
  <c r="N111" i="243"/>
  <c r="Q99" i="243"/>
  <c r="L26" i="242" s="1"/>
  <c r="G111" i="243"/>
  <c r="E111" i="243"/>
  <c r="Q111" i="243" s="1"/>
  <c r="L38" i="242" s="1"/>
  <c r="Q86" i="243"/>
  <c r="L13" i="242" s="1"/>
  <c r="N97" i="243"/>
  <c r="J97" i="243"/>
  <c r="I97" i="243"/>
  <c r="H97" i="243"/>
  <c r="K97" i="243"/>
  <c r="G97" i="243"/>
  <c r="F97" i="243"/>
  <c r="M97" i="243"/>
  <c r="E97" i="243"/>
  <c r="P97" i="243"/>
  <c r="L97" i="243"/>
  <c r="O97" i="243"/>
  <c r="E68" i="71" l="1"/>
  <c r="F69" i="71"/>
  <c r="N102" i="243"/>
  <c r="Q97" i="243"/>
  <c r="L24" i="242" s="1"/>
  <c r="O101" i="243"/>
  <c r="O100" i="243" s="1"/>
  <c r="N101" i="243"/>
  <c r="N100" i="243" s="1"/>
  <c r="I101" i="243"/>
  <c r="I100" i="243" s="1"/>
  <c r="E101" i="243"/>
  <c r="L101" i="243"/>
  <c r="L100" i="243" s="1"/>
  <c r="G101" i="243"/>
  <c r="G100" i="243" s="1"/>
  <c r="H101" i="243"/>
  <c r="H100" i="243" s="1"/>
  <c r="M101" i="243"/>
  <c r="M100" i="243" s="1"/>
  <c r="J101" i="243"/>
  <c r="J100" i="243" s="1"/>
  <c r="P101" i="243"/>
  <c r="P100" i="243" s="1"/>
  <c r="K101" i="243"/>
  <c r="K100" i="243" s="1"/>
  <c r="F101" i="243"/>
  <c r="F100" i="243" s="1"/>
  <c r="P102" i="243" l="1"/>
  <c r="H102" i="243"/>
  <c r="K102" i="243"/>
  <c r="G102" i="243"/>
  <c r="M102" i="243"/>
  <c r="J102" i="243"/>
  <c r="E100" i="243"/>
  <c r="Q101" i="243"/>
  <c r="O102" i="243"/>
  <c r="I102" i="243"/>
  <c r="E102" i="243"/>
  <c r="F102" i="243"/>
  <c r="E66" i="71"/>
  <c r="H67" i="71"/>
  <c r="L102" i="243"/>
  <c r="Q102" i="243" l="1"/>
  <c r="L29" i="242" s="1"/>
  <c r="Q100" i="243"/>
  <c r="L27" i="242" s="1"/>
  <c r="H70" i="71" s="1"/>
  <c r="L28" i="242"/>
  <c r="G67" i="71"/>
  <c r="I67" i="71"/>
  <c r="E91" i="243"/>
  <c r="J91" i="243"/>
  <c r="M91" i="243"/>
  <c r="K91" i="243"/>
  <c r="L91" i="243"/>
  <c r="G91" i="243"/>
  <c r="H91" i="243"/>
  <c r="I91" i="243"/>
  <c r="P91" i="243"/>
  <c r="N91" i="243"/>
  <c r="F91" i="243"/>
  <c r="O91" i="243"/>
  <c r="H71" i="71" l="1"/>
  <c r="H69" i="71"/>
  <c r="Q91" i="243"/>
  <c r="L18" i="242" s="1"/>
  <c r="D64" i="71" s="1"/>
  <c r="I70" i="71"/>
  <c r="G70" i="71"/>
  <c r="H72" i="71"/>
  <c r="E69" i="71"/>
  <c r="D74" i="71" s="1"/>
  <c r="O94" i="243"/>
  <c r="O93" i="243" s="1"/>
  <c r="I94" i="243"/>
  <c r="I93" i="243" s="1"/>
  <c r="L94" i="243"/>
  <c r="L93" i="243" s="1"/>
  <c r="K94" i="243"/>
  <c r="K93" i="243" s="1"/>
  <c r="E94" i="243"/>
  <c r="E95" i="243" s="1"/>
  <c r="F94" i="243"/>
  <c r="F93" i="243" s="1"/>
  <c r="N94" i="243"/>
  <c r="N93" i="243" s="1"/>
  <c r="J94" i="243"/>
  <c r="J93" i="243" s="1"/>
  <c r="H94" i="243"/>
  <c r="H93" i="243" s="1"/>
  <c r="M94" i="243"/>
  <c r="M93" i="243" s="1"/>
  <c r="G94" i="243"/>
  <c r="G93" i="243" s="1"/>
  <c r="P94" i="243"/>
  <c r="P93" i="243" s="1"/>
  <c r="F95" i="243" l="1"/>
  <c r="I71" i="71"/>
  <c r="G71" i="71"/>
  <c r="G74" i="71"/>
  <c r="F74" i="71" s="1"/>
  <c r="I74" i="71"/>
  <c r="M95" i="243"/>
  <c r="G72" i="71"/>
  <c r="I72" i="71"/>
  <c r="O95" i="243"/>
  <c r="E93" i="243"/>
  <c r="Q94" i="243"/>
  <c r="P95" i="243"/>
  <c r="L95" i="243"/>
  <c r="N95" i="243"/>
  <c r="J95" i="243"/>
  <c r="K95" i="243"/>
  <c r="H95" i="243"/>
  <c r="G95" i="243"/>
  <c r="I95" i="243"/>
  <c r="Q95" i="243" l="1"/>
  <c r="L22" i="242" s="1"/>
  <c r="H65" i="71"/>
  <c r="E64" i="71"/>
  <c r="D69" i="71" s="1"/>
  <c r="L21" i="242"/>
  <c r="H64" i="71" s="1"/>
  <c r="Q93" i="243"/>
  <c r="L20" i="242" s="1"/>
  <c r="I64" i="71" l="1"/>
  <c r="G64" i="71"/>
  <c r="G69" i="71"/>
  <c r="I69" i="71"/>
  <c r="I65" i="71"/>
  <c r="G65" i="71"/>
  <c r="F38" i="196" l="1"/>
  <c r="F18" i="196"/>
  <c r="F28" i="196"/>
  <c r="F37" i="196"/>
  <c r="F39" i="196"/>
  <c r="F36" i="196"/>
  <c r="F34" i="196"/>
  <c r="F17" i="196"/>
  <c r="F16" i="196"/>
  <c r="F13" i="196"/>
  <c r="F30" i="196"/>
  <c r="F12" i="196"/>
  <c r="F24" i="196"/>
  <c r="F15" i="196"/>
  <c r="F26" i="196"/>
  <c r="F14" i="196"/>
  <c r="F41" i="196"/>
  <c r="F11" i="196"/>
  <c r="F31" i="196"/>
  <c r="F35" i="196"/>
  <c r="F27" i="196"/>
  <c r="F23" i="196"/>
  <c r="F19" i="196"/>
  <c r="F29" i="196"/>
  <c r="F25" i="196"/>
  <c r="F40" i="196"/>
  <c r="I40" i="196" s="1"/>
  <c r="M26" i="196"/>
  <c r="M30" i="196"/>
  <c r="M12" i="196"/>
  <c r="M17" i="196"/>
  <c r="M34" i="196"/>
  <c r="M24" i="196"/>
  <c r="M36" i="196"/>
  <c r="M18" i="196"/>
  <c r="M28" i="196"/>
  <c r="M38" i="196"/>
  <c r="M35" i="196"/>
  <c r="M29" i="196"/>
  <c r="M31" i="196"/>
  <c r="M25" i="196"/>
  <c r="M13" i="196"/>
  <c r="M37" i="196"/>
  <c r="M11" i="196"/>
  <c r="M14" i="196"/>
  <c r="M39" i="196"/>
  <c r="M15" i="196"/>
  <c r="M27" i="196"/>
  <c r="M23" i="196"/>
  <c r="M16" i="196"/>
  <c r="F33" i="196" l="1"/>
  <c r="D38" i="197"/>
  <c r="M40" i="196"/>
  <c r="P40" i="196" s="1"/>
  <c r="F22" i="196"/>
  <c r="F10" i="196"/>
  <c r="M19" i="196"/>
  <c r="E38" i="197" l="1"/>
  <c r="F40" i="193"/>
  <c r="R40" i="193"/>
  <c r="O40" i="193"/>
  <c r="P40" i="193" s="1"/>
  <c r="L40" i="193"/>
  <c r="M40" i="193" s="1"/>
  <c r="F53" i="196"/>
  <c r="M33" i="196"/>
  <c r="M22" i="196"/>
  <c r="H18" i="195" l="1"/>
  <c r="L19" i="196"/>
  <c r="M10" i="196"/>
  <c r="L14" i="196" l="1"/>
  <c r="H13" i="195"/>
  <c r="L25" i="196"/>
  <c r="H24" i="195"/>
  <c r="L46" i="196"/>
  <c r="H45" i="195"/>
  <c r="L11" i="196"/>
  <c r="H10" i="195"/>
  <c r="L17" i="196"/>
  <c r="H16" i="195"/>
  <c r="L33" i="196"/>
  <c r="H32" i="195"/>
  <c r="L49" i="196"/>
  <c r="H48" i="195"/>
  <c r="H44" i="195"/>
  <c r="L45" i="196"/>
  <c r="L36" i="196"/>
  <c r="H35" i="195"/>
  <c r="H23" i="195"/>
  <c r="L24" i="196"/>
  <c r="M53" i="196"/>
  <c r="H29" i="195"/>
  <c r="L30" i="196"/>
  <c r="L16" i="196"/>
  <c r="H15" i="195"/>
  <c r="L34" i="196"/>
  <c r="H33" i="195"/>
  <c r="L52" i="196"/>
  <c r="H51" i="195"/>
  <c r="H37" i="195"/>
  <c r="L38" i="196"/>
  <c r="H12" i="195"/>
  <c r="L13" i="196"/>
  <c r="L29" i="196"/>
  <c r="H28" i="195"/>
  <c r="H36" i="195"/>
  <c r="L37" i="196"/>
  <c r="H49" i="195"/>
  <c r="L50" i="196"/>
  <c r="H50" i="195"/>
  <c r="L51" i="196"/>
  <c r="L15" i="196"/>
  <c r="H14" i="195"/>
  <c r="E51" i="196"/>
  <c r="E48" i="196"/>
  <c r="E45" i="196"/>
  <c r="D48" i="195"/>
  <c r="D46" i="195"/>
  <c r="D51" i="195"/>
  <c r="E50" i="196"/>
  <c r="E47" i="196"/>
  <c r="E44" i="196"/>
  <c r="D44" i="195"/>
  <c r="D49" i="195"/>
  <c r="D42" i="195"/>
  <c r="D47" i="195"/>
  <c r="D43" i="195"/>
  <c r="E52" i="196"/>
  <c r="E43" i="196"/>
  <c r="E49" i="196"/>
  <c r="D45" i="195"/>
  <c r="D50" i="195"/>
  <c r="E46" i="196"/>
  <c r="E38" i="196"/>
  <c r="D38" i="195"/>
  <c r="E41" i="196"/>
  <c r="E25" i="196"/>
  <c r="E16" i="196"/>
  <c r="E24" i="196"/>
  <c r="D40" i="195"/>
  <c r="E27" i="196"/>
  <c r="E40" i="196"/>
  <c r="D37" i="195"/>
  <c r="E39" i="196"/>
  <c r="D15" i="195"/>
  <c r="D23" i="195"/>
  <c r="D26" i="195"/>
  <c r="D24" i="195"/>
  <c r="D35" i="195"/>
  <c r="E11" i="196"/>
  <c r="E18" i="196"/>
  <c r="E13" i="196"/>
  <c r="D14" i="195"/>
  <c r="D22" i="195"/>
  <c r="D17" i="195"/>
  <c r="E36" i="196"/>
  <c r="D12" i="195"/>
  <c r="E15" i="196"/>
  <c r="D10" i="195"/>
  <c r="E23" i="196"/>
  <c r="E28" i="196"/>
  <c r="D33" i="195"/>
  <c r="E31" i="196"/>
  <c r="D39" i="195"/>
  <c r="D27" i="195"/>
  <c r="E30" i="196"/>
  <c r="D25" i="195"/>
  <c r="D30" i="195"/>
  <c r="E19" i="196"/>
  <c r="E34" i="196"/>
  <c r="D29" i="195"/>
  <c r="E26" i="196"/>
  <c r="D18" i="195"/>
  <c r="E17" i="196"/>
  <c r="E14" i="196"/>
  <c r="E35" i="196"/>
  <c r="E37" i="196"/>
  <c r="E12" i="196"/>
  <c r="D13" i="195"/>
  <c r="E29" i="196"/>
  <c r="D36" i="195"/>
  <c r="D16" i="195"/>
  <c r="D11" i="195"/>
  <c r="D34" i="195"/>
  <c r="D28" i="195"/>
  <c r="D9" i="195"/>
  <c r="D52" i="195" s="1"/>
  <c r="E22" i="196"/>
  <c r="E33" i="196"/>
  <c r="D32" i="195"/>
  <c r="D21" i="195"/>
  <c r="E10" i="196"/>
  <c r="L47" i="196"/>
  <c r="H46" i="195"/>
  <c r="L18" i="196"/>
  <c r="H17" i="195"/>
  <c r="L28" i="196"/>
  <c r="H27" i="195"/>
  <c r="H42" i="195"/>
  <c r="L43" i="196"/>
  <c r="L10" i="196"/>
  <c r="H9" i="195"/>
  <c r="H34" i="195"/>
  <c r="L35" i="196"/>
  <c r="H39" i="195"/>
  <c r="L40" i="196"/>
  <c r="L26" i="196"/>
  <c r="H25" i="195"/>
  <c r="L23" i="196"/>
  <c r="H22" i="195"/>
  <c r="L27" i="196"/>
  <c r="H26" i="195"/>
  <c r="H43" i="195"/>
  <c r="L44" i="196"/>
  <c r="L12" i="196"/>
  <c r="H11" i="195"/>
  <c r="L41" i="196"/>
  <c r="H40" i="195"/>
  <c r="L39" i="196"/>
  <c r="H38" i="195"/>
  <c r="L31" i="196"/>
  <c r="H30" i="195"/>
  <c r="L22" i="196"/>
  <c r="H21" i="195"/>
  <c r="H47" i="195"/>
  <c r="L48" i="196"/>
  <c r="E53" i="196" l="1"/>
  <c r="H52" i="195"/>
  <c r="L53" i="196"/>
  <c r="D27" i="197" l="1"/>
  <c r="O29" i="196"/>
  <c r="P29" i="196" s="1"/>
  <c r="O43" i="196" l="1"/>
  <c r="P43" i="196" s="1"/>
  <c r="D39" i="197" l="1"/>
  <c r="O41" i="196"/>
  <c r="P41" i="196" s="1"/>
  <c r="D43" i="197"/>
  <c r="O45" i="196"/>
  <c r="P45" i="196" s="1"/>
  <c r="D29" i="197"/>
  <c r="O31" i="196"/>
  <c r="P31" i="196" s="1"/>
  <c r="D50" i="197"/>
  <c r="O52" i="196"/>
  <c r="P52" i="196" s="1"/>
  <c r="D28" i="197"/>
  <c r="O30" i="196"/>
  <c r="P30" i="196" s="1"/>
  <c r="D48" i="197"/>
  <c r="O50" i="196"/>
  <c r="P50" i="196" s="1"/>
  <c r="D45" i="197"/>
  <c r="O47" i="196"/>
  <c r="P47" i="196" s="1"/>
  <c r="D49" i="197"/>
  <c r="O51" i="196"/>
  <c r="P51" i="196" s="1"/>
  <c r="D47" i="197"/>
  <c r="O49" i="196"/>
  <c r="P49" i="196" s="1"/>
  <c r="D46" i="197"/>
  <c r="O48" i="196"/>
  <c r="P48" i="196" s="1"/>
  <c r="D44" i="197"/>
  <c r="O46" i="196"/>
  <c r="P46" i="196" s="1"/>
  <c r="D42" i="197"/>
  <c r="O44" i="196"/>
  <c r="P44" i="196" s="1"/>
  <c r="O33" i="196"/>
  <c r="P33" i="196" s="1"/>
  <c r="O10" i="196"/>
  <c r="O22" i="196"/>
  <c r="P22" i="196" s="1"/>
  <c r="D41" i="197"/>
  <c r="T30" i="196"/>
  <c r="R29" i="196"/>
  <c r="T49" i="196"/>
  <c r="T37" i="196"/>
  <c r="T29" i="196"/>
  <c r="T26" i="196"/>
  <c r="T51" i="196"/>
  <c r="R38" i="196"/>
  <c r="T52" i="196"/>
  <c r="R27" i="196"/>
  <c r="R51" i="196"/>
  <c r="R35" i="196"/>
  <c r="R19" i="196"/>
  <c r="T19" i="196"/>
  <c r="R44" i="196"/>
  <c r="T27" i="196"/>
  <c r="R23" i="196"/>
  <c r="T18" i="196"/>
  <c r="R30" i="196"/>
  <c r="T14" i="196"/>
  <c r="T17" i="196"/>
  <c r="T47" i="196"/>
  <c r="T12" i="196"/>
  <c r="R26" i="196"/>
  <c r="R15" i="196"/>
  <c r="R18" i="196"/>
  <c r="R24" i="196"/>
  <c r="R52" i="196"/>
  <c r="R47" i="196"/>
  <c r="R46" i="196"/>
  <c r="T44" i="196"/>
  <c r="R25" i="196"/>
  <c r="R45" i="196"/>
  <c r="R37" i="196"/>
  <c r="R16" i="196"/>
  <c r="T39" i="196"/>
  <c r="V39" i="196"/>
  <c r="T38" i="196"/>
  <c r="T13" i="196"/>
  <c r="T50" i="196"/>
  <c r="T36" i="196"/>
  <c r="T15" i="196"/>
  <c r="R12" i="196"/>
  <c r="T23" i="196"/>
  <c r="T25" i="196"/>
  <c r="R13" i="196"/>
  <c r="R11" i="196"/>
  <c r="R36" i="196"/>
  <c r="R34" i="196"/>
  <c r="T16" i="196"/>
  <c r="T35" i="196"/>
  <c r="T46" i="196"/>
  <c r="R50" i="196"/>
  <c r="R48" i="196"/>
  <c r="T34" i="196"/>
  <c r="T45" i="196"/>
  <c r="R17" i="196"/>
  <c r="T48" i="196"/>
  <c r="T11" i="196"/>
  <c r="R49" i="196"/>
  <c r="T28" i="196"/>
  <c r="R28" i="196"/>
  <c r="R14" i="196"/>
  <c r="R40" i="196"/>
  <c r="T24" i="196"/>
  <c r="D15" i="197" l="1"/>
  <c r="O17" i="196"/>
  <c r="P17" i="196" s="1"/>
  <c r="D35" i="197"/>
  <c r="O37" i="196"/>
  <c r="P37" i="196" s="1"/>
  <c r="D25" i="197"/>
  <c r="O27" i="196"/>
  <c r="P27" i="196" s="1"/>
  <c r="P10" i="196"/>
  <c r="E49" i="197"/>
  <c r="R51" i="193"/>
  <c r="O51" i="193"/>
  <c r="P51" i="193" s="1"/>
  <c r="L51" i="193"/>
  <c r="M51" i="193" s="1"/>
  <c r="F51" i="193"/>
  <c r="D33" i="197"/>
  <c r="O35" i="196"/>
  <c r="P35" i="196" s="1"/>
  <c r="D16" i="197"/>
  <c r="O18" i="196"/>
  <c r="P18" i="196" s="1"/>
  <c r="R39" i="196"/>
  <c r="W39" i="196" s="1"/>
  <c r="E42" i="197"/>
  <c r="O44" i="193"/>
  <c r="P44" i="193" s="1"/>
  <c r="L44" i="193"/>
  <c r="M44" i="193" s="1"/>
  <c r="F44" i="193"/>
  <c r="R44" i="193"/>
  <c r="D14" i="197"/>
  <c r="O16" i="196"/>
  <c r="P16" i="196" s="1"/>
  <c r="D21" i="197"/>
  <c r="O23" i="196"/>
  <c r="P23" i="196" s="1"/>
  <c r="E29" i="197"/>
  <c r="F31" i="193"/>
  <c r="O31" i="193"/>
  <c r="P31" i="193" s="1"/>
  <c r="R31" i="193"/>
  <c r="L31" i="193"/>
  <c r="M31" i="193" s="1"/>
  <c r="D10" i="197"/>
  <c r="O12" i="196"/>
  <c r="P12" i="196" s="1"/>
  <c r="D32" i="197"/>
  <c r="O34" i="196"/>
  <c r="P34" i="196" s="1"/>
  <c r="D26" i="197"/>
  <c r="O28" i="196"/>
  <c r="P28" i="196" s="1"/>
  <c r="L49" i="193"/>
  <c r="M49" i="193" s="1"/>
  <c r="E47" i="197"/>
  <c r="F49" i="193"/>
  <c r="O49" i="193"/>
  <c r="P49" i="193" s="1"/>
  <c r="R49" i="193"/>
  <c r="D9" i="197"/>
  <c r="O11" i="196"/>
  <c r="P11" i="196" s="1"/>
  <c r="D37" i="197"/>
  <c r="O39" i="196"/>
  <c r="P39" i="196" s="1"/>
  <c r="D24" i="197"/>
  <c r="O26" i="196"/>
  <c r="P26" i="196" s="1"/>
  <c r="D12" i="197"/>
  <c r="O14" i="196"/>
  <c r="P14" i="196" s="1"/>
  <c r="D23" i="197"/>
  <c r="O25" i="196"/>
  <c r="P25" i="196" s="1"/>
  <c r="D17" i="197"/>
  <c r="O19" i="196"/>
  <c r="P19" i="196" s="1"/>
  <c r="D36" i="197"/>
  <c r="O38" i="196"/>
  <c r="P38" i="196" s="1"/>
  <c r="D22" i="197"/>
  <c r="O24" i="196"/>
  <c r="P24" i="196" s="1"/>
  <c r="D11" i="197"/>
  <c r="O13" i="196"/>
  <c r="P13" i="196" s="1"/>
  <c r="D13" i="197"/>
  <c r="O15" i="196"/>
  <c r="P15" i="196" s="1"/>
  <c r="D34" i="197"/>
  <c r="O36" i="196"/>
  <c r="P36" i="196" s="1"/>
  <c r="D31" i="197"/>
  <c r="R10" i="196"/>
  <c r="D20" i="197"/>
  <c r="R22" i="196"/>
  <c r="R43" i="196"/>
  <c r="D8" i="197"/>
  <c r="G46" i="195"/>
  <c r="G9" i="195"/>
  <c r="G14" i="195"/>
  <c r="G28" i="195"/>
  <c r="G24" i="195"/>
  <c r="G37" i="195"/>
  <c r="G48" i="195"/>
  <c r="G25" i="195"/>
  <c r="G23" i="195"/>
  <c r="G40" i="195"/>
  <c r="G10" i="195"/>
  <c r="G27" i="195"/>
  <c r="G38" i="195"/>
  <c r="G29" i="195"/>
  <c r="G13" i="195"/>
  <c r="G21" i="195"/>
  <c r="G39" i="195"/>
  <c r="G16" i="195"/>
  <c r="G33" i="195"/>
  <c r="G45" i="195"/>
  <c r="G32" i="195"/>
  <c r="G15" i="195"/>
  <c r="G42" i="195"/>
  <c r="G11" i="195"/>
  <c r="G22" i="195"/>
  <c r="G12" i="195"/>
  <c r="G44" i="195"/>
  <c r="G17" i="195"/>
  <c r="G47" i="195"/>
  <c r="G34" i="195"/>
  <c r="G18" i="195"/>
  <c r="G43" i="195"/>
  <c r="G30" i="195"/>
  <c r="G26" i="195"/>
  <c r="G35" i="195"/>
  <c r="G36" i="195"/>
  <c r="D51" i="197" l="1"/>
  <c r="T33" i="196"/>
  <c r="T40" i="196"/>
  <c r="V16" i="196"/>
  <c r="E28" i="197"/>
  <c r="O30" i="193"/>
  <c r="P30" i="193" s="1"/>
  <c r="L30" i="193"/>
  <c r="M30" i="193" s="1"/>
  <c r="F30" i="193"/>
  <c r="R30" i="193"/>
  <c r="V35" i="196"/>
  <c r="V52" i="196"/>
  <c r="V18" i="196"/>
  <c r="E17" i="197"/>
  <c r="L19" i="193"/>
  <c r="R19" i="193"/>
  <c r="F19" i="193"/>
  <c r="O19" i="193"/>
  <c r="E21" i="197"/>
  <c r="F23" i="193"/>
  <c r="R23" i="193"/>
  <c r="O23" i="193"/>
  <c r="P23" i="193" s="1"/>
  <c r="L23" i="193"/>
  <c r="M23" i="193" s="1"/>
  <c r="V14" i="196"/>
  <c r="V36" i="196"/>
  <c r="V11" i="196"/>
  <c r="V28" i="196"/>
  <c r="E50" i="197"/>
  <c r="F52" i="193"/>
  <c r="O52" i="193"/>
  <c r="P52" i="193" s="1"/>
  <c r="R52" i="193"/>
  <c r="L52" i="193"/>
  <c r="M52" i="193" s="1"/>
  <c r="V19" i="196"/>
  <c r="T22" i="196"/>
  <c r="F18" i="193"/>
  <c r="E16" i="197"/>
  <c r="R18" i="193"/>
  <c r="L18" i="193"/>
  <c r="O18" i="193"/>
  <c r="V48" i="196"/>
  <c r="V51" i="196"/>
  <c r="V37" i="196"/>
  <c r="R33" i="196"/>
  <c r="R53" i="196" s="1"/>
  <c r="V50" i="196"/>
  <c r="V30" i="196"/>
  <c r="V34" i="196"/>
  <c r="E34" i="197"/>
  <c r="F36" i="193"/>
  <c r="R36" i="193"/>
  <c r="O36" i="193"/>
  <c r="P36" i="193" s="1"/>
  <c r="L36" i="193"/>
  <c r="M36" i="193" s="1"/>
  <c r="V45" i="196"/>
  <c r="V15" i="196"/>
  <c r="V17" i="196"/>
  <c r="E44" i="197"/>
  <c r="F46" i="193"/>
  <c r="R46" i="193"/>
  <c r="O46" i="193"/>
  <c r="P46" i="193" s="1"/>
  <c r="L46" i="193"/>
  <c r="M46" i="193" s="1"/>
  <c r="V25" i="196"/>
  <c r="V12" i="196"/>
  <c r="V44" i="196"/>
  <c r="V26" i="196"/>
  <c r="V27" i="196"/>
  <c r="P53" i="196"/>
  <c r="Q23" i="196" s="1"/>
  <c r="V46" i="196"/>
  <c r="Q34" i="196"/>
  <c r="O53" i="196"/>
  <c r="V29" i="196"/>
  <c r="V38" i="196"/>
  <c r="V13" i="196"/>
  <c r="V23" i="196"/>
  <c r="Q24" i="196"/>
  <c r="V47" i="196"/>
  <c r="V24" i="196"/>
  <c r="V49" i="196"/>
  <c r="Q12" i="196"/>
  <c r="V33" i="196"/>
  <c r="N40" i="196"/>
  <c r="N29" i="196"/>
  <c r="N31" i="196"/>
  <c r="N44" i="196"/>
  <c r="N45" i="196"/>
  <c r="N48" i="196"/>
  <c r="N46" i="196"/>
  <c r="N49" i="196"/>
  <c r="N50" i="196"/>
  <c r="N43" i="196"/>
  <c r="N51" i="196"/>
  <c r="N52" i="196"/>
  <c r="N30" i="196"/>
  <c r="N41" i="196"/>
  <c r="N47" i="196"/>
  <c r="N15" i="196"/>
  <c r="N16" i="196"/>
  <c r="N12" i="196"/>
  <c r="N22" i="196"/>
  <c r="N14" i="196"/>
  <c r="N33" i="196"/>
  <c r="N27" i="196"/>
  <c r="N37" i="196"/>
  <c r="N24" i="196"/>
  <c r="N11" i="196"/>
  <c r="N38" i="196"/>
  <c r="N39" i="196"/>
  <c r="N25" i="196"/>
  <c r="N28" i="196"/>
  <c r="N34" i="196"/>
  <c r="N36" i="196"/>
  <c r="N26" i="196"/>
  <c r="N23" i="196"/>
  <c r="N18" i="196"/>
  <c r="N13" i="196"/>
  <c r="N10" i="196"/>
  <c r="N19" i="196"/>
  <c r="N35" i="196"/>
  <c r="N17" i="196"/>
  <c r="Q27" i="196" l="1"/>
  <c r="D50" i="200"/>
  <c r="Q52" i="193"/>
  <c r="D47" i="200"/>
  <c r="Q49" i="193"/>
  <c r="T43" i="196"/>
  <c r="T10" i="196"/>
  <c r="W24" i="196"/>
  <c r="Q10" i="196"/>
  <c r="W12" i="196"/>
  <c r="W18" i="196"/>
  <c r="W13" i="196"/>
  <c r="Q40" i="196"/>
  <c r="Q29" i="196"/>
  <c r="Q43" i="196"/>
  <c r="Q46" i="196"/>
  <c r="Q33" i="196"/>
  <c r="Q47" i="196"/>
  <c r="Q30" i="196"/>
  <c r="Q48" i="196"/>
  <c r="Q41" i="196"/>
  <c r="Q44" i="196"/>
  <c r="Q52" i="196"/>
  <c r="Q45" i="196"/>
  <c r="Q22" i="196"/>
  <c r="Q51" i="196"/>
  <c r="Q49" i="196"/>
  <c r="Q31" i="196"/>
  <c r="Q50" i="196"/>
  <c r="W17" i="196"/>
  <c r="Q28" i="196"/>
  <c r="W28" i="196"/>
  <c r="F18" i="199"/>
  <c r="D18" i="199"/>
  <c r="K19" i="193"/>
  <c r="N19" i="193"/>
  <c r="P19" i="193" s="1"/>
  <c r="W47" i="196"/>
  <c r="Q19" i="196"/>
  <c r="Q14" i="196"/>
  <c r="W34" i="196"/>
  <c r="Q36" i="196"/>
  <c r="W52" i="196"/>
  <c r="Q13" i="196"/>
  <c r="V10" i="196"/>
  <c r="D42" i="200"/>
  <c r="Q44" i="193"/>
  <c r="W38" i="196"/>
  <c r="W27" i="196"/>
  <c r="W25" i="196"/>
  <c r="W15" i="196"/>
  <c r="W51" i="196"/>
  <c r="W11" i="196"/>
  <c r="W16" i="196"/>
  <c r="N53" i="196"/>
  <c r="G52" i="195"/>
  <c r="F17" i="199"/>
  <c r="D17" i="199"/>
  <c r="N18" i="193"/>
  <c r="P18" i="193" s="1"/>
  <c r="K18" i="193"/>
  <c r="D44" i="200"/>
  <c r="Q46" i="193"/>
  <c r="W30" i="196"/>
  <c r="W35" i="196"/>
  <c r="Q18" i="196"/>
  <c r="W29" i="196"/>
  <c r="W48" i="196"/>
  <c r="W19" i="196"/>
  <c r="W36" i="196"/>
  <c r="V43" i="196"/>
  <c r="Q11" i="196"/>
  <c r="Q16" i="196"/>
  <c r="W45" i="196"/>
  <c r="W50" i="196"/>
  <c r="Q37" i="196"/>
  <c r="Q25" i="196"/>
  <c r="W26" i="196"/>
  <c r="Q35" i="196"/>
  <c r="W33" i="196"/>
  <c r="Q17" i="196"/>
  <c r="W40" i="196"/>
  <c r="V22" i="196"/>
  <c r="W22" i="196" s="1"/>
  <c r="Q39" i="196"/>
  <c r="Q15" i="196"/>
  <c r="Q26" i="196"/>
  <c r="W14" i="196"/>
  <c r="D49" i="200"/>
  <c r="Q51" i="193"/>
  <c r="W49" i="196"/>
  <c r="W23" i="196"/>
  <c r="W46" i="196"/>
  <c r="W44" i="196"/>
  <c r="W37" i="196"/>
  <c r="Q38" i="196"/>
  <c r="AA13" i="196"/>
  <c r="AA52" i="196"/>
  <c r="AA16" i="196"/>
  <c r="AA23" i="196"/>
  <c r="AA25" i="196"/>
  <c r="AA14" i="196"/>
  <c r="AA35" i="196"/>
  <c r="AA50" i="196"/>
  <c r="AA47" i="196"/>
  <c r="AA15" i="196"/>
  <c r="AA46" i="196"/>
  <c r="AA36" i="196"/>
  <c r="AA37" i="196"/>
  <c r="AA34" i="196"/>
  <c r="AA44" i="196"/>
  <c r="AA45" i="196"/>
  <c r="AA49" i="196"/>
  <c r="AA24" i="196"/>
  <c r="AA18" i="196"/>
  <c r="AA11" i="196"/>
  <c r="AA30" i="196"/>
  <c r="AA26" i="196"/>
  <c r="AA48" i="196"/>
  <c r="AA12" i="196"/>
  <c r="AA38" i="196"/>
  <c r="AA29" i="196"/>
  <c r="AC39" i="196"/>
  <c r="AA51" i="196"/>
  <c r="AA17" i="196"/>
  <c r="AA28" i="196"/>
  <c r="AA39" i="196"/>
  <c r="AA27" i="196"/>
  <c r="AA19" i="196"/>
  <c r="H30" i="196" l="1"/>
  <c r="I30" i="196" s="1"/>
  <c r="H26" i="196"/>
  <c r="I26" i="196" s="1"/>
  <c r="H19" i="196"/>
  <c r="I19" i="196" s="1"/>
  <c r="H25" i="196"/>
  <c r="I25" i="196" s="1"/>
  <c r="Y46" i="193"/>
  <c r="S46" i="193"/>
  <c r="W43" i="196"/>
  <c r="H31" i="196"/>
  <c r="I31" i="196" s="1"/>
  <c r="H17" i="196"/>
  <c r="I17" i="196" s="1"/>
  <c r="H45" i="196"/>
  <c r="I45" i="196" s="1"/>
  <c r="Y44" i="193"/>
  <c r="S44" i="193"/>
  <c r="H15" i="196"/>
  <c r="I15" i="196" s="1"/>
  <c r="H51" i="196"/>
  <c r="I51" i="196" s="1"/>
  <c r="H49" i="196"/>
  <c r="I49" i="196" s="1"/>
  <c r="S51" i="193"/>
  <c r="Y51" i="193"/>
  <c r="M18" i="193"/>
  <c r="X18" i="193"/>
  <c r="H24" i="196"/>
  <c r="I24" i="196" s="1"/>
  <c r="H11" i="196"/>
  <c r="I11" i="196" s="1"/>
  <c r="H39" i="196"/>
  <c r="I39" i="196" s="1"/>
  <c r="H36" i="196"/>
  <c r="I36" i="196" s="1"/>
  <c r="H23" i="196"/>
  <c r="I23" i="196" s="1"/>
  <c r="V53" i="196"/>
  <c r="H41" i="196"/>
  <c r="I41" i="196" s="1"/>
  <c r="H28" i="196"/>
  <c r="I28" i="196" s="1"/>
  <c r="X19" i="193"/>
  <c r="M19" i="193"/>
  <c r="S49" i="193"/>
  <c r="Y49" i="193"/>
  <c r="H48" i="196"/>
  <c r="I48" i="196" s="1"/>
  <c r="H38" i="196"/>
  <c r="I38" i="196" s="1"/>
  <c r="H12" i="196"/>
  <c r="I12" i="196" s="1"/>
  <c r="H46" i="196"/>
  <c r="I46" i="196" s="1"/>
  <c r="H35" i="196"/>
  <c r="I35" i="196" s="1"/>
  <c r="H14" i="196"/>
  <c r="I14" i="196" s="1"/>
  <c r="H13" i="196"/>
  <c r="I13" i="196" s="1"/>
  <c r="H52" i="196"/>
  <c r="I52" i="196" s="1"/>
  <c r="H47" i="196"/>
  <c r="I47" i="196" s="1"/>
  <c r="H34" i="196"/>
  <c r="I34" i="196" s="1"/>
  <c r="H29" i="196"/>
  <c r="I29" i="196" s="1"/>
  <c r="H50" i="196"/>
  <c r="I50" i="196" s="1"/>
  <c r="U43" i="196"/>
  <c r="Q53" i="196"/>
  <c r="H18" i="196"/>
  <c r="I18" i="196" s="1"/>
  <c r="H16" i="196"/>
  <c r="I16" i="196" s="1"/>
  <c r="H44" i="196"/>
  <c r="I44" i="196" s="1"/>
  <c r="S52" i="193"/>
  <c r="Y52" i="193"/>
  <c r="H37" i="196"/>
  <c r="I37" i="196" s="1"/>
  <c r="H27" i="196"/>
  <c r="I27" i="196" s="1"/>
  <c r="T53" i="196"/>
  <c r="W10" i="196"/>
  <c r="AC38" i="196"/>
  <c r="AC28" i="196"/>
  <c r="AC36" i="196"/>
  <c r="AC18" i="196"/>
  <c r="AC51" i="196"/>
  <c r="AC13" i="196"/>
  <c r="AC26" i="196"/>
  <c r="AC46" i="196"/>
  <c r="AC11" i="196"/>
  <c r="AC29" i="196"/>
  <c r="AC19" i="196"/>
  <c r="AC15" i="196"/>
  <c r="AC17" i="196"/>
  <c r="AC16" i="196"/>
  <c r="AC49" i="196"/>
  <c r="AC45" i="196"/>
  <c r="AC44" i="196"/>
  <c r="AC47" i="196"/>
  <c r="AC48" i="196"/>
  <c r="AC52" i="196"/>
  <c r="AC35" i="196"/>
  <c r="AC14" i="196"/>
  <c r="AA40" i="196"/>
  <c r="AC30" i="196"/>
  <c r="AC34" i="196"/>
  <c r="AC24" i="196"/>
  <c r="AC25" i="196"/>
  <c r="AC12" i="196"/>
  <c r="AC50" i="196"/>
  <c r="AC23" i="196"/>
  <c r="AC27" i="196"/>
  <c r="I40" i="195"/>
  <c r="I43" i="195"/>
  <c r="I28" i="195"/>
  <c r="I48" i="195"/>
  <c r="I25" i="195"/>
  <c r="I11" i="195"/>
  <c r="I33" i="195"/>
  <c r="I35" i="195"/>
  <c r="I44" i="195"/>
  <c r="I24" i="195"/>
  <c r="I29" i="195"/>
  <c r="I26" i="195"/>
  <c r="I13" i="195"/>
  <c r="I34" i="195"/>
  <c r="I10" i="195"/>
  <c r="I37" i="195"/>
  <c r="I12" i="195"/>
  <c r="I46" i="195"/>
  <c r="I16" i="195"/>
  <c r="I49" i="195"/>
  <c r="I51" i="195"/>
  <c r="I27" i="195"/>
  <c r="I14" i="195"/>
  <c r="I38" i="195"/>
  <c r="I22" i="195"/>
  <c r="I17" i="195"/>
  <c r="I23" i="195"/>
  <c r="I50" i="195"/>
  <c r="I45" i="195"/>
  <c r="I47" i="195"/>
  <c r="I39" i="195"/>
  <c r="I18" i="195"/>
  <c r="I36" i="195"/>
  <c r="I15" i="195"/>
  <c r="I30" i="195"/>
  <c r="I42" i="195"/>
  <c r="I9" i="195"/>
  <c r="I21" i="195"/>
  <c r="I32" i="195"/>
  <c r="F30" i="195"/>
  <c r="F40" i="195"/>
  <c r="S41" i="196" l="1"/>
  <c r="S31" i="196"/>
  <c r="S24" i="196"/>
  <c r="S23" i="196"/>
  <c r="S15" i="196"/>
  <c r="S14" i="196"/>
  <c r="S35" i="196"/>
  <c r="S13" i="196"/>
  <c r="S48" i="196"/>
  <c r="S37" i="196"/>
  <c r="S28" i="196"/>
  <c r="S45" i="196"/>
  <c r="S36" i="196"/>
  <c r="S34" i="196"/>
  <c r="S11" i="196"/>
  <c r="S46" i="196"/>
  <c r="S39" i="196"/>
  <c r="S47" i="196"/>
  <c r="S49" i="196"/>
  <c r="S25" i="196"/>
  <c r="S44" i="196"/>
  <c r="S16" i="196"/>
  <c r="S51" i="196"/>
  <c r="S50" i="196"/>
  <c r="S18" i="196"/>
  <c r="S52" i="196"/>
  <c r="S19" i="196"/>
  <c r="S26" i="196"/>
  <c r="S12" i="196"/>
  <c r="S29" i="196"/>
  <c r="S38" i="196"/>
  <c r="S17" i="196"/>
  <c r="S30" i="196"/>
  <c r="S27" i="196"/>
  <c r="S40" i="196"/>
  <c r="S22" i="196"/>
  <c r="S33" i="196"/>
  <c r="U40" i="196"/>
  <c r="U41" i="196"/>
  <c r="U31" i="196"/>
  <c r="U39" i="196"/>
  <c r="U33" i="196"/>
  <c r="U28" i="196"/>
  <c r="U34" i="196"/>
  <c r="U27" i="196"/>
  <c r="U36" i="196"/>
  <c r="U23" i="196"/>
  <c r="U24" i="196"/>
  <c r="U13" i="196"/>
  <c r="U35" i="196"/>
  <c r="U25" i="196"/>
  <c r="U26" i="196"/>
  <c r="U46" i="196"/>
  <c r="U52" i="196"/>
  <c r="U12" i="196"/>
  <c r="U15" i="196"/>
  <c r="U44" i="196"/>
  <c r="U29" i="196"/>
  <c r="U14" i="196"/>
  <c r="U51" i="196"/>
  <c r="U37" i="196"/>
  <c r="U45" i="196"/>
  <c r="U47" i="196"/>
  <c r="U48" i="196"/>
  <c r="U17" i="196"/>
  <c r="U11" i="196"/>
  <c r="U50" i="196"/>
  <c r="U18" i="196"/>
  <c r="U38" i="196"/>
  <c r="U19" i="196"/>
  <c r="U49" i="196"/>
  <c r="U16" i="196"/>
  <c r="U30" i="196"/>
  <c r="H22" i="196"/>
  <c r="I22" i="196" s="1"/>
  <c r="H33" i="196"/>
  <c r="I33" i="196" s="1"/>
  <c r="H43" i="196"/>
  <c r="I43" i="196" s="1"/>
  <c r="U22" i="196"/>
  <c r="H10" i="196"/>
  <c r="F49" i="195"/>
  <c r="F51" i="195"/>
  <c r="I52" i="195"/>
  <c r="S43" i="196"/>
  <c r="D33" i="194"/>
  <c r="D30" i="194"/>
  <c r="D29" i="194"/>
  <c r="D28" i="194"/>
  <c r="D31" i="194"/>
  <c r="D32" i="194"/>
  <c r="D24" i="194"/>
  <c r="D25" i="194"/>
  <c r="D22" i="194"/>
  <c r="D23" i="194"/>
  <c r="D26" i="194"/>
  <c r="F50" i="195"/>
  <c r="W53" i="196"/>
  <c r="X10" i="196" s="1"/>
  <c r="S10" i="196"/>
  <c r="U10" i="196"/>
  <c r="G50" i="195"/>
  <c r="AC37" i="196"/>
  <c r="F18" i="195"/>
  <c r="G49" i="195"/>
  <c r="G51" i="195"/>
  <c r="F17" i="195"/>
  <c r="U53" i="196" l="1"/>
  <c r="F22" i="195"/>
  <c r="Y24" i="196"/>
  <c r="AD24" i="196" s="1"/>
  <c r="Y15" i="196"/>
  <c r="AD15" i="196" s="1"/>
  <c r="Y51" i="196"/>
  <c r="AD51" i="196" s="1"/>
  <c r="Y39" i="196"/>
  <c r="AD39" i="196" s="1"/>
  <c r="Y34" i="196"/>
  <c r="AD34" i="196" s="1"/>
  <c r="F37" i="195"/>
  <c r="AC33" i="196"/>
  <c r="F11" i="195"/>
  <c r="AA33" i="196"/>
  <c r="AC43" i="196"/>
  <c r="F39" i="195"/>
  <c r="AA10" i="196"/>
  <c r="F35" i="195"/>
  <c r="AA43" i="196"/>
  <c r="F28" i="195"/>
  <c r="Y50" i="196"/>
  <c r="AD50" i="196" s="1"/>
  <c r="Y49" i="196"/>
  <c r="AD49" i="196" s="1"/>
  <c r="Y25" i="196"/>
  <c r="AD25" i="196" s="1"/>
  <c r="F46" i="195"/>
  <c r="F26" i="195"/>
  <c r="Y44" i="196"/>
  <c r="AD44" i="196" s="1"/>
  <c r="F12" i="195"/>
  <c r="F36" i="195"/>
  <c r="S53" i="196"/>
  <c r="F33" i="195"/>
  <c r="Y40" i="196"/>
  <c r="AD40" i="196" s="1"/>
  <c r="Y35" i="196"/>
  <c r="AD35" i="196" s="1"/>
  <c r="Y37" i="196"/>
  <c r="AD37" i="196" s="1"/>
  <c r="F14" i="195"/>
  <c r="F47" i="195"/>
  <c r="Y23" i="196"/>
  <c r="AD23" i="196" s="1"/>
  <c r="F42" i="195"/>
  <c r="Y30" i="196"/>
  <c r="AD30" i="196" s="1"/>
  <c r="Y38" i="196"/>
  <c r="AD38" i="196" s="1"/>
  <c r="Y16" i="196"/>
  <c r="AD16" i="196" s="1"/>
  <c r="Y19" i="196"/>
  <c r="AD19" i="196" s="1"/>
  <c r="F32" i="195"/>
  <c r="F48" i="195"/>
  <c r="AC10" i="196"/>
  <c r="Y12" i="196"/>
  <c r="AD12" i="196" s="1"/>
  <c r="H53" i="196"/>
  <c r="J43" i="196" s="1"/>
  <c r="I10" i="196"/>
  <c r="F15" i="195"/>
  <c r="Y27" i="196"/>
  <c r="AD27" i="196" s="1"/>
  <c r="F23" i="195"/>
  <c r="X43" i="196"/>
  <c r="Y28" i="196"/>
  <c r="AD28" i="196" s="1"/>
  <c r="F27" i="195"/>
  <c r="Y47" i="196"/>
  <c r="AD47" i="196" s="1"/>
  <c r="Y29" i="196"/>
  <c r="AD29" i="196" s="1"/>
  <c r="Y14" i="196"/>
  <c r="AD14" i="196" s="1"/>
  <c r="F25" i="195"/>
  <c r="F10" i="195"/>
  <c r="Y18" i="196"/>
  <c r="AD18" i="196" s="1"/>
  <c r="F9" i="195"/>
  <c r="F43" i="195"/>
  <c r="F21" i="195"/>
  <c r="Y26" i="196"/>
  <c r="AD26" i="196" s="1"/>
  <c r="Y52" i="196"/>
  <c r="AD52" i="196" s="1"/>
  <c r="AA22" i="196"/>
  <c r="Y45" i="196"/>
  <c r="AD45" i="196" s="1"/>
  <c r="Y46" i="196"/>
  <c r="AD46" i="196" s="1"/>
  <c r="Y13" i="196"/>
  <c r="AD13" i="196" s="1"/>
  <c r="Y17" i="196"/>
  <c r="AD17" i="196" s="1"/>
  <c r="Y48" i="196"/>
  <c r="AD48" i="196" s="1"/>
  <c r="Y36" i="196"/>
  <c r="AD36" i="196" s="1"/>
  <c r="AC22" i="196"/>
  <c r="F34" i="195"/>
  <c r="F29" i="195"/>
  <c r="F13" i="195"/>
  <c r="X41" i="196"/>
  <c r="X31" i="196"/>
  <c r="X39" i="196"/>
  <c r="X18" i="196"/>
  <c r="X50" i="196"/>
  <c r="X45" i="196"/>
  <c r="X35" i="196"/>
  <c r="X34" i="196"/>
  <c r="X44" i="196"/>
  <c r="X13" i="196"/>
  <c r="X28" i="196"/>
  <c r="X33" i="196"/>
  <c r="X24" i="196"/>
  <c r="X11" i="196"/>
  <c r="X15" i="196"/>
  <c r="X17" i="196"/>
  <c r="X12" i="196"/>
  <c r="X48" i="196"/>
  <c r="X46" i="196"/>
  <c r="X47" i="196"/>
  <c r="X37" i="196"/>
  <c r="X52" i="196"/>
  <c r="X26" i="196"/>
  <c r="X49" i="196"/>
  <c r="X22" i="196"/>
  <c r="X14" i="196"/>
  <c r="X23" i="196"/>
  <c r="X30" i="196"/>
  <c r="X19" i="196"/>
  <c r="X51" i="196"/>
  <c r="X29" i="196"/>
  <c r="X25" i="196"/>
  <c r="X36" i="196"/>
  <c r="X16" i="196"/>
  <c r="X38" i="196"/>
  <c r="X40" i="196"/>
  <c r="X27" i="196"/>
  <c r="F38" i="195"/>
  <c r="F45" i="195"/>
  <c r="Y11" i="196"/>
  <c r="AD11" i="196" s="1"/>
  <c r="F16" i="195"/>
  <c r="F44" i="195"/>
  <c r="F24" i="195"/>
  <c r="Y22" i="196"/>
  <c r="Y33" i="196"/>
  <c r="Y43" i="196"/>
  <c r="Y10" i="196"/>
  <c r="AD43" i="196" l="1"/>
  <c r="X53" i="196"/>
  <c r="I53" i="196"/>
  <c r="J10" i="196"/>
  <c r="J40" i="196"/>
  <c r="J16" i="196"/>
  <c r="J14" i="196"/>
  <c r="J12" i="196"/>
  <c r="J45" i="196"/>
  <c r="J17" i="196"/>
  <c r="J28" i="196"/>
  <c r="J23" i="196"/>
  <c r="J30" i="196"/>
  <c r="J51" i="196"/>
  <c r="J49" i="196"/>
  <c r="J24" i="196"/>
  <c r="J19" i="196"/>
  <c r="J15" i="196"/>
  <c r="J26" i="196"/>
  <c r="J48" i="196"/>
  <c r="J34" i="196"/>
  <c r="J44" i="196"/>
  <c r="J47" i="196"/>
  <c r="J29" i="196"/>
  <c r="J25" i="196"/>
  <c r="J35" i="196"/>
  <c r="J46" i="196"/>
  <c r="J18" i="196"/>
  <c r="J38" i="196"/>
  <c r="J11" i="196"/>
  <c r="J50" i="196"/>
  <c r="J37" i="196"/>
  <c r="J13" i="196"/>
  <c r="J39" i="196"/>
  <c r="J31" i="196"/>
  <c r="J27" i="196"/>
  <c r="J52" i="196"/>
  <c r="J36" i="196"/>
  <c r="J41" i="196"/>
  <c r="J22" i="196"/>
  <c r="G40" i="196"/>
  <c r="G48" i="196"/>
  <c r="G35" i="196"/>
  <c r="G34" i="196"/>
  <c r="G17" i="196"/>
  <c r="G39" i="196"/>
  <c r="G15" i="196"/>
  <c r="G38" i="196"/>
  <c r="G13" i="196"/>
  <c r="G29" i="196"/>
  <c r="G30" i="196"/>
  <c r="G45" i="196"/>
  <c r="G36" i="196"/>
  <c r="G37" i="196"/>
  <c r="G51" i="196"/>
  <c r="G41" i="196"/>
  <c r="G18" i="196"/>
  <c r="G12" i="196"/>
  <c r="G52" i="196"/>
  <c r="G50" i="196"/>
  <c r="G24" i="196"/>
  <c r="G23" i="196"/>
  <c r="G14" i="196"/>
  <c r="G27" i="196"/>
  <c r="G26" i="196"/>
  <c r="G19" i="196"/>
  <c r="G49" i="196"/>
  <c r="G28" i="196"/>
  <c r="G16" i="196"/>
  <c r="G46" i="196"/>
  <c r="G47" i="196"/>
  <c r="G25" i="196"/>
  <c r="G31" i="196"/>
  <c r="G11" i="196"/>
  <c r="G44" i="196"/>
  <c r="G22" i="196"/>
  <c r="G33" i="196"/>
  <c r="G43" i="196"/>
  <c r="G10" i="196"/>
  <c r="AD22" i="196"/>
  <c r="AC53" i="196"/>
  <c r="AB22" i="196" s="1"/>
  <c r="AB10" i="196"/>
  <c r="AA53" i="196"/>
  <c r="Z22" i="196" s="1"/>
  <c r="Z10" i="196"/>
  <c r="AD33" i="196"/>
  <c r="Y53" i="196"/>
  <c r="AD10" i="196"/>
  <c r="J33" i="196"/>
  <c r="F52" i="195"/>
  <c r="J21" i="195"/>
  <c r="J34" i="195"/>
  <c r="J14" i="195"/>
  <c r="J15" i="195"/>
  <c r="J40" i="195"/>
  <c r="J35" i="195"/>
  <c r="J45" i="195"/>
  <c r="J46" i="195"/>
  <c r="J27" i="195"/>
  <c r="J12" i="195"/>
  <c r="J33" i="195"/>
  <c r="J16" i="195"/>
  <c r="J36" i="195"/>
  <c r="J11" i="195"/>
  <c r="J25" i="195"/>
  <c r="J37" i="195"/>
  <c r="J22" i="195"/>
  <c r="J24" i="195"/>
  <c r="J10" i="195"/>
  <c r="J49" i="195"/>
  <c r="J26" i="195"/>
  <c r="J29" i="195"/>
  <c r="J17" i="195"/>
  <c r="J28" i="195"/>
  <c r="J38" i="195"/>
  <c r="J18" i="195"/>
  <c r="J48" i="195"/>
  <c r="J23" i="195"/>
  <c r="J50" i="195"/>
  <c r="J39" i="195"/>
  <c r="J44" i="195"/>
  <c r="J51" i="195"/>
  <c r="J47" i="195"/>
  <c r="J43" i="195"/>
  <c r="J13" i="195"/>
  <c r="J30" i="195"/>
  <c r="J42" i="195"/>
  <c r="J9" i="195"/>
  <c r="J32" i="195"/>
  <c r="J52" i="195" l="1"/>
  <c r="AD53" i="196"/>
  <c r="AE10" i="196" s="1"/>
  <c r="Z33" i="196"/>
  <c r="D16" i="194"/>
  <c r="D19" i="194"/>
  <c r="D14" i="194"/>
  <c r="D15" i="194"/>
  <c r="D17" i="194"/>
  <c r="D18" i="194"/>
  <c r="D11" i="194"/>
  <c r="D10" i="194"/>
  <c r="D8" i="194"/>
  <c r="D9" i="194"/>
  <c r="AB40" i="196"/>
  <c r="AB41" i="196"/>
  <c r="AB31" i="196"/>
  <c r="AB39" i="196"/>
  <c r="AB45" i="196"/>
  <c r="AB13" i="196"/>
  <c r="AB51" i="196"/>
  <c r="AB49" i="196"/>
  <c r="AB17" i="196"/>
  <c r="AB11" i="196"/>
  <c r="AB46" i="196"/>
  <c r="AB25" i="196"/>
  <c r="AB38" i="196"/>
  <c r="AB14" i="196"/>
  <c r="AB28" i="196"/>
  <c r="AB47" i="196"/>
  <c r="AB24" i="196"/>
  <c r="AB29" i="196"/>
  <c r="AB34" i="196"/>
  <c r="AB23" i="196"/>
  <c r="AB15" i="196"/>
  <c r="AB44" i="196"/>
  <c r="AB36" i="196"/>
  <c r="AB12" i="196"/>
  <c r="AB50" i="196"/>
  <c r="AB48" i="196"/>
  <c r="AB27" i="196"/>
  <c r="AB30" i="196"/>
  <c r="AB19" i="196"/>
  <c r="AB26" i="196"/>
  <c r="AB35" i="196"/>
  <c r="AB18" i="196"/>
  <c r="AB16" i="196"/>
  <c r="AB52" i="196"/>
  <c r="AB37" i="196"/>
  <c r="Z43" i="196"/>
  <c r="AE22" i="196"/>
  <c r="J53" i="196"/>
  <c r="D43" i="200"/>
  <c r="Q45" i="193"/>
  <c r="Y45" i="193" s="1"/>
  <c r="AB33" i="196"/>
  <c r="G53" i="196"/>
  <c r="AE33" i="196"/>
  <c r="AB43" i="196"/>
  <c r="Z41" i="196"/>
  <c r="Z31" i="196"/>
  <c r="Z37" i="196"/>
  <c r="Z13" i="196"/>
  <c r="Z26" i="196"/>
  <c r="Z23" i="196"/>
  <c r="Z35" i="196"/>
  <c r="Z16" i="196"/>
  <c r="Z17" i="196"/>
  <c r="Z11" i="196"/>
  <c r="Z15" i="196"/>
  <c r="Z29" i="196"/>
  <c r="Z36" i="196"/>
  <c r="Z48" i="196"/>
  <c r="Z46" i="196"/>
  <c r="Z50" i="196"/>
  <c r="Z18" i="196"/>
  <c r="Z39" i="196"/>
  <c r="Z52" i="196"/>
  <c r="Z45" i="196"/>
  <c r="Z38" i="196"/>
  <c r="Z51" i="196"/>
  <c r="Z24" i="196"/>
  <c r="Z49" i="196"/>
  <c r="Z28" i="196"/>
  <c r="Z44" i="196"/>
  <c r="Z25" i="196"/>
  <c r="Z27" i="196"/>
  <c r="Z47" i="196"/>
  <c r="Z19" i="196"/>
  <c r="Z12" i="196"/>
  <c r="Z34" i="196"/>
  <c r="Z30" i="196"/>
  <c r="Z14" i="196"/>
  <c r="Z40" i="196"/>
  <c r="D12" i="194"/>
  <c r="Z53" i="196" l="1"/>
  <c r="AB53" i="196"/>
  <c r="D15" i="200"/>
  <c r="Q17" i="193"/>
  <c r="Y17" i="193" s="1"/>
  <c r="Q18" i="193"/>
  <c r="D16" i="200"/>
  <c r="Q16" i="193"/>
  <c r="Y16" i="193" s="1"/>
  <c r="D14" i="200"/>
  <c r="AE31" i="196"/>
  <c r="AE41" i="196"/>
  <c r="AE19" i="196"/>
  <c r="AE36" i="196"/>
  <c r="AE23" i="196"/>
  <c r="AE39" i="196"/>
  <c r="AE48" i="196"/>
  <c r="AE46" i="196"/>
  <c r="AE52" i="196"/>
  <c r="AE24" i="196"/>
  <c r="AE29" i="196"/>
  <c r="AE28" i="196"/>
  <c r="AE27" i="196"/>
  <c r="AE51" i="196"/>
  <c r="AE12" i="196"/>
  <c r="AE43" i="196"/>
  <c r="AE13" i="196"/>
  <c r="AE38" i="196"/>
  <c r="AE11" i="196"/>
  <c r="AE17" i="196"/>
  <c r="AE40" i="196"/>
  <c r="AE35" i="196"/>
  <c r="AE15" i="196"/>
  <c r="AE49" i="196"/>
  <c r="AE26" i="196"/>
  <c r="AE34" i="196"/>
  <c r="AE18" i="196"/>
  <c r="AE50" i="196"/>
  <c r="AE14" i="196"/>
  <c r="AE16" i="196"/>
  <c r="AE45" i="196"/>
  <c r="AE30" i="196"/>
  <c r="AE44" i="196"/>
  <c r="AE47" i="196"/>
  <c r="AE25" i="196"/>
  <c r="AE37" i="196"/>
  <c r="D10" i="200"/>
  <c r="Q12" i="193"/>
  <c r="Y12" i="193" s="1"/>
  <c r="AE53" i="196" l="1"/>
  <c r="D26" i="200"/>
  <c r="Q28" i="193"/>
  <c r="Y28" i="193" s="1"/>
  <c r="D11" i="200"/>
  <c r="Q13" i="193"/>
  <c r="Y13" i="193" s="1"/>
  <c r="Q39" i="193"/>
  <c r="Y39" i="193" s="1"/>
  <c r="D37" i="200"/>
  <c r="Q24" i="193"/>
  <c r="Y24" i="193" s="1"/>
  <c r="D22" i="200"/>
  <c r="Q11" i="193"/>
  <c r="Y11" i="193" s="1"/>
  <c r="D9" i="200"/>
  <c r="D41" i="200"/>
  <c r="Q43" i="193"/>
  <c r="Y43" i="193" s="1"/>
  <c r="Q50" i="193"/>
  <c r="Y50" i="193" s="1"/>
  <c r="D48" i="200"/>
  <c r="Q34" i="193"/>
  <c r="Y34" i="193" s="1"/>
  <c r="D32" i="200"/>
  <c r="D8" i="200"/>
  <c r="Q10" i="193"/>
  <c r="D33" i="200"/>
  <c r="Q35" i="193"/>
  <c r="Y35" i="193" s="1"/>
  <c r="Q15" i="193"/>
  <c r="Y15" i="193" s="1"/>
  <c r="D13" i="200"/>
  <c r="D17" i="200"/>
  <c r="Q19" i="193"/>
  <c r="Y18" i="193"/>
  <c r="S18" i="193"/>
  <c r="D45" i="200"/>
  <c r="Q47" i="193"/>
  <c r="Y47" i="193" s="1"/>
  <c r="Q37" i="193"/>
  <c r="Y37" i="193" s="1"/>
  <c r="D35" i="200"/>
  <c r="D25" i="200"/>
  <c r="Q27" i="193"/>
  <c r="Y27" i="193" s="1"/>
  <c r="D21" i="200"/>
  <c r="Q23" i="193"/>
  <c r="D29" i="200"/>
  <c r="Q31" i="193"/>
  <c r="D23" i="200"/>
  <c r="Q25" i="193"/>
  <c r="Y25" i="193" s="1"/>
  <c r="D38" i="200"/>
  <c r="Q40" i="193"/>
  <c r="Q36" i="193"/>
  <c r="D34" i="200"/>
  <c r="D27" i="200"/>
  <c r="Q29" i="193"/>
  <c r="Y29" i="193" s="1"/>
  <c r="Q41" i="193"/>
  <c r="Y41" i="193" s="1"/>
  <c r="D39" i="200"/>
  <c r="D46" i="200"/>
  <c r="Q48" i="193"/>
  <c r="Y48" i="193" s="1"/>
  <c r="D36" i="200"/>
  <c r="Q38" i="193"/>
  <c r="Y38" i="193" s="1"/>
  <c r="Q33" i="193"/>
  <c r="Y33" i="193" s="1"/>
  <c r="D31" i="200"/>
  <c r="D12" i="200"/>
  <c r="Q14" i="193"/>
  <c r="Y14" i="193" s="1"/>
  <c r="Q22" i="193" l="1"/>
  <c r="Y22" i="193" s="1"/>
  <c r="D20" i="200"/>
  <c r="Y31" i="193"/>
  <c r="S31" i="193"/>
  <c r="Y23" i="193"/>
  <c r="S23" i="193"/>
  <c r="S19" i="193"/>
  <c r="Y19" i="193"/>
  <c r="D24" i="200"/>
  <c r="D51" i="200" s="1"/>
  <c r="Q26" i="193"/>
  <c r="Y26" i="193" s="1"/>
  <c r="S36" i="193"/>
  <c r="Y36" i="193"/>
  <c r="Y40" i="193"/>
  <c r="S40" i="193"/>
  <c r="Y10" i="193"/>
  <c r="E52" i="195"/>
  <c r="Q30" i="193"/>
  <c r="D28" i="200"/>
  <c r="Q53" i="193" l="1"/>
  <c r="Y30" i="193"/>
  <c r="Y53" i="193" s="1"/>
  <c r="S30" i="193"/>
  <c r="O468" i="237" l="1"/>
  <c r="O120" i="229"/>
  <c r="N120" i="229"/>
  <c r="N468" i="237"/>
  <c r="P468" i="237"/>
  <c r="P120" i="229"/>
  <c r="E120" i="229"/>
  <c r="E468" i="237"/>
  <c r="J468" i="237"/>
  <c r="J120" i="229"/>
  <c r="K468" i="237"/>
  <c r="K120" i="229"/>
  <c r="G468" i="237"/>
  <c r="G120" i="229"/>
  <c r="L468" i="237"/>
  <c r="L120" i="229"/>
  <c r="F468" i="237"/>
  <c r="F120" i="229"/>
  <c r="M468" i="237"/>
  <c r="M120" i="229"/>
  <c r="H120" i="229"/>
  <c r="H468" i="237"/>
  <c r="I120" i="229"/>
  <c r="I468" i="237"/>
  <c r="I121" i="237" l="1"/>
  <c r="I140" i="237" s="1"/>
  <c r="I487" i="237"/>
  <c r="O121" i="132"/>
  <c r="O140" i="132" s="1"/>
  <c r="K139" i="229"/>
  <c r="M121" i="132"/>
  <c r="M140" i="132" s="1"/>
  <c r="I139" i="229"/>
  <c r="K121" i="237"/>
  <c r="K140" i="237" s="1"/>
  <c r="K487" i="237"/>
  <c r="H139" i="229"/>
  <c r="L121" i="132"/>
  <c r="L140" i="132" s="1"/>
  <c r="J121" i="237"/>
  <c r="J140" i="237" s="1"/>
  <c r="J487" i="237"/>
  <c r="Q468" i="237"/>
  <c r="L462" i="234" s="1"/>
  <c r="E487" i="237"/>
  <c r="E121" i="237"/>
  <c r="M121" i="237"/>
  <c r="M140" i="237" s="1"/>
  <c r="M487" i="237"/>
  <c r="Q120" i="229"/>
  <c r="L121" i="226" s="1"/>
  <c r="L140" i="226" s="1"/>
  <c r="I121" i="132"/>
  <c r="E139" i="229"/>
  <c r="H121" i="237"/>
  <c r="H140" i="237" s="1"/>
  <c r="H487" i="237"/>
  <c r="J121" i="132"/>
  <c r="J140" i="132" s="1"/>
  <c r="F139" i="229"/>
  <c r="T121" i="132"/>
  <c r="T140" i="132" s="1"/>
  <c r="P139" i="229"/>
  <c r="N121" i="132"/>
  <c r="N140" i="132" s="1"/>
  <c r="J139" i="229"/>
  <c r="F487" i="237"/>
  <c r="F121" i="237"/>
  <c r="F140" i="237" s="1"/>
  <c r="P121" i="237"/>
  <c r="P140" i="237" s="1"/>
  <c r="P487" i="237"/>
  <c r="L139" i="229"/>
  <c r="P121" i="132"/>
  <c r="P140" i="132" s="1"/>
  <c r="N121" i="237"/>
  <c r="N140" i="237" s="1"/>
  <c r="N487" i="237"/>
  <c r="M139" i="229"/>
  <c r="Q121" i="132"/>
  <c r="Q140" i="132" s="1"/>
  <c r="L121" i="237"/>
  <c r="L140" i="237" s="1"/>
  <c r="L487" i="237"/>
  <c r="N139" i="229"/>
  <c r="R121" i="132"/>
  <c r="R140" i="132" s="1"/>
  <c r="G139" i="229"/>
  <c r="K121" i="132"/>
  <c r="K140" i="132" s="1"/>
  <c r="S121" i="132"/>
  <c r="S140" i="132" s="1"/>
  <c r="O139" i="229"/>
  <c r="G121" i="237"/>
  <c r="G140" i="237" s="1"/>
  <c r="G487" i="237"/>
  <c r="O487" i="237"/>
  <c r="O121" i="237"/>
  <c r="O140" i="237" s="1"/>
  <c r="Q139" i="229" l="1"/>
  <c r="U121" i="132"/>
  <c r="L120" i="124" s="1"/>
  <c r="I140" i="132"/>
  <c r="Q121" i="237"/>
  <c r="L121" i="234" s="1"/>
  <c r="E140" i="237"/>
  <c r="Q487" i="237"/>
  <c r="Q140" i="237" l="1"/>
  <c r="L140" i="234" s="1"/>
  <c r="U140" i="132"/>
  <c r="L481" i="234"/>
  <c r="L139" i="124" l="1"/>
  <c r="E85" i="243" l="1"/>
  <c r="E110" i="243" l="1"/>
  <c r="F85" i="243"/>
  <c r="E88" i="243"/>
  <c r="F110" i="243" l="1"/>
  <c r="E87" i="243"/>
  <c r="E89" i="243"/>
  <c r="F88" i="243"/>
  <c r="F87" i="243" s="1"/>
  <c r="G85" i="243"/>
  <c r="R22" i="193" l="1"/>
  <c r="S22" i="193" s="1"/>
  <c r="O22" i="193"/>
  <c r="P22" i="193" s="1"/>
  <c r="L22" i="193"/>
  <c r="M22" i="193" s="1"/>
  <c r="F22" i="193"/>
  <c r="E20" i="197"/>
  <c r="O28" i="193"/>
  <c r="P28" i="193" s="1"/>
  <c r="F28" i="193"/>
  <c r="L28" i="193"/>
  <c r="M28" i="193" s="1"/>
  <c r="E26" i="197"/>
  <c r="R28" i="193"/>
  <c r="S28" i="193" s="1"/>
  <c r="R45" i="193"/>
  <c r="S45" i="193" s="1"/>
  <c r="L45" i="193"/>
  <c r="M45" i="193" s="1"/>
  <c r="O45" i="193"/>
  <c r="P45" i="193" s="1"/>
  <c r="E43" i="197"/>
  <c r="F45" i="193"/>
  <c r="E8" i="197"/>
  <c r="F10" i="193"/>
  <c r="R10" i="193"/>
  <c r="O10" i="193"/>
  <c r="L10" i="193"/>
  <c r="E25" i="197"/>
  <c r="L27" i="193"/>
  <c r="M27" i="193" s="1"/>
  <c r="F27" i="193"/>
  <c r="R27" i="193"/>
  <c r="S27" i="193" s="1"/>
  <c r="O27" i="193"/>
  <c r="P27" i="193" s="1"/>
  <c r="L41" i="193"/>
  <c r="M41" i="193" s="1"/>
  <c r="E39" i="197"/>
  <c r="F41" i="193"/>
  <c r="R41" i="193"/>
  <c r="S41" i="193" s="1"/>
  <c r="O41" i="193"/>
  <c r="P41" i="193" s="1"/>
  <c r="E15" i="197"/>
  <c r="O17" i="193"/>
  <c r="F17" i="193"/>
  <c r="L17" i="193"/>
  <c r="R17" i="193"/>
  <c r="S17" i="193" s="1"/>
  <c r="E14" i="197"/>
  <c r="F16" i="193"/>
  <c r="O16" i="193"/>
  <c r="L16" i="193"/>
  <c r="R16" i="193"/>
  <c r="S16" i="193" s="1"/>
  <c r="F15" i="193"/>
  <c r="R15" i="193"/>
  <c r="S15" i="193" s="1"/>
  <c r="E13" i="197"/>
  <c r="O15" i="193"/>
  <c r="L15" i="193"/>
  <c r="R37" i="193"/>
  <c r="S37" i="193" s="1"/>
  <c r="F37" i="193"/>
  <c r="O37" i="193"/>
  <c r="P37" i="193" s="1"/>
  <c r="L37" i="193"/>
  <c r="M37" i="193" s="1"/>
  <c r="E35" i="197"/>
  <c r="L33" i="193"/>
  <c r="M33" i="193" s="1"/>
  <c r="E31" i="197"/>
  <c r="F33" i="193"/>
  <c r="R33" i="193"/>
  <c r="S33" i="193" s="1"/>
  <c r="O33" i="193"/>
  <c r="P33" i="193" s="1"/>
  <c r="E23" i="197"/>
  <c r="F25" i="193"/>
  <c r="O25" i="193"/>
  <c r="P25" i="193" s="1"/>
  <c r="L25" i="193"/>
  <c r="M25" i="193" s="1"/>
  <c r="R25" i="193"/>
  <c r="S25" i="193" s="1"/>
  <c r="F29" i="193"/>
  <c r="R29" i="193"/>
  <c r="S29" i="193" s="1"/>
  <c r="E27" i="197"/>
  <c r="O29" i="193"/>
  <c r="P29" i="193" s="1"/>
  <c r="L29" i="193"/>
  <c r="M29" i="193" s="1"/>
  <c r="E24" i="197"/>
  <c r="F26" i="193"/>
  <c r="O26" i="193"/>
  <c r="P26" i="193" s="1"/>
  <c r="L26" i="193"/>
  <c r="M26" i="193" s="1"/>
  <c r="R26" i="193"/>
  <c r="S26" i="193" s="1"/>
  <c r="E9" i="197"/>
  <c r="L11" i="193"/>
  <c r="R11" i="193"/>
  <c r="S11" i="193" s="1"/>
  <c r="F11" i="193"/>
  <c r="O11" i="193"/>
  <c r="E22" i="197"/>
  <c r="F24" i="193"/>
  <c r="R24" i="193"/>
  <c r="S24" i="193" s="1"/>
  <c r="O24" i="193"/>
  <c r="P24" i="193" s="1"/>
  <c r="L24" i="193"/>
  <c r="M24" i="193" s="1"/>
  <c r="F14" i="193"/>
  <c r="O14" i="193"/>
  <c r="L14" i="193"/>
  <c r="R14" i="193"/>
  <c r="S14" i="193" s="1"/>
  <c r="E12" i="197"/>
  <c r="E112" i="243"/>
  <c r="R39" i="193"/>
  <c r="S39" i="193" s="1"/>
  <c r="E37" i="197"/>
  <c r="F39" i="193"/>
  <c r="O39" i="193"/>
  <c r="P39" i="193" s="1"/>
  <c r="L39" i="193"/>
  <c r="M39" i="193" s="1"/>
  <c r="F34" i="193"/>
  <c r="L34" i="193"/>
  <c r="M34" i="193" s="1"/>
  <c r="E32" i="197"/>
  <c r="O34" i="193"/>
  <c r="P34" i="193" s="1"/>
  <c r="R34" i="193"/>
  <c r="S34" i="193" s="1"/>
  <c r="R38" i="193"/>
  <c r="S38" i="193" s="1"/>
  <c r="L38" i="193"/>
  <c r="M38" i="193" s="1"/>
  <c r="E36" i="197"/>
  <c r="O38" i="193"/>
  <c r="P38" i="193" s="1"/>
  <c r="F38" i="193"/>
  <c r="R43" i="193"/>
  <c r="S43" i="193" s="1"/>
  <c r="O43" i="193"/>
  <c r="P43" i="193" s="1"/>
  <c r="E41" i="197"/>
  <c r="L43" i="193"/>
  <c r="M43" i="193" s="1"/>
  <c r="F43" i="193"/>
  <c r="E11" i="197"/>
  <c r="F13" i="193"/>
  <c r="O13" i="193"/>
  <c r="L13" i="193"/>
  <c r="R13" i="193"/>
  <c r="S13" i="193" s="1"/>
  <c r="L47" i="193"/>
  <c r="M47" i="193" s="1"/>
  <c r="F47" i="193"/>
  <c r="O47" i="193"/>
  <c r="P47" i="193" s="1"/>
  <c r="R47" i="193"/>
  <c r="S47" i="193" s="1"/>
  <c r="E45" i="197"/>
  <c r="L12" i="193"/>
  <c r="E10" i="197"/>
  <c r="F12" i="193"/>
  <c r="R12" i="193"/>
  <c r="S12" i="193" s="1"/>
  <c r="O12" i="193"/>
  <c r="R48" i="193"/>
  <c r="S48" i="193" s="1"/>
  <c r="F48" i="193"/>
  <c r="O48" i="193"/>
  <c r="P48" i="193" s="1"/>
  <c r="L48" i="193"/>
  <c r="M48" i="193" s="1"/>
  <c r="E46" i="197"/>
  <c r="F89" i="243"/>
  <c r="F112" i="243" s="1"/>
  <c r="F113" i="243" s="1"/>
  <c r="F114" i="243" s="1"/>
  <c r="G110" i="243"/>
  <c r="L35" i="193"/>
  <c r="M35" i="193" s="1"/>
  <c r="O35" i="193"/>
  <c r="P35" i="193" s="1"/>
  <c r="E33" i="197"/>
  <c r="F35" i="193"/>
  <c r="R35" i="193"/>
  <c r="S35" i="193" s="1"/>
  <c r="F50" i="193"/>
  <c r="E48" i="197"/>
  <c r="L50" i="193"/>
  <c r="M50" i="193" s="1"/>
  <c r="R50" i="193"/>
  <c r="S50" i="193" s="1"/>
  <c r="O50" i="193"/>
  <c r="P50" i="193" s="1"/>
  <c r="G88" i="243"/>
  <c r="G87" i="243" s="1"/>
  <c r="H85" i="243"/>
  <c r="G89" i="243" l="1"/>
  <c r="G112" i="243" s="1"/>
  <c r="G113" i="243" s="1"/>
  <c r="G114" i="243" s="1"/>
  <c r="O53" i="193"/>
  <c r="R53" i="193"/>
  <c r="S53" i="193" s="1"/>
  <c r="S10" i="193"/>
  <c r="L53" i="193"/>
  <c r="F53" i="193"/>
  <c r="E51" i="197"/>
  <c r="H110" i="243"/>
  <c r="E113" i="243"/>
  <c r="H88" i="243"/>
  <c r="H87" i="243" s="1"/>
  <c r="I85" i="243"/>
  <c r="H89" i="243" l="1"/>
  <c r="H112" i="243" s="1"/>
  <c r="H113" i="243" s="1"/>
  <c r="H114" i="243" s="1"/>
  <c r="E114" i="243"/>
  <c r="I110" i="243"/>
  <c r="J85" i="243"/>
  <c r="I88" i="243"/>
  <c r="I87" i="243" s="1"/>
  <c r="J110" i="243" l="1"/>
  <c r="I89" i="243"/>
  <c r="K85" i="243"/>
  <c r="J88" i="243"/>
  <c r="J87" i="243" s="1"/>
  <c r="E155" i="229"/>
  <c r="E157" i="229" l="1"/>
  <c r="N14" i="193"/>
  <c r="P14" i="193" s="1"/>
  <c r="F13" i="199"/>
  <c r="K14" i="193"/>
  <c r="D13" i="199"/>
  <c r="F10" i="199"/>
  <c r="D10" i="199"/>
  <c r="N11" i="193"/>
  <c r="P11" i="193" s="1"/>
  <c r="K11" i="193"/>
  <c r="I112" i="243"/>
  <c r="K110" i="243"/>
  <c r="F12" i="199"/>
  <c r="D12" i="199"/>
  <c r="F11" i="199"/>
  <c r="D11" i="199"/>
  <c r="N12" i="193"/>
  <c r="P12" i="193" s="1"/>
  <c r="K12" i="193"/>
  <c r="J89" i="243"/>
  <c r="J112" i="243" s="1"/>
  <c r="J113" i="243" s="1"/>
  <c r="J114" i="243" s="1"/>
  <c r="F155" i="229"/>
  <c r="K88" i="243"/>
  <c r="K87" i="243" s="1"/>
  <c r="E142" i="229"/>
  <c r="L85" i="243"/>
  <c r="K17" i="193" l="1"/>
  <c r="X17" i="193" s="1"/>
  <c r="N17" i="193"/>
  <c r="P17" i="193" s="1"/>
  <c r="K13" i="193"/>
  <c r="M13" i="193" s="1"/>
  <c r="D16" i="199"/>
  <c r="N13" i="193"/>
  <c r="P13" i="193" s="1"/>
  <c r="F16" i="199"/>
  <c r="K89" i="243"/>
  <c r="I113" i="243"/>
  <c r="X14" i="193"/>
  <c r="M14" i="193"/>
  <c r="L110" i="243"/>
  <c r="M12" i="193"/>
  <c r="X12" i="193"/>
  <c r="M11" i="193"/>
  <c r="X11" i="193"/>
  <c r="F14" i="199"/>
  <c r="D14" i="199"/>
  <c r="N15" i="193"/>
  <c r="P15" i="193" s="1"/>
  <c r="K15" i="193"/>
  <c r="F157" i="229"/>
  <c r="J157" i="132"/>
  <c r="N16" i="193"/>
  <c r="P16" i="193" s="1"/>
  <c r="K16" i="193"/>
  <c r="D15" i="199"/>
  <c r="F15" i="199"/>
  <c r="X13" i="193"/>
  <c r="I157" i="132"/>
  <c r="G155" i="229"/>
  <c r="F141" i="229"/>
  <c r="E141" i="229"/>
  <c r="F142" i="229"/>
  <c r="F520" i="237"/>
  <c r="F175" i="237" s="1"/>
  <c r="E520" i="237"/>
  <c r="L88" i="243"/>
  <c r="L87" i="243" s="1"/>
  <c r="M85" i="243"/>
  <c r="M17" i="193" l="1"/>
  <c r="E175" i="237"/>
  <c r="X16" i="193"/>
  <c r="M16" i="193"/>
  <c r="L89" i="243"/>
  <c r="L112" i="243" s="1"/>
  <c r="L113" i="243" s="1"/>
  <c r="L114" i="243" s="1"/>
  <c r="X15" i="193"/>
  <c r="M15" i="193"/>
  <c r="M110" i="243"/>
  <c r="I142" i="132"/>
  <c r="E152" i="229"/>
  <c r="K157" i="132"/>
  <c r="G157" i="229"/>
  <c r="F152" i="229"/>
  <c r="F158" i="229" s="1"/>
  <c r="J142" i="132"/>
  <c r="J153" i="132" s="1"/>
  <c r="J158" i="132" s="1"/>
  <c r="I114" i="243"/>
  <c r="K112" i="243"/>
  <c r="M88" i="243"/>
  <c r="M87" i="243" s="1"/>
  <c r="G141" i="229"/>
  <c r="G142" i="229"/>
  <c r="G520" i="237"/>
  <c r="G175" i="237" s="1"/>
  <c r="H155" i="229"/>
  <c r="N85" i="243"/>
  <c r="I153" i="132" l="1"/>
  <c r="M89" i="243"/>
  <c r="M112" i="243" s="1"/>
  <c r="M113" i="243" s="1"/>
  <c r="M114" i="243" s="1"/>
  <c r="N110" i="243"/>
  <c r="H157" i="229"/>
  <c r="K142" i="132"/>
  <c r="K153" i="132" s="1"/>
  <c r="K158" i="132" s="1"/>
  <c r="G152" i="229"/>
  <c r="G158" i="229" s="1"/>
  <c r="K113" i="243"/>
  <c r="E158" i="229"/>
  <c r="N88" i="243"/>
  <c r="N87" i="243" s="1"/>
  <c r="O85" i="243"/>
  <c r="I155" i="229"/>
  <c r="I157" i="229" l="1"/>
  <c r="M157" i="132"/>
  <c r="L157" i="132"/>
  <c r="O110" i="243"/>
  <c r="N89" i="243"/>
  <c r="N112" i="243" s="1"/>
  <c r="K114" i="243"/>
  <c r="I158" i="132"/>
  <c r="F9" i="199"/>
  <c r="F52" i="199" s="1"/>
  <c r="D9" i="199"/>
  <c r="D52" i="199" s="1"/>
  <c r="N10" i="193"/>
  <c r="K10" i="193"/>
  <c r="J155" i="229"/>
  <c r="I141" i="229"/>
  <c r="H520" i="237"/>
  <c r="P85" i="243"/>
  <c r="O88" i="243"/>
  <c r="O87" i="243" s="1"/>
  <c r="I142" i="229"/>
  <c r="I520" i="237"/>
  <c r="I175" i="237" s="1"/>
  <c r="P110" i="243" l="1"/>
  <c r="Q110" i="243" s="1"/>
  <c r="L37" i="242" s="1"/>
  <c r="Q85" i="243"/>
  <c r="L12" i="242" s="1"/>
  <c r="H175" i="237"/>
  <c r="J157" i="229"/>
  <c r="N113" i="243"/>
  <c r="M142" i="132"/>
  <c r="M153" i="132" s="1"/>
  <c r="M158" i="132" s="1"/>
  <c r="I152" i="229"/>
  <c r="I158" i="229" s="1"/>
  <c r="O89" i="243"/>
  <c r="O112" i="243" s="1"/>
  <c r="O113" i="243" s="1"/>
  <c r="O114" i="243" s="1"/>
  <c r="K53" i="193"/>
  <c r="M53" i="193" s="1"/>
  <c r="X10" i="193"/>
  <c r="X53" i="193" s="1"/>
  <c r="M10" i="193"/>
  <c r="P10" i="193"/>
  <c r="N53" i="193"/>
  <c r="P53" i="193" s="1"/>
  <c r="P88" i="243"/>
  <c r="O142" i="229"/>
  <c r="K155" i="229"/>
  <c r="H141" i="229"/>
  <c r="J142" i="229"/>
  <c r="K157" i="229" l="1"/>
  <c r="O157" i="132"/>
  <c r="N114" i="243"/>
  <c r="H152" i="229"/>
  <c r="L142" i="132"/>
  <c r="N157" i="132"/>
  <c r="P87" i="243"/>
  <c r="Q88" i="243"/>
  <c r="P89" i="243"/>
  <c r="J520" i="237"/>
  <c r="K142" i="229"/>
  <c r="K141" i="229"/>
  <c r="K520" i="237"/>
  <c r="K175" i="237" s="1"/>
  <c r="L155" i="229"/>
  <c r="L15" i="242" l="1"/>
  <c r="Q87" i="243"/>
  <c r="L14" i="242" s="1"/>
  <c r="O142" i="132"/>
  <c r="O153" i="132" s="1"/>
  <c r="O158" i="132" s="1"/>
  <c r="K152" i="229"/>
  <c r="K158" i="229" s="1"/>
  <c r="L157" i="229"/>
  <c r="L153" i="132"/>
  <c r="H158" i="229"/>
  <c r="P112" i="243"/>
  <c r="Q89" i="243"/>
  <c r="L16" i="242" s="1"/>
  <c r="J175" i="237"/>
  <c r="L142" i="229"/>
  <c r="M155" i="229"/>
  <c r="L141" i="229"/>
  <c r="N141" i="229"/>
  <c r="L520" i="237"/>
  <c r="L175" i="237" s="1"/>
  <c r="J141" i="229"/>
  <c r="P113" i="243" l="1"/>
  <c r="Q112" i="243"/>
  <c r="L39" i="242" s="1"/>
  <c r="Q157" i="132"/>
  <c r="M157" i="229"/>
  <c r="L158" i="132"/>
  <c r="P157" i="132"/>
  <c r="J152" i="229"/>
  <c r="N142" i="132"/>
  <c r="L152" i="229"/>
  <c r="L158" i="229" s="1"/>
  <c r="P142" i="132"/>
  <c r="P153" i="132" s="1"/>
  <c r="P158" i="132" s="1"/>
  <c r="N152" i="229"/>
  <c r="R142" i="132"/>
  <c r="R153" i="132" s="1"/>
  <c r="P142" i="229"/>
  <c r="N155" i="229"/>
  <c r="M142" i="229"/>
  <c r="M520" i="237"/>
  <c r="M175" i="237" s="1"/>
  <c r="N153" i="132" l="1"/>
  <c r="J158" i="229"/>
  <c r="U143" i="132"/>
  <c r="L142" i="124" s="1"/>
  <c r="Q142" i="229"/>
  <c r="L142" i="226" s="1"/>
  <c r="N157" i="229"/>
  <c r="N158" i="229" s="1"/>
  <c r="Q155" i="229"/>
  <c r="Q157" i="229" s="1"/>
  <c r="P114" i="243"/>
  <c r="Q113" i="243"/>
  <c r="M141" i="229"/>
  <c r="O141" i="229"/>
  <c r="L156" i="226" l="1"/>
  <c r="L158" i="226" s="1"/>
  <c r="R157" i="132"/>
  <c r="R158" i="132" s="1"/>
  <c r="U156" i="132"/>
  <c r="O152" i="229"/>
  <c r="O158" i="229" s="1"/>
  <c r="S142" i="132"/>
  <c r="S153" i="132" s="1"/>
  <c r="S158" i="132" s="1"/>
  <c r="N158" i="132"/>
  <c r="Q142" i="132"/>
  <c r="M152" i="229"/>
  <c r="L40" i="242"/>
  <c r="Q114" i="243"/>
  <c r="L41" i="242" s="1"/>
  <c r="N520" i="237"/>
  <c r="Q153" i="132" l="1"/>
  <c r="M158" i="229"/>
  <c r="N175" i="237"/>
  <c r="N521" i="237"/>
  <c r="Q520" i="237"/>
  <c r="L510" i="234" s="1"/>
  <c r="L155" i="124"/>
  <c r="U157" i="132"/>
  <c r="L156" i="124" s="1"/>
  <c r="N176" i="237" l="1"/>
  <c r="Q175" i="237"/>
  <c r="L169" i="234" s="1"/>
  <c r="Q158" i="132"/>
  <c r="P141" i="229"/>
  <c r="T142" i="132" l="1"/>
  <c r="P152" i="229"/>
  <c r="Q141" i="229"/>
  <c r="L143" i="226" s="1"/>
  <c r="P158" i="229" l="1"/>
  <c r="Q152" i="229"/>
  <c r="Q158" i="229" s="1"/>
  <c r="T153" i="132"/>
  <c r="U142" i="132"/>
  <c r="L141" i="124" s="1"/>
  <c r="T158" i="132" l="1"/>
  <c r="U153" i="132"/>
  <c r="L153" i="226"/>
  <c r="L159" i="226" s="1"/>
  <c r="L152" i="124" l="1"/>
  <c r="U158" i="132"/>
  <c r="L157" i="124" l="1"/>
  <c r="K489" i="237" l="1"/>
  <c r="G489" i="237"/>
  <c r="L490" i="237"/>
  <c r="L143" i="237" s="1"/>
  <c r="K490" i="237"/>
  <c r="K143" i="237" s="1"/>
  <c r="O490" i="237"/>
  <c r="O143" i="237" s="1"/>
  <c r="O489" i="237"/>
  <c r="P490" i="237"/>
  <c r="P143" i="237" s="1"/>
  <c r="F489" i="237"/>
  <c r="E489" i="237"/>
  <c r="M489" i="237"/>
  <c r="H489" i="237"/>
  <c r="M490" i="237"/>
  <c r="M143" i="237" s="1"/>
  <c r="G490" i="237"/>
  <c r="G143" i="237" s="1"/>
  <c r="I489" i="237"/>
  <c r="J490" i="237"/>
  <c r="J143" i="237" s="1"/>
  <c r="J489" i="237"/>
  <c r="N489" i="237"/>
  <c r="E490" i="237"/>
  <c r="I490" i="237"/>
  <c r="I143" i="237" s="1"/>
  <c r="L489" i="237"/>
  <c r="P489" i="237"/>
  <c r="F490" i="237"/>
  <c r="F143" i="237" s="1"/>
  <c r="F519" i="237" l="1"/>
  <c r="F517" i="237"/>
  <c r="F142" i="237"/>
  <c r="F172" i="237" s="1"/>
  <c r="L517" i="237"/>
  <c r="L142" i="237"/>
  <c r="L172" i="237" s="1"/>
  <c r="H517" i="237"/>
  <c r="H142" i="237"/>
  <c r="H172" i="237" s="1"/>
  <c r="J519" i="237"/>
  <c r="E143" i="237"/>
  <c r="Q143" i="237" s="1"/>
  <c r="L143" i="234" s="1"/>
  <c r="Q490" i="237"/>
  <c r="L499" i="234" s="1"/>
  <c r="M517" i="237"/>
  <c r="M142" i="237"/>
  <c r="M172" i="237" s="1"/>
  <c r="M519" i="237"/>
  <c r="P142" i="237"/>
  <c r="P172" i="237" s="1"/>
  <c r="P517" i="237"/>
  <c r="N517" i="237"/>
  <c r="N522" i="237" s="1"/>
  <c r="N142" i="237"/>
  <c r="N172" i="237" s="1"/>
  <c r="N177" i="237" s="1"/>
  <c r="E142" i="237"/>
  <c r="E517" i="237"/>
  <c r="Q489" i="237"/>
  <c r="L500" i="234" s="1"/>
  <c r="K519" i="237"/>
  <c r="G142" i="237"/>
  <c r="G172" i="237" s="1"/>
  <c r="G517" i="237"/>
  <c r="H519" i="237"/>
  <c r="J517" i="237"/>
  <c r="J142" i="237"/>
  <c r="J172" i="237" s="1"/>
  <c r="O517" i="237"/>
  <c r="O142" i="237"/>
  <c r="O172" i="237" s="1"/>
  <c r="K517" i="237"/>
  <c r="K142" i="237"/>
  <c r="K172" i="237" s="1"/>
  <c r="I517" i="237"/>
  <c r="I142" i="237"/>
  <c r="I172" i="237" s="1"/>
  <c r="O519" i="237"/>
  <c r="L519" i="237"/>
  <c r="E519" i="237"/>
  <c r="P519" i="237"/>
  <c r="I519" i="237"/>
  <c r="G519" i="237"/>
  <c r="P174" i="237" l="1"/>
  <c r="P176" i="237" s="1"/>
  <c r="P521" i="237"/>
  <c r="Q517" i="237"/>
  <c r="J521" i="237"/>
  <c r="J174" i="237"/>
  <c r="J176" i="237" s="1"/>
  <c r="J177" i="237" s="1"/>
  <c r="E521" i="237"/>
  <c r="E522" i="237" s="1"/>
  <c r="E174" i="237"/>
  <c r="Q519" i="237"/>
  <c r="E172" i="237"/>
  <c r="Q142" i="237"/>
  <c r="L144" i="234" s="1"/>
  <c r="L166" i="234" s="1"/>
  <c r="L174" i="237"/>
  <c r="L176" i="237" s="1"/>
  <c r="L177" i="237" s="1"/>
  <c r="L521" i="237"/>
  <c r="J522" i="237"/>
  <c r="H174" i="237"/>
  <c r="H176" i="237" s="1"/>
  <c r="H177" i="237" s="1"/>
  <c r="H521" i="237"/>
  <c r="H522" i="237" s="1"/>
  <c r="P522" i="237"/>
  <c r="O174" i="237"/>
  <c r="O176" i="237" s="1"/>
  <c r="O177" i="237" s="1"/>
  <c r="O521" i="237"/>
  <c r="O522" i="237" s="1"/>
  <c r="P177" i="237"/>
  <c r="L522" i="237"/>
  <c r="M521" i="237"/>
  <c r="M174" i="237"/>
  <c r="M176" i="237" s="1"/>
  <c r="M177" i="237" s="1"/>
  <c r="G174" i="237"/>
  <c r="G176" i="237" s="1"/>
  <c r="G177" i="237" s="1"/>
  <c r="G521" i="237"/>
  <c r="G522" i="237"/>
  <c r="F521" i="237"/>
  <c r="F522" i="237" s="1"/>
  <c r="F174" i="237"/>
  <c r="F176" i="237" s="1"/>
  <c r="F177" i="237" s="1"/>
  <c r="I521" i="237"/>
  <c r="I522" i="237" s="1"/>
  <c r="I174" i="237"/>
  <c r="I176" i="237" s="1"/>
  <c r="I177" i="237" s="1"/>
  <c r="K521" i="237"/>
  <c r="K522" i="237" s="1"/>
  <c r="K174" i="237"/>
  <c r="K176" i="237" s="1"/>
  <c r="K177" i="237" s="1"/>
  <c r="M522" i="237"/>
  <c r="L507" i="234" l="1"/>
  <c r="Q172" i="237"/>
  <c r="Q521" i="237"/>
  <c r="L512" i="234" s="1"/>
  <c r="L509" i="234"/>
  <c r="E176" i="237"/>
  <c r="Q176" i="237" s="1"/>
  <c r="Q174" i="237"/>
  <c r="L168" i="234" s="1"/>
  <c r="L171" i="234" s="1"/>
  <c r="L172" i="234" s="1"/>
  <c r="E177" i="237" l="1"/>
  <c r="Q177" i="237"/>
  <c r="Q522" i="237"/>
  <c r="L513" i="234" s="1"/>
  <c r="M47" i="58"/>
  <c r="M9" i="58" l="1"/>
  <c r="M21" i="58" s="1"/>
  <c r="M57" i="58"/>
  <c r="E15" i="198" l="1"/>
  <c r="H17" i="193"/>
  <c r="E27" i="198"/>
  <c r="H29" i="193"/>
  <c r="E46" i="193"/>
  <c r="D44" i="198"/>
  <c r="E31" i="193"/>
  <c r="D29" i="198"/>
  <c r="E13" i="193"/>
  <c r="D11" i="198"/>
  <c r="H16" i="193"/>
  <c r="E14" i="198"/>
  <c r="H15" i="193"/>
  <c r="E13" i="198"/>
  <c r="H27" i="193"/>
  <c r="E25" i="198"/>
  <c r="D13" i="198"/>
  <c r="E15" i="193"/>
  <c r="D45" i="198"/>
  <c r="E47" i="193"/>
  <c r="D9" i="198"/>
  <c r="E11" i="193"/>
  <c r="D38" i="198"/>
  <c r="E40" i="193"/>
  <c r="E23" i="198"/>
  <c r="H25" i="193"/>
  <c r="E10" i="198"/>
  <c r="H12" i="193"/>
  <c r="H26" i="193"/>
  <c r="E24" i="198"/>
  <c r="D22" i="198"/>
  <c r="E24" i="193"/>
  <c r="D49" i="198"/>
  <c r="E51" i="193"/>
  <c r="H39" i="193"/>
  <c r="E37" i="198"/>
  <c r="E16" i="198"/>
  <c r="H18" i="193"/>
  <c r="H35" i="193"/>
  <c r="E33" i="198"/>
  <c r="E36" i="193"/>
  <c r="D34" i="198"/>
  <c r="D25" i="198"/>
  <c r="E27" i="193"/>
  <c r="E17" i="193"/>
  <c r="D15" i="198"/>
  <c r="H38" i="193"/>
  <c r="E36" i="198"/>
  <c r="E17" i="198"/>
  <c r="H19" i="193"/>
  <c r="E22" i="198"/>
  <c r="H24" i="193"/>
  <c r="E39" i="193"/>
  <c r="D37" i="198"/>
  <c r="D39" i="198"/>
  <c r="E41" i="193"/>
  <c r="D48" i="198"/>
  <c r="E50" i="193"/>
  <c r="E35" i="198"/>
  <c r="H37" i="193"/>
  <c r="E11" i="198"/>
  <c r="H13" i="193"/>
  <c r="H31" i="193"/>
  <c r="E29" i="198"/>
  <c r="E44" i="198"/>
  <c r="H46" i="193"/>
  <c r="E52" i="193"/>
  <c r="D50" i="198"/>
  <c r="E49" i="198"/>
  <c r="H51" i="193"/>
  <c r="D36" i="198"/>
  <c r="E38" i="193"/>
  <c r="E48" i="193"/>
  <c r="D46" i="198"/>
  <c r="D42" i="198"/>
  <c r="E44" i="193"/>
  <c r="E35" i="193"/>
  <c r="D33" i="198"/>
  <c r="H34" i="193"/>
  <c r="E32" i="198"/>
  <c r="H40" i="193"/>
  <c r="E38" i="198"/>
  <c r="E43" i="198"/>
  <c r="H45" i="193"/>
  <c r="E19" i="193"/>
  <c r="D17" i="198"/>
  <c r="D10" i="198"/>
  <c r="E12" i="193"/>
  <c r="D35" i="198"/>
  <c r="E37" i="193"/>
  <c r="E12" i="198"/>
  <c r="H14" i="193"/>
  <c r="E42" i="198"/>
  <c r="H44" i="193"/>
  <c r="E28" i="198"/>
  <c r="H30" i="193"/>
  <c r="H49" i="193"/>
  <c r="E47" i="198"/>
  <c r="E28" i="193"/>
  <c r="D26" i="198"/>
  <c r="E49" i="193"/>
  <c r="D47" i="198"/>
  <c r="D21" i="198"/>
  <c r="E23" i="193"/>
  <c r="E26" i="193"/>
  <c r="D24" i="198"/>
  <c r="H48" i="193"/>
  <c r="E46" i="198"/>
  <c r="E48" i="198"/>
  <c r="H50" i="193"/>
  <c r="E45" i="198"/>
  <c r="H47" i="193"/>
  <c r="E39" i="198"/>
  <c r="H41" i="193"/>
  <c r="E25" i="193"/>
  <c r="D23" i="198"/>
  <c r="D43" i="198"/>
  <c r="E45" i="193"/>
  <c r="D28" i="198"/>
  <c r="E30" i="193"/>
  <c r="D27" i="198"/>
  <c r="E29" i="193"/>
  <c r="E34" i="193"/>
  <c r="D32" i="198"/>
  <c r="E14" i="193"/>
  <c r="D12" i="198"/>
  <c r="E9" i="198"/>
  <c r="H11" i="193"/>
  <c r="E21" i="198"/>
  <c r="H23" i="193"/>
  <c r="E50" i="198"/>
  <c r="H52" i="193"/>
  <c r="E18" i="193"/>
  <c r="D16" i="198"/>
  <c r="E16" i="193"/>
  <c r="D14" i="198"/>
  <c r="E34" i="198"/>
  <c r="H36" i="193"/>
  <c r="E26" i="198"/>
  <c r="H28" i="193"/>
  <c r="E41" i="198" l="1"/>
  <c r="H43" i="193"/>
  <c r="Z23" i="193"/>
  <c r="AB23" i="193" s="1"/>
  <c r="J23" i="193"/>
  <c r="G45" i="193"/>
  <c r="W45" i="193"/>
  <c r="AA45" i="193" s="1"/>
  <c r="W40" i="193"/>
  <c r="AA40" i="193" s="1"/>
  <c r="G40" i="193"/>
  <c r="G26" i="193"/>
  <c r="W26" i="193"/>
  <c r="AA26" i="193" s="1"/>
  <c r="Z44" i="193"/>
  <c r="AB44" i="193" s="1"/>
  <c r="J44" i="193"/>
  <c r="J51" i="193"/>
  <c r="Z51" i="193"/>
  <c r="AB51" i="193" s="1"/>
  <c r="G50" i="193"/>
  <c r="W50" i="193"/>
  <c r="AA50" i="193" s="1"/>
  <c r="J38" i="193"/>
  <c r="Z38" i="193"/>
  <c r="AB38" i="193" s="1"/>
  <c r="Z39" i="193"/>
  <c r="AB39" i="193" s="1"/>
  <c r="J39" i="193"/>
  <c r="J16" i="193"/>
  <c r="Z16" i="193"/>
  <c r="AB16" i="193" s="1"/>
  <c r="J28" i="193"/>
  <c r="Z28" i="193"/>
  <c r="AB28" i="193" s="1"/>
  <c r="J11" i="193"/>
  <c r="Z11" i="193"/>
  <c r="AB11" i="193" s="1"/>
  <c r="G23" i="193"/>
  <c r="W23" i="193"/>
  <c r="AA23" i="193" s="1"/>
  <c r="J40" i="193"/>
  <c r="Z40" i="193"/>
  <c r="AB40" i="193" s="1"/>
  <c r="G51" i="193"/>
  <c r="W51" i="193"/>
  <c r="AA51" i="193" s="1"/>
  <c r="W11" i="193"/>
  <c r="AA11" i="193" s="1"/>
  <c r="G11" i="193"/>
  <c r="G25" i="193"/>
  <c r="W25" i="193"/>
  <c r="AA25" i="193" s="1"/>
  <c r="J14" i="193"/>
  <c r="Z14" i="193"/>
  <c r="AB14" i="193" s="1"/>
  <c r="G41" i="193"/>
  <c r="W41" i="193"/>
  <c r="AA41" i="193" s="1"/>
  <c r="G17" i="193"/>
  <c r="W17" i="193"/>
  <c r="AA17" i="193" s="1"/>
  <c r="G13" i="193"/>
  <c r="W13" i="193"/>
  <c r="AA13" i="193" s="1"/>
  <c r="J36" i="193"/>
  <c r="Z36" i="193"/>
  <c r="AB36" i="193" s="1"/>
  <c r="Z41" i="193"/>
  <c r="AB41" i="193" s="1"/>
  <c r="J41" i="193"/>
  <c r="Z34" i="193"/>
  <c r="AB34" i="193" s="1"/>
  <c r="J34" i="193"/>
  <c r="G52" i="193"/>
  <c r="W52" i="193"/>
  <c r="AA52" i="193" s="1"/>
  <c r="W27" i="193"/>
  <c r="AA27" i="193" s="1"/>
  <c r="G27" i="193"/>
  <c r="W24" i="193"/>
  <c r="AA24" i="193" s="1"/>
  <c r="G24" i="193"/>
  <c r="W47" i="193"/>
  <c r="AA47" i="193" s="1"/>
  <c r="G47" i="193"/>
  <c r="G14" i="193"/>
  <c r="W14" i="193"/>
  <c r="AA14" i="193" s="1"/>
  <c r="G49" i="193"/>
  <c r="W49" i="193"/>
  <c r="AA49" i="193" s="1"/>
  <c r="W37" i="193"/>
  <c r="AA37" i="193" s="1"/>
  <c r="G37" i="193"/>
  <c r="J46" i="193"/>
  <c r="Z46" i="193"/>
  <c r="AB46" i="193" s="1"/>
  <c r="W31" i="193"/>
  <c r="AA31" i="193" s="1"/>
  <c r="G31" i="193"/>
  <c r="H22" i="193"/>
  <c r="E20" i="198"/>
  <c r="J47" i="193"/>
  <c r="Z47" i="193"/>
  <c r="AB47" i="193" s="1"/>
  <c r="W35" i="193"/>
  <c r="AA35" i="193" s="1"/>
  <c r="G35" i="193"/>
  <c r="W39" i="193"/>
  <c r="AA39" i="193" s="1"/>
  <c r="G39" i="193"/>
  <c r="G15" i="193"/>
  <c r="W15" i="193"/>
  <c r="AA15" i="193" s="1"/>
  <c r="E8" i="198"/>
  <c r="H10" i="193"/>
  <c r="G16" i="193"/>
  <c r="W16" i="193"/>
  <c r="AA16" i="193" s="1"/>
  <c r="G34" i="193"/>
  <c r="W34" i="193"/>
  <c r="AA34" i="193" s="1"/>
  <c r="W12" i="193"/>
  <c r="AA12" i="193" s="1"/>
  <c r="G12" i="193"/>
  <c r="W44" i="193"/>
  <c r="AA44" i="193" s="1"/>
  <c r="G44" i="193"/>
  <c r="W36" i="193"/>
  <c r="AA36" i="193" s="1"/>
  <c r="G36" i="193"/>
  <c r="J26" i="193"/>
  <c r="Z26" i="193"/>
  <c r="AB26" i="193" s="1"/>
  <c r="W46" i="193"/>
  <c r="AA46" i="193" s="1"/>
  <c r="G46" i="193"/>
  <c r="D20" i="198"/>
  <c r="E22" i="193"/>
  <c r="D8" i="198"/>
  <c r="E10" i="193"/>
  <c r="W29" i="193"/>
  <c r="AA29" i="193" s="1"/>
  <c r="G29" i="193"/>
  <c r="J50" i="193"/>
  <c r="Z50" i="193"/>
  <c r="AB50" i="193" s="1"/>
  <c r="G28" i="193"/>
  <c r="W28" i="193"/>
  <c r="AA28" i="193" s="1"/>
  <c r="Z31" i="193"/>
  <c r="AB31" i="193" s="1"/>
  <c r="J31" i="193"/>
  <c r="Z24" i="193"/>
  <c r="AB24" i="193" s="1"/>
  <c r="J24" i="193"/>
  <c r="Z12" i="193"/>
  <c r="AB12" i="193" s="1"/>
  <c r="J12" i="193"/>
  <c r="Z29" i="193"/>
  <c r="AB29" i="193" s="1"/>
  <c r="J29" i="193"/>
  <c r="G18" i="193"/>
  <c r="W18" i="193"/>
  <c r="AA18" i="193" s="1"/>
  <c r="J13" i="193"/>
  <c r="Z13" i="193"/>
  <c r="AB13" i="193" s="1"/>
  <c r="Z35" i="193"/>
  <c r="AB35" i="193" s="1"/>
  <c r="J35" i="193"/>
  <c r="Z27" i="193"/>
  <c r="AB27" i="193" s="1"/>
  <c r="J27" i="193"/>
  <c r="E43" i="193"/>
  <c r="D41" i="198"/>
  <c r="D31" i="198"/>
  <c r="E33" i="193"/>
  <c r="E31" i="198"/>
  <c r="H33" i="193"/>
  <c r="Z52" i="193"/>
  <c r="AB52" i="193" s="1"/>
  <c r="J52" i="193"/>
  <c r="G30" i="193"/>
  <c r="W30" i="193"/>
  <c r="AA30" i="193" s="1"/>
  <c r="J49" i="193"/>
  <c r="Z49" i="193"/>
  <c r="AB49" i="193" s="1"/>
  <c r="W19" i="193"/>
  <c r="AA19" i="193" s="1"/>
  <c r="G19" i="193"/>
  <c r="G48" i="193"/>
  <c r="W48" i="193"/>
  <c r="AA48" i="193" s="1"/>
  <c r="Z19" i="193"/>
  <c r="AB19" i="193" s="1"/>
  <c r="J19" i="193"/>
  <c r="J18" i="193"/>
  <c r="Z18" i="193"/>
  <c r="AB18" i="193" s="1"/>
  <c r="J25" i="193"/>
  <c r="Z25" i="193"/>
  <c r="AB25" i="193" s="1"/>
  <c r="Z17" i="193"/>
  <c r="AB17" i="193" s="1"/>
  <c r="J17" i="193"/>
  <c r="J48" i="193"/>
  <c r="Z48" i="193"/>
  <c r="AB48" i="193" s="1"/>
  <c r="J30" i="193"/>
  <c r="Z30" i="193"/>
  <c r="AB30" i="193" s="1"/>
  <c r="J45" i="193"/>
  <c r="Z45" i="193"/>
  <c r="AB45" i="193" s="1"/>
  <c r="G38" i="193"/>
  <c r="W38" i="193"/>
  <c r="AA38" i="193" s="1"/>
  <c r="Z37" i="193"/>
  <c r="AB37" i="193" s="1"/>
  <c r="J37" i="193"/>
  <c r="J15" i="193"/>
  <c r="Z15" i="193"/>
  <c r="AB15" i="193" s="1"/>
  <c r="AC38" i="193" l="1"/>
  <c r="AE38" i="193" s="1"/>
  <c r="AF38" i="193" s="1"/>
  <c r="AC34" i="193"/>
  <c r="AE34" i="193" s="1"/>
  <c r="AC11" i="193"/>
  <c r="AE11" i="193" s="1"/>
  <c r="AC51" i="193"/>
  <c r="AE51" i="193" s="1"/>
  <c r="AC47" i="193"/>
  <c r="AE47" i="193" s="1"/>
  <c r="AC28" i="193"/>
  <c r="AE28" i="193" s="1"/>
  <c r="AF28" i="193" s="1"/>
  <c r="AC16" i="193"/>
  <c r="AE16" i="193" s="1"/>
  <c r="AC24" i="193"/>
  <c r="AE24" i="193" s="1"/>
  <c r="AC27" i="193"/>
  <c r="AE27" i="193" s="1"/>
  <c r="AC14" i="193"/>
  <c r="AE14" i="193" s="1"/>
  <c r="AC17" i="193"/>
  <c r="AE17" i="193" s="1"/>
  <c r="AC30" i="193"/>
  <c r="AE30" i="193" s="1"/>
  <c r="AC46" i="193"/>
  <c r="AE46" i="193" s="1"/>
  <c r="AC39" i="193"/>
  <c r="AE39" i="193" s="1"/>
  <c r="AC23" i="193"/>
  <c r="AE23" i="193" s="1"/>
  <c r="J22" i="193"/>
  <c r="Z22" i="193"/>
  <c r="AB22" i="193" s="1"/>
  <c r="AC26" i="193"/>
  <c r="AE26" i="193" s="1"/>
  <c r="H53" i="193"/>
  <c r="J53" i="193" s="1"/>
  <c r="Z10" i="193"/>
  <c r="J10" i="193"/>
  <c r="E51" i="198"/>
  <c r="AC31" i="193"/>
  <c r="AE31" i="193" s="1"/>
  <c r="AC13" i="193"/>
  <c r="AE13" i="193" s="1"/>
  <c r="Z33" i="193"/>
  <c r="AB33" i="193" s="1"/>
  <c r="J33" i="193"/>
  <c r="AC18" i="193"/>
  <c r="AE18" i="193" s="1"/>
  <c r="AC15" i="193"/>
  <c r="AE15" i="193" s="1"/>
  <c r="AC40" i="193"/>
  <c r="AE40" i="193" s="1"/>
  <c r="AC36" i="193"/>
  <c r="AE36" i="193" s="1"/>
  <c r="AC45" i="193"/>
  <c r="AE45" i="193" s="1"/>
  <c r="AC48" i="193"/>
  <c r="AE48" i="193" s="1"/>
  <c r="G33" i="193"/>
  <c r="W33" i="193"/>
  <c r="AA33" i="193" s="1"/>
  <c r="AC29" i="193"/>
  <c r="AE29" i="193" s="1"/>
  <c r="AC44" i="193"/>
  <c r="AE44" i="193" s="1"/>
  <c r="AC37" i="193"/>
  <c r="AE37" i="193" s="1"/>
  <c r="AC52" i="193"/>
  <c r="AE52" i="193" s="1"/>
  <c r="AC41" i="193"/>
  <c r="AE41" i="193" s="1"/>
  <c r="AC50" i="193"/>
  <c r="AE50" i="193" s="1"/>
  <c r="W10" i="193"/>
  <c r="E53" i="193"/>
  <c r="G53" i="193" s="1"/>
  <c r="G10" i="193"/>
  <c r="AC49" i="193"/>
  <c r="AE49" i="193" s="1"/>
  <c r="AC19" i="193"/>
  <c r="AE19" i="193" s="1"/>
  <c r="W43" i="193"/>
  <c r="AA43" i="193" s="1"/>
  <c r="G43" i="193"/>
  <c r="D51" i="198"/>
  <c r="AC12" i="193"/>
  <c r="AE12" i="193" s="1"/>
  <c r="AC35" i="193"/>
  <c r="AE35" i="193" s="1"/>
  <c r="J43" i="193"/>
  <c r="Z43" i="193"/>
  <c r="AB43" i="193" s="1"/>
  <c r="W22" i="193"/>
  <c r="AA22" i="193" s="1"/>
  <c r="G22" i="193"/>
  <c r="AC25" i="193"/>
  <c r="AE25" i="193" s="1"/>
  <c r="AF27" i="193" l="1"/>
  <c r="AF30" i="193"/>
  <c r="AF24" i="193"/>
  <c r="AF11" i="193"/>
  <c r="AF34" i="193"/>
  <c r="AF16" i="193"/>
  <c r="AF47" i="193"/>
  <c r="AF39" i="193"/>
  <c r="AF14" i="193"/>
  <c r="AC43" i="193"/>
  <c r="AE43" i="193" s="1"/>
  <c r="AC33" i="193"/>
  <c r="AE33" i="193" s="1"/>
  <c r="AF36" i="193"/>
  <c r="AF41" i="193"/>
  <c r="AF35" i="193"/>
  <c r="AF12" i="193"/>
  <c r="AF52" i="193"/>
  <c r="AF40" i="193"/>
  <c r="AF37" i="193"/>
  <c r="Z53" i="193"/>
  <c r="AB10" i="193"/>
  <c r="AB53" i="193" s="1"/>
  <c r="AF15" i="193"/>
  <c r="AF25" i="193"/>
  <c r="AF44" i="193"/>
  <c r="AF18" i="193"/>
  <c r="AF19" i="193"/>
  <c r="AF29" i="193"/>
  <c r="AF49" i="193"/>
  <c r="AF26" i="193"/>
  <c r="AF51" i="193"/>
  <c r="AC22" i="193"/>
  <c r="AE22" i="193" s="1"/>
  <c r="AF13" i="193"/>
  <c r="W53" i="193"/>
  <c r="AA10" i="193"/>
  <c r="AF48" i="193"/>
  <c r="AF31" i="193"/>
  <c r="AF46" i="193"/>
  <c r="AF50" i="193"/>
  <c r="AF45" i="193"/>
  <c r="AF23" i="193"/>
  <c r="AF17" i="193"/>
  <c r="AF33" i="193" l="1"/>
  <c r="AF43" i="193"/>
  <c r="AF22" i="193"/>
  <c r="AA53" i="193"/>
  <c r="AC10" i="193"/>
  <c r="AC53" i="193" l="1"/>
  <c r="AE53" i="193" s="1"/>
  <c r="AE10" i="193"/>
  <c r="AF10" i="193" s="1"/>
  <c r="AE54" i="193" l="1"/>
  <c r="J12" i="260"/>
  <c r="K12" i="260"/>
  <c r="J22" i="260"/>
  <c r="K22" i="260"/>
  <c r="J32" i="260"/>
  <c r="K32" i="260"/>
  <c r="K34" i="261"/>
  <c r="L34" i="261"/>
  <c r="K35" i="261"/>
  <c r="L35" i="261"/>
  <c r="K67" i="261"/>
  <c r="L67" i="261"/>
  <c r="K68" i="261"/>
  <c r="L68" i="261"/>
  <c r="K100" i="261"/>
  <c r="L100" i="261"/>
  <c r="K101" i="261"/>
  <c r="L101" i="261"/>
  <c r="K10" i="262"/>
  <c r="L10" i="262"/>
  <c r="M10" i="262"/>
  <c r="N10" i="262"/>
  <c r="O10" i="262"/>
  <c r="K11" i="262"/>
  <c r="L11" i="262"/>
  <c r="M11" i="262"/>
  <c r="N11" i="262"/>
  <c r="O11" i="262"/>
  <c r="K12" i="262"/>
  <c r="L12" i="262"/>
  <c r="M12" i="262"/>
  <c r="N12" i="262"/>
  <c r="O12" i="262"/>
  <c r="K13" i="262"/>
  <c r="L13" i="262"/>
  <c r="M13" i="262"/>
  <c r="N13" i="262"/>
  <c r="O13" i="262"/>
  <c r="K14" i="262"/>
  <c r="L14" i="262"/>
  <c r="M14" i="262"/>
  <c r="N14" i="262"/>
  <c r="O14" i="262"/>
  <c r="K15" i="262"/>
  <c r="L15" i="262"/>
  <c r="M15" i="262"/>
  <c r="N15" i="262"/>
  <c r="O15" i="262"/>
  <c r="K16" i="262"/>
  <c r="L16" i="262"/>
  <c r="M16" i="262"/>
  <c r="N16" i="262"/>
  <c r="O16" i="262"/>
  <c r="K17" i="262"/>
  <c r="L17" i="262"/>
  <c r="M17" i="262"/>
  <c r="N17" i="262"/>
  <c r="O17" i="262"/>
  <c r="K18" i="262"/>
  <c r="L18" i="262"/>
  <c r="M18" i="262"/>
  <c r="N18" i="262"/>
  <c r="O18" i="262"/>
  <c r="K19" i="262"/>
  <c r="L19" i="262"/>
  <c r="M19" i="262"/>
  <c r="N19" i="262"/>
  <c r="O19" i="262"/>
  <c r="K20" i="262"/>
  <c r="L20" i="262"/>
  <c r="M20" i="262"/>
  <c r="N20" i="262"/>
  <c r="O20" i="262"/>
  <c r="K21" i="262"/>
  <c r="L21" i="262"/>
  <c r="M21" i="262"/>
  <c r="N21" i="262"/>
  <c r="O21" i="262"/>
  <c r="K22" i="262"/>
  <c r="L22" i="262"/>
  <c r="M22" i="262"/>
  <c r="N22" i="262"/>
  <c r="O22" i="262"/>
  <c r="K23" i="262"/>
  <c r="L23" i="262"/>
  <c r="M23" i="262"/>
  <c r="N23" i="262"/>
  <c r="O23" i="262"/>
  <c r="K24" i="262"/>
  <c r="L24" i="262"/>
  <c r="M24" i="262"/>
  <c r="N24" i="262"/>
  <c r="O24" i="262"/>
  <c r="K25" i="262"/>
  <c r="L25" i="262"/>
  <c r="M25" i="262"/>
  <c r="N25" i="262"/>
  <c r="O25" i="262"/>
  <c r="K26" i="262"/>
  <c r="L26" i="262"/>
  <c r="M26" i="262"/>
  <c r="N26" i="262"/>
  <c r="O26" i="262"/>
  <c r="K27" i="262"/>
  <c r="L27" i="262"/>
  <c r="M27" i="262"/>
  <c r="N27" i="262"/>
  <c r="O27" i="262"/>
  <c r="K28" i="262"/>
  <c r="L28" i="262"/>
  <c r="M28" i="262"/>
  <c r="N28" i="262"/>
  <c r="O28" i="262"/>
  <c r="K29" i="262"/>
  <c r="L29" i="262"/>
  <c r="M29" i="262"/>
  <c r="N29" i="262"/>
  <c r="O29" i="262"/>
  <c r="K30" i="262"/>
  <c r="L30" i="262"/>
  <c r="M30" i="262"/>
  <c r="N30" i="262"/>
  <c r="O30" i="262"/>
  <c r="K31" i="262"/>
  <c r="L31" i="262"/>
  <c r="M31" i="262"/>
  <c r="N31" i="262"/>
  <c r="O31" i="262"/>
  <c r="K32" i="262"/>
  <c r="L32" i="262"/>
  <c r="M32" i="262"/>
  <c r="N32" i="262"/>
  <c r="O32" i="262"/>
  <c r="K33" i="262"/>
  <c r="L33" i="262"/>
  <c r="M33" i="262"/>
  <c r="N33" i="262"/>
  <c r="O33" i="262"/>
  <c r="K34" i="262"/>
  <c r="L34" i="262"/>
  <c r="M34" i="262"/>
  <c r="N34" i="262"/>
  <c r="O34" i="262"/>
  <c r="K35" i="262"/>
  <c r="L35" i="262"/>
  <c r="M35" i="262"/>
  <c r="N35" i="262"/>
  <c r="O35" i="262"/>
  <c r="K36" i="262"/>
  <c r="L36" i="262"/>
  <c r="M36" i="262"/>
  <c r="N36" i="262"/>
  <c r="O36" i="262"/>
  <c r="K37" i="262"/>
  <c r="L37" i="262"/>
  <c r="M37" i="262"/>
  <c r="N37" i="262"/>
  <c r="O37" i="262"/>
  <c r="K38" i="262"/>
  <c r="L38" i="262"/>
  <c r="K39" i="262"/>
  <c r="L39" i="262"/>
  <c r="K47" i="262"/>
  <c r="L47" i="262"/>
  <c r="M47" i="262"/>
  <c r="N47" i="262"/>
  <c r="O47" i="262"/>
  <c r="K48" i="262"/>
  <c r="L48" i="262"/>
  <c r="M48" i="262"/>
  <c r="N48" i="262"/>
  <c r="O48" i="262"/>
  <c r="K49" i="262"/>
  <c r="L49" i="262"/>
  <c r="M49" i="262"/>
  <c r="N49" i="262"/>
  <c r="O49" i="262"/>
  <c r="K50" i="262"/>
  <c r="L50" i="262"/>
  <c r="M50" i="262"/>
  <c r="N50" i="262"/>
  <c r="O50" i="262"/>
  <c r="K51" i="262"/>
  <c r="L51" i="262"/>
  <c r="M51" i="262"/>
  <c r="N51" i="262"/>
  <c r="O51" i="262"/>
  <c r="K52" i="262"/>
  <c r="L52" i="262"/>
  <c r="M52" i="262"/>
  <c r="N52" i="262"/>
  <c r="O52" i="262"/>
  <c r="K53" i="262"/>
  <c r="L53" i="262"/>
  <c r="M53" i="262"/>
  <c r="N53" i="262"/>
  <c r="O53" i="262"/>
  <c r="K54" i="262"/>
  <c r="L54" i="262"/>
  <c r="M54" i="262"/>
  <c r="N54" i="262"/>
  <c r="O54" i="262"/>
  <c r="K55" i="262"/>
  <c r="L55" i="262"/>
  <c r="M55" i="262"/>
  <c r="N55" i="262"/>
  <c r="O55" i="262"/>
  <c r="K56" i="262"/>
  <c r="L56" i="262"/>
  <c r="M56" i="262"/>
  <c r="N56" i="262"/>
  <c r="O56" i="262"/>
  <c r="K57" i="262"/>
  <c r="L57" i="262"/>
  <c r="M57" i="262"/>
  <c r="N57" i="262"/>
  <c r="O57" i="262"/>
  <c r="K58" i="262"/>
  <c r="L58" i="262"/>
  <c r="M58" i="262"/>
  <c r="N58" i="262"/>
  <c r="O58" i="262"/>
  <c r="K59" i="262"/>
  <c r="L59" i="262"/>
  <c r="M59" i="262"/>
  <c r="N59" i="262"/>
  <c r="O59" i="262"/>
  <c r="K60" i="262"/>
  <c r="L60" i="262"/>
  <c r="M60" i="262"/>
  <c r="N60" i="262"/>
  <c r="O60" i="262"/>
  <c r="K61" i="262"/>
  <c r="L61" i="262"/>
  <c r="M61" i="262"/>
  <c r="N61" i="262"/>
  <c r="O61" i="262"/>
  <c r="K62" i="262"/>
  <c r="L62" i="262"/>
  <c r="M62" i="262"/>
  <c r="N62" i="262"/>
  <c r="O62" i="262"/>
  <c r="K63" i="262"/>
  <c r="L63" i="262"/>
  <c r="M63" i="262"/>
  <c r="N63" i="262"/>
  <c r="O63" i="262"/>
  <c r="K64" i="262"/>
  <c r="L64" i="262"/>
  <c r="M64" i="262"/>
  <c r="N64" i="262"/>
  <c r="O64" i="262"/>
  <c r="K65" i="262"/>
  <c r="L65" i="262"/>
  <c r="M65" i="262"/>
  <c r="N65" i="262"/>
  <c r="O65" i="262"/>
  <c r="K66" i="262"/>
  <c r="L66" i="262"/>
  <c r="M66" i="262"/>
  <c r="N66" i="262"/>
  <c r="O66" i="262"/>
  <c r="K67" i="262"/>
  <c r="L67" i="262"/>
  <c r="M67" i="262"/>
  <c r="N67" i="262"/>
  <c r="O67" i="262"/>
  <c r="K68" i="262"/>
  <c r="L68" i="262"/>
  <c r="M68" i="262"/>
  <c r="N68" i="262"/>
  <c r="O68" i="262"/>
  <c r="K69" i="262"/>
  <c r="L69" i="262"/>
  <c r="M69" i="262"/>
  <c r="N69" i="262"/>
  <c r="O69" i="262"/>
  <c r="K70" i="262"/>
  <c r="L70" i="262"/>
  <c r="M70" i="262"/>
  <c r="N70" i="262"/>
  <c r="O70" i="262"/>
  <c r="K71" i="262"/>
  <c r="L71" i="262"/>
  <c r="M71" i="262"/>
  <c r="N71" i="262"/>
  <c r="O71" i="262"/>
  <c r="K72" i="262"/>
  <c r="L72" i="262"/>
  <c r="M72" i="262"/>
  <c r="N72" i="262"/>
  <c r="O72" i="262"/>
  <c r="K73" i="262"/>
  <c r="L73" i="262"/>
  <c r="M73" i="262"/>
  <c r="N73" i="262"/>
  <c r="O73" i="262"/>
  <c r="K74" i="262"/>
  <c r="L74" i="262"/>
  <c r="M74" i="262"/>
  <c r="N74" i="262"/>
  <c r="O74" i="262"/>
  <c r="K75" i="262"/>
  <c r="L75" i="262"/>
  <c r="M75" i="262"/>
  <c r="N75" i="262"/>
  <c r="O75" i="262"/>
  <c r="K76" i="262"/>
  <c r="L76" i="262"/>
  <c r="M77" i="262"/>
  <c r="N77" i="262"/>
  <c r="O77" i="262"/>
  <c r="K84" i="262"/>
  <c r="L84" i="262"/>
  <c r="M84" i="262"/>
  <c r="N84" i="262"/>
  <c r="O84" i="262"/>
  <c r="K85" i="262"/>
  <c r="L85" i="262"/>
  <c r="M85" i="262"/>
  <c r="N85" i="262"/>
  <c r="O85" i="262"/>
  <c r="K86" i="262"/>
  <c r="L86" i="262"/>
  <c r="M86" i="262"/>
  <c r="N86" i="262"/>
  <c r="O86" i="262"/>
  <c r="K87" i="262"/>
  <c r="L87" i="262"/>
  <c r="M87" i="262"/>
  <c r="N87" i="262"/>
  <c r="O87" i="262"/>
  <c r="K88" i="262"/>
  <c r="L88" i="262"/>
  <c r="M88" i="262"/>
  <c r="N88" i="262"/>
  <c r="O88" i="262"/>
  <c r="K89" i="262"/>
  <c r="L89" i="262"/>
  <c r="M89" i="262"/>
  <c r="N89" i="262"/>
  <c r="O89" i="262"/>
  <c r="K90" i="262"/>
  <c r="L90" i="262"/>
  <c r="M90" i="262"/>
  <c r="N90" i="262"/>
  <c r="O90" i="262"/>
  <c r="K91" i="262"/>
  <c r="L91" i="262"/>
  <c r="M91" i="262"/>
  <c r="N91" i="262"/>
  <c r="O91" i="262"/>
  <c r="K92" i="262"/>
  <c r="L92" i="262"/>
  <c r="M92" i="262"/>
  <c r="N92" i="262"/>
  <c r="O92" i="262"/>
  <c r="K93" i="262"/>
  <c r="L93" i="262"/>
  <c r="M93" i="262"/>
  <c r="N93" i="262"/>
  <c r="O93" i="262"/>
  <c r="K94" i="262"/>
  <c r="L94" i="262"/>
  <c r="M94" i="262"/>
  <c r="N94" i="262"/>
  <c r="O94" i="262"/>
  <c r="K95" i="262"/>
  <c r="L95" i="262"/>
  <c r="M95" i="262"/>
  <c r="N95" i="262"/>
  <c r="O95" i="262"/>
  <c r="K96" i="262"/>
  <c r="L96" i="262"/>
  <c r="M96" i="262"/>
  <c r="N96" i="262"/>
  <c r="O96" i="262"/>
  <c r="K97" i="262"/>
  <c r="L97" i="262"/>
  <c r="M97" i="262"/>
  <c r="N97" i="262"/>
  <c r="O97" i="262"/>
  <c r="K98" i="262"/>
  <c r="L98" i="262"/>
  <c r="M98" i="262"/>
  <c r="N98" i="262"/>
  <c r="O98" i="262"/>
  <c r="K99" i="262"/>
  <c r="L99" i="262"/>
  <c r="M99" i="262"/>
  <c r="N99" i="262"/>
  <c r="O99" i="262"/>
  <c r="K100" i="262"/>
  <c r="L100" i="262"/>
  <c r="M100" i="262"/>
  <c r="N100" i="262"/>
  <c r="O100" i="262"/>
  <c r="K101" i="262"/>
  <c r="L101" i="262"/>
  <c r="M101" i="262"/>
  <c r="N101" i="262"/>
  <c r="O101" i="262"/>
  <c r="K102" i="262"/>
  <c r="L102" i="262"/>
  <c r="M102" i="262"/>
  <c r="N102" i="262"/>
  <c r="O102" i="262"/>
  <c r="K103" i="262"/>
  <c r="L103" i="262"/>
  <c r="M103" i="262"/>
  <c r="N103" i="262"/>
  <c r="O103" i="262"/>
  <c r="K104" i="262"/>
  <c r="L104" i="262"/>
  <c r="M104" i="262"/>
  <c r="N104" i="262"/>
  <c r="O104" i="262"/>
  <c r="K105" i="262"/>
  <c r="L105" i="262"/>
  <c r="M105" i="262"/>
  <c r="N105" i="262"/>
  <c r="O105" i="262"/>
  <c r="K106" i="262"/>
  <c r="L106" i="262"/>
  <c r="M106" i="262"/>
  <c r="N106" i="262"/>
  <c r="O106" i="262"/>
  <c r="K107" i="262"/>
  <c r="L107" i="262"/>
  <c r="M107" i="262"/>
  <c r="N107" i="262"/>
  <c r="O107" i="262"/>
  <c r="K108" i="262"/>
  <c r="L108" i="262"/>
  <c r="M108" i="262"/>
  <c r="N108" i="262"/>
  <c r="O108" i="262"/>
  <c r="K109" i="262"/>
  <c r="L109" i="262"/>
  <c r="M109" i="262"/>
  <c r="N109" i="262"/>
  <c r="O109" i="262"/>
  <c r="K110" i="262"/>
  <c r="L110" i="262"/>
  <c r="M110" i="262"/>
  <c r="N110" i="262"/>
  <c r="O110" i="262"/>
  <c r="K111" i="262"/>
  <c r="L111" i="262"/>
  <c r="M111" i="262"/>
  <c r="N111" i="262"/>
  <c r="O111" i="262"/>
  <c r="K112" i="262"/>
  <c r="L112" i="262"/>
  <c r="K113" i="262"/>
  <c r="L113" i="262"/>
  <c r="I10" i="263"/>
  <c r="J10" i="263"/>
  <c r="K10" i="263"/>
  <c r="L10" i="263"/>
  <c r="M10" i="263"/>
  <c r="N10" i="263"/>
  <c r="O10" i="263"/>
  <c r="I11" i="263"/>
  <c r="J11" i="263"/>
  <c r="K11" i="263"/>
  <c r="L11" i="263"/>
  <c r="M11" i="263"/>
  <c r="N11" i="263"/>
  <c r="O11" i="263"/>
  <c r="I12" i="263"/>
  <c r="J12" i="263"/>
  <c r="K12" i="263"/>
  <c r="L12" i="263"/>
  <c r="M12" i="263"/>
  <c r="N12" i="263"/>
  <c r="O12" i="263"/>
  <c r="I13" i="263"/>
  <c r="J13" i="263"/>
  <c r="K13" i="263"/>
  <c r="L13" i="263"/>
  <c r="M13" i="263"/>
  <c r="N13" i="263"/>
  <c r="O13" i="263"/>
  <c r="I14" i="263"/>
  <c r="J14" i="263"/>
  <c r="K14" i="263"/>
  <c r="L14" i="263"/>
  <c r="M14" i="263"/>
  <c r="N14" i="263"/>
  <c r="O14" i="263"/>
  <c r="I15" i="263"/>
  <c r="J15" i="263"/>
  <c r="K15" i="263"/>
  <c r="L15" i="263"/>
  <c r="M15" i="263"/>
  <c r="N15" i="263"/>
  <c r="O15" i="263"/>
  <c r="I16" i="263"/>
  <c r="J16" i="263"/>
  <c r="K16" i="263"/>
  <c r="L16" i="263"/>
  <c r="M16" i="263"/>
  <c r="N16" i="263"/>
  <c r="O16" i="263"/>
  <c r="I17" i="263"/>
  <c r="J17" i="263"/>
  <c r="K17" i="263"/>
  <c r="L17" i="263"/>
  <c r="M17" i="263"/>
  <c r="N17" i="263"/>
  <c r="O17" i="263"/>
  <c r="I18" i="263"/>
  <c r="I29" i="263"/>
  <c r="J29" i="263"/>
  <c r="K29" i="263"/>
  <c r="L29" i="263"/>
  <c r="M29" i="263"/>
  <c r="N29" i="263"/>
  <c r="O29" i="263"/>
  <c r="I30" i="263"/>
  <c r="J30" i="263"/>
  <c r="K30" i="263"/>
  <c r="L30" i="263"/>
  <c r="M30" i="263"/>
  <c r="N30" i="263"/>
  <c r="O30" i="263"/>
  <c r="I31" i="263"/>
  <c r="J31" i="263"/>
  <c r="K31" i="263"/>
  <c r="L31" i="263"/>
  <c r="M31" i="263"/>
  <c r="N31" i="263"/>
  <c r="O31" i="263"/>
  <c r="I32" i="263"/>
  <c r="J32" i="263"/>
  <c r="K32" i="263"/>
  <c r="L32" i="263"/>
  <c r="M32" i="263"/>
  <c r="N32" i="263"/>
  <c r="O32" i="263"/>
  <c r="I33" i="263"/>
  <c r="J33" i="263"/>
  <c r="K33" i="263"/>
  <c r="L33" i="263"/>
  <c r="M33" i="263"/>
  <c r="N33" i="263"/>
  <c r="O33" i="263"/>
  <c r="I34" i="263"/>
  <c r="J34" i="263"/>
  <c r="K34" i="263"/>
  <c r="L34" i="263"/>
  <c r="M34" i="263"/>
  <c r="N34" i="263"/>
  <c r="O34" i="263"/>
  <c r="I35" i="263"/>
  <c r="J35" i="263"/>
  <c r="K35" i="263"/>
  <c r="L35" i="263"/>
  <c r="M35" i="263"/>
  <c r="N35" i="263"/>
  <c r="O35" i="263"/>
  <c r="I36" i="263"/>
  <c r="J36" i="263"/>
  <c r="K36" i="263"/>
  <c r="L36" i="263"/>
  <c r="M36" i="263"/>
  <c r="N36" i="263"/>
  <c r="O36" i="263"/>
  <c r="I37" i="263"/>
  <c r="J37" i="263"/>
  <c r="M37" i="263"/>
  <c r="N37" i="263"/>
  <c r="O37" i="263"/>
  <c r="M40" i="263"/>
  <c r="N40" i="263"/>
  <c r="O40" i="263"/>
  <c r="I48" i="263"/>
  <c r="J48" i="263"/>
  <c r="K48" i="263"/>
  <c r="L48" i="263"/>
  <c r="M48" i="263"/>
  <c r="N48" i="263"/>
  <c r="O48" i="263"/>
  <c r="I49" i="263"/>
  <c r="J49" i="263"/>
  <c r="K49" i="263"/>
  <c r="L49" i="263"/>
  <c r="M49" i="263"/>
  <c r="N49" i="263"/>
  <c r="O49" i="263"/>
  <c r="I50" i="263"/>
  <c r="J50" i="263"/>
  <c r="K50" i="263"/>
  <c r="L50" i="263"/>
  <c r="M50" i="263"/>
  <c r="N50" i="263"/>
  <c r="O50" i="263"/>
  <c r="I51" i="263"/>
  <c r="J51" i="263"/>
  <c r="K51" i="263"/>
  <c r="L51" i="263"/>
  <c r="M51" i="263"/>
  <c r="N51" i="263"/>
  <c r="O51" i="263"/>
  <c r="I52" i="263"/>
  <c r="J52" i="263"/>
  <c r="K52" i="263"/>
  <c r="L52" i="263"/>
  <c r="M52" i="263"/>
  <c r="N52" i="263"/>
  <c r="O52" i="263"/>
  <c r="I53" i="263"/>
  <c r="J53" i="263"/>
  <c r="K53" i="263"/>
  <c r="L53" i="263"/>
  <c r="M53" i="263"/>
  <c r="N53" i="263"/>
  <c r="O53" i="263"/>
  <c r="I54" i="263"/>
  <c r="J54" i="263"/>
  <c r="K54" i="263"/>
  <c r="L54" i="263"/>
  <c r="M54" i="263"/>
  <c r="N54" i="263"/>
  <c r="O54" i="263"/>
  <c r="I55" i="263"/>
  <c r="J55" i="263"/>
  <c r="K55" i="263"/>
  <c r="L55" i="263"/>
  <c r="M55" i="263"/>
  <c r="N55" i="263"/>
  <c r="O55" i="263"/>
  <c r="I56" i="263"/>
  <c r="J56" i="263"/>
  <c r="M56" i="263"/>
  <c r="N56" i="263"/>
  <c r="O56" i="263"/>
  <c r="M59" i="263"/>
  <c r="N59" i="263"/>
  <c r="O59" i="263"/>
  <c r="K12" i="268"/>
  <c r="L12" i="268"/>
  <c r="M12" i="268"/>
  <c r="N12" i="268"/>
  <c r="O12" i="268"/>
  <c r="K31" i="268"/>
  <c r="L31" i="268"/>
  <c r="M31" i="268"/>
  <c r="N31" i="268"/>
  <c r="O31" i="268"/>
  <c r="K50" i="268"/>
  <c r="L50" i="268"/>
  <c r="M50" i="268"/>
  <c r="N50" i="268"/>
  <c r="O50" i="268"/>
</calcChain>
</file>

<file path=xl/comments1.xml><?xml version="1.0" encoding="utf-8"?>
<comments xmlns="http://schemas.openxmlformats.org/spreadsheetml/2006/main">
  <authors>
    <author>H S, Prajwal</author>
  </authors>
  <commentList>
    <comment ref="L22" authorId="0" shapeId="0">
      <text>
        <r>
          <rPr>
            <b/>
            <sz val="9"/>
            <color indexed="81"/>
            <rFont val="Tahoma"/>
            <family val="2"/>
          </rPr>
          <t>H S, Prajwal:</t>
        </r>
        <r>
          <rPr>
            <sz val="9"/>
            <color indexed="81"/>
            <rFont val="Tahoma"/>
            <family val="2"/>
          </rPr>
          <t xml:space="preserve">
Contract demand is basis of allocation</t>
        </r>
      </text>
    </comment>
    <comment ref="O22" authorId="0" shapeId="0">
      <text>
        <r>
          <rPr>
            <b/>
            <sz val="9"/>
            <color indexed="81"/>
            <rFont val="Tahoma"/>
            <family val="2"/>
          </rPr>
          <t>H S, Prajwal:</t>
        </r>
        <r>
          <rPr>
            <sz val="9"/>
            <color indexed="81"/>
            <rFont val="Tahoma"/>
            <family val="2"/>
          </rPr>
          <t xml:space="preserve">
Contract demand is basis of allocation in model</t>
        </r>
      </text>
    </comment>
  </commentList>
</comments>
</file>

<file path=xl/sharedStrings.xml><?xml version="1.0" encoding="utf-8"?>
<sst xmlns="http://schemas.openxmlformats.org/spreadsheetml/2006/main" count="16087" uniqueCount="1241">
  <si>
    <t> Northern Power Distribution Company of Telangana Limited</t>
  </si>
  <si>
    <t>Form 15:  Operation and Maintenance Expenses</t>
  </si>
  <si>
    <t>A) Wire Business + Retail Supply Business</t>
  </si>
  <si>
    <t>(Rs. Crore)</t>
  </si>
  <si>
    <t>S. No.</t>
  </si>
  <si>
    <t>Particulars</t>
  </si>
  <si>
    <t>Reference</t>
  </si>
  <si>
    <t>Year (n-1)</t>
  </si>
  <si>
    <t>Base Year 'n'</t>
  </si>
  <si>
    <t>Control Period</t>
  </si>
  <si>
    <t>MYT/Tariff Order</t>
  </si>
  <si>
    <t>Apr-Mar</t>
  </si>
  <si>
    <t>True-Up requirement</t>
  </si>
  <si>
    <t>Apr-Sep</t>
  </si>
  <si>
    <t xml:space="preserve">Oct-Mar        </t>
  </si>
  <si>
    <t>Apr - Mar</t>
  </si>
  <si>
    <t>n+1</t>
  </si>
  <si>
    <t>n+2</t>
  </si>
  <si>
    <t>n+3</t>
  </si>
  <si>
    <t>n+4</t>
  </si>
  <si>
    <t>n+5</t>
  </si>
  <si>
    <t>Approved</t>
  </si>
  <si>
    <t>Audited</t>
  </si>
  <si>
    <t>Claimed</t>
  </si>
  <si>
    <t>Actual</t>
  </si>
  <si>
    <t>Estimated</t>
  </si>
  <si>
    <t>Projected</t>
  </si>
  <si>
    <t xml:space="preserve">Employee Expenses </t>
  </si>
  <si>
    <t>Form 15.1</t>
  </si>
  <si>
    <t>A&amp;G Expenses</t>
  </si>
  <si>
    <t>Form 15.2</t>
  </si>
  <si>
    <t>R &amp; M Expenses</t>
  </si>
  <si>
    <t>Form 15.3</t>
  </si>
  <si>
    <t>Total O&amp;M Expenses</t>
  </si>
  <si>
    <t>B) Wire Business</t>
  </si>
  <si>
    <t>C) Retail Supply</t>
  </si>
  <si>
    <t>Note:</t>
  </si>
  <si>
    <t>The projections for the Control Period to be supported by detailed computations</t>
  </si>
  <si>
    <t>&lt;Name of the Distribution Licensee&gt;</t>
  </si>
  <si>
    <t xml:space="preserve"> Tariff Filing Formats - Wheeling and Retail Supply</t>
  </si>
  <si>
    <t>Checklist</t>
  </si>
  <si>
    <t>Form</t>
  </si>
  <si>
    <t>Title</t>
  </si>
  <si>
    <t>Tick</t>
  </si>
  <si>
    <t>Form 1</t>
  </si>
  <si>
    <t>Aggregate Revenue Requirement</t>
  </si>
  <si>
    <t>Form 2</t>
  </si>
  <si>
    <t>Number of Retail Supply Consumers</t>
  </si>
  <si>
    <t>Form 3</t>
  </si>
  <si>
    <t>Contract Demand</t>
  </si>
  <si>
    <t>Form 4</t>
  </si>
  <si>
    <t>Consumer Sales (Total)</t>
  </si>
  <si>
    <t>Form 4A</t>
  </si>
  <si>
    <t>Consumer Sales (Metered)</t>
  </si>
  <si>
    <t>Form 4B</t>
  </si>
  <si>
    <t>Consumer Sales (Assessed)</t>
  </si>
  <si>
    <t>Form 5</t>
  </si>
  <si>
    <t>Distribution Loss</t>
  </si>
  <si>
    <t>Form 6</t>
  </si>
  <si>
    <t>Energy Balance</t>
  </si>
  <si>
    <t>Form 7</t>
  </si>
  <si>
    <t>Month wise Energy Balance</t>
  </si>
  <si>
    <t>Form 8</t>
  </si>
  <si>
    <t>Energy Availability</t>
  </si>
  <si>
    <t>Form 9</t>
  </si>
  <si>
    <t>Month Wise Energy Availability</t>
  </si>
  <si>
    <t>Form 10</t>
  </si>
  <si>
    <t>Energy Despatch</t>
  </si>
  <si>
    <t>Form 11</t>
  </si>
  <si>
    <t>Month Wise Energy Despatch</t>
  </si>
  <si>
    <t>Form 12</t>
  </si>
  <si>
    <t>Power Purchase Expenses</t>
  </si>
  <si>
    <t>Form 13</t>
  </si>
  <si>
    <t>Month Wise Power Purchase Expenses</t>
  </si>
  <si>
    <t>Form 14</t>
  </si>
  <si>
    <t>Transmission and SLDC Charges</t>
  </si>
  <si>
    <t>Form 15</t>
  </si>
  <si>
    <t>Operation and Maintenance Expenses</t>
  </si>
  <si>
    <t>Employee Expenses</t>
  </si>
  <si>
    <t>Administration &amp; General Expenses</t>
  </si>
  <si>
    <t>Repair &amp; Maintenance Expenses</t>
  </si>
  <si>
    <t>Form 16</t>
  </si>
  <si>
    <t>Summary of Capital Expenditure and Capitalisation</t>
  </si>
  <si>
    <t>Form 16.1</t>
  </si>
  <si>
    <t>Statement of Capitalisation</t>
  </si>
  <si>
    <t>Form 16.2</t>
  </si>
  <si>
    <t>Financing of Capitalisation</t>
  </si>
  <si>
    <t>Form 17</t>
  </si>
  <si>
    <t>Fixed Assets &amp; Depreciation</t>
  </si>
  <si>
    <t>Form 18</t>
  </si>
  <si>
    <t>Interest and finance charges on loan</t>
  </si>
  <si>
    <t>Form 19</t>
  </si>
  <si>
    <t>Interest on working capital</t>
  </si>
  <si>
    <t>Form 20</t>
  </si>
  <si>
    <t>Return on Equity</t>
  </si>
  <si>
    <t>Form 21</t>
  </si>
  <si>
    <t>Non-Tariff Income</t>
  </si>
  <si>
    <t>Form 22</t>
  </si>
  <si>
    <t>Income from Other Businesses</t>
  </si>
  <si>
    <t>Form 23</t>
  </si>
  <si>
    <t>Receipts on account of Cross Subsidy Surcharge and Additional Surcharge</t>
  </si>
  <si>
    <t>Form 24</t>
  </si>
  <si>
    <t>Cost of Service: Embedded Cost Method</t>
  </si>
  <si>
    <t>Form 24.1</t>
  </si>
  <si>
    <t>Cost of Service: Embedded Cost Method-Losses</t>
  </si>
  <si>
    <t>Form 24.2</t>
  </si>
  <si>
    <t>Cost of Service: Embedded Cost Method-Class Factors</t>
  </si>
  <si>
    <t>Form 24.3</t>
  </si>
  <si>
    <t>Cost of Service: Embedded Cost Method-Allocation Factors</t>
  </si>
  <si>
    <t>Form 24.4</t>
  </si>
  <si>
    <t>Cost of Service: Embedded Cost Method-Capacity Allocation</t>
  </si>
  <si>
    <t>Form 24.5</t>
  </si>
  <si>
    <t>Cost of Service: Embedded Cost Method-Power Purchase Expenses Allocation</t>
  </si>
  <si>
    <t>Form 24.6</t>
  </si>
  <si>
    <t>Cost of Service: Embedded Cost Method-Transmission and SLDC Charges Allocation</t>
  </si>
  <si>
    <t>Form 24.7</t>
  </si>
  <si>
    <t>Cost of Service: Embedded Cost Method-Distribution Cost Allocation</t>
  </si>
  <si>
    <t>Form 24.8</t>
  </si>
  <si>
    <t>Cost of Service: Embedded Cost Method-Retail Supply Cost Allocation</t>
  </si>
  <si>
    <t>Form 25</t>
  </si>
  <si>
    <t>Retail Supply Tariff</t>
  </si>
  <si>
    <t>Form 26</t>
  </si>
  <si>
    <t>Revenue from Sale of Power</t>
  </si>
  <si>
    <t>Form 27</t>
  </si>
  <si>
    <t>Revenue Summary</t>
  </si>
  <si>
    <t>Form 28</t>
  </si>
  <si>
    <t>Summary of true-up -Year (n-1)</t>
  </si>
  <si>
    <t>Form 29</t>
  </si>
  <si>
    <t>Form 1:  Aggregate Revenue Requirement</t>
  </si>
  <si>
    <t>A)</t>
  </si>
  <si>
    <t>Wheeling Business + Retail Supply Business</t>
  </si>
  <si>
    <t>Current Year 'n' 2023-24</t>
  </si>
  <si>
    <t>Remarks</t>
  </si>
  <si>
    <t xml:space="preserve">April-March     </t>
  </si>
  <si>
    <t>April - March</t>
  </si>
  <si>
    <t>n+1
2024-25</t>
  </si>
  <si>
    <t>n+2
2025-26</t>
  </si>
  <si>
    <t>n+3
2026-27</t>
  </si>
  <si>
    <t>n+4
2027-28</t>
  </si>
  <si>
    <t>n+5
2028-29</t>
  </si>
  <si>
    <t>Provisional actual</t>
  </si>
  <si>
    <t>Power purchase expenses</t>
  </si>
  <si>
    <t>Inter-State Transmission Charges</t>
  </si>
  <si>
    <t>Intra-State Transmission Charges</t>
  </si>
  <si>
    <t>SLDC Charges</t>
  </si>
  <si>
    <t>Distribution cost</t>
  </si>
  <si>
    <t>Operation &amp; Maintenance Expenses</t>
  </si>
  <si>
    <t xml:space="preserve">Depreciation </t>
  </si>
  <si>
    <t>Interest on Working Capital</t>
  </si>
  <si>
    <t>Interest on Consumer Security Deposits</t>
  </si>
  <si>
    <t>B)</t>
  </si>
  <si>
    <t>Wheeling Business</t>
  </si>
  <si>
    <t>Less:</t>
  </si>
  <si>
    <t>Income from Open Access charges</t>
  </si>
  <si>
    <t>Income from Other Business</t>
  </si>
  <si>
    <t>Add:</t>
  </si>
  <si>
    <t>Impact of true-up for prior period</t>
  </si>
  <si>
    <t>C)</t>
  </si>
  <si>
    <t>Retail Supply Business</t>
  </si>
  <si>
    <t>Note: Income from CSS,AS and Non-tariff income for Retail Supply Business shown as part of revenue for Retail Supply Business. Hence, not included in ARR reduction for Retail Supply Business</t>
  </si>
  <si>
    <t>TGNPDCL</t>
  </si>
  <si>
    <t>Form 2:  Number of Retail Supply Consumers</t>
  </si>
  <si>
    <t>(No.)</t>
  </si>
  <si>
    <t>Consumer Category</t>
  </si>
  <si>
    <t>Year (n-4)
 2019-20</t>
  </si>
  <si>
    <t>Year (n-3) 
2020-21</t>
  </si>
  <si>
    <t>Year (n-2) 
2021-22</t>
  </si>
  <si>
    <t>Year (n-1)
2022-23</t>
  </si>
  <si>
    <t>Current Year 'n'
2023-24</t>
  </si>
  <si>
    <t>n+1 
2024-25</t>
  </si>
  <si>
    <t>n+2
 2025-26</t>
  </si>
  <si>
    <t>LT Category</t>
  </si>
  <si>
    <t>Category I (A&amp;B)</t>
  </si>
  <si>
    <t>Domestic</t>
  </si>
  <si>
    <t>Category II (A, B &amp; C)</t>
  </si>
  <si>
    <t>Non-Domestic/Commercial</t>
  </si>
  <si>
    <t xml:space="preserve">Category LT-III </t>
  </si>
  <si>
    <t xml:space="preserve"> Industrial</t>
  </si>
  <si>
    <t xml:space="preserve">Category LT-IV </t>
  </si>
  <si>
    <t>Cottage Industries</t>
  </si>
  <si>
    <t xml:space="preserve">Category LT-V </t>
  </si>
  <si>
    <t>Agricultural</t>
  </si>
  <si>
    <t xml:space="preserve">Category LT-VI </t>
  </si>
  <si>
    <t>Street Lighting &amp; PWS</t>
  </si>
  <si>
    <t xml:space="preserve">Category LT-VII </t>
  </si>
  <si>
    <t>General Purpose</t>
  </si>
  <si>
    <t xml:space="preserve">Category LT-VIII </t>
  </si>
  <si>
    <t>Temporary Supply</t>
  </si>
  <si>
    <t xml:space="preserve">Category LT-IX </t>
  </si>
  <si>
    <t>EV Charging Stations</t>
  </si>
  <si>
    <t>Sub-total (LT)</t>
  </si>
  <si>
    <t>HT Category at 11 kV</t>
  </si>
  <si>
    <t>HT-I</t>
  </si>
  <si>
    <t xml:space="preserve">Industry </t>
  </si>
  <si>
    <t>HT-I(B)</t>
  </si>
  <si>
    <t>Ferro Alloys</t>
  </si>
  <si>
    <t xml:space="preserve">HT-II(A) </t>
  </si>
  <si>
    <t>Others (Commercial)</t>
  </si>
  <si>
    <t>HT-II(B)</t>
  </si>
  <si>
    <t>Wholly Religious Places</t>
  </si>
  <si>
    <t xml:space="preserve">HT-III </t>
  </si>
  <si>
    <t>Airports, Bus Stations and Railway Stations</t>
  </si>
  <si>
    <t xml:space="preserve">HT-IV(A) </t>
  </si>
  <si>
    <t>Irrigation &amp; Agriculture</t>
  </si>
  <si>
    <t xml:space="preserve">HT-IV(B) </t>
  </si>
  <si>
    <t>CPWS Schemes</t>
  </si>
  <si>
    <t xml:space="preserve">HT-VI </t>
  </si>
  <si>
    <t>Townships and Residential Colonies</t>
  </si>
  <si>
    <t xml:space="preserve">HT-VII </t>
  </si>
  <si>
    <t>HT-VIII</t>
  </si>
  <si>
    <t>RESCOs</t>
  </si>
  <si>
    <t xml:space="preserve">HT-IX </t>
  </si>
  <si>
    <t>Sub-total</t>
  </si>
  <si>
    <t>HT Category at 33 kV</t>
  </si>
  <si>
    <t xml:space="preserve">HT-VIII </t>
  </si>
  <si>
    <t>HT Category at 132 kV and above</t>
  </si>
  <si>
    <t>CPWS</t>
  </si>
  <si>
    <t xml:space="preserve">HT-VA </t>
  </si>
  <si>
    <t>Railway Traction</t>
  </si>
  <si>
    <t>Sub-total (HT)</t>
  </si>
  <si>
    <t>Grand Total</t>
  </si>
  <si>
    <t>Form 3:  Contract Demand</t>
  </si>
  <si>
    <t>Year (n-4)</t>
  </si>
  <si>
    <t>Year (n-3)</t>
  </si>
  <si>
    <t>Year (n-2)</t>
  </si>
  <si>
    <t>Current Year 'n'</t>
  </si>
  <si>
    <t>……...</t>
  </si>
  <si>
    <t>Form 4:  Consumer Sales (Total)</t>
  </si>
  <si>
    <t>A) Consumer Sales</t>
  </si>
  <si>
    <t>(MU)</t>
  </si>
  <si>
    <t>Year (n-1) 2022-23</t>
  </si>
  <si>
    <t>Control Period 2024-25 to 2028-29</t>
  </si>
  <si>
    <t>n+5 
2028-29</t>
  </si>
  <si>
    <t>HT-II(A)</t>
  </si>
  <si>
    <t xml:space="preserve">Irrigation &amp; Agriculture </t>
  </si>
  <si>
    <t>HT- VB</t>
  </si>
  <si>
    <t>HMR</t>
  </si>
  <si>
    <t>B) Month wise Consumer Sales</t>
  </si>
  <si>
    <t>Year (n-4) (Audited)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</si>
  <si>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</si>
  <si>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</si>
  <si>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</si>
  <si>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</si>
  <si>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</si>
  <si>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</si>
  <si>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</si>
  <si>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</si>
  <si>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</si>
  <si>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</si>
  <si>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</si>
  <si>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</si>
  <si>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Total</t>
  </si>
  <si>
    <t>HT-VB</t>
  </si>
  <si>
    <t>Year (n-3) (Audited)</t>
  </si>
  <si>
    <t>Year (n-2) (Audited)</t>
  </si>
  <si>
    <t>Year (n-1) (Audited)</t>
  </si>
  <si>
    <t>Year (n+1) (Projected)</t>
  </si>
  <si>
    <t>Year (n+2) (Projected)</t>
  </si>
  <si>
    <t>Year (n+3) (Projected)</t>
  </si>
  <si>
    <t>Year (n+4) (Projected)</t>
  </si>
  <si>
    <t>Year (n+5) (Projected)</t>
  </si>
  <si>
    <t>Form 4A:  Consumer Sales (Metered)</t>
  </si>
  <si>
    <t>Year (n-4) (Audited) 2019-20</t>
  </si>
  <si>
    <t>Year (n-3) (Audited) 2020-21</t>
  </si>
  <si>
    <t>Year (n-2) (Audited) 2021-22</t>
  </si>
  <si>
    <t>Year (n-1) (Audited) 2022-23</t>
  </si>
  <si>
    <t>Year (n+3) (Projected) 2026-27</t>
  </si>
  <si>
    <t>Year (n+4) (Projected) 2027-28</t>
  </si>
  <si>
    <t>Year (n+5) (Projected) 2028-29</t>
  </si>
  <si>
    <t>Form 4B:  Consumer Sales (Assessed)</t>
  </si>
  <si>
    <t>Form 5: Distribution Loss</t>
  </si>
  <si>
    <t>Year (n-1) - Audited</t>
  </si>
  <si>
    <t>Name of the Distribution Circle</t>
  </si>
  <si>
    <t>Energy Input</t>
  </si>
  <si>
    <t>Energy Sent to Lower network</t>
  </si>
  <si>
    <t xml:space="preserve">Direct Sale </t>
  </si>
  <si>
    <t>Total Output</t>
  </si>
  <si>
    <t>Total Losses</t>
  </si>
  <si>
    <t>Total Losses (% of Energy Input)</t>
  </si>
  <si>
    <t>A</t>
  </si>
  <si>
    <t>33 kV Level</t>
  </si>
  <si>
    <t>Circle 1</t>
  </si>
  <si>
    <t>Circle 2</t>
  </si>
  <si>
    <t>…</t>
  </si>
  <si>
    <t>33 kV level loss</t>
  </si>
  <si>
    <t>B</t>
  </si>
  <si>
    <t>11 kV Level</t>
  </si>
  <si>
    <t>11 kV level loss</t>
  </si>
  <si>
    <t>C</t>
  </si>
  <si>
    <t>LT Level</t>
  </si>
  <si>
    <t>Total Licence Area</t>
  </si>
  <si>
    <t>Current Year 'n' - Estimated</t>
  </si>
  <si>
    <t>Year (n+1) - Projected</t>
  </si>
  <si>
    <t>Year (n+3) - Projected</t>
  </si>
  <si>
    <t>Year (n+4) - Projected</t>
  </si>
  <si>
    <t>Year (n+5) - Projected</t>
  </si>
  <si>
    <t>TSSPDCL</t>
  </si>
  <si>
    <t>Form 6: Energy Balance</t>
  </si>
  <si>
    <t>Units</t>
  </si>
  <si>
    <t>Year (n-1) FY 2022-23</t>
  </si>
  <si>
    <t>Current Year 'n' FY 2023-24</t>
  </si>
  <si>
    <t>n+2                   FY 2025-26</t>
  </si>
  <si>
    <t>n+3            FY 2026-27</t>
  </si>
  <si>
    <t>n+4           FY 2027-28</t>
  </si>
  <si>
    <t>n+5                     FY 2028-29</t>
  </si>
  <si>
    <t>Inter-State purchases</t>
  </si>
  <si>
    <t>MU</t>
  </si>
  <si>
    <t>Inter-State Transmission Losses</t>
  </si>
  <si>
    <t>%</t>
  </si>
  <si>
    <t>Energy available at State boundary from Inter-State purchases (1-3)</t>
  </si>
  <si>
    <t>Purchase from sources connected to Intra State Transmission network</t>
  </si>
  <si>
    <t>EHT Sales</t>
  </si>
  <si>
    <t>Intra State Transmission Losses</t>
  </si>
  <si>
    <t>Energy input into Distribution System (4+5-6-8)</t>
  </si>
  <si>
    <t>33 kV Distribution System</t>
  </si>
  <si>
    <t>Purchase from sources connected to 33 kV Distribution System</t>
  </si>
  <si>
    <t>33 kV Sales</t>
  </si>
  <si>
    <t>33 kV Losses</t>
  </si>
  <si>
    <t>Energy input into 11 kV System (9+10-11-13)</t>
  </si>
  <si>
    <t>11 kV Distribution System</t>
  </si>
  <si>
    <t>Purchase from sources connected to 11 kV Distribution System</t>
  </si>
  <si>
    <t>Net Metering purchases</t>
  </si>
  <si>
    <t>11 kV Sales</t>
  </si>
  <si>
    <t>11 kV Losses</t>
  </si>
  <si>
    <t>Energy input into LT System (14+15+16-17-19)</t>
  </si>
  <si>
    <t>LT Distribution System</t>
  </si>
  <si>
    <t>Purchase from sources connected to LT Distribution System</t>
  </si>
  <si>
    <t>LT Sales</t>
  </si>
  <si>
    <t>LT Losses</t>
  </si>
  <si>
    <t>Total Purchases (1+5+21)</t>
  </si>
  <si>
    <t>Total Sales (6+11+17+22)</t>
  </si>
  <si>
    <t>Total input into Distribution System (9+6)</t>
  </si>
  <si>
    <t>Distribution System Losses (27-26)</t>
  </si>
  <si>
    <t>Distribution System Losses</t>
  </si>
  <si>
    <t>Form 7: Month wise Energy Balance</t>
  </si>
  <si>
    <t>Year (n-1)  FY 2022-23 (Audited)</t>
  </si>
  <si>
    <t>Total Purchases (1+5+10+15+16+21)</t>
  </si>
  <si>
    <t>Total input into Distribution System (9+10+15+16+21)</t>
  </si>
  <si>
    <t>Current Year 'n'  FY 2023-24</t>
  </si>
  <si>
    <t>Energy input into 11 kV System (10-11-13)</t>
  </si>
  <si>
    <t>Energy input into LT System (15+16-17-19)</t>
  </si>
  <si>
    <t>Year (n+2)  FY 2025-26(Projected)</t>
  </si>
  <si>
    <t>Year (n+3)  FY 2026-27 (Projected)</t>
  </si>
  <si>
    <t>Year (n+4)  FY 2027-28 (Projected)</t>
  </si>
  <si>
    <t>Year (n+5)  FY 2028-29 (Projected)</t>
  </si>
  <si>
    <t>Form 8:  Energy Availability</t>
  </si>
  <si>
    <t>Generating Company</t>
  </si>
  <si>
    <t>Generating Station</t>
  </si>
  <si>
    <t>A) State Generating Stations</t>
  </si>
  <si>
    <t>Thermal Generating Stations</t>
  </si>
  <si>
    <t>TSGENCO</t>
  </si>
  <si>
    <t>KTPS-V</t>
  </si>
  <si>
    <t>KTPS-VI</t>
  </si>
  <si>
    <t>KTPS-VII</t>
  </si>
  <si>
    <t>RTS-B</t>
  </si>
  <si>
    <t>KTPP-I</t>
  </si>
  <si>
    <t>KTPP-II</t>
  </si>
  <si>
    <t>BTPS</t>
  </si>
  <si>
    <t>YTPS</t>
  </si>
  <si>
    <t>Hydel Generating Stations</t>
  </si>
  <si>
    <t>PJHES (Inter State)</t>
  </si>
  <si>
    <t>Nagarjuna sagar complex</t>
  </si>
  <si>
    <t>SLBHES</t>
  </si>
  <si>
    <t>LJHES</t>
  </si>
  <si>
    <t>PCHES</t>
  </si>
  <si>
    <t>Pochampad-II</t>
  </si>
  <si>
    <t>Small Hydel</t>
  </si>
  <si>
    <t>Mini Hydel</t>
  </si>
  <si>
    <t>Total (A)</t>
  </si>
  <si>
    <t>B) Central Generating Stations</t>
  </si>
  <si>
    <t>NTPC</t>
  </si>
  <si>
    <t>Ramagundam Stage I&amp;II</t>
  </si>
  <si>
    <t>Ramagundam Stage III</t>
  </si>
  <si>
    <t>Talcher TPS II</t>
  </si>
  <si>
    <t>Simhadri Stage I</t>
  </si>
  <si>
    <t>Simhadri Stage II</t>
  </si>
  <si>
    <t>NTPC Kudgi</t>
  </si>
  <si>
    <t>JNNSM Phase-1 Bundled Power(Coal)</t>
  </si>
  <si>
    <t>NTPC Bundled Power(Coal)</t>
  </si>
  <si>
    <t>TSTPP Unit 1</t>
  </si>
  <si>
    <t>NLC TPS II Stage I</t>
  </si>
  <si>
    <t>NLC TPS II Stage II</t>
  </si>
  <si>
    <t>NNTPP</t>
  </si>
  <si>
    <t>Neyveil New unit -1</t>
  </si>
  <si>
    <t>Neyveil New unit -2</t>
  </si>
  <si>
    <t>NTECL Vallur TPS</t>
  </si>
  <si>
    <t>NLC TamilNadu Power Ltd</t>
  </si>
  <si>
    <t>Nuclear Power Stations</t>
  </si>
  <si>
    <t>NPC</t>
  </si>
  <si>
    <t>NPC Madras APS</t>
  </si>
  <si>
    <t>NPC Kaiga APS Units 1 &amp; 2</t>
  </si>
  <si>
    <t>NPC Kaiga APS Units 3 &amp; 4</t>
  </si>
  <si>
    <t>NPC Kundankulam NPP Unit 2</t>
  </si>
  <si>
    <t>NPC Kundankulam</t>
  </si>
  <si>
    <t>Total (B)</t>
  </si>
  <si>
    <t>C) Independent Power Projects-Conventional</t>
  </si>
  <si>
    <t>SEIL (LT 1)</t>
  </si>
  <si>
    <t>SEIL (LT 2)</t>
  </si>
  <si>
    <t>Total (C)</t>
  </si>
  <si>
    <t>D) Others-Conventional</t>
  </si>
  <si>
    <t>STPP</t>
  </si>
  <si>
    <t>CSPDCL</t>
  </si>
  <si>
    <t>PTC(MT)</t>
  </si>
  <si>
    <t>Total (D)</t>
  </si>
  <si>
    <t>E) Non-Conventional Energy</t>
  </si>
  <si>
    <t>Biomass</t>
  </si>
  <si>
    <t>Bagasse</t>
  </si>
  <si>
    <t>Municipal Waste</t>
  </si>
  <si>
    <t>Industrial Waste</t>
  </si>
  <si>
    <t>Wind</t>
  </si>
  <si>
    <t>Solar</t>
  </si>
  <si>
    <t>Solar(JNNSM Phase I)</t>
  </si>
  <si>
    <t>Solar(NTPC)</t>
  </si>
  <si>
    <t>Solar(SECI)</t>
  </si>
  <si>
    <t>Solar(NTPC,NHPC CPSU) Tr-III 1545MW</t>
  </si>
  <si>
    <t>Solar(PM KUSUM)</t>
  </si>
  <si>
    <t>Solar (NTPC CPSU) Tr-I&amp;II 1692MW</t>
  </si>
  <si>
    <t>Solar(SECI ISTS-IX)</t>
  </si>
  <si>
    <t>NVVNL B.P-Solar</t>
  </si>
  <si>
    <t>NGEL</t>
  </si>
  <si>
    <t>Total (E)</t>
  </si>
  <si>
    <t>F) Short-term Sources</t>
  </si>
  <si>
    <t>Bi-lateral Sales( PTC etc.)</t>
  </si>
  <si>
    <t>Total (F)</t>
  </si>
  <si>
    <t>G) Discom-to-Discom</t>
  </si>
  <si>
    <t>D-D</t>
  </si>
  <si>
    <t>Purchase</t>
  </si>
  <si>
    <t>Sale</t>
  </si>
  <si>
    <t>Total (G)</t>
  </si>
  <si>
    <t>Form 9:  Month Wise Energy Availability-Year (n-1)</t>
  </si>
  <si>
    <t>Installed Capacity (MW)</t>
  </si>
  <si>
    <t>Ex-Bus Capacity (MW)</t>
  </si>
  <si>
    <t>Telangana State Share (MW)</t>
  </si>
  <si>
    <t>Licensee Share (MW)</t>
  </si>
  <si>
    <t xml:space="preserve">Neyveil New unit -1 </t>
  </si>
  <si>
    <t>Form 9:  Month Wise Energy Availability-Current Year 'n'</t>
  </si>
  <si>
    <t xml:space="preserve">Neyveil Expn unit -I </t>
  </si>
  <si>
    <t>Neyveil Expn unit - II</t>
  </si>
  <si>
    <t>NTPC(ER) - Farakka-1</t>
  </si>
  <si>
    <t>NTPC(ER)-Kahalgaon</t>
  </si>
  <si>
    <t>NTPC(ER)-Talcher-I</t>
  </si>
  <si>
    <t>NTPC FGTPS 2 Pushp</t>
  </si>
  <si>
    <t>NTPC NSTPS 1 Pushp</t>
  </si>
  <si>
    <t>NTPC(NER)-Bongaigaon TPS</t>
  </si>
  <si>
    <t>NTPC(NR)-National Capital Therm Pwr_2</t>
  </si>
  <si>
    <t>NPC Kudankulam</t>
  </si>
  <si>
    <t>NGEL (Solar)</t>
  </si>
  <si>
    <t>Total NCEs</t>
  </si>
  <si>
    <t>NSPH</t>
  </si>
  <si>
    <t>SINGUR</t>
  </si>
  <si>
    <t>SSLM LCPH</t>
  </si>
  <si>
    <t>TSTPP Unit 2</t>
  </si>
  <si>
    <t>NPC Kundankulam NPP</t>
  </si>
  <si>
    <t>Bi-lateral Purchases ( PTC etc.)</t>
  </si>
  <si>
    <t>Form 9:  Month Wise Energy Availability-Year (n+3)</t>
  </si>
  <si>
    <t>Form 9:  Month Wise Energy Availability-Year (n+4)</t>
  </si>
  <si>
    <t>Form 9:  Month Wise Energy Availability-Year (n+5)</t>
  </si>
  <si>
    <t>Form 10:  Energy Despatch</t>
  </si>
  <si>
    <t>POCHAMPAD PH</t>
  </si>
  <si>
    <t>NIZAMSAGAR PH</t>
  </si>
  <si>
    <t>Total Hydel</t>
  </si>
  <si>
    <t>Total NCE</t>
  </si>
  <si>
    <t>Bi-lateral Sales( PTC etc.)/ Trading</t>
  </si>
  <si>
    <t>Sale of surplus power</t>
  </si>
  <si>
    <t>Form 11:  Month Wise Energy Despatch-Year (n-1)</t>
  </si>
  <si>
    <t>Year (n-1) (Audited) FY 2022-23</t>
  </si>
  <si>
    <t>Form 11:  Month Wise Energy Despatch-Current Year 'n' FY 2023-24</t>
  </si>
  <si>
    <t>NCEs</t>
  </si>
  <si>
    <t>Form 11:  Month Wise Energy Despatch-Year (n+2) FY 2025-26</t>
  </si>
  <si>
    <t>Form 11:  Month Wise Energy Despatch-Year (n+5) FY 2026-27</t>
  </si>
  <si>
    <t>Form 11:  Month Wise Energy Despatch-Year (n+4) FY 2027-28</t>
  </si>
  <si>
    <t>Form 11:  Month Wise Energy Despatch-Year (n+5) FY 2028-29</t>
  </si>
  <si>
    <t>;</t>
  </si>
  <si>
    <t>Form 15.1: Employee Expenses</t>
  </si>
  <si>
    <t>S.No.</t>
  </si>
  <si>
    <t>Basic Salary</t>
  </si>
  <si>
    <t>Dearness Allowance (DA)</t>
  </si>
  <si>
    <t>House Rent Allowance</t>
  </si>
  <si>
    <t>Conveyance Allowance</t>
  </si>
  <si>
    <t>Leave Travel Allowance</t>
  </si>
  <si>
    <t>Earned Leave Encashment</t>
  </si>
  <si>
    <t>Other Allowances</t>
  </si>
  <si>
    <t>Medical Reimbursement</t>
  </si>
  <si>
    <t>Overtime Payment</t>
  </si>
  <si>
    <t>Bonus/Ex-Gratia Payments</t>
  </si>
  <si>
    <t xml:space="preserve">Interim Relief / Wage Revision </t>
  </si>
  <si>
    <t>Staff welfare expenses</t>
  </si>
  <si>
    <t>VRS Expenses/Retrenchment Compensation</t>
  </si>
  <si>
    <t>Commission to Directors</t>
  </si>
  <si>
    <t>Training Expenses</t>
  </si>
  <si>
    <t>Payment under Workmen's Compensation Act</t>
  </si>
  <si>
    <t>Net Employee Costs</t>
  </si>
  <si>
    <t>Terminal Benefits</t>
  </si>
  <si>
    <t>Provident Fund Contribution</t>
  </si>
  <si>
    <t>Provision for PF Fund</t>
  </si>
  <si>
    <t>Pension Payments</t>
  </si>
  <si>
    <t>Gratuity Payment</t>
  </si>
  <si>
    <t>Unfunded past liabilities of pension and
gratuity</t>
  </si>
  <si>
    <t>Others</t>
  </si>
  <si>
    <t xml:space="preserve">Gross Employee Expenses </t>
  </si>
  <si>
    <t>Less: Expenses Capitalised</t>
  </si>
  <si>
    <t xml:space="preserve">Net Employee Expenses </t>
  </si>
  <si>
    <t>Form 15.2: Administration &amp; General Expenses</t>
  </si>
  <si>
    <t>Rent Rates &amp; Taxes</t>
  </si>
  <si>
    <t>Insurance</t>
  </si>
  <si>
    <t>Telephone &amp; Postage, etc.</t>
  </si>
  <si>
    <t>Legal charges &amp; Audit fee</t>
  </si>
  <si>
    <t>Professional, Consultancy, Technical fee</t>
  </si>
  <si>
    <t>Conveyance &amp; Travel</t>
  </si>
  <si>
    <t>Electricity charges</t>
  </si>
  <si>
    <t>Water charges</t>
  </si>
  <si>
    <t>Security arrangements</t>
  </si>
  <si>
    <t>Fees &amp; subscription</t>
  </si>
  <si>
    <t>Books &amp; periodicals</t>
  </si>
  <si>
    <t>Computer Stationery</t>
  </si>
  <si>
    <t>Printing &amp; Stationery</t>
  </si>
  <si>
    <t xml:space="preserve">Advertisements </t>
  </si>
  <si>
    <t>Purchase Related Advertisement Expenses</t>
  </si>
  <si>
    <t>Contribution/Donations</t>
  </si>
  <si>
    <t>License Fee  and other related fee</t>
  </si>
  <si>
    <t>Vehicle Running Expenses Truck / Delivery Van</t>
  </si>
  <si>
    <t>Vehicle Hiring Expenses Truck / Delivery Van</t>
  </si>
  <si>
    <t>Cost of services procured</t>
  </si>
  <si>
    <t>Outsourcing of metering and billing system</t>
  </si>
  <si>
    <t>Freight On Capital Equipments</t>
  </si>
  <si>
    <t>V-sat, Internet and related charges</t>
  </si>
  <si>
    <t>Training</t>
  </si>
  <si>
    <t>Bank Charges</t>
  </si>
  <si>
    <t>Miscellaneous Expenses</t>
  </si>
  <si>
    <t>Office Expenses</t>
  </si>
  <si>
    <t>Gross A &amp;G Expenses</t>
  </si>
  <si>
    <t xml:space="preserve">Net A &amp;G Expenses </t>
  </si>
  <si>
    <t>Form 15.3: Repair &amp; Maintenance Expenses</t>
  </si>
  <si>
    <t>Plant &amp; Machinery</t>
  </si>
  <si>
    <t>Buildings</t>
  </si>
  <si>
    <t>Civil Works</t>
  </si>
  <si>
    <t>Hydraulic Works</t>
  </si>
  <si>
    <t>Lines &amp; Cable Networks</t>
  </si>
  <si>
    <t>Vehicles</t>
  </si>
  <si>
    <t>Furniture &amp; Fixtures</t>
  </si>
  <si>
    <t>Office Equipment</t>
  </si>
  <si>
    <t>Gross R&amp;M Expenses</t>
  </si>
  <si>
    <t>Gross Fixed Assets at beginning of year</t>
  </si>
  <si>
    <t>R&amp;M Expenses as % of GFA at beginning of year</t>
  </si>
  <si>
    <t>Form 16:  Summary of Capital Expenditure and Capitalisation</t>
  </si>
  <si>
    <t>Opening Capital Works in Progress</t>
  </si>
  <si>
    <t>Capital Expenditure during the year</t>
  </si>
  <si>
    <t>Capitalisation during the year</t>
  </si>
  <si>
    <t>Closing Capital Works in Progress</t>
  </si>
  <si>
    <t>Year (n+2)</t>
  </si>
  <si>
    <t>Year (n+3)</t>
  </si>
  <si>
    <t>Year (n+4)</t>
  </si>
  <si>
    <t>Year (n+5)</t>
  </si>
  <si>
    <t>Loan 1</t>
  </si>
  <si>
    <t>Loan 2</t>
  </si>
  <si>
    <t>Form 17:  Fixed Assets &amp; Depreciation</t>
  </si>
  <si>
    <t xml:space="preserve">Asset Group                                                                                                                                                </t>
  </si>
  <si>
    <t>A/c Code</t>
  </si>
  <si>
    <t>Rate of Depriciation</t>
  </si>
  <si>
    <t xml:space="preserve">Gross fixed Assets </t>
  </si>
  <si>
    <t>Provisions for depreciation</t>
  </si>
  <si>
    <t xml:space="preserve">Net fixed Assets </t>
  </si>
  <si>
    <t>At the beginning of the year</t>
  </si>
  <si>
    <t>Additions during the year</t>
  </si>
  <si>
    <t>Adjust. &amp; deductions</t>
  </si>
  <si>
    <t>At the end of the year</t>
  </si>
  <si>
    <t>Cumulative upto the beginning of the year</t>
  </si>
  <si>
    <t>Adjust. during the year</t>
  </si>
  <si>
    <t>Cumulative at the end of the year</t>
  </si>
  <si>
    <t>Form 18:  Interest and finance charges on loan</t>
  </si>
  <si>
    <t>A.</t>
  </si>
  <si>
    <t>Normative Loan</t>
  </si>
  <si>
    <t>Opening Balance of Gross Normative Loan</t>
  </si>
  <si>
    <t>Cumulative Repayment till the year</t>
  </si>
  <si>
    <t>Opening Balance of Net Normative Loan</t>
  </si>
  <si>
    <t>Less: Reduction of Normative Loan due to retirement or replacement of assets</t>
  </si>
  <si>
    <t>Addition of Normative Loan due to capitalisation during the year</t>
  </si>
  <si>
    <t>Repayment of Normative loan during the year</t>
  </si>
  <si>
    <t>Closing Balance of Net Normative Loan</t>
  </si>
  <si>
    <t>Closing Balance of Gross Normative Loan</t>
  </si>
  <si>
    <t>Average Balance of Net Normative Loan</t>
  </si>
  <si>
    <t>Weighted average Rate of Interest on actual Loans (%)</t>
  </si>
  <si>
    <t>Interest</t>
  </si>
  <si>
    <t>Finance charges</t>
  </si>
  <si>
    <t>Total Interest &amp; Finance charges</t>
  </si>
  <si>
    <t>B.</t>
  </si>
  <si>
    <t>Actual loan portfolio</t>
  </si>
  <si>
    <t>Opening Balance of Loan</t>
  </si>
  <si>
    <t>Addition of Loan during the year</t>
  </si>
  <si>
    <t>Loan Repayment during the year</t>
  </si>
  <si>
    <t>Closing Balance of Loan</t>
  </si>
  <si>
    <t>Average Loan Balance</t>
  </si>
  <si>
    <t>Applicable Interest Rate (%)</t>
  </si>
  <si>
    <t>…......</t>
  </si>
  <si>
    <t>Form 19:  Interest on working capital</t>
  </si>
  <si>
    <t>O&amp;M expenses</t>
  </si>
  <si>
    <t>Maintenance spares</t>
  </si>
  <si>
    <t>Receivables</t>
  </si>
  <si>
    <t>Security Deposits</t>
  </si>
  <si>
    <t>Power purchase cost including transmission charges and SLDC charges</t>
  </si>
  <si>
    <t>Total Working Capital requirement</t>
  </si>
  <si>
    <t>Interest rate</t>
  </si>
  <si>
    <t>Form 20:  Return on Equity</t>
  </si>
  <si>
    <t>Regulatory Equity at the beginning of the year</t>
  </si>
  <si>
    <t>Equity portion of capitalisation during the year</t>
  </si>
  <si>
    <t>Reduction in Equity Capital on account of retirement / replacement of assets</t>
  </si>
  <si>
    <t>Regulatory Equity at the end of the year</t>
  </si>
  <si>
    <t>Rate of Return on Equity</t>
  </si>
  <si>
    <t>Base rate of Return on Equity</t>
  </si>
  <si>
    <t>Effective Income Tax rate</t>
  </si>
  <si>
    <t>Return on Equity Computation</t>
  </si>
  <si>
    <t>Return on Regulatory Equity at the beginning of the year</t>
  </si>
  <si>
    <t>Return on Regulatory Equity addition during the year</t>
  </si>
  <si>
    <t>Total Return on Equity</t>
  </si>
  <si>
    <t>Form 12:  Power Purchase Expenses</t>
  </si>
  <si>
    <t>A) Fixed Charges + Variable Charges + Other Charges</t>
  </si>
  <si>
    <t>n+2                  
 FY 2025-26</t>
  </si>
  <si>
    <t>n+3             
  FY 2026-27</t>
  </si>
  <si>
    <t>n+4          
 FY 2027-28</t>
  </si>
  <si>
    <t>n+5                 
    FY 2028-29</t>
  </si>
  <si>
    <t>Thermal Incentive 2021-22</t>
  </si>
  <si>
    <t>Interest on Pension bonds</t>
  </si>
  <si>
    <t>As per MTR Order and Provision-2022-23</t>
  </si>
  <si>
    <t>TG GENCO Hydel + Water Charges</t>
  </si>
  <si>
    <t>TS GENCO Other Cost</t>
  </si>
  <si>
    <t>NTPC Aravali</t>
  </si>
  <si>
    <t>NCE total</t>
  </si>
  <si>
    <t>Bi-lateral Sales</t>
  </si>
  <si>
    <t>Bi-lateral Purchases</t>
  </si>
  <si>
    <t>PGCIL POC</t>
  </si>
  <si>
    <t>PGCIL Non POC</t>
  </si>
  <si>
    <t>UI-SRPC/Deviation charges</t>
  </si>
  <si>
    <t>Reactive</t>
  </si>
  <si>
    <t>SCED benefit receivable</t>
  </si>
  <si>
    <t>POSOCO</t>
  </si>
  <si>
    <t>TSTRANSCO-TR TSNPDCL</t>
  </si>
  <si>
    <t>TSTRANSCO-SLDC TSNPDCL</t>
  </si>
  <si>
    <t>Wheeling KPTCL</t>
  </si>
  <si>
    <t>STOA</t>
  </si>
  <si>
    <t>LTOA</t>
  </si>
  <si>
    <t>Bi-lateral Sales (PTC etc.)/ trading</t>
  </si>
  <si>
    <t>B) Fixed Charges</t>
  </si>
  <si>
    <t>Water Charges</t>
  </si>
  <si>
    <t>Total Hydel all stations</t>
  </si>
  <si>
    <t>Bi-lateral Sales( PTC etc.) /Trading</t>
  </si>
  <si>
    <t>C) Variable Charges and other charges</t>
  </si>
  <si>
    <t>TOTAL NCE</t>
  </si>
  <si>
    <t>Form 13:  Month Wise Power Purchase Expenses-Year (n-1)</t>
  </si>
  <si>
    <t>A) Fixed Charges + Variable Charges</t>
  </si>
  <si>
    <t>C) Variable Charges</t>
  </si>
  <si>
    <t>Form 13:  Month Wise Power Purchase Expenses-Current Year 'n'</t>
  </si>
  <si>
    <t>TG GENCO HYDEL+Water charges</t>
  </si>
  <si>
    <t>UI-SPRC/Deviation charges</t>
  </si>
  <si>
    <t>Reactive charges</t>
  </si>
  <si>
    <t>Bi-lateral Sales/Trading</t>
  </si>
  <si>
    <t xml:space="preserve">Sale  </t>
  </si>
  <si>
    <t>Total Hydel station cost</t>
  </si>
  <si>
    <t>TSTRANSCO-TR TGNPDCL</t>
  </si>
  <si>
    <t>Solar(JNNSM Phase II)</t>
  </si>
  <si>
    <t>total NCE</t>
  </si>
  <si>
    <t>TGTRANSCO-TR TGNPDCL</t>
  </si>
  <si>
    <t>TGTRANSCO-SLDC TGNPDCL</t>
  </si>
  <si>
    <t xml:space="preserve">Bi-lateral Sales( PTC etc.)/Trading </t>
  </si>
  <si>
    <t>Bi-lateral Purchases (PTC etc.)</t>
  </si>
  <si>
    <t>Bi-lateral Sales (PTC etc.)</t>
  </si>
  <si>
    <t>SINGARENI CCCL unit 1&amp;2</t>
  </si>
  <si>
    <t>Chatthisgarh</t>
  </si>
  <si>
    <t>Neyveil New unit -1 &amp; 2</t>
  </si>
  <si>
    <t>Form 13:  Month Wise Power Purchase Expenses-Year (n+3)</t>
  </si>
  <si>
    <t>Bi-lateral Purchases( PTC etc.)</t>
  </si>
  <si>
    <t>Form 13:  Month Wise Power Purchase Expenses-Year (n+4)</t>
  </si>
  <si>
    <t>Form 13:  Month Wise Power Purchase Expenses-Year (n+5)</t>
  </si>
  <si>
    <t>Form 14:  Transmission and SLDC Charges</t>
  </si>
  <si>
    <t>n+1
FY 2024-25</t>
  </si>
  <si>
    <t>n+2
FY 2025-26</t>
  </si>
  <si>
    <t>n+3
FY 2026-27</t>
  </si>
  <si>
    <t>n+4
FY 2027-28</t>
  </si>
  <si>
    <t>n+5
FY 2028-29</t>
  </si>
  <si>
    <t>Contracted Capacity</t>
  </si>
  <si>
    <t>MW</t>
  </si>
  <si>
    <t>Transmission Rate</t>
  </si>
  <si>
    <t>Rs./kW/month</t>
  </si>
  <si>
    <t>Rs. Crore</t>
  </si>
  <si>
    <t>Generation Capacity</t>
  </si>
  <si>
    <t>A) Distribution Wire Business + Retail Supply Business</t>
  </si>
  <si>
    <t>Distribution Wire Business</t>
  </si>
  <si>
    <t xml:space="preserve">Distribution Wire Business </t>
  </si>
  <si>
    <t>B) Distribution Wire Business</t>
  </si>
  <si>
    <t>C) Retail Supply Business</t>
  </si>
  <si>
    <t>Free Hold Land</t>
  </si>
  <si>
    <t>Plant and Equipment</t>
  </si>
  <si>
    <t>a) Plant and Machinery</t>
  </si>
  <si>
    <t>b) Lines and Cable Network</t>
  </si>
  <si>
    <t>c) Meters and Metering equipment</t>
  </si>
  <si>
    <t>Furniture and Fixture</t>
  </si>
  <si>
    <t>Computers and IT Equipment</t>
  </si>
  <si>
    <t>Intangible Assets</t>
  </si>
  <si>
    <t>A) Distribution Wire Business</t>
  </si>
  <si>
    <t>A) Retail Supply Business</t>
  </si>
  <si>
    <t>Distribution Wire Business + Retail Supply Business</t>
  </si>
  <si>
    <t>Capex Loans</t>
  </si>
  <si>
    <t>Other than Capex loans</t>
  </si>
  <si>
    <t>REC</t>
  </si>
  <si>
    <t>PFC-RAPDRP(GOI-CPL&amp; IPDS)</t>
  </si>
  <si>
    <t>JICA</t>
  </si>
  <si>
    <t>Govt.Loans</t>
  </si>
  <si>
    <t>PTC FSL(20000350 &amp; 634)</t>
  </si>
  <si>
    <t>IREDA(60, 91 &amp; 95ST)</t>
  </si>
  <si>
    <t>REC-Covid(46715941)</t>
  </si>
  <si>
    <t>REC-LPS(46717181)</t>
  </si>
  <si>
    <t>REC-LPS-RTL(46717771)</t>
  </si>
  <si>
    <t>REC-RBPF(46717584)</t>
  </si>
  <si>
    <t>PFC-Covid(37469001)</t>
  </si>
  <si>
    <t>PFC-LPS(37474001)</t>
  </si>
  <si>
    <t>PFC-RBPF(37475001)</t>
  </si>
  <si>
    <t>INTEREST ON CONSUMER SECURITY DEPOSIT</t>
  </si>
  <si>
    <t>Details (Rs. Cr.)</t>
  </si>
  <si>
    <t>2022-23</t>
  </si>
  <si>
    <t>2023-24</t>
  </si>
  <si>
    <t>2024-25</t>
  </si>
  <si>
    <t>2025-26</t>
  </si>
  <si>
    <t>2026-27</t>
  </si>
  <si>
    <t>2027-28</t>
  </si>
  <si>
    <t>2028-29</t>
  </si>
  <si>
    <t>Opening Balance</t>
  </si>
  <si>
    <t>Additions during the Year</t>
  </si>
  <si>
    <t>Closing Balance</t>
  </si>
  <si>
    <t>Average Balance</t>
  </si>
  <si>
    <t>Interest @ % p.a.</t>
  </si>
  <si>
    <t xml:space="preserve">Interest Cost </t>
  </si>
  <si>
    <t>Form 21: Non Tariff Income</t>
  </si>
  <si>
    <t>Deferred Revenue Income</t>
  </si>
  <si>
    <t>Interest on Staff Loans and Advances</t>
  </si>
  <si>
    <t>Income from Investments</t>
  </si>
  <si>
    <t>Interest on Advances to Suppliers/Contractors</t>
  </si>
  <si>
    <t>Security deposits / Bank Guarantee forfeited</t>
  </si>
  <si>
    <t>Fines/Penalties from Suppliers/Mat Cust.</t>
  </si>
  <si>
    <t>Other Miscellaneous Income</t>
  </si>
  <si>
    <t>Power Purchase Rebates earned</t>
  </si>
  <si>
    <t>Recoveries from theft of power or malpractices</t>
  </si>
  <si>
    <t>Reconnection Fee LT &amp; HT</t>
  </si>
  <si>
    <t>Application Registration Fee</t>
  </si>
  <si>
    <t>Supervision Charges from customers</t>
  </si>
  <si>
    <t>Capacitor Charges</t>
  </si>
  <si>
    <t>Meter Testing / Shifting  Charges</t>
  </si>
  <si>
    <t>Other Miscellaneous Receipts</t>
  </si>
  <si>
    <t>Form 22:  Income from Other Businesses</t>
  </si>
  <si>
    <t>Form 23:  Receipts on account of Cross Subsidy Surcharge and Additional Surcharge</t>
  </si>
  <si>
    <t>Receipts on account of Cross Subsidy Surcharge</t>
  </si>
  <si>
    <t>Receipts on account of Additional Surcharge</t>
  </si>
  <si>
    <t>Name of Open Access Consumer</t>
  </si>
  <si>
    <t>Voltage level</t>
  </si>
  <si>
    <t>Open Access Consumption</t>
  </si>
  <si>
    <t>Cross Subsidy Surcharge</t>
  </si>
  <si>
    <t>Additional Surcharge</t>
  </si>
  <si>
    <t>11 kV/33 kV/ 132 kV</t>
  </si>
  <si>
    <t>Rs./kWh</t>
  </si>
  <si>
    <t>Current Year 'n' (Estimated)</t>
  </si>
  <si>
    <t>NA</t>
  </si>
  <si>
    <t>Rs 1.40/unit  in H1 &amp; 1.60/unit in H2</t>
  </si>
  <si>
    <t xml:space="preserve">                          </t>
  </si>
  <si>
    <t xml:space="preserve"> </t>
  </si>
  <si>
    <t>Form 24:  Cost of Service: Embedded Cost Method</t>
  </si>
  <si>
    <t>Generation Cost</t>
  </si>
  <si>
    <t>Transmission - Inter-State</t>
  </si>
  <si>
    <t>Transmission - Intra-State</t>
  </si>
  <si>
    <t>Distribution</t>
  </si>
  <si>
    <t>Retail Supply</t>
  </si>
  <si>
    <t>Cost Allocation</t>
  </si>
  <si>
    <t>Total Cost</t>
  </si>
  <si>
    <t>Sales</t>
  </si>
  <si>
    <t>CoS</t>
  </si>
  <si>
    <t>Demand</t>
  </si>
  <si>
    <t>Energy</t>
  </si>
  <si>
    <t>Demand - G</t>
  </si>
  <si>
    <t>Demand - T</t>
  </si>
  <si>
    <t>Demand - D</t>
  </si>
  <si>
    <t>Cost</t>
  </si>
  <si>
    <t>Rate Basis - Contracts/ NCP G-T interface</t>
  </si>
  <si>
    <t>Recovery Basis - Energy Sales</t>
  </si>
  <si>
    <t>Rs./kVA/Month</t>
  </si>
  <si>
    <t>LT Categories</t>
  </si>
  <si>
    <t>Category wise check</t>
  </si>
  <si>
    <t>Category II (A, B, C &amp; D)</t>
  </si>
  <si>
    <t>Category III</t>
  </si>
  <si>
    <t>Industry</t>
  </si>
  <si>
    <t>Category IV (A&amp;B)</t>
  </si>
  <si>
    <t>Cottage Industries &amp; Dhobighats</t>
  </si>
  <si>
    <t>Category V (A&amp;B)</t>
  </si>
  <si>
    <t>Category VI (A&amp;B)</t>
  </si>
  <si>
    <t>Local Bodies, Street Lighting &amp; PWS</t>
  </si>
  <si>
    <t>Category VII (A&amp;B)</t>
  </si>
  <si>
    <t xml:space="preserve">Others( General Purpose &amp; Temporary) </t>
  </si>
  <si>
    <t>Category IX</t>
  </si>
  <si>
    <t>EVs</t>
  </si>
  <si>
    <t>Category X</t>
  </si>
  <si>
    <t>CPWS  (Carved out of LT -VI CPWS sales &amp; LT: III Industry Category) </t>
  </si>
  <si>
    <t>Category XI</t>
  </si>
  <si>
    <t>Others 2</t>
  </si>
  <si>
    <t>HT Categories</t>
  </si>
  <si>
    <t>HT category 11 kV</t>
  </si>
  <si>
    <t>HT 11kV- I-A</t>
  </si>
  <si>
    <t>Industry General</t>
  </si>
  <si>
    <t>HT 11kV- I-B</t>
  </si>
  <si>
    <t>Ferro Alloy Units</t>
  </si>
  <si>
    <t>HT 11kV- II</t>
  </si>
  <si>
    <t>HT 11kV- III</t>
  </si>
  <si>
    <t>Airports, Bus Stations and Railways Stations</t>
  </si>
  <si>
    <t>HT 11kV- IV-A</t>
  </si>
  <si>
    <t>Lift Irrigation &amp; Agriculture</t>
  </si>
  <si>
    <t>HT 11kV- VI</t>
  </si>
  <si>
    <t>HT VI: Townships &amp; Residential Colonies</t>
  </si>
  <si>
    <t>HT 11kV- VII</t>
  </si>
  <si>
    <t>HT VII: Temporary</t>
  </si>
  <si>
    <t>HT 11kV- VIII</t>
  </si>
  <si>
    <t>RESCO</t>
  </si>
  <si>
    <t>HT 11kV - II-B</t>
  </si>
  <si>
    <t>HT 11kV - VIII</t>
  </si>
  <si>
    <t>HT category 33 kV</t>
  </si>
  <si>
    <t>HT 33kV- I-A</t>
  </si>
  <si>
    <t>HT 33kV- I-B</t>
  </si>
  <si>
    <t>HT 33kV- II</t>
  </si>
  <si>
    <t>HT 33kV- III</t>
  </si>
  <si>
    <t>HT 33kV- IV-A</t>
  </si>
  <si>
    <t>HT 33kV- VI</t>
  </si>
  <si>
    <t>Townships &amp; Residential Colonies</t>
  </si>
  <si>
    <t>HT 33kV- VII</t>
  </si>
  <si>
    <t>Temporary</t>
  </si>
  <si>
    <t>HT 33kV - IX</t>
  </si>
  <si>
    <t>HT category 132 kV</t>
  </si>
  <si>
    <t>HT 132kV- I-A</t>
  </si>
  <si>
    <t>HT 132kV- I-B</t>
  </si>
  <si>
    <t>HT 132kV- II</t>
  </si>
  <si>
    <t>HT 132kV- III</t>
  </si>
  <si>
    <t>HT 132kV- IV-A-i</t>
  </si>
  <si>
    <t>HT 132kV- V-A-i</t>
  </si>
  <si>
    <t xml:space="preserve">Railway Traction </t>
  </si>
  <si>
    <t>HT 132kV- V-B-i</t>
  </si>
  <si>
    <t xml:space="preserve">HMR Traction </t>
  </si>
  <si>
    <t>HT 132kV- VI</t>
  </si>
  <si>
    <t>HT 132kV- VII</t>
  </si>
  <si>
    <t>HT 132kV - VIII</t>
  </si>
  <si>
    <t>Check</t>
  </si>
  <si>
    <t>Form 24.1:  Cost of Service: Embedded Cost Method-Losses</t>
  </si>
  <si>
    <t>(%)</t>
  </si>
  <si>
    <t>Energy Loss</t>
  </si>
  <si>
    <t>Technical Loss</t>
  </si>
  <si>
    <t>HT</t>
  </si>
  <si>
    <t>11 kV</t>
  </si>
  <si>
    <t>33 kV</t>
  </si>
  <si>
    <t>132 kV</t>
  </si>
  <si>
    <t>LT</t>
  </si>
  <si>
    <t>Total Technical Loss</t>
  </si>
  <si>
    <t>Commercial Loss</t>
  </si>
  <si>
    <t>Total Commercial Loss</t>
  </si>
  <si>
    <t>Total Energy Loss</t>
  </si>
  <si>
    <t>Demand Loss</t>
  </si>
  <si>
    <t>Total Demand Loss</t>
  </si>
  <si>
    <t>Form 24.2:  Cost of Service: Embedded Cost Method-Class Factors</t>
  </si>
  <si>
    <t>Energy Data</t>
  </si>
  <si>
    <t>Factors</t>
  </si>
  <si>
    <t>Class Load Factor</t>
  </si>
  <si>
    <t>Class Coincidence Factor - Morning</t>
  </si>
  <si>
    <t>Class Coincidence Factor - Evening</t>
  </si>
  <si>
    <t>Commercial Loss - Non-coincident Demand</t>
  </si>
  <si>
    <t>Commercial Loss - Coincident Demand Evening</t>
  </si>
  <si>
    <t>Commercial Loss - Coincident Demand Morning</t>
  </si>
  <si>
    <t>HT 132kV - VI</t>
  </si>
  <si>
    <t>Form 24.3:  Cost of Service: Embedded Cost Method-Allocation Factors</t>
  </si>
  <si>
    <t>Demand Data</t>
  </si>
  <si>
    <t>Input</t>
  </si>
  <si>
    <t>Non-coincident Demand</t>
  </si>
  <si>
    <t>Coincident Demand - Evening</t>
  </si>
  <si>
    <t>Coincident Demand - Morning</t>
  </si>
  <si>
    <t>Form 24.4:  Cost of Service: Embedded Cost Method-Capacity Allocation</t>
  </si>
  <si>
    <t>(MW)</t>
  </si>
  <si>
    <t>Non-Coincident Demand/Contract Demand</t>
  </si>
  <si>
    <t>Non-Coincident Demand/Contract Demand at G-T interface</t>
  </si>
  <si>
    <t>RESCOS</t>
  </si>
  <si>
    <t>Form 24.6:  Cost of Service: Embedded Cost Method-Power Purchase Expenses Allocation</t>
  </si>
  <si>
    <t>HT 33kV -IX</t>
  </si>
  <si>
    <t>Form 24.5:  Cost of Service: Embedded Cost Method-Transmission and SLDC Charges Allocation</t>
  </si>
  <si>
    <t>Intra State Transmission Charges + SLDC Charges</t>
  </si>
  <si>
    <t>Form 24.7:  Cost of Service: Embedded Cost Method-Distribution Cost Allocation</t>
  </si>
  <si>
    <t>Form 24.7:  Cost of Service: Embedded Cost Method-Retail Supply Cost Allocation</t>
  </si>
  <si>
    <t>HT 11kV- V-A</t>
  </si>
  <si>
    <t>HT 11kV- V-B</t>
  </si>
  <si>
    <t>HT 11kV - VII</t>
  </si>
  <si>
    <t>HT 33kV - X</t>
  </si>
  <si>
    <t>Form 25:  Retail Supply Tariff</t>
  </si>
  <si>
    <t>Year (n-1)-Approved Tariff - 2022-23</t>
  </si>
  <si>
    <t>Current Year 'n'-Current Tariff - 2023-24</t>
  </si>
  <si>
    <t>Year (n+1)-Full Cost Recovery Tariff - 2024-25</t>
  </si>
  <si>
    <t>Year (n+1)-Proposed Tariff - 2024-25</t>
  </si>
  <si>
    <t>Fixed/Demand Charge</t>
  </si>
  <si>
    <t>Energy Charge</t>
  </si>
  <si>
    <t>Unit</t>
  </si>
  <si>
    <t>Rs./Unit/Month</t>
  </si>
  <si>
    <t>Rs./kWh / Rs./kVAh</t>
  </si>
  <si>
    <t>LT I: Domestic</t>
  </si>
  <si>
    <t>LT I (A): Upto 100 Units/Month</t>
  </si>
  <si>
    <t>0-50</t>
  </si>
  <si>
    <t>kW</t>
  </si>
  <si>
    <t xml:space="preserve">51-100 </t>
  </si>
  <si>
    <t>LT I (B): Above 100 Units/Month and Upto 200 Units/Month</t>
  </si>
  <si>
    <t>0-100</t>
  </si>
  <si>
    <t xml:space="preserve">100-200 </t>
  </si>
  <si>
    <t xml:space="preserve">LT I (C): Above 200 Units/Month </t>
  </si>
  <si>
    <t>0-200</t>
  </si>
  <si>
    <t>201-300</t>
  </si>
  <si>
    <t>301-400</t>
  </si>
  <si>
    <t>401-800</t>
  </si>
  <si>
    <t>Above 800 units</t>
  </si>
  <si>
    <t>LT II: Non-Domestic/Commercial</t>
  </si>
  <si>
    <t>LT II (A): Upto 50 Units/Month</t>
  </si>
  <si>
    <t>LT II (B): Above 50 Units/Month</t>
  </si>
  <si>
    <t>101-300</t>
  </si>
  <si>
    <t>301-500</t>
  </si>
  <si>
    <t>Above 500</t>
  </si>
  <si>
    <t>LT II (C): Advertisement Hoardings</t>
  </si>
  <si>
    <t>LT II (D): Hair cutting Salons: Upto 200 units/month</t>
  </si>
  <si>
    <t>51-100</t>
  </si>
  <si>
    <t>100-200</t>
  </si>
  <si>
    <t>LT III: Industry</t>
  </si>
  <si>
    <t>Industries</t>
  </si>
  <si>
    <t>Seasonal Industries (off season)</t>
  </si>
  <si>
    <t>Pisciculture/Prawn culture</t>
  </si>
  <si>
    <t>Sugarcane crushing</t>
  </si>
  <si>
    <t>Poultry farms</t>
  </si>
  <si>
    <t>Mushroom, Rabbit, Sheep &amp; Goat farms</t>
  </si>
  <si>
    <t>LT IV: Cottage Industries</t>
  </si>
  <si>
    <t>20/kW subject to a minimum of Rs.30/month</t>
  </si>
  <si>
    <t>Agro Based Activities</t>
  </si>
  <si>
    <t>LT V: Agriculture</t>
  </si>
  <si>
    <t>LT V (A): Agriculture (DSM Measures Mandatory)</t>
  </si>
  <si>
    <t>Corporate Farmers</t>
  </si>
  <si>
    <t>HP</t>
  </si>
  <si>
    <t>Other than Corporate Farmers (i+ii)</t>
  </si>
  <si>
    <t>LT V (B): Others</t>
  </si>
  <si>
    <t>Horticulture Nurseries upto 15 HP</t>
  </si>
  <si>
    <t>LT VI : Street Lighting &amp; PWS schemes</t>
  </si>
  <si>
    <t>LT VI (A): Street Lighting</t>
  </si>
  <si>
    <t xml:space="preserve">Panchayats </t>
  </si>
  <si>
    <t xml:space="preserve">Municipalities </t>
  </si>
  <si>
    <t>Municipal Corporations</t>
  </si>
  <si>
    <t>LT VI (B): CPWS Schemes</t>
  </si>
  <si>
    <t>32/HP subject to minimum of Rs.50/month</t>
  </si>
  <si>
    <t>32/HP subject to minimum of Rs.100/month</t>
  </si>
  <si>
    <t>LT VII: General</t>
  </si>
  <si>
    <t>LT VII (A): General Purpose</t>
  </si>
  <si>
    <t>LT VII (B): Religious Places</t>
  </si>
  <si>
    <t xml:space="preserve">       Connected Load upto 2 kW</t>
  </si>
  <si>
    <t xml:space="preserve">       Connected Load above 2 kW</t>
  </si>
  <si>
    <t>LT VIII: Temporary Supply</t>
  </si>
  <si>
    <t>LT IX: Evs Charging Station</t>
  </si>
  <si>
    <t>HT-I(A):Industry General</t>
  </si>
  <si>
    <t>11kV</t>
  </si>
  <si>
    <t>kVA</t>
  </si>
  <si>
    <t>33kV</t>
  </si>
  <si>
    <t>132 kV and above</t>
  </si>
  <si>
    <t>HT-I(A): Lights and Fans</t>
  </si>
  <si>
    <t>HT-I(A): Poultry Farms</t>
  </si>
  <si>
    <t>HT-I(A): Industrial Colonies</t>
  </si>
  <si>
    <t>HT-I(A): Seasonal Industries</t>
  </si>
  <si>
    <t>HT-I(A): Optional Category with CMD upto 150kVA</t>
  </si>
  <si>
    <t>HT-I(B): Ferro Alloys</t>
  </si>
  <si>
    <t>HT-II: Others</t>
  </si>
  <si>
    <t>HT-II(B): Wholly religious places</t>
  </si>
  <si>
    <t>HT-III AIRPORTS, RAILWAY STATIONS AND BUS STATIONS</t>
  </si>
  <si>
    <t>HT-IV(A) IRRIGATION AND AGRICULTURE</t>
  </si>
  <si>
    <t>HT-IV(B) CPWS Schemes</t>
  </si>
  <si>
    <t>HT-V(A) Railway Traction</t>
  </si>
  <si>
    <t>HT-V(B) HMR</t>
  </si>
  <si>
    <t>HT-VI Townships &amp; Residential Colonies</t>
  </si>
  <si>
    <t>HT-VII: Temporary</t>
  </si>
  <si>
    <t>HT-VIII: RESCO</t>
  </si>
  <si>
    <t>HT-IX: Electric Vehicle Charging Station</t>
  </si>
  <si>
    <t>During the Period</t>
  </si>
  <si>
    <t>Current ToD charges over Energy Charges - 2023-24</t>
  </si>
  <si>
    <t>Proposed ToD charges over Energy Charges - 2024-25</t>
  </si>
  <si>
    <t>6am to 10am and 6pm to 10pm</t>
  </si>
  <si>
    <t>Plus Rs.1/unit</t>
  </si>
  <si>
    <t>10pm to 6am</t>
  </si>
  <si>
    <t>Less Rs.1/unit</t>
  </si>
  <si>
    <t>Licensee is required to provide the details for the customer categories applicable to its licence area</t>
  </si>
  <si>
    <t>Licensee should furnish separate data for all sub-categories and consumption slabs within each category</t>
  </si>
  <si>
    <t>Form 26:  Revenue from Sale of Power at Approved Tariffs-Year (n-1) 2022-23</t>
  </si>
  <si>
    <t>No. of consumers</t>
  </si>
  <si>
    <t>Connected Load/Contract Demand</t>
  </si>
  <si>
    <t>Tariff</t>
  </si>
  <si>
    <t>Customer Charges</t>
  </si>
  <si>
    <t>FCA</t>
  </si>
  <si>
    <t>Revenue</t>
  </si>
  <si>
    <t>Fixed/Demand Charges</t>
  </si>
  <si>
    <t>Energy Charges</t>
  </si>
  <si>
    <t>MVA</t>
  </si>
  <si>
    <t>MUs</t>
  </si>
  <si>
    <t>Rupees</t>
  </si>
  <si>
    <t>(Rs/kWh or Rs/kVAh)</t>
  </si>
  <si>
    <t>LT-I(A)</t>
  </si>
  <si>
    <t>up to 100 units/month</t>
  </si>
  <si>
    <t>0 - 50 units</t>
  </si>
  <si>
    <t>51 - 100 units</t>
  </si>
  <si>
    <t>LT-I(B)(i)</t>
  </si>
  <si>
    <t>Above 100 units/month &amp; Upto 200 units /month</t>
  </si>
  <si>
    <t>0 - 100 units</t>
  </si>
  <si>
    <t>101 - 200 units</t>
  </si>
  <si>
    <t>LT-I(B)(ii)</t>
  </si>
  <si>
    <t>Above 200 units/month</t>
  </si>
  <si>
    <t>0 - 200 units</t>
  </si>
  <si>
    <t>201 - 300 units</t>
  </si>
  <si>
    <t>301 - 400 units</t>
  </si>
  <si>
    <t>401 - 800 units</t>
  </si>
  <si>
    <t>Above 800 Units</t>
  </si>
  <si>
    <t>LT-II(A)</t>
  </si>
  <si>
    <t>up to 50 units/month</t>
  </si>
  <si>
    <t>LT-II(B)</t>
  </si>
  <si>
    <t>Above 50 units/month</t>
  </si>
  <si>
    <t>101 - 300 units</t>
  </si>
  <si>
    <t>301 - 500 units</t>
  </si>
  <si>
    <t>Above 500 Units</t>
  </si>
  <si>
    <t>LT-II(C)</t>
  </si>
  <si>
    <t>Advertisement Hoardings</t>
  </si>
  <si>
    <t>LT-II(D)</t>
  </si>
  <si>
    <t>Haircutting salons consuming upto 200 units/month</t>
  </si>
  <si>
    <t>Industrial</t>
  </si>
  <si>
    <t>Sugarcane Crushing</t>
  </si>
  <si>
    <t>Poultry Farms</t>
  </si>
  <si>
    <t>Mushroom,Rabbit,Sheep &amp; Goat Farms</t>
  </si>
  <si>
    <t>LT-IV(A)</t>
  </si>
  <si>
    <t>Cottage Indstr. Upto 10 HP</t>
  </si>
  <si>
    <t>LT-IV(B)</t>
  </si>
  <si>
    <t>Agro Based Activity upto 10 HP</t>
  </si>
  <si>
    <t xml:space="preserve"> Agriculture</t>
  </si>
  <si>
    <t>LT-V(A)</t>
  </si>
  <si>
    <t>Other than Corporate Farmers</t>
  </si>
  <si>
    <t>LT-V(B)</t>
  </si>
  <si>
    <t xml:space="preserve"> Horticulture Nurseries upto 15 HP</t>
  </si>
  <si>
    <t xml:space="preserve"> Street Lighting &amp; PWS</t>
  </si>
  <si>
    <t>LT-VI(A)</t>
  </si>
  <si>
    <t xml:space="preserve"> Street Lighting</t>
  </si>
  <si>
    <t>Panchayats</t>
  </si>
  <si>
    <t>Municipalities</t>
  </si>
  <si>
    <t>Muncipal Corporations</t>
  </si>
  <si>
    <t>LT-VI(B)</t>
  </si>
  <si>
    <t>PWS Schemes</t>
  </si>
  <si>
    <t>LT-VII(A)</t>
  </si>
  <si>
    <t>LT-VII(B)</t>
  </si>
  <si>
    <t>CL up to 2 KW</t>
  </si>
  <si>
    <t>CL above 2 KW</t>
  </si>
  <si>
    <t>Category VIII (A&amp;B)</t>
  </si>
  <si>
    <t>Electric Vehicle Charging Stations</t>
  </si>
  <si>
    <t>New LT Categories (Total)</t>
  </si>
  <si>
    <t>TOTAL</t>
  </si>
  <si>
    <t>LT including new categories</t>
  </si>
  <si>
    <t xml:space="preserve">HT Category at 11 kV </t>
  </si>
  <si>
    <t>HT-I Indl General</t>
  </si>
  <si>
    <t xml:space="preserve">Lights &amp; Fans </t>
  </si>
  <si>
    <t>-</t>
  </si>
  <si>
    <t>Poultry Farms Time-of-Day Tariff (6 PM to 10 PM)</t>
  </si>
  <si>
    <t>Poultry Farms Time-of-Day Tariff (6 AM to 10 AM)</t>
  </si>
  <si>
    <t>Poultry Farms Time-of-Day Tariff (10 PM to 6 AM)</t>
  </si>
  <si>
    <t xml:space="preserve">Industrial Colony consumption </t>
  </si>
  <si>
    <t>Seasonal Industries</t>
  </si>
  <si>
    <t>HT-I(A)</t>
  </si>
  <si>
    <t>HT-I (A) Optional Cat. with CMD upto 150 kVA</t>
  </si>
  <si>
    <t>HT-I Indrl. Time-of-Day Tariff (6 PM to 10 PM)</t>
  </si>
  <si>
    <t>HT-I Indrl. Time-of-Day Tariff (6 AM to 10 AM)</t>
  </si>
  <si>
    <t>HT-I Indrl. Time-of-Day Tariff (10 PM to 6 AM)</t>
  </si>
  <si>
    <t>HT - I( B) Ferro-alloys</t>
  </si>
  <si>
    <t>HT-II - Others (Non- Industrial)</t>
  </si>
  <si>
    <t>HT-II Others - Time-of-Day Tariff (6 PM to 10 PM)</t>
  </si>
  <si>
    <t>HT-II Others - Time-of-Day Tariff (6 AM to 10 AM)</t>
  </si>
  <si>
    <t>HT-II Others - Time-of-Day Tariff (10 PM to 6 AM)</t>
  </si>
  <si>
    <t>HT-II - Wholly Religious Places</t>
  </si>
  <si>
    <t>HT-II Wholly Religious Places - Time-of-Day Tariff (6 PM to 10 PM)</t>
  </si>
  <si>
    <t>HT-II Wholly Religious Places - Time-of-Day Tariff (6 AM to 10 AM)</t>
  </si>
  <si>
    <t>HT-II Wholly Religious Places - Time-of-Day Tariff (10 PM to 6 AM)</t>
  </si>
  <si>
    <t>HT-III</t>
  </si>
  <si>
    <t>HT III: Airports, Bus Stations and Railway Stations</t>
  </si>
  <si>
    <t>HT-III - Aviation Time-of-Day Tariff (6 PM to 10 PM)</t>
  </si>
  <si>
    <t>HT-III - Aviation Time-of-Day Tariff (6 AM to 10 AM)</t>
  </si>
  <si>
    <t>HT-III - Aviation Time-of-Day Tariff (10 PM to 6 AM)</t>
  </si>
  <si>
    <t>HT-IV(A)</t>
  </si>
  <si>
    <t>HT -IV A Lift Irrigation and agriculture</t>
  </si>
  <si>
    <t>HT-IV(B)</t>
  </si>
  <si>
    <t>HT- IV B - CP Water Supply Schemes</t>
  </si>
  <si>
    <t>HT-VI</t>
  </si>
  <si>
    <t>HT-VI - Townships &amp; Colony Supply</t>
  </si>
  <si>
    <t>HT-VII</t>
  </si>
  <si>
    <t>HT-VII Temporary</t>
  </si>
  <si>
    <t>HT-IX</t>
  </si>
  <si>
    <t>HT IX : Electric Vehicle Charging Stations</t>
  </si>
  <si>
    <t>HT-IX EVCS  Time-of-Day Tariff (6 PM to 10 PM)</t>
  </si>
  <si>
    <t>HT-IX EVCS Time-of-Day Tariff (6 AM to 10 AM)</t>
  </si>
  <si>
    <t>HT-IX EVCS Time-of-Day Tariff (10 PM to 6 AM)</t>
  </si>
  <si>
    <t xml:space="preserve">HT Category at 33 kV </t>
  </si>
  <si>
    <t xml:space="preserve">HT Category at 132 kV </t>
  </si>
  <si>
    <t>HT-I HMWSSB</t>
  </si>
  <si>
    <t>HT I HMWSSB</t>
  </si>
  <si>
    <t>Time of Day Tariffs (6 PM to 10 PM) - Peak Charges</t>
  </si>
  <si>
    <t>Time of Day Tariffs (6 AM to 10 AM) - Peak Charges</t>
  </si>
  <si>
    <t>Time of Day Tariffs (10 PM to 06 AM) - Incentives</t>
  </si>
  <si>
    <t>HT-V (A)</t>
  </si>
  <si>
    <t>HT-V (A) RailwayTraction</t>
  </si>
  <si>
    <t>HT-V (B)</t>
  </si>
  <si>
    <t>HT-V (B) HMR</t>
  </si>
  <si>
    <t>Total HT</t>
  </si>
  <si>
    <t>(LT+HT)</t>
  </si>
  <si>
    <t>Formula may be changed/ modified based on the Units rate approved for each Category. For example, FC: Rs./ Connection/Month, Rs./kW/Month or Rs./kVAh/Month. EC: Rs./kW or Rs./kVAh etc.</t>
  </si>
  <si>
    <t>Form 26:  Revenue from Sale of Power at Current Tariffs-Year (n+1) - 2024-25</t>
  </si>
  <si>
    <t>Number</t>
  </si>
  <si>
    <t>i Others</t>
  </si>
  <si>
    <t>ii Poly houses and Green houses</t>
  </si>
  <si>
    <t>LT VI (C): PWW</t>
  </si>
  <si>
    <t>LT IX: EVs</t>
  </si>
  <si>
    <t>LT Total</t>
  </si>
  <si>
    <t>HT I(A) - Total (without HMWS&amp;SB)</t>
  </si>
  <si>
    <t>HT (I) A</t>
  </si>
  <si>
    <t>HT I (A): General</t>
  </si>
  <si>
    <t>HT I (A): Optional category (with contract max demand up to 150 kVA)</t>
  </si>
  <si>
    <t>HT I (A): :Lights and Fans</t>
  </si>
  <si>
    <t>HT I (A): Industrial Colonies</t>
  </si>
  <si>
    <t xml:space="preserve">HT I (A):Seasonal Industries </t>
  </si>
  <si>
    <t>HT I: Time of Day Tariffs (6 PM to 10 PM) - Peak Charges</t>
  </si>
  <si>
    <t>HT I: Time of Day Tariffs (6 AM to 10 AM) - Peak Charges</t>
  </si>
  <si>
    <t>HT I: Time of Day Tariffs (10 PM to 06 AM) - Incentives</t>
  </si>
  <si>
    <t>HT I (A): Poultry Farms</t>
  </si>
  <si>
    <t>HT I (A): Poultry Farms -  Normal Timings</t>
  </si>
  <si>
    <t>HT I (A): Poultry Farms-Time of Day Tariffs (6 PM to 10 PM) - Peak Charges</t>
  </si>
  <si>
    <t>HT I (A): Poultry Farms-Time of Day Tariffs (6 AM to 10 AM) - Peak Charges</t>
  </si>
  <si>
    <t>HT I (A):Poultry Farms-Time of Day Tariffs (10 PM to 06 AM) - Incentives</t>
  </si>
  <si>
    <t>HT I (B): Ferro Alloy Units</t>
  </si>
  <si>
    <t>HT II (A): Others</t>
  </si>
  <si>
    <t>Normal Timings</t>
  </si>
  <si>
    <t>HT II (B) : Wholly Religious places</t>
  </si>
  <si>
    <t xml:space="preserve">HT IV: LIS </t>
  </si>
  <si>
    <t>Government LIS</t>
  </si>
  <si>
    <t>HT IV B: CPWS</t>
  </si>
  <si>
    <t>HT IV C Industrial PWW</t>
  </si>
  <si>
    <t>HT V(A): Railway Traction</t>
  </si>
  <si>
    <t>HT V(B): HMR Traction</t>
  </si>
  <si>
    <t>HT VIII: RESCOS</t>
  </si>
  <si>
    <t>HT-IX (EV)</t>
  </si>
  <si>
    <t>HT - 11kV Total</t>
  </si>
  <si>
    <t>HT I (A) Total (without HMWS&amp;SB)</t>
  </si>
  <si>
    <t>HT I (A)</t>
  </si>
  <si>
    <t>Lights and Fans</t>
  </si>
  <si>
    <t>Industrial Colonies</t>
  </si>
  <si>
    <t xml:space="preserve">Seasonal Industries </t>
  </si>
  <si>
    <t>HT I (A): Normal timings</t>
  </si>
  <si>
    <t>HT I (A): Poultry Farms-Time of Day Tariffs (10 PM to 06 AM) - Incentives</t>
  </si>
  <si>
    <t>HT II: Normal timings</t>
  </si>
  <si>
    <t>Additional Loads</t>
  </si>
  <si>
    <t xml:space="preserve">HT IV : Govt LIS </t>
  </si>
  <si>
    <t>HT IV(B) : CPWS</t>
  </si>
  <si>
    <t>HT IV B    CPWS</t>
  </si>
  <si>
    <t>HT IV C Industrial Loads</t>
  </si>
  <si>
    <t>HT IX: EV</t>
  </si>
  <si>
    <t>HT - 33kV Total</t>
  </si>
  <si>
    <t>HT Category at 132 kV</t>
  </si>
  <si>
    <t>HT I(A) :HMWS &amp;SB</t>
  </si>
  <si>
    <t>HT I (B): Ferro Alloy units</t>
  </si>
  <si>
    <t>HT II(A) : Others</t>
  </si>
  <si>
    <t xml:space="preserve">HT IV: Government LIS </t>
  </si>
  <si>
    <t>HT IV(A): UpcomingLiftirrigation projects</t>
  </si>
  <si>
    <t>HT IV B : CPWS</t>
  </si>
  <si>
    <t>HT IV C  PWW</t>
  </si>
  <si>
    <t>HT V: Railway Traction &amp; HMR</t>
  </si>
  <si>
    <t xml:space="preserve">HT V (A): Railway Traction </t>
  </si>
  <si>
    <t>HT V (A): Additional Loads</t>
  </si>
  <si>
    <t xml:space="preserve">HT V (B): HMR Traction </t>
  </si>
  <si>
    <t>HT V (B): Additional loads expected in HMR Traction</t>
  </si>
  <si>
    <t>HT - 132kV Total</t>
  </si>
  <si>
    <t>HT Total</t>
  </si>
  <si>
    <t>LT+HT Total</t>
  </si>
  <si>
    <t>Form 26:  Revenue from Sale of Power at Proposed Tariffs-Year (n+1) - 2024-25</t>
  </si>
  <si>
    <t>Form 26:  Revenue from Sale of Power at proposed Tariffs-Year (n+1) - 2024-25</t>
  </si>
  <si>
    <t>Form 27:  Revenue Summary-Year (n+1) - FY 2024-25</t>
  </si>
  <si>
    <t>Revenue at Current Tariffs</t>
  </si>
  <si>
    <t>Revenue at proposed Tariffs</t>
  </si>
  <si>
    <t>Average Billing Rate</t>
  </si>
  <si>
    <t>HT IX: Electric Vehicles</t>
  </si>
  <si>
    <t>Form 28:  Summary of true-up</t>
  </si>
  <si>
    <t>Previous Year (n-1) - FY 2022-23- Actuals- PP True up (by considering minimum of approved and actual agricultural sales)</t>
  </si>
  <si>
    <t>Normative claimed in true-up</t>
  </si>
  <si>
    <t>Deviation</t>
  </si>
  <si>
    <t>Controllable</t>
  </si>
  <si>
    <t>Uncontrollable</t>
  </si>
  <si>
    <t>Net Entitlement after sharing of gains/(losses)</t>
  </si>
  <si>
    <t>Expenses side summary</t>
  </si>
  <si>
    <t>Genco Thermal</t>
  </si>
  <si>
    <t>Genco Hydel</t>
  </si>
  <si>
    <t>CGS</t>
  </si>
  <si>
    <t>NCE</t>
  </si>
  <si>
    <t>Market</t>
  </si>
  <si>
    <t>Interstate Sale/UI/Sale/Purchase in 33kV &amp; below</t>
  </si>
  <si>
    <t>D-D purchase/UI</t>
  </si>
  <si>
    <t>Interest on Pension Bonds</t>
  </si>
  <si>
    <t>Transmission Charges (Inter and Intra-State, SLDC charges)</t>
  </si>
  <si>
    <t>Miscellaneous Charges</t>
  </si>
  <si>
    <t>Provisional True up approved for FY 2022-23 in RSTO 2023-24</t>
  </si>
  <si>
    <t>Net true up To be done for FY 2022-23</t>
  </si>
  <si>
    <t>Previous Year (n-1) - FY 2022-23- Actuals- PP True up (by considering actual agricultural sales)</t>
  </si>
  <si>
    <t>Current Year (n) - FY 2023-24 - Provisional- PP True up (by considering minimum of approved and actual agricultural sales)</t>
  </si>
  <si>
    <t>Miscellaneous Charges (Water charges, UI-SRPC/Deviation charges, Reactive charges, Wheeling KPTCL charges, Reactive KPTCL charges)</t>
  </si>
  <si>
    <t>PP true up To be done for FY 2023-24</t>
  </si>
  <si>
    <t>Current Year (n) - FY 2023-24 - Provisional- PP True up (by considering actual agricultural sales)</t>
  </si>
  <si>
    <t>Revenue from Sale of Power at Current Tariffs</t>
  </si>
  <si>
    <t>Revenue from Sale of Power at Proposed Tariffs</t>
  </si>
  <si>
    <t>GoTS Subsidy requirement for the licensee</t>
  </si>
  <si>
    <t xml:space="preserve">Residual Revenue (Gap)/Surplus at Proposed Tariffs </t>
  </si>
  <si>
    <t>Licensee should submit the proposed measures to bridge the residual revenue gap, if any, at Proposed Tariffs</t>
  </si>
  <si>
    <t>Additional Pension Liabilities
As per MTR Order and Provision-2022-23</t>
  </si>
  <si>
    <t>Neyveil New unit -1&amp;2</t>
  </si>
  <si>
    <t>Rs Cr</t>
  </si>
  <si>
    <t>Form 26:  Revenue from Sale of Power at Proposed Tariffs-Year (n+2) - 2025-26</t>
  </si>
  <si>
    <t>Form 26:  Revenue from Sale of Power at Current Tariffs-Year (n+2) - 2025-26</t>
  </si>
  <si>
    <t>Year 'n' 2023-24</t>
  </si>
  <si>
    <t>Year (n+1) 2024-25</t>
  </si>
  <si>
    <t>Year (n+2) (Projected) 2025-26</t>
  </si>
  <si>
    <t>Year (n+1) 2024-2025</t>
  </si>
  <si>
    <t>Year (n+2) 2025-26 (Projected)</t>
  </si>
  <si>
    <t>Sale of excess power</t>
  </si>
  <si>
    <t>Year (n+2) FY 25-26 (Projected)</t>
  </si>
  <si>
    <t>Form 13:  Month Wise Power Purchase Expenses-Year (n+2) FY 25-26</t>
  </si>
  <si>
    <t>Year (n+2) FY 25-26 - Projected</t>
  </si>
  <si>
    <t>Year (n+2)  FY 2025-26 (Projected)</t>
  </si>
  <si>
    <t>Form 9:  Month Wise Energy Availability-Year (n+2) FY 25-26</t>
  </si>
  <si>
    <t>Year (n+1) FY 24-25</t>
  </si>
  <si>
    <t>Year (n+2) FY 25-26</t>
  </si>
  <si>
    <t>Less: Non-Tariff Income</t>
  </si>
  <si>
    <t>Appendix C: Retail Supply Business MYT filing formats</t>
  </si>
  <si>
    <t>(n+2)   FY 2025-26</t>
  </si>
  <si>
    <t>(n+2) FY 2025-26</t>
  </si>
  <si>
    <t>(n+2)    FY 2025-26</t>
  </si>
  <si>
    <t>(n+2)  FY 2025-26</t>
  </si>
  <si>
    <t>Form 14: Transmission and SLDC charges</t>
  </si>
  <si>
    <t> TGNPDCL</t>
  </si>
  <si>
    <t>Form 29:  Revenue Gap/(Surplus)-Year (n+2) 2025-26</t>
  </si>
  <si>
    <t>Revenue Gap/(Surplus) -Year (n+2)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</si>
</sst>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(* #,##0.00_);_(* \(#,##0.00\);_(* &quot;-&quot;??_);_(@_)"/>
    <numFmt numFmtId="165" formatCode="_-* #,##0.00_-;\-* #,##0.00_-;_-* &quot;-&quot;??_-;_-@_-"/>
    <numFmt numFmtId="166" formatCode="0.00_)"/>
    <numFmt numFmtId="167" formatCode="&quot;ß&quot;#,##0.00_);\(&quot;ß&quot;#,##0.00\)"/>
    <numFmt numFmtId="168" formatCode="[$-14009]dd\ mmmm\ yyyy;@"/>
    <numFmt numFmtId="169" formatCode="0.0000000"/>
    <numFmt numFmtId="170" formatCode="0.00000000"/>
    <numFmt numFmtId="171" formatCode="0.00000"/>
    <numFmt numFmtId="172" formatCode="0.000000"/>
    <numFmt numFmtId="173" formatCode="0.000"/>
    <numFmt numFmtId="174" formatCode="0.0%"/>
    <numFmt numFmtId="175" formatCode="_(* #,##0_);_(* \(#,##0\);_(* &quot;-&quot;??_);_(@_)"/>
    <numFmt numFmtId="176" formatCode="_(* #,##0.0000_);_(* \(#,##0.0000\);_(* &quot;-&quot;????_);_(@_)"/>
    <numFmt numFmtId="177" formatCode="_(* #,##0.000_);_(* \(#,##0.000\);_(* &quot;-&quot;??_);_(@_)"/>
    <numFmt numFmtId="178" formatCode="_(* #,##0.0_);_(* \(#,##0.0\);_(* &quot;-&quot;??_);_(@_)"/>
    <numFmt numFmtId="179" formatCode="#,##0.0000"/>
    <numFmt numFmtId="180" formatCode="#,##0.000"/>
    <numFmt numFmtId="181" formatCode="#,##0.0"/>
    <numFmt numFmtId="182" formatCode="#,##0.000000"/>
    <numFmt numFmtId="183" formatCode="0.0"/>
    <numFmt numFmtId="184" formatCode="0.000%"/>
    <numFmt numFmtId="185" formatCode="0.0000%"/>
    <numFmt numFmtId="186" formatCode="#,##0.00000"/>
    <numFmt numFmtId="187" formatCode="#,##0.0000000"/>
    <numFmt numFmtId="188" formatCode="#,##0_);\(#,##0\);&quot;-  &quot;;&quot; &quot;@&quot; &quot;"/>
    <numFmt numFmtId="189" formatCode="0.00%_);\-0.00%_);&quot;-  &quot;;&quot; &quot;@&quot; &quot;"/>
    <numFmt numFmtId="190" formatCode="#,##0.0000_);\(#,##0.0000\);&quot;-  &quot;;&quot; &quot;@&quot; &quot;"/>
    <numFmt numFmtId="191" formatCode="dd\ mmm\ yyyy_);\(###0\);&quot;-  &quot;;&quot; &quot;@&quot; &quot;"/>
    <numFmt numFmtId="192" formatCode="dd\ mmm\ yy_);\(###0\);&quot;-  &quot;;&quot; &quot;@&quot; &quot;"/>
    <numFmt numFmtId="193" formatCode="###0_);\(###0\);&quot;-  &quot;;&quot; &quot;@&quot; &quot;"/>
    <numFmt numFmtId="194" formatCode="_(* #,##0_);_(* \(#,##0\);_(* &quot;-&quot;_);@_)"/>
    <numFmt numFmtId="195" formatCode="_(&quot;₹&quot;* #,##0.00_);_(&quot;₹&quot;* \(#,##0.00\);_(&quot;₹&quot;* &quot;-&quot;??_);_(@_)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name val="Tms Rmn"/>
    </font>
    <font>
      <sz val="10"/>
      <name val="Helv"/>
    </font>
    <font>
      <sz val="8"/>
      <name val="Arial"/>
      <family val="2"/>
    </font>
    <font>
      <b/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color indexed="8"/>
      <name val="Arial"/>
      <family val="2"/>
    </font>
    <font>
      <b/>
      <sz val="11"/>
      <color indexed="9"/>
      <name val="Arial"/>
      <family val="2"/>
    </font>
    <font>
      <b/>
      <sz val="1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i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000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rgb="FF0061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1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FF"/>
        <bgColor rgb="FF000000"/>
      </patternFill>
    </fill>
  </fills>
  <borders count="3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0">
    <xf numFmtId="0" fontId="0" fillId="0" borderId="0"/>
    <xf numFmtId="0" fontId="16" fillId="0" borderId="0" applyNumberFormat="0" applyFill="0" applyBorder="0" applyAlignment="0" applyProtection="0"/>
    <xf numFmtId="0" fontId="17" fillId="0" borderId="1"/>
    <xf numFmtId="0" fontId="17" fillId="0" borderId="1"/>
    <xf numFmtId="38" fontId="18" fillId="2" borderId="0" applyNumberFormat="0" applyBorder="0" applyAlignment="0" applyProtection="0"/>
    <xf numFmtId="0" fontId="19" fillId="0" borderId="2" applyNumberFormat="0" applyAlignment="0" applyProtection="0">
      <alignment horizontal="left" vertical="center"/>
    </xf>
    <xf numFmtId="0" fontId="19" fillId="0" borderId="3">
      <alignment horizontal="left" vertical="center"/>
    </xf>
    <xf numFmtId="10" fontId="18" fillId="3" borderId="4" applyNumberFormat="0" applyBorder="0" applyAlignment="0" applyProtection="0"/>
    <xf numFmtId="37" fontId="20" fillId="0" borderId="0"/>
    <xf numFmtId="166" fontId="21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>
      <alignment vertical="center"/>
    </xf>
    <xf numFmtId="167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0" fontId="15" fillId="0" borderId="0"/>
    <xf numFmtId="0" fontId="23" fillId="0" borderId="0"/>
    <xf numFmtId="16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5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4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5" fillId="0" borderId="0" applyBorder="0" applyProtection="0"/>
    <xf numFmtId="167" fontId="2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0" fillId="0" borderId="0"/>
    <xf numFmtId="9" fontId="3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5" fillId="0" borderId="0"/>
    <xf numFmtId="0" fontId="9" fillId="0" borderId="0"/>
    <xf numFmtId="168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0" fontId="46" fillId="10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9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6" fillId="0" borderId="0" applyFont="0" applyFill="0" applyBorder="0" applyProtection="0">
      <alignment vertical="top"/>
    </xf>
    <xf numFmtId="189" fontId="36" fillId="0" borderId="0" applyFont="0" applyFill="0" applyBorder="0" applyProtection="0">
      <alignment vertical="top"/>
    </xf>
    <xf numFmtId="0" fontId="52" fillId="0" borderId="0" applyAlignment="0" applyProtection="0"/>
    <xf numFmtId="190" fontId="36" fillId="0" borderId="0" applyFont="0" applyFill="0" applyBorder="0" applyProtection="0">
      <alignment vertical="top"/>
    </xf>
    <xf numFmtId="191" fontId="36" fillId="0" borderId="0" applyFont="0" applyFill="0" applyBorder="0" applyProtection="0">
      <alignment vertical="top"/>
    </xf>
    <xf numFmtId="192" fontId="36" fillId="0" borderId="0" applyFont="0" applyFill="0" applyBorder="0" applyProtection="0">
      <alignment vertical="top"/>
    </xf>
    <xf numFmtId="193" fontId="36" fillId="0" borderId="0" applyFont="0" applyFill="0" applyBorder="0" applyProtection="0">
      <alignment vertical="top"/>
    </xf>
    <xf numFmtId="9" fontId="53" fillId="0" borderId="0" applyFont="0" applyFill="0" applyBorder="0" applyAlignment="0" applyProtection="0"/>
    <xf numFmtId="194" fontId="53" fillId="0" borderId="0"/>
    <xf numFmtId="188" fontId="4" fillId="0" borderId="0" applyFont="0" applyFill="0" applyBorder="0" applyProtection="0">
      <alignment vertical="top"/>
    </xf>
    <xf numFmtId="164" fontId="36" fillId="0" borderId="0" applyFont="0" applyFill="0" applyBorder="0" applyAlignment="0" applyProtection="0"/>
    <xf numFmtId="188" fontId="53" fillId="0" borderId="0"/>
    <xf numFmtId="9" fontId="36" fillId="0" borderId="0" applyFont="0" applyFill="0" applyBorder="0" applyAlignment="0" applyProtection="0"/>
    <xf numFmtId="188" fontId="36" fillId="0" borderId="0" applyFont="0" applyFill="0" applyBorder="0" applyProtection="0">
      <alignment vertical="top"/>
    </xf>
    <xf numFmtId="189" fontId="36" fillId="0" borderId="0" applyFont="0" applyFill="0" applyBorder="0" applyProtection="0">
      <alignment vertical="top"/>
    </xf>
    <xf numFmtId="164" fontId="3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5" fillId="0" borderId="0"/>
    <xf numFmtId="188" fontId="4" fillId="0" borderId="0" applyFont="0" applyFill="0" applyBorder="0" applyProtection="0">
      <alignment vertical="top"/>
    </xf>
    <xf numFmtId="0" fontId="15" fillId="0" borderId="0"/>
    <xf numFmtId="9" fontId="1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8" fontId="4" fillId="0" borderId="0" applyFont="0" applyFill="0" applyBorder="0" applyProtection="0">
      <alignment vertical="top"/>
    </xf>
    <xf numFmtId="188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188" fontId="36" fillId="0" borderId="0" applyFont="0" applyFill="0" applyBorder="0" applyProtection="0">
      <alignment vertical="top"/>
    </xf>
    <xf numFmtId="188" fontId="36" fillId="0" borderId="0" applyFont="0" applyFill="0" applyBorder="0" applyProtection="0">
      <alignment vertical="top"/>
    </xf>
    <xf numFmtId="188" fontId="4" fillId="0" borderId="0" applyFont="0" applyFill="0" applyBorder="0" applyProtection="0">
      <alignment vertical="top"/>
    </xf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19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8" fontId="4" fillId="0" borderId="0" applyFont="0" applyFill="0" applyBorder="0" applyProtection="0">
      <alignment vertical="top"/>
    </xf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19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6" fillId="0" borderId="0" applyFont="0" applyFill="0" applyBorder="0" applyProtection="0">
      <alignment vertical="top"/>
    </xf>
    <xf numFmtId="188" fontId="4" fillId="0" borderId="0" applyFont="0" applyFill="0" applyBorder="0" applyProtection="0">
      <alignment vertical="top"/>
    </xf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5" fillId="0" borderId="0"/>
    <xf numFmtId="0" fontId="4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8" fontId="4" fillId="0" borderId="0" applyFont="0" applyFill="0" applyBorder="0" applyProtection="0">
      <alignment vertical="top"/>
    </xf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8" fontId="4" fillId="0" borderId="0" applyFont="0" applyFill="0" applyBorder="0" applyProtection="0">
      <alignment vertical="top"/>
    </xf>
    <xf numFmtId="188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1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935">
    <xf numFmtId="0" fontId="0" fillId="0" borderId="0" xfId="0"/>
    <xf numFmtId="0" fontId="22" fillId="0" borderId="4" xfId="14" applyFont="1" applyBorder="1" applyAlignment="1">
      <alignment horizontal="center" vertical="center"/>
    </xf>
    <xf numFmtId="0" fontId="22" fillId="0" borderId="4" xfId="14" applyFont="1" applyBorder="1">
      <alignment vertical="center"/>
    </xf>
    <xf numFmtId="0" fontId="22" fillId="0" borderId="0" xfId="10" applyFont="1"/>
    <xf numFmtId="0" fontId="22" fillId="0" borderId="0" xfId="10" applyFont="1" applyAlignment="1">
      <alignment vertical="center"/>
    </xf>
    <xf numFmtId="0" fontId="22" fillId="0" borderId="0" xfId="14" applyFont="1">
      <alignment vertical="center"/>
    </xf>
    <xf numFmtId="0" fontId="27" fillId="0" borderId="4" xfId="14" applyFont="1" applyBorder="1" applyAlignment="1">
      <alignment horizontal="center" vertical="center"/>
    </xf>
    <xf numFmtId="0" fontId="27" fillId="0" borderId="4" xfId="14" applyFont="1" applyBorder="1" applyAlignment="1">
      <alignment horizontal="center" vertical="center" wrapText="1"/>
    </xf>
    <xf numFmtId="0" fontId="22" fillId="0" borderId="4" xfId="14" applyFont="1" applyBorder="1" applyAlignment="1">
      <alignment horizontal="left" vertical="center"/>
    </xf>
    <xf numFmtId="0" fontId="22" fillId="0" borderId="4" xfId="14" applyFont="1" applyBorder="1" applyAlignment="1">
      <alignment vertical="top" wrapText="1"/>
    </xf>
    <xf numFmtId="0" fontId="27" fillId="0" borderId="4" xfId="14" applyFont="1" applyBorder="1">
      <alignment vertical="center"/>
    </xf>
    <xf numFmtId="0" fontId="22" fillId="0" borderId="4" xfId="10" applyFont="1" applyBorder="1" applyAlignment="1">
      <alignment horizontal="center" vertical="center"/>
    </xf>
    <xf numFmtId="0" fontId="22" fillId="0" borderId="4" xfId="10" applyFont="1" applyBorder="1" applyAlignment="1">
      <alignment horizontal="center" vertical="center" wrapText="1"/>
    </xf>
    <xf numFmtId="0" fontId="27" fillId="0" borderId="4" xfId="10" applyFont="1" applyBorder="1" applyAlignment="1">
      <alignment horizontal="center" vertical="center"/>
    </xf>
    <xf numFmtId="0" fontId="27" fillId="0" borderId="0" xfId="10" applyFont="1" applyAlignment="1">
      <alignment horizontal="left" vertical="center"/>
    </xf>
    <xf numFmtId="0" fontId="27" fillId="0" borderId="0" xfId="10" applyFont="1" applyAlignment="1">
      <alignment horizontal="right" vertical="center"/>
    </xf>
    <xf numFmtId="0" fontId="27" fillId="0" borderId="0" xfId="14" applyFont="1" applyAlignment="1">
      <alignment horizontal="right" vertical="center"/>
    </xf>
    <xf numFmtId="0" fontId="22" fillId="0" borderId="4" xfId="1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2" fillId="0" borderId="4" xfId="10" applyFont="1" applyBorder="1" applyAlignment="1">
      <alignment horizontal="left" vertical="center"/>
    </xf>
    <xf numFmtId="0" fontId="27" fillId="0" borderId="4" xfId="10" applyFont="1" applyBorder="1" applyAlignment="1">
      <alignment horizontal="left" vertical="center" wrapText="1"/>
    </xf>
    <xf numFmtId="0" fontId="27" fillId="0" borderId="4" xfId="10" applyFont="1" applyBorder="1" applyAlignment="1">
      <alignment horizontal="center" vertical="center" wrapText="1"/>
    </xf>
    <xf numFmtId="0" fontId="27" fillId="0" borderId="0" xfId="10" applyFont="1" applyAlignment="1">
      <alignment vertical="center"/>
    </xf>
    <xf numFmtId="0" fontId="27" fillId="0" borderId="0" xfId="14" applyFont="1" applyAlignment="1">
      <alignment horizontal="center" vertical="center"/>
    </xf>
    <xf numFmtId="0" fontId="22" fillId="0" borderId="0" xfId="10" applyFont="1" applyAlignment="1">
      <alignment horizontal="center" vertical="center"/>
    </xf>
    <xf numFmtId="0" fontId="27" fillId="0" borderId="0" xfId="10" applyFont="1" applyAlignment="1">
      <alignment horizontal="center" vertical="center"/>
    </xf>
    <xf numFmtId="0" fontId="27" fillId="0" borderId="0" xfId="14" applyFont="1">
      <alignment vertical="center"/>
    </xf>
    <xf numFmtId="0" fontId="22" fillId="0" borderId="4" xfId="10" applyFont="1" applyBorder="1" applyAlignment="1">
      <alignment horizontal="left" vertical="center" wrapText="1"/>
    </xf>
    <xf numFmtId="0" fontId="27" fillId="0" borderId="4" xfId="10" applyFont="1" applyBorder="1" applyAlignment="1">
      <alignment vertical="center"/>
    </xf>
    <xf numFmtId="0" fontId="22" fillId="0" borderId="4" xfId="10" applyFont="1" applyBorder="1" applyAlignment="1">
      <alignment horizontal="right" vertical="center"/>
    </xf>
    <xf numFmtId="0" fontId="27" fillId="0" borderId="0" xfId="10" applyFont="1" applyAlignment="1">
      <alignment horizontal="centerContinuous"/>
    </xf>
    <xf numFmtId="0" fontId="22" fillId="0" borderId="0" xfId="10" applyFont="1" applyAlignment="1">
      <alignment horizontal="centerContinuous"/>
    </xf>
    <xf numFmtId="0" fontId="22" fillId="0" borderId="4" xfId="10" applyFont="1" applyBorder="1"/>
    <xf numFmtId="0" fontId="27" fillId="0" borderId="4" xfId="10" applyFont="1" applyBorder="1"/>
    <xf numFmtId="0" fontId="22" fillId="0" borderId="4" xfId="10" applyFont="1" applyBorder="1" applyAlignment="1">
      <alignment wrapText="1"/>
    </xf>
    <xf numFmtId="0" fontId="22" fillId="0" borderId="0" xfId="10" applyFont="1" applyAlignment="1">
      <alignment horizontal="left" vertical="center"/>
    </xf>
    <xf numFmtId="0" fontId="22" fillId="0" borderId="0" xfId="10" applyFont="1" applyAlignment="1">
      <alignment horizontal="right" vertical="center"/>
    </xf>
    <xf numFmtId="0" fontId="28" fillId="0" borderId="0" xfId="10" applyFont="1" applyAlignment="1">
      <alignment horizontal="left" vertical="center"/>
    </xf>
    <xf numFmtId="0" fontId="28" fillId="0" borderId="0" xfId="10" applyFont="1" applyAlignment="1">
      <alignment vertical="center"/>
    </xf>
    <xf numFmtId="0" fontId="28" fillId="0" borderId="0" xfId="10" applyFont="1" applyAlignment="1">
      <alignment horizontal="center" vertical="center"/>
    </xf>
    <xf numFmtId="0" fontId="22" fillId="0" borderId="4" xfId="10" quotePrefix="1" applyFont="1" applyBorder="1" applyAlignment="1">
      <alignment horizontal="left" vertical="top" wrapText="1"/>
    </xf>
    <xf numFmtId="0" fontId="22" fillId="0" borderId="4" xfId="10" applyFont="1" applyBorder="1" applyAlignment="1">
      <alignment horizontal="left"/>
    </xf>
    <xf numFmtId="0" fontId="27" fillId="0" borderId="4" xfId="10" applyFont="1" applyBorder="1" applyAlignment="1">
      <alignment horizontal="left"/>
    </xf>
    <xf numFmtId="0" fontId="22" fillId="0" borderId="0" xfId="14" applyFont="1" applyAlignment="1">
      <alignment horizontal="center" vertical="center"/>
    </xf>
    <xf numFmtId="0" fontId="22" fillId="0" borderId="4" xfId="10" applyFont="1" applyBorder="1" applyAlignment="1">
      <alignment horizontal="left" vertical="top" wrapText="1"/>
    </xf>
    <xf numFmtId="0" fontId="27" fillId="0" borderId="0" xfId="10" applyFont="1" applyAlignment="1">
      <alignment horizontal="left"/>
    </xf>
    <xf numFmtId="0" fontId="27" fillId="0" borderId="0" xfId="10" applyFont="1" applyAlignment="1">
      <alignment horizontal="right"/>
    </xf>
    <xf numFmtId="0" fontId="27" fillId="0" borderId="0" xfId="10" applyFont="1" applyAlignment="1">
      <alignment horizontal="left" vertical="center" wrapText="1"/>
    </xf>
    <xf numFmtId="0" fontId="27" fillId="0" borderId="0" xfId="10" applyFont="1" applyAlignment="1">
      <alignment horizontal="center" vertical="center" wrapText="1"/>
    </xf>
    <xf numFmtId="0" fontId="22" fillId="0" borderId="7" xfId="10" applyFont="1" applyBorder="1" applyAlignment="1">
      <alignment horizontal="center" vertical="center"/>
    </xf>
    <xf numFmtId="0" fontId="28" fillId="0" borderId="0" xfId="10" applyFont="1" applyAlignment="1">
      <alignment horizontal="right" vertical="center"/>
    </xf>
    <xf numFmtId="0" fontId="22" fillId="0" borderId="0" xfId="10" applyFont="1" applyAlignment="1">
      <alignment horizontal="center"/>
    </xf>
    <xf numFmtId="10" fontId="22" fillId="4" borderId="4" xfId="39" applyNumberFormat="1" applyFont="1" applyFill="1" applyBorder="1" applyAlignment="1">
      <alignment horizontal="center" vertical="center"/>
    </xf>
    <xf numFmtId="10" fontId="29" fillId="0" borderId="4" xfId="39" applyNumberFormat="1" applyFont="1" applyFill="1" applyBorder="1" applyAlignment="1">
      <alignment horizontal="center" vertical="center"/>
    </xf>
    <xf numFmtId="0" fontId="22" fillId="0" borderId="4" xfId="10" applyFont="1" applyBorder="1" applyAlignment="1">
      <alignment vertical="center" wrapText="1"/>
    </xf>
    <xf numFmtId="0" fontId="22" fillId="0" borderId="9" xfId="14" applyFont="1" applyBorder="1">
      <alignment vertical="center"/>
    </xf>
    <xf numFmtId="0" fontId="27" fillId="0" borderId="4" xfId="10" applyFont="1" applyBorder="1" applyAlignment="1">
      <alignment vertical="center" wrapText="1"/>
    </xf>
    <xf numFmtId="0" fontId="22" fillId="0" borderId="0" xfId="10" applyFont="1" applyAlignment="1">
      <alignment horizontal="centerContinuous" vertical="center"/>
    </xf>
    <xf numFmtId="0" fontId="22" fillId="4" borderId="4" xfId="10" applyFont="1" applyFill="1" applyBorder="1" applyAlignment="1">
      <alignment vertical="center" wrapText="1"/>
    </xf>
    <xf numFmtId="0" fontId="22" fillId="4" borderId="4" xfId="10" applyFont="1" applyFill="1" applyBorder="1" applyAlignment="1">
      <alignment vertical="center"/>
    </xf>
    <xf numFmtId="0" fontId="22" fillId="4" borderId="0" xfId="10" applyFont="1" applyFill="1" applyAlignment="1">
      <alignment vertical="center"/>
    </xf>
    <xf numFmtId="0" fontId="22" fillId="0" borderId="0" xfId="0" applyFont="1" applyAlignment="1">
      <alignment vertical="center"/>
    </xf>
    <xf numFmtId="0" fontId="27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2" fontId="22" fillId="0" borderId="0" xfId="10" applyNumberFormat="1" applyFont="1" applyAlignment="1">
      <alignment vertical="center"/>
    </xf>
    <xf numFmtId="0" fontId="31" fillId="0" borderId="0" xfId="0" applyFont="1" applyAlignment="1">
      <alignment vertical="center"/>
    </xf>
    <xf numFmtId="2" fontId="22" fillId="0" borderId="4" xfId="10" applyNumberFormat="1" applyFont="1" applyBorder="1" applyAlignment="1">
      <alignment vertical="center"/>
    </xf>
    <xf numFmtId="0" fontId="30" fillId="0" borderId="0" xfId="10" applyFont="1" applyAlignment="1">
      <alignment vertical="center"/>
    </xf>
    <xf numFmtId="0" fontId="27" fillId="0" borderId="0" xfId="10" applyFont="1" applyAlignment="1">
      <alignment horizontal="centerContinuous" vertical="center"/>
    </xf>
    <xf numFmtId="0" fontId="22" fillId="0" borderId="4" xfId="14" applyFont="1" applyBorder="1" applyAlignment="1">
      <alignment vertical="top"/>
    </xf>
    <xf numFmtId="0" fontId="27" fillId="0" borderId="6" xfId="10" applyFont="1" applyBorder="1" applyAlignment="1">
      <alignment horizontal="center" vertical="center"/>
    </xf>
    <xf numFmtId="0" fontId="27" fillId="4" borderId="6" xfId="10" applyFont="1" applyFill="1" applyBorder="1" applyAlignment="1">
      <alignment horizontal="left" vertical="center"/>
    </xf>
    <xf numFmtId="0" fontId="27" fillId="0" borderId="8" xfId="14" applyFont="1" applyBorder="1" applyAlignment="1">
      <alignment horizontal="center" vertical="center"/>
    </xf>
    <xf numFmtId="0" fontId="22" fillId="4" borderId="6" xfId="10" applyFont="1" applyFill="1" applyBorder="1" applyAlignment="1">
      <alignment horizontal="center" vertical="center"/>
    </xf>
    <xf numFmtId="0" fontId="22" fillId="0" borderId="6" xfId="10" applyFont="1" applyBorder="1" applyAlignment="1">
      <alignment horizontal="center" vertical="center"/>
    </xf>
    <xf numFmtId="0" fontId="22" fillId="4" borderId="6" xfId="10" applyFont="1" applyFill="1" applyBorder="1" applyAlignment="1">
      <alignment horizontal="left" vertical="center"/>
    </xf>
    <xf numFmtId="0" fontId="22" fillId="4" borderId="4" xfId="10" applyFont="1" applyFill="1" applyBorder="1" applyAlignment="1">
      <alignment horizontal="left" vertical="center"/>
    </xf>
    <xf numFmtId="0" fontId="22" fillId="4" borderId="4" xfId="10" applyFont="1" applyFill="1" applyBorder="1" applyAlignment="1">
      <alignment horizontal="center" vertical="center"/>
    </xf>
    <xf numFmtId="0" fontId="27" fillId="4" borderId="4" xfId="10" applyFont="1" applyFill="1" applyBorder="1" applyAlignment="1">
      <alignment horizontal="center" vertical="center"/>
    </xf>
    <xf numFmtId="0" fontId="27" fillId="4" borderId="4" xfId="10" applyFont="1" applyFill="1" applyBorder="1" applyAlignment="1">
      <alignment horizontal="left" vertical="center"/>
    </xf>
    <xf numFmtId="0" fontId="22" fillId="0" borderId="0" xfId="10" applyFont="1" applyAlignment="1">
      <alignment vertical="center" wrapText="1"/>
    </xf>
    <xf numFmtId="0" fontId="27" fillId="0" borderId="0" xfId="10" applyFont="1" applyAlignment="1">
      <alignment vertical="center" wrapText="1"/>
    </xf>
    <xf numFmtId="0" fontId="22" fillId="0" borderId="4" xfId="10" applyFont="1" applyBorder="1" applyAlignment="1">
      <alignment horizontal="left" vertical="center" indent="1"/>
    </xf>
    <xf numFmtId="2" fontId="33" fillId="0" borderId="4" xfId="52" applyNumberFormat="1" applyFont="1" applyBorder="1" applyAlignment="1">
      <alignment horizontal="center" vertical="center" wrapText="1"/>
    </xf>
    <xf numFmtId="0" fontId="27" fillId="0" borderId="4" xfId="14" applyFont="1" applyBorder="1" applyAlignment="1">
      <alignment horizontal="center" vertical="top" wrapText="1"/>
    </xf>
    <xf numFmtId="0" fontId="22" fillId="0" borderId="4" xfId="14" applyFont="1" applyBorder="1" applyAlignment="1">
      <alignment horizontal="center" vertical="top" wrapText="1"/>
    </xf>
    <xf numFmtId="2" fontId="27" fillId="6" borderId="4" xfId="10" applyNumberFormat="1" applyFont="1" applyFill="1" applyBorder="1" applyAlignment="1">
      <alignment vertical="center"/>
    </xf>
    <xf numFmtId="2" fontId="27" fillId="0" borderId="4" xfId="14" applyNumberFormat="1" applyFont="1" applyBorder="1" applyAlignment="1">
      <alignment horizontal="center" vertical="center" wrapText="1"/>
    </xf>
    <xf numFmtId="9" fontId="27" fillId="6" borderId="4" xfId="71" applyFont="1" applyFill="1" applyBorder="1" applyAlignment="1">
      <alignment vertical="center"/>
    </xf>
    <xf numFmtId="9" fontId="22" fillId="0" borderId="4" xfId="71" applyFont="1" applyBorder="1" applyAlignment="1">
      <alignment vertical="center"/>
    </xf>
    <xf numFmtId="2" fontId="27" fillId="6" borderId="4" xfId="0" applyNumberFormat="1" applyFont="1" applyFill="1" applyBorder="1" applyAlignment="1">
      <alignment vertical="center"/>
    </xf>
    <xf numFmtId="2" fontId="22" fillId="0" borderId="4" xfId="0" applyNumberFormat="1" applyFont="1" applyBorder="1" applyAlignment="1">
      <alignment vertical="center"/>
    </xf>
    <xf numFmtId="2" fontId="22" fillId="0" borderId="4" xfId="14" applyNumberFormat="1" applyFont="1" applyBorder="1">
      <alignment vertical="center"/>
    </xf>
    <xf numFmtId="2" fontId="22" fillId="0" borderId="4" xfId="10" applyNumberFormat="1" applyFont="1" applyBorder="1" applyAlignment="1">
      <alignment horizontal="right" vertical="center"/>
    </xf>
    <xf numFmtId="2" fontId="22" fillId="6" borderId="4" xfId="10" applyNumberFormat="1" applyFont="1" applyFill="1" applyBorder="1" applyAlignment="1">
      <alignment horizontal="right" vertical="center"/>
    </xf>
    <xf numFmtId="2" fontId="27" fillId="6" borderId="4" xfId="10" applyNumberFormat="1" applyFont="1" applyFill="1" applyBorder="1" applyAlignment="1">
      <alignment horizontal="right" vertical="center"/>
    </xf>
    <xf numFmtId="2" fontId="27" fillId="6" borderId="4" xfId="10" applyNumberFormat="1" applyFont="1" applyFill="1" applyBorder="1"/>
    <xf numFmtId="2" fontId="27" fillId="6" borderId="4" xfId="14" applyNumberFormat="1" applyFont="1" applyFill="1" applyBorder="1">
      <alignment vertical="center"/>
    </xf>
    <xf numFmtId="2" fontId="22" fillId="6" borderId="4" xfId="14" applyNumberFormat="1" applyFont="1" applyFill="1" applyBorder="1">
      <alignment vertical="center"/>
    </xf>
    <xf numFmtId="2" fontId="27" fillId="0" borderId="4" xfId="14" applyNumberFormat="1" applyFont="1" applyBorder="1">
      <alignment vertical="center"/>
    </xf>
    <xf numFmtId="2" fontId="22" fillId="6" borderId="4" xfId="10" applyNumberFormat="1" applyFont="1" applyFill="1" applyBorder="1" applyAlignment="1">
      <alignment vertical="center"/>
    </xf>
    <xf numFmtId="2" fontId="22" fillId="0" borderId="4" xfId="10" applyNumberFormat="1" applyFont="1" applyBorder="1" applyAlignment="1">
      <alignment horizontal="center" vertical="center" wrapText="1"/>
    </xf>
    <xf numFmtId="2" fontId="22" fillId="6" borderId="4" xfId="10" applyNumberFormat="1" applyFont="1" applyFill="1" applyBorder="1" applyAlignment="1">
      <alignment horizontal="center" vertical="center" wrapText="1"/>
    </xf>
    <xf numFmtId="2" fontId="27" fillId="6" borderId="9" xfId="14" applyNumberFormat="1" applyFont="1" applyFill="1" applyBorder="1">
      <alignment vertical="center"/>
    </xf>
    <xf numFmtId="2" fontId="22" fillId="0" borderId="4" xfId="10" applyNumberFormat="1" applyFont="1" applyBorder="1" applyAlignment="1">
      <alignment horizontal="left" vertical="center"/>
    </xf>
    <xf numFmtId="2" fontId="27" fillId="0" borderId="4" xfId="10" applyNumberFormat="1" applyFont="1" applyBorder="1" applyAlignment="1">
      <alignment horizontal="right" vertical="center"/>
    </xf>
    <xf numFmtId="2" fontId="27" fillId="6" borderId="4" xfId="14" applyNumberFormat="1" applyFont="1" applyFill="1" applyBorder="1" applyAlignment="1">
      <alignment horizontal="right" vertical="center"/>
    </xf>
    <xf numFmtId="0" fontId="22" fillId="0" borderId="9" xfId="10" applyFont="1" applyBorder="1" applyAlignment="1">
      <alignment vertical="center"/>
    </xf>
    <xf numFmtId="2" fontId="27" fillId="0" borderId="4" xfId="10" applyNumberFormat="1" applyFont="1" applyBorder="1" applyAlignment="1">
      <alignment vertical="center"/>
    </xf>
    <xf numFmtId="2" fontId="22" fillId="4" borderId="4" xfId="10" applyNumberFormat="1" applyFont="1" applyFill="1" applyBorder="1" applyAlignment="1">
      <alignment vertical="center"/>
    </xf>
    <xf numFmtId="1" fontId="22" fillId="4" borderId="4" xfId="10" applyNumberFormat="1" applyFont="1" applyFill="1" applyBorder="1" applyAlignment="1">
      <alignment vertical="center"/>
    </xf>
    <xf numFmtId="1" fontId="22" fillId="0" borderId="4" xfId="10" applyNumberFormat="1" applyFont="1" applyBorder="1" applyAlignment="1">
      <alignment vertical="center"/>
    </xf>
    <xf numFmtId="169" fontId="22" fillId="0" borderId="4" xfId="10" applyNumberFormat="1" applyFont="1" applyBorder="1" applyAlignment="1">
      <alignment vertical="center"/>
    </xf>
    <xf numFmtId="1" fontId="0" fillId="0" borderId="4" xfId="0" applyNumberFormat="1" applyBorder="1"/>
    <xf numFmtId="1" fontId="32" fillId="0" borderId="4" xfId="0" applyNumberFormat="1" applyFont="1" applyBorder="1"/>
    <xf numFmtId="170" fontId="22" fillId="0" borderId="4" xfId="10" applyNumberFormat="1" applyFont="1" applyBorder="1" applyAlignment="1">
      <alignment vertical="center"/>
    </xf>
    <xf numFmtId="0" fontId="22" fillId="0" borderId="6" xfId="10" applyFont="1" applyBorder="1" applyAlignment="1">
      <alignment vertical="center"/>
    </xf>
    <xf numFmtId="0" fontId="35" fillId="0" borderId="5" xfId="0" applyFont="1" applyBorder="1" applyAlignment="1">
      <alignment horizontal="left" vertical="center" wrapText="1"/>
    </xf>
    <xf numFmtId="0" fontId="22" fillId="5" borderId="0" xfId="10" applyFont="1" applyFill="1" applyAlignment="1">
      <alignment vertical="center"/>
    </xf>
    <xf numFmtId="0" fontId="22" fillId="5" borderId="4" xfId="10" applyFont="1" applyFill="1" applyBorder="1" applyAlignment="1">
      <alignment vertical="center"/>
    </xf>
    <xf numFmtId="2" fontId="22" fillId="5" borderId="4" xfId="10" applyNumberFormat="1" applyFont="1" applyFill="1" applyBorder="1" applyAlignment="1">
      <alignment vertical="center"/>
    </xf>
    <xf numFmtId="171" fontId="22" fillId="0" borderId="0" xfId="10" applyNumberFormat="1" applyFont="1" applyAlignment="1">
      <alignment vertical="center"/>
    </xf>
    <xf numFmtId="172" fontId="22" fillId="0" borderId="4" xfId="10" applyNumberFormat="1" applyFont="1" applyBorder="1" applyAlignment="1">
      <alignment vertical="center"/>
    </xf>
    <xf numFmtId="0" fontId="22" fillId="0" borderId="6" xfId="10" applyFont="1" applyBorder="1" applyAlignment="1">
      <alignment horizontal="left" vertical="center" wrapText="1"/>
    </xf>
    <xf numFmtId="2" fontId="22" fillId="0" borderId="0" xfId="10" applyNumberFormat="1" applyFont="1" applyAlignment="1">
      <alignment horizontal="center" vertical="center"/>
    </xf>
    <xf numFmtId="0" fontId="22" fillId="7" borderId="4" xfId="10" applyFont="1" applyFill="1" applyBorder="1" applyAlignment="1">
      <alignment vertical="center"/>
    </xf>
    <xf numFmtId="0" fontId="36" fillId="0" borderId="4" xfId="0" applyFont="1" applyBorder="1" applyAlignment="1">
      <alignment vertical="top"/>
    </xf>
    <xf numFmtId="1" fontId="37" fillId="0" borderId="4" xfId="10" applyNumberFormat="1" applyFont="1" applyBorder="1" applyAlignment="1">
      <alignment vertical="center"/>
    </xf>
    <xf numFmtId="0" fontId="37" fillId="0" borderId="4" xfId="10" applyFont="1" applyBorder="1" applyAlignment="1">
      <alignment vertical="center"/>
    </xf>
    <xf numFmtId="2" fontId="22" fillId="0" borderId="4" xfId="10" applyNumberFormat="1" applyFont="1" applyBorder="1" applyAlignment="1">
      <alignment horizontal="center" vertical="center"/>
    </xf>
    <xf numFmtId="2" fontId="27" fillId="0" borderId="4" xfId="10" applyNumberFormat="1" applyFont="1" applyBorder="1" applyAlignment="1">
      <alignment horizontal="center" vertical="center"/>
    </xf>
    <xf numFmtId="3" fontId="22" fillId="0" borderId="4" xfId="10" applyNumberFormat="1" applyFont="1" applyBorder="1" applyAlignment="1">
      <alignment horizontal="center" vertical="center"/>
    </xf>
    <xf numFmtId="1" fontId="22" fillId="0" borderId="4" xfId="10" applyNumberFormat="1" applyFont="1" applyBorder="1" applyAlignment="1">
      <alignment horizontal="center" vertical="center"/>
    </xf>
    <xf numFmtId="1" fontId="22" fillId="4" borderId="4" xfId="10" applyNumberFormat="1" applyFont="1" applyFill="1" applyBorder="1" applyAlignment="1">
      <alignment horizontal="center" vertical="center"/>
    </xf>
    <xf numFmtId="1" fontId="27" fillId="0" borderId="4" xfId="10" applyNumberFormat="1" applyFont="1" applyBorder="1" applyAlignment="1">
      <alignment horizontal="center" vertical="center"/>
    </xf>
    <xf numFmtId="2" fontId="27" fillId="6" borderId="4" xfId="14" applyNumberFormat="1" applyFont="1" applyFill="1" applyBorder="1" applyAlignment="1">
      <alignment horizontal="center" vertical="center"/>
    </xf>
    <xf numFmtId="2" fontId="22" fillId="0" borderId="4" xfId="14" applyNumberFormat="1" applyFont="1" applyBorder="1" applyAlignment="1">
      <alignment horizontal="center" vertical="center"/>
    </xf>
    <xf numFmtId="0" fontId="27" fillId="0" borderId="8" xfId="14" applyFont="1" applyBorder="1" applyAlignment="1">
      <alignment horizontal="center" vertical="center" wrapText="1"/>
    </xf>
    <xf numFmtId="0" fontId="27" fillId="4" borderId="9" xfId="10" applyFont="1" applyFill="1" applyBorder="1" applyAlignment="1">
      <alignment horizontal="center" vertical="center"/>
    </xf>
    <xf numFmtId="0" fontId="33" fillId="0" borderId="4" xfId="52" applyFont="1" applyBorder="1" applyAlignment="1">
      <alignment horizontal="center" vertical="center"/>
    </xf>
    <xf numFmtId="0" fontId="33" fillId="0" borderId="4" xfId="52" applyFont="1" applyBorder="1" applyAlignment="1">
      <alignment horizontal="center" vertical="center" wrapText="1"/>
    </xf>
    <xf numFmtId="164" fontId="22" fillId="0" borderId="4" xfId="98" applyFont="1" applyBorder="1" applyAlignment="1">
      <alignment vertical="center"/>
    </xf>
    <xf numFmtId="0" fontId="22" fillId="0" borderId="4" xfId="11" applyFont="1" applyBorder="1" applyAlignment="1">
      <alignment horizontal="left" vertical="center" indent="1"/>
    </xf>
    <xf numFmtId="0" fontId="22" fillId="0" borderId="4" xfId="11" applyFont="1" applyBorder="1" applyAlignment="1">
      <alignment vertical="center"/>
    </xf>
    <xf numFmtId="0" fontId="27" fillId="0" borderId="4" xfId="11" applyFont="1" applyBorder="1" applyAlignment="1">
      <alignment horizontal="left" vertical="center" indent="1"/>
    </xf>
    <xf numFmtId="164" fontId="22" fillId="0" borderId="4" xfId="98" applyFont="1" applyFill="1" applyBorder="1" applyAlignment="1">
      <alignment vertical="center"/>
    </xf>
    <xf numFmtId="0" fontId="27" fillId="0" borderId="4" xfId="11" applyFont="1" applyBorder="1" applyAlignment="1">
      <alignment vertical="center"/>
    </xf>
    <xf numFmtId="0" fontId="22" fillId="0" borderId="9" xfId="11" applyFont="1" applyBorder="1" applyAlignment="1">
      <alignment vertical="center"/>
    </xf>
    <xf numFmtId="0" fontId="22" fillId="4" borderId="4" xfId="11" applyFont="1" applyFill="1" applyBorder="1" applyAlignment="1">
      <alignment vertical="center"/>
    </xf>
    <xf numFmtId="0" fontId="33" fillId="0" borderId="4" xfId="10" applyFont="1" applyBorder="1" applyAlignment="1">
      <alignment horizontal="center" vertical="center"/>
    </xf>
    <xf numFmtId="0" fontId="33" fillId="0" borderId="4" xfId="10" applyFont="1" applyBorder="1" applyAlignment="1">
      <alignment horizontal="center" vertical="center" wrapText="1"/>
    </xf>
    <xf numFmtId="0" fontId="27" fillId="0" borderId="0" xfId="11" applyFont="1" applyAlignment="1">
      <alignment horizontal="center" vertical="center"/>
    </xf>
    <xf numFmtId="174" fontId="27" fillId="0" borderId="4" xfId="39" applyNumberFormat="1" applyFont="1" applyFill="1" applyBorder="1" applyAlignment="1">
      <alignment vertical="center"/>
    </xf>
    <xf numFmtId="174" fontId="22" fillId="0" borderId="4" xfId="39" applyNumberFormat="1" applyFont="1" applyBorder="1" applyAlignment="1">
      <alignment vertical="center"/>
    </xf>
    <xf numFmtId="10" fontId="27" fillId="0" borderId="4" xfId="39" applyNumberFormat="1" applyFont="1" applyBorder="1" applyAlignment="1">
      <alignment vertical="center"/>
    </xf>
    <xf numFmtId="10" fontId="22" fillId="0" borderId="4" xfId="39" applyNumberFormat="1" applyFont="1" applyBorder="1" applyAlignment="1">
      <alignment vertical="center"/>
    </xf>
    <xf numFmtId="10" fontId="22" fillId="0" borderId="0" xfId="39" applyNumberFormat="1" applyFont="1" applyAlignment="1">
      <alignment vertical="center"/>
    </xf>
    <xf numFmtId="9" fontId="22" fillId="0" borderId="4" xfId="10" applyNumberFormat="1" applyFont="1" applyBorder="1" applyAlignment="1">
      <alignment vertical="center"/>
    </xf>
    <xf numFmtId="164" fontId="22" fillId="0" borderId="4" xfId="99" applyFont="1" applyBorder="1" applyAlignment="1">
      <alignment vertical="center"/>
    </xf>
    <xf numFmtId="9" fontId="22" fillId="0" borderId="4" xfId="98" applyNumberFormat="1" applyFont="1" applyBorder="1" applyAlignment="1">
      <alignment vertical="center"/>
    </xf>
    <xf numFmtId="9" fontId="22" fillId="0" borderId="4" xfId="39" applyFont="1" applyBorder="1" applyAlignment="1">
      <alignment vertical="center"/>
    </xf>
    <xf numFmtId="3" fontId="27" fillId="6" borderId="9" xfId="10" applyNumberFormat="1" applyFont="1" applyFill="1" applyBorder="1" applyAlignment="1">
      <alignment horizontal="center" vertical="center"/>
    </xf>
    <xf numFmtId="3" fontId="22" fillId="0" borderId="4" xfId="10" applyNumberFormat="1" applyFont="1" applyBorder="1" applyAlignment="1">
      <alignment vertical="center"/>
    </xf>
    <xf numFmtId="3" fontId="27" fillId="4" borderId="9" xfId="10" applyNumberFormat="1" applyFont="1" applyFill="1" applyBorder="1" applyAlignment="1">
      <alignment horizontal="center" vertical="center"/>
    </xf>
    <xf numFmtId="4" fontId="22" fillId="0" borderId="0" xfId="10" applyNumberFormat="1" applyFont="1" applyAlignment="1">
      <alignment vertical="center"/>
    </xf>
    <xf numFmtId="4" fontId="27" fillId="6" borderId="9" xfId="10" applyNumberFormat="1" applyFont="1" applyFill="1" applyBorder="1" applyAlignment="1">
      <alignment horizontal="center" vertical="center"/>
    </xf>
    <xf numFmtId="3" fontId="22" fillId="0" borderId="0" xfId="10" applyNumberFormat="1" applyFont="1" applyAlignment="1">
      <alignment vertical="center"/>
    </xf>
    <xf numFmtId="3" fontId="27" fillId="6" borderId="4" xfId="10" applyNumberFormat="1" applyFont="1" applyFill="1" applyBorder="1" applyAlignment="1">
      <alignment vertical="center"/>
    </xf>
    <xf numFmtId="3" fontId="27" fillId="0" borderId="4" xfId="10" applyNumberFormat="1" applyFont="1" applyBorder="1" applyAlignment="1">
      <alignment horizontal="center" vertical="center"/>
    </xf>
    <xf numFmtId="3" fontId="27" fillId="0" borderId="0" xfId="10" applyNumberFormat="1" applyFont="1" applyAlignment="1">
      <alignment horizontal="center" vertical="center"/>
    </xf>
    <xf numFmtId="179" fontId="27" fillId="4" borderId="9" xfId="10" applyNumberFormat="1" applyFont="1" applyFill="1" applyBorder="1" applyAlignment="1">
      <alignment horizontal="center" vertical="center"/>
    </xf>
    <xf numFmtId="180" fontId="27" fillId="4" borderId="9" xfId="10" applyNumberFormat="1" applyFont="1" applyFill="1" applyBorder="1" applyAlignment="1">
      <alignment horizontal="center" vertical="center"/>
    </xf>
    <xf numFmtId="4" fontId="27" fillId="4" borderId="9" xfId="10" applyNumberFormat="1" applyFont="1" applyFill="1" applyBorder="1" applyAlignment="1">
      <alignment horizontal="center" vertical="center"/>
    </xf>
    <xf numFmtId="181" fontId="27" fillId="4" borderId="9" xfId="10" applyNumberFormat="1" applyFont="1" applyFill="1" applyBorder="1" applyAlignment="1">
      <alignment horizontal="center" vertical="center"/>
    </xf>
    <xf numFmtId="182" fontId="27" fillId="4" borderId="9" xfId="10" applyNumberFormat="1" applyFont="1" applyFill="1" applyBorder="1" applyAlignment="1">
      <alignment horizontal="center" vertical="center"/>
    </xf>
    <xf numFmtId="3" fontId="27" fillId="0" borderId="0" xfId="10" applyNumberFormat="1" applyFont="1" applyAlignment="1">
      <alignment vertical="center"/>
    </xf>
    <xf numFmtId="0" fontId="22" fillId="0" borderId="0" xfId="75" applyFont="1" applyAlignment="1">
      <alignment vertical="center"/>
    </xf>
    <xf numFmtId="0" fontId="22" fillId="0" borderId="27" xfId="75" applyFont="1" applyBorder="1" applyAlignment="1">
      <alignment horizontal="center" vertical="center" wrapText="1"/>
    </xf>
    <xf numFmtId="0" fontId="22" fillId="0" borderId="28" xfId="75" applyFont="1" applyBorder="1" applyAlignment="1">
      <alignment horizontal="center" vertical="center" wrapText="1"/>
    </xf>
    <xf numFmtId="0" fontId="41" fillId="0" borderId="29" xfId="75" applyFont="1" applyBorder="1" applyAlignment="1">
      <alignment horizontal="center" vertical="center" wrapText="1"/>
    </xf>
    <xf numFmtId="0" fontId="41" fillId="0" borderId="30" xfId="75" applyFont="1" applyBorder="1" applyAlignment="1">
      <alignment horizontal="center" vertical="center" wrapText="1"/>
    </xf>
    <xf numFmtId="2" fontId="22" fillId="0" borderId="4" xfId="75" applyNumberFormat="1" applyFont="1" applyBorder="1" applyAlignment="1">
      <alignment horizontal="center" vertical="center"/>
    </xf>
    <xf numFmtId="0" fontId="22" fillId="0" borderId="4" xfId="75" applyFont="1" applyBorder="1" applyAlignment="1">
      <alignment horizontal="center" vertical="center"/>
    </xf>
    <xf numFmtId="0" fontId="36" fillId="0" borderId="4" xfId="75" applyFont="1" applyBorder="1" applyAlignment="1">
      <alignment vertical="top"/>
    </xf>
    <xf numFmtId="0" fontId="22" fillId="0" borderId="4" xfId="75" applyFont="1" applyBorder="1" applyAlignment="1">
      <alignment vertical="center"/>
    </xf>
    <xf numFmtId="2" fontId="22" fillId="0" borderId="4" xfId="75" applyNumberFormat="1" applyFont="1" applyBorder="1" applyAlignment="1">
      <alignment vertical="center"/>
    </xf>
    <xf numFmtId="0" fontId="27" fillId="0" borderId="6" xfId="10" applyFont="1" applyBorder="1" applyAlignment="1">
      <alignment vertical="center"/>
    </xf>
    <xf numFmtId="0" fontId="38" fillId="0" borderId="4" xfId="10" applyFont="1" applyBorder="1" applyAlignment="1">
      <alignment vertical="center"/>
    </xf>
    <xf numFmtId="0" fontId="22" fillId="0" borderId="4" xfId="75" applyFont="1" applyBorder="1" applyAlignment="1">
      <alignment horizontal="center" vertical="center" wrapText="1"/>
    </xf>
    <xf numFmtId="0" fontId="38" fillId="0" borderId="4" xfId="10" applyFont="1" applyBorder="1" applyAlignment="1">
      <alignment horizontal="left" vertical="center" indent="1"/>
    </xf>
    <xf numFmtId="0" fontId="15" fillId="0" borderId="31" xfId="75" applyBorder="1" applyAlignment="1">
      <alignment horizontal="left" vertical="top" indent="1"/>
    </xf>
    <xf numFmtId="0" fontId="38" fillId="4" borderId="4" xfId="10" applyFont="1" applyFill="1" applyBorder="1" applyAlignment="1">
      <alignment horizontal="left" vertical="center" indent="1"/>
    </xf>
    <xf numFmtId="0" fontId="38" fillId="4" borderId="4" xfId="10" applyFont="1" applyFill="1" applyBorder="1" applyAlignment="1">
      <alignment vertical="center"/>
    </xf>
    <xf numFmtId="2" fontId="22" fillId="0" borderId="0" xfId="75" applyNumberFormat="1" applyFont="1" applyAlignment="1">
      <alignment vertical="center"/>
    </xf>
    <xf numFmtId="0" fontId="27" fillId="4" borderId="4" xfId="10" applyFont="1" applyFill="1" applyBorder="1" applyAlignment="1">
      <alignment vertical="center"/>
    </xf>
    <xf numFmtId="0" fontId="15" fillId="0" borderId="0" xfId="100"/>
    <xf numFmtId="0" fontId="22" fillId="7" borderId="0" xfId="10" applyFont="1" applyFill="1" applyAlignment="1">
      <alignment horizontal="center" vertical="center"/>
    </xf>
    <xf numFmtId="3" fontId="15" fillId="0" borderId="0" xfId="100" applyNumberFormat="1"/>
    <xf numFmtId="3" fontId="22" fillId="0" borderId="0" xfId="75" applyNumberFormat="1" applyFont="1" applyAlignment="1">
      <alignment vertical="center"/>
    </xf>
    <xf numFmtId="3" fontId="22" fillId="0" borderId="4" xfId="100" applyNumberFormat="1" applyFont="1" applyBorder="1" applyAlignment="1">
      <alignment vertical="center"/>
    </xf>
    <xf numFmtId="3" fontId="27" fillId="9" borderId="4" xfId="100" applyNumberFormat="1" applyFont="1" applyFill="1" applyBorder="1" applyAlignment="1">
      <alignment vertical="center"/>
    </xf>
    <xf numFmtId="0" fontId="27" fillId="9" borderId="4" xfId="10" applyFont="1" applyFill="1" applyBorder="1" applyAlignment="1">
      <alignment horizontal="left" vertical="center" indent="1"/>
    </xf>
    <xf numFmtId="0" fontId="42" fillId="0" borderId="30" xfId="14" applyFont="1" applyBorder="1">
      <alignment vertical="center"/>
    </xf>
    <xf numFmtId="3" fontId="27" fillId="0" borderId="4" xfId="100" applyNumberFormat="1" applyFont="1" applyBorder="1" applyAlignment="1">
      <alignment vertical="center"/>
    </xf>
    <xf numFmtId="0" fontId="27" fillId="4" borderId="4" xfId="10" applyFont="1" applyFill="1" applyBorder="1" applyAlignment="1">
      <alignment horizontal="center" vertical="center" wrapText="1"/>
    </xf>
    <xf numFmtId="0" fontId="27" fillId="9" borderId="4" xfId="10" applyFont="1" applyFill="1" applyBorder="1" applyAlignment="1">
      <alignment vertical="center"/>
    </xf>
    <xf numFmtId="3" fontId="27" fillId="7" borderId="4" xfId="100" applyNumberFormat="1" applyFont="1" applyFill="1" applyBorder="1" applyAlignment="1">
      <alignment vertical="center"/>
    </xf>
    <xf numFmtId="0" fontId="27" fillId="4" borderId="4" xfId="10" applyFont="1" applyFill="1" applyBorder="1" applyAlignment="1">
      <alignment vertical="center" wrapText="1"/>
    </xf>
    <xf numFmtId="0" fontId="22" fillId="0" borderId="4" xfId="100" applyFont="1" applyBorder="1" applyAlignment="1">
      <alignment vertical="center"/>
    </xf>
    <xf numFmtId="0" fontId="27" fillId="0" borderId="4" xfId="75" applyFont="1" applyBorder="1" applyAlignment="1">
      <alignment horizontal="center" vertical="center"/>
    </xf>
    <xf numFmtId="3" fontId="27" fillId="9" borderId="4" xfId="75" applyNumberFormat="1" applyFont="1" applyFill="1" applyBorder="1" applyAlignment="1">
      <alignment horizontal="center" vertical="center"/>
    </xf>
    <xf numFmtId="4" fontId="27" fillId="9" borderId="4" xfId="75" applyNumberFormat="1" applyFont="1" applyFill="1" applyBorder="1" applyAlignment="1">
      <alignment horizontal="center" vertical="center"/>
    </xf>
    <xf numFmtId="3" fontId="22" fillId="0" borderId="4" xfId="75" applyNumberFormat="1" applyFont="1" applyBorder="1" applyAlignment="1">
      <alignment vertical="center"/>
    </xf>
    <xf numFmtId="0" fontId="43" fillId="0" borderId="4" xfId="75" applyFont="1" applyBorder="1" applyAlignment="1">
      <alignment horizontal="left" vertical="top"/>
    </xf>
    <xf numFmtId="3" fontId="22" fillId="9" borderId="4" xfId="75" applyNumberFormat="1" applyFont="1" applyFill="1" applyBorder="1" applyAlignment="1">
      <alignment vertical="center"/>
    </xf>
    <xf numFmtId="3" fontId="27" fillId="0" borderId="4" xfId="75" applyNumberFormat="1" applyFont="1" applyBorder="1" applyAlignment="1">
      <alignment horizontal="center" vertical="center"/>
    </xf>
    <xf numFmtId="3" fontId="27" fillId="0" borderId="4" xfId="75" applyNumberFormat="1" applyFont="1" applyBorder="1" applyAlignment="1">
      <alignment horizontal="left" vertical="center"/>
    </xf>
    <xf numFmtId="0" fontId="44" fillId="0" borderId="4" xfId="75" applyFont="1" applyBorder="1" applyAlignment="1">
      <alignment vertical="top"/>
    </xf>
    <xf numFmtId="3" fontId="22" fillId="0" borderId="4" xfId="75" applyNumberFormat="1" applyFont="1" applyBorder="1" applyAlignment="1">
      <alignment horizontal="center" vertical="center"/>
    </xf>
    <xf numFmtId="3" fontId="28" fillId="0" borderId="4" xfId="75" applyNumberFormat="1" applyFont="1" applyBorder="1" applyAlignment="1">
      <alignment horizontal="right" vertical="center"/>
    </xf>
    <xf numFmtId="3" fontId="28" fillId="0" borderId="4" xfId="75" applyNumberFormat="1" applyFont="1" applyBorder="1" applyAlignment="1">
      <alignment horizontal="center" vertical="center"/>
    </xf>
    <xf numFmtId="0" fontId="15" fillId="0" borderId="4" xfId="75" applyBorder="1" applyAlignment="1">
      <alignment horizontal="left" vertical="top" indent="1"/>
    </xf>
    <xf numFmtId="0" fontId="43" fillId="0" borderId="4" xfId="75" applyFont="1" applyBorder="1" applyAlignment="1">
      <alignment vertical="top"/>
    </xf>
    <xf numFmtId="0" fontId="15" fillId="0" borderId="4" xfId="75" applyBorder="1" applyAlignment="1">
      <alignment horizontal="left" vertical="top" indent="2"/>
    </xf>
    <xf numFmtId="3" fontId="22" fillId="0" borderId="4" xfId="75" applyNumberFormat="1" applyFont="1" applyBorder="1" applyAlignment="1">
      <alignment horizontal="left" vertical="center"/>
    </xf>
    <xf numFmtId="0" fontId="44" fillId="0" borderId="4" xfId="75" applyFont="1" applyBorder="1" applyAlignment="1">
      <alignment horizontal="left" vertical="top"/>
    </xf>
    <xf numFmtId="0" fontId="15" fillId="0" borderId="4" xfId="75" applyBorder="1" applyAlignment="1">
      <alignment horizontal="left" vertical="top"/>
    </xf>
    <xf numFmtId="0" fontId="45" fillId="0" borderId="4" xfId="75" applyFont="1" applyBorder="1" applyAlignment="1">
      <alignment vertical="top"/>
    </xf>
    <xf numFmtId="0" fontId="22" fillId="0" borderId="0" xfId="75" applyFont="1" applyAlignment="1">
      <alignment horizontal="justify" vertical="center"/>
    </xf>
    <xf numFmtId="1" fontId="22" fillId="0" borderId="0" xfId="75" applyNumberFormat="1" applyFont="1" applyAlignment="1">
      <alignment horizontal="center" vertical="center"/>
    </xf>
    <xf numFmtId="3" fontId="28" fillId="0" borderId="4" xfId="75" applyNumberFormat="1" applyFont="1" applyBorder="1" applyAlignment="1">
      <alignment vertical="center"/>
    </xf>
    <xf numFmtId="0" fontId="27" fillId="0" borderId="0" xfId="75" applyFont="1" applyAlignment="1">
      <alignment horizontal="center" vertical="center"/>
    </xf>
    <xf numFmtId="0" fontId="15" fillId="0" borderId="4" xfId="75" applyBorder="1" applyAlignment="1">
      <alignment horizontal="left" vertical="top" wrapText="1" indent="1"/>
    </xf>
    <xf numFmtId="0" fontId="15" fillId="0" borderId="4" xfId="75" applyBorder="1" applyAlignment="1">
      <alignment vertical="top"/>
    </xf>
    <xf numFmtId="3" fontId="27" fillId="6" borderId="4" xfId="75" applyNumberFormat="1" applyFont="1" applyFill="1" applyBorder="1" applyAlignment="1">
      <alignment horizontal="center" vertical="center"/>
    </xf>
    <xf numFmtId="0" fontId="22" fillId="0" borderId="0" xfId="75" applyFont="1" applyAlignment="1">
      <alignment horizontal="center" vertical="center"/>
    </xf>
    <xf numFmtId="4" fontId="22" fillId="0" borderId="4" xfId="75" applyNumberFormat="1" applyFont="1" applyBorder="1" applyAlignment="1">
      <alignment horizontal="center" vertical="center"/>
    </xf>
    <xf numFmtId="3" fontId="22" fillId="0" borderId="6" xfId="75" applyNumberFormat="1" applyFont="1" applyBorder="1" applyAlignment="1">
      <alignment horizontal="center" vertical="center"/>
    </xf>
    <xf numFmtId="3" fontId="27" fillId="0" borderId="6" xfId="75" applyNumberFormat="1" applyFont="1" applyBorder="1" applyAlignment="1">
      <alignment horizontal="center" vertical="center"/>
    </xf>
    <xf numFmtId="0" fontId="22" fillId="0" borderId="6" xfId="75" applyFont="1" applyBorder="1" applyAlignment="1">
      <alignment vertical="center"/>
    </xf>
    <xf numFmtId="3" fontId="27" fillId="9" borderId="4" xfId="14" applyNumberFormat="1" applyFont="1" applyFill="1" applyBorder="1" applyAlignment="1">
      <alignment horizontal="center" vertical="center"/>
    </xf>
    <xf numFmtId="3" fontId="27" fillId="9" borderId="4" xfId="75" applyNumberFormat="1" applyFont="1" applyFill="1" applyBorder="1" applyAlignment="1">
      <alignment vertical="center"/>
    </xf>
    <xf numFmtId="0" fontId="27" fillId="9" borderId="4" xfId="75" applyFont="1" applyFill="1" applyBorder="1" applyAlignment="1">
      <alignment vertical="center"/>
    </xf>
    <xf numFmtId="3" fontId="22" fillId="0" borderId="4" xfId="14" applyNumberFormat="1" applyFont="1" applyBorder="1" applyAlignment="1">
      <alignment horizontal="center" vertical="center"/>
    </xf>
    <xf numFmtId="2" fontId="32" fillId="0" borderId="4" xfId="75" applyNumberFormat="1" applyFont="1" applyBorder="1" applyAlignment="1">
      <alignment horizontal="left" vertical="center" wrapText="1"/>
    </xf>
    <xf numFmtId="3" fontId="22" fillId="0" borderId="4" xfId="14" applyNumberFormat="1" applyFont="1" applyBorder="1">
      <alignment vertical="center"/>
    </xf>
    <xf numFmtId="3" fontId="27" fillId="0" borderId="4" xfId="14" applyNumberFormat="1" applyFont="1" applyBorder="1">
      <alignment vertical="center"/>
    </xf>
    <xf numFmtId="0" fontId="33" fillId="0" borderId="4" xfId="75" applyFont="1" applyBorder="1" applyAlignment="1">
      <alignment vertical="center"/>
    </xf>
    <xf numFmtId="4" fontId="27" fillId="6" borderId="4" xfId="98" applyNumberFormat="1" applyFont="1" applyFill="1" applyBorder="1" applyAlignment="1">
      <alignment vertical="center"/>
    </xf>
    <xf numFmtId="3" fontId="27" fillId="0" borderId="4" xfId="98" applyNumberFormat="1" applyFont="1" applyFill="1" applyBorder="1" applyAlignment="1">
      <alignment vertical="center"/>
    </xf>
    <xf numFmtId="0" fontId="22" fillId="0" borderId="7" xfId="10" applyFont="1" applyBorder="1" applyAlignment="1">
      <alignment horizontal="left" vertical="center"/>
    </xf>
    <xf numFmtId="0" fontId="27" fillId="0" borderId="0" xfId="0" applyFont="1" applyAlignment="1">
      <alignment horizontal="center"/>
    </xf>
    <xf numFmtId="1" fontId="27" fillId="6" borderId="4" xfId="10" applyNumberFormat="1" applyFont="1" applyFill="1" applyBorder="1" applyAlignment="1">
      <alignment horizontal="right" vertical="center"/>
    </xf>
    <xf numFmtId="2" fontId="22" fillId="0" borderId="0" xfId="10" applyNumberFormat="1" applyFont="1" applyAlignment="1">
      <alignment horizontal="right" vertical="center"/>
    </xf>
    <xf numFmtId="2" fontId="27" fillId="0" borderId="0" xfId="10" applyNumberFormat="1" applyFont="1" applyAlignment="1">
      <alignment horizontal="right" vertical="center"/>
    </xf>
    <xf numFmtId="0" fontId="27" fillId="0" borderId="0" xfId="10" applyFont="1"/>
    <xf numFmtId="2" fontId="22" fillId="0" borderId="4" xfId="10" applyNumberFormat="1" applyFont="1" applyBorder="1" applyAlignment="1">
      <alignment horizontal="right"/>
    </xf>
    <xf numFmtId="2" fontId="27" fillId="6" borderId="4" xfId="10" applyNumberFormat="1" applyFont="1" applyFill="1" applyBorder="1" applyAlignment="1">
      <alignment horizontal="right"/>
    </xf>
    <xf numFmtId="2" fontId="27" fillId="0" borderId="0" xfId="14" applyNumberFormat="1" applyFont="1" applyAlignment="1">
      <alignment horizontal="center" vertical="center"/>
    </xf>
    <xf numFmtId="2" fontId="27" fillId="0" borderId="0" xfId="14" applyNumberFormat="1" applyFont="1">
      <alignment vertical="center"/>
    </xf>
    <xf numFmtId="2" fontId="22" fillId="0" borderId="0" xfId="14" applyNumberFormat="1" applyFont="1">
      <alignment vertical="center"/>
    </xf>
    <xf numFmtId="4" fontId="22" fillId="0" borderId="4" xfId="10" applyNumberFormat="1" applyFont="1" applyBorder="1" applyAlignment="1">
      <alignment horizontal="right"/>
    </xf>
    <xf numFmtId="0" fontId="22" fillId="0" borderId="4" xfId="14" applyFont="1" applyBorder="1" applyAlignment="1">
      <alignment horizontal="right" vertical="center"/>
    </xf>
    <xf numFmtId="4" fontId="22" fillId="0" borderId="4" xfId="14" applyNumberFormat="1" applyFont="1" applyBorder="1" applyAlignment="1">
      <alignment horizontal="right" vertical="center"/>
    </xf>
    <xf numFmtId="2" fontId="22" fillId="0" borderId="4" xfId="14" applyNumberFormat="1" applyFont="1" applyBorder="1" applyAlignment="1">
      <alignment horizontal="right" vertical="center"/>
    </xf>
    <xf numFmtId="4" fontId="22" fillId="0" borderId="4" xfId="14" applyNumberFormat="1" applyFont="1" applyBorder="1">
      <alignment vertical="center"/>
    </xf>
    <xf numFmtId="0" fontId="27" fillId="0" borderId="0" xfId="14" applyFont="1" applyAlignment="1">
      <alignment horizontal="left" vertical="center"/>
    </xf>
    <xf numFmtId="4" fontId="27" fillId="6" borderId="4" xfId="14" applyNumberFormat="1" applyFont="1" applyFill="1" applyBorder="1">
      <alignment vertical="center"/>
    </xf>
    <xf numFmtId="10" fontId="22" fillId="6" borderId="4" xfId="14" applyNumberFormat="1" applyFont="1" applyFill="1" applyBorder="1">
      <alignment vertical="center"/>
    </xf>
    <xf numFmtId="174" fontId="22" fillId="6" borderId="4" xfId="14" applyNumberFormat="1" applyFont="1" applyFill="1" applyBorder="1">
      <alignment vertical="center"/>
    </xf>
    <xf numFmtId="2" fontId="27" fillId="6" borderId="4" xfId="10" applyNumberFormat="1" applyFont="1" applyFill="1" applyBorder="1" applyAlignment="1">
      <alignment horizontal="center" vertical="center"/>
    </xf>
    <xf numFmtId="0" fontId="22" fillId="7" borderId="4" xfId="10" applyFont="1" applyFill="1" applyBorder="1" applyAlignment="1">
      <alignment horizontal="center" vertical="center" wrapText="1"/>
    </xf>
    <xf numFmtId="3" fontId="22" fillId="0" borderId="4" xfId="10" applyNumberFormat="1" applyFont="1" applyBorder="1" applyAlignment="1">
      <alignment horizontal="center" vertical="center" wrapText="1"/>
    </xf>
    <xf numFmtId="0" fontId="22" fillId="7" borderId="4" xfId="10" applyFont="1" applyFill="1" applyBorder="1" applyAlignment="1">
      <alignment horizontal="left" vertical="center"/>
    </xf>
    <xf numFmtId="1" fontId="22" fillId="0" borderId="0" xfId="10" applyNumberFormat="1" applyFont="1"/>
    <xf numFmtId="2" fontId="22" fillId="0" borderId="0" xfId="10" applyNumberFormat="1" applyFont="1"/>
    <xf numFmtId="1" fontId="47" fillId="0" borderId="32" xfId="101" applyNumberFormat="1" applyFont="1" applyFill="1" applyBorder="1" applyAlignment="1">
      <alignment vertical="center"/>
    </xf>
    <xf numFmtId="1" fontId="48" fillId="11" borderId="32" xfId="101" applyNumberFormat="1" applyFont="1" applyFill="1" applyBorder="1" applyAlignment="1">
      <alignment vertical="center"/>
    </xf>
    <xf numFmtId="10" fontId="22" fillId="11" borderId="4" xfId="39" applyNumberFormat="1" applyFont="1" applyFill="1" applyBorder="1" applyAlignment="1">
      <alignment horizontal="center" vertical="center"/>
    </xf>
    <xf numFmtId="1" fontId="48" fillId="0" borderId="32" xfId="101" applyNumberFormat="1" applyFont="1" applyFill="1" applyBorder="1" applyAlignment="1">
      <alignment vertical="center"/>
    </xf>
    <xf numFmtId="0" fontId="27" fillId="0" borderId="4" xfId="0" applyFont="1" applyBorder="1" applyAlignment="1">
      <alignment horizontal="justify" vertical="center" wrapText="1"/>
    </xf>
    <xf numFmtId="0" fontId="22" fillId="0" borderId="4" xfId="0" applyFont="1" applyBorder="1" applyAlignment="1">
      <alignment horizontal="justify" vertical="center" wrapText="1"/>
    </xf>
    <xf numFmtId="0" fontId="22" fillId="12" borderId="4" xfId="14" applyFont="1" applyFill="1" applyBorder="1" applyAlignment="1">
      <alignment horizontal="center" vertical="center"/>
    </xf>
    <xf numFmtId="2" fontId="22" fillId="12" borderId="4" xfId="10" applyNumberFormat="1" applyFont="1" applyFill="1" applyBorder="1" applyAlignment="1">
      <alignment vertical="center"/>
    </xf>
    <xf numFmtId="0" fontId="22" fillId="12" borderId="4" xfId="10" applyFont="1" applyFill="1" applyBorder="1" applyAlignment="1">
      <alignment horizontal="center" vertical="center" wrapText="1"/>
    </xf>
    <xf numFmtId="4" fontId="22" fillId="12" borderId="4" xfId="10" applyNumberFormat="1" applyFont="1" applyFill="1" applyBorder="1" applyAlignment="1">
      <alignment vertical="center"/>
    </xf>
    <xf numFmtId="3" fontId="22" fillId="6" borderId="4" xfId="10" applyNumberFormat="1" applyFont="1" applyFill="1" applyBorder="1" applyAlignment="1">
      <alignment horizontal="center" vertical="center" wrapText="1"/>
    </xf>
    <xf numFmtId="0" fontId="22" fillId="12" borderId="9" xfId="14" applyFont="1" applyFill="1" applyBorder="1">
      <alignment vertical="center"/>
    </xf>
    <xf numFmtId="0" fontId="22" fillId="12" borderId="4" xfId="10" applyFont="1" applyFill="1" applyBorder="1" applyAlignment="1">
      <alignment horizontal="left" vertical="center"/>
    </xf>
    <xf numFmtId="174" fontId="22" fillId="6" borderId="4" xfId="10" applyNumberFormat="1" applyFont="1" applyFill="1" applyBorder="1" applyAlignment="1">
      <alignment horizontal="center" vertical="center" wrapText="1"/>
    </xf>
    <xf numFmtId="174" fontId="22" fillId="0" borderId="4" xfId="10" applyNumberFormat="1" applyFont="1" applyBorder="1" applyAlignment="1">
      <alignment horizontal="center" vertical="center" wrapText="1"/>
    </xf>
    <xf numFmtId="4" fontId="22" fillId="0" borderId="4" xfId="10" applyNumberFormat="1" applyFont="1" applyBorder="1" applyAlignment="1">
      <alignment vertical="center"/>
    </xf>
    <xf numFmtId="4" fontId="22" fillId="6" borderId="4" xfId="10" applyNumberFormat="1" applyFont="1" applyFill="1" applyBorder="1" applyAlignment="1">
      <alignment vertical="center"/>
    </xf>
    <xf numFmtId="2" fontId="22" fillId="6" borderId="4" xfId="10" applyNumberFormat="1" applyFont="1" applyFill="1" applyBorder="1" applyAlignment="1">
      <alignment horizontal="center" vertical="center"/>
    </xf>
    <xf numFmtId="2" fontId="22" fillId="7" borderId="4" xfId="10" applyNumberFormat="1" applyFont="1" applyFill="1" applyBorder="1" applyAlignment="1">
      <alignment horizontal="center" vertical="center"/>
    </xf>
    <xf numFmtId="0" fontId="22" fillId="7" borderId="4" xfId="10" applyFont="1" applyFill="1" applyBorder="1" applyAlignment="1">
      <alignment horizontal="center" vertical="center"/>
    </xf>
    <xf numFmtId="2" fontId="22" fillId="5" borderId="4" xfId="14" applyNumberFormat="1" applyFont="1" applyFill="1" applyBorder="1">
      <alignment vertical="center"/>
    </xf>
    <xf numFmtId="10" fontId="22" fillId="5" borderId="4" xfId="14" applyNumberFormat="1" applyFont="1" applyFill="1" applyBorder="1">
      <alignment vertical="center"/>
    </xf>
    <xf numFmtId="0" fontId="22" fillId="7" borderId="4" xfId="10" applyFont="1" applyFill="1" applyBorder="1" applyAlignment="1">
      <alignment vertical="center" wrapText="1"/>
    </xf>
    <xf numFmtId="9" fontId="22" fillId="6" borderId="4" xfId="14" applyNumberFormat="1" applyFont="1" applyFill="1" applyBorder="1">
      <alignment vertical="center"/>
    </xf>
    <xf numFmtId="9" fontId="22" fillId="0" borderId="4" xfId="10" applyNumberFormat="1" applyFont="1" applyBorder="1" applyAlignment="1">
      <alignment horizontal="right" vertical="center"/>
    </xf>
    <xf numFmtId="9" fontId="22" fillId="0" borderId="4" xfId="14" applyNumberFormat="1" applyFont="1" applyBorder="1">
      <alignment vertical="center"/>
    </xf>
    <xf numFmtId="0" fontId="50" fillId="13" borderId="4" xfId="10" applyFont="1" applyFill="1" applyBorder="1" applyAlignment="1">
      <alignment horizontal="center"/>
    </xf>
    <xf numFmtId="0" fontId="51" fillId="0" borderId="4" xfId="10" applyFont="1" applyBorder="1"/>
    <xf numFmtId="1" fontId="51" fillId="0" borderId="4" xfId="10" applyNumberFormat="1" applyFont="1" applyBorder="1" applyAlignment="1">
      <alignment horizontal="center" vertical="center"/>
    </xf>
    <xf numFmtId="0" fontId="50" fillId="2" borderId="4" xfId="10" applyFont="1" applyFill="1" applyBorder="1"/>
    <xf numFmtId="1" fontId="50" fillId="0" borderId="4" xfId="10" applyNumberFormat="1" applyFont="1" applyBorder="1" applyAlignment="1">
      <alignment horizontal="center" vertical="center"/>
    </xf>
    <xf numFmtId="1" fontId="22" fillId="0" borderId="4" xfId="10" applyNumberFormat="1" applyFont="1" applyBorder="1" applyAlignment="1">
      <alignment horizontal="right" vertical="center" wrapText="1"/>
    </xf>
    <xf numFmtId="1" fontId="22" fillId="6" borderId="4" xfId="10" applyNumberFormat="1" applyFont="1" applyFill="1" applyBorder="1" applyAlignment="1">
      <alignment horizontal="right" vertical="center" wrapText="1"/>
    </xf>
    <xf numFmtId="1" fontId="22" fillId="6" borderId="4" xfId="10" applyNumberFormat="1" applyFont="1" applyFill="1" applyBorder="1" applyAlignment="1">
      <alignment vertical="center"/>
    </xf>
    <xf numFmtId="10" fontId="22" fillId="0" borderId="4" xfId="10" applyNumberFormat="1" applyFont="1" applyBorder="1" applyAlignment="1">
      <alignment horizontal="right" vertical="center"/>
    </xf>
    <xf numFmtId="183" fontId="22" fillId="6" borderId="4" xfId="10" applyNumberFormat="1" applyFont="1" applyFill="1" applyBorder="1" applyAlignment="1">
      <alignment horizontal="right" vertical="center"/>
    </xf>
    <xf numFmtId="2" fontId="22" fillId="0" borderId="4" xfId="10" applyNumberFormat="1" applyFont="1" applyBorder="1" applyAlignment="1">
      <alignment horizontal="right" vertical="center" wrapText="1"/>
    </xf>
    <xf numFmtId="2" fontId="22" fillId="6" borderId="4" xfId="10" applyNumberFormat="1" applyFont="1" applyFill="1" applyBorder="1" applyAlignment="1">
      <alignment horizontal="right" vertical="center" wrapText="1"/>
    </xf>
    <xf numFmtId="9" fontId="22" fillId="0" borderId="4" xfId="10" applyNumberFormat="1" applyFont="1" applyBorder="1" applyAlignment="1">
      <alignment horizontal="right" vertical="center" wrapText="1"/>
    </xf>
    <xf numFmtId="9" fontId="22" fillId="6" borderId="4" xfId="10" applyNumberFormat="1" applyFont="1" applyFill="1" applyBorder="1" applyAlignment="1">
      <alignment horizontal="right" vertical="center"/>
    </xf>
    <xf numFmtId="0" fontId="0" fillId="0" borderId="5" xfId="0" applyBorder="1" applyAlignment="1">
      <alignment horizontal="left" vertical="center"/>
    </xf>
    <xf numFmtId="2" fontId="27" fillId="6" borderId="9" xfId="14" applyNumberFormat="1" applyFont="1" applyFill="1" applyBorder="1" applyAlignment="1">
      <alignment horizontal="center" vertical="center"/>
    </xf>
    <xf numFmtId="183" fontId="27" fillId="6" borderId="9" xfId="14" applyNumberFormat="1" applyFont="1" applyFill="1" applyBorder="1" applyAlignment="1">
      <alignment horizontal="center" vertical="center"/>
    </xf>
    <xf numFmtId="0" fontId="22" fillId="0" borderId="9" xfId="14" applyFont="1" applyBorder="1" applyAlignment="1">
      <alignment horizontal="center" vertical="center"/>
    </xf>
    <xf numFmtId="2" fontId="22" fillId="7" borderId="4" xfId="10" applyNumberFormat="1" applyFont="1" applyFill="1" applyBorder="1" applyAlignment="1">
      <alignment vertical="center"/>
    </xf>
    <xf numFmtId="4" fontId="22" fillId="0" borderId="4" xfId="98" applyNumberFormat="1" applyFont="1" applyBorder="1" applyAlignment="1">
      <alignment vertical="center"/>
    </xf>
    <xf numFmtId="0" fontId="22" fillId="11" borderId="4" xfId="10" applyFont="1" applyFill="1" applyBorder="1" applyAlignment="1">
      <alignment vertical="center"/>
    </xf>
    <xf numFmtId="4" fontId="27" fillId="6" borderId="4" xfId="10" applyNumberFormat="1" applyFont="1" applyFill="1" applyBorder="1" applyAlignment="1">
      <alignment vertical="center"/>
    </xf>
    <xf numFmtId="0" fontId="35" fillId="0" borderId="5" xfId="10" applyFont="1" applyBorder="1" applyAlignment="1">
      <alignment horizontal="left" vertical="center" wrapText="1"/>
    </xf>
    <xf numFmtId="1" fontId="32" fillId="5" borderId="4" xfId="10" applyNumberFormat="1" applyFont="1" applyFill="1" applyBorder="1"/>
    <xf numFmtId="1" fontId="22" fillId="5" borderId="4" xfId="10" applyNumberFormat="1" applyFont="1" applyFill="1" applyBorder="1"/>
    <xf numFmtId="1" fontId="32" fillId="0" borderId="4" xfId="10" applyNumberFormat="1" applyFont="1" applyBorder="1"/>
    <xf numFmtId="1" fontId="15" fillId="0" borderId="4" xfId="10" applyNumberFormat="1" applyBorder="1"/>
    <xf numFmtId="4" fontId="27" fillId="0" borderId="4" xfId="10" applyNumberFormat="1" applyFont="1" applyBorder="1" applyAlignment="1">
      <alignment vertical="center"/>
    </xf>
    <xf numFmtId="4" fontId="27" fillId="6" borderId="4" xfId="28" applyNumberFormat="1" applyFont="1" applyFill="1" applyBorder="1" applyAlignment="1">
      <alignment vertical="center"/>
    </xf>
    <xf numFmtId="4" fontId="22" fillId="0" borderId="4" xfId="28" applyNumberFormat="1" applyFont="1" applyBorder="1" applyAlignment="1">
      <alignment vertical="center"/>
    </xf>
    <xf numFmtId="0" fontId="27" fillId="0" borderId="25" xfId="14" applyFont="1" applyBorder="1">
      <alignment vertical="center"/>
    </xf>
    <xf numFmtId="0" fontId="27" fillId="0" borderId="23" xfId="14" applyFont="1" applyBorder="1">
      <alignment vertical="center"/>
    </xf>
    <xf numFmtId="0" fontId="27" fillId="0" borderId="21" xfId="14" applyFont="1" applyBorder="1">
      <alignment vertical="center"/>
    </xf>
    <xf numFmtId="4" fontId="27" fillId="9" borderId="4" xfId="10" applyNumberFormat="1" applyFont="1" applyFill="1" applyBorder="1" applyAlignment="1">
      <alignment vertical="center"/>
    </xf>
    <xf numFmtId="4" fontId="27" fillId="14" borderId="4" xfId="10" applyNumberFormat="1" applyFont="1" applyFill="1" applyBorder="1" applyAlignment="1">
      <alignment vertical="center"/>
    </xf>
    <xf numFmtId="1" fontId="32" fillId="7" borderId="4" xfId="10" applyNumberFormat="1" applyFont="1" applyFill="1" applyBorder="1"/>
    <xf numFmtId="0" fontId="22" fillId="0" borderId="0" xfId="0" applyFont="1" applyAlignment="1">
      <alignment horizontal="center" vertical="center"/>
    </xf>
    <xf numFmtId="10" fontId="27" fillId="6" borderId="4" xfId="39" applyNumberFormat="1" applyFont="1" applyFill="1" applyBorder="1" applyAlignment="1">
      <alignment vertical="center"/>
    </xf>
    <xf numFmtId="10" fontId="22" fillId="0" borderId="4" xfId="39" applyNumberFormat="1" applyFont="1" applyFill="1" applyBorder="1" applyAlignment="1">
      <alignment vertical="center"/>
    </xf>
    <xf numFmtId="0" fontId="33" fillId="0" borderId="4" xfId="0" applyFont="1" applyBorder="1" applyAlignment="1">
      <alignment vertical="center" wrapText="1"/>
    </xf>
    <xf numFmtId="2" fontId="27" fillId="0" borderId="4" xfId="0" applyNumberFormat="1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32" fillId="0" borderId="4" xfId="0" applyFont="1" applyBorder="1" applyAlignment="1">
      <alignment vertical="center" wrapText="1"/>
    </xf>
    <xf numFmtId="2" fontId="27" fillId="5" borderId="4" xfId="0" applyNumberFormat="1" applyFont="1" applyFill="1" applyBorder="1" applyAlignment="1">
      <alignment vertical="center"/>
    </xf>
    <xf numFmtId="10" fontId="22" fillId="0" borderId="4" xfId="0" applyNumberFormat="1" applyFont="1" applyBorder="1" applyAlignment="1">
      <alignment vertical="center"/>
    </xf>
    <xf numFmtId="184" fontId="22" fillId="0" borderId="0" xfId="39" applyNumberFormat="1" applyFont="1" applyAlignment="1">
      <alignment vertical="center"/>
    </xf>
    <xf numFmtId="10" fontId="27" fillId="0" borderId="4" xfId="39" applyNumberFormat="1" applyFont="1" applyFill="1" applyBorder="1" applyAlignment="1">
      <alignment vertical="center"/>
    </xf>
    <xf numFmtId="10" fontId="22" fillId="0" borderId="0" xfId="0" applyNumberFormat="1" applyFont="1" applyAlignment="1">
      <alignment vertical="center"/>
    </xf>
    <xf numFmtId="1" fontId="22" fillId="0" borderId="4" xfId="0" applyNumberFormat="1" applyFont="1" applyBorder="1" applyAlignment="1">
      <alignment vertical="center"/>
    </xf>
    <xf numFmtId="1" fontId="27" fillId="6" borderId="4" xfId="0" applyNumberFormat="1" applyFont="1" applyFill="1" applyBorder="1" applyAlignment="1">
      <alignment vertical="center"/>
    </xf>
    <xf numFmtId="2" fontId="27" fillId="7" borderId="4" xfId="0" applyNumberFormat="1" applyFont="1" applyFill="1" applyBorder="1" applyAlignment="1">
      <alignment vertical="center"/>
    </xf>
    <xf numFmtId="1" fontId="22" fillId="7" borderId="4" xfId="0" applyNumberFormat="1" applyFont="1" applyFill="1" applyBorder="1" applyAlignment="1">
      <alignment vertical="center"/>
    </xf>
    <xf numFmtId="184" fontId="22" fillId="0" borderId="4" xfId="39" applyNumberFormat="1" applyFont="1" applyBorder="1" applyAlignment="1">
      <alignment vertical="center"/>
    </xf>
    <xf numFmtId="173" fontId="22" fillId="0" borderId="4" xfId="0" applyNumberFormat="1" applyFont="1" applyBorder="1" applyAlignment="1">
      <alignment vertical="center"/>
    </xf>
    <xf numFmtId="185" fontId="22" fillId="0" borderId="4" xfId="39" applyNumberFormat="1" applyFont="1" applyBorder="1" applyAlignment="1">
      <alignment vertical="center"/>
    </xf>
    <xf numFmtId="0" fontId="22" fillId="0" borderId="8" xfId="10" applyFont="1" applyBorder="1" applyAlignment="1">
      <alignment horizontal="center" vertical="center" wrapText="1"/>
    </xf>
    <xf numFmtId="0" fontId="22" fillId="0" borderId="10" xfId="10" applyFont="1" applyBorder="1" applyAlignment="1">
      <alignment horizontal="center" vertical="center"/>
    </xf>
    <xf numFmtId="10" fontId="22" fillId="0" borderId="4" xfId="39" applyNumberFormat="1" applyFont="1" applyFill="1" applyBorder="1" applyAlignment="1">
      <alignment horizontal="center" vertical="center"/>
    </xf>
    <xf numFmtId="0" fontId="15" fillId="4" borderId="5" xfId="10" applyFill="1" applyBorder="1" applyAlignment="1">
      <alignment horizontal="left" vertical="center"/>
    </xf>
    <xf numFmtId="0" fontId="15" fillId="0" borderId="5" xfId="10" applyBorder="1" applyAlignment="1">
      <alignment horizontal="left" vertical="center"/>
    </xf>
    <xf numFmtId="0" fontId="15" fillId="0" borderId="4" xfId="10" applyBorder="1" applyAlignment="1">
      <alignment horizontal="left" vertical="center"/>
    </xf>
    <xf numFmtId="0" fontId="22" fillId="0" borderId="8" xfId="10" applyFont="1" applyBorder="1" applyAlignment="1">
      <alignment vertical="center" wrapText="1"/>
    </xf>
    <xf numFmtId="0" fontId="22" fillId="0" borderId="8" xfId="14" applyFont="1" applyBorder="1" applyAlignment="1">
      <alignment horizontal="center" vertical="center"/>
    </xf>
    <xf numFmtId="2" fontId="22" fillId="0" borderId="8" xfId="10" applyNumberFormat="1" applyFont="1" applyBorder="1" applyAlignment="1">
      <alignment vertical="center"/>
    </xf>
    <xf numFmtId="2" fontId="22" fillId="6" borderId="8" xfId="10" applyNumberFormat="1" applyFont="1" applyFill="1" applyBorder="1" applyAlignment="1">
      <alignment vertical="center"/>
    </xf>
    <xf numFmtId="0" fontId="15" fillId="0" borderId="0" xfId="14">
      <alignment vertical="center"/>
    </xf>
    <xf numFmtId="0" fontId="27" fillId="0" borderId="0" xfId="75" applyFont="1" applyAlignment="1">
      <alignment vertical="center"/>
    </xf>
    <xf numFmtId="3" fontId="27" fillId="0" borderId="0" xfId="75" applyNumberFormat="1" applyFont="1" applyAlignment="1">
      <alignment vertical="center"/>
    </xf>
    <xf numFmtId="3" fontId="27" fillId="0" borderId="0" xfId="75" applyNumberFormat="1" applyFont="1" applyAlignment="1">
      <alignment horizontal="center" vertical="center"/>
    </xf>
    <xf numFmtId="3" fontId="27" fillId="0" borderId="0" xfId="14" applyNumberFormat="1" applyFont="1" applyAlignment="1">
      <alignment horizontal="center" vertical="center"/>
    </xf>
    <xf numFmtId="3" fontId="27" fillId="0" borderId="4" xfId="0" applyNumberFormat="1" applyFont="1" applyBorder="1" applyAlignment="1">
      <alignment horizontal="left" vertical="center"/>
    </xf>
    <xf numFmtId="3" fontId="22" fillId="0" borderId="4" xfId="0" applyNumberFormat="1" applyFont="1" applyBorder="1" applyAlignment="1">
      <alignment horizontal="center" vertical="center"/>
    </xf>
    <xf numFmtId="3" fontId="28" fillId="0" borderId="4" xfId="0" applyNumberFormat="1" applyFont="1" applyBorder="1" applyAlignment="1">
      <alignment horizontal="center" vertical="center"/>
    </xf>
    <xf numFmtId="3" fontId="27" fillId="0" borderId="4" xfId="0" applyNumberFormat="1" applyFont="1" applyBorder="1" applyAlignment="1">
      <alignment horizontal="center" vertical="center"/>
    </xf>
    <xf numFmtId="3" fontId="22" fillId="0" borderId="4" xfId="0" applyNumberFormat="1" applyFont="1" applyBorder="1" applyAlignment="1">
      <alignment horizontal="left" vertical="center"/>
    </xf>
    <xf numFmtId="3" fontId="28" fillId="0" borderId="4" xfId="0" applyNumberFormat="1" applyFont="1" applyBorder="1" applyAlignment="1">
      <alignment horizontal="right" vertical="center"/>
    </xf>
    <xf numFmtId="0" fontId="0" fillId="0" borderId="31" xfId="0" applyBorder="1" applyAlignment="1">
      <alignment horizontal="left" vertical="top" indent="1"/>
    </xf>
    <xf numFmtId="3" fontId="28" fillId="0" borderId="4" xfId="0" applyNumberFormat="1" applyFont="1" applyBorder="1" applyAlignment="1">
      <alignment vertical="center"/>
    </xf>
    <xf numFmtId="3" fontId="22" fillId="0" borderId="4" xfId="0" applyNumberFormat="1" applyFont="1" applyBorder="1" applyAlignment="1">
      <alignment vertical="center"/>
    </xf>
    <xf numFmtId="3" fontId="27" fillId="6" borderId="4" xfId="0" applyNumberFormat="1" applyFont="1" applyFill="1" applyBorder="1" applyAlignment="1">
      <alignment horizontal="center" vertical="center"/>
    </xf>
    <xf numFmtId="0" fontId="44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horizontal="left" vertical="top" indent="1"/>
    </xf>
    <xf numFmtId="0" fontId="0" fillId="0" borderId="4" xfId="0" applyBorder="1" applyAlignment="1">
      <alignment horizontal="left" vertical="top" wrapText="1" indent="1"/>
    </xf>
    <xf numFmtId="0" fontId="27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justify" vertical="center"/>
    </xf>
    <xf numFmtId="0" fontId="0" fillId="0" borderId="4" xfId="0" applyBorder="1" applyAlignment="1">
      <alignment horizontal="left" vertical="top" indent="2"/>
    </xf>
    <xf numFmtId="0" fontId="43" fillId="0" borderId="4" xfId="0" applyFont="1" applyBorder="1" applyAlignment="1">
      <alignment horizontal="left" vertical="top"/>
    </xf>
    <xf numFmtId="3" fontId="27" fillId="9" borderId="4" xfId="0" applyNumberFormat="1" applyFont="1" applyFill="1" applyBorder="1" applyAlignment="1">
      <alignment horizontal="center" vertical="center"/>
    </xf>
    <xf numFmtId="4" fontId="27" fillId="9" borderId="4" xfId="0" applyNumberFormat="1" applyFont="1" applyFill="1" applyBorder="1" applyAlignment="1">
      <alignment horizontal="center" vertical="center"/>
    </xf>
    <xf numFmtId="3" fontId="22" fillId="9" borderId="4" xfId="0" applyNumberFormat="1" applyFont="1" applyFill="1" applyBorder="1" applyAlignment="1">
      <alignment vertical="center"/>
    </xf>
    <xf numFmtId="3" fontId="22" fillId="0" borderId="0" xfId="0" applyNumberFormat="1" applyFont="1" applyAlignment="1">
      <alignment vertical="center"/>
    </xf>
    <xf numFmtId="0" fontId="45" fillId="0" borderId="4" xfId="0" applyFont="1" applyBorder="1" applyAlignment="1">
      <alignment vertical="top"/>
    </xf>
    <xf numFmtId="0" fontId="0" fillId="0" borderId="4" xfId="0" applyBorder="1" applyAlignment="1">
      <alignment horizontal="left" vertical="top"/>
    </xf>
    <xf numFmtId="0" fontId="44" fillId="0" borderId="4" xfId="0" applyFont="1" applyBorder="1" applyAlignment="1">
      <alignment horizontal="left" vertical="top"/>
    </xf>
    <xf numFmtId="0" fontId="43" fillId="0" borderId="4" xfId="0" applyFont="1" applyBorder="1" applyAlignment="1">
      <alignment vertical="top"/>
    </xf>
    <xf numFmtId="0" fontId="15" fillId="0" borderId="4" xfId="0" applyFont="1" applyBorder="1" applyAlignment="1">
      <alignment horizontal="left" vertical="top" indent="1"/>
    </xf>
    <xf numFmtId="0" fontId="22" fillId="0" borderId="6" xfId="0" applyFont="1" applyBorder="1" applyAlignment="1">
      <alignment vertical="center"/>
    </xf>
    <xf numFmtId="3" fontId="27" fillId="0" borderId="6" xfId="0" applyNumberFormat="1" applyFont="1" applyBorder="1" applyAlignment="1">
      <alignment horizontal="center" vertical="center"/>
    </xf>
    <xf numFmtId="4" fontId="22" fillId="0" borderId="4" xfId="0" applyNumberFormat="1" applyFont="1" applyBorder="1" applyAlignment="1">
      <alignment horizontal="center" vertical="center"/>
    </xf>
    <xf numFmtId="3" fontId="22" fillId="0" borderId="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vertical="center"/>
    </xf>
    <xf numFmtId="4" fontId="28" fillId="0" borderId="4" xfId="0" applyNumberFormat="1" applyFont="1" applyBorder="1" applyAlignment="1">
      <alignment horizontal="center" vertical="center"/>
    </xf>
    <xf numFmtId="4" fontId="27" fillId="0" borderId="4" xfId="0" applyNumberFormat="1" applyFont="1" applyBorder="1" applyAlignment="1">
      <alignment horizontal="center" vertical="center"/>
    </xf>
    <xf numFmtId="0" fontId="27" fillId="9" borderId="4" xfId="75" applyFont="1" applyFill="1" applyBorder="1" applyAlignment="1">
      <alignment vertical="center" wrapText="1"/>
    </xf>
    <xf numFmtId="4" fontId="22" fillId="0" borderId="9" xfId="10" applyNumberFormat="1" applyFont="1" applyBorder="1" applyAlignment="1">
      <alignment vertical="center"/>
    </xf>
    <xf numFmtId="0" fontId="22" fillId="0" borderId="7" xfId="10" applyFont="1" applyBorder="1" applyAlignment="1">
      <alignment vertical="center"/>
    </xf>
    <xf numFmtId="4" fontId="22" fillId="0" borderId="8" xfId="10" applyNumberFormat="1" applyFont="1" applyBorder="1" applyAlignment="1">
      <alignment vertical="center"/>
    </xf>
    <xf numFmtId="0" fontId="41" fillId="0" borderId="0" xfId="75" applyFont="1" applyAlignment="1">
      <alignment horizontal="center" vertical="center" wrapText="1"/>
    </xf>
    <xf numFmtId="0" fontId="22" fillId="0" borderId="0" xfId="75" applyFont="1" applyAlignment="1">
      <alignment horizontal="center" vertical="center" wrapText="1"/>
    </xf>
    <xf numFmtId="2" fontId="22" fillId="16" borderId="4" xfId="10" applyNumberFormat="1" applyFont="1" applyFill="1" applyBorder="1" applyAlignment="1">
      <alignment vertical="center"/>
    </xf>
    <xf numFmtId="2" fontId="22" fillId="16" borderId="8" xfId="10" applyNumberFormat="1" applyFont="1" applyFill="1" applyBorder="1" applyAlignment="1">
      <alignment vertical="center"/>
    </xf>
    <xf numFmtId="1" fontId="32" fillId="5" borderId="6" xfId="10" applyNumberFormat="1" applyFont="1" applyFill="1" applyBorder="1"/>
    <xf numFmtId="2" fontId="22" fillId="0" borderId="10" xfId="10" applyNumberFormat="1" applyFont="1" applyBorder="1" applyAlignment="1">
      <alignment vertical="center"/>
    </xf>
    <xf numFmtId="0" fontId="22" fillId="0" borderId="8" xfId="10" applyFont="1" applyBorder="1" applyAlignment="1">
      <alignment vertical="center"/>
    </xf>
    <xf numFmtId="186" fontId="22" fillId="0" borderId="4" xfId="10" applyNumberFormat="1" applyFont="1" applyBorder="1" applyAlignment="1">
      <alignment vertical="center"/>
    </xf>
    <xf numFmtId="187" fontId="22" fillId="0" borderId="4" xfId="10" applyNumberFormat="1" applyFont="1" applyBorder="1" applyAlignment="1">
      <alignment vertical="center"/>
    </xf>
    <xf numFmtId="181" fontId="22" fillId="0" borderId="4" xfId="10" applyNumberFormat="1" applyFont="1" applyBorder="1" applyAlignment="1">
      <alignment vertical="center"/>
    </xf>
    <xf numFmtId="171" fontId="22" fillId="0" borderId="4" xfId="10" applyNumberFormat="1" applyFont="1" applyBorder="1" applyAlignment="1">
      <alignment vertical="center"/>
    </xf>
    <xf numFmtId="0" fontId="27" fillId="8" borderId="4" xfId="10" applyFont="1" applyFill="1" applyBorder="1" applyAlignment="1">
      <alignment vertical="center"/>
    </xf>
    <xf numFmtId="4" fontId="27" fillId="8" borderId="4" xfId="10" applyNumberFormat="1" applyFont="1" applyFill="1" applyBorder="1" applyAlignment="1">
      <alignment vertical="center"/>
    </xf>
    <xf numFmtId="1" fontId="0" fillId="0" borderId="4" xfId="10" applyNumberFormat="1" applyFont="1" applyBorder="1"/>
    <xf numFmtId="2" fontId="27" fillId="8" borderId="4" xfId="10" applyNumberFormat="1" applyFont="1" applyFill="1" applyBorder="1" applyAlignment="1">
      <alignment vertical="center"/>
    </xf>
    <xf numFmtId="0" fontId="22" fillId="8" borderId="0" xfId="10" applyFont="1" applyFill="1" applyAlignment="1">
      <alignment vertical="center"/>
    </xf>
    <xf numFmtId="0" fontId="22" fillId="7" borderId="0" xfId="10" applyFont="1" applyFill="1" applyAlignment="1">
      <alignment vertical="center"/>
    </xf>
    <xf numFmtId="2" fontId="22" fillId="7" borderId="0" xfId="10" applyNumberFormat="1" applyFont="1" applyFill="1" applyAlignment="1">
      <alignment vertical="center"/>
    </xf>
    <xf numFmtId="0" fontId="22" fillId="17" borderId="4" xfId="0" applyFont="1" applyFill="1" applyBorder="1" applyAlignment="1">
      <alignment horizontal="center" vertical="center"/>
    </xf>
    <xf numFmtId="0" fontId="22" fillId="8" borderId="0" xfId="0" applyFont="1" applyFill="1" applyAlignment="1">
      <alignment vertical="center"/>
    </xf>
    <xf numFmtId="1" fontId="22" fillId="0" borderId="4" xfId="14" applyNumberFormat="1" applyFont="1" applyBorder="1" applyAlignment="1">
      <alignment horizontal="right" vertical="center"/>
    </xf>
    <xf numFmtId="0" fontId="27" fillId="0" borderId="4" xfId="10" applyFont="1" applyBorder="1" applyAlignment="1">
      <alignment horizontal="center" vertical="center" wrapText="1"/>
    </xf>
    <xf numFmtId="0" fontId="27" fillId="0" borderId="6" xfId="14" applyFont="1" applyBorder="1" applyAlignment="1">
      <alignment horizontal="center" vertical="center" wrapText="1"/>
    </xf>
    <xf numFmtId="0" fontId="27" fillId="0" borderId="4" xfId="14" applyFont="1" applyBorder="1" applyAlignment="1">
      <alignment horizontal="center" vertical="center" wrapText="1"/>
    </xf>
    <xf numFmtId="0" fontId="22" fillId="0" borderId="4" xfId="10" applyFont="1" applyBorder="1" applyAlignment="1">
      <alignment horizontal="center" vertical="center" wrapText="1"/>
    </xf>
    <xf numFmtId="0" fontId="27" fillId="0" borderId="4" xfId="14" applyFont="1" applyBorder="1" applyAlignment="1">
      <alignment horizontal="center" vertical="center"/>
    </xf>
    <xf numFmtId="0" fontId="22" fillId="0" borderId="4" xfId="10" applyFont="1" applyBorder="1" applyAlignment="1">
      <alignment horizontal="center" vertical="center"/>
    </xf>
    <xf numFmtId="0" fontId="27" fillId="0" borderId="0" xfId="14" applyFont="1" applyAlignment="1">
      <alignment horizontal="center" vertical="center"/>
    </xf>
    <xf numFmtId="0" fontId="27" fillId="0" borderId="0" xfId="10" applyFont="1" applyAlignment="1">
      <alignment horizontal="center" vertical="center"/>
    </xf>
    <xf numFmtId="0" fontId="22" fillId="0" borderId="4" xfId="10" applyFont="1" applyBorder="1" applyAlignment="1">
      <alignment vertical="center"/>
    </xf>
    <xf numFmtId="0" fontId="22" fillId="0" borderId="7" xfId="10" applyFont="1" applyBorder="1" applyAlignment="1">
      <alignment horizontal="center" vertical="center"/>
    </xf>
    <xf numFmtId="0" fontId="22" fillId="0" borderId="23" xfId="10" applyFont="1" applyBorder="1" applyAlignment="1">
      <alignment vertical="center"/>
    </xf>
    <xf numFmtId="4" fontId="27" fillId="6" borderId="4" xfId="10" applyNumberFormat="1" applyFont="1" applyFill="1" applyBorder="1" applyAlignment="1">
      <alignment horizontal="right" vertical="center"/>
    </xf>
    <xf numFmtId="0" fontId="22" fillId="0" borderId="23" xfId="14" applyFont="1" applyBorder="1">
      <alignment vertical="center"/>
    </xf>
    <xf numFmtId="10" fontId="22" fillId="6" borderId="4" xfId="157" applyNumberFormat="1" applyFont="1" applyFill="1" applyBorder="1" applyAlignment="1">
      <alignment vertical="center"/>
    </xf>
    <xf numFmtId="0" fontId="22" fillId="0" borderId="0" xfId="10" applyFont="1" applyAlignment="1">
      <alignment horizontal="right"/>
    </xf>
    <xf numFmtId="10" fontId="22" fillId="0" borderId="0" xfId="157" applyNumberFormat="1" applyFont="1"/>
    <xf numFmtId="0" fontId="27" fillId="4" borderId="4" xfId="446" applyFont="1" applyFill="1" applyBorder="1" applyAlignment="1">
      <alignment horizontal="center" vertical="center" wrapText="1"/>
    </xf>
    <xf numFmtId="0" fontId="27" fillId="4" borderId="11" xfId="446" applyFont="1" applyFill="1" applyBorder="1" applyAlignment="1">
      <alignment horizontal="center" vertical="center" wrapText="1"/>
    </xf>
    <xf numFmtId="0" fontId="22" fillId="4" borderId="5" xfId="446" applyFont="1" applyFill="1" applyBorder="1" applyAlignment="1">
      <alignment horizontal="center" vertical="center"/>
    </xf>
    <xf numFmtId="0" fontId="27" fillId="4" borderId="4" xfId="446" applyFont="1" applyFill="1" applyBorder="1" applyAlignment="1">
      <alignment horizontal="center" vertical="center"/>
    </xf>
    <xf numFmtId="10" fontId="22" fillId="4" borderId="4" xfId="446" applyNumberFormat="1" applyFont="1" applyFill="1" applyBorder="1" applyAlignment="1">
      <alignment horizontal="center" vertical="center"/>
    </xf>
    <xf numFmtId="2" fontId="22" fillId="4" borderId="4" xfId="446" applyNumberFormat="1" applyFont="1" applyFill="1" applyBorder="1" applyAlignment="1">
      <alignment horizontal="center" vertical="center"/>
    </xf>
    <xf numFmtId="0" fontId="27" fillId="11" borderId="4" xfId="446" applyFont="1" applyFill="1" applyBorder="1" applyAlignment="1">
      <alignment horizontal="center" vertical="center"/>
    </xf>
    <xf numFmtId="2" fontId="22" fillId="11" borderId="4" xfId="446" applyNumberFormat="1" applyFont="1" applyFill="1" applyBorder="1" applyAlignment="1">
      <alignment horizontal="center" vertical="center"/>
    </xf>
    <xf numFmtId="0" fontId="22" fillId="4" borderId="4" xfId="446" applyFont="1" applyFill="1" applyBorder="1" applyAlignment="1">
      <alignment horizontal="left" vertical="center"/>
    </xf>
    <xf numFmtId="0" fontId="27" fillId="4" borderId="4" xfId="446" applyFont="1" applyFill="1" applyBorder="1" applyAlignment="1">
      <alignment horizontal="left" vertical="center"/>
    </xf>
    <xf numFmtId="0" fontId="22" fillId="4" borderId="33" xfId="446" applyFont="1" applyFill="1" applyBorder="1" applyAlignment="1">
      <alignment horizontal="center" vertical="center"/>
    </xf>
    <xf numFmtId="0" fontId="27" fillId="4" borderId="8" xfId="446" applyFont="1" applyFill="1" applyBorder="1" applyAlignment="1">
      <alignment horizontal="left" vertical="center" wrapText="1"/>
    </xf>
    <xf numFmtId="0" fontId="22" fillId="4" borderId="34" xfId="446" applyFont="1" applyFill="1" applyBorder="1" applyAlignment="1">
      <alignment horizontal="center" vertical="center"/>
    </xf>
    <xf numFmtId="0" fontId="27" fillId="4" borderId="9" xfId="446" applyFont="1" applyFill="1" applyBorder="1" applyAlignment="1">
      <alignment horizontal="center" vertical="center"/>
    </xf>
    <xf numFmtId="0" fontId="22" fillId="4" borderId="12" xfId="446" applyFont="1" applyFill="1" applyBorder="1" applyAlignment="1">
      <alignment horizontal="center" vertical="center"/>
    </xf>
    <xf numFmtId="0" fontId="27" fillId="4" borderId="13" xfId="446" applyFont="1" applyFill="1" applyBorder="1" applyAlignment="1">
      <alignment horizontal="center" vertical="center"/>
    </xf>
    <xf numFmtId="0" fontId="22" fillId="4" borderId="13" xfId="446" applyFont="1" applyFill="1" applyBorder="1" applyAlignment="1">
      <alignment horizontal="center" vertical="center"/>
    </xf>
    <xf numFmtId="2" fontId="27" fillId="6" borderId="13" xfId="447" applyNumberFormat="1" applyFont="1" applyFill="1" applyBorder="1" applyAlignment="1">
      <alignment horizontal="center" vertical="center"/>
    </xf>
    <xf numFmtId="2" fontId="27" fillId="6" borderId="14" xfId="447" applyNumberFormat="1" applyFont="1" applyFill="1" applyBorder="1" applyAlignment="1">
      <alignment horizontal="center" vertical="center"/>
    </xf>
    <xf numFmtId="0" fontId="27" fillId="4" borderId="13" xfId="446" applyFont="1" applyFill="1" applyBorder="1" applyAlignment="1">
      <alignment horizontal="center" vertical="center" wrapText="1"/>
    </xf>
    <xf numFmtId="0" fontId="27" fillId="4" borderId="14" xfId="446" applyFont="1" applyFill="1" applyBorder="1" applyAlignment="1">
      <alignment horizontal="center" vertical="center" wrapText="1"/>
    </xf>
    <xf numFmtId="0" fontId="22" fillId="0" borderId="5" xfId="446" applyFont="1" applyBorder="1" applyAlignment="1">
      <alignment horizontal="center" vertical="center"/>
    </xf>
    <xf numFmtId="0" fontId="27" fillId="0" borderId="4" xfId="446" applyFont="1" applyBorder="1" applyAlignment="1">
      <alignment horizontal="center" vertical="center"/>
    </xf>
    <xf numFmtId="2" fontId="22" fillId="0" borderId="4" xfId="446" applyNumberFormat="1" applyFont="1" applyBorder="1" applyAlignment="1">
      <alignment horizontal="center" vertical="center"/>
    </xf>
    <xf numFmtId="2" fontId="27" fillId="4" borderId="4" xfId="446" applyNumberFormat="1" applyFont="1" applyFill="1" applyBorder="1" applyAlignment="1">
      <alignment horizontal="center" vertical="center"/>
    </xf>
    <xf numFmtId="0" fontId="27" fillId="16" borderId="4" xfId="14" applyFont="1" applyFill="1" applyBorder="1" applyAlignment="1">
      <alignment horizontal="center" vertical="center" wrapText="1"/>
    </xf>
    <xf numFmtId="0" fontId="22" fillId="16" borderId="4" xfId="10" applyFont="1" applyFill="1" applyBorder="1" applyAlignment="1">
      <alignment vertical="center"/>
    </xf>
    <xf numFmtId="4" fontId="22" fillId="16" borderId="4" xfId="10" applyNumberFormat="1" applyFont="1" applyFill="1" applyBorder="1" applyAlignment="1">
      <alignment vertical="center"/>
    </xf>
    <xf numFmtId="2" fontId="22" fillId="16" borderId="4" xfId="10" applyNumberFormat="1" applyFont="1" applyFill="1" applyBorder="1" applyAlignment="1">
      <alignment horizontal="left" vertical="center"/>
    </xf>
    <xf numFmtId="2" fontId="22" fillId="16" borderId="4" xfId="10" applyNumberFormat="1" applyFont="1" applyFill="1" applyBorder="1" applyAlignment="1">
      <alignment horizontal="center" vertical="center"/>
    </xf>
    <xf numFmtId="0" fontId="22" fillId="16" borderId="4" xfId="10" applyFont="1" applyFill="1" applyBorder="1" applyAlignment="1">
      <alignment horizontal="center" vertical="center"/>
    </xf>
    <xf numFmtId="10" fontId="22" fillId="0" borderId="4" xfId="157" applyNumberFormat="1" applyFont="1" applyBorder="1" applyAlignment="1">
      <alignment horizontal="center" vertical="center"/>
    </xf>
    <xf numFmtId="10" fontId="22" fillId="16" borderId="4" xfId="157" applyNumberFormat="1" applyFont="1" applyFill="1" applyBorder="1" applyAlignment="1">
      <alignment horizontal="center" vertical="center"/>
    </xf>
    <xf numFmtId="0" fontId="22" fillId="18" borderId="9" xfId="14" applyFont="1" applyFill="1" applyBorder="1">
      <alignment vertical="center"/>
    </xf>
    <xf numFmtId="2" fontId="22" fillId="18" borderId="4" xfId="14" applyNumberFormat="1" applyFont="1" applyFill="1" applyBorder="1">
      <alignment vertical="center"/>
    </xf>
    <xf numFmtId="0" fontId="22" fillId="18" borderId="4" xfId="10" applyFont="1" applyFill="1" applyBorder="1" applyAlignment="1">
      <alignment horizontal="left" vertical="center"/>
    </xf>
    <xf numFmtId="174" fontId="22" fillId="5" borderId="4" xfId="14" applyNumberFormat="1" applyFont="1" applyFill="1" applyBorder="1">
      <alignment vertical="center"/>
    </xf>
    <xf numFmtId="10" fontId="51" fillId="0" borderId="4" xfId="157" applyNumberFormat="1" applyFont="1" applyBorder="1" applyAlignment="1">
      <alignment horizontal="center" vertical="center"/>
    </xf>
    <xf numFmtId="10" fontId="22" fillId="0" borderId="4" xfId="157" applyNumberFormat="1" applyFont="1" applyBorder="1" applyAlignment="1">
      <alignment horizontal="right" vertical="center" wrapText="1"/>
    </xf>
    <xf numFmtId="10" fontId="22" fillId="6" borderId="4" xfId="157" applyNumberFormat="1" applyFont="1" applyFill="1" applyBorder="1" applyAlignment="1">
      <alignment horizontal="right" vertical="center"/>
    </xf>
    <xf numFmtId="0" fontId="22" fillId="5" borderId="0" xfId="0" applyFont="1" applyFill="1" applyAlignment="1">
      <alignment vertical="center"/>
    </xf>
    <xf numFmtId="0" fontId="27" fillId="5" borderId="4" xfId="0" applyFont="1" applyFill="1" applyBorder="1" applyAlignment="1">
      <alignment horizontal="center" vertical="center"/>
    </xf>
    <xf numFmtId="3" fontId="27" fillId="5" borderId="4" xfId="75" applyNumberFormat="1" applyFont="1" applyFill="1" applyBorder="1" applyAlignment="1">
      <alignment horizontal="left" vertical="center"/>
    </xf>
    <xf numFmtId="3" fontId="22" fillId="5" borderId="4" xfId="75" applyNumberFormat="1" applyFont="1" applyFill="1" applyBorder="1" applyAlignment="1">
      <alignment horizontal="left" vertical="center"/>
    </xf>
    <xf numFmtId="3" fontId="28" fillId="5" borderId="4" xfId="75" applyNumberFormat="1" applyFont="1" applyFill="1" applyBorder="1" applyAlignment="1">
      <alignment horizontal="right" vertical="center"/>
    </xf>
    <xf numFmtId="3" fontId="28" fillId="5" borderId="4" xfId="75" applyNumberFormat="1" applyFont="1" applyFill="1" applyBorder="1" applyAlignment="1">
      <alignment vertical="center"/>
    </xf>
    <xf numFmtId="3" fontId="22" fillId="5" borderId="4" xfId="75" applyNumberFormat="1" applyFont="1" applyFill="1" applyBorder="1" applyAlignment="1">
      <alignment vertical="center"/>
    </xf>
    <xf numFmtId="3" fontId="27" fillId="5" borderId="4" xfId="75" applyNumberFormat="1" applyFont="1" applyFill="1" applyBorder="1" applyAlignment="1">
      <alignment horizontal="center" vertical="center"/>
    </xf>
    <xf numFmtId="3" fontId="22" fillId="5" borderId="0" xfId="75" applyNumberFormat="1" applyFont="1" applyFill="1" applyAlignment="1">
      <alignment vertical="center"/>
    </xf>
    <xf numFmtId="0" fontId="27" fillId="5" borderId="0" xfId="10" applyFont="1" applyFill="1" applyAlignment="1">
      <alignment vertical="center"/>
    </xf>
    <xf numFmtId="0" fontId="22" fillId="5" borderId="0" xfId="10" applyFont="1" applyFill="1" applyAlignment="1">
      <alignment horizontal="center" vertical="center"/>
    </xf>
    <xf numFmtId="4" fontId="27" fillId="6" borderId="4" xfId="75" applyNumberFormat="1" applyFont="1" applyFill="1" applyBorder="1" applyAlignment="1">
      <alignment horizontal="center" vertical="center"/>
    </xf>
    <xf numFmtId="3" fontId="54" fillId="0" borderId="4" xfId="0" applyNumberFormat="1" applyFont="1" applyBorder="1" applyAlignment="1">
      <alignment horizontal="center" vertical="center"/>
    </xf>
    <xf numFmtId="4" fontId="54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left" vertical="top" wrapText="1" indent="1"/>
    </xf>
    <xf numFmtId="3" fontId="54" fillId="0" borderId="4" xfId="0" applyNumberFormat="1" applyFont="1" applyBorder="1" applyAlignment="1">
      <alignment horizontal="left" vertical="center"/>
    </xf>
    <xf numFmtId="1" fontId="27" fillId="0" borderId="4" xfId="10" applyNumberFormat="1" applyFont="1" applyBorder="1" applyAlignment="1">
      <alignment horizontal="center" vertical="center"/>
    </xf>
    <xf numFmtId="188" fontId="44" fillId="0" borderId="0" xfId="0" applyNumberFormat="1" applyFont="1" applyFill="1" applyAlignment="1">
      <alignment vertical="center"/>
    </xf>
    <xf numFmtId="10" fontId="27" fillId="0" borderId="4" xfId="71" applyNumberFormat="1" applyFont="1" applyBorder="1" applyAlignment="1">
      <alignment horizontal="center" vertical="center" wrapText="1"/>
    </xf>
    <xf numFmtId="1" fontId="22" fillId="0" borderId="4" xfId="14" applyNumberFormat="1" applyFont="1" applyBorder="1" applyAlignment="1">
      <alignment horizontal="center" vertical="center" wrapText="1"/>
    </xf>
    <xf numFmtId="2" fontId="22" fillId="0" borderId="0" xfId="10" applyNumberFormat="1" applyFont="1" applyAlignment="1">
      <alignment vertical="center"/>
    </xf>
    <xf numFmtId="1" fontId="22" fillId="0" borderId="4" xfId="10" applyNumberFormat="1" applyFont="1" applyBorder="1" applyAlignment="1">
      <alignment horizontal="center" vertical="center"/>
    </xf>
    <xf numFmtId="164" fontId="22" fillId="0" borderId="4" xfId="39" applyNumberFormat="1" applyFont="1" applyBorder="1" applyAlignment="1">
      <alignment vertical="center"/>
    </xf>
    <xf numFmtId="164" fontId="22" fillId="0" borderId="4" xfId="98" applyNumberFormat="1" applyFont="1" applyBorder="1" applyAlignment="1">
      <alignment vertical="center"/>
    </xf>
    <xf numFmtId="0" fontId="27" fillId="0" borderId="4" xfId="14" applyFont="1" applyBorder="1" applyAlignment="1">
      <alignment horizontal="center" vertical="center" wrapText="1"/>
    </xf>
    <xf numFmtId="0" fontId="27" fillId="0" borderId="4" xfId="14" applyFont="1" applyBorder="1" applyAlignment="1">
      <alignment horizontal="center" vertical="center" wrapText="1"/>
    </xf>
    <xf numFmtId="0" fontId="27" fillId="0" borderId="0" xfId="14" applyFont="1" applyAlignment="1">
      <alignment horizontal="center" vertical="center"/>
    </xf>
    <xf numFmtId="0" fontId="27" fillId="0" borderId="0" xfId="10" applyFont="1" applyAlignment="1">
      <alignment horizontal="center" vertical="center"/>
    </xf>
    <xf numFmtId="0" fontId="32" fillId="5" borderId="4" xfId="14" applyFont="1" applyFill="1" applyBorder="1" applyAlignment="1">
      <alignment horizontal="left" vertical="center"/>
    </xf>
    <xf numFmtId="0" fontId="33" fillId="5" borderId="4" xfId="14" applyFont="1" applyFill="1" applyBorder="1" applyAlignment="1">
      <alignment horizontal="center" vertical="center" wrapText="1"/>
    </xf>
    <xf numFmtId="0" fontId="32" fillId="5" borderId="7" xfId="14" applyFont="1" applyFill="1" applyBorder="1" applyAlignment="1">
      <alignment horizontal="center" vertical="center"/>
    </xf>
    <xf numFmtId="0" fontId="32" fillId="5" borderId="4" xfId="14" applyFont="1" applyFill="1" applyBorder="1">
      <alignment vertical="center"/>
    </xf>
    <xf numFmtId="2" fontId="32" fillId="5" borderId="4" xfId="14" applyNumberFormat="1" applyFont="1" applyFill="1" applyBorder="1">
      <alignment vertical="center"/>
    </xf>
    <xf numFmtId="1" fontId="32" fillId="5" borderId="4" xfId="14" applyNumberFormat="1" applyFont="1" applyFill="1" applyBorder="1" applyAlignment="1">
      <alignment horizontal="center" vertical="center"/>
    </xf>
    <xf numFmtId="0" fontId="32" fillId="5" borderId="4" xfId="14" applyFont="1" applyFill="1" applyBorder="1" applyAlignment="1">
      <alignment vertical="top" wrapText="1"/>
    </xf>
    <xf numFmtId="0" fontId="32" fillId="5" borderId="9" xfId="14" applyFont="1" applyFill="1" applyBorder="1" applyAlignment="1">
      <alignment vertical="top" wrapText="1"/>
    </xf>
    <xf numFmtId="0" fontId="32" fillId="5" borderId="9" xfId="14" applyFont="1" applyFill="1" applyBorder="1" applyAlignment="1">
      <alignment vertical="top"/>
    </xf>
    <xf numFmtId="0" fontId="33" fillId="5" borderId="4" xfId="14" applyFont="1" applyFill="1" applyBorder="1">
      <alignment vertical="center"/>
    </xf>
    <xf numFmtId="2" fontId="33" fillId="5" borderId="4" xfId="14" applyNumberFormat="1" applyFont="1" applyFill="1" applyBorder="1">
      <alignment vertical="center"/>
    </xf>
    <xf numFmtId="1" fontId="33" fillId="5" borderId="4" xfId="14" applyNumberFormat="1" applyFont="1" applyFill="1" applyBorder="1" applyAlignment="1">
      <alignment horizontal="center" vertical="center"/>
    </xf>
    <xf numFmtId="0" fontId="32" fillId="5" borderId="0" xfId="14" applyFont="1" applyFill="1" applyAlignment="1">
      <alignment horizontal="center" vertical="center"/>
    </xf>
    <xf numFmtId="0" fontId="33" fillId="5" borderId="0" xfId="14" applyFont="1" applyFill="1" applyAlignment="1">
      <alignment horizontal="left" vertical="center" wrapText="1"/>
    </xf>
    <xf numFmtId="0" fontId="32" fillId="5" borderId="0" xfId="14" applyFont="1" applyFill="1" applyAlignment="1">
      <alignment horizontal="left" vertical="center"/>
    </xf>
    <xf numFmtId="0" fontId="32" fillId="5" borderId="0" xfId="14" applyFont="1" applyFill="1">
      <alignment vertical="center"/>
    </xf>
    <xf numFmtId="2" fontId="32" fillId="5" borderId="0" xfId="14" applyNumberFormat="1" applyFont="1" applyFill="1">
      <alignment vertical="center"/>
    </xf>
    <xf numFmtId="0" fontId="33" fillId="5" borderId="0" xfId="14" applyFont="1" applyFill="1" applyAlignment="1">
      <alignment horizontal="center" vertical="center"/>
    </xf>
    <xf numFmtId="0" fontId="33" fillId="5" borderId="0" xfId="14" applyFont="1" applyFill="1">
      <alignment vertical="center"/>
    </xf>
    <xf numFmtId="4" fontId="32" fillId="5" borderId="4" xfId="0" applyNumberFormat="1" applyFont="1" applyFill="1" applyBorder="1" applyAlignment="1">
      <alignment horizontal="center"/>
    </xf>
    <xf numFmtId="2" fontId="32" fillId="5" borderId="4" xfId="14" applyNumberFormat="1" applyFont="1" applyFill="1" applyBorder="1" applyAlignment="1">
      <alignment horizontal="right" vertical="center"/>
    </xf>
    <xf numFmtId="1" fontId="32" fillId="5" borderId="4" xfId="14" applyNumberFormat="1" applyFont="1" applyFill="1" applyBorder="1" applyAlignment="1">
      <alignment horizontal="right" vertical="center"/>
    </xf>
    <xf numFmtId="0" fontId="32" fillId="5" borderId="4" xfId="14" applyFont="1" applyFill="1" applyBorder="1" applyAlignment="1">
      <alignment horizontal="center" vertical="center"/>
    </xf>
    <xf numFmtId="4" fontId="32" fillId="5" borderId="0" xfId="0" applyNumberFormat="1" applyFont="1" applyFill="1" applyAlignment="1">
      <alignment horizontal="center"/>
    </xf>
    <xf numFmtId="4" fontId="32" fillId="5" borderId="4" xfId="14" applyNumberFormat="1" applyFont="1" applyFill="1" applyBorder="1" applyAlignment="1">
      <alignment horizontal="center" vertical="center"/>
    </xf>
    <xf numFmtId="0" fontId="32" fillId="5" borderId="4" xfId="14" applyFont="1" applyFill="1" applyBorder="1" applyAlignment="1">
      <alignment horizontal="right" vertical="center"/>
    </xf>
    <xf numFmtId="4" fontId="32" fillId="5" borderId="4" xfId="14" applyNumberFormat="1" applyFont="1" applyFill="1" applyBorder="1">
      <alignment vertical="center"/>
    </xf>
    <xf numFmtId="0" fontId="33" fillId="5" borderId="4" xfId="14" applyFont="1" applyFill="1" applyBorder="1" applyAlignment="1">
      <alignment horizontal="center" vertical="center"/>
    </xf>
    <xf numFmtId="2" fontId="33" fillId="5" borderId="4" xfId="14" applyNumberFormat="1" applyFont="1" applyFill="1" applyBorder="1" applyAlignment="1">
      <alignment horizontal="right" vertical="center"/>
    </xf>
    <xf numFmtId="2" fontId="33" fillId="5" borderId="4" xfId="14" applyNumberFormat="1" applyFont="1" applyFill="1" applyBorder="1" applyAlignment="1">
      <alignment horizontal="center" vertical="center"/>
    </xf>
    <xf numFmtId="1" fontId="33" fillId="5" borderId="4" xfId="14" applyNumberFormat="1" applyFont="1" applyFill="1" applyBorder="1" applyAlignment="1">
      <alignment horizontal="right" vertical="center"/>
    </xf>
    <xf numFmtId="2" fontId="32" fillId="5" borderId="4" xfId="14" applyNumberFormat="1" applyFont="1" applyFill="1" applyBorder="1" applyAlignment="1">
      <alignment horizontal="center" vertical="center"/>
    </xf>
    <xf numFmtId="0" fontId="32" fillId="5" borderId="4" xfId="14" applyFont="1" applyFill="1" applyBorder="1" applyAlignment="1">
      <alignment vertical="top"/>
    </xf>
    <xf numFmtId="3" fontId="32" fillId="5" borderId="4" xfId="10" applyNumberFormat="1" applyFont="1" applyFill="1" applyBorder="1" applyAlignment="1">
      <alignment horizontal="center" vertical="center"/>
    </xf>
    <xf numFmtId="3" fontId="32" fillId="5" borderId="9" xfId="10" applyNumberFormat="1" applyFont="1" applyFill="1" applyBorder="1" applyAlignment="1">
      <alignment vertical="center"/>
    </xf>
    <xf numFmtId="3" fontId="33" fillId="5" borderId="9" xfId="10" applyNumberFormat="1" applyFont="1" applyFill="1" applyBorder="1" applyAlignment="1">
      <alignment horizontal="center" vertical="center"/>
    </xf>
    <xf numFmtId="3" fontId="32" fillId="5" borderId="4" xfId="10" applyNumberFormat="1" applyFont="1" applyFill="1" applyBorder="1" applyAlignment="1">
      <alignment vertical="center"/>
    </xf>
    <xf numFmtId="3" fontId="32" fillId="5" borderId="9" xfId="10" applyNumberFormat="1" applyFont="1" applyFill="1" applyBorder="1" applyAlignment="1">
      <alignment horizontal="center" vertical="center"/>
    </xf>
    <xf numFmtId="0" fontId="33" fillId="5" borderId="9" xfId="10" applyFont="1" applyFill="1" applyBorder="1" applyAlignment="1">
      <alignment horizontal="center" vertical="center"/>
    </xf>
    <xf numFmtId="0" fontId="32" fillId="5" borderId="4" xfId="10" applyFont="1" applyFill="1" applyBorder="1" applyAlignment="1">
      <alignment vertical="center"/>
    </xf>
    <xf numFmtId="1" fontId="32" fillId="5" borderId="4" xfId="10" applyNumberFormat="1" applyFont="1" applyFill="1" applyBorder="1" applyAlignment="1">
      <alignment horizontal="center" vertical="center"/>
    </xf>
    <xf numFmtId="4" fontId="33" fillId="5" borderId="9" xfId="10" applyNumberFormat="1" applyFont="1" applyFill="1" applyBorder="1" applyAlignment="1">
      <alignment horizontal="center" vertical="center"/>
    </xf>
    <xf numFmtId="0" fontId="32" fillId="5" borderId="0" xfId="10" applyFont="1" applyFill="1" applyAlignment="1">
      <alignment vertical="center"/>
    </xf>
    <xf numFmtId="3" fontId="33" fillId="5" borderId="4" xfId="10" applyNumberFormat="1" applyFont="1" applyFill="1" applyBorder="1" applyAlignment="1">
      <alignment horizontal="center" vertical="center"/>
    </xf>
    <xf numFmtId="3" fontId="33" fillId="5" borderId="4" xfId="10" applyNumberFormat="1" applyFont="1" applyFill="1" applyBorder="1" applyAlignment="1">
      <alignment vertical="center"/>
    </xf>
    <xf numFmtId="3" fontId="32" fillId="5" borderId="0" xfId="10" applyNumberFormat="1" applyFont="1" applyFill="1" applyAlignment="1">
      <alignment vertical="center"/>
    </xf>
    <xf numFmtId="0" fontId="33" fillId="5" borderId="0" xfId="10" applyFont="1" applyFill="1" applyAlignment="1">
      <alignment horizontal="left" vertical="center"/>
    </xf>
    <xf numFmtId="3" fontId="33" fillId="5" borderId="0" xfId="10" applyNumberFormat="1" applyFont="1" applyFill="1" applyAlignment="1">
      <alignment horizontal="center" vertical="center"/>
    </xf>
    <xf numFmtId="0" fontId="33" fillId="5" borderId="0" xfId="10" applyFont="1" applyFill="1" applyAlignment="1">
      <alignment horizontal="center" vertical="center"/>
    </xf>
    <xf numFmtId="0" fontId="32" fillId="5" borderId="0" xfId="10" applyFont="1" applyFill="1" applyAlignment="1">
      <alignment horizontal="centerContinuous" vertical="center"/>
    </xf>
    <xf numFmtId="2" fontId="33" fillId="5" borderId="9" xfId="10" applyNumberFormat="1" applyFont="1" applyFill="1" applyBorder="1" applyAlignment="1">
      <alignment horizontal="center" vertical="center"/>
    </xf>
    <xf numFmtId="0" fontId="32" fillId="5" borderId="4" xfId="10" applyFont="1" applyFill="1" applyBorder="1" applyAlignment="1">
      <alignment vertical="center" wrapText="1"/>
    </xf>
    <xf numFmtId="0" fontId="33" fillId="5" borderId="0" xfId="10" applyFont="1" applyFill="1" applyAlignment="1">
      <alignment vertical="center"/>
    </xf>
    <xf numFmtId="0" fontId="32" fillId="5" borderId="0" xfId="10" applyFont="1" applyFill="1" applyAlignment="1">
      <alignment horizontal="center" vertical="center"/>
    </xf>
    <xf numFmtId="0" fontId="22" fillId="0" borderId="0" xfId="10" applyFont="1" applyFill="1" applyAlignment="1">
      <alignment vertical="center"/>
    </xf>
    <xf numFmtId="0" fontId="27" fillId="0" borderId="0" xfId="14" applyFont="1" applyFill="1" applyAlignment="1">
      <alignment horizontal="center" vertical="center"/>
    </xf>
    <xf numFmtId="0" fontId="27" fillId="0" borderId="0" xfId="10" applyFont="1" applyFill="1" applyAlignment="1">
      <alignment horizontal="center" vertical="center"/>
    </xf>
    <xf numFmtId="0" fontId="27" fillId="0" borderId="0" xfId="10" applyFont="1" applyFill="1" applyAlignment="1">
      <alignment horizontal="left" vertical="center"/>
    </xf>
    <xf numFmtId="0" fontId="22" fillId="0" borderId="0" xfId="10" applyFont="1" applyFill="1" applyAlignment="1">
      <alignment horizontal="centerContinuous" vertical="center"/>
    </xf>
    <xf numFmtId="0" fontId="27" fillId="0" borderId="4" xfId="14" applyFont="1" applyFill="1" applyBorder="1" applyAlignment="1">
      <alignment horizontal="center" vertical="center" wrapText="1"/>
    </xf>
    <xf numFmtId="2" fontId="27" fillId="0" borderId="9" xfId="10" applyNumberFormat="1" applyFont="1" applyFill="1" applyBorder="1" applyAlignment="1">
      <alignment horizontal="center" vertical="center"/>
    </xf>
    <xf numFmtId="0" fontId="27" fillId="0" borderId="9" xfId="10" applyFont="1" applyFill="1" applyBorder="1" applyAlignment="1">
      <alignment horizontal="center" vertical="center"/>
    </xf>
    <xf numFmtId="0" fontId="22" fillId="0" borderId="4" xfId="10" applyFont="1" applyFill="1" applyBorder="1" applyAlignment="1">
      <alignment vertical="center"/>
    </xf>
    <xf numFmtId="0" fontId="22" fillId="0" borderId="4" xfId="10" applyFont="1" applyFill="1" applyBorder="1" applyAlignment="1">
      <alignment vertical="center" wrapText="1"/>
    </xf>
    <xf numFmtId="2" fontId="22" fillId="0" borderId="4" xfId="10" applyNumberFormat="1" applyFont="1" applyFill="1" applyBorder="1" applyAlignment="1">
      <alignment vertical="center"/>
    </xf>
    <xf numFmtId="3" fontId="27" fillId="0" borderId="9" xfId="10" applyNumberFormat="1" applyFont="1" applyFill="1" applyBorder="1" applyAlignment="1">
      <alignment horizontal="center" vertical="center"/>
    </xf>
    <xf numFmtId="3" fontId="22" fillId="0" borderId="4" xfId="10" applyNumberFormat="1" applyFont="1" applyFill="1" applyBorder="1" applyAlignment="1">
      <alignment vertical="center"/>
    </xf>
    <xf numFmtId="3" fontId="22" fillId="0" borderId="4" xfId="10" applyNumberFormat="1" applyFont="1" applyFill="1" applyBorder="1" applyAlignment="1">
      <alignment horizontal="center" vertical="center"/>
    </xf>
    <xf numFmtId="3" fontId="22" fillId="0" borderId="0" xfId="10" applyNumberFormat="1" applyFont="1" applyFill="1" applyAlignment="1">
      <alignment vertical="center"/>
    </xf>
    <xf numFmtId="3" fontId="27" fillId="0" borderId="0" xfId="10" applyNumberFormat="1" applyFont="1" applyFill="1" applyAlignment="1">
      <alignment horizontal="center" vertical="center"/>
    </xf>
    <xf numFmtId="3" fontId="27" fillId="0" borderId="4" xfId="10" applyNumberFormat="1" applyFont="1" applyFill="1" applyBorder="1" applyAlignment="1">
      <alignment horizontal="center" vertical="center"/>
    </xf>
    <xf numFmtId="3" fontId="27" fillId="0" borderId="4" xfId="10" applyNumberFormat="1" applyFont="1" applyFill="1" applyBorder="1" applyAlignment="1">
      <alignment vertical="center"/>
    </xf>
    <xf numFmtId="0" fontId="27" fillId="0" borderId="0" xfId="10" applyFont="1" applyFill="1" applyAlignment="1">
      <alignment vertical="center"/>
    </xf>
    <xf numFmtId="3" fontId="27" fillId="0" borderId="0" xfId="10" applyNumberFormat="1" applyFont="1" applyFill="1" applyAlignment="1">
      <alignment vertical="center"/>
    </xf>
    <xf numFmtId="0" fontId="22" fillId="0" borderId="0" xfId="10" applyFont="1" applyFill="1" applyAlignment="1">
      <alignment horizontal="center" vertical="center"/>
    </xf>
    <xf numFmtId="3" fontId="22" fillId="0" borderId="0" xfId="10" applyNumberFormat="1" applyFont="1" applyFill="1" applyAlignment="1">
      <alignment horizontal="center" vertical="center"/>
    </xf>
    <xf numFmtId="3" fontId="22" fillId="0" borderId="4" xfId="10" applyNumberFormat="1" applyFont="1" applyFill="1" applyBorder="1" applyAlignment="1">
      <alignment horizontal="right" vertical="center"/>
    </xf>
    <xf numFmtId="0" fontId="33" fillId="0" borderId="4" xfId="1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vertical="center"/>
    </xf>
    <xf numFmtId="2" fontId="33" fillId="0" borderId="4" xfId="0" applyNumberFormat="1" applyFont="1" applyFill="1" applyBorder="1" applyAlignment="1">
      <alignment vertical="center"/>
    </xf>
    <xf numFmtId="10" fontId="32" fillId="0" borderId="4" xfId="39" applyNumberFormat="1" applyFont="1" applyFill="1" applyBorder="1" applyAlignment="1">
      <alignment vertical="center"/>
    </xf>
    <xf numFmtId="1" fontId="32" fillId="0" borderId="4" xfId="0" applyNumberFormat="1" applyFont="1" applyFill="1" applyBorder="1" applyAlignment="1">
      <alignment vertical="center"/>
    </xf>
    <xf numFmtId="0" fontId="32" fillId="0" borderId="4" xfId="0" applyFont="1" applyFill="1" applyBorder="1" applyAlignment="1">
      <alignment vertical="center" wrapText="1"/>
    </xf>
    <xf numFmtId="1" fontId="33" fillId="0" borderId="4" xfId="0" applyNumberFormat="1" applyFont="1" applyFill="1" applyBorder="1" applyAlignment="1">
      <alignment vertical="center"/>
    </xf>
    <xf numFmtId="0" fontId="33" fillId="0" borderId="4" xfId="0" applyFont="1" applyFill="1" applyBorder="1" applyAlignment="1">
      <alignment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vertical="center" wrapText="1"/>
    </xf>
    <xf numFmtId="0" fontId="32" fillId="0" borderId="0" xfId="10" applyFont="1" applyFill="1" applyAlignment="1">
      <alignment vertical="center"/>
    </xf>
    <xf numFmtId="2" fontId="32" fillId="0" borderId="4" xfId="10" applyNumberFormat="1" applyFont="1" applyFill="1" applyBorder="1" applyAlignment="1">
      <alignment vertical="center"/>
    </xf>
    <xf numFmtId="0" fontId="32" fillId="0" borderId="4" xfId="10" applyFont="1" applyFill="1" applyBorder="1" applyAlignment="1">
      <alignment vertical="center"/>
    </xf>
    <xf numFmtId="0" fontId="32" fillId="0" borderId="4" xfId="10" applyFont="1" applyFill="1" applyBorder="1" applyAlignment="1">
      <alignment vertical="center" wrapText="1"/>
    </xf>
    <xf numFmtId="2" fontId="33" fillId="0" borderId="4" xfId="10" applyNumberFormat="1" applyFont="1" applyFill="1" applyBorder="1" applyAlignment="1">
      <alignment vertical="center"/>
    </xf>
    <xf numFmtId="1" fontId="32" fillId="0" borderId="4" xfId="10" applyNumberFormat="1" applyFont="1" applyFill="1" applyBorder="1" applyAlignment="1">
      <alignment vertical="center"/>
    </xf>
    <xf numFmtId="0" fontId="32" fillId="0" borderId="7" xfId="0" applyFont="1" applyFill="1" applyBorder="1" applyAlignment="1">
      <alignment vertical="center"/>
    </xf>
    <xf numFmtId="0" fontId="32" fillId="0" borderId="9" xfId="10" applyFont="1" applyFill="1" applyBorder="1" applyAlignment="1">
      <alignment vertical="center"/>
    </xf>
    <xf numFmtId="0" fontId="32" fillId="0" borderId="7" xfId="10" applyFont="1" applyFill="1" applyBorder="1" applyAlignment="1">
      <alignment horizontal="left" vertical="center"/>
    </xf>
    <xf numFmtId="1" fontId="36" fillId="0" borderId="4" xfId="0" applyNumberFormat="1" applyFont="1" applyFill="1" applyBorder="1"/>
    <xf numFmtId="1" fontId="32" fillId="0" borderId="4" xfId="0" applyNumberFormat="1" applyFont="1" applyFill="1" applyBorder="1"/>
    <xf numFmtId="188" fontId="44" fillId="0" borderId="0" xfId="126" applyNumberFormat="1" applyFont="1" applyFill="1" applyAlignment="1">
      <alignment vertical="center"/>
    </xf>
    <xf numFmtId="4" fontId="32" fillId="0" borderId="4" xfId="10" applyNumberFormat="1" applyFont="1" applyFill="1" applyBorder="1" applyAlignment="1">
      <alignment vertical="center"/>
    </xf>
    <xf numFmtId="4" fontId="33" fillId="0" borderId="4" xfId="10" applyNumberFormat="1" applyFont="1" applyFill="1" applyBorder="1" applyAlignment="1">
      <alignment vertical="center"/>
    </xf>
    <xf numFmtId="0" fontId="35" fillId="0" borderId="5" xfId="0" applyFont="1" applyFill="1" applyBorder="1" applyAlignment="1">
      <alignment horizontal="left" vertical="center" wrapText="1"/>
    </xf>
    <xf numFmtId="4" fontId="32" fillId="0" borderId="4" xfId="98" applyNumberFormat="1" applyFont="1" applyFill="1" applyBorder="1" applyAlignment="1">
      <alignment vertical="center"/>
    </xf>
    <xf numFmtId="4" fontId="33" fillId="0" borderId="4" xfId="98" applyNumberFormat="1" applyFont="1" applyFill="1" applyBorder="1" applyAlignment="1">
      <alignment vertical="center"/>
    </xf>
    <xf numFmtId="1" fontId="32" fillId="0" borderId="4" xfId="10" applyNumberFormat="1" applyFont="1" applyFill="1" applyBorder="1"/>
    <xf numFmtId="1" fontId="32" fillId="0" borderId="4" xfId="10" applyNumberFormat="1" applyFont="1" applyFill="1" applyBorder="1" applyAlignment="1">
      <alignment wrapText="1"/>
    </xf>
    <xf numFmtId="0" fontId="33" fillId="0" borderId="0" xfId="10" applyFont="1" applyFill="1" applyAlignment="1">
      <alignment vertical="center"/>
    </xf>
    <xf numFmtId="0" fontId="33" fillId="0" borderId="0" xfId="10" applyFont="1" applyFill="1" applyAlignment="1">
      <alignment horizontal="center" vertical="center"/>
    </xf>
    <xf numFmtId="0" fontId="33" fillId="0" borderId="0" xfId="10" applyFont="1" applyFill="1" applyAlignment="1">
      <alignment horizontal="left" vertical="center"/>
    </xf>
    <xf numFmtId="0" fontId="32" fillId="0" borderId="0" xfId="10" applyFont="1" applyFill="1" applyAlignment="1">
      <alignment horizontal="center" vertical="center"/>
    </xf>
    <xf numFmtId="0" fontId="27" fillId="0" borderId="0" xfId="11" applyFont="1" applyFill="1" applyAlignment="1">
      <alignment horizontal="center" vertical="center"/>
    </xf>
    <xf numFmtId="0" fontId="33" fillId="0" borderId="4" xfId="10" applyFont="1" applyFill="1" applyBorder="1" applyAlignment="1">
      <alignment horizontal="center" vertical="center" wrapText="1"/>
    </xf>
    <xf numFmtId="0" fontId="22" fillId="0" borderId="4" xfId="11" applyFont="1" applyFill="1" applyBorder="1" applyAlignment="1">
      <alignment vertical="center"/>
    </xf>
    <xf numFmtId="164" fontId="22" fillId="0" borderId="0" xfId="10" applyNumberFormat="1" applyFont="1" applyFill="1" applyAlignment="1">
      <alignment vertical="center"/>
    </xf>
    <xf numFmtId="175" fontId="22" fillId="0" borderId="4" xfId="98" applyNumberFormat="1" applyFont="1" applyFill="1" applyBorder="1" applyAlignment="1">
      <alignment vertical="center"/>
    </xf>
    <xf numFmtId="0" fontId="22" fillId="0" borderId="9" xfId="11" applyFont="1" applyFill="1" applyBorder="1" applyAlignment="1">
      <alignment vertical="center"/>
    </xf>
    <xf numFmtId="0" fontId="27" fillId="0" borderId="4" xfId="11" applyFont="1" applyFill="1" applyBorder="1" applyAlignment="1">
      <alignment vertical="center"/>
    </xf>
    <xf numFmtId="0" fontId="22" fillId="0" borderId="4" xfId="11" applyFont="1" applyFill="1" applyBorder="1" applyAlignment="1">
      <alignment horizontal="left" vertical="center" indent="1"/>
    </xf>
    <xf numFmtId="0" fontId="27" fillId="0" borderId="4" xfId="11" applyFont="1" applyFill="1" applyBorder="1" applyAlignment="1">
      <alignment horizontal="left" vertical="center" indent="1"/>
    </xf>
    <xf numFmtId="164" fontId="22" fillId="0" borderId="4" xfId="10" applyNumberFormat="1" applyFont="1" applyFill="1" applyBorder="1" applyAlignment="1">
      <alignment vertical="center"/>
    </xf>
    <xf numFmtId="164" fontId="27" fillId="0" borderId="4" xfId="10" applyNumberFormat="1" applyFont="1" applyFill="1" applyBorder="1" applyAlignment="1">
      <alignment vertical="center"/>
    </xf>
    <xf numFmtId="164" fontId="27" fillId="0" borderId="4" xfId="98" applyFont="1" applyFill="1" applyBorder="1" applyAlignment="1">
      <alignment vertical="center"/>
    </xf>
    <xf numFmtId="174" fontId="22" fillId="0" borderId="0" xfId="39" applyNumberFormat="1" applyFont="1" applyFill="1" applyAlignment="1">
      <alignment vertical="center"/>
    </xf>
    <xf numFmtId="0" fontId="27" fillId="0" borderId="0" xfId="14" applyFont="1" applyFill="1" applyAlignment="1">
      <alignment vertical="center"/>
    </xf>
    <xf numFmtId="0" fontId="27" fillId="0" borderId="0" xfId="10" applyFont="1" applyFill="1" applyAlignment="1">
      <alignment horizontal="right" vertical="center"/>
    </xf>
    <xf numFmtId="0" fontId="27" fillId="0" borderId="4" xfId="10" applyFont="1" applyFill="1" applyBorder="1" applyAlignment="1">
      <alignment horizontal="center" vertical="center"/>
    </xf>
    <xf numFmtId="0" fontId="32" fillId="0" borderId="4" xfId="10" applyFont="1" applyFill="1" applyBorder="1" applyAlignment="1">
      <alignment horizontal="left" vertical="center"/>
    </xf>
    <xf numFmtId="174" fontId="22" fillId="0" borderId="4" xfId="39" applyNumberFormat="1" applyFont="1" applyFill="1" applyBorder="1" applyAlignment="1">
      <alignment vertical="center"/>
    </xf>
    <xf numFmtId="1" fontId="22" fillId="0" borderId="0" xfId="10" applyNumberFormat="1" applyFont="1" applyFill="1" applyAlignment="1">
      <alignment vertical="center"/>
    </xf>
    <xf numFmtId="10" fontId="22" fillId="0" borderId="0" xfId="39" applyNumberFormat="1" applyFont="1" applyFill="1" applyAlignment="1">
      <alignment vertical="center"/>
    </xf>
    <xf numFmtId="164" fontId="22" fillId="0" borderId="0" xfId="98" applyFont="1" applyFill="1" applyAlignment="1">
      <alignment vertical="center"/>
    </xf>
    <xf numFmtId="9" fontId="22" fillId="0" borderId="4" xfId="39" applyFont="1" applyFill="1" applyBorder="1" applyAlignment="1">
      <alignment vertical="center"/>
    </xf>
    <xf numFmtId="164" fontId="22" fillId="0" borderId="4" xfId="98" applyNumberFormat="1" applyFont="1" applyFill="1" applyBorder="1" applyAlignment="1">
      <alignment vertical="center"/>
    </xf>
    <xf numFmtId="178" fontId="22" fillId="0" borderId="4" xfId="98" applyNumberFormat="1" applyFont="1" applyFill="1" applyBorder="1" applyAlignment="1">
      <alignment vertical="center"/>
    </xf>
    <xf numFmtId="10" fontId="22" fillId="0" borderId="4" xfId="98" applyNumberFormat="1" applyFont="1" applyFill="1" applyBorder="1" applyAlignment="1">
      <alignment vertical="center"/>
    </xf>
    <xf numFmtId="0" fontId="28" fillId="0" borderId="0" xfId="10" applyFont="1" applyFill="1" applyAlignment="1">
      <alignment horizontal="right" vertical="center"/>
    </xf>
    <xf numFmtId="177" fontId="22" fillId="0" borderId="0" xfId="10" applyNumberFormat="1" applyFont="1" applyFill="1" applyAlignment="1">
      <alignment vertical="center"/>
    </xf>
    <xf numFmtId="176" fontId="22" fillId="0" borderId="0" xfId="10" applyNumberFormat="1" applyFont="1" applyFill="1" applyAlignment="1">
      <alignment vertical="center"/>
    </xf>
    <xf numFmtId="0" fontId="27" fillId="0" borderId="4" xfId="10" applyFont="1" applyFill="1" applyBorder="1" applyAlignment="1">
      <alignment horizontal="center" vertical="center" wrapText="1"/>
    </xf>
    <xf numFmtId="0" fontId="22" fillId="0" borderId="0" xfId="75" applyFont="1" applyFill="1" applyAlignment="1">
      <alignment vertical="center"/>
    </xf>
    <xf numFmtId="0" fontId="33" fillId="0" borderId="4" xfId="52" applyFont="1" applyFill="1" applyBorder="1" applyAlignment="1">
      <alignment horizontal="center" vertical="center" wrapText="1"/>
    </xf>
    <xf numFmtId="0" fontId="33" fillId="0" borderId="4" xfId="52" applyFont="1" applyFill="1" applyBorder="1" applyAlignment="1">
      <alignment horizontal="center" vertical="center"/>
    </xf>
    <xf numFmtId="0" fontId="27" fillId="0" borderId="4" xfId="75" applyFont="1" applyFill="1" applyBorder="1" applyAlignment="1">
      <alignment horizontal="center" vertical="center"/>
    </xf>
    <xf numFmtId="0" fontId="27" fillId="0" borderId="4" xfId="75" applyFont="1" applyFill="1" applyBorder="1" applyAlignment="1">
      <alignment horizontal="center" vertical="center" wrapText="1"/>
    </xf>
    <xf numFmtId="0" fontId="22" fillId="0" borderId="4" xfId="75" applyFont="1" applyFill="1" applyBorder="1" applyAlignment="1">
      <alignment vertical="center"/>
    </xf>
    <xf numFmtId="0" fontId="27" fillId="0" borderId="4" xfId="10" applyFont="1" applyFill="1" applyBorder="1" applyAlignment="1">
      <alignment vertical="center"/>
    </xf>
    <xf numFmtId="3" fontId="22" fillId="0" borderId="4" xfId="75" applyNumberFormat="1" applyFont="1" applyFill="1" applyBorder="1" applyAlignment="1">
      <alignment horizontal="center" vertical="center"/>
    </xf>
    <xf numFmtId="3" fontId="28" fillId="0" borderId="4" xfId="75" applyNumberFormat="1" applyFont="1" applyFill="1" applyBorder="1" applyAlignment="1">
      <alignment horizontal="center" vertical="center"/>
    </xf>
    <xf numFmtId="3" fontId="27" fillId="0" borderId="4" xfId="75" applyNumberFormat="1" applyFont="1" applyFill="1" applyBorder="1" applyAlignment="1">
      <alignment horizontal="center" vertical="center"/>
    </xf>
    <xf numFmtId="0" fontId="38" fillId="0" borderId="4" xfId="10" applyFont="1" applyFill="1" applyBorder="1" applyAlignment="1">
      <alignment vertical="center"/>
    </xf>
    <xf numFmtId="0" fontId="38" fillId="0" borderId="4" xfId="10" applyFont="1" applyFill="1" applyBorder="1" applyAlignment="1">
      <alignment horizontal="left" vertical="center" indent="1"/>
    </xf>
    <xf numFmtId="3" fontId="22" fillId="0" borderId="4" xfId="0" applyNumberFormat="1" applyFont="1" applyFill="1" applyBorder="1" applyAlignment="1">
      <alignment horizontal="center" vertical="center"/>
    </xf>
    <xf numFmtId="4" fontId="22" fillId="0" borderId="4" xfId="0" applyNumberFormat="1" applyFont="1" applyFill="1" applyBorder="1" applyAlignment="1">
      <alignment horizontal="center" vertical="center"/>
    </xf>
    <xf numFmtId="3" fontId="54" fillId="0" borderId="4" xfId="0" applyNumberFormat="1" applyFont="1" applyFill="1" applyBorder="1" applyAlignment="1">
      <alignment horizontal="center" vertical="center"/>
    </xf>
    <xf numFmtId="4" fontId="54" fillId="0" borderId="4" xfId="0" applyNumberFormat="1" applyFont="1" applyFill="1" applyBorder="1" applyAlignment="1">
      <alignment horizontal="center" vertical="center"/>
    </xf>
    <xf numFmtId="0" fontId="15" fillId="0" borderId="31" xfId="75" applyFill="1" applyBorder="1" applyAlignment="1">
      <alignment horizontal="left" vertical="top" indent="1"/>
    </xf>
    <xf numFmtId="3" fontId="27" fillId="0" borderId="4" xfId="0" applyNumberFormat="1" applyFont="1" applyFill="1" applyBorder="1" applyAlignment="1">
      <alignment horizontal="center" vertical="center"/>
    </xf>
    <xf numFmtId="0" fontId="27" fillId="0" borderId="6" xfId="10" applyFont="1" applyFill="1" applyBorder="1" applyAlignment="1">
      <alignment vertical="center"/>
    </xf>
    <xf numFmtId="0" fontId="22" fillId="0" borderId="9" xfId="10" applyFont="1" applyFill="1" applyBorder="1" applyAlignment="1">
      <alignment vertical="center"/>
    </xf>
    <xf numFmtId="0" fontId="44" fillId="0" borderId="4" xfId="75" applyFont="1" applyFill="1" applyBorder="1" applyAlignment="1">
      <alignment vertical="top"/>
    </xf>
    <xf numFmtId="0" fontId="22" fillId="0" borderId="4" xfId="10" applyFont="1" applyFill="1" applyBorder="1" applyAlignment="1">
      <alignment horizontal="left" vertical="center" indent="1"/>
    </xf>
    <xf numFmtId="0" fontId="15" fillId="0" borderId="4" xfId="75" applyFill="1" applyBorder="1" applyAlignment="1">
      <alignment vertical="top"/>
    </xf>
    <xf numFmtId="0" fontId="15" fillId="0" borderId="4" xfId="75" applyFill="1" applyBorder="1" applyAlignment="1">
      <alignment horizontal="left" vertical="top" indent="1"/>
    </xf>
    <xf numFmtId="3" fontId="28" fillId="0" borderId="4" xfId="0" applyNumberFormat="1" applyFont="1" applyFill="1" applyBorder="1" applyAlignment="1">
      <alignment horizontal="center" vertical="center"/>
    </xf>
    <xf numFmtId="4" fontId="28" fillId="0" borderId="4" xfId="0" applyNumberFormat="1" applyFont="1" applyFill="1" applyBorder="1" applyAlignment="1">
      <alignment horizontal="center" vertical="center"/>
    </xf>
    <xf numFmtId="0" fontId="15" fillId="0" borderId="4" xfId="75" applyFill="1" applyBorder="1" applyAlignment="1">
      <alignment horizontal="left" vertical="top" wrapText="1" indent="1"/>
    </xf>
    <xf numFmtId="0" fontId="27" fillId="0" borderId="0" xfId="75" applyFont="1" applyFill="1" applyAlignment="1">
      <alignment horizontal="center" vertical="center"/>
    </xf>
    <xf numFmtId="1" fontId="22" fillId="0" borderId="0" xfId="75" applyNumberFormat="1" applyFont="1" applyFill="1" applyAlignment="1">
      <alignment horizontal="center" vertical="center"/>
    </xf>
    <xf numFmtId="0" fontId="22" fillId="0" borderId="0" xfId="75" applyFont="1" applyFill="1" applyAlignment="1">
      <alignment horizontal="justify" vertical="center"/>
    </xf>
    <xf numFmtId="0" fontId="15" fillId="0" borderId="4" xfId="75" applyFill="1" applyBorder="1" applyAlignment="1">
      <alignment horizontal="left" vertical="top" indent="2"/>
    </xf>
    <xf numFmtId="4" fontId="27" fillId="0" borderId="4" xfId="0" applyNumberFormat="1" applyFont="1" applyFill="1" applyBorder="1" applyAlignment="1">
      <alignment horizontal="center" vertical="center"/>
    </xf>
    <xf numFmtId="0" fontId="43" fillId="0" borderId="4" xfId="75" applyFont="1" applyFill="1" applyBorder="1" applyAlignment="1">
      <alignment horizontal="left" vertical="top"/>
    </xf>
    <xf numFmtId="3" fontId="22" fillId="0" borderId="0" xfId="75" applyNumberFormat="1" applyFont="1" applyFill="1" applyAlignment="1">
      <alignment vertical="center"/>
    </xf>
    <xf numFmtId="0" fontId="45" fillId="0" borderId="4" xfId="75" applyFont="1" applyFill="1" applyBorder="1" applyAlignment="1">
      <alignment vertical="top"/>
    </xf>
    <xf numFmtId="0" fontId="15" fillId="0" borderId="4" xfId="75" applyFill="1" applyBorder="1" applyAlignment="1">
      <alignment horizontal="left" vertical="top"/>
    </xf>
    <xf numFmtId="0" fontId="44" fillId="0" borderId="4" xfId="75" applyFont="1" applyFill="1" applyBorder="1" applyAlignment="1">
      <alignment horizontal="left" vertical="top"/>
    </xf>
    <xf numFmtId="0" fontId="43" fillId="0" borderId="4" xfId="75" applyFont="1" applyFill="1" applyBorder="1" applyAlignment="1">
      <alignment vertical="top"/>
    </xf>
    <xf numFmtId="4" fontId="27" fillId="0" borderId="4" xfId="75" applyNumberFormat="1" applyFont="1" applyFill="1" applyBorder="1" applyAlignment="1">
      <alignment horizontal="center" vertical="center"/>
    </xf>
    <xf numFmtId="3" fontId="22" fillId="0" borderId="0" xfId="75" applyNumberFormat="1" applyFont="1" applyFill="1" applyAlignment="1">
      <alignment horizontal="center" vertical="center"/>
    </xf>
    <xf numFmtId="3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vertical="center"/>
    </xf>
    <xf numFmtId="0" fontId="0" fillId="0" borderId="31" xfId="0" applyFill="1" applyBorder="1" applyAlignment="1">
      <alignment horizontal="left" vertical="top" indent="1"/>
    </xf>
    <xf numFmtId="181" fontId="27" fillId="0" borderId="4" xfId="0" applyNumberFormat="1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4" xfId="0" applyFill="1" applyBorder="1" applyAlignment="1">
      <alignment horizontal="left" vertical="top" indent="1"/>
    </xf>
    <xf numFmtId="0" fontId="0" fillId="0" borderId="4" xfId="0" applyFill="1" applyBorder="1" applyAlignment="1">
      <alignment horizontal="left" vertical="top" wrapText="1" indent="1"/>
    </xf>
    <xf numFmtId="0" fontId="27" fillId="0" borderId="0" xfId="0" applyFont="1" applyFill="1" applyAlignment="1">
      <alignment horizontal="center" vertical="center"/>
    </xf>
    <xf numFmtId="1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justify" vertical="center"/>
    </xf>
    <xf numFmtId="0" fontId="0" fillId="0" borderId="4" xfId="0" applyFill="1" applyBorder="1" applyAlignment="1">
      <alignment horizontal="left" vertical="top" indent="2"/>
    </xf>
    <xf numFmtId="0" fontId="43" fillId="0" borderId="4" xfId="0" applyFont="1" applyFill="1" applyBorder="1" applyAlignment="1">
      <alignment horizontal="left" vertical="top"/>
    </xf>
    <xf numFmtId="0" fontId="45" fillId="0" borderId="4" xfId="0" applyFont="1" applyFill="1" applyBorder="1" applyAlignment="1">
      <alignment vertical="top"/>
    </xf>
    <xf numFmtId="0" fontId="0" fillId="0" borderId="4" xfId="0" applyFill="1" applyBorder="1" applyAlignment="1">
      <alignment horizontal="left" vertical="top"/>
    </xf>
    <xf numFmtId="0" fontId="44" fillId="0" borderId="4" xfId="0" applyFont="1" applyFill="1" applyBorder="1" applyAlignment="1">
      <alignment horizontal="left" vertical="top"/>
    </xf>
    <xf numFmtId="0" fontId="43" fillId="0" borderId="4" xfId="0" applyFont="1" applyFill="1" applyBorder="1" applyAlignment="1">
      <alignment vertical="top"/>
    </xf>
    <xf numFmtId="0" fontId="15" fillId="0" borderId="4" xfId="0" applyFont="1" applyFill="1" applyBorder="1" applyAlignment="1">
      <alignment horizontal="left" vertical="top" indent="1"/>
    </xf>
    <xf numFmtId="0" fontId="27" fillId="0" borderId="0" xfId="75" applyFont="1" applyFill="1" applyAlignment="1">
      <alignment horizontal="right" vertical="center"/>
    </xf>
    <xf numFmtId="0" fontId="27" fillId="0" borderId="4" xfId="14" applyFont="1" applyFill="1" applyBorder="1" applyAlignment="1">
      <alignment horizontal="center" vertical="center"/>
    </xf>
    <xf numFmtId="0" fontId="22" fillId="0" borderId="4" xfId="75" applyFont="1" applyFill="1" applyBorder="1" applyAlignment="1">
      <alignment horizontal="center" vertical="center"/>
    </xf>
    <xf numFmtId="4" fontId="22" fillId="0" borderId="0" xfId="75" applyNumberFormat="1" applyFont="1" applyFill="1" applyAlignment="1">
      <alignment vertical="center"/>
    </xf>
    <xf numFmtId="4" fontId="32" fillId="5" borderId="8" xfId="14" applyNumberFormat="1" applyFont="1" applyFill="1" applyBorder="1" applyAlignment="1">
      <alignment horizontal="center" vertical="center"/>
    </xf>
    <xf numFmtId="4" fontId="32" fillId="5" borderId="10" xfId="14" applyNumberFormat="1" applyFont="1" applyFill="1" applyBorder="1" applyAlignment="1">
      <alignment horizontal="center" vertical="center"/>
    </xf>
    <xf numFmtId="4" fontId="32" fillId="5" borderId="7" xfId="14" applyNumberFormat="1" applyFont="1" applyFill="1" applyBorder="1" applyAlignment="1">
      <alignment horizontal="center" vertical="center"/>
    </xf>
    <xf numFmtId="2" fontId="32" fillId="5" borderId="8" xfId="14" applyNumberFormat="1" applyFont="1" applyFill="1" applyBorder="1" applyAlignment="1">
      <alignment horizontal="right" vertical="center"/>
    </xf>
    <xf numFmtId="2" fontId="32" fillId="5" borderId="10" xfId="14" applyNumberFormat="1" applyFont="1" applyFill="1" applyBorder="1" applyAlignment="1">
      <alignment horizontal="right" vertical="center"/>
    </xf>
    <xf numFmtId="2" fontId="32" fillId="5" borderId="7" xfId="14" applyNumberFormat="1" applyFont="1" applyFill="1" applyBorder="1" applyAlignment="1">
      <alignment horizontal="right" vertical="center"/>
    </xf>
    <xf numFmtId="0" fontId="33" fillId="5" borderId="4" xfId="10" applyFont="1" applyFill="1" applyBorder="1" applyAlignment="1">
      <alignment horizontal="center" vertical="center"/>
    </xf>
    <xf numFmtId="0" fontId="27" fillId="0" borderId="4" xfId="14" applyFont="1" applyBorder="1" applyAlignment="1">
      <alignment horizontal="center" vertical="center" wrapText="1"/>
    </xf>
    <xf numFmtId="0" fontId="22" fillId="0" borderId="4" xfId="10" applyFont="1" applyBorder="1" applyAlignment="1">
      <alignment horizontal="center" vertical="center" wrapText="1"/>
    </xf>
    <xf numFmtId="0" fontId="33" fillId="5" borderId="8" xfId="14" applyFont="1" applyFill="1" applyBorder="1" applyAlignment="1">
      <alignment horizontal="center" vertical="center" wrapText="1"/>
    </xf>
    <xf numFmtId="0" fontId="33" fillId="5" borderId="10" xfId="14" applyFont="1" applyFill="1" applyBorder="1" applyAlignment="1">
      <alignment horizontal="center" vertical="center" wrapText="1"/>
    </xf>
    <xf numFmtId="0" fontId="32" fillId="5" borderId="7" xfId="10" applyFont="1" applyFill="1" applyBorder="1" applyAlignment="1">
      <alignment horizontal="center" vertical="center" wrapText="1"/>
    </xf>
    <xf numFmtId="0" fontId="33" fillId="5" borderId="4" xfId="14" applyFont="1" applyFill="1" applyBorder="1" applyAlignment="1">
      <alignment horizontal="center" vertical="center"/>
    </xf>
    <xf numFmtId="0" fontId="32" fillId="5" borderId="4" xfId="10" applyFont="1" applyFill="1" applyBorder="1" applyAlignment="1">
      <alignment horizontal="center" vertical="center"/>
    </xf>
    <xf numFmtId="0" fontId="33" fillId="5" borderId="6" xfId="14" applyFont="1" applyFill="1" applyBorder="1" applyAlignment="1">
      <alignment horizontal="center" vertical="center" wrapText="1"/>
    </xf>
    <xf numFmtId="0" fontId="33" fillId="5" borderId="3" xfId="14" applyFont="1" applyFill="1" applyBorder="1" applyAlignment="1">
      <alignment horizontal="center" vertical="center" wrapText="1"/>
    </xf>
    <xf numFmtId="0" fontId="33" fillId="5" borderId="9" xfId="14" applyFont="1" applyFill="1" applyBorder="1" applyAlignment="1">
      <alignment horizontal="center" vertical="center" wrapText="1"/>
    </xf>
    <xf numFmtId="0" fontId="33" fillId="5" borderId="6" xfId="10" applyFont="1" applyFill="1" applyBorder="1" applyAlignment="1">
      <alignment horizontal="center" vertical="center"/>
    </xf>
    <xf numFmtId="0" fontId="33" fillId="5" borderId="9" xfId="10" applyFont="1" applyFill="1" applyBorder="1" applyAlignment="1">
      <alignment horizontal="center" vertical="center"/>
    </xf>
    <xf numFmtId="0" fontId="33" fillId="5" borderId="3" xfId="10" applyFont="1" applyFill="1" applyBorder="1" applyAlignment="1">
      <alignment horizontal="center" vertical="center"/>
    </xf>
    <xf numFmtId="0" fontId="33" fillId="5" borderId="7" xfId="14" applyFont="1" applyFill="1" applyBorder="1" applyAlignment="1">
      <alignment horizontal="center" vertical="center" wrapText="1"/>
    </xf>
    <xf numFmtId="0" fontId="33" fillId="5" borderId="21" xfId="14" applyFont="1" applyFill="1" applyBorder="1" applyAlignment="1">
      <alignment horizontal="center" vertical="center"/>
    </xf>
    <xf numFmtId="0" fontId="33" fillId="5" borderId="22" xfId="14" applyFont="1" applyFill="1" applyBorder="1" applyAlignment="1">
      <alignment horizontal="center" vertical="center"/>
    </xf>
    <xf numFmtId="0" fontId="33" fillId="5" borderId="23" xfId="14" applyFont="1" applyFill="1" applyBorder="1" applyAlignment="1">
      <alignment horizontal="center" vertical="center"/>
    </xf>
    <xf numFmtId="0" fontId="33" fillId="5" borderId="24" xfId="14" applyFont="1" applyFill="1" applyBorder="1" applyAlignment="1">
      <alignment horizontal="center" vertical="center"/>
    </xf>
    <xf numFmtId="0" fontId="33" fillId="5" borderId="25" xfId="14" applyFont="1" applyFill="1" applyBorder="1" applyAlignment="1">
      <alignment horizontal="center" vertical="center"/>
    </xf>
    <xf numFmtId="0" fontId="33" fillId="5" borderId="26" xfId="14" applyFont="1" applyFill="1" applyBorder="1" applyAlignment="1">
      <alignment horizontal="center" vertical="center"/>
    </xf>
    <xf numFmtId="0" fontId="33" fillId="5" borderId="7" xfId="14" applyFont="1" applyFill="1" applyBorder="1" applyAlignment="1">
      <alignment horizontal="center" vertical="center"/>
    </xf>
    <xf numFmtId="0" fontId="33" fillId="5" borderId="8" xfId="14" applyFont="1" applyFill="1" applyBorder="1" applyAlignment="1">
      <alignment horizontal="center" vertical="center"/>
    </xf>
    <xf numFmtId="0" fontId="27" fillId="0" borderId="6" xfId="10" applyFont="1" applyBorder="1" applyAlignment="1">
      <alignment horizontal="center" vertical="center"/>
    </xf>
    <xf numFmtId="0" fontId="27" fillId="0" borderId="9" xfId="10" applyFont="1" applyBorder="1" applyAlignment="1">
      <alignment horizontal="center" vertical="center"/>
    </xf>
    <xf numFmtId="0" fontId="27" fillId="4" borderId="6" xfId="10" applyFont="1" applyFill="1" applyBorder="1" applyAlignment="1">
      <alignment horizontal="center" vertical="center"/>
    </xf>
    <xf numFmtId="0" fontId="27" fillId="4" borderId="9" xfId="10" applyFont="1" applyFill="1" applyBorder="1" applyAlignment="1">
      <alignment horizontal="center" vertical="center"/>
    </xf>
    <xf numFmtId="0" fontId="27" fillId="0" borderId="6" xfId="14" applyFont="1" applyBorder="1" applyAlignment="1">
      <alignment horizontal="center" vertical="center" wrapText="1"/>
    </xf>
    <xf numFmtId="0" fontId="27" fillId="0" borderId="3" xfId="14" applyFont="1" applyBorder="1" applyAlignment="1">
      <alignment horizontal="center" vertical="center" wrapText="1"/>
    </xf>
    <xf numFmtId="0" fontId="27" fillId="0" borderId="9" xfId="14" applyFont="1" applyBorder="1" applyAlignment="1">
      <alignment horizontal="center" vertical="center" wrapText="1"/>
    </xf>
    <xf numFmtId="0" fontId="27" fillId="0" borderId="8" xfId="14" applyFont="1" applyBorder="1" applyAlignment="1">
      <alignment horizontal="center" vertical="center" wrapText="1"/>
    </xf>
    <xf numFmtId="0" fontId="27" fillId="0" borderId="7" xfId="14" applyFont="1" applyBorder="1" applyAlignment="1">
      <alignment horizontal="center" vertical="center"/>
    </xf>
    <xf numFmtId="0" fontId="27" fillId="0" borderId="4" xfId="14" applyFont="1" applyBorder="1" applyAlignment="1">
      <alignment horizontal="center" vertical="center"/>
    </xf>
    <xf numFmtId="3" fontId="27" fillId="0" borderId="4" xfId="10" applyNumberFormat="1" applyFont="1" applyBorder="1" applyAlignment="1">
      <alignment horizontal="center" vertical="center"/>
    </xf>
    <xf numFmtId="0" fontId="27" fillId="0" borderId="21" xfId="14" applyFont="1" applyBorder="1" applyAlignment="1">
      <alignment horizontal="center" vertical="center"/>
    </xf>
    <xf numFmtId="0" fontId="27" fillId="0" borderId="22" xfId="14" applyFont="1" applyBorder="1" applyAlignment="1">
      <alignment horizontal="center" vertical="center"/>
    </xf>
    <xf numFmtId="0" fontId="27" fillId="0" borderId="23" xfId="14" applyFont="1" applyBorder="1" applyAlignment="1">
      <alignment horizontal="center" vertical="center"/>
    </xf>
    <xf numFmtId="0" fontId="27" fillId="0" borderId="24" xfId="14" applyFont="1" applyBorder="1" applyAlignment="1">
      <alignment horizontal="center" vertical="center"/>
    </xf>
    <xf numFmtId="0" fontId="27" fillId="0" borderId="25" xfId="14" applyFont="1" applyBorder="1" applyAlignment="1">
      <alignment horizontal="center" vertical="center"/>
    </xf>
    <xf numFmtId="0" fontId="27" fillId="0" borderId="26" xfId="14" applyFont="1" applyBorder="1" applyAlignment="1">
      <alignment horizontal="center" vertical="center"/>
    </xf>
    <xf numFmtId="0" fontId="27" fillId="0" borderId="4" xfId="10" applyFont="1" applyBorder="1" applyAlignment="1">
      <alignment horizontal="center" vertical="center"/>
    </xf>
    <xf numFmtId="3" fontId="33" fillId="5" borderId="4" xfId="10" applyNumberFormat="1" applyFont="1" applyFill="1" applyBorder="1" applyAlignment="1">
      <alignment horizontal="center" vertical="center"/>
    </xf>
    <xf numFmtId="3" fontId="33" fillId="5" borderId="6" xfId="10" applyNumberFormat="1" applyFont="1" applyFill="1" applyBorder="1" applyAlignment="1">
      <alignment horizontal="center" vertical="center"/>
    </xf>
    <xf numFmtId="3" fontId="33" fillId="5" borderId="3" xfId="10" applyNumberFormat="1" applyFont="1" applyFill="1" applyBorder="1" applyAlignment="1">
      <alignment horizontal="center" vertical="center"/>
    </xf>
    <xf numFmtId="3" fontId="33" fillId="5" borderId="9" xfId="10" applyNumberFormat="1" applyFont="1" applyFill="1" applyBorder="1" applyAlignment="1">
      <alignment horizontal="center" vertical="center"/>
    </xf>
    <xf numFmtId="0" fontId="27" fillId="0" borderId="6" xfId="10" applyFont="1" applyFill="1" applyBorder="1" applyAlignment="1">
      <alignment horizontal="center" vertical="center"/>
    </xf>
    <xf numFmtId="0" fontId="27" fillId="0" borderId="9" xfId="10" applyFont="1" applyFill="1" applyBorder="1" applyAlignment="1">
      <alignment horizontal="center" vertical="center"/>
    </xf>
    <xf numFmtId="3" fontId="27" fillId="0" borderId="4" xfId="10" applyNumberFormat="1" applyFont="1" applyFill="1" applyBorder="1" applyAlignment="1">
      <alignment horizontal="center" vertical="center"/>
    </xf>
    <xf numFmtId="0" fontId="27" fillId="0" borderId="4" xfId="14" applyFont="1" applyFill="1" applyBorder="1" applyAlignment="1">
      <alignment horizontal="center" vertical="center"/>
    </xf>
    <xf numFmtId="0" fontId="27" fillId="0" borderId="21" xfId="14" applyFont="1" applyFill="1" applyBorder="1" applyAlignment="1">
      <alignment horizontal="center" vertical="center"/>
    </xf>
    <xf numFmtId="0" fontId="27" fillId="0" borderId="22" xfId="14" applyFont="1" applyFill="1" applyBorder="1" applyAlignment="1">
      <alignment horizontal="center" vertical="center"/>
    </xf>
    <xf numFmtId="0" fontId="27" fillId="0" borderId="23" xfId="14" applyFont="1" applyFill="1" applyBorder="1" applyAlignment="1">
      <alignment horizontal="center" vertical="center"/>
    </xf>
    <xf numFmtId="0" fontId="27" fillId="0" borderId="24" xfId="14" applyFont="1" applyFill="1" applyBorder="1" applyAlignment="1">
      <alignment horizontal="center" vertical="center"/>
    </xf>
    <xf numFmtId="0" fontId="27" fillId="0" borderId="25" xfId="14" applyFont="1" applyFill="1" applyBorder="1" applyAlignment="1">
      <alignment horizontal="center" vertical="center"/>
    </xf>
    <xf numFmtId="0" fontId="27" fillId="0" borderId="26" xfId="14" applyFont="1" applyFill="1" applyBorder="1" applyAlignment="1">
      <alignment horizontal="center" vertical="center"/>
    </xf>
    <xf numFmtId="0" fontId="27" fillId="0" borderId="6" xfId="14" applyFont="1" applyFill="1" applyBorder="1" applyAlignment="1">
      <alignment horizontal="center" vertical="center" wrapText="1"/>
    </xf>
    <xf numFmtId="0" fontId="27" fillId="0" borderId="3" xfId="14" applyFont="1" applyFill="1" applyBorder="1" applyAlignment="1">
      <alignment horizontal="center" vertical="center" wrapText="1"/>
    </xf>
    <xf numFmtId="0" fontId="27" fillId="0" borderId="9" xfId="14" applyFont="1" applyFill="1" applyBorder="1" applyAlignment="1">
      <alignment horizontal="center" vertical="center" wrapText="1"/>
    </xf>
    <xf numFmtId="0" fontId="27" fillId="0" borderId="4" xfId="10" applyFont="1" applyFill="1" applyBorder="1" applyAlignment="1">
      <alignment horizontal="center" vertical="center"/>
    </xf>
    <xf numFmtId="0" fontId="27" fillId="0" borderId="8" xfId="14" applyFont="1" applyFill="1" applyBorder="1" applyAlignment="1">
      <alignment horizontal="center" vertical="center" wrapText="1"/>
    </xf>
    <xf numFmtId="0" fontId="27" fillId="0" borderId="7" xfId="14" applyFont="1" applyFill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10" xfId="14" applyFont="1" applyBorder="1" applyAlignment="1">
      <alignment horizontal="center" vertical="center" wrapText="1"/>
    </xf>
    <xf numFmtId="0" fontId="27" fillId="0" borderId="7" xfId="14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27" fillId="8" borderId="4" xfId="1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 wrapText="1"/>
    </xf>
    <xf numFmtId="0" fontId="33" fillId="0" borderId="4" xfId="10" applyFont="1" applyFill="1" applyBorder="1" applyAlignment="1">
      <alignment horizontal="center" vertical="center"/>
    </xf>
    <xf numFmtId="0" fontId="27" fillId="4" borderId="6" xfId="10" applyFont="1" applyFill="1" applyBorder="1" applyAlignment="1">
      <alignment horizontal="left" vertical="center"/>
    </xf>
    <xf numFmtId="0" fontId="27" fillId="4" borderId="9" xfId="10" applyFont="1" applyFill="1" applyBorder="1" applyAlignment="1">
      <alignment horizontal="left" vertical="center"/>
    </xf>
    <xf numFmtId="0" fontId="22" fillId="4" borderId="8" xfId="10" applyFont="1" applyFill="1" applyBorder="1" applyAlignment="1">
      <alignment horizontal="left" vertical="center"/>
    </xf>
    <xf numFmtId="0" fontId="22" fillId="4" borderId="10" xfId="10" applyFont="1" applyFill="1" applyBorder="1" applyAlignment="1">
      <alignment horizontal="left" vertical="center"/>
    </xf>
    <xf numFmtId="0" fontId="22" fillId="4" borderId="7" xfId="10" applyFont="1" applyFill="1" applyBorder="1" applyAlignment="1">
      <alignment horizontal="left" vertical="center"/>
    </xf>
    <xf numFmtId="0" fontId="22" fillId="0" borderId="8" xfId="10" applyFont="1" applyBorder="1" applyAlignment="1">
      <alignment horizontal="left" vertical="center"/>
    </xf>
    <xf numFmtId="0" fontId="22" fillId="0" borderId="10" xfId="10" applyFont="1" applyBorder="1" applyAlignment="1">
      <alignment horizontal="left" vertical="center"/>
    </xf>
    <xf numFmtId="0" fontId="22" fillId="0" borderId="7" xfId="10" applyFont="1" applyBorder="1" applyAlignment="1">
      <alignment horizontal="left" vertical="center"/>
    </xf>
    <xf numFmtId="0" fontId="22" fillId="0" borderId="8" xfId="10" applyFont="1" applyBorder="1" applyAlignment="1">
      <alignment horizontal="center" vertical="center" wrapText="1"/>
    </xf>
    <xf numFmtId="0" fontId="22" fillId="0" borderId="10" xfId="10" applyFont="1" applyBorder="1" applyAlignment="1">
      <alignment horizontal="center" vertical="center" wrapText="1"/>
    </xf>
    <xf numFmtId="0" fontId="22" fillId="0" borderId="7" xfId="10" applyFont="1" applyBorder="1" applyAlignment="1">
      <alignment horizontal="center" vertical="center" wrapText="1"/>
    </xf>
    <xf numFmtId="0" fontId="33" fillId="0" borderId="6" xfId="10" applyFont="1" applyFill="1" applyBorder="1" applyAlignment="1">
      <alignment horizontal="center" vertical="center"/>
    </xf>
    <xf numFmtId="0" fontId="33" fillId="0" borderId="9" xfId="10" applyFont="1" applyFill="1" applyBorder="1" applyAlignment="1">
      <alignment horizontal="center" vertical="center"/>
    </xf>
    <xf numFmtId="0" fontId="33" fillId="0" borderId="6" xfId="10" applyFont="1" applyFill="1" applyBorder="1" applyAlignment="1">
      <alignment horizontal="left" vertical="center"/>
    </xf>
    <xf numFmtId="0" fontId="33" fillId="0" borderId="9" xfId="10" applyFont="1" applyFill="1" applyBorder="1" applyAlignment="1">
      <alignment horizontal="left" vertical="center"/>
    </xf>
    <xf numFmtId="0" fontId="33" fillId="0" borderId="8" xfId="14" applyFont="1" applyFill="1" applyBorder="1" applyAlignment="1">
      <alignment horizontal="center" vertical="center" wrapText="1"/>
    </xf>
    <xf numFmtId="0" fontId="33" fillId="0" borderId="10" xfId="14" applyFont="1" applyFill="1" applyBorder="1" applyAlignment="1">
      <alignment horizontal="center" vertical="center" wrapText="1"/>
    </xf>
    <xf numFmtId="0" fontId="33" fillId="0" borderId="7" xfId="14" applyFont="1" applyFill="1" applyBorder="1" applyAlignment="1">
      <alignment horizontal="center" vertical="center" wrapText="1"/>
    </xf>
    <xf numFmtId="0" fontId="33" fillId="0" borderId="21" xfId="14" applyFont="1" applyFill="1" applyBorder="1" applyAlignment="1">
      <alignment horizontal="center" vertical="center"/>
    </xf>
    <xf numFmtId="0" fontId="33" fillId="0" borderId="23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2" fillId="0" borderId="8" xfId="10" applyFont="1" applyFill="1" applyBorder="1" applyAlignment="1">
      <alignment horizontal="left" vertical="center"/>
    </xf>
    <xf numFmtId="0" fontId="32" fillId="0" borderId="10" xfId="10" applyFont="1" applyFill="1" applyBorder="1" applyAlignment="1">
      <alignment horizontal="left" vertical="center"/>
    </xf>
    <xf numFmtId="0" fontId="32" fillId="0" borderId="7" xfId="10" applyFont="1" applyFill="1" applyBorder="1" applyAlignment="1">
      <alignment horizontal="left" vertical="center"/>
    </xf>
    <xf numFmtId="0" fontId="32" fillId="0" borderId="23" xfId="10" applyFont="1" applyFill="1" applyBorder="1" applyAlignment="1">
      <alignment horizontal="left" vertical="center"/>
    </xf>
    <xf numFmtId="0" fontId="27" fillId="0" borderId="0" xfId="14" applyFont="1" applyAlignment="1">
      <alignment horizontal="center" vertical="center"/>
    </xf>
    <xf numFmtId="0" fontId="27" fillId="0" borderId="0" xfId="10" applyFont="1" applyAlignment="1">
      <alignment horizontal="center" vertical="center"/>
    </xf>
    <xf numFmtId="0" fontId="27" fillId="0" borderId="21" xfId="14" applyFont="1" applyBorder="1" applyAlignment="1">
      <alignment horizontal="center" vertical="center" wrapText="1"/>
    </xf>
    <xf numFmtId="0" fontId="27" fillId="0" borderId="23" xfId="14" applyFont="1" applyBorder="1" applyAlignment="1">
      <alignment horizontal="center" vertical="center" wrapText="1"/>
    </xf>
    <xf numFmtId="0" fontId="27" fillId="0" borderId="25" xfId="14" applyFont="1" applyBorder="1" applyAlignment="1">
      <alignment horizontal="center" vertical="center" wrapText="1"/>
    </xf>
    <xf numFmtId="0" fontId="33" fillId="0" borderId="21" xfId="14" applyFont="1" applyFill="1" applyBorder="1" applyAlignment="1">
      <alignment horizontal="center" vertical="center" wrapText="1"/>
    </xf>
    <xf numFmtId="0" fontId="33" fillId="0" borderId="23" xfId="14" applyFont="1" applyFill="1" applyBorder="1" applyAlignment="1">
      <alignment horizontal="center" vertical="center" wrapText="1"/>
    </xf>
    <xf numFmtId="0" fontId="33" fillId="0" borderId="25" xfId="14" applyFont="1" applyFill="1" applyBorder="1" applyAlignment="1">
      <alignment horizontal="center" vertical="center" wrapText="1"/>
    </xf>
    <xf numFmtId="0" fontId="22" fillId="11" borderId="8" xfId="10" applyFont="1" applyFill="1" applyBorder="1" applyAlignment="1">
      <alignment horizontal="left" vertical="center"/>
    </xf>
    <xf numFmtId="0" fontId="22" fillId="11" borderId="10" xfId="10" applyFont="1" applyFill="1" applyBorder="1" applyAlignment="1">
      <alignment horizontal="left" vertical="center"/>
    </xf>
    <xf numFmtId="0" fontId="22" fillId="11" borderId="7" xfId="10" applyFont="1" applyFill="1" applyBorder="1" applyAlignment="1">
      <alignment horizontal="left" vertical="center"/>
    </xf>
    <xf numFmtId="0" fontId="27" fillId="4" borderId="25" xfId="10" applyFont="1" applyFill="1" applyBorder="1" applyAlignment="1">
      <alignment horizontal="center" vertical="center"/>
    </xf>
    <xf numFmtId="0" fontId="27" fillId="9" borderId="6" xfId="10" applyFont="1" applyFill="1" applyBorder="1" applyAlignment="1">
      <alignment horizontal="center" vertical="center"/>
    </xf>
    <xf numFmtId="0" fontId="32" fillId="0" borderId="8" xfId="10" applyFont="1" applyFill="1" applyBorder="1" applyAlignment="1">
      <alignment horizontal="center" vertical="center"/>
    </xf>
    <xf numFmtId="0" fontId="32" fillId="0" borderId="10" xfId="10" applyFont="1" applyFill="1" applyBorder="1" applyAlignment="1">
      <alignment horizontal="center" vertical="center"/>
    </xf>
    <xf numFmtId="0" fontId="32" fillId="0" borderId="7" xfId="10" applyFont="1" applyFill="1" applyBorder="1" applyAlignment="1">
      <alignment horizontal="center" vertical="center"/>
    </xf>
    <xf numFmtId="0" fontId="27" fillId="15" borderId="6" xfId="10" applyFont="1" applyFill="1" applyBorder="1" applyAlignment="1">
      <alignment horizontal="center" vertical="center"/>
    </xf>
    <xf numFmtId="0" fontId="27" fillId="15" borderId="9" xfId="10" applyFont="1" applyFill="1" applyBorder="1" applyAlignment="1">
      <alignment horizontal="center" vertical="center"/>
    </xf>
    <xf numFmtId="0" fontId="22" fillId="0" borderId="8" xfId="10" applyFont="1" applyBorder="1" applyAlignment="1">
      <alignment horizontal="center" vertical="center"/>
    </xf>
    <xf numFmtId="0" fontId="22" fillId="0" borderId="10" xfId="10" applyFont="1" applyBorder="1" applyAlignment="1">
      <alignment horizontal="center" vertical="center"/>
    </xf>
    <xf numFmtId="0" fontId="22" fillId="0" borderId="7" xfId="10" applyFont="1" applyBorder="1" applyAlignment="1">
      <alignment horizontal="center" vertical="center"/>
    </xf>
    <xf numFmtId="0" fontId="22" fillId="7" borderId="8" xfId="10" applyFont="1" applyFill="1" applyBorder="1" applyAlignment="1">
      <alignment horizontal="left" vertical="center"/>
    </xf>
    <xf numFmtId="0" fontId="22" fillId="7" borderId="10" xfId="10" applyFont="1" applyFill="1" applyBorder="1" applyAlignment="1">
      <alignment horizontal="left" vertical="center"/>
    </xf>
    <xf numFmtId="0" fontId="22" fillId="7" borderId="7" xfId="10" applyFont="1" applyFill="1" applyBorder="1" applyAlignment="1">
      <alignment horizontal="left" vertical="center"/>
    </xf>
    <xf numFmtId="0" fontId="27" fillId="4" borderId="8" xfId="10" applyFont="1" applyFill="1" applyBorder="1" applyAlignment="1">
      <alignment horizontal="center" vertical="center"/>
    </xf>
    <xf numFmtId="0" fontId="27" fillId="4" borderId="10" xfId="10" applyFont="1" applyFill="1" applyBorder="1" applyAlignment="1">
      <alignment horizontal="center" vertical="center"/>
    </xf>
    <xf numFmtId="0" fontId="27" fillId="4" borderId="7" xfId="10" applyFont="1" applyFill="1" applyBorder="1" applyAlignment="1">
      <alignment horizontal="center" vertical="center"/>
    </xf>
    <xf numFmtId="0" fontId="27" fillId="0" borderId="4" xfId="10" applyFont="1" applyBorder="1" applyAlignment="1">
      <alignment horizontal="center" vertical="center" wrapText="1"/>
    </xf>
    <xf numFmtId="0" fontId="27" fillId="0" borderId="8" xfId="10" applyFont="1" applyBorder="1" applyAlignment="1">
      <alignment horizontal="center" vertical="center" wrapText="1"/>
    </xf>
    <xf numFmtId="0" fontId="27" fillId="0" borderId="10" xfId="10" applyFont="1" applyBorder="1" applyAlignment="1">
      <alignment horizontal="center" vertical="center" wrapText="1"/>
    </xf>
    <xf numFmtId="0" fontId="27" fillId="0" borderId="7" xfId="10" applyFont="1" applyBorder="1" applyAlignment="1">
      <alignment horizontal="center" vertical="center" wrapText="1"/>
    </xf>
    <xf numFmtId="0" fontId="22" fillId="0" borderId="4" xfId="10" applyFont="1" applyBorder="1" applyAlignment="1">
      <alignment vertical="center"/>
    </xf>
    <xf numFmtId="0" fontId="22" fillId="0" borderId="4" xfId="10" applyFont="1" applyBorder="1" applyAlignment="1">
      <alignment horizontal="center" vertical="center"/>
    </xf>
    <xf numFmtId="0" fontId="27" fillId="4" borderId="18" xfId="446" applyFont="1" applyFill="1" applyBorder="1" applyAlignment="1">
      <alignment horizontal="center" vertical="center"/>
    </xf>
    <xf numFmtId="0" fontId="27" fillId="4" borderId="19" xfId="446" applyFont="1" applyFill="1" applyBorder="1" applyAlignment="1">
      <alignment horizontal="center" vertical="center"/>
    </xf>
    <xf numFmtId="0" fontId="27" fillId="4" borderId="20" xfId="446" applyFont="1" applyFill="1" applyBorder="1" applyAlignment="1">
      <alignment horizontal="center" vertical="center"/>
    </xf>
    <xf numFmtId="0" fontId="27" fillId="4" borderId="5" xfId="446" applyFont="1" applyFill="1" applyBorder="1" applyAlignment="1">
      <alignment horizontal="center" vertical="center" wrapText="1"/>
    </xf>
    <xf numFmtId="0" fontId="27" fillId="4" borderId="12" xfId="446" applyFont="1" applyFill="1" applyBorder="1" applyAlignment="1">
      <alignment horizontal="center" vertical="center" wrapText="1"/>
    </xf>
    <xf numFmtId="0" fontId="27" fillId="4" borderId="8" xfId="446" quotePrefix="1" applyFont="1" applyFill="1" applyBorder="1" applyAlignment="1">
      <alignment horizontal="center" vertical="center" wrapText="1"/>
    </xf>
    <xf numFmtId="0" fontId="27" fillId="4" borderId="35" xfId="446" quotePrefix="1" applyFont="1" applyFill="1" applyBorder="1" applyAlignment="1">
      <alignment horizontal="center" vertical="center" wrapText="1"/>
    </xf>
    <xf numFmtId="0" fontId="27" fillId="4" borderId="4" xfId="446" applyFont="1" applyFill="1" applyBorder="1" applyAlignment="1">
      <alignment horizontal="center" vertical="center" wrapText="1"/>
    </xf>
    <xf numFmtId="0" fontId="27" fillId="4" borderId="13" xfId="446" applyFont="1" applyFill="1" applyBorder="1" applyAlignment="1">
      <alignment horizontal="center" vertical="center" wrapText="1"/>
    </xf>
    <xf numFmtId="0" fontId="27" fillId="4" borderId="11" xfId="446" applyFont="1" applyFill="1" applyBorder="1" applyAlignment="1">
      <alignment horizontal="center" vertical="center" wrapText="1"/>
    </xf>
    <xf numFmtId="0" fontId="27" fillId="19" borderId="18" xfId="0" applyFont="1" applyFill="1" applyBorder="1" applyAlignment="1">
      <alignment horizontal="center" vertical="center"/>
    </xf>
    <xf numFmtId="0" fontId="27" fillId="19" borderId="19" xfId="0" applyFont="1" applyFill="1" applyBorder="1" applyAlignment="1">
      <alignment horizontal="center" vertical="center"/>
    </xf>
    <xf numFmtId="0" fontId="27" fillId="19" borderId="36" xfId="0" applyFont="1" applyFill="1" applyBorder="1" applyAlignment="1">
      <alignment horizontal="center" vertical="center"/>
    </xf>
    <xf numFmtId="0" fontId="27" fillId="4" borderId="15" xfId="446" applyFont="1" applyFill="1" applyBorder="1" applyAlignment="1">
      <alignment horizontal="center" vertical="center"/>
    </xf>
    <xf numFmtId="0" fontId="27" fillId="4" borderId="16" xfId="446" applyFont="1" applyFill="1" applyBorder="1" applyAlignment="1">
      <alignment horizontal="center" vertical="center"/>
    </xf>
    <xf numFmtId="0" fontId="27" fillId="4" borderId="17" xfId="446" applyFont="1" applyFill="1" applyBorder="1" applyAlignment="1">
      <alignment horizontal="center" vertical="center"/>
    </xf>
    <xf numFmtId="0" fontId="27" fillId="4" borderId="7" xfId="446" quotePrefix="1" applyFont="1" applyFill="1" applyBorder="1" applyAlignment="1">
      <alignment horizontal="center" vertical="center" wrapText="1"/>
    </xf>
    <xf numFmtId="0" fontId="27" fillId="0" borderId="3" xfId="10" applyFont="1" applyBorder="1" applyAlignment="1">
      <alignment horizontal="center" vertical="center"/>
    </xf>
    <xf numFmtId="0" fontId="27" fillId="0" borderId="8" xfId="14" applyFont="1" applyBorder="1" applyAlignment="1">
      <alignment horizontal="center" vertical="center"/>
    </xf>
    <xf numFmtId="0" fontId="27" fillId="0" borderId="10" xfId="14" applyFont="1" applyBorder="1" applyAlignment="1">
      <alignment horizontal="center" vertical="center"/>
    </xf>
    <xf numFmtId="0" fontId="49" fillId="13" borderId="4" xfId="10" applyFont="1" applyFill="1" applyBorder="1" applyAlignment="1">
      <alignment horizontal="center"/>
    </xf>
    <xf numFmtId="0" fontId="33" fillId="0" borderId="4" xfId="10" applyFont="1" applyFill="1" applyBorder="1" applyAlignment="1">
      <alignment horizontal="center" vertical="center" wrapText="1"/>
    </xf>
    <xf numFmtId="0" fontId="35" fillId="0" borderId="4" xfId="10" applyFont="1" applyFill="1" applyBorder="1" applyAlignment="1">
      <alignment horizontal="center" vertical="center"/>
    </xf>
    <xf numFmtId="0" fontId="27" fillId="0" borderId="6" xfId="11" applyFont="1" applyFill="1" applyBorder="1" applyAlignment="1">
      <alignment horizontal="center" vertical="center"/>
    </xf>
    <xf numFmtId="0" fontId="27" fillId="0" borderId="9" xfId="11" applyFont="1" applyFill="1" applyBorder="1" applyAlignment="1">
      <alignment horizontal="center" vertical="center"/>
    </xf>
    <xf numFmtId="0" fontId="33" fillId="0" borderId="21" xfId="10" applyFont="1" applyFill="1" applyBorder="1" applyAlignment="1">
      <alignment horizontal="center" vertical="center"/>
    </xf>
    <xf numFmtId="0" fontId="33" fillId="0" borderId="22" xfId="10" applyFont="1" applyFill="1" applyBorder="1" applyAlignment="1">
      <alignment horizontal="center" vertical="center"/>
    </xf>
    <xf numFmtId="0" fontId="33" fillId="0" borderId="23" xfId="10" applyFont="1" applyFill="1" applyBorder="1" applyAlignment="1">
      <alignment horizontal="center" vertical="center"/>
    </xf>
    <xf numFmtId="0" fontId="33" fillId="0" borderId="24" xfId="10" applyFont="1" applyFill="1" applyBorder="1" applyAlignment="1">
      <alignment horizontal="center" vertical="center"/>
    </xf>
    <xf numFmtId="0" fontId="33" fillId="0" borderId="25" xfId="10" applyFont="1" applyFill="1" applyBorder="1" applyAlignment="1">
      <alignment horizontal="center" vertical="center"/>
    </xf>
    <xf numFmtId="0" fontId="33" fillId="0" borderId="26" xfId="10" applyFont="1" applyFill="1" applyBorder="1" applyAlignment="1">
      <alignment horizontal="center" vertical="center"/>
    </xf>
    <xf numFmtId="0" fontId="32" fillId="0" borderId="4" xfId="10" applyFont="1" applyFill="1" applyBorder="1" applyAlignment="1">
      <alignment horizontal="left" vertical="center"/>
    </xf>
    <xf numFmtId="0" fontId="27" fillId="0" borderId="0" xfId="14" applyFont="1" applyFill="1" applyAlignment="1">
      <alignment horizontal="center" vertical="center"/>
    </xf>
    <xf numFmtId="0" fontId="33" fillId="0" borderId="4" xfId="10" applyFont="1" applyFill="1" applyBorder="1" applyAlignment="1">
      <alignment horizontal="left" vertical="center"/>
    </xf>
    <xf numFmtId="0" fontId="27" fillId="0" borderId="3" xfId="10" applyFont="1" applyFill="1" applyBorder="1" applyAlignment="1">
      <alignment horizontal="center" vertical="center"/>
    </xf>
    <xf numFmtId="0" fontId="27" fillId="0" borderId="6" xfId="14" applyFont="1" applyFill="1" applyBorder="1" applyAlignment="1">
      <alignment horizontal="center" vertical="center"/>
    </xf>
    <xf numFmtId="0" fontId="27" fillId="0" borderId="9" xfId="14" applyFont="1" applyFill="1" applyBorder="1" applyAlignment="1">
      <alignment horizontal="center" vertical="center"/>
    </xf>
    <xf numFmtId="0" fontId="27" fillId="4" borderId="6" xfId="11" applyFont="1" applyFill="1" applyBorder="1" applyAlignment="1">
      <alignment horizontal="center" vertical="center"/>
    </xf>
    <xf numFmtId="0" fontId="27" fillId="4" borderId="9" xfId="11" applyFont="1" applyFill="1" applyBorder="1" applyAlignment="1">
      <alignment horizontal="center" vertical="center"/>
    </xf>
    <xf numFmtId="0" fontId="33" fillId="0" borderId="4" xfId="10" applyFont="1" applyBorder="1" applyAlignment="1">
      <alignment horizontal="center" vertical="center"/>
    </xf>
    <xf numFmtId="0" fontId="27" fillId="0" borderId="0" xfId="11" applyFont="1" applyFill="1" applyAlignment="1">
      <alignment horizontal="center" vertical="center"/>
    </xf>
    <xf numFmtId="0" fontId="27" fillId="0" borderId="6" xfId="10" applyFont="1" applyFill="1" applyBorder="1" applyAlignment="1">
      <alignment horizontal="center" vertical="center" wrapText="1"/>
    </xf>
    <xf numFmtId="0" fontId="27" fillId="0" borderId="9" xfId="10" applyFont="1" applyFill="1" applyBorder="1" applyAlignment="1">
      <alignment horizontal="center" vertical="center" wrapText="1"/>
    </xf>
    <xf numFmtId="0" fontId="33" fillId="0" borderId="6" xfId="52" applyFont="1" applyBorder="1" applyAlignment="1">
      <alignment horizontal="center" vertical="center" wrapText="1"/>
    </xf>
    <xf numFmtId="0" fontId="33" fillId="0" borderId="9" xfId="52" applyFont="1" applyBorder="1" applyAlignment="1">
      <alignment horizontal="center" vertical="center" wrapText="1"/>
    </xf>
    <xf numFmtId="0" fontId="33" fillId="0" borderId="21" xfId="75" applyFont="1" applyBorder="1" applyAlignment="1">
      <alignment horizontal="center" vertical="center"/>
    </xf>
    <xf numFmtId="0" fontId="33" fillId="0" borderId="22" xfId="75" applyFont="1" applyBorder="1" applyAlignment="1">
      <alignment horizontal="center" vertical="center"/>
    </xf>
    <xf numFmtId="0" fontId="33" fillId="0" borderId="23" xfId="75" applyFont="1" applyBorder="1" applyAlignment="1">
      <alignment horizontal="center" vertical="center"/>
    </xf>
    <xf numFmtId="0" fontId="33" fillId="0" borderId="24" xfId="75" applyFont="1" applyBorder="1" applyAlignment="1">
      <alignment horizontal="center" vertical="center"/>
    </xf>
    <xf numFmtId="0" fontId="27" fillId="4" borderId="4" xfId="10" applyFont="1" applyFill="1" applyBorder="1" applyAlignment="1">
      <alignment horizontal="center" vertical="center"/>
    </xf>
    <xf numFmtId="0" fontId="27" fillId="0" borderId="4" xfId="75" applyFont="1" applyBorder="1" applyAlignment="1">
      <alignment horizontal="center" vertical="center"/>
    </xf>
    <xf numFmtId="0" fontId="33" fillId="0" borderId="21" xfId="52" applyFont="1" applyBorder="1" applyAlignment="1">
      <alignment horizontal="center" vertical="center"/>
    </xf>
    <xf numFmtId="0" fontId="33" fillId="0" borderId="22" xfId="52" applyFont="1" applyBorder="1" applyAlignment="1">
      <alignment horizontal="center" vertical="center"/>
    </xf>
    <xf numFmtId="0" fontId="33" fillId="0" borderId="23" xfId="52" applyFont="1" applyBorder="1" applyAlignment="1">
      <alignment horizontal="center" vertical="center"/>
    </xf>
    <xf numFmtId="0" fontId="33" fillId="0" borderId="24" xfId="52" applyFont="1" applyBorder="1" applyAlignment="1">
      <alignment horizontal="center" vertical="center"/>
    </xf>
    <xf numFmtId="0" fontId="33" fillId="0" borderId="25" xfId="52" applyFont="1" applyBorder="1" applyAlignment="1">
      <alignment horizontal="center" vertical="center"/>
    </xf>
    <xf numFmtId="0" fontId="33" fillId="0" borderId="26" xfId="52" applyFont="1" applyBorder="1" applyAlignment="1">
      <alignment horizontal="center" vertical="center"/>
    </xf>
    <xf numFmtId="0" fontId="33" fillId="0" borderId="8" xfId="52" applyFont="1" applyBorder="1" applyAlignment="1">
      <alignment horizontal="center" vertical="center"/>
    </xf>
    <xf numFmtId="0" fontId="33" fillId="0" borderId="7" xfId="52" applyFont="1" applyBorder="1" applyAlignment="1">
      <alignment horizontal="center" vertical="center"/>
    </xf>
    <xf numFmtId="0" fontId="33" fillId="0" borderId="4" xfId="52" applyFont="1" applyBorder="1" applyAlignment="1">
      <alignment horizontal="center" vertical="center"/>
    </xf>
    <xf numFmtId="0" fontId="33" fillId="0" borderId="4" xfId="52" applyFont="1" applyBorder="1" applyAlignment="1">
      <alignment horizontal="center" vertical="center" wrapText="1"/>
    </xf>
    <xf numFmtId="0" fontId="33" fillId="0" borderId="4" xfId="52" applyFont="1" applyFill="1" applyBorder="1" applyAlignment="1">
      <alignment horizontal="center" vertical="center" wrapText="1"/>
    </xf>
    <xf numFmtId="0" fontId="27" fillId="0" borderId="0" xfId="75" applyFont="1" applyFill="1" applyAlignment="1">
      <alignment horizontal="center" vertical="center" wrapText="1"/>
    </xf>
    <xf numFmtId="0" fontId="33" fillId="0" borderId="4" xfId="52" applyFont="1" applyFill="1" applyBorder="1" applyAlignment="1">
      <alignment horizontal="center" vertical="center"/>
    </xf>
    <xf numFmtId="0" fontId="33" fillId="0" borderId="21" xfId="52" applyFont="1" applyFill="1" applyBorder="1" applyAlignment="1">
      <alignment horizontal="center" vertical="center"/>
    </xf>
    <xf numFmtId="0" fontId="33" fillId="0" borderId="22" xfId="52" applyFont="1" applyFill="1" applyBorder="1" applyAlignment="1">
      <alignment horizontal="center" vertical="center"/>
    </xf>
    <xf numFmtId="0" fontId="33" fillId="0" borderId="23" xfId="52" applyFont="1" applyFill="1" applyBorder="1" applyAlignment="1">
      <alignment horizontal="center" vertical="center"/>
    </xf>
    <xf numFmtId="0" fontId="33" fillId="0" borderId="24" xfId="52" applyFont="1" applyFill="1" applyBorder="1" applyAlignment="1">
      <alignment horizontal="center" vertical="center"/>
    </xf>
    <xf numFmtId="0" fontId="33" fillId="0" borderId="25" xfId="52" applyFont="1" applyFill="1" applyBorder="1" applyAlignment="1">
      <alignment horizontal="center" vertical="center"/>
    </xf>
    <xf numFmtId="0" fontId="33" fillId="0" borderId="26" xfId="52" applyFont="1" applyFill="1" applyBorder="1" applyAlignment="1">
      <alignment horizontal="center" vertical="center"/>
    </xf>
    <xf numFmtId="0" fontId="27" fillId="0" borderId="0" xfId="10" applyFont="1" applyFill="1" applyAlignment="1">
      <alignment horizontal="center" vertical="center"/>
    </xf>
    <xf numFmtId="0" fontId="27" fillId="0" borderId="0" xfId="75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3" fillId="5" borderId="4" xfId="52" applyFont="1" applyFill="1" applyBorder="1" applyAlignment="1">
      <alignment horizontal="center" vertical="center" wrapText="1"/>
    </xf>
    <xf numFmtId="0" fontId="33" fillId="5" borderId="4" xfId="52" applyFont="1" applyFill="1" applyBorder="1" applyAlignment="1">
      <alignment horizontal="center" vertical="center"/>
    </xf>
    <xf numFmtId="0" fontId="27" fillId="0" borderId="37" xfId="1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 wrapText="1"/>
    </xf>
  </cellXfs>
  <cellStyles count="490">
    <cellStyle name="Body" xfId="1"/>
    <cellStyle name="Comma  - Style1" xfId="2"/>
    <cellStyle name="Comma 10" xfId="78"/>
    <cellStyle name="Comma 11" xfId="82"/>
    <cellStyle name="Comma 11 2" xfId="19"/>
    <cellStyle name="Comma 11 2 2" xfId="103"/>
    <cellStyle name="Comma 11 2 2 2" xfId="106"/>
    <cellStyle name="Comma 11 2 2 3" xfId="466"/>
    <cellStyle name="Comma 11 2 2 4" xfId="487"/>
    <cellStyle name="Comma 11 2 3" xfId="105"/>
    <cellStyle name="Comma 11 2 3 2" xfId="468"/>
    <cellStyle name="Comma 11 2 3 3" xfId="489"/>
    <cellStyle name="Comma 11 2 4" xfId="107"/>
    <cellStyle name="Comma 11 2 5" xfId="447"/>
    <cellStyle name="Comma 11 2 6" xfId="449"/>
    <cellStyle name="Comma 11 2 7" xfId="471"/>
    <cellStyle name="Comma 12" xfId="85"/>
    <cellStyle name="Comma 13" xfId="88"/>
    <cellStyle name="Comma 14" xfId="91"/>
    <cellStyle name="Comma 15" xfId="94"/>
    <cellStyle name="Comma 16" xfId="97"/>
    <cellStyle name="Comma 17" xfId="99"/>
    <cellStyle name="Comma 18" xfId="108"/>
    <cellStyle name="Comma 19" xfId="136"/>
    <cellStyle name="Comma 2" xfId="24"/>
    <cellStyle name="Comma 2 2" xfId="25"/>
    <cellStyle name="Comma 2 2 2" xfId="63"/>
    <cellStyle name="Comma 2 2 2 2" xfId="206"/>
    <cellStyle name="Comma 2 2 3" xfId="141"/>
    <cellStyle name="Comma 2 3" xfId="26"/>
    <cellStyle name="Comma 2 3 2" xfId="185"/>
    <cellStyle name="Comma 2 3 2 2" xfId="207"/>
    <cellStyle name="Comma 2 3 2 2 2" xfId="389"/>
    <cellStyle name="Comma 2 3 2 3" xfId="368"/>
    <cellStyle name="Comma 2 3 2 4" xfId="305"/>
    <cellStyle name="Comma 2 3 3" xfId="208"/>
    <cellStyle name="Comma 2 3 3 2" xfId="390"/>
    <cellStyle name="Comma 2 3 4" xfId="340"/>
    <cellStyle name="Comma 2 3 5" xfId="279"/>
    <cellStyle name="Comma 2 3 6" xfId="153"/>
    <cellStyle name="Comma 2 4" xfId="56"/>
    <cellStyle name="Comma 2 4 2" xfId="209"/>
    <cellStyle name="Comma 2 5" xfId="98"/>
    <cellStyle name="Comma 20" xfId="463"/>
    <cellStyle name="Comma 21" xfId="484"/>
    <cellStyle name="Comma 3" xfId="27"/>
    <cellStyle name="Comma 3 2" xfId="62"/>
    <cellStyle name="Comma 3 2 2" xfId="109"/>
    <cellStyle name="Comma 3 2 2 2" xfId="391"/>
    <cellStyle name="Comma 3 2 2 3" xfId="210"/>
    <cellStyle name="Comma 3 2 3" xfId="365"/>
    <cellStyle name="Comma 3 2 4" xfId="302"/>
    <cellStyle name="Comma 3 2 5" xfId="182"/>
    <cellStyle name="Comma 3 2 6" xfId="455"/>
    <cellStyle name="Comma 3 2 7" xfId="476"/>
    <cellStyle name="Comma 3 3" xfId="211"/>
    <cellStyle name="Comma 3 3 2" xfId="392"/>
    <cellStyle name="Comma 3 4" xfId="337"/>
    <cellStyle name="Comma 3 5" xfId="276"/>
    <cellStyle name="Comma 3 6" xfId="150"/>
    <cellStyle name="Comma 4" xfId="28"/>
    <cellStyle name="Comma 4 2" xfId="64"/>
    <cellStyle name="Comma 4 2 2" xfId="110"/>
    <cellStyle name="Comma 4 2 2 2" xfId="393"/>
    <cellStyle name="Comma 4 2 2 3" xfId="212"/>
    <cellStyle name="Comma 4 2 3" xfId="374"/>
    <cellStyle name="Comma 4 2 4" xfId="311"/>
    <cellStyle name="Comma 4 2 5" xfId="191"/>
    <cellStyle name="Comma 4 2 6" xfId="456"/>
    <cellStyle name="Comma 4 2 7" xfId="477"/>
    <cellStyle name="Comma 4 3" xfId="213"/>
    <cellStyle name="Comma 4 3 2" xfId="394"/>
    <cellStyle name="Comma 4 4" xfId="346"/>
    <cellStyle name="Comma 4 5" xfId="285"/>
    <cellStyle name="Comma 4 6" xfId="160"/>
    <cellStyle name="Comma 5" xfId="29"/>
    <cellStyle name="Comma 5 2" xfId="214"/>
    <cellStyle name="Comma 5 3" xfId="353"/>
    <cellStyle name="Comma 5 4" xfId="291"/>
    <cellStyle name="Comma 5 5" xfId="167"/>
    <cellStyle name="Comma 6" xfId="48"/>
    <cellStyle name="Comma 6 2" xfId="49"/>
    <cellStyle name="Comma 6 2 2" xfId="395"/>
    <cellStyle name="Comma 6 2 3" xfId="215"/>
    <cellStyle name="Comma 6 3" xfId="50"/>
    <cellStyle name="Comma 6 3 2" xfId="385"/>
    <cellStyle name="Comma 6 4" xfId="51"/>
    <cellStyle name="Comma 6 4 2" xfId="322"/>
    <cellStyle name="Comma 6 5" xfId="111"/>
    <cellStyle name="Comma 6 6" xfId="202"/>
    <cellStyle name="Comma 6 7" xfId="453"/>
    <cellStyle name="Comma 7" xfId="21"/>
    <cellStyle name="Comma 7 2" xfId="216"/>
    <cellStyle name="Comma 7 2 2" xfId="396"/>
    <cellStyle name="Comma 7 3" xfId="388"/>
    <cellStyle name="Comma 7 4" xfId="325"/>
    <cellStyle name="Comma 7 5" xfId="205"/>
    <cellStyle name="Comma 8" xfId="65"/>
    <cellStyle name="Comma 8 2" xfId="112"/>
    <cellStyle name="Comma 8 2 2" xfId="397"/>
    <cellStyle name="Comma 8 3" xfId="328"/>
    <cellStyle name="Comma 8 4" xfId="217"/>
    <cellStyle name="Comma 8 5" xfId="457"/>
    <cellStyle name="Comma 8 6" xfId="478"/>
    <cellStyle name="Comma 9" xfId="73"/>
    <cellStyle name="Curren - Style2" xfId="3"/>
    <cellStyle name="Currency 2" xfId="156"/>
    <cellStyle name="Currency 2 2" xfId="188"/>
    <cellStyle name="Currency 2 2 2" xfId="218"/>
    <cellStyle name="Currency 2 2 2 2" xfId="398"/>
    <cellStyle name="Currency 2 2 3" xfId="371"/>
    <cellStyle name="Currency 2 2 4" xfId="308"/>
    <cellStyle name="Currency 2 3" xfId="219"/>
    <cellStyle name="Currency 2 3 2" xfId="399"/>
    <cellStyle name="Currency 2 4" xfId="343"/>
    <cellStyle name="Currency 2 5" xfId="282"/>
    <cellStyle name="DateLong" xfId="130"/>
    <cellStyle name="DateShort" xfId="131"/>
    <cellStyle name="Factor" xfId="129"/>
    <cellStyle name="Good" xfId="101" builtinId="26"/>
    <cellStyle name="Grey" xfId="4"/>
    <cellStyle name="Header1" xfId="5"/>
    <cellStyle name="Header2" xfId="6"/>
    <cellStyle name="Input [yellow]" xfId="7"/>
    <cellStyle name="no dec" xfId="8"/>
    <cellStyle name="Normal" xfId="0" builtinId="0"/>
    <cellStyle name="Normal - Style1" xfId="9"/>
    <cellStyle name="Normal 10" xfId="67"/>
    <cellStyle name="Normal 10 2" xfId="75"/>
    <cellStyle name="Normal 10 3" xfId="113"/>
    <cellStyle name="Normal 10 3 2" xfId="220"/>
    <cellStyle name="Normal 10 3 2 2" xfId="400"/>
    <cellStyle name="Normal 10 3 3" xfId="370"/>
    <cellStyle name="Normal 10 3 4" xfId="307"/>
    <cellStyle name="Normal 10 3 5" xfId="187"/>
    <cellStyle name="Normal 10 4" xfId="221"/>
    <cellStyle name="Normal 10 4 2" xfId="401"/>
    <cellStyle name="Normal 10 5" xfId="342"/>
    <cellStyle name="Normal 10 6" xfId="281"/>
    <cellStyle name="Normal 10 7" xfId="155"/>
    <cellStyle name="Normal 10 8" xfId="459"/>
    <cellStyle name="Normal 10 9" xfId="480"/>
    <cellStyle name="Normal 11" xfId="69"/>
    <cellStyle name="Normal 11 2" xfId="114"/>
    <cellStyle name="Normal 11 2 2" xfId="222"/>
    <cellStyle name="Normal 11 2 2 2" xfId="402"/>
    <cellStyle name="Normal 11 2 3" xfId="372"/>
    <cellStyle name="Normal 11 2 4" xfId="309"/>
    <cellStyle name="Normal 11 2 5" xfId="189"/>
    <cellStyle name="Normal 11 3" xfId="223"/>
    <cellStyle name="Normal 11 3 2" xfId="403"/>
    <cellStyle name="Normal 11 4" xfId="344"/>
    <cellStyle name="Normal 11 5" xfId="283"/>
    <cellStyle name="Normal 11 6" xfId="158"/>
    <cellStyle name="Normal 11 7" xfId="461"/>
    <cellStyle name="Normal 11 8" xfId="482"/>
    <cellStyle name="Normal 12" xfId="70"/>
    <cellStyle name="Normal 12 2" xfId="115"/>
    <cellStyle name="Normal 12 2 2" xfId="172"/>
    <cellStyle name="Normal 12 3" xfId="161"/>
    <cellStyle name="Normal 12 4" xfId="462"/>
    <cellStyle name="Normal 12 5" xfId="483"/>
    <cellStyle name="Normal 13" xfId="72"/>
    <cellStyle name="Normal 13 2" xfId="100"/>
    <cellStyle name="Normal 13 3" xfId="351"/>
    <cellStyle name="Normal 14" xfId="76"/>
    <cellStyle name="Normal 14 2" xfId="68"/>
    <cellStyle name="Normal 14 2 2" xfId="102"/>
    <cellStyle name="Normal 14 2 2 2" xfId="116"/>
    <cellStyle name="Normal 14 2 2 3" xfId="404"/>
    <cellStyle name="Normal 14 2 2 4" xfId="465"/>
    <cellStyle name="Normal 14 2 2 5" xfId="486"/>
    <cellStyle name="Normal 14 2 3" xfId="104"/>
    <cellStyle name="Normal 14 2 3 2" xfId="467"/>
    <cellStyle name="Normal 14 2 3 3" xfId="488"/>
    <cellStyle name="Normal 14 2 4" xfId="117"/>
    <cellStyle name="Normal 14 2 5" xfId="224"/>
    <cellStyle name="Normal 14 2 6" xfId="446"/>
    <cellStyle name="Normal 14 2 7" xfId="460"/>
    <cellStyle name="Normal 14 2 8" xfId="481"/>
    <cellStyle name="Normal 14 3" xfId="356"/>
    <cellStyle name="Normal 14 4" xfId="293"/>
    <cellStyle name="Normal 14 5" xfId="170"/>
    <cellStyle name="Normal 15" xfId="18"/>
    <cellStyle name="Normal 15 2" xfId="118"/>
    <cellStyle name="Normal 15 2 2" xfId="225"/>
    <cellStyle name="Normal 15 2 2 2" xfId="405"/>
    <cellStyle name="Normal 15 2 3" xfId="375"/>
    <cellStyle name="Normal 15 2 4" xfId="312"/>
    <cellStyle name="Normal 15 2 5" xfId="192"/>
    <cellStyle name="Normal 15 3" xfId="226"/>
    <cellStyle name="Normal 15 3 2" xfId="406"/>
    <cellStyle name="Normal 15 4" xfId="347"/>
    <cellStyle name="Normal 15 5" xfId="286"/>
    <cellStyle name="Normal 15 6" xfId="162"/>
    <cellStyle name="Normal 15 7" xfId="448"/>
    <cellStyle name="Normal 15 8" xfId="470"/>
    <cellStyle name="Normal 16" xfId="81"/>
    <cellStyle name="Normal 16 2" xfId="227"/>
    <cellStyle name="Normal 16 2 2" xfId="407"/>
    <cellStyle name="Normal 16 3" xfId="381"/>
    <cellStyle name="Normal 16 4" xfId="318"/>
    <cellStyle name="Normal 16 5" xfId="198"/>
    <cellStyle name="Normal 17" xfId="84"/>
    <cellStyle name="Normal 17 2" xfId="194"/>
    <cellStyle name="Normal 17 2 2" xfId="228"/>
    <cellStyle name="Normal 17 2 2 2" xfId="408"/>
    <cellStyle name="Normal 17 2 3" xfId="377"/>
    <cellStyle name="Normal 17 2 4" xfId="314"/>
    <cellStyle name="Normal 17 3" xfId="229"/>
    <cellStyle name="Normal 17 3 2" xfId="409"/>
    <cellStyle name="Normal 17 4" xfId="349"/>
    <cellStyle name="Normal 17 5" xfId="288"/>
    <cellStyle name="Normal 17 6" xfId="164"/>
    <cellStyle name="Normal 18" xfId="61"/>
    <cellStyle name="Normal 18 2" xfId="119"/>
    <cellStyle name="Normal 18 2 2" xfId="410"/>
    <cellStyle name="Normal 18 2 3" xfId="230"/>
    <cellStyle name="Normal 18 3" xfId="383"/>
    <cellStyle name="Normal 18 4" xfId="320"/>
    <cellStyle name="Normal 18 5" xfId="200"/>
    <cellStyle name="Normal 18 6" xfId="454"/>
    <cellStyle name="Normal 18 7" xfId="475"/>
    <cellStyle name="Normal 183" xfId="148"/>
    <cellStyle name="Normal 183 2" xfId="180"/>
    <cellStyle name="Normal 183 2 2" xfId="231"/>
    <cellStyle name="Normal 183 2 2 2" xfId="411"/>
    <cellStyle name="Normal 183 2 3" xfId="363"/>
    <cellStyle name="Normal 183 2 4" xfId="300"/>
    <cellStyle name="Normal 183 3" xfId="232"/>
    <cellStyle name="Normal 183 3 2" xfId="412"/>
    <cellStyle name="Normal 183 4" xfId="335"/>
    <cellStyle name="Normal 183 5" xfId="274"/>
    <cellStyle name="Normal 19" xfId="87"/>
    <cellStyle name="Normal 19 2" xfId="233"/>
    <cellStyle name="Normal 19 2 2" xfId="413"/>
    <cellStyle name="Normal 19 3" xfId="386"/>
    <cellStyle name="Normal 19 4" xfId="323"/>
    <cellStyle name="Normal 19 5" xfId="203"/>
    <cellStyle name="Normal 2" xfId="10"/>
    <cellStyle name="Normal 2 2" xfId="11"/>
    <cellStyle name="Normal 2 2 2" xfId="30"/>
    <cellStyle name="Normal 2 2 2 2" xfId="57"/>
    <cellStyle name="Normal 2 2_Working APR 2007-08 Mahagenco_Bhushan_1.3" xfId="31"/>
    <cellStyle name="Normal 2 3" xfId="12"/>
    <cellStyle name="Normal 2 3 2" xfId="183"/>
    <cellStyle name="Normal 2 3 2 2" xfId="234"/>
    <cellStyle name="Normal 2 3 2 2 2" xfId="414"/>
    <cellStyle name="Normal 2 3 2 3" xfId="366"/>
    <cellStyle name="Normal 2 3 2 4" xfId="303"/>
    <cellStyle name="Normal 2 3 3" xfId="235"/>
    <cellStyle name="Normal 2 3 3 2" xfId="415"/>
    <cellStyle name="Normal 2 3 4" xfId="338"/>
    <cellStyle name="Normal 2 3 5" xfId="277"/>
    <cellStyle name="Normal 2 3 6" xfId="151"/>
    <cellStyle name="Normal 2 4" xfId="52"/>
    <cellStyle name="Normal 2 4 2" xfId="196"/>
    <cellStyle name="Normal 2 4 2 2" xfId="236"/>
    <cellStyle name="Normal 2 4 2 2 2" xfId="416"/>
    <cellStyle name="Normal 2 4 2 3" xfId="379"/>
    <cellStyle name="Normal 2 4 2 4" xfId="316"/>
    <cellStyle name="Normal 2 4 3" xfId="237"/>
    <cellStyle name="Normal 2 4 3 2" xfId="417"/>
    <cellStyle name="Normal 2 4 4" xfId="352"/>
    <cellStyle name="Normal 2 4 5" xfId="290"/>
    <cellStyle name="Normal 2 4 6" xfId="166"/>
    <cellStyle name="Normal 2 5" xfId="139"/>
    <cellStyle name="Normal 2_ARR FINAL" xfId="32"/>
    <cellStyle name="Normal 20" xfId="90"/>
    <cellStyle name="Normal 20 2" xfId="326"/>
    <cellStyle name="Normal 21" xfId="93"/>
    <cellStyle name="Normal 21 2" xfId="329"/>
    <cellStyle name="Normal 214" xfId="77"/>
    <cellStyle name="Normal 22" xfId="96"/>
    <cellStyle name="Normal 22 2" xfId="267"/>
    <cellStyle name="Normal 23" xfId="120"/>
    <cellStyle name="Normal 23 2" xfId="268"/>
    <cellStyle name="Normal 24" xfId="126"/>
    <cellStyle name="Normal 25" xfId="469"/>
    <cellStyle name="Normal 3" xfId="13"/>
    <cellStyle name="Normal 3 2" xfId="33"/>
    <cellStyle name="Normal 3 2 2" xfId="58"/>
    <cellStyle name="Normal 3 2 2 2" xfId="238"/>
    <cellStyle name="Normal 3 2 2 2 2" xfId="418"/>
    <cellStyle name="Normal 3 2 2 3" xfId="358"/>
    <cellStyle name="Normal 3 2 2 4" xfId="295"/>
    <cellStyle name="Normal 3 2 2 5" xfId="173"/>
    <cellStyle name="Normal 3 2 3" xfId="239"/>
    <cellStyle name="Normal 3 2 3 2" xfId="419"/>
    <cellStyle name="Normal 3 2 4" xfId="330"/>
    <cellStyle name="Normal 3 2 5" xfId="269"/>
    <cellStyle name="Normal 3 2 6" xfId="135"/>
    <cellStyle name="Normal 3 3" xfId="134"/>
    <cellStyle name="Normal 39" xfId="22"/>
    <cellStyle name="Normal 4" xfId="34"/>
    <cellStyle name="Normal 4 2" xfId="59"/>
    <cellStyle name="Normal 4 3" xfId="137"/>
    <cellStyle name="Normal 5" xfId="35"/>
    <cellStyle name="Normal 5 2" xfId="36"/>
    <cellStyle name="Normal 5 2 2" xfId="174"/>
    <cellStyle name="Normal 5 3" xfId="121"/>
    <cellStyle name="Normal 5 4" xfId="142"/>
    <cellStyle name="Normal 5 5" xfId="451"/>
    <cellStyle name="Normal 5 6" xfId="473"/>
    <cellStyle name="Normal 6" xfId="37"/>
    <cellStyle name="Normal 6 2" xfId="176"/>
    <cellStyle name="Normal 6 2 2" xfId="240"/>
    <cellStyle name="Normal 6 2 2 2" xfId="420"/>
    <cellStyle name="Normal 6 2 3" xfId="359"/>
    <cellStyle name="Normal 6 2 4" xfId="296"/>
    <cellStyle name="Normal 6 3" xfId="241"/>
    <cellStyle name="Normal 6 3 2" xfId="421"/>
    <cellStyle name="Normal 6 4" xfId="331"/>
    <cellStyle name="Normal 6 5" xfId="270"/>
    <cellStyle name="Normal 6 6" xfId="144"/>
    <cellStyle name="Normal 7" xfId="38"/>
    <cellStyle name="Normal 7 2" xfId="122"/>
    <cellStyle name="Normal 7 2 2" xfId="242"/>
    <cellStyle name="Normal 7 2 2 2" xfId="422"/>
    <cellStyle name="Normal 7 2 3" xfId="361"/>
    <cellStyle name="Normal 7 2 4" xfId="298"/>
    <cellStyle name="Normal 7 2 5" xfId="178"/>
    <cellStyle name="Normal 7 3" xfId="243"/>
    <cellStyle name="Normal 7 3 2" xfId="423"/>
    <cellStyle name="Normal 7 4" xfId="333"/>
    <cellStyle name="Normal 7 5" xfId="272"/>
    <cellStyle name="Normal 7 6" xfId="146"/>
    <cellStyle name="Normal 7 7" xfId="452"/>
    <cellStyle name="Normal 7 8" xfId="474"/>
    <cellStyle name="Normal 8" xfId="53"/>
    <cellStyle name="Normal 8 2" xfId="181"/>
    <cellStyle name="Normal 8 2 2" xfId="244"/>
    <cellStyle name="Normal 8 2 2 2" xfId="424"/>
    <cellStyle name="Normal 8 2 3" xfId="364"/>
    <cellStyle name="Normal 8 2 4" xfId="301"/>
    <cellStyle name="Normal 8 3" xfId="245"/>
    <cellStyle name="Normal 8 3 2" xfId="425"/>
    <cellStyle name="Normal 8 4" xfId="336"/>
    <cellStyle name="Normal 8 5" xfId="275"/>
    <cellStyle name="Normal 8 6" xfId="149"/>
    <cellStyle name="Normal 9" xfId="54"/>
    <cellStyle name="Normal 9 2" xfId="186"/>
    <cellStyle name="Normal 9 2 2" xfId="246"/>
    <cellStyle name="Normal 9 2 2 2" xfId="426"/>
    <cellStyle name="Normal 9 2 3" xfId="369"/>
    <cellStyle name="Normal 9 2 4" xfId="306"/>
    <cellStyle name="Normal 9 3" xfId="247"/>
    <cellStyle name="Normal 9 3 2" xfId="427"/>
    <cellStyle name="Normal 9 4" xfId="341"/>
    <cellStyle name="Normal 9 5" xfId="280"/>
    <cellStyle name="Normal 9 6" xfId="154"/>
    <cellStyle name="Normal_FORMATS 5 YEAR ALOKE 2" xfId="14"/>
    <cellStyle name="Percent" xfId="71" builtinId="5"/>
    <cellStyle name="Percent [0]_#6 Temps &amp; Contractors" xfId="15"/>
    <cellStyle name="Percent [2]" xfId="16"/>
    <cellStyle name="Percent 10" xfId="80"/>
    <cellStyle name="Percent 10 2" xfId="157"/>
    <cellStyle name="Percent 11" xfId="83"/>
    <cellStyle name="Percent 11 2" xfId="193"/>
    <cellStyle name="Percent 11 2 2" xfId="248"/>
    <cellStyle name="Percent 11 2 2 2" xfId="428"/>
    <cellStyle name="Percent 11 2 3" xfId="376"/>
    <cellStyle name="Percent 11 2 4" xfId="313"/>
    <cellStyle name="Percent 11 3" xfId="249"/>
    <cellStyle name="Percent 11 3 2" xfId="429"/>
    <cellStyle name="Percent 11 4" xfId="348"/>
    <cellStyle name="Percent 11 5" xfId="287"/>
    <cellStyle name="Percent 11 6" xfId="163"/>
    <cellStyle name="Percent 12" xfId="86"/>
    <cellStyle name="Percent 12 2" xfId="250"/>
    <cellStyle name="Percent 12 2 2" xfId="430"/>
    <cellStyle name="Percent 12 3" xfId="355"/>
    <cellStyle name="Percent 12 4" xfId="292"/>
    <cellStyle name="Percent 12 5" xfId="169"/>
    <cellStyle name="Percent 13" xfId="89"/>
    <cellStyle name="Percent 13 2" xfId="195"/>
    <cellStyle name="Percent 13 2 2" xfId="251"/>
    <cellStyle name="Percent 13 2 2 2" xfId="431"/>
    <cellStyle name="Percent 13 2 3" xfId="378"/>
    <cellStyle name="Percent 13 2 4" xfId="315"/>
    <cellStyle name="Percent 13 3" xfId="252"/>
    <cellStyle name="Percent 13 3 2" xfId="432"/>
    <cellStyle name="Percent 13 4" xfId="350"/>
    <cellStyle name="Percent 13 5" xfId="289"/>
    <cellStyle name="Percent 13 6" xfId="165"/>
    <cellStyle name="Percent 14" xfId="92"/>
    <cellStyle name="Percent 14 2" xfId="253"/>
    <cellStyle name="Percent 14 2 2" xfId="433"/>
    <cellStyle name="Percent 14 3" xfId="357"/>
    <cellStyle name="Percent 14 4" xfId="294"/>
    <cellStyle name="Percent 14 5" xfId="171"/>
    <cellStyle name="Percent 15" xfId="95"/>
    <cellStyle name="Percent 15 2" xfId="254"/>
    <cellStyle name="Percent 15 2 2" xfId="434"/>
    <cellStyle name="Percent 15 3" xfId="382"/>
    <cellStyle name="Percent 15 4" xfId="319"/>
    <cellStyle name="Percent 15 5" xfId="199"/>
    <cellStyle name="Percent 16" xfId="123"/>
    <cellStyle name="Percent 17" xfId="201"/>
    <cellStyle name="Percent 17 2" xfId="255"/>
    <cellStyle name="Percent 17 2 2" xfId="435"/>
    <cellStyle name="Percent 17 3" xfId="384"/>
    <cellStyle name="Percent 17 4" xfId="321"/>
    <cellStyle name="Percent 18" xfId="204"/>
    <cellStyle name="Percent 18 2" xfId="256"/>
    <cellStyle name="Percent 18 2 2" xfId="436"/>
    <cellStyle name="Percent 18 3" xfId="387"/>
    <cellStyle name="Percent 18 4" xfId="324"/>
    <cellStyle name="Percent 19" xfId="327"/>
    <cellStyle name="Percent 2" xfId="39"/>
    <cellStyle name="Percent 2 2" xfId="40"/>
    <cellStyle name="Percent 2 2 2" xfId="140"/>
    <cellStyle name="Percent 2 3" xfId="60"/>
    <cellStyle name="Percent 2 3 2" xfId="184"/>
    <cellStyle name="Percent 2 3 2 2" xfId="257"/>
    <cellStyle name="Percent 2 3 2 2 2" xfId="437"/>
    <cellStyle name="Percent 2 3 2 3" xfId="367"/>
    <cellStyle name="Percent 2 3 2 4" xfId="304"/>
    <cellStyle name="Percent 2 3 3" xfId="258"/>
    <cellStyle name="Percent 2 3 3 2" xfId="438"/>
    <cellStyle name="Percent 2 3 4" xfId="339"/>
    <cellStyle name="Percent 2 3 5" xfId="278"/>
    <cellStyle name="Percent 2 3 6" xfId="152"/>
    <cellStyle name="Percent 2 4" xfId="133"/>
    <cellStyle name="Percent 20" xfId="127"/>
    <cellStyle name="Percent 21" xfId="464"/>
    <cellStyle name="Percent 22" xfId="485"/>
    <cellStyle name="Percent 3" xfId="41"/>
    <cellStyle name="Percent 3 2" xfId="42"/>
    <cellStyle name="Percent 3 3" xfId="138"/>
    <cellStyle name="Percent 4" xfId="23"/>
    <cellStyle name="Percent 4 2" xfId="175"/>
    <cellStyle name="Percent 4 3" xfId="143"/>
    <cellStyle name="Percent 41" xfId="20"/>
    <cellStyle name="Percent 41 2" xfId="124"/>
    <cellStyle name="Percent 41 3" xfId="450"/>
    <cellStyle name="Percent 41 4" xfId="472"/>
    <cellStyle name="Percent 5" xfId="43"/>
    <cellStyle name="Percent 5 2" xfId="44"/>
    <cellStyle name="Percent 5 2 2" xfId="259"/>
    <cellStyle name="Percent 5 2 2 2" xfId="439"/>
    <cellStyle name="Percent 5 2 3" xfId="360"/>
    <cellStyle name="Percent 5 2 4" xfId="297"/>
    <cellStyle name="Percent 5 2 5" xfId="177"/>
    <cellStyle name="Percent 5 3" xfId="45"/>
    <cellStyle name="Percent 5 3 2" xfId="440"/>
    <cellStyle name="Percent 5 3 3" xfId="260"/>
    <cellStyle name="Percent 5 4" xfId="332"/>
    <cellStyle name="Percent 5 5" xfId="271"/>
    <cellStyle name="Percent 5 6" xfId="145"/>
    <cellStyle name="Percent 6" xfId="46"/>
    <cellStyle name="Percent 6 2" xfId="47"/>
    <cellStyle name="Percent 7" xfId="66"/>
    <cellStyle name="Percent 7 2" xfId="125"/>
    <cellStyle name="Percent 7 2 2" xfId="261"/>
    <cellStyle name="Percent 7 2 2 2" xfId="441"/>
    <cellStyle name="Percent 7 2 3" xfId="362"/>
    <cellStyle name="Percent 7 2 4" xfId="299"/>
    <cellStyle name="Percent 7 2 5" xfId="179"/>
    <cellStyle name="Percent 7 3" xfId="262"/>
    <cellStyle name="Percent 7 3 2" xfId="442"/>
    <cellStyle name="Percent 7 4" xfId="334"/>
    <cellStyle name="Percent 7 5" xfId="273"/>
    <cellStyle name="Percent 7 6" xfId="147"/>
    <cellStyle name="Percent 7 7" xfId="458"/>
    <cellStyle name="Percent 7 8" xfId="479"/>
    <cellStyle name="Percent 8" xfId="74"/>
    <cellStyle name="Percent 8 2" xfId="190"/>
    <cellStyle name="Percent 8 2 2" xfId="263"/>
    <cellStyle name="Percent 8 2 2 2" xfId="443"/>
    <cellStyle name="Percent 8 2 3" xfId="373"/>
    <cellStyle name="Percent 8 2 4" xfId="310"/>
    <cellStyle name="Percent 8 3" xfId="264"/>
    <cellStyle name="Percent 8 3 2" xfId="444"/>
    <cellStyle name="Percent 8 4" xfId="345"/>
    <cellStyle name="Percent 8 5" xfId="284"/>
    <cellStyle name="Percent 8 6" xfId="159"/>
    <cellStyle name="Percent 9" xfId="79"/>
    <cellStyle name="Percent 9 2" xfId="197"/>
    <cellStyle name="Percent 9 2 2" xfId="265"/>
    <cellStyle name="Percent 9 2 2 2" xfId="445"/>
    <cellStyle name="Percent 9 2 3" xfId="380"/>
    <cellStyle name="Percent 9 2 4" xfId="317"/>
    <cellStyle name="Percent 9 3" xfId="266"/>
    <cellStyle name="Percent 9 4" xfId="354"/>
    <cellStyle name="Percent 9 5" xfId="168"/>
    <cellStyle name="Smart Title" xfId="128"/>
    <cellStyle name="Style 1" xfId="17"/>
    <cellStyle name="Style 2" xfId="55"/>
    <cellStyle name="Year" xfId="132"/>
  </cellStyles>
  <dxfs count="0"/>
  <tableStyles count="0" defaultTableStyle="TableStyleMedium9" defaultPivotStyle="PivotStyleLight16"/>
  <colors>
    <mruColors>
      <color rgb="FF3501C9"/>
      <color rgb="FFFBCB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84" Type="http://schemas.openxmlformats.org/officeDocument/2006/relationships/externalLink" Target="externalLinks/externalLink19.xml"/><Relationship Id="rId89" Type="http://schemas.openxmlformats.org/officeDocument/2006/relationships/externalLink" Target="externalLinks/externalLink24.xml"/><Relationship Id="rId112" Type="http://schemas.openxmlformats.org/officeDocument/2006/relationships/externalLink" Target="externalLinks/externalLink47.xml"/><Relationship Id="rId133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7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9.xml"/><Relationship Id="rId79" Type="http://schemas.openxmlformats.org/officeDocument/2006/relationships/externalLink" Target="externalLinks/externalLink14.xml"/><Relationship Id="rId102" Type="http://schemas.openxmlformats.org/officeDocument/2006/relationships/externalLink" Target="externalLinks/externalLink37.xml"/><Relationship Id="rId123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5.xml"/><Relationship Id="rId95" Type="http://schemas.openxmlformats.org/officeDocument/2006/relationships/externalLink" Target="externalLinks/externalLink3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113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53.xml"/><Relationship Id="rId134" Type="http://schemas.openxmlformats.org/officeDocument/2006/relationships/externalLink" Target="externalLinks/externalLink69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80" Type="http://schemas.openxmlformats.org/officeDocument/2006/relationships/externalLink" Target="externalLinks/externalLink15.xml"/><Relationship Id="rId85" Type="http://schemas.openxmlformats.org/officeDocument/2006/relationships/externalLink" Target="externalLinks/externalLink20.xml"/><Relationship Id="rId93" Type="http://schemas.openxmlformats.org/officeDocument/2006/relationships/externalLink" Target="externalLinks/externalLink28.xml"/><Relationship Id="rId98" Type="http://schemas.openxmlformats.org/officeDocument/2006/relationships/externalLink" Target="externalLinks/externalLink33.xml"/><Relationship Id="rId121" Type="http://schemas.openxmlformats.org/officeDocument/2006/relationships/externalLink" Target="externalLinks/externalLink56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103" Type="http://schemas.openxmlformats.org/officeDocument/2006/relationships/externalLink" Target="externalLinks/externalLink38.xml"/><Relationship Id="rId108" Type="http://schemas.openxmlformats.org/officeDocument/2006/relationships/externalLink" Target="externalLinks/externalLink43.xml"/><Relationship Id="rId116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59.xml"/><Relationship Id="rId129" Type="http://schemas.openxmlformats.org/officeDocument/2006/relationships/externalLink" Target="externalLinks/externalLink64.xml"/><Relationship Id="rId137" Type="http://schemas.openxmlformats.org/officeDocument/2006/relationships/externalLink" Target="externalLinks/externalLink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83" Type="http://schemas.openxmlformats.org/officeDocument/2006/relationships/externalLink" Target="externalLinks/externalLink18.xml"/><Relationship Id="rId88" Type="http://schemas.openxmlformats.org/officeDocument/2006/relationships/externalLink" Target="externalLinks/externalLink23.xml"/><Relationship Id="rId91" Type="http://schemas.openxmlformats.org/officeDocument/2006/relationships/externalLink" Target="externalLinks/externalLink26.xml"/><Relationship Id="rId96" Type="http://schemas.openxmlformats.org/officeDocument/2006/relationships/externalLink" Target="externalLinks/externalLink31.xml"/><Relationship Id="rId111" Type="http://schemas.openxmlformats.org/officeDocument/2006/relationships/externalLink" Target="externalLinks/externalLink46.xml"/><Relationship Id="rId132" Type="http://schemas.openxmlformats.org/officeDocument/2006/relationships/externalLink" Target="externalLinks/externalLink67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49.xml"/><Relationship Id="rId119" Type="http://schemas.openxmlformats.org/officeDocument/2006/relationships/externalLink" Target="externalLinks/externalLink54.xml"/><Relationship Id="rId127" Type="http://schemas.openxmlformats.org/officeDocument/2006/relationships/externalLink" Target="externalLinks/externalLink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externalLink" Target="externalLinks/externalLink13.xml"/><Relationship Id="rId81" Type="http://schemas.openxmlformats.org/officeDocument/2006/relationships/externalLink" Target="externalLinks/externalLink16.xml"/><Relationship Id="rId86" Type="http://schemas.openxmlformats.org/officeDocument/2006/relationships/externalLink" Target="externalLinks/externalLink21.xml"/><Relationship Id="rId94" Type="http://schemas.openxmlformats.org/officeDocument/2006/relationships/externalLink" Target="externalLinks/externalLink29.xml"/><Relationship Id="rId99" Type="http://schemas.openxmlformats.org/officeDocument/2006/relationships/externalLink" Target="externalLinks/externalLink34.xml"/><Relationship Id="rId101" Type="http://schemas.openxmlformats.org/officeDocument/2006/relationships/externalLink" Target="externalLinks/externalLink36.xml"/><Relationship Id="rId122" Type="http://schemas.openxmlformats.org/officeDocument/2006/relationships/externalLink" Target="externalLinks/externalLink57.xml"/><Relationship Id="rId130" Type="http://schemas.openxmlformats.org/officeDocument/2006/relationships/externalLink" Target="externalLinks/externalLink65.xml"/><Relationship Id="rId135" Type="http://schemas.openxmlformats.org/officeDocument/2006/relationships/externalLink" Target="externalLinks/externalLink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1.xml"/><Relationship Id="rId97" Type="http://schemas.openxmlformats.org/officeDocument/2006/relationships/externalLink" Target="externalLinks/externalLink32.xml"/><Relationship Id="rId104" Type="http://schemas.openxmlformats.org/officeDocument/2006/relationships/externalLink" Target="externalLinks/externalLink39.xml"/><Relationship Id="rId120" Type="http://schemas.openxmlformats.org/officeDocument/2006/relationships/externalLink" Target="externalLinks/externalLink55.xml"/><Relationship Id="rId125" Type="http://schemas.openxmlformats.org/officeDocument/2006/relationships/externalLink" Target="externalLinks/externalLink60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92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.xml"/><Relationship Id="rId87" Type="http://schemas.openxmlformats.org/officeDocument/2006/relationships/externalLink" Target="externalLinks/externalLink22.xml"/><Relationship Id="rId110" Type="http://schemas.openxmlformats.org/officeDocument/2006/relationships/externalLink" Target="externalLinks/externalLink45.xml"/><Relationship Id="rId115" Type="http://schemas.openxmlformats.org/officeDocument/2006/relationships/externalLink" Target="externalLinks/externalLink50.xml"/><Relationship Id="rId131" Type="http://schemas.openxmlformats.org/officeDocument/2006/relationships/externalLink" Target="externalLinks/externalLink66.xml"/><Relationship Id="rId136" Type="http://schemas.openxmlformats.org/officeDocument/2006/relationships/externalLink" Target="externalLinks/externalLink7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2.xml"/><Relationship Id="rId100" Type="http://schemas.openxmlformats.org/officeDocument/2006/relationships/externalLink" Target="externalLinks/externalLink35.xml"/><Relationship Id="rId105" Type="http://schemas.openxmlformats.org/officeDocument/2006/relationships/externalLink" Target="externalLinks/externalLink40.xml"/><Relationship Id="rId126" Type="http://schemas.openxmlformats.org/officeDocument/2006/relationships/externalLink" Target="externalLinks/externalLink6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Revenue_FY27_v84_VB.xlsx?F71C6A52" TargetMode="External"/><Relationship Id="rId1" Type="http://schemas.openxmlformats.org/officeDocument/2006/relationships/externalLinkPath" Target="file:///\\F71C6A52\Revenue_FY27_v84_VB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Revenue_FY28_v84_VB.xlsx?F71C6A52" TargetMode="External"/><Relationship Id="rId1" Type="http://schemas.openxmlformats.org/officeDocument/2006/relationships/externalLinkPath" Target="file:///\\F71C6A52\Revenue_FY28_v84_VB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Revenue_FY29_v84_VB.xlsx?F71C6A52" TargetMode="External"/><Relationship Id="rId1" Type="http://schemas.openxmlformats.org/officeDocument/2006/relationships/externalLinkPath" Target="file:///\\F71C6A52\Revenue_FY29_v84_VB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Sales%20and%20Revenue%20%20FY%202024-25(PWC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Tariff%20Order%20for%20FY%202022-23%20Analysi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Tariff%20Order%20for%20FY%202023-24%20Analysi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Tariff%20Order%20for%20FY%202023-24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Actual%20Sales%20&amp;%20Revenue%20Worksheet%20for%2024-25%20TSNPDC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4-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5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6-22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7-2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8-2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9-2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10-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11-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12-2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1-2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2-2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Format%20-%204%20and%20AGL%20sales%20from-4-22/Form-4%20-%203-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Users/admin/Desktop/EA-LOSSES%20(APRIL-2022-MAR-2023)/Format%20-%204%20and%20AGL%20sales%20from-4-22/Form-4%20-%204-2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TSNPDCL%20PP%20MODEL%202023-24.xlsm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microsoft.com/office/2019/04/relationships/externalLinkLongPath" Target="5%20years%20PP%20cost%20model/RAC%20models/ARR%20FY%2026%20KPMG%2021052024_FINAL.xlsb?9C2CBEE5" TargetMode="External"/><Relationship Id="rId1" Type="http://schemas.openxmlformats.org/officeDocument/2006/relationships/externalLinkPath" Target="file:///\\9C2CBEE5\ARR%20FY%2026%20KPMG%2021052024_FINAL.xlsb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5%20years%20PP%20cost%20model/RAC%20models/ARR%20FY%2027%20KPMG%2021052024.xlsb?9C2CBEE5" TargetMode="External"/><Relationship Id="rId1" Type="http://schemas.openxmlformats.org/officeDocument/2006/relationships/externalLinkPath" Target="file:///\\9C2CBEE5\ARR%20FY%2027%20KPMG%2021052024.xlsb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5%20years%20PP%20cost%20model/RAC%20models/ARR%20FY%2028%20KPMG%2021052024_FINAL.xlsb?9C2CBEE5" TargetMode="External"/><Relationship Id="rId1" Type="http://schemas.openxmlformats.org/officeDocument/2006/relationships/externalLinkPath" Target="file:///\\9C2CBEE5\ARR%20FY%2028%20KPMG%2021052024_FINAL.xlsb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microsoft.com/office/2019/04/relationships/externalLinkLongPath" Target="5%20years%20PP%20cost%20model/RAC%20models/ARR%20FY%2029%20KPMG%2021052024.xlsb?9C2CBEE5" TargetMode="External"/><Relationship Id="rId1" Type="http://schemas.openxmlformats.org/officeDocument/2006/relationships/externalLinkPath" Target="file:///\\9C2CBEE5\ARR%20FY%2029%20KPMG%2021052024.xlsb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_Writeup_Affidavit_RSB/@%20FY%2026/Formats/RSB%20new%20formats%20TSSPDCL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ARR%202024-25/MYT%20ARR%20working/Retail%20Supply%20ARR/Tariff%20Order%20for%20FY%202022-23%20Analysi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PP%20for%20RSF%20formats%20actuals%20up%20to%2022-2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ARR%202024-25/MYT%20ARR%20working/Retail%20Supply%20ARR/FC%20VC%202022-23%20up%20to%20March'23-Provisional%20-Dt-10-07-2023-Updated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TSNPDCL%20DB%20MYT%20FORMATS%205TH%20CP.xlsx?C0D62F91" TargetMode="External"/><Relationship Id="rId1" Type="http://schemas.openxmlformats.org/officeDocument/2006/relationships/externalLinkPath" Target="file:///\\C0D62F91\TSNPDCL%20DB%20MYT%20FORMATS%205TH%20CP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ARR%202024-25/MYT%20ARR%20working/Retail%20Supply%20ARR/PP%20for%20RSF%20formats%20actuals%20up%20to%2022-2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ARR%202024-25/MYT%20ARR%20working/Retail%20Supply%20ARR/FC%20VC%202023-24%20up%20to%20Nov'23-Provisional%20-Dt-05-01-2024%20(1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ARR%202024-25/MYT%20ARR%20working/Retail%20Supply%20ARR/TSNPDCL%20PP%20MODEL%202023-24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TSNPDCL%20PP%20MODEL%202024-25.xlsm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microsoft.com/office/2019/04/relationships/externalLinkLongPath" Target="RSB%20new%20formats%20TSSPDCL%20-%20PK%20-%20F11.xlsx?F52F2965" TargetMode="External"/><Relationship Id="rId1" Type="http://schemas.openxmlformats.org/officeDocument/2006/relationships/externalLinkPath" Target="file:///\\F52F2965\RSB%20new%20formats%20TSSPDCL%20-%20PK%20-%20F1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/Tariff%20Order%20for%20FY%202022-23%20Analysis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PP%20True-up/FY%202023-24/FC%20VC%202023-24%20up%20to%20March'24-Provisional%20-%20Dt-24-05-2024%20-%20FSA.xls?E98DF509" TargetMode="External"/><Relationship Id="rId1" Type="http://schemas.openxmlformats.org/officeDocument/2006/relationships/externalLinkPath" Target="file:///\\E98DF509\FC%20VC%202023-24%20up%20to%20March'24-Provisional%20-%20Dt-24-05-2024%20-%20FS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vyakalavakuri\AppData\Local\Microsoft\Windows\INetCache\Content.Outlook\AD4EB6G6\FC%20VC%202023-24%20up%20to%20March'24-Provisional%20-%20Dt-24-05-2024%20-%20FS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nkatasaik\AppData\Local\Microsoft\Windows\INetCache\Content.Outlook\LB28R32G\Tariff%20Order%20for%20FY%202022-23%20Analysi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nkatasaik\AppData\Local\Microsoft\Windows\INetCache\Content.Outlook\LB28R32G\Tariff%20Order%20for%20FY%202023-24%20Analysis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5%20years%20PP%20cost%20model/RAC%20models/ARR%20FY%2026%20KPMG%2021052024_FY26%20Filing.xlsb?178F8294" TargetMode="External"/><Relationship Id="rId1" Type="http://schemas.openxmlformats.org/officeDocument/2006/relationships/externalLinkPath" Target="file:///\\178F8294\ARR%20FY%2026%20KPMG%2021052024_FY26%20Filing.xlsb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nkatasaik\AppData\Local\Microsoft\Windows\INetCache\Content.Outlook\LB28R32G\FC%20VC%202022-23%20up%20to%20March'23-Provisional%20-Dt-10-07-2023-Updated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PP%20True-up/FY%202022-23/PP%20True%20Up%20FY%202022-23%2022%20Jan%20%202024%20acc%20to%20Regulations_V2.xlsx?3506AFD3" TargetMode="External"/><Relationship Id="rId1" Type="http://schemas.openxmlformats.org/officeDocument/2006/relationships/externalLinkPath" Target="file:///\\3506AFD3\PP%20True%20Up%20FY%202022-23%2022%20Jan%20%202024%20acc%20to%20Regulations_V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RSB%20Totals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sreeharshac_kpmg_com/Documents/Desktop/New%20Microsoft%20Excel%20Worksheet%20(8).xlsx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TSNPDCL%20O&amp;M%20Workbook%2018.01.23%20(1).xlsx?C0D62F91" TargetMode="External"/><Relationship Id="rId1" Type="http://schemas.openxmlformats.org/officeDocument/2006/relationships/externalLinkPath" Target="file:///\\C0D62F91\TSNPDCL%20O&amp;M%20Workbook%2018.01.23%20(1).xlsx" TargetMode="External"/></Relationships>
</file>

<file path=xl/externalLinks/_rels/externalLink55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Data%20received%20from%20other%20wing/O&amp;M%20Expenses%20data(15.1,15.2%20&amp;15.3).xlsx?6AEF74A6" TargetMode="External"/><Relationship Id="rId1" Type="http://schemas.openxmlformats.org/officeDocument/2006/relationships/externalLinkPath" Target="file:///\\6AEF74A6\O&amp;M%20Expenses%20data(15.1,15.2%20&amp;15.3).xlsx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NPDCL-Distribution-MYT%20formats%205th%20CP-VBR%20(1).xlsx?C0D62F91" TargetMode="External"/><Relationship Id="rId1" Type="http://schemas.openxmlformats.org/officeDocument/2006/relationships/externalLinkPath" Target="file:///\\C0D62F91\NPDCL-Distribution-MYT%20formats%205th%20CP-VBR%20(1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21%20ARR%202024-25/2%20NPDCL%20ARR%202024-25%20Working/ipc/Break%20up%20of%20DB%20&amp;%20RSB%20from%20FY%202006-07%20to%20FY%202022-23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JAO-RAC/4_Stats/1%20Balance%20Sheet%20Related/NPDCL%20Balance%20Sheet%202022-23.xlsx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DB%20models%20woking%20final/Re%20NPDCL-Distribution-MYT%20formats%205th%20CP.xls?97A1DC17" TargetMode="External"/><Relationship Id="rId1" Type="http://schemas.openxmlformats.org/officeDocument/2006/relationships/externalLinkPath" Target="file:///\\97A1DC17\Re%20NPDCL-Distribution-MYT%20formats%205th%20C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petition_13,000%20Cr.%20gap/Corrigendum%20petition/Corrigendum%20petition%20data/TGNPDCL/Revised%20ARR%20working%2025.09.2024.xlsx?40E5DEEB" TargetMode="External"/><Relationship Id="rId1" Type="http://schemas.openxmlformats.org/officeDocument/2006/relationships/externalLinkPath" Target="file:///\\40E5DEEB\Revised%20ARR%20working%2025.09.2024.xlsx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@Final%20Models_Writeup_Affidavit_RSB/@%20FY%2026/DB/ARR/Data%20received%20from%20other%20wing/Form-18%20loans%20data%20(29.02.2024).xlsx?6AEF74A6" TargetMode="External"/><Relationship Id="rId1" Type="http://schemas.openxmlformats.org/officeDocument/2006/relationships/externalLinkPath" Target="file:///\\6AEF74A6\Form-18%20loans%20data%20(29.02.2024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rshanand\AppData\Local\Microsoft\Windows\INetCache\Content.Outlook\W5ZJ0XHZ\TSNPDCL%20DB%20MYT%20FORMATS%205TH%20CP.xlsx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Interest%20on%20CSD_TGNPDCL.xlsx?F71C6A52" TargetMode="External"/><Relationship Id="rId1" Type="http://schemas.openxmlformats.org/officeDocument/2006/relationships/externalLinkPath" Target="file:///\\F71C6A52\Interest%20on%20CSD_TGNPDC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21%20ARR%202024-25/2%20NPDCL%20ARR%202024-25%20Working/Sales%20Projection/TSNPDCL%20ARR%202024-25%20working%20sheet%20PSV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18%20ARR%202019-20/Distribution%20Tariff%20Order%204th%20CP/DSB%20Tariff%20Order%20for%20FY%202019-20%20to%20FY%2020203-24%20Analysis.xls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FY%2024%20actual%20sales/TSNPDCL/TSNPDCL_Revised%20data_23rdMay/TSNPDCL%20Non-tariff%20income%20revised_23.7.2024.xlsx?1C0135D0" TargetMode="External"/><Relationship Id="rId1" Type="http://schemas.openxmlformats.org/officeDocument/2006/relationships/externalLinkPath" Target="file:///\\1C0135D0\TSNPDCL%20Non-tariff%20income%20revised_23.7.2024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19%20ARR%202022-23/8%20Tariff%20Order%20FY2022-23/Analysis/Tariff%20Order%20for%20FY%202022-23%20Analysi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20%20ARR%202023-24/6%20Tariff%20Order%20FY2023-24/Analysis/Tariff%20Order%20for%20FY%202023-24%20Analysi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_Writeup_Affidavit_RSB/@%20FY%2026/GDC_CoS_Model_22.12_v2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pmgindia365-my.sharepoint.com/personal/arunmajhi1_kpmg_com/Documents/0.%20My%20KPMG%20Projects/35.%20Telanga%20Power%20Utilities/ARR%20Filing/@Final%20Models_Writeup_Affidavit_RSB/@%20FY%2026/Formats/GDC_CoS_Model_22.12_v2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Int.%20on%20CSD_FY%2025-26.xlsx?F71C6A52" TargetMode="External"/><Relationship Id="rId1" Type="http://schemas.openxmlformats.org/officeDocument/2006/relationships/externalLinkPath" Target="file:///\\F71C6A52\Int.%20on%20CSD_FY%2025-26.xlsx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Final%20Sales%20and%20Revenue_FY24_v89_VB.xlsx?F71C6A52" TargetMode="External"/><Relationship Id="rId1" Type="http://schemas.openxmlformats.org/officeDocument/2006/relationships/externalLinkPath" Target="file:///\\F71C6A52\Final%20Sales%20and%20Revenue_FY24_v89_VB.xlsx" TargetMode="External"/></Relationships>
</file>

<file path=xl/externalLinks/_rels/externalLink71.xml.rels><?xml version="1.0" encoding="UTF-8" standalone="yes"?>
<Relationships xmlns="http://schemas.openxmlformats.org/package/2006/relationships"><Relationship Id="rId2" Type="http://schemas.microsoft.com/office/2019/04/relationships/externalLinkLongPath" Target="PP%20True-up/FY%202022-23/PP%20True%20Up%20FY%202022-23%2022%20Jan%20%202024%20acc%20to%20actual%20sales_V3.xlsx?3506AFD3" TargetMode="External"/><Relationship Id="rId1" Type="http://schemas.openxmlformats.org/officeDocument/2006/relationships/externalLinkPath" Target="file:///\\3506AFD3\PP%20True%20Up%20FY%202022-23%2022%20Jan%20%202024%20acc%20to%20actual%20sales_V3.xlsx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microsoft.com/office/2019/04/relationships/externalLinkLongPath" Target="PP%20True-up/FY%202023-24/PP%20True%20Up%20FY%202023-24%20acc%20to%20Regulations_V2.xlsx?E98DF509" TargetMode="External"/><Relationship Id="rId1" Type="http://schemas.openxmlformats.org/officeDocument/2006/relationships/externalLinkPath" Target="file:///\\E98DF509\PP%20True%20Up%20FY%202023-24%20acc%20to%20Regulations_V2.xlsx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microsoft.com/office/2019/04/relationships/externalLinkLongPath" Target="PP%20True-up/FY%202023-24/PP%20True%20Up%20FY%202023-24%20acc%20to%20sales_V2.xlsx?E98DF509" TargetMode="External"/><Relationship Id="rId1" Type="http://schemas.openxmlformats.org/officeDocument/2006/relationships/externalLinkPath" Target="file:///\\E98DF509\PP%20True%20Up%20FY%202023-24%20acc%20to%20sales_V2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Final%20Sales%20and%20Revenue_FY24_v84_VB.xlsx?F71C6A52" TargetMode="External"/><Relationship Id="rId1" Type="http://schemas.openxmlformats.org/officeDocument/2006/relationships/externalLinkPath" Target="file:///\\F71C6A52\Final%20Sales%20and%20Revenue_FY24_v84_VB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runmajhi1_kpmg_com/Documents/0.%20My%20KPMG%20Projects/35.%20Telanga%20Power%20Utilities/ARR%20Filing/Data%20received%20from%20Previous%20Consultant/Sales%20model_revised/Final%20Sales%20and%20Revenue_FY25_v91_VB.xlsx?F71C6A52" TargetMode="External"/><Relationship Id="rId1" Type="http://schemas.openxmlformats.org/officeDocument/2006/relationships/externalLinkPath" Target="file:///\\F71C6A52\Final%20Sales%20and%20Revenue_FY25_v91_V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  <sheetName val="Inputs &amp; Assumptions"/>
      <sheetName val="Daily_input"/>
      <sheetName val="Daily_report"/>
      <sheetName val="Title"/>
      <sheetName val="CAPI_01-0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4581822</v>
          </cell>
          <cell r="AK10">
            <v>4783</v>
          </cell>
        </row>
        <row r="23">
          <cell r="AJ23">
            <v>666296</v>
          </cell>
          <cell r="AK23">
            <v>1254</v>
          </cell>
        </row>
        <row r="36">
          <cell r="AJ36">
            <v>26878</v>
          </cell>
          <cell r="AK36">
            <v>434</v>
          </cell>
        </row>
        <row r="43">
          <cell r="AJ43">
            <v>7508</v>
          </cell>
          <cell r="AK43">
            <v>28</v>
          </cell>
        </row>
        <row r="46">
          <cell r="AJ46">
            <v>1460810</v>
          </cell>
          <cell r="AN46">
            <v>8501274.5475032274</v>
          </cell>
        </row>
        <row r="54">
          <cell r="AJ54">
            <v>59516.276631009627</v>
          </cell>
          <cell r="AK54">
            <v>55.301694289724033</v>
          </cell>
        </row>
        <row r="58">
          <cell r="AJ58">
            <v>26315</v>
          </cell>
          <cell r="AK58">
            <v>73</v>
          </cell>
        </row>
        <row r="63">
          <cell r="AJ63">
            <v>3656</v>
          </cell>
          <cell r="AK63">
            <v>15</v>
          </cell>
        </row>
        <row r="64">
          <cell r="AJ64">
            <v>289.95749999999998</v>
          </cell>
          <cell r="AK64">
            <v>9.9349031249999999</v>
          </cell>
        </row>
        <row r="65">
          <cell r="AJ65">
            <v>41590.723368990373</v>
          </cell>
          <cell r="AN65">
            <v>87194.931115271538</v>
          </cell>
        </row>
        <row r="84">
          <cell r="AJ84">
            <v>3058.5422922006592</v>
          </cell>
          <cell r="AK84">
            <v>688.27496652226887</v>
          </cell>
        </row>
        <row r="99">
          <cell r="AJ99">
            <v>0</v>
          </cell>
          <cell r="AK99">
            <v>0</v>
          </cell>
        </row>
        <row r="100">
          <cell r="AJ100">
            <v>944.20588235294133</v>
          </cell>
          <cell r="AK100">
            <v>139.40857210837524</v>
          </cell>
        </row>
        <row r="105">
          <cell r="AJ105">
            <v>2.4117647058823533</v>
          </cell>
          <cell r="AK105">
            <v>0.23200000000000001</v>
          </cell>
        </row>
        <row r="110">
          <cell r="AJ110">
            <v>24</v>
          </cell>
          <cell r="AK110">
            <v>2.9333256618399619</v>
          </cell>
        </row>
        <row r="115">
          <cell r="AJ115">
            <v>249.48888888888891</v>
          </cell>
          <cell r="AK115">
            <v>80.856568202947599</v>
          </cell>
        </row>
        <row r="117">
          <cell r="AJ117">
            <v>19.241379310344833</v>
          </cell>
          <cell r="AK117">
            <v>5.8012619108839258</v>
          </cell>
        </row>
        <row r="120">
          <cell r="AJ120">
            <v>51.94736842105263</v>
          </cell>
          <cell r="AK120">
            <v>14.2773895</v>
          </cell>
        </row>
        <row r="121">
          <cell r="AJ121">
            <v>1</v>
          </cell>
          <cell r="AK121">
            <v>629</v>
          </cell>
        </row>
        <row r="127">
          <cell r="AJ127">
            <v>137.33333333333334</v>
          </cell>
          <cell r="AK127">
            <v>42.307274613096283</v>
          </cell>
        </row>
        <row r="144">
          <cell r="AJ144">
            <v>62.067374588062982</v>
          </cell>
          <cell r="AK144">
            <v>81.010478321395453</v>
          </cell>
        </row>
        <row r="161">
          <cell r="AJ161">
            <v>2</v>
          </cell>
          <cell r="AK161">
            <v>0.2</v>
          </cell>
        </row>
        <row r="162">
          <cell r="AJ162">
            <v>27.735294117647065</v>
          </cell>
          <cell r="AK162">
            <v>10.604779265912923</v>
          </cell>
        </row>
        <row r="168">
          <cell r="AJ168">
            <v>0</v>
          </cell>
          <cell r="AK168">
            <v>0</v>
          </cell>
        </row>
        <row r="173">
          <cell r="AJ173">
            <v>0</v>
          </cell>
          <cell r="AK173">
            <v>0</v>
          </cell>
        </row>
        <row r="178">
          <cell r="AJ178">
            <v>34.333333333333336</v>
          </cell>
          <cell r="AK178">
            <v>76.823694847442027</v>
          </cell>
        </row>
        <row r="182">
          <cell r="AJ182">
            <v>9.6206896551724164</v>
          </cell>
          <cell r="AK182">
            <v>17.690149791475825</v>
          </cell>
        </row>
        <row r="183">
          <cell r="AJ183">
            <v>9.9473684210526319</v>
          </cell>
          <cell r="AK183">
            <v>7.3150000000000013</v>
          </cell>
        </row>
        <row r="184">
          <cell r="AJ184">
            <v>44.63333333333334</v>
          </cell>
          <cell r="AK184">
            <v>78.02072247592757</v>
          </cell>
        </row>
        <row r="191">
          <cell r="AJ191">
            <v>3</v>
          </cell>
          <cell r="AK191">
            <v>18</v>
          </cell>
        </row>
        <row r="201">
          <cell r="AJ201">
            <v>16.09154155986818</v>
          </cell>
          <cell r="AK201">
            <v>207.23506124715286</v>
          </cell>
        </row>
        <row r="211">
          <cell r="AJ211">
            <v>0</v>
          </cell>
          <cell r="AK211">
            <v>0</v>
          </cell>
        </row>
        <row r="212">
          <cell r="AJ212">
            <v>2.29879165140974</v>
          </cell>
          <cell r="AK212">
            <v>40.174943566591423</v>
          </cell>
        </row>
        <row r="217">
          <cell r="AJ217">
            <v>9.647058823529413</v>
          </cell>
          <cell r="AK217">
            <v>19.864718738395361</v>
          </cell>
        </row>
        <row r="222">
          <cell r="AJ222">
            <v>0</v>
          </cell>
          <cell r="AK222">
            <v>0</v>
          </cell>
        </row>
        <row r="227">
          <cell r="AJ227">
            <v>0</v>
          </cell>
          <cell r="AK227">
            <v>0</v>
          </cell>
        </row>
        <row r="232">
          <cell r="AK232">
            <v>2959.7035395414405</v>
          </cell>
        </row>
        <row r="233">
          <cell r="AJ233">
            <v>48.06666666666667</v>
          </cell>
        </row>
        <row r="235">
          <cell r="AJ235">
            <v>14</v>
          </cell>
          <cell r="AK235">
            <v>188</v>
          </cell>
        </row>
        <row r="240">
          <cell r="AJ240">
            <v>2.1379310344827589</v>
          </cell>
          <cell r="AK240">
            <v>31.730769230769237</v>
          </cell>
        </row>
        <row r="241">
          <cell r="AJ241">
            <v>1.1052631578947367</v>
          </cell>
          <cell r="AK241">
            <v>0.55000000000000004</v>
          </cell>
        </row>
        <row r="242">
          <cell r="AK242">
            <v>5.848896739130435</v>
          </cell>
        </row>
        <row r="243">
          <cell r="AJ243">
            <v>1.1444444444444446</v>
          </cell>
        </row>
      </sheetData>
      <sheetData sheetId="4">
        <row r="10">
          <cell r="AJ10">
            <v>9275620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4764830</v>
          </cell>
          <cell r="AK10">
            <v>4902</v>
          </cell>
        </row>
        <row r="23">
          <cell r="AJ23">
            <v>722024</v>
          </cell>
          <cell r="AK23">
            <v>1309</v>
          </cell>
        </row>
        <row r="36">
          <cell r="AJ36">
            <v>28222</v>
          </cell>
          <cell r="AK36">
            <v>447</v>
          </cell>
        </row>
        <row r="43">
          <cell r="AJ43">
            <v>7846</v>
          </cell>
          <cell r="AK43">
            <v>31</v>
          </cell>
        </row>
        <row r="46">
          <cell r="AJ46">
            <v>1508243</v>
          </cell>
          <cell r="AN46">
            <v>8723792.9289105963</v>
          </cell>
        </row>
        <row r="54">
          <cell r="AJ54">
            <v>62491.884436302564</v>
          </cell>
          <cell r="AK54">
            <v>60.371016266282062</v>
          </cell>
        </row>
        <row r="58">
          <cell r="AJ58">
            <v>26994</v>
          </cell>
          <cell r="AK58">
            <v>78</v>
          </cell>
        </row>
        <row r="63">
          <cell r="AJ63">
            <v>3839</v>
          </cell>
          <cell r="AK63">
            <v>16</v>
          </cell>
        </row>
        <row r="64">
          <cell r="AJ64">
            <v>304.45537500000006</v>
          </cell>
          <cell r="AK64">
            <v>10.431648281250002</v>
          </cell>
        </row>
        <row r="65">
          <cell r="AJ65">
            <v>43670.115563697422</v>
          </cell>
          <cell r="AN65">
            <v>95187.799800838082</v>
          </cell>
        </row>
        <row r="84">
          <cell r="AJ84">
            <v>3279.7239106554371</v>
          </cell>
          <cell r="AK84">
            <v>739.03270741624146</v>
          </cell>
        </row>
        <row r="99">
          <cell r="AJ99">
            <v>0</v>
          </cell>
          <cell r="AK99">
            <v>0</v>
          </cell>
        </row>
        <row r="100">
          <cell r="AJ100">
            <v>1037.2830882352944</v>
          </cell>
          <cell r="AK100">
            <v>148.42912677421128</v>
          </cell>
        </row>
        <row r="105">
          <cell r="AJ105">
            <v>2.649509803921569</v>
          </cell>
          <cell r="AK105">
            <v>0.27994666666666668</v>
          </cell>
        </row>
        <row r="110">
          <cell r="AJ110">
            <v>25</v>
          </cell>
          <cell r="AK110">
            <v>2.9333256618399619</v>
          </cell>
        </row>
        <row r="115">
          <cell r="AJ115">
            <v>267.89777777777778</v>
          </cell>
          <cell r="AK115">
            <v>84.869486661848512</v>
          </cell>
        </row>
        <row r="117">
          <cell r="AJ117">
            <v>19.862068965517246</v>
          </cell>
          <cell r="AK117">
            <v>5.9067394001727243</v>
          </cell>
        </row>
        <row r="120">
          <cell r="AJ120">
            <v>54.421052631578945</v>
          </cell>
          <cell r="AK120">
            <v>14.92636175</v>
          </cell>
        </row>
        <row r="121">
          <cell r="AJ121">
            <v>1</v>
          </cell>
          <cell r="AK121">
            <v>661</v>
          </cell>
        </row>
        <row r="127">
          <cell r="AJ127">
            <v>147.46666666666667</v>
          </cell>
          <cell r="AK127">
            <v>44.406988303820235</v>
          </cell>
        </row>
        <row r="144">
          <cell r="AJ144">
            <v>66.555840351519592</v>
          </cell>
          <cell r="AK144">
            <v>86.984702386395128</v>
          </cell>
        </row>
        <row r="161">
          <cell r="AJ161">
            <v>2</v>
          </cell>
          <cell r="AK161">
            <v>0.2</v>
          </cell>
        </row>
        <row r="162">
          <cell r="AJ162">
            <v>30.469362745098046</v>
          </cell>
          <cell r="AK162">
            <v>11.290970865471994</v>
          </cell>
        </row>
        <row r="168">
          <cell r="AJ168">
            <v>0</v>
          </cell>
          <cell r="AK168">
            <v>0</v>
          </cell>
        </row>
        <row r="173">
          <cell r="AJ173">
            <v>0</v>
          </cell>
          <cell r="AK173">
            <v>0</v>
          </cell>
        </row>
        <row r="178">
          <cell r="AJ178">
            <v>36.866666666666667</v>
          </cell>
          <cell r="AK178">
            <v>80.63646145361902</v>
          </cell>
        </row>
        <row r="182">
          <cell r="AJ182">
            <v>9.9310344827586228</v>
          </cell>
          <cell r="AK182">
            <v>18.011788878593567</v>
          </cell>
        </row>
        <row r="183">
          <cell r="AJ183">
            <v>10.421052631578949</v>
          </cell>
          <cell r="AK183">
            <v>7.6475000000000009</v>
          </cell>
        </row>
        <row r="184">
          <cell r="AJ184">
            <v>47.926666666666677</v>
          </cell>
          <cell r="AK184">
            <v>81.892897666625572</v>
          </cell>
        </row>
        <row r="191">
          <cell r="AJ191">
            <v>3</v>
          </cell>
          <cell r="AK191">
            <v>18</v>
          </cell>
        </row>
        <row r="201">
          <cell r="AJ201">
            <v>17.255217868912485</v>
          </cell>
          <cell r="AK201">
            <v>222.5178828730491</v>
          </cell>
        </row>
        <row r="211">
          <cell r="AJ211">
            <v>0</v>
          </cell>
          <cell r="AK211">
            <v>0</v>
          </cell>
        </row>
        <row r="212">
          <cell r="AJ212">
            <v>2.4650311241303551</v>
          </cell>
          <cell r="AK212">
            <v>43.137697516930025</v>
          </cell>
        </row>
        <row r="217">
          <cell r="AJ217">
            <v>10.598039215686276</v>
          </cell>
          <cell r="AK217">
            <v>21.150082892056236</v>
          </cell>
        </row>
        <row r="222">
          <cell r="AJ222">
            <v>0</v>
          </cell>
          <cell r="AK222">
            <v>0</v>
          </cell>
        </row>
        <row r="227">
          <cell r="AJ227">
            <v>0</v>
          </cell>
          <cell r="AK227">
            <v>0</v>
          </cell>
        </row>
        <row r="232">
          <cell r="AK232">
            <v>3106.5938816703465</v>
          </cell>
        </row>
        <row r="233">
          <cell r="AJ233">
            <v>51.613333333333337</v>
          </cell>
        </row>
        <row r="235">
          <cell r="AJ235">
            <v>15</v>
          </cell>
          <cell r="AK235">
            <v>191.99999999999997</v>
          </cell>
        </row>
        <row r="240">
          <cell r="AJ240">
            <v>2.2068965517241383</v>
          </cell>
          <cell r="AK240">
            <v>32.307692307692314</v>
          </cell>
        </row>
        <row r="241">
          <cell r="AJ241">
            <v>1.1578947368421053</v>
          </cell>
          <cell r="AK241">
            <v>0.57500000000000007</v>
          </cell>
        </row>
        <row r="242">
          <cell r="AK242">
            <v>6.1391779891304346</v>
          </cell>
        </row>
        <row r="243">
          <cell r="AJ243">
            <v>1.2288888888888891</v>
          </cell>
        </row>
      </sheetData>
      <sheetData sheetId="4">
        <row r="10">
          <cell r="AJ10">
            <v>9800235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4955148</v>
          </cell>
          <cell r="AK10">
            <v>5022</v>
          </cell>
        </row>
        <row r="23">
          <cell r="AJ23">
            <v>782414</v>
          </cell>
          <cell r="AK23">
            <v>1366</v>
          </cell>
        </row>
        <row r="36">
          <cell r="AJ36">
            <v>29634</v>
          </cell>
          <cell r="AK36">
            <v>459</v>
          </cell>
        </row>
        <row r="43">
          <cell r="AJ43">
            <v>8199</v>
          </cell>
          <cell r="AK43">
            <v>34</v>
          </cell>
        </row>
        <row r="46">
          <cell r="AJ46">
            <v>1557216</v>
          </cell>
          <cell r="AN46">
            <v>8951673.1990265772</v>
          </cell>
        </row>
        <row r="54">
          <cell r="AJ54">
            <v>65616.419793472669</v>
          </cell>
          <cell r="AK54">
            <v>65.901185695254455</v>
          </cell>
        </row>
        <row r="58">
          <cell r="AJ58">
            <v>27690</v>
          </cell>
          <cell r="AK58">
            <v>83</v>
          </cell>
        </row>
        <row r="63">
          <cell r="AJ63">
            <v>4031</v>
          </cell>
          <cell r="AK63">
            <v>16</v>
          </cell>
        </row>
        <row r="64">
          <cell r="AJ64">
            <v>319.67814375</v>
          </cell>
          <cell r="AK64">
            <v>10.9532306953125</v>
          </cell>
        </row>
        <row r="65">
          <cell r="AJ65">
            <v>45853.580206527302</v>
          </cell>
          <cell r="AN65">
            <v>103907.29291236523</v>
          </cell>
        </row>
        <row r="84">
          <cell r="AJ84">
            <v>3516.4954229220066</v>
          </cell>
          <cell r="AK84">
            <v>794.52783746031832</v>
          </cell>
        </row>
        <row r="99">
          <cell r="AJ99">
            <v>0</v>
          </cell>
          <cell r="AK99">
            <v>0</v>
          </cell>
        </row>
        <row r="100">
          <cell r="AJ100">
            <v>1138.9963235294119</v>
          </cell>
          <cell r="AK100">
            <v>158.26973186421424</v>
          </cell>
        </row>
        <row r="105">
          <cell r="AJ105">
            <v>2.9093137254901964</v>
          </cell>
          <cell r="AK105">
            <v>0.23200000000000001</v>
          </cell>
        </row>
        <row r="110">
          <cell r="AJ110">
            <v>22</v>
          </cell>
          <cell r="AK110">
            <v>2.9333256618399619</v>
          </cell>
        </row>
        <row r="115">
          <cell r="AJ115">
            <v>289.69777777777779</v>
          </cell>
          <cell r="AK115">
            <v>89.081804795725873</v>
          </cell>
        </row>
        <row r="117">
          <cell r="AJ117">
            <v>20.482758620689658</v>
          </cell>
          <cell r="AK117">
            <v>6.117694378750322</v>
          </cell>
        </row>
        <row r="120">
          <cell r="AJ120">
            <v>57.719298245614027</v>
          </cell>
          <cell r="AK120">
            <v>15.575334</v>
          </cell>
        </row>
        <row r="121">
          <cell r="AJ121">
            <v>1</v>
          </cell>
          <cell r="AK121">
            <v>694</v>
          </cell>
        </row>
        <row r="127">
          <cell r="AJ127">
            <v>159.46666666666667</v>
          </cell>
          <cell r="AK127">
            <v>46.611035594083262</v>
          </cell>
        </row>
        <row r="144">
          <cell r="AJ144">
            <v>71.360673745880632</v>
          </cell>
          <cell r="AK144">
            <v>93.516520697461431</v>
          </cell>
        </row>
        <row r="161">
          <cell r="AJ161">
            <v>2</v>
          </cell>
          <cell r="AK161">
            <v>0.2</v>
          </cell>
        </row>
        <row r="162">
          <cell r="AJ162">
            <v>33.457107843137258</v>
          </cell>
          <cell r="AK162">
            <v>12.039543519536437</v>
          </cell>
        </row>
        <row r="168">
          <cell r="AJ168">
            <v>0</v>
          </cell>
          <cell r="AK168">
            <v>0</v>
          </cell>
        </row>
        <row r="173">
          <cell r="AJ173">
            <v>0</v>
          </cell>
          <cell r="AK173">
            <v>0</v>
          </cell>
        </row>
        <row r="178">
          <cell r="AJ178">
            <v>39.866666666666667</v>
          </cell>
          <cell r="AK178">
            <v>84.638682301096736</v>
          </cell>
        </row>
        <row r="182">
          <cell r="AJ182">
            <v>10.241379310344829</v>
          </cell>
          <cell r="AK182">
            <v>18.655067052829054</v>
          </cell>
        </row>
        <row r="183">
          <cell r="AJ183">
            <v>11.05263157894737</v>
          </cell>
          <cell r="AK183">
            <v>7.98</v>
          </cell>
        </row>
        <row r="184">
          <cell r="AJ184">
            <v>51.826666666666682</v>
          </cell>
          <cell r="AK184">
            <v>85.957479077979386</v>
          </cell>
        </row>
        <row r="191">
          <cell r="AJ191">
            <v>3</v>
          </cell>
          <cell r="AK191">
            <v>18</v>
          </cell>
        </row>
        <row r="201">
          <cell r="AJ201">
            <v>18.500915415598683</v>
          </cell>
          <cell r="AK201">
            <v>239.22710118402898</v>
          </cell>
        </row>
        <row r="211">
          <cell r="AJ211">
            <v>0</v>
          </cell>
          <cell r="AK211">
            <v>0</v>
          </cell>
        </row>
        <row r="212">
          <cell r="AJ212">
            <v>2.6429879165140973</v>
          </cell>
          <cell r="AK212">
            <v>46.376975169300223</v>
          </cell>
        </row>
        <row r="217">
          <cell r="AJ217">
            <v>11.637254901960786</v>
          </cell>
          <cell r="AK217">
            <v>22.552298332413557</v>
          </cell>
        </row>
        <row r="222">
          <cell r="AJ222">
            <v>0</v>
          </cell>
          <cell r="AK222">
            <v>0</v>
          </cell>
        </row>
        <row r="227">
          <cell r="AJ227">
            <v>0</v>
          </cell>
          <cell r="AK227">
            <v>0</v>
          </cell>
        </row>
        <row r="232">
          <cell r="AK232">
            <v>3260.7831227870242</v>
          </cell>
        </row>
        <row r="233">
          <cell r="AJ233">
            <v>55.81333333333334</v>
          </cell>
        </row>
        <row r="235">
          <cell r="AJ235">
            <v>16</v>
          </cell>
          <cell r="AK235">
            <v>197</v>
          </cell>
        </row>
        <row r="240">
          <cell r="AJ240">
            <v>2.2758620689655178</v>
          </cell>
          <cell r="AK240">
            <v>33.461538461538474</v>
          </cell>
        </row>
        <row r="241">
          <cell r="AJ241">
            <v>1.2280701754385965</v>
          </cell>
          <cell r="AK241">
            <v>0.60000000000000009</v>
          </cell>
        </row>
        <row r="242">
          <cell r="AK242">
            <v>6.4438831521739131</v>
          </cell>
        </row>
        <row r="243">
          <cell r="AJ243">
            <v>1.3288888888888892</v>
          </cell>
        </row>
      </sheetData>
      <sheetData sheetId="4">
        <row r="10">
          <cell r="AJ10">
            <v>10354521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/>
      <sheetData sheetId="3" refreshError="1">
        <row r="10">
          <cell r="FK10">
            <v>344.70894865881235</v>
          </cell>
        </row>
        <row r="11">
          <cell r="FF11">
            <v>159.08577678733764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5">
          <cell r="N5">
            <v>4436.9900000000007</v>
          </cell>
        </row>
        <row r="9">
          <cell r="N9">
            <v>7238.09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>
        <row r="5">
          <cell r="N5">
            <v>4160.68</v>
          </cell>
        </row>
        <row r="9">
          <cell r="N9">
            <v>8399.9699999999993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>
            <v>19071.047630041077</v>
          </cell>
        </row>
        <row r="5">
          <cell r="D5">
            <v>692.01</v>
          </cell>
        </row>
        <row r="7">
          <cell r="D7">
            <v>663.67245752543022</v>
          </cell>
        </row>
        <row r="10">
          <cell r="D10">
            <v>17715.365172515649</v>
          </cell>
        </row>
        <row r="11">
          <cell r="D11">
            <v>2410.7399999999998</v>
          </cell>
        </row>
        <row r="13">
          <cell r="D13">
            <v>667.86926700384174</v>
          </cell>
        </row>
        <row r="14">
          <cell r="D14">
            <v>3.7700000000000101E-2</v>
          </cell>
        </row>
        <row r="16">
          <cell r="D16">
            <v>14636.755905511807</v>
          </cell>
        </row>
        <row r="17">
          <cell r="D17">
            <v>5541.5399999999972</v>
          </cell>
        </row>
        <row r="18">
          <cell r="D18">
            <v>8399.9699999999993</v>
          </cell>
        </row>
        <row r="19">
          <cell r="D19">
            <v>695.24590551181063</v>
          </cell>
        </row>
        <row r="25">
          <cell r="D25">
            <v>4086.03</v>
          </cell>
        </row>
        <row r="33">
          <cell r="D33">
            <v>593.77122128310657</v>
          </cell>
        </row>
        <row r="34">
          <cell r="D34">
            <v>321.77114867581622</v>
          </cell>
        </row>
        <row r="41">
          <cell r="D41">
            <v>24072.62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GR-Sales_month"/>
      <sheetName val="Deration_COVID"/>
      <sheetName val="FY18-19 Actual Sales "/>
      <sheetName val="FY19-20 Actual Sales"/>
      <sheetName val="FY19-20 Sales"/>
      <sheetName val="FY20-21 Actual Sales"/>
      <sheetName val="FY21-22 Projections (22)"/>
      <sheetName val="FY21-22 Actual Sales "/>
      <sheetName val="FY24-25 Projections"/>
      <sheetName val="LIS 2024-25"/>
      <sheetName val="Railway Traction"/>
      <sheetName val="EV Stations 24-25"/>
      <sheetName val="FY24-25 Projections (2)"/>
      <sheetName val="Textile Park"/>
      <sheetName val="FY22-23 Actual Sales  "/>
      <sheetName val="FY23-24 Sales  "/>
      <sheetName val="FY23-24 Sales   (2)"/>
      <sheetName val="Sales Reduction SCCL 24-25"/>
      <sheetName val="FY23-24 Rev(Current Tariff)"/>
      <sheetName val="FY24-25 Rev(Current Tariff) "/>
      <sheetName val="FY24-25 Rev(Proposed Tariff)"/>
      <sheetName val="FY23-24 Rev(Proposed Tariff (2"/>
      <sheetName val="Sales Reduction SCCL 23-24 "/>
      <sheetName val="EV Stations 23-24"/>
      <sheetName val="LIS 2023-24"/>
      <sheetName val="LIS RP"/>
      <sheetName val="Agl Details 5 years"/>
      <sheetName val="agl"/>
      <sheetName val="HMWSSB"/>
      <sheetName val="LIS TSTRANSCO"/>
      <sheetName val="LIS (TSTRANSCO) 22-23"/>
      <sheetName val="LIS (TSTRANSCO) 22-23 (2)"/>
      <sheetName val="Sheet1"/>
      <sheetName val="Sheet3"/>
      <sheetName val="FY21-22 Rev(Proposed Tariff)"/>
      <sheetName val="FY20-21 Projections (3)"/>
      <sheetName val="FY20-21 Rev(Proposed Tarif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3917432</v>
          </cell>
        </row>
        <row r="70">
          <cell r="G70">
            <v>1334.3067099999998</v>
          </cell>
          <cell r="H70">
            <v>829.4952599999998</v>
          </cell>
          <cell r="I70">
            <v>756.19862699999999</v>
          </cell>
          <cell r="J70">
            <v>751.91435599999977</v>
          </cell>
          <cell r="K70">
            <v>1136.7870838000001</v>
          </cell>
          <cell r="L70">
            <v>1068.1349099999998</v>
          </cell>
          <cell r="M70">
            <v>921.94061199999987</v>
          </cell>
          <cell r="N70">
            <v>772.75285599999984</v>
          </cell>
          <cell r="O70">
            <v>1164.0254779999998</v>
          </cell>
          <cell r="P70">
            <v>1356.2221410000002</v>
          </cell>
          <cell r="Q70">
            <v>1501.5068759999999</v>
          </cell>
          <cell r="R70">
            <v>1710.8317129999998</v>
          </cell>
        </row>
        <row r="75">
          <cell r="G75">
            <v>237.16987799</v>
          </cell>
          <cell r="H75">
            <v>155.44521056000002</v>
          </cell>
          <cell r="I75">
            <v>178.7165013500001</v>
          </cell>
          <cell r="J75">
            <v>154.72465940000004</v>
          </cell>
          <cell r="K75">
            <v>178.47259765999999</v>
          </cell>
          <cell r="L75">
            <v>207.06300263000003</v>
          </cell>
          <cell r="M75">
            <v>182.01361280000003</v>
          </cell>
          <cell r="N75">
            <v>162.94037406999996</v>
          </cell>
          <cell r="O75">
            <v>204.22081157000002</v>
          </cell>
          <cell r="P75">
            <v>230.80941757000002</v>
          </cell>
          <cell r="Q75">
            <v>233.85216882000003</v>
          </cell>
          <cell r="R75">
            <v>329.77432229000004</v>
          </cell>
        </row>
        <row r="107">
          <cell r="G107">
            <v>58.315529409999975</v>
          </cell>
          <cell r="H107">
            <v>52.781393550000011</v>
          </cell>
          <cell r="I107">
            <v>46.031815999999907</v>
          </cell>
          <cell r="J107">
            <v>40.450056999999973</v>
          </cell>
          <cell r="K107">
            <v>43.617379700000001</v>
          </cell>
          <cell r="L107">
            <v>43.046636539999923</v>
          </cell>
          <cell r="M107">
            <v>42.250214229999962</v>
          </cell>
          <cell r="N107">
            <v>43.659411000000006</v>
          </cell>
          <cell r="O107">
            <v>46.749057000000008</v>
          </cell>
          <cell r="P107">
            <v>47.685241500000025</v>
          </cell>
          <cell r="Q107">
            <v>50.26241399999995</v>
          </cell>
          <cell r="R107">
            <v>63.044438883871003</v>
          </cell>
        </row>
        <row r="133">
          <cell r="G133">
            <v>283.77027998000005</v>
          </cell>
          <cell r="H133">
            <v>253.02448681999999</v>
          </cell>
          <cell r="I133">
            <v>124.76130942000003</v>
          </cell>
          <cell r="J133">
            <v>128.38350609</v>
          </cell>
          <cell r="K133">
            <v>190.07336718999997</v>
          </cell>
          <cell r="L133">
            <v>135.68933348000002</v>
          </cell>
          <cell r="M133">
            <v>157.58112154999998</v>
          </cell>
          <cell r="N133">
            <v>125.21098998999997</v>
          </cell>
          <cell r="O133">
            <v>126.31962292999998</v>
          </cell>
          <cell r="P133">
            <v>206.95628235000001</v>
          </cell>
          <cell r="Q133">
            <v>387.51832206</v>
          </cell>
          <cell r="R133">
            <v>793.45000464291934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"/>
    </sheetNames>
    <sheetDataSet>
      <sheetData sheetId="0" refreshError="1">
        <row r="8">
          <cell r="E8">
            <v>55.089761279999493</v>
          </cell>
        </row>
        <row r="26">
          <cell r="E26">
            <v>1832.145401877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-DM"/>
      <sheetName val="FORMAT 4 I&amp;R-CUM"/>
    </sheetNames>
    <sheetDataSet>
      <sheetData sheetId="0" refreshError="1">
        <row r="8">
          <cell r="E8">
            <v>35.12352060000012</v>
          </cell>
        </row>
        <row r="17">
          <cell r="E17">
            <v>41.230965742364106</v>
          </cell>
        </row>
        <row r="23">
          <cell r="E23">
            <v>49.607831006835681</v>
          </cell>
        </row>
        <row r="26">
          <cell r="E26">
            <v>1168.3626799092001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32.789125990000002</v>
          </cell>
        </row>
        <row r="17">
          <cell r="E17">
            <v>37.209228253299216</v>
          </cell>
        </row>
        <row r="23">
          <cell r="E23">
            <v>37.155275400700589</v>
          </cell>
        </row>
        <row r="26">
          <cell r="E26">
            <v>1092.8748019939999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"/>
      <sheetName val="FORMAT 4 I&amp;R Cum"/>
    </sheetNames>
    <sheetDataSet>
      <sheetData sheetId="0" refreshError="1">
        <row r="8">
          <cell r="E8">
            <v>32.583116430000018</v>
          </cell>
        </row>
        <row r="17">
          <cell r="E17">
            <v>37.364075172480057</v>
          </cell>
        </row>
        <row r="23">
          <cell r="E23">
            <v>44.74110392751993</v>
          </cell>
        </row>
        <row r="26">
          <cell r="E26">
            <v>1064.7657789300001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 DM"/>
      <sheetName val="FORMAT 4 I&amp;R Cum"/>
    </sheetNames>
    <sheetDataSet>
      <sheetData sheetId="0" refreshError="1">
        <row r="8">
          <cell r="E8">
            <v>45.774450160000015</v>
          </cell>
        </row>
        <row r="17">
          <cell r="E17">
            <v>56.081814608623972</v>
          </cell>
        </row>
        <row r="23">
          <cell r="E23">
            <v>58.9573205338761</v>
          </cell>
        </row>
        <row r="26">
          <cell r="E26">
            <v>1523.7414107625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 (2)"/>
      <sheetName val="FORMAT 4 I&amp;R"/>
    </sheetNames>
    <sheetDataSet>
      <sheetData sheetId="0" refreshError="1">
        <row r="8">
          <cell r="E8">
            <v>47.009686919999695</v>
          </cell>
        </row>
        <row r="17">
          <cell r="E17">
            <v>52.904252200679139</v>
          </cell>
        </row>
        <row r="23">
          <cell r="E23">
            <v>59.85932442162084</v>
          </cell>
        </row>
        <row r="26">
          <cell r="E26">
            <v>1482.6473351722996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39.381092790000139</v>
          </cell>
        </row>
        <row r="17">
          <cell r="E17">
            <v>45.704762744040977</v>
          </cell>
        </row>
        <row r="23">
          <cell r="E23">
            <v>52.550222221158833</v>
          </cell>
        </row>
        <row r="26">
          <cell r="E26">
            <v>1287.5364685551999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-Cum"/>
      <sheetName val="FORMAT 4 I&amp;R"/>
    </sheetNames>
    <sheetDataSet>
      <sheetData sheetId="0" refreshError="1"/>
      <sheetData sheetId="1" refreshError="1">
        <row r="8">
          <cell r="E8">
            <v>32.64739230000032</v>
          </cell>
        </row>
        <row r="17">
          <cell r="E17">
            <v>38.235892502138199</v>
          </cell>
        </row>
        <row r="23">
          <cell r="E23">
            <v>42.490994849161893</v>
          </cell>
        </row>
        <row r="26">
          <cell r="E26">
            <v>1097.0479517213003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"/>
      <sheetName val="FORMAT 4 I&amp;R - CUM"/>
    </sheetNames>
    <sheetDataSet>
      <sheetData sheetId="0" refreshError="1">
        <row r="8">
          <cell r="E8">
            <v>47.921504460000051</v>
          </cell>
        </row>
        <row r="17">
          <cell r="E17">
            <v>58.200097410309127</v>
          </cell>
        </row>
        <row r="23">
          <cell r="E23">
            <v>76.883741784090716</v>
          </cell>
        </row>
        <row r="26">
          <cell r="E26">
            <v>1602.2019522243997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56.818012250000493</v>
          </cell>
        </row>
        <row r="17">
          <cell r="E17">
            <v>67.002119920063933</v>
          </cell>
        </row>
        <row r="23">
          <cell r="E23">
            <v>72.358773009935931</v>
          </cell>
        </row>
        <row r="26">
          <cell r="E26">
            <v>1836.8530867500003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56.581671329999836</v>
          </cell>
        </row>
        <row r="17">
          <cell r="E17">
            <v>74.239114103047086</v>
          </cell>
        </row>
        <row r="23">
          <cell r="E23">
            <v>81.377092554253068</v>
          </cell>
        </row>
        <row r="26">
          <cell r="E26">
            <v>2004.1690588072997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"/>
      <sheetName val="FORMAT 4 I&amp;R -c"/>
    </sheetNames>
    <sheetDataSet>
      <sheetData sheetId="0" refreshError="1">
        <row r="8">
          <cell r="E8">
            <v>66.379887419999704</v>
          </cell>
        </row>
        <row r="17">
          <cell r="E17">
            <v>35.436676759607963</v>
          </cell>
        </row>
        <row r="26">
          <cell r="E26">
            <v>2235.1255906903998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4 I&amp;R"/>
    </sheetNames>
    <sheetDataSet>
      <sheetData sheetId="0" refreshError="1">
        <row r="8">
          <cell r="E8">
            <v>55.089761279999493</v>
          </cell>
        </row>
        <row r="17">
          <cell r="E17">
            <v>66.162814986553713</v>
          </cell>
        </row>
        <row r="23">
          <cell r="E23">
            <v>76.379023820446719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Legend"/>
      <sheetName val="ACOS calc."/>
      <sheetName val="Other ARR"/>
      <sheetName val="PP summary"/>
      <sheetName val="FY 2022-23 Actual"/>
      <sheetName val="Sales_SP"/>
      <sheetName val="Sales_NP"/>
      <sheetName val="Rqmnt"/>
      <sheetName val="1. Gen"/>
      <sheetName val="2. PPC_act"/>
      <sheetName val="4. Gen_Cost"/>
      <sheetName val="3. MoD"/>
      <sheetName val="Dispatch"/>
      <sheetName val="ST,D-D"/>
      <sheetName val="POC,STU"/>
      <sheetName val="4.1 TS"/>
      <sheetName val="1.4 TS"/>
      <sheetName val="RSF"/>
      <sheetName val="BTPS FC"/>
      <sheetName val="4.1 CGS"/>
      <sheetName val="Other stns"/>
      <sheetName val="1.4 CGS"/>
      <sheetName val="PP Cost Input 20-21"/>
      <sheetName val="Rev Impact_PWW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Y7">
            <v>1639.9010000000001</v>
          </cell>
          <cell r="Z7">
            <v>1089.940047</v>
          </cell>
          <cell r="AA7">
            <v>1302.3635469999999</v>
          </cell>
          <cell r="AB7">
            <v>1367.6391233638997</v>
          </cell>
          <cell r="AC7">
            <v>1938.4984631304533</v>
          </cell>
          <cell r="AD7">
            <v>1563.7630180858923</v>
          </cell>
          <cell r="AE7">
            <v>1351.8319239977495</v>
          </cell>
          <cell r="AF7">
            <v>1155.2660073334707</v>
          </cell>
          <cell r="AG7">
            <v>1669.1705149744764</v>
          </cell>
          <cell r="AH7">
            <v>1928.2069534827031</v>
          </cell>
          <cell r="AI7">
            <v>2106.9658758081182</v>
          </cell>
          <cell r="AJ7">
            <v>2479.1508214830733</v>
          </cell>
        </row>
        <row r="9">
          <cell r="Y9">
            <v>54.676074</v>
          </cell>
          <cell r="Z9">
            <v>55.536737000000002</v>
          </cell>
          <cell r="AA9">
            <v>50.567700000000002</v>
          </cell>
          <cell r="AB9">
            <v>49.379404000000001</v>
          </cell>
          <cell r="AC9">
            <v>50.445635000000003</v>
          </cell>
          <cell r="AD9">
            <v>51.277700499999995</v>
          </cell>
          <cell r="AE9">
            <v>45.22286323359198</v>
          </cell>
          <cell r="AF9">
            <v>46.838542210833879</v>
          </cell>
          <cell r="AG9">
            <v>49.942716651653654</v>
          </cell>
          <cell r="AH9">
            <v>50.926929383881152</v>
          </cell>
          <cell r="AI9">
            <v>53.600128479853673</v>
          </cell>
          <cell r="AJ9">
            <v>67.130306699745887</v>
          </cell>
        </row>
        <row r="11">
          <cell r="Y11">
            <v>53.334620608993852</v>
          </cell>
          <cell r="Z11">
            <v>33.998711633531343</v>
          </cell>
          <cell r="AA11">
            <v>39.758954760453435</v>
          </cell>
          <cell r="AB11">
            <v>42.294948995424875</v>
          </cell>
          <cell r="AC11">
            <v>59.849574892356486</v>
          </cell>
          <cell r="AD11">
            <v>46.049842311298107</v>
          </cell>
          <cell r="AE11">
            <v>51.302021515714614</v>
          </cell>
          <cell r="AF11">
            <v>43.842344978305164</v>
          </cell>
          <cell r="AG11">
            <v>63.345021043281349</v>
          </cell>
          <cell r="AH11">
            <v>73.175453884668741</v>
          </cell>
          <cell r="AI11">
            <v>79.959354986918243</v>
          </cell>
          <cell r="AJ11">
            <v>94.083773675282828</v>
          </cell>
        </row>
        <row r="16">
          <cell r="Y16">
            <v>1531.8903053910062</v>
          </cell>
          <cell r="Z16">
            <v>1000.4045983664688</v>
          </cell>
          <cell r="AA16">
            <v>1212.0368922395464</v>
          </cell>
          <cell r="AB16">
            <v>1275.9647703684748</v>
          </cell>
          <cell r="AC16">
            <v>1828.2032532380967</v>
          </cell>
          <cell r="AD16">
            <v>1466.4354752745942</v>
          </cell>
          <cell r="AE16">
            <v>1255.3070392484428</v>
          </cell>
          <cell r="AF16">
            <v>1064.5851201443318</v>
          </cell>
          <cell r="AG16">
            <v>1555.8827772795414</v>
          </cell>
          <cell r="AH16">
            <v>1804.1045702141532</v>
          </cell>
          <cell r="AI16">
            <v>1973.4063923413462</v>
          </cell>
          <cell r="AJ16">
            <v>2317.9367411080448</v>
          </cell>
        </row>
        <row r="20">
          <cell r="Y20">
            <v>202.02283174000004</v>
          </cell>
          <cell r="Z20">
            <v>151.8007619</v>
          </cell>
          <cell r="AA20">
            <v>187.94921158</v>
          </cell>
          <cell r="AB20">
            <v>210.19893706000002</v>
          </cell>
          <cell r="AC20">
            <v>224.79858078000001</v>
          </cell>
          <cell r="AD20">
            <v>208.73916088000001</v>
          </cell>
          <cell r="AE20">
            <v>195.16559425742557</v>
          </cell>
          <cell r="AF20">
            <v>175.60547713289148</v>
          </cell>
          <cell r="AG20">
            <v>218.8734599323729</v>
          </cell>
          <cell r="AH20">
            <v>246.68042355385967</v>
          </cell>
          <cell r="AI20">
            <v>250.06506170964073</v>
          </cell>
          <cell r="AJ20">
            <v>351.67557591659948</v>
          </cell>
        </row>
        <row r="22">
          <cell r="Y22">
            <v>59.57952015477008</v>
          </cell>
          <cell r="Z22">
            <v>38.01742541374233</v>
          </cell>
          <cell r="AA22">
            <v>45.879341227917962</v>
          </cell>
          <cell r="AB22">
            <v>47.746295215336204</v>
          </cell>
          <cell r="AC22">
            <v>71.832565507917479</v>
          </cell>
          <cell r="AD22">
            <v>56.344918751438151</v>
          </cell>
          <cell r="AE22">
            <v>46.571891156117317</v>
          </cell>
          <cell r="AF22">
            <v>39.496107957354752</v>
          </cell>
          <cell r="AG22">
            <v>57.723251037071122</v>
          </cell>
          <cell r="AH22">
            <v>66.932279554945126</v>
          </cell>
          <cell r="AI22">
            <v>73.213377155864009</v>
          </cell>
          <cell r="AJ22">
            <v>85.995453095108587</v>
          </cell>
        </row>
        <row r="27">
          <cell r="Y27">
            <v>1270.287953496236</v>
          </cell>
          <cell r="Z27">
            <v>810.58641105272648</v>
          </cell>
          <cell r="AA27">
            <v>978.20833943162859</v>
          </cell>
          <cell r="AB27">
            <v>1018.0195380931386</v>
          </cell>
          <cell r="AC27">
            <v>1531.5721069501792</v>
          </cell>
          <cell r="AD27">
            <v>1201.3513956431559</v>
          </cell>
          <cell r="AE27">
            <v>1013.5695538349</v>
          </cell>
          <cell r="AF27">
            <v>849.48353505408545</v>
          </cell>
          <cell r="AG27">
            <v>1279.2860663100973</v>
          </cell>
          <cell r="AH27">
            <v>1490.4918671053485</v>
          </cell>
          <cell r="AI27">
            <v>1650.1279534758414</v>
          </cell>
          <cell r="AJ27">
            <v>1880.2657120963365</v>
          </cell>
        </row>
        <row r="28">
          <cell r="Y28">
            <v>477.77075300000001</v>
          </cell>
          <cell r="Z28">
            <v>507.77403299999997</v>
          </cell>
          <cell r="AA28">
            <v>620.48457200000007</v>
          </cell>
          <cell r="AB28">
            <v>553.32312999999999</v>
          </cell>
          <cell r="AC28">
            <v>463.05807000000027</v>
          </cell>
          <cell r="AD28">
            <v>516.02232900000001</v>
          </cell>
          <cell r="AE28">
            <v>471.34320868924698</v>
          </cell>
          <cell r="AF28">
            <v>431.49331774417874</v>
          </cell>
          <cell r="AG28">
            <v>383.43933635929795</v>
          </cell>
          <cell r="AH28">
            <v>403.22414901916045</v>
          </cell>
          <cell r="AI28">
            <v>397.03905954616698</v>
          </cell>
          <cell r="AJ28">
            <v>401.15333790804971</v>
          </cell>
        </row>
        <row r="29">
          <cell r="Y29">
            <v>727.85154749842286</v>
          </cell>
          <cell r="Z29">
            <v>259.20800000000003</v>
          </cell>
          <cell r="AA29">
            <v>305.685</v>
          </cell>
          <cell r="AB29">
            <v>410.39100000000002</v>
          </cell>
          <cell r="AC29">
            <v>996.88799999999992</v>
          </cell>
          <cell r="AD29">
            <v>623.03402437973398</v>
          </cell>
          <cell r="AE29">
            <v>497.1225</v>
          </cell>
          <cell r="AF29">
            <v>380.18819999999994</v>
          </cell>
          <cell r="AG29">
            <v>838.91850000000011</v>
          </cell>
          <cell r="AH29">
            <v>1020.94083</v>
          </cell>
          <cell r="AI29">
            <v>1179.6581999999996</v>
          </cell>
          <cell r="AJ29">
            <v>1395.4405499999998</v>
          </cell>
        </row>
        <row r="30">
          <cell r="Y30">
            <v>64.66565299781314</v>
          </cell>
          <cell r="Z30">
            <v>43.604378052726474</v>
          </cell>
          <cell r="AA30">
            <v>52.038767431628514</v>
          </cell>
          <cell r="AB30">
            <v>54.305408093138624</v>
          </cell>
          <cell r="AC30">
            <v>71.626036950179014</v>
          </cell>
          <cell r="AD30">
            <v>62.295042263421919</v>
          </cell>
          <cell r="AE30">
            <v>45.103845145653111</v>
          </cell>
          <cell r="AF30">
            <v>37.802017309906773</v>
          </cell>
          <cell r="AG30">
            <v>56.928229950799278</v>
          </cell>
          <cell r="AH30">
            <v>66.326888086188092</v>
          </cell>
          <cell r="AI30">
            <v>73.430693929674817</v>
          </cell>
          <cell r="AJ30">
            <v>83.671824188287019</v>
          </cell>
        </row>
        <row r="37">
          <cell r="Y37">
            <v>357.64328812000002</v>
          </cell>
          <cell r="Z37">
            <v>169.47063178000002</v>
          </cell>
          <cell r="AA37">
            <v>127.54531445999999</v>
          </cell>
          <cell r="AB37">
            <v>380.26127379000002</v>
          </cell>
          <cell r="AC37">
            <v>126.35375582000002</v>
          </cell>
          <cell r="AD37">
            <v>175.13891323999999</v>
          </cell>
          <cell r="AE37">
            <v>163.16562351003077</v>
          </cell>
          <cell r="AF37">
            <v>130.6723330417411</v>
          </cell>
          <cell r="AG37">
            <v>132.12502561848939</v>
          </cell>
          <cell r="AH37">
            <v>212.34578099726122</v>
          </cell>
          <cell r="AI37">
            <v>393.01532908663694</v>
          </cell>
          <cell r="AJ37">
            <v>799.99447458762427</v>
          </cell>
        </row>
        <row r="47">
          <cell r="Y47">
            <v>47.025095830870015</v>
          </cell>
          <cell r="Z47">
            <v>28.988992606189257</v>
          </cell>
          <cell r="AA47">
            <v>31.567898004431729</v>
          </cell>
          <cell r="AB47">
            <v>40.965018007188931</v>
          </cell>
          <cell r="AC47">
            <v>48.609622349908321</v>
          </cell>
          <cell r="AD47">
            <v>42.5773549417978</v>
          </cell>
          <cell r="AE47">
            <v>38.846090961737957</v>
          </cell>
          <cell r="AF47">
            <v>32.97277795833876</v>
          </cell>
          <cell r="AG47">
            <v>46.187065143409377</v>
          </cell>
          <cell r="AH47">
            <v>54.885967550768314</v>
          </cell>
          <cell r="AI47">
            <v>64.102082176788599</v>
          </cell>
          <cell r="AJ47">
            <v>84.080648617197369</v>
          </cell>
        </row>
        <row r="48">
          <cell r="Y48">
            <v>361.60233686838848</v>
          </cell>
          <cell r="Z48">
            <v>282.80178656567193</v>
          </cell>
          <cell r="AA48">
            <v>346.69695127863645</v>
          </cell>
          <cell r="AB48">
            <v>325.38277274161595</v>
          </cell>
          <cell r="AC48">
            <v>368.30306145671352</v>
          </cell>
          <cell r="AD48">
            <v>427.16944345711352</v>
          </cell>
          <cell r="AE48">
            <v>286.16513704614334</v>
          </cell>
          <cell r="AF48">
            <v>433.89608054648392</v>
          </cell>
          <cell r="AG48">
            <v>521.35456097324641</v>
          </cell>
          <cell r="AH48">
            <v>669.40043291546135</v>
          </cell>
          <cell r="AI48">
            <v>659.25030049561997</v>
          </cell>
          <cell r="AJ48">
            <v>718.35364589870278</v>
          </cell>
        </row>
        <row r="49">
          <cell r="Y49">
            <v>165.99635273600001</v>
          </cell>
          <cell r="Z49">
            <v>162.09837724100001</v>
          </cell>
          <cell r="AA49">
            <v>166.16171139374998</v>
          </cell>
          <cell r="AB49">
            <v>170.79328270749997</v>
          </cell>
          <cell r="AC49">
            <v>166.94892167374996</v>
          </cell>
          <cell r="AD49">
            <v>158.10694217099999</v>
          </cell>
          <cell r="AE49">
            <v>155.4570238085</v>
          </cell>
          <cell r="AF49">
            <v>132.35995778249992</v>
          </cell>
          <cell r="AG49">
            <v>122.51848065140187</v>
          </cell>
          <cell r="AH49">
            <v>183.93021059999998</v>
          </cell>
          <cell r="AI49">
            <v>168.03498540000001</v>
          </cell>
          <cell r="AJ49">
            <v>183.93021059999998</v>
          </cell>
        </row>
        <row r="52">
          <cell r="Y52">
            <v>20.73462850145247</v>
          </cell>
          <cell r="Z52">
            <v>15.927425864278854</v>
          </cell>
          <cell r="AA52">
            <v>16.873050001921513</v>
          </cell>
          <cell r="AB52">
            <v>17.415779546263966</v>
          </cell>
          <cell r="AC52">
            <v>18.037991831496619</v>
          </cell>
          <cell r="AD52">
            <v>20.484673496983977</v>
          </cell>
          <cell r="AE52">
            <v>17.304228336154441</v>
          </cell>
          <cell r="AF52">
            <v>22.187799101857347</v>
          </cell>
          <cell r="AG52">
            <v>25.229092014325804</v>
          </cell>
          <cell r="AH52">
            <v>33.436339048414162</v>
          </cell>
          <cell r="AI52">
            <v>32.415795119010042</v>
          </cell>
          <cell r="AJ52">
            <v>35.354489110474169</v>
          </cell>
        </row>
        <row r="55">
          <cell r="Y55">
            <v>2065.3040124523227</v>
          </cell>
          <cell r="Z55">
            <v>1304.3270972504681</v>
          </cell>
          <cell r="AA55">
            <v>1478.3498094663532</v>
          </cell>
          <cell r="AB55">
            <v>1806.2811947073526</v>
          </cell>
          <cell r="AC55">
            <v>2131.4998331318584</v>
          </cell>
          <cell r="AD55">
            <v>1801.9639597646742</v>
          </cell>
          <cell r="AE55">
            <v>1571.1478668056727</v>
          </cell>
          <cell r="AF55">
            <v>1341.0989174354079</v>
          </cell>
          <cell r="AG55">
            <v>1872.711697750701</v>
          </cell>
          <cell r="AH55">
            <v>2228.8750410791467</v>
          </cell>
          <cell r="AI55">
            <v>2596.499082190554</v>
          </cell>
          <cell r="AJ55">
            <v>3398.5804337983691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1050.4895000000001</v>
          </cell>
        </row>
      </sheetData>
      <sheetData sheetId="23"/>
      <sheetData sheetId="24"/>
      <sheetData sheetId="25">
        <row r="7">
          <cell r="L7">
            <v>4960.8614905432614</v>
          </cell>
          <cell r="Y7">
            <v>1915.0230769717396</v>
          </cell>
          <cell r="Z7">
            <v>1202.3736764031535</v>
          </cell>
          <cell r="AA7">
            <v>1262.8848601296495</v>
          </cell>
          <cell r="AB7">
            <v>1306.6037239318832</v>
          </cell>
          <cell r="AC7">
            <v>1774.5288790300797</v>
          </cell>
          <cell r="AD7">
            <v>1683.7686594378295</v>
          </cell>
          <cell r="AE7">
            <v>1493.9994684723661</v>
          </cell>
          <cell r="AF7">
            <v>1315.6588562946915</v>
          </cell>
          <cell r="AG7">
            <v>1853.8112149080873</v>
          </cell>
          <cell r="AH7">
            <v>2025.5917399586376</v>
          </cell>
          <cell r="AI7">
            <v>2270.0011446786157</v>
          </cell>
          <cell r="AJ7">
            <v>2541.2352601372686</v>
          </cell>
        </row>
        <row r="9">
          <cell r="Y9">
            <v>66.486750779731622</v>
          </cell>
          <cell r="Z9">
            <v>67.642909677457169</v>
          </cell>
          <cell r="AA9">
            <v>62.271300332090831</v>
          </cell>
          <cell r="AB9">
            <v>61.198128591320469</v>
          </cell>
          <cell r="AC9">
            <v>62.404914618688125</v>
          </cell>
          <cell r="AD9">
            <v>62.779594091361162</v>
          </cell>
          <cell r="AE9">
            <v>62.042741811206582</v>
          </cell>
          <cell r="AF9">
            <v>61.950158003252582</v>
          </cell>
          <cell r="AG9">
            <v>60.710454930945971</v>
          </cell>
          <cell r="AH9">
            <v>71.377460582612244</v>
          </cell>
          <cell r="AI9">
            <v>66.640797059744827</v>
          </cell>
          <cell r="AJ9">
            <v>77.821905332042533</v>
          </cell>
        </row>
        <row r="11">
          <cell r="Y11">
            <v>56.87618538606057</v>
          </cell>
          <cell r="Z11">
            <v>35.710498189173677</v>
          </cell>
          <cell r="AA11">
            <v>37.507680345850531</v>
          </cell>
          <cell r="AB11">
            <v>38.806130600776896</v>
          </cell>
          <cell r="AC11">
            <v>52.703507707193239</v>
          </cell>
          <cell r="AD11">
            <v>50.00792918530351</v>
          </cell>
          <cell r="AE11">
            <v>44.371784213629098</v>
          </cell>
          <cell r="AF11">
            <v>39.075068031952242</v>
          </cell>
          <cell r="AG11">
            <v>55.058193082770003</v>
          </cell>
          <cell r="AH11">
            <v>60.160074676771501</v>
          </cell>
          <cell r="AI11">
            <v>67.419033996954568</v>
          </cell>
          <cell r="AJ11">
            <v>75.474687226076639</v>
          </cell>
        </row>
        <row r="19">
          <cell r="Y19">
            <v>1791.6601408059473</v>
          </cell>
          <cell r="Z19">
            <v>1099.0202685365225</v>
          </cell>
          <cell r="AA19">
            <v>1163.1058794517082</v>
          </cell>
          <cell r="AB19">
            <v>1206.5994647397858</v>
          </cell>
          <cell r="AC19">
            <v>1659.4204567041984</v>
          </cell>
          <cell r="AD19">
            <v>1570.9811361611648</v>
          </cell>
          <cell r="AE19">
            <v>1387.5849424475305</v>
          </cell>
          <cell r="AF19">
            <v>1214.6336302594866</v>
          </cell>
          <cell r="AG19">
            <v>1738.0425668943712</v>
          </cell>
          <cell r="AH19">
            <v>1894.0542046992539</v>
          </cell>
          <cell r="AI19">
            <v>2135.9413136219164</v>
          </cell>
          <cell r="AJ19">
            <v>2387.9386675791493</v>
          </cell>
        </row>
        <row r="20">
          <cell r="Y20">
            <v>234.13761035751676</v>
          </cell>
          <cell r="Z20">
            <v>177.7353158318432</v>
          </cell>
          <cell r="AA20">
            <v>218.6416516475808</v>
          </cell>
          <cell r="AB20">
            <v>243.01298935497942</v>
          </cell>
          <cell r="AC20">
            <v>259.57108228642977</v>
          </cell>
          <cell r="AD20">
            <v>241.36225938098346</v>
          </cell>
          <cell r="AE20">
            <v>251.0047656316506</v>
          </cell>
          <cell r="AF20">
            <v>205.93410147111001</v>
          </cell>
          <cell r="AG20">
            <v>277.65505599786957</v>
          </cell>
          <cell r="AH20">
            <v>296.98346528292427</v>
          </cell>
          <cell r="AI20">
            <v>296.34975126765676</v>
          </cell>
          <cell r="AJ20">
            <v>298.24033317190555</v>
          </cell>
        </row>
        <row r="22">
          <cell r="Y22">
            <v>66.470591223900783</v>
          </cell>
          <cell r="Z22">
            <v>40.773651962705117</v>
          </cell>
          <cell r="AA22">
            <v>43.151228127658442</v>
          </cell>
          <cell r="AB22">
            <v>44.76484014184598</v>
          </cell>
          <cell r="AC22">
            <v>61.564498943725766</v>
          </cell>
          <cell r="AD22">
            <v>58.283400151579144</v>
          </cell>
          <cell r="AE22">
            <v>51.47940136480338</v>
          </cell>
          <cell r="AF22">
            <v>45.062907682626928</v>
          </cell>
          <cell r="AG22">
            <v>64.481379231781148</v>
          </cell>
          <cell r="AH22">
            <v>70.269410994342252</v>
          </cell>
          <cell r="AI22">
            <v>79.243422735373315</v>
          </cell>
          <cell r="AJ22">
            <v>88.592524567186501</v>
          </cell>
        </row>
        <row r="27">
          <cell r="Y27">
            <v>1491.0519392245299</v>
          </cell>
          <cell r="Z27">
            <v>880.51130074197431</v>
          </cell>
          <cell r="AA27">
            <v>901.31299967646896</v>
          </cell>
          <cell r="AB27">
            <v>918.8216352429605</v>
          </cell>
          <cell r="AC27">
            <v>1338.2848754740428</v>
          </cell>
          <cell r="AD27">
            <v>1271.3354766286022</v>
          </cell>
          <cell r="AE27">
            <v>1085.1007754510765</v>
          </cell>
          <cell r="AF27">
            <v>963.63662110574955</v>
          </cell>
          <cell r="AG27">
            <v>1395.9061316647205</v>
          </cell>
          <cell r="AH27">
            <v>1526.8013284219874</v>
          </cell>
          <cell r="AI27">
            <v>1760.3481396188861</v>
          </cell>
          <cell r="AJ27">
            <v>2001.1058098400574</v>
          </cell>
        </row>
        <row r="28">
          <cell r="Y28">
            <v>523.39839745083691</v>
          </cell>
          <cell r="Z28">
            <v>556.40909843951351</v>
          </cell>
          <cell r="AA28">
            <v>679.97893471537213</v>
          </cell>
          <cell r="AB28">
            <v>606.5493657938689</v>
          </cell>
          <cell r="AC28">
            <v>507.70650037200119</v>
          </cell>
          <cell r="AD28">
            <v>565.73499481269812</v>
          </cell>
          <cell r="AE28">
            <v>521.3171591425546</v>
          </cell>
          <cell r="AF28">
            <v>526.24691378741625</v>
          </cell>
          <cell r="AG28">
            <v>464.73307278715231</v>
          </cell>
          <cell r="AH28">
            <v>401.58621363039538</v>
          </cell>
          <cell r="AI28">
            <v>460.38226443731992</v>
          </cell>
          <cell r="AJ28">
            <v>467.12883077566221</v>
          </cell>
        </row>
        <row r="29">
          <cell r="Y29">
            <v>898.31962659975238</v>
          </cell>
          <cell r="Z29">
            <v>283.15842681795903</v>
          </cell>
          <cell r="AA29">
            <v>179.42301047614106</v>
          </cell>
          <cell r="AB29">
            <v>269.5470634102939</v>
          </cell>
          <cell r="AC29">
            <v>768.34812839249855</v>
          </cell>
          <cell r="AD29">
            <v>646.48338215267415</v>
          </cell>
          <cell r="AE29">
            <v>513.32643025004677</v>
          </cell>
          <cell r="AF29">
            <v>392.58060443691602</v>
          </cell>
          <cell r="AG29">
            <v>866.26342375515867</v>
          </cell>
          <cell r="AH29">
            <v>1054.2188530199696</v>
          </cell>
          <cell r="AI29">
            <v>1218.1096866892881</v>
          </cell>
          <cell r="AJ29">
            <v>1440.9255589068325</v>
          </cell>
        </row>
        <row r="30">
          <cell r="Y30">
            <v>69.333915173940568</v>
          </cell>
          <cell r="Z30">
            <v>40.943775484501771</v>
          </cell>
          <cell r="AA30">
            <v>41.91105448495577</v>
          </cell>
          <cell r="AB30">
            <v>42.725206038797694</v>
          </cell>
          <cell r="AC30">
            <v>62.230246709543053</v>
          </cell>
          <cell r="AD30">
            <v>59.117099663229965</v>
          </cell>
          <cell r="AE30">
            <v>50.457186058475145</v>
          </cell>
          <cell r="AF30">
            <v>44.809102881417289</v>
          </cell>
          <cell r="AG30">
            <v>64.909635122409554</v>
          </cell>
          <cell r="AH30">
            <v>70.996261771622358</v>
          </cell>
          <cell r="AI30">
            <v>81.856188492278079</v>
          </cell>
          <cell r="AJ30">
            <v>93.051420157562688</v>
          </cell>
        </row>
        <row r="37">
          <cell r="Y37">
            <v>373.52198799598858</v>
          </cell>
          <cell r="Z37">
            <v>181.34259852040014</v>
          </cell>
          <cell r="AA37">
            <v>138.50599763128096</v>
          </cell>
          <cell r="AB37">
            <v>396.31308511941262</v>
          </cell>
          <cell r="AC37">
            <v>137.4459193873694</v>
          </cell>
          <cell r="AD37">
            <v>186.97202504618028</v>
          </cell>
          <cell r="AE37">
            <v>203.68451932254339</v>
          </cell>
          <cell r="AF37">
            <v>270.71178607226773</v>
          </cell>
          <cell r="AG37">
            <v>144.49676346877729</v>
          </cell>
          <cell r="AH37">
            <v>243.98831815695223</v>
          </cell>
          <cell r="AI37">
            <v>258.01536800760334</v>
          </cell>
          <cell r="AJ37">
            <v>275.18263566505249</v>
          </cell>
        </row>
        <row r="46">
          <cell r="Y46">
            <v>2346.2631381666274</v>
          </cell>
          <cell r="Z46">
            <v>1418.6141838461695</v>
          </cell>
          <cell r="AA46">
            <v>1436.7345271282863</v>
          </cell>
          <cell r="AB46">
            <v>1745.8650902719867</v>
          </cell>
          <cell r="AC46">
            <v>1960.1956104341289</v>
          </cell>
          <cell r="AD46">
            <v>1917.9215547303772</v>
          </cell>
          <cell r="AE46">
            <v>1740.5002950532187</v>
          </cell>
          <cell r="AF46">
            <v>1626.3795800358409</v>
          </cell>
          <cell r="AG46">
            <v>2048.7061496584629</v>
          </cell>
          <cell r="AH46">
            <v>2326.8198258310335</v>
          </cell>
          <cell r="AI46">
            <v>2591.7741569471182</v>
          </cell>
          <cell r="AJ46">
            <v>2887.4491447635037</v>
          </cell>
        </row>
        <row r="47">
          <cell r="Y47">
            <v>57.718073198899191</v>
          </cell>
          <cell r="Z47">
            <v>34.897908922615862</v>
          </cell>
          <cell r="AA47">
            <v>35.343669367355936</v>
          </cell>
          <cell r="AB47">
            <v>42.948281220690987</v>
          </cell>
          <cell r="AC47">
            <v>48.220812016679702</v>
          </cell>
          <cell r="AD47">
            <v>47.180870246367405</v>
          </cell>
          <cell r="AE47">
            <v>42.816307258309294</v>
          </cell>
          <cell r="AF47">
            <v>40.008937668881792</v>
          </cell>
          <cell r="AG47">
            <v>50.398171281598323</v>
          </cell>
          <cell r="AH47">
            <v>57.239767715443577</v>
          </cell>
          <cell r="AI47">
            <v>63.757644260899276</v>
          </cell>
          <cell r="AJ47">
            <v>71.031248961182385</v>
          </cell>
        </row>
        <row r="48">
          <cell r="Y48">
            <v>306.88663838954807</v>
          </cell>
          <cell r="Z48">
            <v>311.43502552720895</v>
          </cell>
          <cell r="AA48">
            <v>272.69162927753302</v>
          </cell>
          <cell r="AB48">
            <v>297.02700246635197</v>
          </cell>
          <cell r="AC48">
            <v>312.54748616724703</v>
          </cell>
          <cell r="AD48">
            <v>293.71625718184799</v>
          </cell>
          <cell r="AE48">
            <v>294.65312211265893</v>
          </cell>
          <cell r="AF48">
            <v>294.370388389548</v>
          </cell>
          <cell r="AG48">
            <v>294.05234211265901</v>
          </cell>
          <cell r="AH48">
            <v>312.43503211265903</v>
          </cell>
          <cell r="AI48">
            <v>288.33016594332594</v>
          </cell>
          <cell r="AJ48">
            <v>319.03183211265895</v>
          </cell>
        </row>
        <row r="49">
          <cell r="Y49">
            <v>48.654344999999999</v>
          </cell>
          <cell r="Z49">
            <v>50.27704</v>
          </cell>
          <cell r="AA49">
            <v>48.654344999999999</v>
          </cell>
          <cell r="AB49">
            <v>50.27704</v>
          </cell>
          <cell r="AC49">
            <v>50.27704</v>
          </cell>
          <cell r="AD49">
            <v>48.654344999999999</v>
          </cell>
          <cell r="AE49">
            <v>50.27704</v>
          </cell>
          <cell r="AF49">
            <v>38.320340000000002</v>
          </cell>
          <cell r="AG49">
            <v>45.108564999999992</v>
          </cell>
          <cell r="AH49">
            <v>50.27704</v>
          </cell>
          <cell r="AI49">
            <v>45.411899999999996</v>
          </cell>
          <cell r="AJ49">
            <v>50.27704</v>
          </cell>
        </row>
        <row r="52">
          <cell r="Y52">
            <v>13.972760647209238</v>
          </cell>
          <cell r="Z52">
            <v>12.94929194587408</v>
          </cell>
          <cell r="AA52">
            <v>10.572282553730835</v>
          </cell>
          <cell r="AB52">
            <v>12.190371890568954</v>
          </cell>
          <cell r="AC52">
            <v>12.227186531836225</v>
          </cell>
          <cell r="AD52">
            <v>11.982971076364681</v>
          </cell>
          <cell r="AE52">
            <v>11.451681382140277</v>
          </cell>
          <cell r="AF52">
            <v>10.903938622967434</v>
          </cell>
          <cell r="AG52">
            <v>13.362939740238764</v>
          </cell>
          <cell r="AH52">
            <v>14.091364001576805</v>
          </cell>
          <cell r="AI52">
            <v>12.532014576171889</v>
          </cell>
          <cell r="AJ52">
            <v>13.128930403605025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</sheetData>
      <sheetData sheetId="30">
        <row r="16">
          <cell r="D16" t="e">
            <v>#REF!</v>
          </cell>
        </row>
      </sheetData>
      <sheetData sheetId="31">
        <row r="4">
          <cell r="F4">
            <v>60.166021886070951</v>
          </cell>
        </row>
      </sheetData>
      <sheetData sheetId="32"/>
      <sheetData sheetId="33"/>
      <sheetData sheetId="34"/>
      <sheetData sheetId="35"/>
      <sheetData sheetId="36"/>
      <sheetData sheetId="37">
        <row r="4">
          <cell r="F4">
            <v>25.11536987306576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Source wise - Cost"/>
      <sheetName val="TGSPDCL MoD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1141.4213950000001</v>
          </cell>
          <cell r="J59">
            <v>476.46860500000003</v>
          </cell>
        </row>
        <row r="60">
          <cell r="J60">
            <v>11.679869999999998</v>
          </cell>
        </row>
      </sheetData>
      <sheetData sheetId="23"/>
      <sheetData sheetId="24"/>
      <sheetData sheetId="25">
        <row r="7">
          <cell r="L7">
            <v>5395.3408312414676</v>
          </cell>
          <cell r="Y7">
            <v>1982.9377357590397</v>
          </cell>
          <cell r="Z7">
            <v>1257.9593305761707</v>
          </cell>
          <cell r="AA7">
            <v>1325.7496609743555</v>
          </cell>
          <cell r="AB7">
            <v>1368.2831013637776</v>
          </cell>
          <cell r="AC7">
            <v>1841.0984217549094</v>
          </cell>
          <cell r="AD7">
            <v>1749.9016275997583</v>
          </cell>
          <cell r="AE7">
            <v>1556.9087359446439</v>
          </cell>
          <cell r="AF7">
            <v>1374.0688648965679</v>
          </cell>
          <cell r="AG7">
            <v>1921.6312119191909</v>
          </cell>
          <cell r="AH7">
            <v>2094.9145396551717</v>
          </cell>
          <cell r="AI7">
            <v>2343.9493880625728</v>
          </cell>
          <cell r="AJ7">
            <v>2619.9922693192038</v>
          </cell>
        </row>
        <row r="9">
          <cell r="Y9">
            <v>69.346618677964045</v>
          </cell>
          <cell r="Z9">
            <v>70.537991921814637</v>
          </cell>
          <cell r="AA9">
            <v>65.126674154528175</v>
          </cell>
          <cell r="AB9">
            <v>63.979060876511056</v>
          </cell>
          <cell r="AC9">
            <v>65.299376574939203</v>
          </cell>
          <cell r="AD9">
            <v>65.48495040030248</v>
          </cell>
          <cell r="AE9">
            <v>64.919264814931324</v>
          </cell>
          <cell r="AF9">
            <v>64.808763875496908</v>
          </cell>
          <cell r="AG9">
            <v>63.489602395511767</v>
          </cell>
          <cell r="AH9">
            <v>74.326498792455837</v>
          </cell>
          <cell r="AI9">
            <v>69.387774177746124</v>
          </cell>
          <cell r="AJ9">
            <v>81.300069191163715</v>
          </cell>
        </row>
        <row r="11">
          <cell r="Y11">
            <v>58.496663204891547</v>
          </cell>
          <cell r="Z11">
            <v>37.109800251997058</v>
          </cell>
          <cell r="AA11">
            <v>39.109614998743382</v>
          </cell>
          <cell r="AB11">
            <v>40.364351490231456</v>
          </cell>
          <cell r="AC11">
            <v>54.312403441769675</v>
          </cell>
          <cell r="AD11">
            <v>51.622098014192716</v>
          </cell>
          <cell r="AE11">
            <v>45.928807710366982</v>
          </cell>
          <cell r="AF11">
            <v>40.535031514448747</v>
          </cell>
          <cell r="AG11">
            <v>56.688120751615998</v>
          </cell>
          <cell r="AH11">
            <v>61.799978919827481</v>
          </cell>
          <cell r="AI11">
            <v>69.146506947845864</v>
          </cell>
          <cell r="AJ11">
            <v>77.289771944916538</v>
          </cell>
        </row>
        <row r="19">
          <cell r="Y19">
            <v>1855.0944538761842</v>
          </cell>
          <cell r="Z19">
            <v>1150.311538402359</v>
          </cell>
          <cell r="AA19">
            <v>1221.5133718210839</v>
          </cell>
          <cell r="AB19">
            <v>1263.9396889970351</v>
          </cell>
          <cell r="AC19">
            <v>1721.4866417382004</v>
          </cell>
          <cell r="AD19">
            <v>1632.794579185263</v>
          </cell>
          <cell r="AE19">
            <v>1446.0606634193457</v>
          </cell>
          <cell r="AF19">
            <v>1268.7250695066223</v>
          </cell>
          <cell r="AG19">
            <v>1801.4534887720631</v>
          </cell>
          <cell r="AH19">
            <v>1958.7880619428884</v>
          </cell>
          <cell r="AI19">
            <v>2205.4151069369809</v>
          </cell>
          <cell r="AJ19">
            <v>2461.4024281831234</v>
          </cell>
        </row>
        <row r="20">
          <cell r="Y20">
            <v>255.39140482634531</v>
          </cell>
          <cell r="Z20">
            <v>195.56926846693642</v>
          </cell>
          <cell r="AA20">
            <v>239.50424613981744</v>
          </cell>
          <cell r="AB20">
            <v>264.54156083582666</v>
          </cell>
          <cell r="AC20">
            <v>282.42808122049541</v>
          </cell>
          <cell r="AD20">
            <v>262.90777578417038</v>
          </cell>
          <cell r="AE20">
            <v>273.42287973518717</v>
          </cell>
          <cell r="AF20">
            <v>225.83964237561813</v>
          </cell>
          <cell r="AG20">
            <v>301.9246810023995</v>
          </cell>
          <cell r="AH20">
            <v>322.71328318622</v>
          </cell>
          <cell r="AI20">
            <v>321.5806971324339</v>
          </cell>
          <cell r="AJ20">
            <v>323.15707674964597</v>
          </cell>
        </row>
        <row r="22">
          <cell r="Y22">
            <v>68.267475902643582</v>
          </cell>
          <cell r="Z22">
            <v>42.331464613206663</v>
          </cell>
          <cell r="AA22">
            <v>44.951692083015814</v>
          </cell>
          <cell r="AB22">
            <v>46.512980555090735</v>
          </cell>
          <cell r="AC22">
            <v>63.350708415965755</v>
          </cell>
          <cell r="AD22">
            <v>60.086840514017695</v>
          </cell>
          <cell r="AE22">
            <v>53.21503241383175</v>
          </cell>
          <cell r="AF22">
            <v>46.689082557843676</v>
          </cell>
          <cell r="AG22">
            <v>66.293488386811759</v>
          </cell>
          <cell r="AH22">
            <v>72.083400679498254</v>
          </cell>
          <cell r="AI22">
            <v>81.159275935280675</v>
          </cell>
          <cell r="AJ22">
            <v>90.579609357138906</v>
          </cell>
        </row>
        <row r="27">
          <cell r="Y27">
            <v>1531.4355731471953</v>
          </cell>
          <cell r="Z27">
            <v>912.41080532221588</v>
          </cell>
          <cell r="AA27">
            <v>937.05743359825067</v>
          </cell>
          <cell r="AB27">
            <v>952.8851476061177</v>
          </cell>
          <cell r="AC27">
            <v>1375.7078521017393</v>
          </cell>
          <cell r="AD27">
            <v>1309.799962887075</v>
          </cell>
          <cell r="AE27">
            <v>1119.4227512703269</v>
          </cell>
          <cell r="AF27">
            <v>996.19634457316056</v>
          </cell>
          <cell r="AG27">
            <v>1433.2353193828519</v>
          </cell>
          <cell r="AH27">
            <v>1563.9913780771701</v>
          </cell>
          <cell r="AI27">
            <v>1802.6751338692663</v>
          </cell>
          <cell r="AJ27">
            <v>2047.6657420763386</v>
          </cell>
        </row>
        <row r="28">
          <cell r="Y28">
            <v>548.85633381979846</v>
          </cell>
          <cell r="Z28">
            <v>582.927317934759</v>
          </cell>
          <cell r="AA28">
            <v>711.77077048253432</v>
          </cell>
          <cell r="AB28">
            <v>635.36050756590976</v>
          </cell>
          <cell r="AC28">
            <v>532.26217458338169</v>
          </cell>
          <cell r="AD28">
            <v>593.12472437911413</v>
          </cell>
          <cell r="AE28">
            <v>546.70938796397115</v>
          </cell>
          <cell r="AF28">
            <v>551.75394587148219</v>
          </cell>
          <cell r="AG28">
            <v>487.72242692466307</v>
          </cell>
          <cell r="AH28">
            <v>421.61806285975626</v>
          </cell>
          <cell r="AI28">
            <v>482.91136180121384</v>
          </cell>
          <cell r="AJ28">
            <v>490.39026150670338</v>
          </cell>
        </row>
        <row r="29">
          <cell r="Y29">
            <v>912.13320296262577</v>
          </cell>
          <cell r="Z29">
            <v>287.51259034263484</v>
          </cell>
          <cell r="AA29">
            <v>182.18202117019672</v>
          </cell>
          <cell r="AB29">
            <v>273.69192325032645</v>
          </cell>
          <cell r="AC29">
            <v>780.16311632167753</v>
          </cell>
          <cell r="AD29">
            <v>656.42444021515541</v>
          </cell>
          <cell r="AE29">
            <v>521.21991674792059</v>
          </cell>
          <cell r="AF29">
            <v>398.61736685131291</v>
          </cell>
          <cell r="AG29">
            <v>879.58406776657762</v>
          </cell>
          <cell r="AH29">
            <v>1070.4297118258639</v>
          </cell>
          <cell r="AI29">
            <v>1236.8407159100661</v>
          </cell>
          <cell r="AJ29">
            <v>1463.0828564341236</v>
          </cell>
        </row>
        <row r="30">
          <cell r="Y30">
            <v>70.446036364771089</v>
          </cell>
          <cell r="Z30">
            <v>41.970897044822038</v>
          </cell>
          <cell r="AA30">
            <v>43.104641945519631</v>
          </cell>
          <cell r="AB30">
            <v>43.832716789881488</v>
          </cell>
          <cell r="AC30">
            <v>63.282561196680035</v>
          </cell>
          <cell r="AD30">
            <v>60.250798292805484</v>
          </cell>
          <cell r="AE30">
            <v>51.493446558435153</v>
          </cell>
          <cell r="AF30">
            <v>45.825031850365463</v>
          </cell>
          <cell r="AG30">
            <v>65.928824691611226</v>
          </cell>
          <cell r="AH30">
            <v>71.943603391549914</v>
          </cell>
          <cell r="AI30">
            <v>82.923056157986366</v>
          </cell>
          <cell r="AJ30">
            <v>94.192624135511551</v>
          </cell>
        </row>
        <row r="37">
          <cell r="Y37">
            <v>390.53339697585562</v>
          </cell>
          <cell r="Z37">
            <v>194.2533026163</v>
          </cell>
          <cell r="AA37">
            <v>150.37210232579753</v>
          </cell>
          <cell r="AB37">
            <v>413.40708913092107</v>
          </cell>
          <cell r="AC37">
            <v>149.47730453639511</v>
          </cell>
          <cell r="AD37">
            <v>199.53010358048749</v>
          </cell>
          <cell r="AE37">
            <v>217.06418100609312</v>
          </cell>
          <cell r="AF37">
            <v>285.56898583280901</v>
          </cell>
          <cell r="AG37">
            <v>156.67132311050787</v>
          </cell>
          <cell r="AH37">
            <v>258.48946472349337</v>
          </cell>
          <cell r="AI37">
            <v>272.29670268168587</v>
          </cell>
          <cell r="AJ37">
            <v>290.53475021999446</v>
          </cell>
        </row>
        <row r="46">
          <cell r="Y46">
            <v>2432.8322393756616</v>
          </cell>
          <cell r="Z46">
            <v>1488.532834350626</v>
          </cell>
          <cell r="AA46">
            <v>1513.0399377820345</v>
          </cell>
          <cell r="AB46">
            <v>1826.2507077641437</v>
          </cell>
          <cell r="AC46">
            <v>2040.3605230538176</v>
          </cell>
          <cell r="AD46">
            <v>1998.1875063348152</v>
          </cell>
          <cell r="AE46">
            <v>1818.3404232787382</v>
          </cell>
          <cell r="AF46">
            <v>1701.1458084556957</v>
          </cell>
          <cell r="AG46">
            <v>2130.2814012194535</v>
          </cell>
          <cell r="AH46">
            <v>2412.2632271204029</v>
          </cell>
          <cell r="AI46">
            <v>2681.6790598034631</v>
          </cell>
          <cell r="AJ46">
            <v>2983.3200282279604</v>
          </cell>
        </row>
        <row r="47">
          <cell r="Y47">
            <v>59.361106640766089</v>
          </cell>
          <cell r="Z47">
            <v>36.320201158155243</v>
          </cell>
          <cell r="AA47">
            <v>36.918174481881607</v>
          </cell>
          <cell r="AB47">
            <v>44.560517269445064</v>
          </cell>
          <cell r="AC47">
            <v>49.784796762513103</v>
          </cell>
          <cell r="AD47">
            <v>48.755775154569449</v>
          </cell>
          <cell r="AE47">
            <v>44.36750632800117</v>
          </cell>
          <cell r="AF47">
            <v>41.507957726318935</v>
          </cell>
          <cell r="AG47">
            <v>51.978866189754619</v>
          </cell>
          <cell r="AH47">
            <v>58.859222741737774</v>
          </cell>
          <cell r="AI47">
            <v>65.432969059204439</v>
          </cell>
          <cell r="AJ47">
            <v>72.793008688762171</v>
          </cell>
        </row>
        <row r="48">
          <cell r="Y48">
            <v>306.88663838954807</v>
          </cell>
          <cell r="Z48">
            <v>311.43502552720895</v>
          </cell>
          <cell r="AA48">
            <v>272.69162927753302</v>
          </cell>
          <cell r="AB48">
            <v>297.02700246635197</v>
          </cell>
          <cell r="AC48">
            <v>312.54748616724703</v>
          </cell>
          <cell r="AD48">
            <v>293.71625718184799</v>
          </cell>
          <cell r="AE48">
            <v>317.61823211265892</v>
          </cell>
          <cell r="AF48">
            <v>294.370388389548</v>
          </cell>
          <cell r="AG48">
            <v>294.05234211265901</v>
          </cell>
          <cell r="AH48">
            <v>312.43503211265903</v>
          </cell>
          <cell r="AI48">
            <v>288.33016594332594</v>
          </cell>
          <cell r="AJ48">
            <v>319.03183211265895</v>
          </cell>
        </row>
        <row r="49">
          <cell r="Y49">
            <v>48.654344999999999</v>
          </cell>
          <cell r="Z49">
            <v>50.27704</v>
          </cell>
          <cell r="AA49">
            <v>48.654344999999999</v>
          </cell>
          <cell r="AB49">
            <v>50.27704</v>
          </cell>
          <cell r="AC49">
            <v>50.27704</v>
          </cell>
          <cell r="AD49">
            <v>48.654344999999999</v>
          </cell>
          <cell r="AE49">
            <v>50.27704</v>
          </cell>
          <cell r="AF49">
            <v>38.320340000000002</v>
          </cell>
          <cell r="AG49">
            <v>45.108564999999992</v>
          </cell>
          <cell r="AH49">
            <v>50.27704</v>
          </cell>
          <cell r="AI49">
            <v>45.411899999999996</v>
          </cell>
          <cell r="AJ49">
            <v>50.27704</v>
          </cell>
        </row>
        <row r="52">
          <cell r="Y52">
            <v>13.972760647209238</v>
          </cell>
          <cell r="Z52">
            <v>12.94929194587408</v>
          </cell>
          <cell r="AA52">
            <v>10.572282553730835</v>
          </cell>
          <cell r="AB52">
            <v>12.190371890568954</v>
          </cell>
          <cell r="AC52">
            <v>12.227186531836225</v>
          </cell>
          <cell r="AD52">
            <v>11.982971076364681</v>
          </cell>
          <cell r="AE52">
            <v>12.214123034140275</v>
          </cell>
          <cell r="AF52">
            <v>10.903938622967434</v>
          </cell>
          <cell r="AG52">
            <v>13.362939740238764</v>
          </cell>
          <cell r="AH52">
            <v>14.091364001576805</v>
          </cell>
          <cell r="AI52">
            <v>12.532014576171889</v>
          </cell>
          <cell r="AJ52">
            <v>13.128930403605025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0</v>
          </cell>
        </row>
        <row r="234">
          <cell r="BN234">
            <v>0</v>
          </cell>
        </row>
        <row r="235">
          <cell r="BN235">
            <v>0</v>
          </cell>
        </row>
        <row r="236">
          <cell r="BN236">
            <v>2.15</v>
          </cell>
        </row>
        <row r="237">
          <cell r="BN237">
            <v>5.8797512863388901</v>
          </cell>
        </row>
        <row r="238">
          <cell r="BN238">
            <v>2.822871232600924</v>
          </cell>
        </row>
        <row r="239">
          <cell r="BN239">
            <v>2.5291625268563891</v>
          </cell>
        </row>
        <row r="240">
          <cell r="BN240">
            <v>4.1048427492006478</v>
          </cell>
        </row>
        <row r="241">
          <cell r="BN241">
            <v>2.4442924982545899</v>
          </cell>
        </row>
        <row r="242">
          <cell r="BN242">
            <v>10.395315301599881</v>
          </cell>
        </row>
        <row r="243">
          <cell r="BN243">
            <v>4.7370130449857362</v>
          </cell>
        </row>
      </sheetData>
      <sheetData sheetId="30">
        <row r="16">
          <cell r="D16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27.597861890123113</v>
          </cell>
          <cell r="O27">
            <v>24.635383652957444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12.546188879585776</v>
          </cell>
          <cell r="O28">
            <v>11.199424711291833</v>
          </cell>
        </row>
        <row r="29">
          <cell r="D29">
            <v>-17.094250795282733</v>
          </cell>
          <cell r="E29">
            <v>0</v>
          </cell>
          <cell r="F29">
            <v>0</v>
          </cell>
          <cell r="G29">
            <v>0</v>
          </cell>
          <cell r="H29">
            <v>-154.80184589448982</v>
          </cell>
          <cell r="I29">
            <v>-5.8034798223161488E-2</v>
          </cell>
          <cell r="J29">
            <v>-375.60107397707975</v>
          </cell>
          <cell r="K29">
            <v>-47.167004469309177</v>
          </cell>
          <cell r="L29">
            <v>-38.820798031828417</v>
          </cell>
          <cell r="M29">
            <v>-60.199312097084203</v>
          </cell>
          <cell r="N29">
            <v>0</v>
          </cell>
          <cell r="O29">
            <v>0</v>
          </cell>
        </row>
        <row r="30">
          <cell r="D30">
            <v>-7.771170827888719</v>
          </cell>
          <cell r="E30">
            <v>0</v>
          </cell>
          <cell r="F30">
            <v>0</v>
          </cell>
          <cell r="G30">
            <v>0</v>
          </cell>
          <cell r="H30">
            <v>-70.374045831277812</v>
          </cell>
          <cell r="I30">
            <v>-2.6383041664434715E-2</v>
          </cell>
          <cell r="J30">
            <v>-170.75098195118517</v>
          </cell>
          <cell r="K30">
            <v>-21.442463525335789</v>
          </cell>
          <cell r="L30">
            <v>-17.648217333020302</v>
          </cell>
          <cell r="M30">
            <v>-27.36704542540857</v>
          </cell>
          <cell r="N30">
            <v>0</v>
          </cell>
          <cell r="O30">
            <v>0</v>
          </cell>
        </row>
        <row r="31">
          <cell r="D31">
            <v>-174.36043896855699</v>
          </cell>
          <cell r="E31">
            <v>-636.33312092374717</v>
          </cell>
          <cell r="F31">
            <v>-601.00174197501747</v>
          </cell>
          <cell r="G31">
            <v>-340.7172701379277</v>
          </cell>
          <cell r="H31">
            <v>-309.83456216986451</v>
          </cell>
          <cell r="I31">
            <v>-425.25704433977626</v>
          </cell>
          <cell r="J31">
            <v>-193.88384589279121</v>
          </cell>
          <cell r="K31">
            <v>-414.64038388800418</v>
          </cell>
          <cell r="L31">
            <v>-199.71809120339822</v>
          </cell>
          <cell r="M31">
            <v>-156.28186549467318</v>
          </cell>
          <cell r="N31">
            <v>0</v>
          </cell>
          <cell r="O31">
            <v>0</v>
          </cell>
        </row>
        <row r="32">
          <cell r="D32">
            <v>-83.955887969624001</v>
          </cell>
          <cell r="E32">
            <v>-250.88192363869672</v>
          </cell>
          <cell r="F32">
            <v>-234.45915876922044</v>
          </cell>
          <cell r="G32">
            <v>-130.21950802150238</v>
          </cell>
          <cell r="H32">
            <v>-125.82956587640024</v>
          </cell>
          <cell r="I32">
            <v>-162.26814062283211</v>
          </cell>
          <cell r="J32">
            <v>-90.53515625247735</v>
          </cell>
          <cell r="K32">
            <v>-157.66765065217572</v>
          </cell>
          <cell r="L32">
            <v>-92.735480025009835</v>
          </cell>
          <cell r="M32">
            <v>-74.99972746843882</v>
          </cell>
          <cell r="N32">
            <v>0</v>
          </cell>
          <cell r="O32">
            <v>0</v>
          </cell>
        </row>
      </sheetData>
      <sheetData sheetId="31"/>
      <sheetData sheetId="32">
        <row r="4">
          <cell r="F4">
            <v>75.178776441242263</v>
          </cell>
        </row>
      </sheetData>
      <sheetData sheetId="33"/>
      <sheetData sheetId="34"/>
      <sheetData sheetId="35"/>
      <sheetData sheetId="36"/>
      <sheetData sheetId="37">
        <row r="4">
          <cell r="F4">
            <v>31.382210718562504</v>
          </cell>
          <cell r="G4">
            <v>38.508587735902736</v>
          </cell>
          <cell r="H4">
            <v>37.266375228292972</v>
          </cell>
          <cell r="I4">
            <v>0</v>
          </cell>
          <cell r="J4">
            <v>12.739683160749781</v>
          </cell>
          <cell r="K4">
            <v>25.500995334257468</v>
          </cell>
          <cell r="L4">
            <v>25.479366321499562</v>
          </cell>
          <cell r="M4">
            <v>30.541615788601007</v>
          </cell>
          <cell r="N4">
            <v>27.609547868457085</v>
          </cell>
          <cell r="O4">
            <v>27.44049759604853</v>
          </cell>
          <cell r="P4">
            <v>29.290063337325009</v>
          </cell>
          <cell r="Q4">
            <v>35.034128692061884</v>
          </cell>
          <cell r="U4">
            <v>6.2690645865567634</v>
          </cell>
          <cell r="V4">
            <v>7.692664669754028</v>
          </cell>
          <cell r="W4">
            <v>7.4445141965361561</v>
          </cell>
          <cell r="X4">
            <v>0</v>
          </cell>
          <cell r="Y4">
            <v>2.5449416952569721</v>
          </cell>
          <cell r="Z4">
            <v>5.0942041083607137</v>
          </cell>
          <cell r="AA4">
            <v>5.0898833905139442</v>
          </cell>
          <cell r="AB4">
            <v>6.1011432137025636</v>
          </cell>
          <cell r="AC4">
            <v>5.5154189214148666</v>
          </cell>
          <cell r="AD4">
            <v>5.4816486084943241</v>
          </cell>
          <cell r="AE4">
            <v>5.8511269474529799</v>
          </cell>
          <cell r="AF4">
            <v>6.9985896619566699</v>
          </cell>
          <cell r="AJ4">
            <v>13.963246655144848</v>
          </cell>
          <cell r="AK4">
            <v>17.134067249750657</v>
          </cell>
          <cell r="AL4">
            <v>16.581355402984506</v>
          </cell>
          <cell r="AM4">
            <v>0</v>
          </cell>
          <cell r="AN4">
            <v>5.6684132254814221</v>
          </cell>
          <cell r="AO4">
            <v>11.346450095477705</v>
          </cell>
          <cell r="AP4">
            <v>11.336826450962844</v>
          </cell>
          <cell r="AQ4">
            <v>13.589231119739182</v>
          </cell>
          <cell r="AR4">
            <v>12.284632538531183</v>
          </cell>
          <cell r="AS4">
            <v>12.209415063512322</v>
          </cell>
          <cell r="AT4">
            <v>13.032363544801862</v>
          </cell>
          <cell r="AU4">
            <v>15.588136370073906</v>
          </cell>
        </row>
        <row r="5">
          <cell r="F5">
            <v>31.382210718562504</v>
          </cell>
          <cell r="G5">
            <v>38.508587735902736</v>
          </cell>
          <cell r="H5">
            <v>37.266375228292972</v>
          </cell>
          <cell r="I5">
            <v>0</v>
          </cell>
          <cell r="J5">
            <v>12.739683160749781</v>
          </cell>
          <cell r="K5">
            <v>26.338641138793534</v>
          </cell>
          <cell r="L5">
            <v>25.479366321499562</v>
          </cell>
          <cell r="M5">
            <v>30.541615788601007</v>
          </cell>
          <cell r="N5">
            <v>28.085210604380194</v>
          </cell>
          <cell r="O5">
            <v>28.085210604380194</v>
          </cell>
          <cell r="P5">
            <v>29.914210343533469</v>
          </cell>
          <cell r="Q5">
            <v>35.034128692061884</v>
          </cell>
          <cell r="U5">
            <v>6.2190057712071134</v>
          </cell>
          <cell r="V5">
            <v>7.6312383317520611</v>
          </cell>
          <cell r="W5">
            <v>7.385069353308447</v>
          </cell>
          <cell r="X5">
            <v>0</v>
          </cell>
          <cell r="Y5">
            <v>2.5246201999781261</v>
          </cell>
          <cell r="Z5">
            <v>5.219522700834542</v>
          </cell>
          <cell r="AA5">
            <v>5.0492403999562523</v>
          </cell>
          <cell r="AB5">
            <v>6.0524252594783503</v>
          </cell>
          <cell r="AC5">
            <v>5.5656399863154133</v>
          </cell>
          <cell r="AD5">
            <v>5.5656399863154133</v>
          </cell>
          <cell r="AE5">
            <v>5.9280924609144225</v>
          </cell>
          <cell r="AF5">
            <v>6.9427055499398431</v>
          </cell>
          <cell r="AJ5">
            <v>13.949929300204321</v>
          </cell>
          <cell r="AK5">
            <v>17.117725745459051</v>
          </cell>
          <cell r="AL5">
            <v>16.565541043992631</v>
          </cell>
          <cell r="AM5">
            <v>0</v>
          </cell>
          <cell r="AN5">
            <v>5.6630070135353261</v>
          </cell>
          <cell r="AO5">
            <v>11.7079763769572</v>
          </cell>
          <cell r="AP5">
            <v>11.326014027070652</v>
          </cell>
          <cell r="AQ5">
            <v>13.576270479663133</v>
          </cell>
          <cell r="AR5">
            <v>12.484356370748332</v>
          </cell>
          <cell r="AS5">
            <v>12.484356370748332</v>
          </cell>
          <cell r="AT5">
            <v>13.297378030697502</v>
          </cell>
          <cell r="AU5">
            <v>15.573269287222143</v>
          </cell>
        </row>
        <row r="6">
          <cell r="F6">
            <v>63.904544208814968</v>
          </cell>
          <cell r="G6">
            <v>0</v>
          </cell>
          <cell r="H6">
            <v>38.106970158254455</v>
          </cell>
          <cell r="I6">
            <v>57.907650730680814</v>
          </cell>
          <cell r="J6">
            <v>50.958732642999124</v>
          </cell>
          <cell r="K6">
            <v>52.677282277587068</v>
          </cell>
          <cell r="L6">
            <v>50.958732642999124</v>
          </cell>
          <cell r="M6">
            <v>72.513566958363498</v>
          </cell>
          <cell r="N6">
            <v>57.981333804454465</v>
          </cell>
          <cell r="O6">
            <v>62.077924168850046</v>
          </cell>
          <cell r="P6">
            <v>61.718347746506254</v>
          </cell>
          <cell r="Q6">
            <v>70.068257384123768</v>
          </cell>
          <cell r="U6">
            <v>15.973564291519935</v>
          </cell>
          <cell r="V6">
            <v>0</v>
          </cell>
          <cell r="W6">
            <v>9.5252089708816783</v>
          </cell>
          <cell r="X6">
            <v>14.474582259673145</v>
          </cell>
          <cell r="Y6">
            <v>12.737632388512369</v>
          </cell>
          <cell r="Z6">
            <v>13.167200636218798</v>
          </cell>
          <cell r="AA6">
            <v>12.737632388512369</v>
          </cell>
          <cell r="AB6">
            <v>18.125473519253728</v>
          </cell>
          <cell r="AC6">
            <v>14.49300006283084</v>
          </cell>
          <cell r="AD6">
            <v>15.51698279163133</v>
          </cell>
          <cell r="AE6">
            <v>15.42710315676131</v>
          </cell>
          <cell r="AF6">
            <v>17.514244534204501</v>
          </cell>
          <cell r="AJ6">
            <v>25.382946308103747</v>
          </cell>
          <cell r="AK6">
            <v>0</v>
          </cell>
          <cell r="AL6">
            <v>15.136125129550024</v>
          </cell>
          <cell r="AM6">
            <v>23.000974461571122</v>
          </cell>
          <cell r="AN6">
            <v>20.240857526182591</v>
          </cell>
          <cell r="AO6">
            <v>20.923467090848572</v>
          </cell>
          <cell r="AP6">
            <v>20.240857526182591</v>
          </cell>
          <cell r="AQ6">
            <v>28.802458408886263</v>
          </cell>
          <cell r="AR6">
            <v>23.030241449209768</v>
          </cell>
          <cell r="AS6">
            <v>24.657411074674442</v>
          </cell>
          <cell r="AT6">
            <v>24.514586974526122</v>
          </cell>
          <cell r="AU6">
            <v>27.831179098501053</v>
          </cell>
        </row>
        <row r="7">
          <cell r="F7">
            <v>107.94213017308778</v>
          </cell>
          <cell r="G7">
            <v>0</v>
          </cell>
          <cell r="H7">
            <v>60.97115225320718</v>
          </cell>
          <cell r="I7">
            <v>99.008828159813788</v>
          </cell>
          <cell r="J7">
            <v>83.090445080861855</v>
          </cell>
          <cell r="K7">
            <v>87.486311850813053</v>
          </cell>
          <cell r="L7">
            <v>81.533972228798604</v>
          </cell>
          <cell r="M7">
            <v>121.62935768298314</v>
          </cell>
          <cell r="N7">
            <v>106.45956126079477</v>
          </cell>
          <cell r="O7">
            <v>103.77051010938001</v>
          </cell>
          <cell r="P7">
            <v>98.749356394410057</v>
          </cell>
          <cell r="Q7">
            <v>112.43398749206534</v>
          </cell>
          <cell r="U7">
            <v>44.086622729234549</v>
          </cell>
          <cell r="V7">
            <v>0</v>
          </cell>
          <cell r="W7">
            <v>24.90234519592649</v>
          </cell>
          <cell r="X7">
            <v>40.438009208693579</v>
          </cell>
          <cell r="Y7">
            <v>33.9364907734371</v>
          </cell>
          <cell r="Z7">
            <v>35.731887246936893</v>
          </cell>
          <cell r="AA7">
            <v>33.300783183572278</v>
          </cell>
          <cell r="AB7">
            <v>49.676874046957792</v>
          </cell>
          <cell r="AC7">
            <v>43.481099601225637</v>
          </cell>
          <cell r="AD7">
            <v>42.38281496091016</v>
          </cell>
          <cell r="AE7">
            <v>40.332033591833877</v>
          </cell>
          <cell r="AF7">
            <v>45.921224461271592</v>
          </cell>
          <cell r="AJ7">
            <v>41.374560671897186</v>
          </cell>
          <cell r="AK7">
            <v>0</v>
          </cell>
          <cell r="AL7">
            <v>23.370435937206956</v>
          </cell>
          <cell r="AM7">
            <v>37.950397691641889</v>
          </cell>
          <cell r="AN7">
            <v>31.848830996205255</v>
          </cell>
          <cell r="AO7">
            <v>33.533780664025208</v>
          </cell>
          <cell r="AP7">
            <v>31.252230017990467</v>
          </cell>
          <cell r="AQ7">
            <v>46.620918364951294</v>
          </cell>
          <cell r="AR7">
            <v>40.80628730807183</v>
          </cell>
          <cell r="AS7">
            <v>39.775565477442406</v>
          </cell>
          <cell r="AT7">
            <v>37.850941341437142</v>
          </cell>
          <cell r="AU7">
            <v>43.096303821448991</v>
          </cell>
        </row>
        <row r="8">
          <cell r="F8">
            <v>7.7635104341786239</v>
          </cell>
          <cell r="G8">
            <v>0</v>
          </cell>
          <cell r="H8">
            <v>4.6582969035366482</v>
          </cell>
          <cell r="I8">
            <v>6.8041489608550023</v>
          </cell>
          <cell r="J8">
            <v>6.3698415803748905</v>
          </cell>
          <cell r="K8">
            <v>6.3745115522080127</v>
          </cell>
          <cell r="L8">
            <v>6.3698415803748905</v>
          </cell>
          <cell r="M8">
            <v>7.4252552146599022</v>
          </cell>
          <cell r="N8">
            <v>6.8041489608550023</v>
          </cell>
          <cell r="O8">
            <v>6.8041489608550023</v>
          </cell>
          <cell r="P8">
            <v>7.3225158343312771</v>
          </cell>
          <cell r="Q8">
            <v>8.7585321730155137</v>
          </cell>
          <cell r="U8">
            <v>3.9800352669042951</v>
          </cell>
          <cell r="V8">
            <v>0</v>
          </cell>
          <cell r="W8">
            <v>2.3881188950509187</v>
          </cell>
          <cell r="X8">
            <v>3.4882097544753607</v>
          </cell>
          <cell r="Y8">
            <v>3.2655580680194838</v>
          </cell>
          <cell r="Z8">
            <v>3.2679521721749247</v>
          </cell>
          <cell r="AA8">
            <v>3.2655580680194838</v>
          </cell>
          <cell r="AB8">
            <v>3.8066256071488231</v>
          </cell>
          <cell r="AC8">
            <v>3.4882097544753607</v>
          </cell>
          <cell r="AD8">
            <v>3.4882097544753607</v>
          </cell>
          <cell r="AE8">
            <v>3.7539553157291556</v>
          </cell>
          <cell r="AF8">
            <v>4.4901423435268111</v>
          </cell>
          <cell r="AJ8">
            <v>3.8167052289719559</v>
          </cell>
          <cell r="AK8">
            <v>0</v>
          </cell>
          <cell r="AL8">
            <v>2.2901168615114047</v>
          </cell>
          <cell r="AM8">
            <v>3.3450629245334347</v>
          </cell>
          <cell r="AN8">
            <v>3.1315482697759789</v>
          </cell>
          <cell r="AO8">
            <v>3.1338441262787486</v>
          </cell>
          <cell r="AP8">
            <v>3.1315482697759789</v>
          </cell>
          <cell r="AQ8">
            <v>3.6504118394016287</v>
          </cell>
          <cell r="AR8">
            <v>3.3450629245334347</v>
          </cell>
          <cell r="AS8">
            <v>3.3450629245334347</v>
          </cell>
          <cell r="AT8">
            <v>3.5999029963407265</v>
          </cell>
          <cell r="AU8">
            <v>4.3058788709419904</v>
          </cell>
        </row>
        <row r="9">
          <cell r="F9">
            <v>77.895130176431906</v>
          </cell>
          <cell r="G9">
            <v>78.754404993725927</v>
          </cell>
          <cell r="H9">
            <v>76.213940316508939</v>
          </cell>
          <cell r="I9">
            <v>79.038076257973245</v>
          </cell>
          <cell r="J9">
            <v>64.856568818362518</v>
          </cell>
          <cell r="K9">
            <v>68.724765968224602</v>
          </cell>
          <cell r="L9">
            <v>0</v>
          </cell>
          <cell r="M9">
            <v>39.610468221915966</v>
          </cell>
          <cell r="N9">
            <v>77.017175471805473</v>
          </cell>
          <cell r="O9">
            <v>70.068257384123768</v>
          </cell>
          <cell r="P9">
            <v>67.994789890218755</v>
          </cell>
          <cell r="Q9">
            <v>82.785552099543821</v>
          </cell>
          <cell r="U9">
            <v>13.930035759480983</v>
          </cell>
          <cell r="V9">
            <v>14.08370042253522</v>
          </cell>
          <cell r="W9">
            <v>13.629387505679242</v>
          </cell>
          <cell r="X9">
            <v>14.134429535458608</v>
          </cell>
          <cell r="Y9">
            <v>11.598341524440766</v>
          </cell>
          <cell r="Z9">
            <v>12.290093685330081</v>
          </cell>
          <cell r="AA9">
            <v>0</v>
          </cell>
          <cell r="AB9">
            <v>7.0835652695015412</v>
          </cell>
          <cell r="AC9">
            <v>13.773030560273408</v>
          </cell>
          <cell r="AD9">
            <v>12.530351111226182</v>
          </cell>
          <cell r="AE9">
            <v>12.159551598204027</v>
          </cell>
          <cell r="AF9">
            <v>14.804593027869894</v>
          </cell>
          <cell r="AJ9">
            <v>27.841060100247102</v>
          </cell>
          <cell r="AK9">
            <v>28.148179708067591</v>
          </cell>
          <cell r="AL9">
            <v>27.240173911033146</v>
          </cell>
          <cell r="AM9">
            <v>28.249568699892041</v>
          </cell>
          <cell r="AN9">
            <v>23.180853877232131</v>
          </cell>
          <cell r="AO9">
            <v>24.563414110265789</v>
          </cell>
          <cell r="AP9">
            <v>0</v>
          </cell>
          <cell r="AQ9">
            <v>14.157463038670866</v>
          </cell>
          <cell r="AR9">
            <v>27.527263979213149</v>
          </cell>
          <cell r="AS9">
            <v>25.043601063795414</v>
          </cell>
          <cell r="AT9">
            <v>24.302508097098194</v>
          </cell>
          <cell r="AU9">
            <v>29.588981059728599</v>
          </cell>
        </row>
        <row r="10">
          <cell r="F10">
            <v>95.49158404362592</v>
          </cell>
          <cell r="G10">
            <v>94.86112719722027</v>
          </cell>
          <cell r="H10">
            <v>95.49158404362592</v>
          </cell>
          <cell r="I10">
            <v>100.75931227138463</v>
          </cell>
          <cell r="J10">
            <v>81.997233434644045</v>
          </cell>
          <cell r="K10">
            <v>91.07946029448911</v>
          </cell>
          <cell r="L10">
            <v>77.827882582035016</v>
          </cell>
          <cell r="M10">
            <v>0</v>
          </cell>
          <cell r="N10">
            <v>48.777475400509616</v>
          </cell>
          <cell r="O10">
            <v>90.335935139862102</v>
          </cell>
          <cell r="P10">
            <v>83.476680511376287</v>
          </cell>
          <cell r="Q10">
            <v>100.75931227138463</v>
          </cell>
          <cell r="U10">
            <v>24.787559048315568</v>
          </cell>
          <cell r="V10">
            <v>24.623906026280086</v>
          </cell>
          <cell r="W10">
            <v>24.787559048315568</v>
          </cell>
          <cell r="X10">
            <v>26.154947869055984</v>
          </cell>
          <cell r="Y10">
            <v>21.28471619688694</v>
          </cell>
          <cell r="Z10">
            <v>23.642266726949952</v>
          </cell>
          <cell r="AA10">
            <v>20.202442491960483</v>
          </cell>
          <cell r="AB10">
            <v>0</v>
          </cell>
          <cell r="AC10">
            <v>12.661582314578833</v>
          </cell>
          <cell r="AD10">
            <v>23.449263606739855</v>
          </cell>
          <cell r="AE10">
            <v>21.668748801860843</v>
          </cell>
          <cell r="AF10">
            <v>26.154947869055984</v>
          </cell>
          <cell r="AJ10">
            <v>32.043410904208507</v>
          </cell>
          <cell r="AK10">
            <v>31.831853121508846</v>
          </cell>
          <cell r="AL10">
            <v>32.043410904208507</v>
          </cell>
          <cell r="AM10">
            <v>33.811063853149591</v>
          </cell>
          <cell r="AN10">
            <v>27.515210583942423</v>
          </cell>
          <cell r="AO10">
            <v>30.562866878577751</v>
          </cell>
          <cell r="AP10">
            <v>26.116132079674163</v>
          </cell>
          <cell r="AQ10">
            <v>0</v>
          </cell>
          <cell r="AR10">
            <v>16.367899881254324</v>
          </cell>
          <cell r="AS10">
            <v>30.313367592478947</v>
          </cell>
          <cell r="AT10">
            <v>28.01165779513439</v>
          </cell>
          <cell r="AU10">
            <v>33.811063853149591</v>
          </cell>
        </row>
        <row r="11">
          <cell r="F11">
            <v>42.971212819631646</v>
          </cell>
          <cell r="G11">
            <v>42.527378696612004</v>
          </cell>
          <cell r="H11">
            <v>42.971212819631674</v>
          </cell>
          <cell r="I11">
            <v>45.341690522123088</v>
          </cell>
          <cell r="J11">
            <v>18.449377522794883</v>
          </cell>
          <cell r="K11">
            <v>0</v>
          </cell>
          <cell r="L11">
            <v>34.548379218930805</v>
          </cell>
          <cell r="M11">
            <v>42.971212819631674</v>
          </cell>
          <cell r="N11">
            <v>42.569936742368597</v>
          </cell>
          <cell r="O11">
            <v>40.020526318089026</v>
          </cell>
          <cell r="P11">
            <v>36.717186540718117</v>
          </cell>
          <cell r="Q11">
            <v>45.341690522123059</v>
          </cell>
          <cell r="U11">
            <v>15.15650999667991</v>
          </cell>
          <cell r="V11">
            <v>14.999963884038156</v>
          </cell>
          <cell r="W11">
            <v>15.156509996679919</v>
          </cell>
          <cell r="X11">
            <v>15.992608552834795</v>
          </cell>
          <cell r="Y11">
            <v>6.5073372732224239</v>
          </cell>
          <cell r="Z11">
            <v>0</v>
          </cell>
          <cell r="AA11">
            <v>12.185666185376748</v>
          </cell>
          <cell r="AB11">
            <v>15.156509996679919</v>
          </cell>
          <cell r="AC11">
            <v>15.01497466459621</v>
          </cell>
          <cell r="AD11">
            <v>14.115764192147541</v>
          </cell>
          <cell r="AE11">
            <v>12.95063295490959</v>
          </cell>
          <cell r="AF11">
            <v>15.992608552834785</v>
          </cell>
          <cell r="AJ11">
            <v>15.217327701299899</v>
          </cell>
          <cell r="AK11">
            <v>15.060153424572869</v>
          </cell>
          <cell r="AL11">
            <v>15.217327701299912</v>
          </cell>
          <cell r="AM11">
            <v>16.056781224728425</v>
          </cell>
          <cell r="AN11">
            <v>6.5334489121308668</v>
          </cell>
          <cell r="AO11">
            <v>0</v>
          </cell>
          <cell r="AP11">
            <v>12.2345629463608</v>
          </cell>
          <cell r="AQ11">
            <v>15.217327701299912</v>
          </cell>
          <cell r="AR11">
            <v>15.07522443807494</v>
          </cell>
          <cell r="AS11">
            <v>14.172405752593283</v>
          </cell>
          <cell r="AT11">
            <v>13.002599256509773</v>
          </cell>
          <cell r="AU11">
            <v>16.056781224728415</v>
          </cell>
        </row>
        <row r="12">
          <cell r="F12">
            <v>42.865076514534636</v>
          </cell>
          <cell r="G12">
            <v>0</v>
          </cell>
          <cell r="H12">
            <v>21.283137327818693</v>
          </cell>
          <cell r="I12">
            <v>44.450394094951562</v>
          </cell>
          <cell r="J12">
            <v>36.844100089485863</v>
          </cell>
          <cell r="K12">
            <v>39.288837704796649</v>
          </cell>
          <cell r="L12">
            <v>34.084443220078725</v>
          </cell>
          <cell r="M12">
            <v>42.971212819631674</v>
          </cell>
          <cell r="N12">
            <v>42.527378696612004</v>
          </cell>
          <cell r="O12">
            <v>38.779395575150986</v>
          </cell>
          <cell r="P12">
            <v>36.717186540718117</v>
          </cell>
          <cell r="Q12">
            <v>45.341690522123059</v>
          </cell>
          <cell r="U12">
            <v>15.448976664217279</v>
          </cell>
          <cell r="V12">
            <v>0</v>
          </cell>
          <cell r="W12">
            <v>7.6706428322205991</v>
          </cell>
          <cell r="X12">
            <v>16.020340027978683</v>
          </cell>
          <cell r="Y12">
            <v>13.278960141446337</v>
          </cell>
          <cell r="Z12">
            <v>14.16006656747275</v>
          </cell>
          <cell r="AA12">
            <v>12.284353854851663</v>
          </cell>
          <cell r="AB12">
            <v>15.487229186643415</v>
          </cell>
          <cell r="AC12">
            <v>15.327267195044282</v>
          </cell>
          <cell r="AD12">
            <v>13.976458833330568</v>
          </cell>
          <cell r="AE12">
            <v>13.233219305019247</v>
          </cell>
          <cell r="AF12">
            <v>16.34157164177514</v>
          </cell>
          <cell r="AJ12">
            <v>15.179741819271261</v>
          </cell>
          <cell r="AK12">
            <v>0</v>
          </cell>
          <cell r="AL12">
            <v>7.536963794543456</v>
          </cell>
          <cell r="AM12">
            <v>15.741147829222527</v>
          </cell>
          <cell r="AN12">
            <v>13.047542951011488</v>
          </cell>
          <cell r="AO12">
            <v>13.913294020036066</v>
          </cell>
          <cell r="AP12">
            <v>12.070270024106192</v>
          </cell>
          <cell r="AQ12">
            <v>15.217327701299912</v>
          </cell>
          <cell r="AR12">
            <v>15.060153424572869</v>
          </cell>
          <cell r="AS12">
            <v>13.73288608358321</v>
          </cell>
          <cell r="AT12">
            <v>13.002599256509773</v>
          </cell>
          <cell r="AU12">
            <v>16.056781224728415</v>
          </cell>
        </row>
        <row r="13">
          <cell r="F13">
            <v>42.063370295273231</v>
          </cell>
          <cell r="G13">
            <v>42.527378696612004</v>
          </cell>
          <cell r="H13">
            <v>41.469632721328765</v>
          </cell>
          <cell r="I13">
            <v>43.465482638449046</v>
          </cell>
          <cell r="J13">
            <v>35.960651103752781</v>
          </cell>
          <cell r="K13">
            <v>37.815115828436333</v>
          </cell>
          <cell r="L13">
            <v>34.084443220078725</v>
          </cell>
          <cell r="M13">
            <v>0</v>
          </cell>
          <cell r="N13">
            <v>20.953862191126703</v>
          </cell>
          <cell r="O13">
            <v>38.774962929263864</v>
          </cell>
          <cell r="P13">
            <v>36.717186540718117</v>
          </cell>
          <cell r="Q13">
            <v>45.341690522123059</v>
          </cell>
          <cell r="U13">
            <v>15.376276268709393</v>
          </cell>
          <cell r="V13">
            <v>15.545894663999723</v>
          </cell>
          <cell r="W13">
            <v>15.159235339654089</v>
          </cell>
          <cell r="X13">
            <v>15.888818810999719</v>
          </cell>
          <cell r="Y13">
            <v>13.145425634999759</v>
          </cell>
          <cell r="Z13">
            <v>13.823325711411721</v>
          </cell>
          <cell r="AA13">
            <v>12.459577340999772</v>
          </cell>
          <cell r="AB13">
            <v>0</v>
          </cell>
          <cell r="AC13">
            <v>7.6596899317750129</v>
          </cell>
          <cell r="AD13">
            <v>14.174198075999737</v>
          </cell>
          <cell r="AE13">
            <v>13.421977366451364</v>
          </cell>
          <cell r="AF13">
            <v>16.574667104999691</v>
          </cell>
          <cell r="AJ13">
            <v>14.895834862540042</v>
          </cell>
          <cell r="AK13">
            <v>15.060153424572869</v>
          </cell>
          <cell r="AL13">
            <v>14.685575513584457</v>
          </cell>
          <cell r="AM13">
            <v>15.392362691291391</v>
          </cell>
          <cell r="AN13">
            <v>12.734688557543228</v>
          </cell>
          <cell r="AO13">
            <v>13.391407220441149</v>
          </cell>
          <cell r="AP13">
            <v>12.07027002410619</v>
          </cell>
          <cell r="AQ13">
            <v>0</v>
          </cell>
          <cell r="AR13">
            <v>7.4203581106414358</v>
          </cell>
          <cell r="AS13">
            <v>13.731316357698782</v>
          </cell>
          <cell r="AT13">
            <v>13.002599256509772</v>
          </cell>
          <cell r="AU13">
            <v>16.056781224728415</v>
          </cell>
        </row>
        <row r="14">
          <cell r="F14">
            <v>42.063370295273231</v>
          </cell>
          <cell r="G14">
            <v>0</v>
          </cell>
          <cell r="H14">
            <v>20.577763885457408</v>
          </cell>
          <cell r="I14">
            <v>43.465482638449046</v>
          </cell>
          <cell r="J14">
            <v>35.104484485266696</v>
          </cell>
          <cell r="K14">
            <v>37.524157673481156</v>
          </cell>
          <cell r="L14">
            <v>34.084443220078725</v>
          </cell>
          <cell r="M14">
            <v>42.971212819631674</v>
          </cell>
          <cell r="N14">
            <v>41.589274754774948</v>
          </cell>
          <cell r="O14">
            <v>38.087874338441353</v>
          </cell>
          <cell r="P14">
            <v>36.717186540718117</v>
          </cell>
          <cell r="Q14">
            <v>45.341690522123059</v>
          </cell>
          <cell r="U14">
            <v>15.436924325941368</v>
          </cell>
          <cell r="V14">
            <v>0</v>
          </cell>
          <cell r="W14">
            <v>7.5518766486619642</v>
          </cell>
          <cell r="X14">
            <v>15.951488470139429</v>
          </cell>
          <cell r="Y14">
            <v>12.883068253832718</v>
          </cell>
          <cell r="Z14">
            <v>13.771069182854168</v>
          </cell>
          <cell r="AA14">
            <v>12.508721174425874</v>
          </cell>
          <cell r="AB14">
            <v>15.770095354558816</v>
          </cell>
          <cell r="AC14">
            <v>15.262935010996705</v>
          </cell>
          <cell r="AD14">
            <v>13.977948741890373</v>
          </cell>
          <cell r="AE14">
            <v>13.474917157416446</v>
          </cell>
          <cell r="AF14">
            <v>16.64004192928212</v>
          </cell>
          <cell r="AJ14">
            <v>14.895834862540042</v>
          </cell>
          <cell r="AK14">
            <v>0</v>
          </cell>
          <cell r="AL14">
            <v>7.2871710118900923</v>
          </cell>
          <cell r="AM14">
            <v>15.392362691291391</v>
          </cell>
          <cell r="AN14">
            <v>12.431495625682007</v>
          </cell>
          <cell r="AO14">
            <v>13.288370668740757</v>
          </cell>
          <cell r="AP14">
            <v>12.07027002410619</v>
          </cell>
          <cell r="AQ14">
            <v>15.217327701299908</v>
          </cell>
          <cell r="AR14">
            <v>14.727944157854338</v>
          </cell>
          <cell r="AS14">
            <v>13.487998760630779</v>
          </cell>
          <cell r="AT14">
            <v>13.002599256509772</v>
          </cell>
          <cell r="AU14">
            <v>16.056781224728415</v>
          </cell>
        </row>
        <row r="15">
          <cell r="F15">
            <v>132.70191960992145</v>
          </cell>
          <cell r="G15">
            <v>131.5661824601068</v>
          </cell>
          <cell r="H15">
            <v>63.913742306412644</v>
          </cell>
          <cell r="I15">
            <v>0</v>
          </cell>
          <cell r="J15">
            <v>125.13045166769371</v>
          </cell>
          <cell r="K15">
            <v>136.26812444687067</v>
          </cell>
          <cell r="L15">
            <v>128.79885429840749</v>
          </cell>
          <cell r="M15">
            <v>130.01201583404469</v>
          </cell>
          <cell r="N15">
            <v>134.77327091514695</v>
          </cell>
          <cell r="O15">
            <v>136.92636953442667</v>
          </cell>
          <cell r="P15">
            <v>123.85512496926003</v>
          </cell>
          <cell r="Q15">
            <v>148.24358587054292</v>
          </cell>
          <cell r="U15">
            <v>39.343838689496692</v>
          </cell>
          <cell r="V15">
            <v>39.007112142154156</v>
          </cell>
          <cell r="W15">
            <v>18.949326239871173</v>
          </cell>
          <cell r="X15">
            <v>0</v>
          </cell>
          <cell r="Y15">
            <v>37.099028559866653</v>
          </cell>
          <cell r="Z15">
            <v>40.401157138627426</v>
          </cell>
          <cell r="AA15">
            <v>38.186646898585373</v>
          </cell>
          <cell r="AB15">
            <v>38.546328445790685</v>
          </cell>
          <cell r="AC15">
            <v>39.957958755443187</v>
          </cell>
          <cell r="AD15">
            <v>40.596315495183866</v>
          </cell>
          <cell r="AE15">
            <v>36.720916110196917</v>
          </cell>
          <cell r="AF15">
            <v>43.951675653131453</v>
          </cell>
          <cell r="AJ15">
            <v>35.759000494598077</v>
          </cell>
          <cell r="AK15">
            <v>35.452954994869529</v>
          </cell>
          <cell r="AL15">
            <v>17.222746660069784</v>
          </cell>
          <cell r="AM15">
            <v>0</v>
          </cell>
          <cell r="AN15">
            <v>33.718727628261085</v>
          </cell>
          <cell r="AO15">
            <v>36.719980719324013</v>
          </cell>
          <cell r="AP15">
            <v>34.707246949395845</v>
          </cell>
          <cell r="AQ15">
            <v>35.034155889977853</v>
          </cell>
          <cell r="AR15">
            <v>36.317164630925369</v>
          </cell>
          <cell r="AS15">
            <v>36.897357101524605</v>
          </cell>
          <cell r="AT15">
            <v>33.375067128291548</v>
          </cell>
          <cell r="AU15">
            <v>39.946991543514983</v>
          </cell>
          <cell r="AW15">
            <v>0.79381802258990319</v>
          </cell>
        </row>
        <row r="16">
          <cell r="F16">
            <v>131.84025994005168</v>
          </cell>
          <cell r="G16">
            <v>131.5661824601068</v>
          </cell>
          <cell r="H16">
            <v>63.661056029083937</v>
          </cell>
          <cell r="I16">
            <v>0</v>
          </cell>
          <cell r="J16">
            <v>120.1698485202815</v>
          </cell>
          <cell r="K16">
            <v>135.39182338579826</v>
          </cell>
          <cell r="L16">
            <v>126.25880723288424</v>
          </cell>
          <cell r="M16">
            <v>129.61523315767397</v>
          </cell>
          <cell r="N16">
            <v>132.14079386203349</v>
          </cell>
          <cell r="O16">
            <v>133.65908544416635</v>
          </cell>
          <cell r="P16">
            <v>122.15328757770385</v>
          </cell>
          <cell r="Q16">
            <v>148.24358587054292</v>
          </cell>
          <cell r="U16">
            <v>39.585674863513518</v>
          </cell>
          <cell r="V16">
            <v>39.503381776307513</v>
          </cell>
          <cell r="W16">
            <v>19.114539569181055</v>
          </cell>
          <cell r="X16">
            <v>0</v>
          </cell>
          <cell r="Y16">
            <v>36.081577464156737</v>
          </cell>
          <cell r="Z16">
            <v>40.652048942906198</v>
          </cell>
          <cell r="AA16">
            <v>37.909816728582101</v>
          </cell>
          <cell r="AB16">
            <v>38.917599824751733</v>
          </cell>
          <cell r="AC16">
            <v>39.675911625231358</v>
          </cell>
          <cell r="AD16">
            <v>40.131786006438205</v>
          </cell>
          <cell r="AE16">
            <v>36.677114621580543</v>
          </cell>
          <cell r="AF16">
            <v>44.510852705698618</v>
          </cell>
          <cell r="AJ16">
            <v>35.526810269681803</v>
          </cell>
          <cell r="AK16">
            <v>35.452954994869529</v>
          </cell>
          <cell r="AL16">
            <v>17.154655642678804</v>
          </cell>
          <cell r="AM16">
            <v>0</v>
          </cell>
          <cell r="AN16">
            <v>32.382000842972317</v>
          </cell>
          <cell r="AO16">
            <v>36.483845099218307</v>
          </cell>
          <cell r="AP16">
            <v>34.022784022715186</v>
          </cell>
          <cell r="AQ16">
            <v>34.92723541767198</v>
          </cell>
          <cell r="AR16">
            <v>35.607794724890752</v>
          </cell>
          <cell r="AS16">
            <v>36.016926631919873</v>
          </cell>
          <cell r="AT16">
            <v>32.916475388961246</v>
          </cell>
          <cell r="AU16">
            <v>39.946991543514976</v>
          </cell>
        </row>
        <row r="17">
          <cell r="F17">
            <v>127.32211205816782</v>
          </cell>
          <cell r="G17">
            <v>0</v>
          </cell>
          <cell r="H17">
            <v>63.661056029083909</v>
          </cell>
          <cell r="I17">
            <v>139.90488416532486</v>
          </cell>
          <cell r="J17">
            <v>113.26662548234964</v>
          </cell>
          <cell r="K17">
            <v>131.17935697840693</v>
          </cell>
          <cell r="L17">
            <v>121.21773876865552</v>
          </cell>
          <cell r="M17">
            <v>127.32211205816793</v>
          </cell>
          <cell r="N17">
            <v>131.56618246010686</v>
          </cell>
          <cell r="O17">
            <v>131.5661824601068</v>
          </cell>
          <cell r="P17">
            <v>121.344548111775</v>
          </cell>
          <cell r="Q17">
            <v>145.54012586556684</v>
          </cell>
          <cell r="U17">
            <v>38.816652617136825</v>
          </cell>
          <cell r="V17">
            <v>0</v>
          </cell>
          <cell r="W17">
            <v>19.408326308568412</v>
          </cell>
          <cell r="X17">
            <v>42.652758427421965</v>
          </cell>
          <cell r="Y17">
            <v>34.531560805832989</v>
          </cell>
          <cell r="Z17">
            <v>39.99260967367492</v>
          </cell>
          <cell r="AA17">
            <v>36.95561423508363</v>
          </cell>
          <cell r="AB17">
            <v>38.816652617136853</v>
          </cell>
          <cell r="AC17">
            <v>40.110541037708082</v>
          </cell>
          <cell r="AD17">
            <v>40.110541037708067</v>
          </cell>
          <cell r="AE17">
            <v>36.994274559994253</v>
          </cell>
          <cell r="AF17">
            <v>44.370772808081647</v>
          </cell>
          <cell r="AJ17">
            <v>34.309311285357595</v>
          </cell>
          <cell r="AK17">
            <v>0</v>
          </cell>
          <cell r="AL17">
            <v>17.154655642678797</v>
          </cell>
          <cell r="AM17">
            <v>37.699973269192256</v>
          </cell>
          <cell r="AN17">
            <v>30.521798995453082</v>
          </cell>
          <cell r="AO17">
            <v>35.348717673871548</v>
          </cell>
          <cell r="AP17">
            <v>32.664374361155325</v>
          </cell>
          <cell r="AQ17">
            <v>34.30931128535763</v>
          </cell>
          <cell r="AR17">
            <v>35.45295499486955</v>
          </cell>
          <cell r="AS17">
            <v>35.452954994869529</v>
          </cell>
          <cell r="AT17">
            <v>32.698545497312651</v>
          </cell>
          <cell r="AU17">
            <v>39.21849396081808</v>
          </cell>
        </row>
        <row r="18">
          <cell r="F18">
            <v>127.32211205816782</v>
          </cell>
          <cell r="G18">
            <v>131.56618246010675</v>
          </cell>
          <cell r="H18">
            <v>127.32211205816787</v>
          </cell>
          <cell r="I18">
            <v>136.04506589029086</v>
          </cell>
          <cell r="J18">
            <v>112.10921181459804</v>
          </cell>
          <cell r="K18">
            <v>128.76782658264273</v>
          </cell>
          <cell r="L18">
            <v>111.47139355951117</v>
          </cell>
          <cell r="M18">
            <v>0</v>
          </cell>
          <cell r="N18">
            <v>65.783091230053429</v>
          </cell>
          <cell r="O18">
            <v>130.23273443142449</v>
          </cell>
          <cell r="P18">
            <v>119.74048193395788</v>
          </cell>
          <cell r="Q18">
            <v>139.9048841653248</v>
          </cell>
          <cell r="U18">
            <v>39.506045709338878</v>
          </cell>
          <cell r="V18">
            <v>40.822913899650175</v>
          </cell>
          <cell r="W18">
            <v>39.506045709338892</v>
          </cell>
          <cell r="X18">
            <v>42.212640873695477</v>
          </cell>
          <cell r="Y18">
            <v>34.785722407448404</v>
          </cell>
          <cell r="Z18">
            <v>39.954628152429891</v>
          </cell>
          <cell r="AA18">
            <v>34.587817450230908</v>
          </cell>
          <cell r="AB18">
            <v>0</v>
          </cell>
          <cell r="AC18">
            <v>20.411456949825105</v>
          </cell>
          <cell r="AD18">
            <v>40.409165981707361</v>
          </cell>
          <cell r="AE18">
            <v>37.153585312660098</v>
          </cell>
          <cell r="AF18">
            <v>43.410281682022379</v>
          </cell>
          <cell r="AJ18">
            <v>34.309311285357595</v>
          </cell>
          <cell r="AK18">
            <v>35.452954994869522</v>
          </cell>
          <cell r="AL18">
            <v>34.309311285357616</v>
          </cell>
          <cell r="AM18">
            <v>36.659873442364429</v>
          </cell>
          <cell r="AN18">
            <v>30.209912354783192</v>
          </cell>
          <cell r="AO18">
            <v>34.698885954267517</v>
          </cell>
          <cell r="AP18">
            <v>30.038040362530488</v>
          </cell>
          <cell r="AQ18">
            <v>0</v>
          </cell>
          <cell r="AR18">
            <v>17.726477497434775</v>
          </cell>
          <cell r="AS18">
            <v>35.09363262140775</v>
          </cell>
          <cell r="AT18">
            <v>32.266300030068919</v>
          </cell>
          <cell r="AU18">
            <v>37.699973269192242</v>
          </cell>
        </row>
        <row r="19">
          <cell r="F19">
            <v>127.32211205816782</v>
          </cell>
          <cell r="G19">
            <v>0</v>
          </cell>
          <cell r="H19">
            <v>63.661056029083909</v>
          </cell>
          <cell r="I19">
            <v>134.34574969517945</v>
          </cell>
          <cell r="J19">
            <v>112.10921181459804</v>
          </cell>
          <cell r="K19">
            <v>124.11755000004104</v>
          </cell>
          <cell r="L19">
            <v>105.6581160740148</v>
          </cell>
          <cell r="M19">
            <v>127.32211205816782</v>
          </cell>
          <cell r="N19">
            <v>131.56618246010675</v>
          </cell>
          <cell r="O19">
            <v>125.08199546097802</v>
          </cell>
          <cell r="P19">
            <v>116.83073321499398</v>
          </cell>
          <cell r="Q19">
            <v>139.9048841653248</v>
          </cell>
          <cell r="U19">
            <v>40.180993965927804</v>
          </cell>
          <cell r="V19">
            <v>0</v>
          </cell>
          <cell r="W19">
            <v>20.090496982963902</v>
          </cell>
          <cell r="X19">
            <v>42.397551144799415</v>
          </cell>
          <cell r="Y19">
            <v>35.380025438074</v>
          </cell>
          <cell r="Z19">
            <v>39.169681110371286</v>
          </cell>
          <cell r="AA19">
            <v>33.344154096986166</v>
          </cell>
          <cell r="AB19">
            <v>40.180993965927804</v>
          </cell>
          <cell r="AC19">
            <v>41.520360431458734</v>
          </cell>
          <cell r="AD19">
            <v>39.474045973786922</v>
          </cell>
          <cell r="AE19">
            <v>36.87006844657072</v>
          </cell>
          <cell r="AF19">
            <v>44.151932571480771</v>
          </cell>
          <cell r="AJ19">
            <v>34.309311285357602</v>
          </cell>
          <cell r="AK19">
            <v>0</v>
          </cell>
          <cell r="AL19">
            <v>17.154655642678801</v>
          </cell>
          <cell r="AM19">
            <v>36.20196108631044</v>
          </cell>
          <cell r="AN19">
            <v>30.209912354783199</v>
          </cell>
          <cell r="AO19">
            <v>33.445782433941062</v>
          </cell>
          <cell r="AP19">
            <v>28.471544617102268</v>
          </cell>
          <cell r="AQ19">
            <v>34.309311285357602</v>
          </cell>
          <cell r="AR19">
            <v>35.452954994869529</v>
          </cell>
          <cell r="AS19">
            <v>33.705670202076107</v>
          </cell>
          <cell r="AT19">
            <v>31.482214116417929</v>
          </cell>
          <cell r="AU19">
            <v>37.699973269192249</v>
          </cell>
        </row>
        <row r="20">
          <cell r="F20">
            <v>84.589731327323477</v>
          </cell>
          <cell r="G20">
            <v>0</v>
          </cell>
          <cell r="H20">
            <v>45.728364189905363</v>
          </cell>
          <cell r="I20">
            <v>81.639748095232108</v>
          </cell>
          <cell r="J20">
            <v>63.287180965616813</v>
          </cell>
          <cell r="K20">
            <v>71.282450060734845</v>
          </cell>
          <cell r="L20">
            <v>69.035070103218089</v>
          </cell>
          <cell r="M20">
            <v>93.474156211718338</v>
          </cell>
          <cell r="N20">
            <v>81.997233434644045</v>
          </cell>
          <cell r="O20">
            <v>80.960486523813358</v>
          </cell>
          <cell r="P20">
            <v>76.397475490928429</v>
          </cell>
          <cell r="Q20">
            <v>92.420610566166573</v>
          </cell>
          <cell r="U20">
            <v>19.830678967129099</v>
          </cell>
          <cell r="V20">
            <v>0</v>
          </cell>
          <cell r="W20">
            <v>10.720267055028</v>
          </cell>
          <cell r="X20">
            <v>19.139103648043985</v>
          </cell>
          <cell r="Y20">
            <v>14.836644457556773</v>
          </cell>
          <cell r="Z20">
            <v>16.711004526955413</v>
          </cell>
          <cell r="AA20">
            <v>16.184143053873996</v>
          </cell>
          <cell r="AB20">
            <v>21.913487068366063</v>
          </cell>
          <cell r="AC20">
            <v>19.222910238868838</v>
          </cell>
          <cell r="AD20">
            <v>18.979861882570241</v>
          </cell>
          <cell r="AE20">
            <v>17.910138578136703</v>
          </cell>
          <cell r="AF20">
            <v>21.666500523470805</v>
          </cell>
          <cell r="AJ20">
            <v>31.974918441728278</v>
          </cell>
          <cell r="AK20">
            <v>0</v>
          </cell>
          <cell r="AL20">
            <v>17.285321663784227</v>
          </cell>
          <cell r="AM20">
            <v>30.859824779997741</v>
          </cell>
          <cell r="AN20">
            <v>23.922554405003158</v>
          </cell>
          <cell r="AO20">
            <v>26.944766122957777</v>
          </cell>
          <cell r="AP20">
            <v>26.095256499016436</v>
          </cell>
          <cell r="AQ20">
            <v>35.333231048029532</v>
          </cell>
          <cell r="AR20">
            <v>30.994954238295453</v>
          </cell>
          <cell r="AS20">
            <v>30.603063906001449</v>
          </cell>
          <cell r="AT20">
            <v>28.87824573557095</v>
          </cell>
          <cell r="AU20">
            <v>34.934990794010972</v>
          </cell>
        </row>
        <row r="21">
          <cell r="F21">
            <v>81.369589220272815</v>
          </cell>
          <cell r="G21">
            <v>94.505285992471102</v>
          </cell>
          <cell r="H21">
            <v>0</v>
          </cell>
          <cell r="I21">
            <v>38.108061751141506</v>
          </cell>
          <cell r="J21">
            <v>63.23515459790346</v>
          </cell>
          <cell r="K21">
            <v>69.891046627859396</v>
          </cell>
          <cell r="L21">
            <v>62.439966341144043</v>
          </cell>
          <cell r="M21">
            <v>91.654286629435433</v>
          </cell>
          <cell r="N21">
            <v>81.933578697607629</v>
          </cell>
          <cell r="O21">
            <v>78.840959407963624</v>
          </cell>
          <cell r="P21">
            <v>74.980783207073756</v>
          </cell>
          <cell r="Q21">
            <v>89.446924832545648</v>
          </cell>
          <cell r="U21">
            <v>19.408320440986067</v>
          </cell>
          <cell r="V21">
            <v>22.541454264241665</v>
          </cell>
          <cell r="W21">
            <v>0</v>
          </cell>
          <cell r="X21">
            <v>9.0895564416437793</v>
          </cell>
          <cell r="Y21">
            <v>15.082884838573467</v>
          </cell>
          <cell r="Z21">
            <v>16.670451969928799</v>
          </cell>
          <cell r="AA21">
            <v>14.893216085836901</v>
          </cell>
          <cell r="AB21">
            <v>21.861432283731808</v>
          </cell>
          <cell r="AC21">
            <v>19.542843530095276</v>
          </cell>
          <cell r="AD21">
            <v>18.805190228037908</v>
          </cell>
          <cell r="AE21">
            <v>17.884458817403321</v>
          </cell>
          <cell r="AF21">
            <v>21.334931099520912</v>
          </cell>
          <cell r="AJ21">
            <v>30.757704725263125</v>
          </cell>
          <cell r="AK21">
            <v>35.722998105154076</v>
          </cell>
          <cell r="AL21">
            <v>0</v>
          </cell>
          <cell r="AM21">
            <v>14.40484734193149</v>
          </cell>
          <cell r="AN21">
            <v>23.902888438007505</v>
          </cell>
          <cell r="AO21">
            <v>26.418815625330847</v>
          </cell>
          <cell r="AP21">
            <v>23.602307276952448</v>
          </cell>
          <cell r="AQ21">
            <v>34.645320345926592</v>
          </cell>
          <cell r="AR21">
            <v>30.970892747695682</v>
          </cell>
          <cell r="AS21">
            <v>29.80188265621025</v>
          </cell>
          <cell r="AT21">
            <v>28.342736052273882</v>
          </cell>
          <cell r="AU21">
            <v>33.810937586702252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98.74935639441</v>
          </cell>
          <cell r="Q22">
            <v>117.61435759885921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35.472434206320358</v>
          </cell>
          <cell r="AF22">
            <v>42.249060793679668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37.327256717086975</v>
          </cell>
          <cell r="AU22">
            <v>44.45822717236878</v>
          </cell>
        </row>
        <row r="23">
          <cell r="F23">
            <v>42.477897820242461</v>
          </cell>
          <cell r="G23">
            <v>43.652936977192482</v>
          </cell>
          <cell r="H23">
            <v>42.477897820242418</v>
          </cell>
          <cell r="I23">
            <v>44.821162136617289</v>
          </cell>
          <cell r="J23">
            <v>36.475152635316164</v>
          </cell>
          <cell r="K23">
            <v>40.683057067274461</v>
          </cell>
          <cell r="L23">
            <v>34.620483857249241</v>
          </cell>
          <cell r="M23">
            <v>42.477897820242418</v>
          </cell>
          <cell r="N23">
            <v>43.893827747583828</v>
          </cell>
          <cell r="O23">
            <v>40.731610565739857</v>
          </cell>
          <cell r="P23">
            <v>37.690068692819167</v>
          </cell>
          <cell r="Q23">
            <v>46.546225774457497</v>
          </cell>
          <cell r="U23">
            <v>7.9144898881273793</v>
          </cell>
          <cell r="V23">
            <v>8.1334234042159004</v>
          </cell>
          <cell r="W23">
            <v>7.9144898881273704</v>
          </cell>
          <cell r="X23">
            <v>8.3510873350076356</v>
          </cell>
          <cell r="Y23">
            <v>6.7960572795234597</v>
          </cell>
          <cell r="Z23">
            <v>7.5800748224318539</v>
          </cell>
          <cell r="AA23">
            <v>6.4504950449714205</v>
          </cell>
          <cell r="AB23">
            <v>7.9144898881273704</v>
          </cell>
          <cell r="AC23">
            <v>8.178306217731615</v>
          </cell>
          <cell r="AD23">
            <v>7.5891213193715981</v>
          </cell>
          <cell r="AE23">
            <v>7.0224206672014855</v>
          </cell>
          <cell r="AF23">
            <v>8.6725015155266227</v>
          </cell>
          <cell r="AJ23">
            <v>12.281913140933243</v>
          </cell>
          <cell r="AK23">
            <v>12.621659917572888</v>
          </cell>
          <cell r="AL23">
            <v>12.281913140933231</v>
          </cell>
          <cell r="AM23">
            <v>12.959436518426026</v>
          </cell>
          <cell r="AN23">
            <v>10.546300063270841</v>
          </cell>
          <cell r="AO23">
            <v>11.76295906455578</v>
          </cell>
          <cell r="AP23">
            <v>10.0100475176808</v>
          </cell>
          <cell r="AQ23">
            <v>12.281913140933231</v>
          </cell>
          <cell r="AR23">
            <v>12.691310245631005</v>
          </cell>
          <cell r="AS23">
            <v>11.776997655951332</v>
          </cell>
          <cell r="AT23">
            <v>10.897576709655782</v>
          </cell>
          <cell r="AU23">
            <v>13.458215479950795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2.5917410177576174</v>
          </cell>
          <cell r="H25">
            <v>5.0162729375954491</v>
          </cell>
          <cell r="I25">
            <v>3.6284374248607083</v>
          </cell>
          <cell r="J25">
            <v>3.1100892213091784</v>
          </cell>
          <cell r="K25">
            <v>3.2605774094370341</v>
          </cell>
          <cell r="L25">
            <v>3.1100892213091784</v>
          </cell>
          <cell r="M25">
            <v>4.539076893010467</v>
          </cell>
          <cell r="N25">
            <v>3.4988503739728145</v>
          </cell>
          <cell r="O25">
            <v>3.6284374248606923</v>
          </cell>
          <cell r="P25">
            <v>3.9795765304923538</v>
          </cell>
          <cell r="Q25">
            <v>4.5355467810758423</v>
          </cell>
          <cell r="U25">
            <v>0</v>
          </cell>
          <cell r="V25">
            <v>0.40626604959991025</v>
          </cell>
          <cell r="W25">
            <v>0.78632138632241644</v>
          </cell>
          <cell r="X25">
            <v>0.56877246943988125</v>
          </cell>
          <cell r="Y25">
            <v>0.48751925951989816</v>
          </cell>
          <cell r="Z25">
            <v>0.51110890110956952</v>
          </cell>
          <cell r="AA25">
            <v>0.48751925951989816</v>
          </cell>
          <cell r="AB25">
            <v>0.71151894634483759</v>
          </cell>
          <cell r="AC25">
            <v>0.54845916695988373</v>
          </cell>
          <cell r="AD25">
            <v>0.5687724694398788</v>
          </cell>
          <cell r="AE25">
            <v>0.62381496648244483</v>
          </cell>
          <cell r="AF25">
            <v>0.71096558679984478</v>
          </cell>
          <cell r="AJ25">
            <v>0</v>
          </cell>
          <cell r="AK25">
            <v>1.0503388134723195</v>
          </cell>
          <cell r="AL25">
            <v>2.0329138325270946</v>
          </cell>
          <cell r="AM25">
            <v>1.4704743388612651</v>
          </cell>
          <cell r="AN25">
            <v>1.2604065761667986</v>
          </cell>
          <cell r="AO25">
            <v>1.3213939911426082</v>
          </cell>
          <cell r="AP25">
            <v>1.2604065761667986</v>
          </cell>
          <cell r="AQ25">
            <v>1.8395235501536153</v>
          </cell>
          <cell r="AR25">
            <v>1.4179573981876439</v>
          </cell>
          <cell r="AS25">
            <v>1.4704743388612587</v>
          </cell>
          <cell r="AT25">
            <v>1.6127783071381472</v>
          </cell>
          <cell r="AU25">
            <v>1.8380929235765637</v>
          </cell>
          <cell r="AW25">
            <v>1.9062675437849634</v>
          </cell>
        </row>
        <row r="26">
          <cell r="F26">
            <v>4.0130183500763277</v>
          </cell>
          <cell r="G26">
            <v>5.1834820355152971</v>
          </cell>
          <cell r="H26">
            <v>5.0162729375954491</v>
          </cell>
          <cell r="I26">
            <v>3.6284374248607083</v>
          </cell>
          <cell r="J26">
            <v>3.1100892213091784</v>
          </cell>
          <cell r="K26">
            <v>3.2605774094370341</v>
          </cell>
          <cell r="L26">
            <v>3.1100892213091784</v>
          </cell>
          <cell r="M26">
            <v>4.5146456438359035</v>
          </cell>
          <cell r="N26">
            <v>3.4988503739728145</v>
          </cell>
          <cell r="O26">
            <v>0</v>
          </cell>
          <cell r="P26">
            <v>1.9897882652462124</v>
          </cell>
          <cell r="Q26">
            <v>4.5355467810758423</v>
          </cell>
          <cell r="U26">
            <v>0.61459925335299459</v>
          </cell>
          <cell r="V26">
            <v>0.79385736891429093</v>
          </cell>
          <cell r="W26">
            <v>0.76824906669124937</v>
          </cell>
          <cell r="X26">
            <v>0.55570015824000374</v>
          </cell>
          <cell r="Y26">
            <v>0.4763144213485746</v>
          </cell>
          <cell r="Z26">
            <v>0.4993618933493108</v>
          </cell>
          <cell r="AA26">
            <v>0.4763144213485746</v>
          </cell>
          <cell r="AB26">
            <v>0.69142416002212426</v>
          </cell>
          <cell r="AC26">
            <v>0.53585372401714459</v>
          </cell>
          <cell r="AD26">
            <v>0</v>
          </cell>
          <cell r="AE26">
            <v>0.30473879645419827</v>
          </cell>
          <cell r="AF26">
            <v>0.69462519779999798</v>
          </cell>
          <cell r="AJ26">
            <v>1.6263310660216628</v>
          </cell>
          <cell r="AK26">
            <v>2.1006776269446643</v>
          </cell>
          <cell r="AL26">
            <v>2.0329138325270946</v>
          </cell>
          <cell r="AM26">
            <v>1.4704743388612651</v>
          </cell>
          <cell r="AN26">
            <v>1.2604065761667986</v>
          </cell>
          <cell r="AO26">
            <v>1.3213939911426082</v>
          </cell>
          <cell r="AP26">
            <v>1.2604065761667986</v>
          </cell>
          <cell r="AQ26">
            <v>1.8296224492743849</v>
          </cell>
          <cell r="AR26">
            <v>1.4179573981876439</v>
          </cell>
          <cell r="AS26">
            <v>0</v>
          </cell>
          <cell r="AT26">
            <v>0.80638915356908802</v>
          </cell>
          <cell r="AU26">
            <v>1.8380929235765637</v>
          </cell>
        </row>
        <row r="27">
          <cell r="F27">
            <v>4.0130183500763277</v>
          </cell>
          <cell r="G27">
            <v>5.1834820355152971</v>
          </cell>
          <cell r="H27">
            <v>5.0162729375954491</v>
          </cell>
          <cell r="I27">
            <v>3.6284374248607083</v>
          </cell>
          <cell r="J27">
            <v>3.1100892213091784</v>
          </cell>
          <cell r="K27">
            <v>3.2605774094370341</v>
          </cell>
          <cell r="L27">
            <v>3.1100892213091784</v>
          </cell>
          <cell r="M27">
            <v>4.5146456438359035</v>
          </cell>
          <cell r="N27">
            <v>3.4988503739728145</v>
          </cell>
          <cell r="O27">
            <v>3.6284374248606923</v>
          </cell>
          <cell r="P27">
            <v>3.9795765304923538</v>
          </cell>
          <cell r="Q27">
            <v>4.5355467810758423</v>
          </cell>
          <cell r="U27">
            <v>0.54187329838676646</v>
          </cell>
          <cell r="V27">
            <v>0.69991967708291214</v>
          </cell>
          <cell r="W27">
            <v>0.67734162298346345</v>
          </cell>
          <cell r="X27">
            <v>0.48994377395803862</v>
          </cell>
          <cell r="Y27">
            <v>0.41995180624974732</v>
          </cell>
          <cell r="Z27">
            <v>0.44027205493925015</v>
          </cell>
          <cell r="AA27">
            <v>0.41995180624974732</v>
          </cell>
          <cell r="AB27">
            <v>0.60960746068511695</v>
          </cell>
          <cell r="AC27">
            <v>0.47244578203096427</v>
          </cell>
          <cell r="AD27">
            <v>0.4899437739580364</v>
          </cell>
          <cell r="AE27">
            <v>0.53735768756687619</v>
          </cell>
          <cell r="AF27">
            <v>0.61242971744754238</v>
          </cell>
          <cell r="AJ27">
            <v>1.6263310660216628</v>
          </cell>
          <cell r="AK27">
            <v>2.1006776269446643</v>
          </cell>
          <cell r="AL27">
            <v>2.0329138325270946</v>
          </cell>
          <cell r="AM27">
            <v>1.4704743388612651</v>
          </cell>
          <cell r="AN27">
            <v>1.2604065761667986</v>
          </cell>
          <cell r="AO27">
            <v>1.3213939911426082</v>
          </cell>
          <cell r="AP27">
            <v>1.2604065761667986</v>
          </cell>
          <cell r="AQ27">
            <v>1.8296224492743849</v>
          </cell>
          <cell r="AR27">
            <v>1.4179573981876439</v>
          </cell>
          <cell r="AS27">
            <v>1.4704743388612587</v>
          </cell>
          <cell r="AT27">
            <v>1.6127783071381472</v>
          </cell>
          <cell r="AU27">
            <v>1.8380929235765637</v>
          </cell>
        </row>
        <row r="28">
          <cell r="F28">
            <v>10.032545875190916</v>
          </cell>
          <cell r="G28">
            <v>12.958705088788214</v>
          </cell>
          <cell r="H28">
            <v>12.540682343988593</v>
          </cell>
          <cell r="I28">
            <v>9.0710935621517805</v>
          </cell>
          <cell r="J28">
            <v>7.7752230532729456</v>
          </cell>
          <cell r="K28">
            <v>8.1514435235926079</v>
          </cell>
          <cell r="L28">
            <v>7.7752230532729456</v>
          </cell>
          <cell r="M28">
            <v>11.235686376489657</v>
          </cell>
          <cell r="N28">
            <v>8.7471259349320718</v>
          </cell>
          <cell r="O28">
            <v>8.8318335033060968</v>
          </cell>
          <cell r="P28">
            <v>9.9489413262309938</v>
          </cell>
          <cell r="Q28">
            <v>11.338866952689738</v>
          </cell>
          <cell r="U28">
            <v>1.358003246554399</v>
          </cell>
          <cell r="V28">
            <v>1.7540875267994251</v>
          </cell>
          <cell r="W28">
            <v>1.6975040581929917</v>
          </cell>
          <cell r="X28">
            <v>1.2278612687596016</v>
          </cell>
          <cell r="Y28">
            <v>1.0524525160796574</v>
          </cell>
          <cell r="Z28">
            <v>1.1033776378254478</v>
          </cell>
          <cell r="AA28">
            <v>1.0524525160796574</v>
          </cell>
          <cell r="AB28">
            <v>1.5208600854017653</v>
          </cell>
          <cell r="AC28">
            <v>1.1840090805896155</v>
          </cell>
          <cell r="AD28">
            <v>1.1954750787809736</v>
          </cell>
          <cell r="AE28">
            <v>1.3466865528331127</v>
          </cell>
          <cell r="AF28">
            <v>1.5348265859495038</v>
          </cell>
          <cell r="AJ28">
            <v>4.0658276650541962</v>
          </cell>
          <cell r="AK28">
            <v>5.2516940673616492</v>
          </cell>
          <cell r="AL28">
            <v>5.0822845813177242</v>
          </cell>
          <cell r="AM28">
            <v>3.6761858471531665</v>
          </cell>
          <cell r="AN28">
            <v>3.1510164404169965</v>
          </cell>
          <cell r="AO28">
            <v>3.3034849778565301</v>
          </cell>
          <cell r="AP28">
            <v>3.1510164404169965</v>
          </cell>
          <cell r="AQ28">
            <v>4.5534169565444289</v>
          </cell>
          <cell r="AR28">
            <v>3.544893495469124</v>
          </cell>
          <cell r="AS28">
            <v>3.579222406517141</v>
          </cell>
          <cell r="AT28">
            <v>4.0319457678454125</v>
          </cell>
          <cell r="AU28">
            <v>4.5952323089414637</v>
          </cell>
        </row>
        <row r="29">
          <cell r="F29">
            <v>10.032545875190916</v>
          </cell>
          <cell r="G29">
            <v>12.958705088788214</v>
          </cell>
          <cell r="H29">
            <v>12.540682343988593</v>
          </cell>
          <cell r="I29">
            <v>8.700150760185366</v>
          </cell>
          <cell r="J29">
            <v>7.7752230532729456</v>
          </cell>
          <cell r="K29">
            <v>8.1514435235926079</v>
          </cell>
          <cell r="L29">
            <v>7.7752230532729456</v>
          </cell>
          <cell r="M29">
            <v>10.973097050990066</v>
          </cell>
          <cell r="N29">
            <v>0</v>
          </cell>
          <cell r="O29">
            <v>4.3735629674660359</v>
          </cell>
          <cell r="P29">
            <v>9.9489413262309938</v>
          </cell>
          <cell r="Q29">
            <v>11.338866952689738</v>
          </cell>
          <cell r="U29">
            <v>1.5377258244811161</v>
          </cell>
          <cell r="V29">
            <v>1.986229189954767</v>
          </cell>
          <cell r="W29">
            <v>1.9221572806013871</v>
          </cell>
          <cell r="X29">
            <v>1.3335046425154238</v>
          </cell>
          <cell r="Y29">
            <v>1.1917375139728628</v>
          </cell>
          <cell r="Z29">
            <v>1.2494022323909051</v>
          </cell>
          <cell r="AA29">
            <v>1.1917375139728628</v>
          </cell>
          <cell r="AB29">
            <v>1.681887620526221</v>
          </cell>
          <cell r="AC29">
            <v>0</v>
          </cell>
          <cell r="AD29">
            <v>0.67035235160973594</v>
          </cell>
          <cell r="AE29">
            <v>1.5249114426104406</v>
          </cell>
          <cell r="AF29">
            <v>1.737950541210429</v>
          </cell>
          <cell r="AJ29">
            <v>4.0658276650541962</v>
          </cell>
          <cell r="AK29">
            <v>5.2516940673616492</v>
          </cell>
          <cell r="AL29">
            <v>5.0822845813177242</v>
          </cell>
          <cell r="AM29">
            <v>3.5258561576456104</v>
          </cell>
          <cell r="AN29">
            <v>3.1510164404169965</v>
          </cell>
          <cell r="AO29">
            <v>3.3034849778565301</v>
          </cell>
          <cell r="AP29">
            <v>3.1510164404169965</v>
          </cell>
          <cell r="AQ29">
            <v>4.4469990086530284</v>
          </cell>
          <cell r="AR29">
            <v>0</v>
          </cell>
          <cell r="AS29">
            <v>1.772446747734562</v>
          </cell>
          <cell r="AT29">
            <v>4.0319457678454125</v>
          </cell>
          <cell r="AU29">
            <v>4.5952323089414637</v>
          </cell>
        </row>
        <row r="30">
          <cell r="F30">
            <v>10.816338521690231</v>
          </cell>
          <cell r="G30">
            <v>13.217879190563963</v>
          </cell>
          <cell r="H30">
            <v>12.791495990868352</v>
          </cell>
          <cell r="I30">
            <v>9.7190288165911731</v>
          </cell>
          <cell r="J30">
            <v>8.5527453586002409</v>
          </cell>
          <cell r="K30">
            <v>8.8411810525119812</v>
          </cell>
          <cell r="L30">
            <v>8.5527453586002409</v>
          </cell>
          <cell r="M30">
            <v>12.227165285388867</v>
          </cell>
          <cell r="N30">
            <v>10.623193129691</v>
          </cell>
          <cell r="O30">
            <v>10.885312274582162</v>
          </cell>
          <cell r="P30">
            <v>10.358603616134648</v>
          </cell>
          <cell r="Q30">
            <v>11.760024868075384</v>
          </cell>
          <cell r="U30">
            <v>1.3507261053834438</v>
          </cell>
          <cell r="V30">
            <v>1.6506264522598717</v>
          </cell>
          <cell r="W30">
            <v>1.5973804376708436</v>
          </cell>
          <cell r="X30">
            <v>1.2136959207793203</v>
          </cell>
          <cell r="Y30">
            <v>1.0680524102858029</v>
          </cell>
          <cell r="Z30">
            <v>1.1040717730960283</v>
          </cell>
          <cell r="AA30">
            <v>1.0680524102858029</v>
          </cell>
          <cell r="AB30">
            <v>1.5269077713030126</v>
          </cell>
          <cell r="AC30">
            <v>1.3266064347033226</v>
          </cell>
          <cell r="AD30">
            <v>1.3593394312728448</v>
          </cell>
          <cell r="AE30">
            <v>1.2935649426628697</v>
          </cell>
          <cell r="AF30">
            <v>1.4685720641429856</v>
          </cell>
          <cell r="AJ30">
            <v>4.2228197018593097</v>
          </cell>
          <cell r="AK30">
            <v>5.1604080762431055</v>
          </cell>
          <cell r="AL30">
            <v>4.9939432995901019</v>
          </cell>
          <cell r="AM30">
            <v>3.7944177031199393</v>
          </cell>
          <cell r="AN30">
            <v>3.3390875787455507</v>
          </cell>
          <cell r="AO30">
            <v>3.4516961041284659</v>
          </cell>
          <cell r="AP30">
            <v>3.3390875787455507</v>
          </cell>
          <cell r="AQ30">
            <v>4.7736222716670103</v>
          </cell>
          <cell r="AR30">
            <v>4.1474135775944188</v>
          </cell>
          <cell r="AS30">
            <v>4.2497478274943514</v>
          </cell>
          <cell r="AT30">
            <v>4.0441148680994674</v>
          </cell>
          <cell r="AU30">
            <v>4.5912454207751523</v>
          </cell>
        </row>
        <row r="31">
          <cell r="F31">
            <v>11.273402873763541</v>
          </cell>
          <cell r="G31">
            <v>13.776425077039697</v>
          </cell>
          <cell r="H31">
            <v>13.332024268102934</v>
          </cell>
          <cell r="I31">
            <v>0</v>
          </cell>
          <cell r="J31">
            <v>4.4570787013951918</v>
          </cell>
          <cell r="K31">
            <v>9.2147814794240794</v>
          </cell>
          <cell r="L31">
            <v>8.9141574027903836</v>
          </cell>
          <cell r="M31">
            <v>12.743846726863097</v>
          </cell>
          <cell r="N31">
            <v>11.041399510274456</v>
          </cell>
          <cell r="O31">
            <v>11.34529123991507</v>
          </cell>
          <cell r="P31">
            <v>10.796325534757898</v>
          </cell>
          <cell r="Q31">
            <v>12.256966428836829</v>
          </cell>
          <cell r="U31">
            <v>1.5164328304840207</v>
          </cell>
          <cell r="V31">
            <v>1.8531248734262646</v>
          </cell>
          <cell r="W31">
            <v>1.7933466517028371</v>
          </cell>
          <cell r="X31">
            <v>0</v>
          </cell>
          <cell r="Y31">
            <v>0.59954040022614397</v>
          </cell>
          <cell r="Z31">
            <v>1.2395190092651953</v>
          </cell>
          <cell r="AA31">
            <v>1.1990808004522879</v>
          </cell>
          <cell r="AB31">
            <v>1.7142284170688882</v>
          </cell>
          <cell r="AC31">
            <v>1.4852250823784023</v>
          </cell>
          <cell r="AD31">
            <v>1.5261028369392804</v>
          </cell>
          <cell r="AE31">
            <v>1.4522591512809293</v>
          </cell>
          <cell r="AF31">
            <v>1.6487361006219028</v>
          </cell>
          <cell r="AJ31">
            <v>4.4012627440294727</v>
          </cell>
          <cell r="AK31">
            <v>5.3784706460371607</v>
          </cell>
          <cell r="AL31">
            <v>5.2049715929391889</v>
          </cell>
          <cell r="AM31">
            <v>0</v>
          </cell>
          <cell r="AN31">
            <v>1.7400934443061389</v>
          </cell>
          <cell r="AO31">
            <v>3.5975538951197308</v>
          </cell>
          <cell r="AP31">
            <v>3.4801868886122778</v>
          </cell>
          <cell r="AQ31">
            <v>4.9753404932506946</v>
          </cell>
          <cell r="AR31">
            <v>4.3106860324856635</v>
          </cell>
          <cell r="AS31">
            <v>4.4293287673247317</v>
          </cell>
          <cell r="AT31">
            <v>4.2150064076154736</v>
          </cell>
          <cell r="AU31">
            <v>4.7852569718419016</v>
          </cell>
        </row>
        <row r="32">
          <cell r="F32">
            <v>4.3055906074551871</v>
          </cell>
          <cell r="G32">
            <v>4.4491102943703602</v>
          </cell>
          <cell r="H32">
            <v>4.3055906074551871</v>
          </cell>
          <cell r="I32">
            <v>4.4491102943703602</v>
          </cell>
          <cell r="J32">
            <v>4.4491102943703602</v>
          </cell>
          <cell r="K32">
            <v>4.3055906074551871</v>
          </cell>
          <cell r="L32">
            <v>4.4491102943703602</v>
          </cell>
          <cell r="M32">
            <v>4.3055906074551871</v>
          </cell>
          <cell r="N32">
            <v>4.4491102943703602</v>
          </cell>
          <cell r="O32">
            <v>4.4491102943703602</v>
          </cell>
          <cell r="P32">
            <v>4.0185512336248408</v>
          </cell>
          <cell r="Q32">
            <v>4.4491102943703602</v>
          </cell>
          <cell r="AJ32">
            <v>1.1625094640129006</v>
          </cell>
          <cell r="AK32">
            <v>1.2012597794799973</v>
          </cell>
          <cell r="AL32">
            <v>1.1625094640129006</v>
          </cell>
          <cell r="AM32">
            <v>1.2012597794799973</v>
          </cell>
          <cell r="AN32">
            <v>1.2012597794799973</v>
          </cell>
          <cell r="AO32">
            <v>1.1625094640129006</v>
          </cell>
          <cell r="AP32">
            <v>1.2012597794799973</v>
          </cell>
          <cell r="AQ32">
            <v>1.1625094640129006</v>
          </cell>
          <cell r="AR32">
            <v>1.2012597794799973</v>
          </cell>
          <cell r="AS32">
            <v>1.2012597794799973</v>
          </cell>
          <cell r="AT32">
            <v>1.0850088330787071</v>
          </cell>
          <cell r="AU32">
            <v>1.2012597794799973</v>
          </cell>
        </row>
        <row r="33">
          <cell r="F33">
            <v>0.67676220135742837</v>
          </cell>
          <cell r="G33">
            <v>0.85723212171944407</v>
          </cell>
          <cell r="H33">
            <v>0.8514105113851298</v>
          </cell>
          <cell r="I33">
            <v>0.58652724117645216</v>
          </cell>
          <cell r="J33">
            <v>0.5414097610859625</v>
          </cell>
          <cell r="K33">
            <v>0.52394493008318954</v>
          </cell>
          <cell r="L33">
            <v>0.5414097610859625</v>
          </cell>
          <cell r="M33">
            <v>0.65493116260396578</v>
          </cell>
          <cell r="N33">
            <v>0.58652724117645216</v>
          </cell>
          <cell r="O33">
            <v>0.58652724117645216</v>
          </cell>
          <cell r="P33">
            <v>0.65202035743683173</v>
          </cell>
          <cell r="Q33">
            <v>0.76699716153841035</v>
          </cell>
          <cell r="U33">
            <v>5.0936395759716632E-2</v>
          </cell>
          <cell r="V33">
            <v>6.451943462897701E-2</v>
          </cell>
          <cell r="W33">
            <v>6.4081272084803131E-2</v>
          </cell>
          <cell r="X33">
            <v>4.4144876325088817E-2</v>
          </cell>
          <cell r="Y33">
            <v>4.0749116607774791E-2</v>
          </cell>
          <cell r="Z33">
            <v>3.9434628975265937E-2</v>
          </cell>
          <cell r="AA33">
            <v>4.0749116607774791E-2</v>
          </cell>
          <cell r="AB33">
            <v>4.9293286219080822E-2</v>
          </cell>
          <cell r="AC33">
            <v>4.4144876325088817E-2</v>
          </cell>
          <cell r="AD33">
            <v>4.4144876325088817E-2</v>
          </cell>
          <cell r="AE33">
            <v>4.9074204946995617E-2</v>
          </cell>
          <cell r="AF33">
            <v>5.7727915194344878E-2</v>
          </cell>
          <cell r="AJ33">
            <v>0.48104460301146423</v>
          </cell>
          <cell r="AK33">
            <v>0.6093231638145461</v>
          </cell>
          <cell r="AL33">
            <v>0.60518514572408455</v>
          </cell>
          <cell r="AM33">
            <v>0.41690532260994584</v>
          </cell>
          <cell r="AN33">
            <v>0.38483568240918548</v>
          </cell>
          <cell r="AO33">
            <v>0.37242162813792146</v>
          </cell>
          <cell r="AP33">
            <v>0.38483568240918548</v>
          </cell>
          <cell r="AQ33">
            <v>0.46552703517238675</v>
          </cell>
          <cell r="AR33">
            <v>0.41690532260994584</v>
          </cell>
          <cell r="AS33">
            <v>0.41690532260994584</v>
          </cell>
          <cell r="AT33">
            <v>0.46345802612717241</v>
          </cell>
          <cell r="AU33">
            <v>0.54518388341298674</v>
          </cell>
        </row>
        <row r="34">
          <cell r="F34">
            <v>1.1984300583762586</v>
          </cell>
          <cell r="G34">
            <v>1.1860519075385692</v>
          </cell>
          <cell r="H34">
            <v>1.1984300583762586</v>
          </cell>
          <cell r="I34">
            <v>1.264540636713916</v>
          </cell>
          <cell r="J34">
            <v>1.0290744491878763</v>
          </cell>
          <cell r="K34">
            <v>1.1079856368534813</v>
          </cell>
          <cell r="L34">
            <v>0.97674862973764531</v>
          </cell>
          <cell r="M34">
            <v>1.1984300583762586</v>
          </cell>
          <cell r="N34">
            <v>1.2122148172636851</v>
          </cell>
          <cell r="O34">
            <v>1.1337260880883386</v>
          </cell>
          <cell r="P34">
            <v>1.0378849825907426</v>
          </cell>
          <cell r="Q34">
            <v>1.264540636713916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J34">
            <v>0.40812403810697068</v>
          </cell>
          <cell r="AK34">
            <v>0.40390867245516143</v>
          </cell>
          <cell r="AL34">
            <v>0.40812403810697068</v>
          </cell>
          <cell r="AM34">
            <v>0.43063792283822372</v>
          </cell>
          <cell r="AN34">
            <v>0.35045017168903714</v>
          </cell>
          <cell r="AO34">
            <v>0.37732328984625252</v>
          </cell>
          <cell r="AP34">
            <v>0.33263067143366237</v>
          </cell>
          <cell r="AQ34">
            <v>0.40812403810697068</v>
          </cell>
          <cell r="AR34">
            <v>0.41281842258284895</v>
          </cell>
          <cell r="AS34">
            <v>0.38608917219978678</v>
          </cell>
          <cell r="AT34">
            <v>0.35345058914779648</v>
          </cell>
          <cell r="AU34">
            <v>0.43063792283822372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6.8239710981387098</v>
          </cell>
          <cell r="G36">
            <v>7.0514368014100022</v>
          </cell>
          <cell r="H36">
            <v>6.8239710981387098</v>
          </cell>
          <cell r="I36">
            <v>7.0514368014100022</v>
          </cell>
          <cell r="J36">
            <v>7.0514368014100022</v>
          </cell>
          <cell r="K36">
            <v>6.8239710981387098</v>
          </cell>
          <cell r="L36">
            <v>7.0514368014100022</v>
          </cell>
          <cell r="M36">
            <v>6.8239710981387098</v>
          </cell>
          <cell r="N36">
            <v>7.0514368014100022</v>
          </cell>
          <cell r="O36">
            <v>7.0514368014100022</v>
          </cell>
          <cell r="P36">
            <v>6.3690396915961287</v>
          </cell>
          <cell r="Q36">
            <v>7.0514368014100022</v>
          </cell>
          <cell r="AJ36">
            <v>2.4907494508206289</v>
          </cell>
          <cell r="AK36">
            <v>2.573774432514651</v>
          </cell>
          <cell r="AL36">
            <v>2.4907494508206289</v>
          </cell>
          <cell r="AM36">
            <v>2.573774432514651</v>
          </cell>
          <cell r="AN36">
            <v>2.573774432514651</v>
          </cell>
          <cell r="AO36">
            <v>2.4907494508206289</v>
          </cell>
          <cell r="AP36">
            <v>2.573774432514651</v>
          </cell>
          <cell r="AQ36">
            <v>2.4907494508206289</v>
          </cell>
          <cell r="AR36">
            <v>2.573774432514651</v>
          </cell>
          <cell r="AS36">
            <v>2.573774432514651</v>
          </cell>
          <cell r="AT36">
            <v>2.3246994874325866</v>
          </cell>
          <cell r="AU36">
            <v>2.573774432514651</v>
          </cell>
        </row>
        <row r="37">
          <cell r="F37">
            <v>6.8239710981387098</v>
          </cell>
          <cell r="G37">
            <v>7.0514368014100022</v>
          </cell>
          <cell r="H37">
            <v>6.8239710981387098</v>
          </cell>
          <cell r="I37">
            <v>7.0514368014100022</v>
          </cell>
          <cell r="J37">
            <v>7.0514368014100022</v>
          </cell>
          <cell r="K37">
            <v>6.8239710981387098</v>
          </cell>
          <cell r="L37">
            <v>7.0514368014100022</v>
          </cell>
          <cell r="M37">
            <v>6.8239710981387098</v>
          </cell>
          <cell r="N37">
            <v>7.0514368014100022</v>
          </cell>
          <cell r="O37">
            <v>7.0514368014100022</v>
          </cell>
          <cell r="P37">
            <v>6.3690396915961287</v>
          </cell>
          <cell r="Q37">
            <v>7.0514368014100022</v>
          </cell>
          <cell r="AJ37">
            <v>2.4907494508206289</v>
          </cell>
          <cell r="AK37">
            <v>2.573774432514651</v>
          </cell>
          <cell r="AL37">
            <v>2.4907494508206289</v>
          </cell>
          <cell r="AM37">
            <v>2.573774432514651</v>
          </cell>
          <cell r="AN37">
            <v>2.573774432514651</v>
          </cell>
          <cell r="AO37">
            <v>2.4907494508206289</v>
          </cell>
          <cell r="AP37">
            <v>2.573774432514651</v>
          </cell>
          <cell r="AQ37">
            <v>2.4907494508206289</v>
          </cell>
          <cell r="AR37">
            <v>2.573774432514651</v>
          </cell>
          <cell r="AS37">
            <v>2.573774432514651</v>
          </cell>
          <cell r="AT37">
            <v>2.3246994874325866</v>
          </cell>
          <cell r="AU37">
            <v>2.573774432514651</v>
          </cell>
        </row>
        <row r="38">
          <cell r="F38">
            <v>6.8239710981387098</v>
          </cell>
          <cell r="G38">
            <v>7.0514368014100022</v>
          </cell>
          <cell r="H38">
            <v>6.8239710981387098</v>
          </cell>
          <cell r="I38">
            <v>7.0514368014100022</v>
          </cell>
          <cell r="J38">
            <v>7.0514368014100022</v>
          </cell>
          <cell r="K38">
            <v>6.8239710981387098</v>
          </cell>
          <cell r="L38">
            <v>7.0514368014100022</v>
          </cell>
          <cell r="M38">
            <v>6.8239710981387098</v>
          </cell>
          <cell r="N38">
            <v>7.0514368014100022</v>
          </cell>
          <cell r="O38">
            <v>7.0514368014100022</v>
          </cell>
          <cell r="P38">
            <v>6.3690396915961287</v>
          </cell>
          <cell r="Q38">
            <v>7.0514368014100022</v>
          </cell>
          <cell r="AJ38">
            <v>2.4907494508206289</v>
          </cell>
          <cell r="AK38">
            <v>2.573774432514651</v>
          </cell>
          <cell r="AL38">
            <v>2.4907494508206289</v>
          </cell>
          <cell r="AM38">
            <v>2.573774432514651</v>
          </cell>
          <cell r="AN38">
            <v>2.573774432514651</v>
          </cell>
          <cell r="AO38">
            <v>2.4907494508206289</v>
          </cell>
          <cell r="AP38">
            <v>2.573774432514651</v>
          </cell>
          <cell r="AQ38">
            <v>2.4907494508206289</v>
          </cell>
          <cell r="AR38">
            <v>2.573774432514651</v>
          </cell>
          <cell r="AS38">
            <v>2.573774432514651</v>
          </cell>
          <cell r="AT38">
            <v>2.3246994874325866</v>
          </cell>
          <cell r="AU38">
            <v>2.573774432514651</v>
          </cell>
        </row>
        <row r="39">
          <cell r="F39">
            <v>6.8239710981387098</v>
          </cell>
          <cell r="G39">
            <v>7.0514368014100022</v>
          </cell>
          <cell r="H39">
            <v>6.8239710981387098</v>
          </cell>
          <cell r="I39">
            <v>7.0514368014100022</v>
          </cell>
          <cell r="J39">
            <v>7.0514368014100022</v>
          </cell>
          <cell r="K39">
            <v>6.8239710981387098</v>
          </cell>
          <cell r="L39">
            <v>7.0514368014100022</v>
          </cell>
          <cell r="M39">
            <v>6.8239710981387098</v>
          </cell>
          <cell r="N39">
            <v>7.0514368014100022</v>
          </cell>
          <cell r="O39">
            <v>7.0514368014100022</v>
          </cell>
          <cell r="P39">
            <v>6.3690396915961287</v>
          </cell>
          <cell r="Q39">
            <v>7.0514368014100022</v>
          </cell>
          <cell r="AJ39">
            <v>2.4907494508206289</v>
          </cell>
          <cell r="AK39">
            <v>2.573774432514651</v>
          </cell>
          <cell r="AL39">
            <v>2.4907494508206289</v>
          </cell>
          <cell r="AM39">
            <v>2.573774432514651</v>
          </cell>
          <cell r="AN39">
            <v>2.573774432514651</v>
          </cell>
          <cell r="AO39">
            <v>2.4907494508206289</v>
          </cell>
          <cell r="AP39">
            <v>2.573774432514651</v>
          </cell>
          <cell r="AQ39">
            <v>2.4907494508206289</v>
          </cell>
          <cell r="AR39">
            <v>2.573774432514651</v>
          </cell>
          <cell r="AS39">
            <v>2.573774432514651</v>
          </cell>
          <cell r="AT39">
            <v>2.3246994874325866</v>
          </cell>
          <cell r="AU39">
            <v>2.573774432514651</v>
          </cell>
        </row>
        <row r="40">
          <cell r="F40">
            <v>63.816560105528509</v>
          </cell>
          <cell r="G40">
            <v>80.41487223607021</v>
          </cell>
          <cell r="H40">
            <v>78.969950036494026</v>
          </cell>
          <cell r="I40">
            <v>53.579320255266651</v>
          </cell>
          <cell r="J40">
            <v>49.457834081784597</v>
          </cell>
          <cell r="K40">
            <v>51.850955085741916</v>
          </cell>
          <cell r="L40">
            <v>49.457834081784597</v>
          </cell>
          <cell r="M40">
            <v>0</v>
          </cell>
          <cell r="N40">
            <v>27.820031671003832</v>
          </cell>
          <cell r="O40">
            <v>55.640063342007664</v>
          </cell>
          <cell r="P40">
            <v>61.448680683414381</v>
          </cell>
          <cell r="Q40">
            <v>72.126008035935882</v>
          </cell>
          <cell r="U40">
            <v>10.964449168493669</v>
          </cell>
          <cell r="V40">
            <v>13.816237941457477</v>
          </cell>
          <cell r="W40">
            <v>13.567983006006816</v>
          </cell>
          <cell r="X40">
            <v>9.2055687810478091</v>
          </cell>
          <cell r="Y40">
            <v>8.4974481055825937</v>
          </cell>
          <cell r="Z40">
            <v>8.9086149494011053</v>
          </cell>
          <cell r="AA40">
            <v>8.4974481055825937</v>
          </cell>
          <cell r="AB40">
            <v>0</v>
          </cell>
          <cell r="AC40">
            <v>4.7798145593902079</v>
          </cell>
          <cell r="AD40">
            <v>9.5596291187804159</v>
          </cell>
          <cell r="AE40">
            <v>10.557619130679653</v>
          </cell>
          <cell r="AF40">
            <v>12.392111820641283</v>
          </cell>
          <cell r="AJ40">
            <v>27.555116366693767</v>
          </cell>
          <cell r="AK40">
            <v>34.722040147785478</v>
          </cell>
          <cell r="AL40">
            <v>34.098142537442619</v>
          </cell>
          <cell r="AM40">
            <v>23.134816449536643</v>
          </cell>
          <cell r="AN40">
            <v>21.355215184187667</v>
          </cell>
          <cell r="AO40">
            <v>22.388532047938686</v>
          </cell>
          <cell r="AP40">
            <v>21.355215184187667</v>
          </cell>
          <cell r="AQ40">
            <v>0</v>
          </cell>
          <cell r="AR40">
            <v>12.012308541105563</v>
          </cell>
          <cell r="AS40">
            <v>24.024617082211126</v>
          </cell>
          <cell r="AT40">
            <v>26.532698472172967</v>
          </cell>
          <cell r="AU40">
            <v>31.14302214360702</v>
          </cell>
        </row>
        <row r="41">
          <cell r="F41">
            <v>30.386582525660828</v>
          </cell>
          <cell r="G41">
            <v>39.249335762311901</v>
          </cell>
          <cell r="H41">
            <v>0</v>
          </cell>
          <cell r="I41">
            <v>12.756034122751359</v>
          </cell>
          <cell r="J41">
            <v>23.549601457387141</v>
          </cell>
          <cell r="K41">
            <v>24.689098302099417</v>
          </cell>
          <cell r="L41">
            <v>23.549601457387141</v>
          </cell>
          <cell r="M41">
            <v>31.99163863431059</v>
          </cell>
          <cell r="N41">
            <v>26.493301639560528</v>
          </cell>
          <cell r="O41">
            <v>26.493301639560528</v>
          </cell>
          <cell r="P41">
            <v>30.133361004613647</v>
          </cell>
          <cell r="Q41">
            <v>34.343168792022908</v>
          </cell>
          <cell r="U41">
            <v>11.083110595440079</v>
          </cell>
          <cell r="V41">
            <v>14.315684519110102</v>
          </cell>
          <cell r="W41">
            <v>0</v>
          </cell>
          <cell r="X41">
            <v>4.6525974687107787</v>
          </cell>
          <cell r="Y41">
            <v>8.5894107114660603</v>
          </cell>
          <cell r="Z41">
            <v>9.0050273587950613</v>
          </cell>
          <cell r="AA41">
            <v>8.5894107114660603</v>
          </cell>
          <cell r="AB41">
            <v>11.668533926577416</v>
          </cell>
          <cell r="AC41">
            <v>9.6630870503993158</v>
          </cell>
          <cell r="AD41">
            <v>9.6630870503993158</v>
          </cell>
          <cell r="AE41">
            <v>10.990751340478074</v>
          </cell>
          <cell r="AF41">
            <v>12.526223954221336</v>
          </cell>
          <cell r="AJ41">
            <v>12.862613035187957</v>
          </cell>
          <cell r="AK41">
            <v>16.614208503784443</v>
          </cell>
          <cell r="AL41">
            <v>0</v>
          </cell>
          <cell r="AM41">
            <v>5.3996177637299398</v>
          </cell>
          <cell r="AN41">
            <v>9.9685251022706645</v>
          </cell>
          <cell r="AO41">
            <v>10.450873091090212</v>
          </cell>
          <cell r="AP41">
            <v>9.9685251022706645</v>
          </cell>
          <cell r="AQ41">
            <v>13.542031841428903</v>
          </cell>
          <cell r="AR41">
            <v>11.214590740054495</v>
          </cell>
          <cell r="AS41">
            <v>11.214590740054495</v>
          </cell>
          <cell r="AT41">
            <v>12.755424593228053</v>
          </cell>
          <cell r="AU41">
            <v>14.537432440811383</v>
          </cell>
          <cell r="AW41">
            <v>2.577011187045855</v>
          </cell>
        </row>
        <row r="42">
          <cell r="F42">
            <v>8.9186277593388787</v>
          </cell>
          <cell r="G42">
            <v>8.8422971613985908</v>
          </cell>
          <cell r="H42">
            <v>8.7378447642171437</v>
          </cell>
          <cell r="I42">
            <v>9.4027244462759647</v>
          </cell>
          <cell r="J42">
            <v>8.4686789714803403</v>
          </cell>
          <cell r="K42">
            <v>9.6417597398258117</v>
          </cell>
          <cell r="L42">
            <v>8.8422971613985908</v>
          </cell>
          <cell r="M42">
            <v>8.7378447642171437</v>
          </cell>
          <cell r="N42">
            <v>9.2159153513168413</v>
          </cell>
          <cell r="O42">
            <v>9.2159153513168413</v>
          </cell>
          <cell r="P42">
            <v>8.4927833708299048</v>
          </cell>
          <cell r="Q42">
            <v>9.9631517311533386</v>
          </cell>
          <cell r="U42">
            <v>1.2711406351263776</v>
          </cell>
          <cell r="V42">
            <v>1.2602615035644853</v>
          </cell>
          <cell r="W42">
            <v>1.2453742709008429</v>
          </cell>
          <cell r="X42">
            <v>1.3401372326636425</v>
          </cell>
          <cell r="Y42">
            <v>1.2070110174983804</v>
          </cell>
          <cell r="Z42">
            <v>1.374206092028516</v>
          </cell>
          <cell r="AA42">
            <v>1.2602615035644853</v>
          </cell>
          <cell r="AB42">
            <v>1.2453742709008429</v>
          </cell>
          <cell r="AC42">
            <v>1.3135119896305905</v>
          </cell>
          <cell r="AD42">
            <v>1.3135119896305905</v>
          </cell>
          <cell r="AE42">
            <v>1.2104465327284515</v>
          </cell>
          <cell r="AF42">
            <v>1.4200129617627999</v>
          </cell>
          <cell r="AJ42">
            <v>1.62742481665981</v>
          </cell>
          <cell r="AK42">
            <v>1.6134964060667756</v>
          </cell>
          <cell r="AL42">
            <v>1.5944364757815706</v>
          </cell>
          <cell r="AM42">
            <v>1.7157602627893174</v>
          </cell>
          <cell r="AN42">
            <v>1.5453205015850808</v>
          </cell>
          <cell r="AO42">
            <v>1.7593781801727668</v>
          </cell>
          <cell r="AP42">
            <v>1.6134964060667756</v>
          </cell>
          <cell r="AQ42">
            <v>1.5944364757815706</v>
          </cell>
          <cell r="AR42">
            <v>1.6816723105484706</v>
          </cell>
          <cell r="AS42">
            <v>1.6816723105484706</v>
          </cell>
          <cell r="AT42">
            <v>1.5497189470355128</v>
          </cell>
          <cell r="AU42">
            <v>1.8180241195118594</v>
          </cell>
        </row>
        <row r="43">
          <cell r="F43">
            <v>8.9186277593388787</v>
          </cell>
          <cell r="G43">
            <v>8.8422971613985908</v>
          </cell>
          <cell r="H43">
            <v>8.7378447642171437</v>
          </cell>
          <cell r="I43">
            <v>9.4027244462759647</v>
          </cell>
          <cell r="J43">
            <v>8.4686789714803403</v>
          </cell>
          <cell r="K43">
            <v>9.6417597398258117</v>
          </cell>
          <cell r="L43">
            <v>8.8422971613985908</v>
          </cell>
          <cell r="M43">
            <v>8.7378447642171437</v>
          </cell>
          <cell r="N43">
            <v>9.2159153513168413</v>
          </cell>
          <cell r="O43">
            <v>9.2159153513168413</v>
          </cell>
          <cell r="P43">
            <v>8.4927833708299048</v>
          </cell>
          <cell r="Q43">
            <v>9.9631517311533386</v>
          </cell>
          <cell r="U43">
            <v>1.2711406351263776</v>
          </cell>
          <cell r="V43">
            <v>1.2602615035644853</v>
          </cell>
          <cell r="W43">
            <v>1.2453742709008429</v>
          </cell>
          <cell r="X43">
            <v>1.3401372326636425</v>
          </cell>
          <cell r="Y43">
            <v>1.2070110174983804</v>
          </cell>
          <cell r="Z43">
            <v>1.374206092028516</v>
          </cell>
          <cell r="AA43">
            <v>1.2602615035644853</v>
          </cell>
          <cell r="AB43">
            <v>1.2453742709008429</v>
          </cell>
          <cell r="AC43">
            <v>1.3135119896305905</v>
          </cell>
          <cell r="AD43">
            <v>1.3135119896305905</v>
          </cell>
          <cell r="AE43">
            <v>1.2104465327284515</v>
          </cell>
          <cell r="AF43">
            <v>1.4200129617627999</v>
          </cell>
          <cell r="AJ43">
            <v>1.62742481665981</v>
          </cell>
          <cell r="AK43">
            <v>1.6134964060667756</v>
          </cell>
          <cell r="AL43">
            <v>1.5944364757815706</v>
          </cell>
          <cell r="AM43">
            <v>1.7157602627893174</v>
          </cell>
          <cell r="AN43">
            <v>1.5453205015850808</v>
          </cell>
          <cell r="AO43">
            <v>1.7593781801727668</v>
          </cell>
          <cell r="AP43">
            <v>1.6134964060667756</v>
          </cell>
          <cell r="AQ43">
            <v>1.5944364757815706</v>
          </cell>
          <cell r="AR43">
            <v>1.6816723105484706</v>
          </cell>
          <cell r="AS43">
            <v>1.6816723105484706</v>
          </cell>
          <cell r="AT43">
            <v>1.5497189470355128</v>
          </cell>
          <cell r="AU43">
            <v>1.8180241195118594</v>
          </cell>
        </row>
        <row r="44">
          <cell r="F44">
            <v>8.9186277593388787</v>
          </cell>
          <cell r="G44">
            <v>8.8422971613985908</v>
          </cell>
          <cell r="H44">
            <v>8.7378447642171437</v>
          </cell>
          <cell r="I44">
            <v>9.4027244462759647</v>
          </cell>
          <cell r="J44">
            <v>8.4686789714803403</v>
          </cell>
          <cell r="K44">
            <v>9.5334979714008981</v>
          </cell>
          <cell r="L44">
            <v>8.8422971613985908</v>
          </cell>
          <cell r="M44">
            <v>8.7378447642171437</v>
          </cell>
          <cell r="N44">
            <v>0</v>
          </cell>
          <cell r="O44">
            <v>4.6079576756584206</v>
          </cell>
          <cell r="P44">
            <v>8.3241819647689823</v>
          </cell>
          <cell r="Q44">
            <v>9.9631517311533386</v>
          </cell>
          <cell r="U44">
            <v>1.4610557534173678</v>
          </cell>
          <cell r="V44">
            <v>1.4485512221944263</v>
          </cell>
          <cell r="W44">
            <v>1.4314397584156642</v>
          </cell>
          <cell r="X44">
            <v>1.5403608066997065</v>
          </cell>
          <cell r="Y44">
            <v>1.3873448325242392</v>
          </cell>
          <cell r="Z44">
            <v>1.5617842158198354</v>
          </cell>
          <cell r="AA44">
            <v>1.4485512221944263</v>
          </cell>
          <cell r="AB44">
            <v>1.4314397584156642</v>
          </cell>
          <cell r="AC44">
            <v>0</v>
          </cell>
          <cell r="AD44">
            <v>0.75487880593230661</v>
          </cell>
          <cell r="AE44">
            <v>1.363673233181375</v>
          </cell>
          <cell r="AF44">
            <v>1.632170391204987</v>
          </cell>
          <cell r="AJ44">
            <v>1.62742481665981</v>
          </cell>
          <cell r="AK44">
            <v>1.6134964060667756</v>
          </cell>
          <cell r="AL44">
            <v>1.5944364757815703</v>
          </cell>
          <cell r="AM44">
            <v>1.7157602627893174</v>
          </cell>
          <cell r="AN44">
            <v>1.5453205015850806</v>
          </cell>
          <cell r="AO44">
            <v>1.7396231356317844</v>
          </cell>
          <cell r="AP44">
            <v>1.6134964060667756</v>
          </cell>
          <cell r="AQ44">
            <v>1.5944364757815703</v>
          </cell>
          <cell r="AR44">
            <v>0</v>
          </cell>
          <cell r="AS44">
            <v>0.84083615527423505</v>
          </cell>
          <cell r="AT44">
            <v>1.5189534391848269</v>
          </cell>
          <cell r="AU44">
            <v>1.8180241195118589</v>
          </cell>
        </row>
        <row r="45">
          <cell r="F45">
            <v>8.9186277593388787</v>
          </cell>
          <cell r="G45">
            <v>8.8422971613985908</v>
          </cell>
          <cell r="H45">
            <v>8.7378447642171437</v>
          </cell>
          <cell r="I45">
            <v>9.4027244462759647</v>
          </cell>
          <cell r="J45">
            <v>8.4686789714803403</v>
          </cell>
          <cell r="K45">
            <v>9.4609767447040802</v>
          </cell>
          <cell r="L45">
            <v>8.8422971613985908</v>
          </cell>
          <cell r="M45">
            <v>0</v>
          </cell>
          <cell r="N45">
            <v>4.6079576756584206</v>
          </cell>
          <cell r="O45">
            <v>9.2159153513168377</v>
          </cell>
          <cell r="P45">
            <v>8.3240525753829537</v>
          </cell>
          <cell r="Q45">
            <v>9.9631517311533386</v>
          </cell>
          <cell r="U45">
            <v>1.4548064085447268</v>
          </cell>
          <cell r="V45">
            <v>1.4423553627058303</v>
          </cell>
          <cell r="W45">
            <v>1.4253170894526037</v>
          </cell>
          <cell r="X45">
            <v>1.533772251891411</v>
          </cell>
          <cell r="Y45">
            <v>1.3814107699154432</v>
          </cell>
          <cell r="Z45">
            <v>1.543274365821095</v>
          </cell>
          <cell r="AA45">
            <v>1.4423553627058303</v>
          </cell>
          <cell r="AB45">
            <v>0</v>
          </cell>
          <cell r="AC45">
            <v>0.75164997774810882</v>
          </cell>
          <cell r="AD45">
            <v>1.503299955496217</v>
          </cell>
          <cell r="AE45">
            <v>1.357819314641745</v>
          </cell>
          <cell r="AF45">
            <v>1.6251891410769914</v>
          </cell>
          <cell r="AJ45">
            <v>1.62742481665981</v>
          </cell>
          <cell r="AK45">
            <v>1.6134964060667756</v>
          </cell>
          <cell r="AL45">
            <v>1.5944364757815703</v>
          </cell>
          <cell r="AM45">
            <v>1.7157602627893174</v>
          </cell>
          <cell r="AN45">
            <v>1.5453205015850806</v>
          </cell>
          <cell r="AO45">
            <v>1.7263898392945278</v>
          </cell>
          <cell r="AP45">
            <v>1.6134964060667756</v>
          </cell>
          <cell r="AQ45">
            <v>0</v>
          </cell>
          <cell r="AR45">
            <v>0.84083615527423505</v>
          </cell>
          <cell r="AS45">
            <v>1.6816723105484694</v>
          </cell>
          <cell r="AT45">
            <v>1.5189298288824893</v>
          </cell>
          <cell r="AU45">
            <v>1.8180241195118589</v>
          </cell>
        </row>
        <row r="46">
          <cell r="F46">
            <v>12.608181767369874</v>
          </cell>
          <cell r="G46">
            <v>16.285568116186091</v>
          </cell>
          <cell r="H46">
            <v>15.760227209212346</v>
          </cell>
          <cell r="I46">
            <v>10.585619275520951</v>
          </cell>
          <cell r="J46">
            <v>9.7713408697116435</v>
          </cell>
          <cell r="K46">
            <v>10.244147685988018</v>
          </cell>
          <cell r="L46">
            <v>9.7713408697116435</v>
          </cell>
          <cell r="M46">
            <v>12.395238195018095</v>
          </cell>
          <cell r="N46">
            <v>10.992758478425603</v>
          </cell>
          <cell r="O46">
            <v>10.992758478425603</v>
          </cell>
          <cell r="P46">
            <v>12.503113585975125</v>
          </cell>
          <cell r="Q46">
            <v>14.249872101662831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J46">
            <v>5.4306641350230951</v>
          </cell>
          <cell r="AK46">
            <v>7.0146078410714994</v>
          </cell>
          <cell r="AL46">
            <v>6.7883301687788702</v>
          </cell>
          <cell r="AM46">
            <v>4.5594950966964714</v>
          </cell>
          <cell r="AN46">
            <v>4.2087647046428946</v>
          </cell>
          <cell r="AO46">
            <v>4.4124146097062624</v>
          </cell>
          <cell r="AP46">
            <v>4.2087647046428946</v>
          </cell>
          <cell r="AQ46">
            <v>5.3389439296444463</v>
          </cell>
          <cell r="AR46">
            <v>4.7348602927232593</v>
          </cell>
          <cell r="AS46">
            <v>4.7348602927232593</v>
          </cell>
          <cell r="AT46">
            <v>5.3854086005645696</v>
          </cell>
          <cell r="AU46">
            <v>6.1377818609375634</v>
          </cell>
        </row>
        <row r="47">
          <cell r="F47">
            <v>21.607098919058608</v>
          </cell>
          <cell r="G47">
            <v>0</v>
          </cell>
          <cell r="H47">
            <v>11.16160695378829</v>
          </cell>
          <cell r="I47">
            <v>21.540807145619908</v>
          </cell>
          <cell r="J47">
            <v>15.943589540852535</v>
          </cell>
          <cell r="K47">
            <v>17.398975545611208</v>
          </cell>
          <cell r="L47">
            <v>16.961265468992053</v>
          </cell>
          <cell r="M47">
            <v>22.815637743773188</v>
          </cell>
          <cell r="N47">
            <v>20.014293253410628</v>
          </cell>
          <cell r="O47">
            <v>20.014293253410628</v>
          </cell>
          <cell r="P47">
            <v>18.996617325271103</v>
          </cell>
          <cell r="Q47">
            <v>22.776160805043787</v>
          </cell>
          <cell r="U47">
            <v>3.8624316493537174</v>
          </cell>
          <cell r="V47">
            <v>0</v>
          </cell>
          <cell r="W47">
            <v>1.9952212982156656</v>
          </cell>
          <cell r="X47">
            <v>3.8505814956250477</v>
          </cell>
          <cell r="Y47">
            <v>2.8500366975492484</v>
          </cell>
          <cell r="Z47">
            <v>3.1101979060420759</v>
          </cell>
          <cell r="AA47">
            <v>3.0319539335630292</v>
          </cell>
          <cell r="AB47">
            <v>4.078467065470269</v>
          </cell>
          <cell r="AC47">
            <v>3.5777056416043758</v>
          </cell>
          <cell r="AD47">
            <v>3.5777056416043758</v>
          </cell>
          <cell r="AE47">
            <v>3.3957884055905936</v>
          </cell>
          <cell r="AF47">
            <v>4.0714102653815942</v>
          </cell>
          <cell r="AJ47">
            <v>8.0688858776167045</v>
          </cell>
          <cell r="AK47">
            <v>0</v>
          </cell>
          <cell r="AL47">
            <v>4.1681547836804471</v>
          </cell>
          <cell r="AM47">
            <v>8.0441300898774326</v>
          </cell>
          <cell r="AN47">
            <v>5.9539230586494396</v>
          </cell>
          <cell r="AO47">
            <v>6.4974177510313025</v>
          </cell>
          <cell r="AP47">
            <v>6.3339607006908913</v>
          </cell>
          <cell r="AQ47">
            <v>8.5201987489938791</v>
          </cell>
          <cell r="AR47">
            <v>7.4740736268152528</v>
          </cell>
          <cell r="AS47">
            <v>7.4740736268152528</v>
          </cell>
          <cell r="AT47">
            <v>7.0940359847737993</v>
          </cell>
          <cell r="AU47">
            <v>8.5054566073209763</v>
          </cell>
        </row>
        <row r="48">
          <cell r="F48">
            <v>10.615334561029862</v>
          </cell>
          <cell r="G48">
            <v>10.969179046397525</v>
          </cell>
          <cell r="H48">
            <v>10.615334561029862</v>
          </cell>
          <cell r="I48">
            <v>10.969179046397525</v>
          </cell>
          <cell r="J48">
            <v>10.969179046397525</v>
          </cell>
          <cell r="K48">
            <v>10.615334561029862</v>
          </cell>
          <cell r="L48">
            <v>10.969179046397525</v>
          </cell>
          <cell r="M48">
            <v>10.615334561029862</v>
          </cell>
          <cell r="N48">
            <v>10.969179046397525</v>
          </cell>
          <cell r="O48">
            <v>10.969179046397525</v>
          </cell>
          <cell r="P48">
            <v>9.9076455902945355</v>
          </cell>
          <cell r="Q48">
            <v>10.969179046397525</v>
          </cell>
          <cell r="AJ48">
            <v>4.6707472068531395</v>
          </cell>
          <cell r="AK48">
            <v>4.8264387804149109</v>
          </cell>
          <cell r="AL48">
            <v>4.6707472068531395</v>
          </cell>
          <cell r="AM48">
            <v>4.8264387804149109</v>
          </cell>
          <cell r="AN48">
            <v>4.8264387804149109</v>
          </cell>
          <cell r="AO48">
            <v>4.6707472068531395</v>
          </cell>
          <cell r="AP48">
            <v>4.8264387804149109</v>
          </cell>
          <cell r="AQ48">
            <v>4.6707472068531395</v>
          </cell>
          <cell r="AR48">
            <v>4.8264387804149109</v>
          </cell>
          <cell r="AS48">
            <v>4.8264387804149109</v>
          </cell>
          <cell r="AT48">
            <v>4.3593640597295957</v>
          </cell>
          <cell r="AU48">
            <v>4.8264387804149109</v>
          </cell>
        </row>
        <row r="49">
          <cell r="F49">
            <v>10.715711091833697</v>
          </cell>
          <cell r="G49">
            <v>13.930424419383769</v>
          </cell>
          <cell r="H49">
            <v>0</v>
          </cell>
          <cell r="I49">
            <v>4.6434748064612634</v>
          </cell>
          <cell r="J49">
            <v>8.5725688734669419</v>
          </cell>
          <cell r="K49">
            <v>8.6417024934142574</v>
          </cell>
          <cell r="L49">
            <v>8.5725688734669419</v>
          </cell>
          <cell r="M49">
            <v>10.370042992097122</v>
          </cell>
          <cell r="N49">
            <v>9.2869496129225269</v>
          </cell>
          <cell r="O49">
            <v>9.2869496129225269</v>
          </cell>
          <cell r="P49">
            <v>10.323953912132254</v>
          </cell>
          <cell r="Q49">
            <v>12.501662940472656</v>
          </cell>
          <cell r="U49">
            <v>3.0618726410007571</v>
          </cell>
          <cell r="V49">
            <v>3.9804344333009736</v>
          </cell>
          <cell r="W49">
            <v>0</v>
          </cell>
          <cell r="X49">
            <v>1.3268114777669933</v>
          </cell>
          <cell r="Y49">
            <v>2.4494981128006015</v>
          </cell>
          <cell r="Z49">
            <v>2.4692521298393162</v>
          </cell>
          <cell r="AA49">
            <v>2.4494981128006015</v>
          </cell>
          <cell r="AB49">
            <v>2.9631025558071835</v>
          </cell>
          <cell r="AC49">
            <v>2.6536229555339865</v>
          </cell>
          <cell r="AD49">
            <v>2.6536229555339865</v>
          </cell>
          <cell r="AE49">
            <v>2.949933211114709</v>
          </cell>
          <cell r="AF49">
            <v>3.572184747834219</v>
          </cell>
          <cell r="AJ49">
            <v>6.2070906519401969</v>
          </cell>
          <cell r="AK49">
            <v>8.0692178475222356</v>
          </cell>
          <cell r="AL49">
            <v>0</v>
          </cell>
          <cell r="AM49">
            <v>2.6897392825074156</v>
          </cell>
          <cell r="AN49">
            <v>4.9656725215521487</v>
          </cell>
          <cell r="AO49">
            <v>5.0057182676936991</v>
          </cell>
          <cell r="AP49">
            <v>4.9656725215521487</v>
          </cell>
          <cell r="AQ49">
            <v>6.0068619212324474</v>
          </cell>
          <cell r="AR49">
            <v>5.3794785650148311</v>
          </cell>
          <cell r="AS49">
            <v>5.3794785650148311</v>
          </cell>
          <cell r="AT49">
            <v>5.9801647571380849</v>
          </cell>
          <cell r="AU49">
            <v>7.2416057605969018</v>
          </cell>
        </row>
        <row r="50">
          <cell r="F50">
            <v>10.715711091833697</v>
          </cell>
          <cell r="G50">
            <v>13.868374699490062</v>
          </cell>
          <cell r="H50">
            <v>13.481055889726228</v>
          </cell>
          <cell r="I50">
            <v>9.2869496129225269</v>
          </cell>
          <cell r="J50">
            <v>8.5725688734669419</v>
          </cell>
          <cell r="K50">
            <v>8.2960343936776866</v>
          </cell>
          <cell r="L50">
            <v>8.5725688734669419</v>
          </cell>
          <cell r="M50">
            <v>8.2960343936776866</v>
          </cell>
          <cell r="N50">
            <v>8.9297592431947344</v>
          </cell>
          <cell r="O50">
            <v>9.2869496129225269</v>
          </cell>
          <cell r="P50">
            <v>10.323953912132254</v>
          </cell>
          <cell r="Q50">
            <v>12.501662940472656</v>
          </cell>
          <cell r="U50">
            <v>2.6786581902988185</v>
          </cell>
          <cell r="V50">
            <v>3.4667447784433514</v>
          </cell>
          <cell r="W50">
            <v>3.369924820053344</v>
          </cell>
          <cell r="X50">
            <v>2.32150376492564</v>
          </cell>
          <cell r="Y50">
            <v>2.142926552239051</v>
          </cell>
          <cell r="Z50">
            <v>2.073799889263598</v>
          </cell>
          <cell r="AA50">
            <v>2.142926552239051</v>
          </cell>
          <cell r="AB50">
            <v>2.073799889263598</v>
          </cell>
          <cell r="AC50">
            <v>2.2322151585823455</v>
          </cell>
          <cell r="AD50">
            <v>2.32150376492564</v>
          </cell>
          <cell r="AE50">
            <v>2.5807287510835941</v>
          </cell>
          <cell r="AF50">
            <v>3.1251012220152909</v>
          </cell>
          <cell r="AJ50">
            <v>6.207090651940196</v>
          </cell>
          <cell r="AK50">
            <v>8.0332754604041945</v>
          </cell>
          <cell r="AL50">
            <v>7.8089204976021618</v>
          </cell>
          <cell r="AM50">
            <v>5.3794785650148302</v>
          </cell>
          <cell r="AN50">
            <v>4.9656725215521478</v>
          </cell>
          <cell r="AO50">
            <v>4.8054895369859505</v>
          </cell>
          <cell r="AP50">
            <v>4.9656725215521478</v>
          </cell>
          <cell r="AQ50">
            <v>4.8054895369859505</v>
          </cell>
          <cell r="AR50">
            <v>5.1725755432834895</v>
          </cell>
          <cell r="AS50">
            <v>5.3794785650148302</v>
          </cell>
          <cell r="AT50">
            <v>5.980164757138084</v>
          </cell>
          <cell r="AU50">
            <v>7.2416057605969018</v>
          </cell>
        </row>
        <row r="51">
          <cell r="F51">
            <v>10.715711091833697</v>
          </cell>
          <cell r="G51">
            <v>13.930424419383769</v>
          </cell>
          <cell r="H51">
            <v>13.481055889726228</v>
          </cell>
          <cell r="I51">
            <v>9.2869496129225269</v>
          </cell>
          <cell r="J51">
            <v>8.5725688734669419</v>
          </cell>
          <cell r="K51">
            <v>8.438879705361785</v>
          </cell>
          <cell r="L51">
            <v>8.5725688734669419</v>
          </cell>
          <cell r="M51">
            <v>2.0740085984194385</v>
          </cell>
          <cell r="N51">
            <v>5.0006651761890559</v>
          </cell>
          <cell r="O51">
            <v>9.2869496129225269</v>
          </cell>
          <cell r="P51">
            <v>10.323953912132254</v>
          </cell>
          <cell r="Q51">
            <v>12.501662940472656</v>
          </cell>
          <cell r="U51">
            <v>2.9161448589072818</v>
          </cell>
          <cell r="V51">
            <v>3.7909883165794569</v>
          </cell>
          <cell r="W51">
            <v>3.6686983708833454</v>
          </cell>
          <cell r="X51">
            <v>2.5273255443863083</v>
          </cell>
          <cell r="Y51">
            <v>2.3329158871258215</v>
          </cell>
          <cell r="Z51">
            <v>2.2965340756976884</v>
          </cell>
          <cell r="AA51">
            <v>2.3329158871258215</v>
          </cell>
          <cell r="AB51">
            <v>0.56441513398205823</v>
          </cell>
          <cell r="AC51">
            <v>1.3608676008233975</v>
          </cell>
          <cell r="AD51">
            <v>2.5273255443863083</v>
          </cell>
          <cell r="AE51">
            <v>2.8095331113773394</v>
          </cell>
          <cell r="AF51">
            <v>3.4021690020584985</v>
          </cell>
          <cell r="AJ51">
            <v>6.2070906519401969</v>
          </cell>
          <cell r="AK51">
            <v>8.0692178475222356</v>
          </cell>
          <cell r="AL51">
            <v>7.8089204976021636</v>
          </cell>
          <cell r="AM51">
            <v>5.3794785650148311</v>
          </cell>
          <cell r="AN51">
            <v>4.9656725215521487</v>
          </cell>
          <cell r="AO51">
            <v>4.8882328837624014</v>
          </cell>
          <cell r="AP51">
            <v>4.9656725215521487</v>
          </cell>
          <cell r="AQ51">
            <v>1.2013723842464974</v>
          </cell>
          <cell r="AR51">
            <v>2.8966423042387572</v>
          </cell>
          <cell r="AS51">
            <v>5.3794785650148311</v>
          </cell>
          <cell r="AT51">
            <v>5.9801647571380849</v>
          </cell>
          <cell r="AU51">
            <v>7.2416057605969018</v>
          </cell>
        </row>
        <row r="52">
          <cell r="F52">
            <v>10.451974857977625</v>
          </cell>
          <cell r="G52">
            <v>10.800374019910212</v>
          </cell>
          <cell r="H52">
            <v>10.451974857977625</v>
          </cell>
          <cell r="I52">
            <v>11.028550935823809</v>
          </cell>
          <cell r="J52">
            <v>9.0694181651658532</v>
          </cell>
          <cell r="K52">
            <v>10.010342117499697</v>
          </cell>
          <cell r="L52">
            <v>8.5186048607742535</v>
          </cell>
          <cell r="M52">
            <v>10.451974857977625</v>
          </cell>
          <cell r="N52">
            <v>10.800374019910212</v>
          </cell>
          <cell r="O52">
            <v>10.115843272169425</v>
          </cell>
          <cell r="P52">
            <v>9.3429859763330505</v>
          </cell>
          <cell r="Q52">
            <v>11.484904767651003</v>
          </cell>
          <cell r="U52">
            <v>1.9595002090471259</v>
          </cell>
          <cell r="V52">
            <v>2.0248168826820296</v>
          </cell>
          <cell r="W52">
            <v>1.9595002090471259</v>
          </cell>
          <cell r="X52">
            <v>2.067594704147143</v>
          </cell>
          <cell r="Y52">
            <v>1.7003032471910231</v>
          </cell>
          <cell r="Z52">
            <v>1.876704425566261</v>
          </cell>
          <cell r="AA52">
            <v>1.5970386680308972</v>
          </cell>
          <cell r="AB52">
            <v>1.9595002090471259</v>
          </cell>
          <cell r="AC52">
            <v>2.0248168826820296</v>
          </cell>
          <cell r="AD52">
            <v>1.8964834182866901</v>
          </cell>
          <cell r="AE52">
            <v>1.7515907971951772</v>
          </cell>
          <cell r="AF52">
            <v>2.1531503470773701</v>
          </cell>
          <cell r="AJ52">
            <v>2.8697205572015347</v>
          </cell>
          <cell r="AK52">
            <v>2.9653779091082528</v>
          </cell>
          <cell r="AL52">
            <v>2.8697205572015347</v>
          </cell>
          <cell r="AM52">
            <v>3.0280267381739203</v>
          </cell>
          <cell r="AN52">
            <v>2.4901223074190821</v>
          </cell>
          <cell r="AO52">
            <v>2.7484647590099209</v>
          </cell>
          <cell r="AP52">
            <v>2.3388896184515802</v>
          </cell>
          <cell r="AQ52">
            <v>2.8697205572015347</v>
          </cell>
          <cell r="AR52">
            <v>2.9653779091082528</v>
          </cell>
          <cell r="AS52">
            <v>2.7774314219112513</v>
          </cell>
          <cell r="AT52">
            <v>2.5652337750759262</v>
          </cell>
          <cell r="AU52">
            <v>3.1533243963052553</v>
          </cell>
        </row>
        <row r="53">
          <cell r="F53">
            <v>5.4244076089699185</v>
          </cell>
          <cell r="G53">
            <v>6.8313633325464878</v>
          </cell>
          <cell r="H53">
            <v>6.6109967734320847</v>
          </cell>
          <cell r="I53">
            <v>4.554242221697665</v>
          </cell>
          <cell r="J53">
            <v>4.2039158969516919</v>
          </cell>
          <cell r="K53">
            <v>4.2378184445077522</v>
          </cell>
          <cell r="L53">
            <v>4.2039158969516919</v>
          </cell>
          <cell r="M53">
            <v>5.1789720070116019</v>
          </cell>
          <cell r="N53">
            <v>4.554242221697665</v>
          </cell>
          <cell r="O53">
            <v>4.554242221697665</v>
          </cell>
          <cell r="P53">
            <v>5.0627804350385901</v>
          </cell>
          <cell r="Q53">
            <v>6.1307106830545415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2.4515252177837352</v>
          </cell>
          <cell r="AK53">
            <v>3.0873895711463897</v>
          </cell>
          <cell r="AL53">
            <v>2.9877963591739256</v>
          </cell>
          <cell r="AM53">
            <v>2.0582597140975962</v>
          </cell>
          <cell r="AN53">
            <v>1.8999320437823972</v>
          </cell>
          <cell r="AO53">
            <v>1.9152540763935448</v>
          </cell>
          <cell r="AP53">
            <v>1.8999320437823972</v>
          </cell>
          <cell r="AQ53">
            <v>2.3406022173536472</v>
          </cell>
          <cell r="AR53">
            <v>2.0582597140975962</v>
          </cell>
          <cell r="AS53">
            <v>2.0582597140975962</v>
          </cell>
          <cell r="AT53">
            <v>2.2880902032648196</v>
          </cell>
          <cell r="AU53">
            <v>2.7707342305159917</v>
          </cell>
        </row>
        <row r="54">
          <cell r="F54">
            <v>22.951913306602897</v>
          </cell>
          <cell r="G54">
            <v>29.072423521697004</v>
          </cell>
          <cell r="H54">
            <v>28.874987708306875</v>
          </cell>
          <cell r="I54">
            <v>19.891658199055847</v>
          </cell>
          <cell r="J54">
            <v>18.361530645282322</v>
          </cell>
          <cell r="K54">
            <v>17.769223205111921</v>
          </cell>
          <cell r="L54">
            <v>18.361530645282322</v>
          </cell>
          <cell r="M54">
            <v>22.211529006389902</v>
          </cell>
          <cell r="N54">
            <v>19.891658199055847</v>
          </cell>
          <cell r="O54">
            <v>19.891658199055847</v>
          </cell>
          <cell r="P54">
            <v>22.112811099694838</v>
          </cell>
          <cell r="Q54">
            <v>26.26149584901497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13.708872557586933</v>
          </cell>
          <cell r="AK54">
            <v>17.364571906276783</v>
          </cell>
          <cell r="AL54">
            <v>17.246646120835173</v>
          </cell>
          <cell r="AM54">
            <v>11.881022883242009</v>
          </cell>
          <cell r="AN54">
            <v>10.967098046069548</v>
          </cell>
          <cell r="AO54">
            <v>10.613320689744722</v>
          </cell>
          <cell r="AP54">
            <v>10.967098046069548</v>
          </cell>
          <cell r="AQ54">
            <v>13.266650862180905</v>
          </cell>
          <cell r="AR54">
            <v>11.881022883242009</v>
          </cell>
          <cell r="AS54">
            <v>11.881022883242009</v>
          </cell>
          <cell r="AT54">
            <v>13.207687969460101</v>
          </cell>
          <cell r="AU54">
            <v>15.685642192721849</v>
          </cell>
        </row>
        <row r="55">
          <cell r="F55">
            <v>105.62236492584185</v>
          </cell>
          <cell r="G55">
            <v>108.49644631907142</v>
          </cell>
          <cell r="H55">
            <v>104.99656095394008</v>
          </cell>
          <cell r="I55">
            <v>104.83910721840965</v>
          </cell>
          <cell r="J55">
            <v>84.590601099935526</v>
          </cell>
          <cell r="K55">
            <v>92.263519513477348</v>
          </cell>
          <cell r="L55">
            <v>84.489980591789362</v>
          </cell>
          <cell r="M55">
            <v>107.31266156321823</v>
          </cell>
          <cell r="N55">
            <v>105.72078237969197</v>
          </cell>
          <cell r="O55">
            <v>95.018982800890143</v>
          </cell>
          <cell r="P55">
            <v>93.347768341360648</v>
          </cell>
          <cell r="Q55">
            <v>111.23055365967821</v>
          </cell>
          <cell r="U55">
            <v>29.238048278242267</v>
          </cell>
          <cell r="V55">
            <v>30.033642379830923</v>
          </cell>
          <cell r="W55">
            <v>29.064815206287989</v>
          </cell>
          <cell r="X55">
            <v>29.021229362283641</v>
          </cell>
          <cell r="Y55">
            <v>23.416102078209889</v>
          </cell>
          <cell r="Z55">
            <v>25.540095033372946</v>
          </cell>
          <cell r="AA55">
            <v>23.388248628071516</v>
          </cell>
          <cell r="AB55">
            <v>29.705950835838472</v>
          </cell>
          <cell r="AC55">
            <v>29.265291885873204</v>
          </cell>
          <cell r="AD55">
            <v>26.302853646881214</v>
          </cell>
          <cell r="AE55">
            <v>25.840233357273735</v>
          </cell>
          <cell r="AF55">
            <v>30.790489307834132</v>
          </cell>
          <cell r="AJ55">
            <v>38.434785063790187</v>
          </cell>
          <cell r="AK55">
            <v>39.480630805666685</v>
          </cell>
          <cell r="AL55">
            <v>38.207062070000013</v>
          </cell>
          <cell r="AM55">
            <v>38.149766434867708</v>
          </cell>
          <cell r="AN55">
            <v>30.781563866474109</v>
          </cell>
          <cell r="AO55">
            <v>33.573652173183902</v>
          </cell>
          <cell r="AP55">
            <v>30.744949200571462</v>
          </cell>
          <cell r="AQ55">
            <v>39.049864909779451</v>
          </cell>
          <cell r="AR55">
            <v>38.470598063129017</v>
          </cell>
          <cell r="AS55">
            <v>34.576334126738274</v>
          </cell>
          <cell r="AT55">
            <v>33.968198069638888</v>
          </cell>
          <cell r="AU55">
            <v>40.475541571500543</v>
          </cell>
        </row>
        <row r="56">
          <cell r="F56">
            <v>103.45225036891787</v>
          </cell>
          <cell r="G56">
            <v>108.50143890800092</v>
          </cell>
          <cell r="H56">
            <v>105.00139249161376</v>
          </cell>
          <cell r="I56">
            <v>102.99515577682575</v>
          </cell>
          <cell r="J56">
            <v>79.688361765372036</v>
          </cell>
          <cell r="K56">
            <v>83.537905231509143</v>
          </cell>
          <cell r="L56">
            <v>82.00539798599911</v>
          </cell>
          <cell r="M56">
            <v>107.31759967892879</v>
          </cell>
          <cell r="N56">
            <v>97.666290552510674</v>
          </cell>
          <cell r="O56">
            <v>94.140954346647874</v>
          </cell>
          <cell r="P56">
            <v>91.277183183878776</v>
          </cell>
          <cell r="Q56">
            <v>108.50143890800092</v>
          </cell>
          <cell r="U56">
            <v>29.469909420573298</v>
          </cell>
          <cell r="V56">
            <v>30.908245738667357</v>
          </cell>
          <cell r="W56">
            <v>29.911205553549046</v>
          </cell>
          <cell r="X56">
            <v>29.339699239764741</v>
          </cell>
          <cell r="Y56">
            <v>22.700412941475921</v>
          </cell>
          <cell r="Z56">
            <v>23.79701255002059</v>
          </cell>
          <cell r="AA56">
            <v>23.360455108780798</v>
          </cell>
          <cell r="AB56">
            <v>30.571011558406752</v>
          </cell>
          <cell r="AC56">
            <v>27.821692865664723</v>
          </cell>
          <cell r="AD56">
            <v>26.817448508549624</v>
          </cell>
          <cell r="AE56">
            <v>26.001660775879753</v>
          </cell>
          <cell r="AF56">
            <v>30.908245738667357</v>
          </cell>
          <cell r="AJ56">
            <v>37.645104898820044</v>
          </cell>
          <cell r="AK56">
            <v>39.482447552361876</v>
          </cell>
          <cell r="AL56">
            <v>38.208820211963094</v>
          </cell>
          <cell r="AM56">
            <v>37.478773341926612</v>
          </cell>
          <cell r="AN56">
            <v>28.997694367930933</v>
          </cell>
          <cell r="AO56">
            <v>30.398499735417062</v>
          </cell>
          <cell r="AP56">
            <v>29.840837666107838</v>
          </cell>
          <cell r="AQ56">
            <v>39.05166183428581</v>
          </cell>
          <cell r="AR56">
            <v>35.53965950297539</v>
          </cell>
          <cell r="AS56">
            <v>34.256829493961042</v>
          </cell>
          <cell r="AT56">
            <v>33.214735528443512</v>
          </cell>
          <cell r="AU56">
            <v>39.482447552361876</v>
          </cell>
        </row>
        <row r="57">
          <cell r="F57">
            <v>0.12180421103075562</v>
          </cell>
          <cell r="G57">
            <v>0.13052154155403661</v>
          </cell>
          <cell r="H57">
            <v>0.13522663746040986</v>
          </cell>
          <cell r="I57">
            <v>0.29563598006861236</v>
          </cell>
          <cell r="J57">
            <v>0.69409931253592094</v>
          </cell>
          <cell r="K57">
            <v>0.35056621875990401</v>
          </cell>
          <cell r="L57">
            <v>0.38641265010938386</v>
          </cell>
          <cell r="M57">
            <v>0.13253155195918809</v>
          </cell>
          <cell r="N57">
            <v>0.22735853873609402</v>
          </cell>
          <cell r="O57">
            <v>0.43383136788093468</v>
          </cell>
          <cell r="P57">
            <v>0.38962906858627389</v>
          </cell>
          <cell r="Q57">
            <v>0.1809837937750064</v>
          </cell>
          <cell r="U57">
            <v>2.8493526180648716E-2</v>
          </cell>
          <cell r="V57">
            <v>3.0532761798108259E-2</v>
          </cell>
          <cell r="W57">
            <v>3.1633419749555095E-2</v>
          </cell>
          <cell r="X57">
            <v>6.9157802236408369E-2</v>
          </cell>
          <cell r="Y57">
            <v>0.16236989482012862</v>
          </cell>
          <cell r="Z57">
            <v>8.2007573036733158E-2</v>
          </cell>
          <cell r="AA57">
            <v>9.0393089608745023E-2</v>
          </cell>
          <cell r="AB57">
            <v>3.1002961338977158E-2</v>
          </cell>
          <cell r="AC57">
            <v>5.3185734885924187E-2</v>
          </cell>
          <cell r="AD57">
            <v>0.10148569851645609</v>
          </cell>
          <cell r="AE57">
            <v>9.1145502873472367E-2</v>
          </cell>
          <cell r="AF57">
            <v>4.2337341398641481E-2</v>
          </cell>
        </row>
        <row r="58">
          <cell r="F58">
            <v>0.12180421103075562</v>
          </cell>
          <cell r="G58">
            <v>0.13052154155403661</v>
          </cell>
          <cell r="H58">
            <v>0.13522663746040986</v>
          </cell>
          <cell r="I58">
            <v>0.29563598006861236</v>
          </cell>
          <cell r="J58">
            <v>0.69409931253592094</v>
          </cell>
          <cell r="K58">
            <v>0.35056621875990401</v>
          </cell>
          <cell r="L58">
            <v>0.38641265010938386</v>
          </cell>
          <cell r="M58">
            <v>0.13253155195918809</v>
          </cell>
          <cell r="N58">
            <v>0.22735853873609402</v>
          </cell>
          <cell r="O58">
            <v>0.43383136788093468</v>
          </cell>
          <cell r="P58">
            <v>0.38962906858627389</v>
          </cell>
          <cell r="Q58">
            <v>0.1809837937750064</v>
          </cell>
          <cell r="U58">
            <v>2.8493526180648716E-2</v>
          </cell>
          <cell r="V58">
            <v>3.0532761798108259E-2</v>
          </cell>
          <cell r="W58">
            <v>3.1633419749555095E-2</v>
          </cell>
          <cell r="X58">
            <v>6.9157802236408369E-2</v>
          </cell>
          <cell r="Y58">
            <v>0.16236989482012862</v>
          </cell>
          <cell r="Z58">
            <v>8.2007573036733158E-2</v>
          </cell>
          <cell r="AA58">
            <v>9.0393089608745023E-2</v>
          </cell>
          <cell r="AB58">
            <v>3.1002961338977158E-2</v>
          </cell>
          <cell r="AC58">
            <v>5.3185734885924187E-2</v>
          </cell>
          <cell r="AD58">
            <v>0.10148569851645609</v>
          </cell>
          <cell r="AE58">
            <v>9.1145502873472367E-2</v>
          </cell>
          <cell r="AF58">
            <v>4.2337341398641481E-2</v>
          </cell>
        </row>
        <row r="59">
          <cell r="F59">
            <v>2.6796926426766223</v>
          </cell>
          <cell r="G59">
            <v>2.8714739141888046</v>
          </cell>
          <cell r="H59">
            <v>2.9749860241290165</v>
          </cell>
          <cell r="I59">
            <v>6.503991561509471</v>
          </cell>
          <cell r="J59">
            <v>15.270184875790257</v>
          </cell>
          <cell r="K59">
            <v>7.712456812717889</v>
          </cell>
          <cell r="L59">
            <v>8.5010783024064445</v>
          </cell>
          <cell r="M59">
            <v>2.9156941431021384</v>
          </cell>
          <cell r="N59">
            <v>5.0018878521940664</v>
          </cell>
          <cell r="O59">
            <v>9.5442900933805603</v>
          </cell>
          <cell r="P59">
            <v>8.571839508898023</v>
          </cell>
          <cell r="Q59">
            <v>3.9816434630501405</v>
          </cell>
          <cell r="U59">
            <v>0.62685757597427183</v>
          </cell>
          <cell r="V59">
            <v>0.67172075955838184</v>
          </cell>
          <cell r="W59">
            <v>0.69593523449021233</v>
          </cell>
          <cell r="X59">
            <v>1.521471649200985</v>
          </cell>
          <cell r="Y59">
            <v>3.5721376860428307</v>
          </cell>
          <cell r="Z59">
            <v>1.8041666068081308</v>
          </cell>
          <cell r="AA59">
            <v>1.9886479713923915</v>
          </cell>
          <cell r="AB59">
            <v>0.68206514945749797</v>
          </cell>
          <cell r="AC59">
            <v>1.1700861674903322</v>
          </cell>
          <cell r="AD59">
            <v>2.2326853673620342</v>
          </cell>
          <cell r="AE59">
            <v>2.0052010632163926</v>
          </cell>
          <cell r="AF59">
            <v>0.93142151077011304</v>
          </cell>
        </row>
        <row r="60">
          <cell r="F60">
            <v>2.4555728943800323</v>
          </cell>
          <cell r="G60">
            <v>2.631314277729377</v>
          </cell>
          <cell r="H60">
            <v>2.7261690112018622</v>
          </cell>
          <cell r="I60">
            <v>5.9600213581832229</v>
          </cell>
          <cell r="J60">
            <v>13.993042140724164</v>
          </cell>
          <cell r="K60">
            <v>7.067414970199664</v>
          </cell>
          <cell r="L60">
            <v>7.7900790262051771</v>
          </cell>
          <cell r="M60">
            <v>2.6718360874972316</v>
          </cell>
          <cell r="N60">
            <v>4.5835481409196532</v>
          </cell>
          <cell r="O60">
            <v>8.7460403764796411</v>
          </cell>
          <cell r="P60">
            <v>7.8549220226992809</v>
          </cell>
          <cell r="Q60">
            <v>3.6486332825041288</v>
          </cell>
          <cell r="U60">
            <v>0.57442948780187808</v>
          </cell>
          <cell r="V60">
            <v>0.61554047784986232</v>
          </cell>
          <cell r="W60">
            <v>0.63772974215103062</v>
          </cell>
          <cell r="X60">
            <v>1.3942212930859925</v>
          </cell>
          <cell r="Y60">
            <v>3.2733770795737933</v>
          </cell>
          <cell r="Z60">
            <v>1.6532726724205407</v>
          </cell>
          <cell r="AA60">
            <v>1.8223246865122995</v>
          </cell>
          <cell r="AB60">
            <v>0.62501970059377965</v>
          </cell>
          <cell r="AC60">
            <v>1.0722244153002314</v>
          </cell>
          <cell r="AD60">
            <v>2.0459516820917543</v>
          </cell>
          <cell r="AE60">
            <v>1.8374933379292031</v>
          </cell>
          <cell r="AF60">
            <v>0.85352080259661245</v>
          </cell>
        </row>
        <row r="61">
          <cell r="F61">
            <v>2.4555728943800323</v>
          </cell>
          <cell r="G61">
            <v>2.631314277729377</v>
          </cell>
          <cell r="H61">
            <v>2.7261690112018622</v>
          </cell>
          <cell r="I61">
            <v>5.9600213581832229</v>
          </cell>
          <cell r="J61">
            <v>13.993042140724164</v>
          </cell>
          <cell r="K61">
            <v>7.067414970199664</v>
          </cell>
          <cell r="L61">
            <v>7.7900790262051771</v>
          </cell>
          <cell r="M61">
            <v>2.6718360874972316</v>
          </cell>
          <cell r="N61">
            <v>4.5835481409196532</v>
          </cell>
          <cell r="O61">
            <v>8.7460403764796411</v>
          </cell>
          <cell r="P61">
            <v>7.8549220226992809</v>
          </cell>
          <cell r="Q61">
            <v>3.6486332825041288</v>
          </cell>
          <cell r="U61">
            <v>0.57442948780187808</v>
          </cell>
          <cell r="V61">
            <v>0.61554047784986232</v>
          </cell>
          <cell r="W61">
            <v>0.63772974215103062</v>
          </cell>
          <cell r="X61">
            <v>1.3942212930859925</v>
          </cell>
          <cell r="Y61">
            <v>3.2733770795737933</v>
          </cell>
          <cell r="Z61">
            <v>1.6532726724205407</v>
          </cell>
          <cell r="AA61">
            <v>1.8223246865122995</v>
          </cell>
          <cell r="AB61">
            <v>0.62501970059377965</v>
          </cell>
          <cell r="AC61">
            <v>1.0722244153002314</v>
          </cell>
          <cell r="AD61">
            <v>2.0459516820917543</v>
          </cell>
          <cell r="AE61">
            <v>1.8374933379292031</v>
          </cell>
          <cell r="AF61">
            <v>0.85352080259661245</v>
          </cell>
        </row>
        <row r="62">
          <cell r="F62">
            <v>2.4555728943800323</v>
          </cell>
          <cell r="G62">
            <v>2.631314277729377</v>
          </cell>
          <cell r="H62">
            <v>2.7261690112018622</v>
          </cell>
          <cell r="I62">
            <v>5.9600213581832229</v>
          </cell>
          <cell r="J62">
            <v>13.993042140724164</v>
          </cell>
          <cell r="K62">
            <v>7.067414970199664</v>
          </cell>
          <cell r="L62">
            <v>7.7900790262051771</v>
          </cell>
          <cell r="M62">
            <v>2.6718360874972316</v>
          </cell>
          <cell r="N62">
            <v>4.5835481409196532</v>
          </cell>
          <cell r="O62">
            <v>8.7460403764796411</v>
          </cell>
          <cell r="P62">
            <v>7.8549220226992809</v>
          </cell>
          <cell r="Q62">
            <v>3.6486332825041288</v>
          </cell>
          <cell r="U62">
            <v>0.57442948780187808</v>
          </cell>
          <cell r="V62">
            <v>0.61554047784986232</v>
          </cell>
          <cell r="W62">
            <v>0.63772974215103062</v>
          </cell>
          <cell r="X62">
            <v>1.3942212930859925</v>
          </cell>
          <cell r="Y62">
            <v>3.2733770795737933</v>
          </cell>
          <cell r="Z62">
            <v>1.6532726724205407</v>
          </cell>
          <cell r="AA62">
            <v>1.8223246865122995</v>
          </cell>
          <cell r="AB62">
            <v>0.62501970059377965</v>
          </cell>
          <cell r="AC62">
            <v>1.0722244153002314</v>
          </cell>
          <cell r="AD62">
            <v>2.0459516820917543</v>
          </cell>
          <cell r="AE62">
            <v>1.8374933379292031</v>
          </cell>
          <cell r="AF62">
            <v>0.85352080259661245</v>
          </cell>
        </row>
        <row r="63">
          <cell r="F63">
            <v>2.4555728943800323</v>
          </cell>
          <cell r="G63">
            <v>2.631314277729377</v>
          </cell>
          <cell r="H63">
            <v>2.7261690112018622</v>
          </cell>
          <cell r="I63">
            <v>5.9600213581832229</v>
          </cell>
          <cell r="J63">
            <v>13.993042140724164</v>
          </cell>
          <cell r="K63">
            <v>7.067414970199664</v>
          </cell>
          <cell r="L63">
            <v>7.7900790262051771</v>
          </cell>
          <cell r="M63">
            <v>2.6718360874972316</v>
          </cell>
          <cell r="N63">
            <v>4.5835481409196532</v>
          </cell>
          <cell r="O63">
            <v>8.7460403764796411</v>
          </cell>
          <cell r="P63">
            <v>7.8549220226992809</v>
          </cell>
          <cell r="Q63">
            <v>3.6486332825041288</v>
          </cell>
          <cell r="U63">
            <v>0.57442948780187808</v>
          </cell>
          <cell r="V63">
            <v>0.61554047784986232</v>
          </cell>
          <cell r="W63">
            <v>0.63772974215103062</v>
          </cell>
          <cell r="X63">
            <v>1.3942212930859925</v>
          </cell>
          <cell r="Y63">
            <v>3.2733770795737933</v>
          </cell>
          <cell r="Z63">
            <v>1.6532726724205407</v>
          </cell>
          <cell r="AA63">
            <v>1.8223246865122995</v>
          </cell>
          <cell r="AB63">
            <v>0.62501970059377965</v>
          </cell>
          <cell r="AC63">
            <v>1.0722244153002314</v>
          </cell>
          <cell r="AD63">
            <v>2.0459516820917543</v>
          </cell>
          <cell r="AE63">
            <v>1.8374933379292031</v>
          </cell>
          <cell r="AF63">
            <v>0.85352080259661245</v>
          </cell>
        </row>
        <row r="64">
          <cell r="F64">
            <v>2.4555728943800323</v>
          </cell>
          <cell r="G64">
            <v>2.631314277729377</v>
          </cell>
          <cell r="H64">
            <v>2.7261690112018622</v>
          </cell>
          <cell r="I64">
            <v>5.9600213581832229</v>
          </cell>
          <cell r="J64">
            <v>13.993042140724164</v>
          </cell>
          <cell r="K64">
            <v>7.067414970199664</v>
          </cell>
          <cell r="L64">
            <v>7.7900790262051771</v>
          </cell>
          <cell r="M64">
            <v>2.6718360874972316</v>
          </cell>
          <cell r="N64">
            <v>4.5835481409196532</v>
          </cell>
          <cell r="O64">
            <v>8.7460403764796411</v>
          </cell>
          <cell r="P64">
            <v>7.8549220226992809</v>
          </cell>
          <cell r="Q64">
            <v>3.6486332825041288</v>
          </cell>
          <cell r="U64">
            <v>0.57442948780187808</v>
          </cell>
          <cell r="V64">
            <v>0.61554047784986232</v>
          </cell>
          <cell r="W64">
            <v>0.63772974215103062</v>
          </cell>
          <cell r="X64">
            <v>1.3942212930859925</v>
          </cell>
          <cell r="Y64">
            <v>3.2733770795737933</v>
          </cell>
          <cell r="Z64">
            <v>1.6532726724205407</v>
          </cell>
          <cell r="AA64">
            <v>1.8223246865122995</v>
          </cell>
          <cell r="AB64">
            <v>0.62501970059377965</v>
          </cell>
          <cell r="AC64">
            <v>1.0722244153002314</v>
          </cell>
          <cell r="AD64">
            <v>2.0459516820917543</v>
          </cell>
          <cell r="AE64">
            <v>1.8374933379292031</v>
          </cell>
          <cell r="AF64">
            <v>0.85352080259661245</v>
          </cell>
        </row>
        <row r="65">
          <cell r="F65">
            <v>2.4555728943800323</v>
          </cell>
          <cell r="G65">
            <v>2.631314277729377</v>
          </cell>
          <cell r="H65">
            <v>2.7261690112018622</v>
          </cell>
          <cell r="I65">
            <v>5.9600213581832229</v>
          </cell>
          <cell r="J65">
            <v>13.993042140724164</v>
          </cell>
          <cell r="K65">
            <v>7.067414970199664</v>
          </cell>
          <cell r="L65">
            <v>7.7900790262051771</v>
          </cell>
          <cell r="M65">
            <v>2.6718360874972316</v>
          </cell>
          <cell r="N65">
            <v>4.5835481409196532</v>
          </cell>
          <cell r="O65">
            <v>8.7460403764796411</v>
          </cell>
          <cell r="P65">
            <v>7.8549220226992809</v>
          </cell>
          <cell r="Q65">
            <v>3.6486332825041288</v>
          </cell>
          <cell r="U65">
            <v>0.57442948780187808</v>
          </cell>
          <cell r="V65">
            <v>0.61554047784986232</v>
          </cell>
          <cell r="W65">
            <v>0.63772974215103062</v>
          </cell>
          <cell r="X65">
            <v>1.3942212930859925</v>
          </cell>
          <cell r="Y65">
            <v>3.2733770795737933</v>
          </cell>
          <cell r="Z65">
            <v>1.6532726724205407</v>
          </cell>
          <cell r="AA65">
            <v>1.8223246865122995</v>
          </cell>
          <cell r="AB65">
            <v>0.62501970059377965</v>
          </cell>
          <cell r="AC65">
            <v>1.0722244153002314</v>
          </cell>
          <cell r="AD65">
            <v>2.0459516820917543</v>
          </cell>
          <cell r="AE65">
            <v>1.8374933379292031</v>
          </cell>
          <cell r="AF65">
            <v>0.85352080259661245</v>
          </cell>
        </row>
        <row r="66">
          <cell r="F66">
            <v>2.4555728943800323</v>
          </cell>
          <cell r="G66">
            <v>2.631314277729377</v>
          </cell>
          <cell r="H66">
            <v>2.7261690112018622</v>
          </cell>
          <cell r="I66">
            <v>5.9600213581832229</v>
          </cell>
          <cell r="J66">
            <v>13.993042140724164</v>
          </cell>
          <cell r="K66">
            <v>7.067414970199664</v>
          </cell>
          <cell r="L66">
            <v>7.7900790262051771</v>
          </cell>
          <cell r="M66">
            <v>2.6718360874972316</v>
          </cell>
          <cell r="N66">
            <v>4.5835481409196532</v>
          </cell>
          <cell r="O66">
            <v>8.7460403764796411</v>
          </cell>
          <cell r="P66">
            <v>7.8549220226992809</v>
          </cell>
          <cell r="Q66">
            <v>3.6486332825041288</v>
          </cell>
          <cell r="U66">
            <v>0.57442948780187808</v>
          </cell>
          <cell r="V66">
            <v>0.61554047784986232</v>
          </cell>
          <cell r="W66">
            <v>0.63772974215103062</v>
          </cell>
          <cell r="X66">
            <v>1.3942212930859925</v>
          </cell>
          <cell r="Y66">
            <v>3.2733770795737933</v>
          </cell>
          <cell r="Z66">
            <v>1.6532726724205407</v>
          </cell>
          <cell r="AA66">
            <v>1.8223246865122995</v>
          </cell>
          <cell r="AB66">
            <v>0.62501970059377965</v>
          </cell>
          <cell r="AC66">
            <v>1.0722244153002314</v>
          </cell>
          <cell r="AD66">
            <v>2.0459516820917543</v>
          </cell>
          <cell r="AE66">
            <v>1.8374933379292031</v>
          </cell>
          <cell r="AF66">
            <v>0.85352080259661245</v>
          </cell>
        </row>
        <row r="67">
          <cell r="F67">
            <v>3.6541263309226686</v>
          </cell>
          <cell r="G67">
            <v>3.9156462466210975</v>
          </cell>
          <cell r="H67">
            <v>4.0567991238122953</v>
          </cell>
          <cell r="I67">
            <v>8.8690794020583681</v>
          </cell>
          <cell r="J67">
            <v>20.822979376077626</v>
          </cell>
          <cell r="K67">
            <v>10.516986562797122</v>
          </cell>
          <cell r="L67">
            <v>11.592379503281514</v>
          </cell>
          <cell r="M67">
            <v>3.9759465587756431</v>
          </cell>
          <cell r="N67">
            <v>6.8207561620828194</v>
          </cell>
          <cell r="O67">
            <v>13.014941036428038</v>
          </cell>
          <cell r="P67">
            <v>11.688872057588213</v>
          </cell>
          <cell r="Q67">
            <v>5.4295138132501908</v>
          </cell>
          <cell r="U67">
            <v>1.0310455485572103</v>
          </cell>
          <cell r="V67">
            <v>1.1048358120897352</v>
          </cell>
          <cell r="W67">
            <v>1.1446634021931348</v>
          </cell>
          <cell r="X67">
            <v>2.5024928010586196</v>
          </cell>
          <cell r="Y67">
            <v>5.8753962641413082</v>
          </cell>
          <cell r="Z67">
            <v>2.9674650512342802</v>
          </cell>
          <cell r="AA67">
            <v>3.2708971178416526</v>
          </cell>
          <cell r="AB67">
            <v>1.1218501030017454</v>
          </cell>
          <cell r="AC67">
            <v>1.9245394498810175</v>
          </cell>
          <cell r="AD67">
            <v>3.672286014521942</v>
          </cell>
          <cell r="AE67">
            <v>3.2981233846909754</v>
          </cell>
          <cell r="AF67">
            <v>1.5319875507883649</v>
          </cell>
        </row>
        <row r="68">
          <cell r="F68">
            <v>3.6541263309226686</v>
          </cell>
          <cell r="G68">
            <v>3.9156462466210975</v>
          </cell>
          <cell r="H68">
            <v>4.0567991238122953</v>
          </cell>
          <cell r="I68">
            <v>8.8690794020583681</v>
          </cell>
          <cell r="J68">
            <v>20.822979376077626</v>
          </cell>
          <cell r="K68">
            <v>10.516986562797122</v>
          </cell>
          <cell r="L68">
            <v>11.592379503281514</v>
          </cell>
          <cell r="M68">
            <v>3.9759465587756431</v>
          </cell>
          <cell r="N68">
            <v>6.8207561620828194</v>
          </cell>
          <cell r="O68">
            <v>13.014941036428038</v>
          </cell>
          <cell r="P68">
            <v>11.688872057588213</v>
          </cell>
          <cell r="Q68">
            <v>5.4295138132501908</v>
          </cell>
          <cell r="U68">
            <v>1.0310455485572103</v>
          </cell>
          <cell r="V68">
            <v>1.1048358120897352</v>
          </cell>
          <cell r="W68">
            <v>1.1446634021931348</v>
          </cell>
          <cell r="X68">
            <v>2.5024928010586196</v>
          </cell>
          <cell r="Y68">
            <v>5.8753962641413082</v>
          </cell>
          <cell r="Z68">
            <v>2.9674650512342802</v>
          </cell>
          <cell r="AA68">
            <v>3.2708971178416526</v>
          </cell>
          <cell r="AB68">
            <v>1.1218501030017454</v>
          </cell>
          <cell r="AC68">
            <v>1.9245394498810175</v>
          </cell>
          <cell r="AD68">
            <v>3.672286014521942</v>
          </cell>
          <cell r="AE68">
            <v>3.2981233846909754</v>
          </cell>
          <cell r="AF68">
            <v>1.5319875507883649</v>
          </cell>
        </row>
        <row r="69">
          <cell r="F69">
            <v>3.6541263309226686</v>
          </cell>
          <cell r="G69">
            <v>3.9156462466210975</v>
          </cell>
          <cell r="H69">
            <v>4.0567991238122953</v>
          </cell>
          <cell r="I69">
            <v>8.8690794020583681</v>
          </cell>
          <cell r="J69">
            <v>20.822979376077626</v>
          </cell>
          <cell r="K69">
            <v>10.516986562797122</v>
          </cell>
          <cell r="L69">
            <v>11.592379503281514</v>
          </cell>
          <cell r="M69">
            <v>3.9759465587756431</v>
          </cell>
          <cell r="N69">
            <v>6.8207561620828194</v>
          </cell>
          <cell r="O69">
            <v>13.014941036428038</v>
          </cell>
          <cell r="P69">
            <v>11.688872057588213</v>
          </cell>
          <cell r="Q69">
            <v>5.4295138132501908</v>
          </cell>
          <cell r="U69">
            <v>1.0310455485572103</v>
          </cell>
          <cell r="V69">
            <v>1.1048358120897352</v>
          </cell>
          <cell r="W69">
            <v>1.1446634021931348</v>
          </cell>
          <cell r="X69">
            <v>2.5024928010586196</v>
          </cell>
          <cell r="Y69">
            <v>5.8753962641413082</v>
          </cell>
          <cell r="Z69">
            <v>2.9674650512342802</v>
          </cell>
          <cell r="AA69">
            <v>3.2708971178416526</v>
          </cell>
          <cell r="AB69">
            <v>1.1218501030017454</v>
          </cell>
          <cell r="AC69">
            <v>1.9245394498810175</v>
          </cell>
          <cell r="AD69">
            <v>3.672286014521942</v>
          </cell>
          <cell r="AE69">
            <v>3.2981233846909754</v>
          </cell>
          <cell r="AF69">
            <v>1.5319875507883649</v>
          </cell>
        </row>
        <row r="70">
          <cell r="F70">
            <v>3.6541263309226686</v>
          </cell>
          <cell r="G70">
            <v>3.9156462466210975</v>
          </cell>
          <cell r="H70">
            <v>4.0567991238122953</v>
          </cell>
          <cell r="I70">
            <v>8.8690794020583681</v>
          </cell>
          <cell r="J70">
            <v>20.822979376077626</v>
          </cell>
          <cell r="K70">
            <v>10.516986562797122</v>
          </cell>
          <cell r="L70">
            <v>11.592379503281514</v>
          </cell>
          <cell r="M70">
            <v>3.9759465587756431</v>
          </cell>
          <cell r="N70">
            <v>6.8207561620828194</v>
          </cell>
          <cell r="O70">
            <v>13.014941036428038</v>
          </cell>
          <cell r="P70">
            <v>11.688872057588213</v>
          </cell>
          <cell r="Q70">
            <v>5.4295138132501908</v>
          </cell>
          <cell r="U70">
            <v>1.0310455485572103</v>
          </cell>
          <cell r="V70">
            <v>1.1048358120897352</v>
          </cell>
          <cell r="W70">
            <v>1.1446634021931348</v>
          </cell>
          <cell r="X70">
            <v>2.5024928010586196</v>
          </cell>
          <cell r="Y70">
            <v>5.8753962641413082</v>
          </cell>
          <cell r="Z70">
            <v>2.9674650512342802</v>
          </cell>
          <cell r="AA70">
            <v>3.2708971178416526</v>
          </cell>
          <cell r="AB70">
            <v>1.1218501030017454</v>
          </cell>
          <cell r="AC70">
            <v>1.9245394498810175</v>
          </cell>
          <cell r="AD70">
            <v>3.672286014521942</v>
          </cell>
          <cell r="AE70">
            <v>3.2981233846909754</v>
          </cell>
          <cell r="AF70">
            <v>1.5319875507883649</v>
          </cell>
        </row>
        <row r="71">
          <cell r="F71">
            <v>3.6541263309226686</v>
          </cell>
          <cell r="G71">
            <v>3.9156462466210975</v>
          </cell>
          <cell r="H71">
            <v>4.0567991238122953</v>
          </cell>
          <cell r="I71">
            <v>8.8690794020583681</v>
          </cell>
          <cell r="J71">
            <v>20.822979376077626</v>
          </cell>
          <cell r="K71">
            <v>10.516986562797122</v>
          </cell>
          <cell r="L71">
            <v>11.592379503281514</v>
          </cell>
          <cell r="M71">
            <v>3.9759465587756431</v>
          </cell>
          <cell r="N71">
            <v>6.8207561620828194</v>
          </cell>
          <cell r="O71">
            <v>13.014941036428038</v>
          </cell>
          <cell r="P71">
            <v>11.688872057588213</v>
          </cell>
          <cell r="Q71">
            <v>5.4295138132501908</v>
          </cell>
          <cell r="U71">
            <v>1.0310455485572103</v>
          </cell>
          <cell r="V71">
            <v>1.1048358120897352</v>
          </cell>
          <cell r="W71">
            <v>1.1446634021931348</v>
          </cell>
          <cell r="X71">
            <v>2.5024928010586196</v>
          </cell>
          <cell r="Y71">
            <v>5.8753962641413082</v>
          </cell>
          <cell r="Z71">
            <v>2.9674650512342802</v>
          </cell>
          <cell r="AA71">
            <v>3.2708971178416526</v>
          </cell>
          <cell r="AB71">
            <v>1.1218501030017454</v>
          </cell>
          <cell r="AC71">
            <v>1.9245394498810175</v>
          </cell>
          <cell r="AD71">
            <v>3.672286014521942</v>
          </cell>
          <cell r="AE71">
            <v>3.2981233846909754</v>
          </cell>
          <cell r="AF71">
            <v>1.5319875507883649</v>
          </cell>
        </row>
        <row r="72">
          <cell r="F72">
            <v>3.6541263309226686</v>
          </cell>
          <cell r="G72">
            <v>3.9156462466210975</v>
          </cell>
          <cell r="H72">
            <v>4.0567991238122953</v>
          </cell>
          <cell r="I72">
            <v>8.8690794020583681</v>
          </cell>
          <cell r="J72">
            <v>20.822979376077626</v>
          </cell>
          <cell r="K72">
            <v>10.516986562797122</v>
          </cell>
          <cell r="L72">
            <v>11.592379503281514</v>
          </cell>
          <cell r="M72">
            <v>3.9759465587756431</v>
          </cell>
          <cell r="N72">
            <v>6.8207561620828194</v>
          </cell>
          <cell r="O72">
            <v>13.014941036428038</v>
          </cell>
          <cell r="P72">
            <v>11.688872057588213</v>
          </cell>
          <cell r="Q72">
            <v>5.4295138132501908</v>
          </cell>
          <cell r="U72">
            <v>1.0310455485572103</v>
          </cell>
          <cell r="V72">
            <v>1.1048358120897352</v>
          </cell>
          <cell r="W72">
            <v>1.1446634021931348</v>
          </cell>
          <cell r="X72">
            <v>2.5024928010586196</v>
          </cell>
          <cell r="Y72">
            <v>5.8753962641413082</v>
          </cell>
          <cell r="Z72">
            <v>2.9674650512342802</v>
          </cell>
          <cell r="AA72">
            <v>3.2708971178416526</v>
          </cell>
          <cell r="AB72">
            <v>1.1218501030017454</v>
          </cell>
          <cell r="AC72">
            <v>1.9245394498810175</v>
          </cell>
          <cell r="AD72">
            <v>3.672286014521942</v>
          </cell>
          <cell r="AE72">
            <v>3.2981233846909754</v>
          </cell>
          <cell r="AF72">
            <v>1.5319875507883649</v>
          </cell>
        </row>
        <row r="73">
          <cell r="F73">
            <v>0.73082526618453336</v>
          </cell>
          <cell r="G73">
            <v>0.78312924932421946</v>
          </cell>
          <cell r="H73">
            <v>0.81135982476245916</v>
          </cell>
          <cell r="I73">
            <v>1.7738158804116742</v>
          </cell>
          <cell r="J73">
            <v>4.1645958752155252</v>
          </cell>
          <cell r="K73">
            <v>2.1033973125594239</v>
          </cell>
          <cell r="L73">
            <v>2.3184759006563027</v>
          </cell>
          <cell r="M73">
            <v>0.79518931175512853</v>
          </cell>
          <cell r="N73">
            <v>1.3641512324165639</v>
          </cell>
          <cell r="O73">
            <v>2.6029882072856072</v>
          </cell>
          <cell r="P73">
            <v>2.3377744115176435</v>
          </cell>
          <cell r="Q73">
            <v>1.0859027626500382</v>
          </cell>
          <cell r="U73">
            <v>0.33658375461226525</v>
          </cell>
          <cell r="V73">
            <v>0.36067250994258104</v>
          </cell>
          <cell r="W73">
            <v>0.37367418560367993</v>
          </cell>
          <cell r="X73">
            <v>0.81693619069413814</v>
          </cell>
          <cell r="Y73">
            <v>1.9180170431721995</v>
          </cell>
          <cell r="Z73">
            <v>0.96872590160811034</v>
          </cell>
          <cell r="AA73">
            <v>1.0677809864114773</v>
          </cell>
          <cell r="AB73">
            <v>0.36622680764091592</v>
          </cell>
          <cell r="AC73">
            <v>0.62826391602856857</v>
          </cell>
          <cell r="AD73">
            <v>1.1988139772365476</v>
          </cell>
          <cell r="AE73">
            <v>1.0766689731091015</v>
          </cell>
          <cell r="AF73">
            <v>0.50011575394041352</v>
          </cell>
        </row>
        <row r="74">
          <cell r="F74">
            <v>0.73082526618453336</v>
          </cell>
          <cell r="G74">
            <v>0.78312924932421946</v>
          </cell>
          <cell r="H74">
            <v>0.81135982476245916</v>
          </cell>
          <cell r="I74">
            <v>1.7738158804116742</v>
          </cell>
          <cell r="J74">
            <v>4.1645958752155252</v>
          </cell>
          <cell r="K74">
            <v>2.1033973125594239</v>
          </cell>
          <cell r="L74">
            <v>2.3184759006563027</v>
          </cell>
          <cell r="M74">
            <v>0.79518931175512853</v>
          </cell>
          <cell r="N74">
            <v>1.3641512324165639</v>
          </cell>
          <cell r="O74">
            <v>2.6029882072856072</v>
          </cell>
          <cell r="P74">
            <v>2.3377744115176435</v>
          </cell>
          <cell r="Q74">
            <v>1.0859027626500382</v>
          </cell>
          <cell r="U74">
            <v>0.33658375461226525</v>
          </cell>
          <cell r="V74">
            <v>0.36067250994258104</v>
          </cell>
          <cell r="W74">
            <v>0.37367418560367993</v>
          </cell>
          <cell r="X74">
            <v>0.81693619069413814</v>
          </cell>
          <cell r="Y74">
            <v>1.9180170431721995</v>
          </cell>
          <cell r="Z74">
            <v>0.96872590160811034</v>
          </cell>
          <cell r="AA74">
            <v>1.0677809864114773</v>
          </cell>
          <cell r="AB74">
            <v>0.36622680764091592</v>
          </cell>
          <cell r="AC74">
            <v>0.62826391602856857</v>
          </cell>
          <cell r="AD74">
            <v>1.1988139772365476</v>
          </cell>
          <cell r="AE74">
            <v>1.0766689731091015</v>
          </cell>
          <cell r="AF74">
            <v>0.50011575394041352</v>
          </cell>
        </row>
        <row r="75">
          <cell r="F75">
            <v>0.21924757985536003</v>
          </cell>
          <cell r="G75">
            <v>0.23493877479726588</v>
          </cell>
          <cell r="H75">
            <v>0.24340794742873773</v>
          </cell>
          <cell r="I75">
            <v>0.5321447641235022</v>
          </cell>
          <cell r="J75">
            <v>1.2493787625646577</v>
          </cell>
          <cell r="K75">
            <v>0.63101919376782734</v>
          </cell>
          <cell r="L75">
            <v>0.69554277019689081</v>
          </cell>
          <cell r="M75">
            <v>0.23855679352653858</v>
          </cell>
          <cell r="N75">
            <v>0.40924536972496917</v>
          </cell>
          <cell r="O75">
            <v>0.78089646218568243</v>
          </cell>
          <cell r="P75">
            <v>0.70133232345529284</v>
          </cell>
          <cell r="Q75">
            <v>0.3257708287950114</v>
          </cell>
          <cell r="U75">
            <v>3.1296926937751997E-2</v>
          </cell>
          <cell r="V75">
            <v>3.3536797416535959E-2</v>
          </cell>
          <cell r="W75">
            <v>3.4745746118479422E-2</v>
          </cell>
          <cell r="X75">
            <v>7.5962050819752103E-2</v>
          </cell>
          <cell r="Y75">
            <v>0.17834502837094443</v>
          </cell>
          <cell r="Z75">
            <v>9.0076075716317872E-2</v>
          </cell>
          <cell r="AA75">
            <v>9.9286620519572127E-2</v>
          </cell>
          <cell r="AB75">
            <v>3.4053258614895214E-2</v>
          </cell>
          <cell r="AC75">
            <v>5.8418535084151527E-2</v>
          </cell>
          <cell r="AD75">
            <v>0.11147060113091063</v>
          </cell>
          <cell r="AE75">
            <v>0.10011306168462383</v>
          </cell>
          <cell r="AF75">
            <v>4.6502797586064799E-2</v>
          </cell>
        </row>
        <row r="76">
          <cell r="F76">
            <v>0.21924757985536003</v>
          </cell>
          <cell r="G76">
            <v>0.23493877479726588</v>
          </cell>
          <cell r="H76">
            <v>0.24340794742873773</v>
          </cell>
          <cell r="I76">
            <v>0.5321447641235022</v>
          </cell>
          <cell r="J76">
            <v>1.2493787625646577</v>
          </cell>
          <cell r="K76">
            <v>0.63101919376782734</v>
          </cell>
          <cell r="L76">
            <v>0.69554277019689081</v>
          </cell>
          <cell r="M76">
            <v>0.23855679352653858</v>
          </cell>
          <cell r="N76">
            <v>0.40924536972496917</v>
          </cell>
          <cell r="O76">
            <v>0.78089646218568243</v>
          </cell>
          <cell r="P76">
            <v>0.70133232345529284</v>
          </cell>
          <cell r="Q76">
            <v>0.3257708287950114</v>
          </cell>
          <cell r="U76">
            <v>3.1296926937751997E-2</v>
          </cell>
          <cell r="V76">
            <v>3.3536797416535959E-2</v>
          </cell>
          <cell r="W76">
            <v>3.4745746118479422E-2</v>
          </cell>
          <cell r="X76">
            <v>7.5962050819752103E-2</v>
          </cell>
          <cell r="Y76">
            <v>0.17834502837094443</v>
          </cell>
          <cell r="Z76">
            <v>9.0076075716317872E-2</v>
          </cell>
          <cell r="AA76">
            <v>9.9286620519572127E-2</v>
          </cell>
          <cell r="AB76">
            <v>3.4053258614895214E-2</v>
          </cell>
          <cell r="AC76">
            <v>5.8418535084151527E-2</v>
          </cell>
          <cell r="AD76">
            <v>0.11147060113091063</v>
          </cell>
          <cell r="AE76">
            <v>0.10011306168462383</v>
          </cell>
          <cell r="AF76">
            <v>4.6502797586064799E-2</v>
          </cell>
        </row>
        <row r="77">
          <cell r="F77">
            <v>0.21924757985536003</v>
          </cell>
          <cell r="G77">
            <v>0.23493877479726588</v>
          </cell>
          <cell r="H77">
            <v>0.24340794742873773</v>
          </cell>
          <cell r="I77">
            <v>0.5321447641235022</v>
          </cell>
          <cell r="J77">
            <v>1.2493787625646577</v>
          </cell>
          <cell r="K77">
            <v>0.63101919376782734</v>
          </cell>
          <cell r="L77">
            <v>0.69554277019689081</v>
          </cell>
          <cell r="M77">
            <v>0.23855679352653858</v>
          </cell>
          <cell r="N77">
            <v>0.40924536972496917</v>
          </cell>
          <cell r="O77">
            <v>0.78089646218568243</v>
          </cell>
          <cell r="P77">
            <v>0.70133232345529284</v>
          </cell>
          <cell r="Q77">
            <v>0.3257708287950114</v>
          </cell>
          <cell r="U77">
            <v>3.1296926937751997E-2</v>
          </cell>
          <cell r="V77">
            <v>3.3536797416535959E-2</v>
          </cell>
          <cell r="W77">
            <v>3.4745746118479422E-2</v>
          </cell>
          <cell r="X77">
            <v>7.5962050819752103E-2</v>
          </cell>
          <cell r="Y77">
            <v>0.17834502837094443</v>
          </cell>
          <cell r="Z77">
            <v>9.0076075716317872E-2</v>
          </cell>
          <cell r="AA77">
            <v>9.9286620519572127E-2</v>
          </cell>
          <cell r="AB77">
            <v>3.4053258614895214E-2</v>
          </cell>
          <cell r="AC77">
            <v>5.8418535084151527E-2</v>
          </cell>
          <cell r="AD77">
            <v>0.11147060113091063</v>
          </cell>
          <cell r="AE77">
            <v>0.10011306168462383</v>
          </cell>
          <cell r="AF77">
            <v>4.6502797586064799E-2</v>
          </cell>
        </row>
        <row r="78">
          <cell r="F78">
            <v>0.21924757985536003</v>
          </cell>
          <cell r="G78">
            <v>0.23493877479726588</v>
          </cell>
          <cell r="H78">
            <v>0.24340794742873773</v>
          </cell>
          <cell r="I78">
            <v>0.5321447641235022</v>
          </cell>
          <cell r="J78">
            <v>1.2493787625646577</v>
          </cell>
          <cell r="K78">
            <v>0.63101919376782734</v>
          </cell>
          <cell r="L78">
            <v>0.69554277019689081</v>
          </cell>
          <cell r="M78">
            <v>0.23855679352653858</v>
          </cell>
          <cell r="N78">
            <v>0.40924536972496917</v>
          </cell>
          <cell r="O78">
            <v>0.78089646218568243</v>
          </cell>
          <cell r="P78">
            <v>0.70133232345529284</v>
          </cell>
          <cell r="Q78">
            <v>0.3257708287950114</v>
          </cell>
          <cell r="U78">
            <v>3.1296926937751997E-2</v>
          </cell>
          <cell r="V78">
            <v>3.3536797416535959E-2</v>
          </cell>
          <cell r="W78">
            <v>3.4745746118479422E-2</v>
          </cell>
          <cell r="X78">
            <v>7.5962050819752103E-2</v>
          </cell>
          <cell r="Y78">
            <v>0.17834502837094443</v>
          </cell>
          <cell r="Z78">
            <v>9.0076075716317872E-2</v>
          </cell>
          <cell r="AA78">
            <v>9.9286620519572127E-2</v>
          </cell>
          <cell r="AB78">
            <v>3.4053258614895214E-2</v>
          </cell>
          <cell r="AC78">
            <v>5.8418535084151527E-2</v>
          </cell>
          <cell r="AD78">
            <v>0.11147060113091063</v>
          </cell>
          <cell r="AE78">
            <v>0.10011306168462383</v>
          </cell>
          <cell r="AF78">
            <v>4.6502797586064799E-2</v>
          </cell>
        </row>
        <row r="79">
          <cell r="F79">
            <v>0.18270631654613334</v>
          </cell>
          <cell r="G79">
            <v>0.19578231233105486</v>
          </cell>
          <cell r="H79">
            <v>0.20283995619061479</v>
          </cell>
          <cell r="I79">
            <v>0.44345397010291854</v>
          </cell>
          <cell r="J79">
            <v>1.0411489688038813</v>
          </cell>
          <cell r="K79">
            <v>0.52584932813985596</v>
          </cell>
          <cell r="L79">
            <v>0.57961897516407568</v>
          </cell>
          <cell r="M79">
            <v>0.19879732793878213</v>
          </cell>
          <cell r="N79">
            <v>0.34103780810414097</v>
          </cell>
          <cell r="O79">
            <v>0.6507470518214018</v>
          </cell>
          <cell r="P79">
            <v>0.58444360287941088</v>
          </cell>
          <cell r="Q79">
            <v>0.27147569066250954</v>
          </cell>
          <cell r="U79">
            <v>6.8987295292771297E-2</v>
          </cell>
          <cell r="V79">
            <v>7.3924604519481255E-2</v>
          </cell>
          <cell r="W79">
            <v>7.6589470027224854E-2</v>
          </cell>
          <cell r="X79">
            <v>0.16744188467352283</v>
          </cell>
          <cell r="Y79">
            <v>0.39312297851783146</v>
          </cell>
          <cell r="Z79">
            <v>0.19855319490680942</v>
          </cell>
          <cell r="AA79">
            <v>0.21885584556044074</v>
          </cell>
          <cell r="AB79">
            <v>7.506303134551863E-2</v>
          </cell>
          <cell r="AC79">
            <v>0.12877100484776732</v>
          </cell>
          <cell r="AD79">
            <v>0.24571279129021159</v>
          </cell>
          <cell r="AE79">
            <v>0.22067755606923684</v>
          </cell>
          <cell r="AF79">
            <v>0.10250534294918408</v>
          </cell>
        </row>
        <row r="80">
          <cell r="F80">
            <v>0.18270631654613334</v>
          </cell>
          <cell r="G80">
            <v>0.19578231233105486</v>
          </cell>
          <cell r="H80">
            <v>0.20283995619061479</v>
          </cell>
          <cell r="I80">
            <v>0.44345397010291854</v>
          </cell>
          <cell r="J80">
            <v>1.0411489688038813</v>
          </cell>
          <cell r="K80">
            <v>0.52584932813985596</v>
          </cell>
          <cell r="L80">
            <v>0.57961897516407568</v>
          </cell>
          <cell r="M80">
            <v>0.19879732793878213</v>
          </cell>
          <cell r="N80">
            <v>0.34103780810414097</v>
          </cell>
          <cell r="O80">
            <v>0.6507470518214018</v>
          </cell>
          <cell r="P80">
            <v>0.58444360287941088</v>
          </cell>
          <cell r="Q80">
            <v>0.27147569066250954</v>
          </cell>
          <cell r="U80">
            <v>6.8987295292771297E-2</v>
          </cell>
          <cell r="V80">
            <v>7.3924604519481255E-2</v>
          </cell>
          <cell r="W80">
            <v>7.6589470027224854E-2</v>
          </cell>
          <cell r="X80">
            <v>0.16744188467352283</v>
          </cell>
          <cell r="Y80">
            <v>0.39312297851783146</v>
          </cell>
          <cell r="Z80">
            <v>0.19855319490680942</v>
          </cell>
          <cell r="AA80">
            <v>0.21885584556044074</v>
          </cell>
          <cell r="AB80">
            <v>7.506303134551863E-2</v>
          </cell>
          <cell r="AC80">
            <v>0.12877100484776732</v>
          </cell>
          <cell r="AD80">
            <v>0.24571279129021159</v>
          </cell>
          <cell r="AE80">
            <v>0.22067755606923684</v>
          </cell>
          <cell r="AF80">
            <v>0.10250534294918408</v>
          </cell>
        </row>
        <row r="81">
          <cell r="F81">
            <v>0.95007284603989373</v>
          </cell>
          <cell r="G81">
            <v>1.0180680241214852</v>
          </cell>
          <cell r="H81">
            <v>1.0547677721911968</v>
          </cell>
          <cell r="I81">
            <v>2.3059606445351761</v>
          </cell>
          <cell r="J81">
            <v>5.4139746377801821</v>
          </cell>
          <cell r="K81">
            <v>2.7344165063272516</v>
          </cell>
          <cell r="L81">
            <v>3.0140186708531935</v>
          </cell>
          <cell r="M81">
            <v>1.0337461052816672</v>
          </cell>
          <cell r="N81">
            <v>1.7733966021415331</v>
          </cell>
          <cell r="O81">
            <v>3.3838846694712892</v>
          </cell>
          <cell r="P81">
            <v>3.0391067349729362</v>
          </cell>
          <cell r="Q81">
            <v>1.4116735914450498</v>
          </cell>
          <cell r="U81">
            <v>0.24088837339897426</v>
          </cell>
          <cell r="V81">
            <v>0.25812836495890606</v>
          </cell>
          <cell r="W81">
            <v>0.26743348577518267</v>
          </cell>
          <cell r="X81">
            <v>0.58467001883011838</v>
          </cell>
          <cell r="Y81">
            <v>1.3726984720742212</v>
          </cell>
          <cell r="Z81">
            <v>0.69330383154305952</v>
          </cell>
          <cell r="AA81">
            <v>0.76419619615723389</v>
          </cell>
          <cell r="AB81">
            <v>0.26210349958614576</v>
          </cell>
          <cell r="AC81">
            <v>0.44963986147142654</v>
          </cell>
          <cell r="AD81">
            <v>0.85797470919870578</v>
          </cell>
          <cell r="AE81">
            <v>0.7705572062447491</v>
          </cell>
          <cell r="AF81">
            <v>0.35792598076127646</v>
          </cell>
        </row>
        <row r="82">
          <cell r="F82">
            <v>0.95007284603989373</v>
          </cell>
          <cell r="G82">
            <v>1.0180680241214852</v>
          </cell>
          <cell r="H82">
            <v>1.0547677721911968</v>
          </cell>
          <cell r="I82">
            <v>2.3059606445351761</v>
          </cell>
          <cell r="J82">
            <v>5.4139746377801821</v>
          </cell>
          <cell r="K82">
            <v>2.7344165063272516</v>
          </cell>
          <cell r="L82">
            <v>3.0140186708531935</v>
          </cell>
          <cell r="M82">
            <v>1.0337461052816672</v>
          </cell>
          <cell r="N82">
            <v>1.7733966021415331</v>
          </cell>
          <cell r="O82">
            <v>3.3838846694712892</v>
          </cell>
          <cell r="P82">
            <v>3.0391067349729362</v>
          </cell>
          <cell r="Q82">
            <v>1.4116735914450498</v>
          </cell>
          <cell r="U82">
            <v>0.24088837339897426</v>
          </cell>
          <cell r="V82">
            <v>0.25812836495890606</v>
          </cell>
          <cell r="W82">
            <v>0.26743348577518267</v>
          </cell>
          <cell r="X82">
            <v>0.58467001883011838</v>
          </cell>
          <cell r="Y82">
            <v>1.3726984720742212</v>
          </cell>
          <cell r="Z82">
            <v>0.69330383154305952</v>
          </cell>
          <cell r="AA82">
            <v>0.76419619615723389</v>
          </cell>
          <cell r="AB82">
            <v>0.26210349958614576</v>
          </cell>
          <cell r="AC82">
            <v>0.44963986147142654</v>
          </cell>
          <cell r="AD82">
            <v>0.85797470919870578</v>
          </cell>
          <cell r="AE82">
            <v>0.7705572062447491</v>
          </cell>
          <cell r="AF82">
            <v>0.35792598076127646</v>
          </cell>
        </row>
        <row r="83">
          <cell r="F83">
            <v>0.95007284603989373</v>
          </cell>
          <cell r="G83">
            <v>1.0180680241214852</v>
          </cell>
          <cell r="H83">
            <v>1.0547677721911968</v>
          </cell>
          <cell r="I83">
            <v>2.3059606445351761</v>
          </cell>
          <cell r="J83">
            <v>5.4139746377801821</v>
          </cell>
          <cell r="K83">
            <v>2.7344165063272516</v>
          </cell>
          <cell r="L83">
            <v>3.0140186708531935</v>
          </cell>
          <cell r="M83">
            <v>1.0337461052816672</v>
          </cell>
          <cell r="N83">
            <v>1.7733966021415331</v>
          </cell>
          <cell r="O83">
            <v>3.3838846694712892</v>
          </cell>
          <cell r="P83">
            <v>3.0391067349729362</v>
          </cell>
          <cell r="Q83">
            <v>1.4116735914450498</v>
          </cell>
          <cell r="U83">
            <v>0.24088837339897426</v>
          </cell>
          <cell r="V83">
            <v>0.25812836495890606</v>
          </cell>
          <cell r="W83">
            <v>0.26743348577518267</v>
          </cell>
          <cell r="X83">
            <v>0.58467001883011838</v>
          </cell>
          <cell r="Y83">
            <v>1.3726984720742212</v>
          </cell>
          <cell r="Z83">
            <v>0.69330383154305952</v>
          </cell>
          <cell r="AA83">
            <v>0.76419619615723389</v>
          </cell>
          <cell r="AB83">
            <v>0.26210349958614576</v>
          </cell>
          <cell r="AC83">
            <v>0.44963986147142654</v>
          </cell>
          <cell r="AD83">
            <v>0.85797470919870578</v>
          </cell>
          <cell r="AE83">
            <v>0.7705572062447491</v>
          </cell>
          <cell r="AF83">
            <v>0.35792598076127646</v>
          </cell>
        </row>
        <row r="84">
          <cell r="F84">
            <v>0.95007284603989373</v>
          </cell>
          <cell r="G84">
            <v>1.0180680241214852</v>
          </cell>
          <cell r="H84">
            <v>1.0547677721911968</v>
          </cell>
          <cell r="I84">
            <v>2.3059606445351761</v>
          </cell>
          <cell r="J84">
            <v>5.4139746377801821</v>
          </cell>
          <cell r="K84">
            <v>2.7344165063272516</v>
          </cell>
          <cell r="L84">
            <v>3.0140186708531935</v>
          </cell>
          <cell r="M84">
            <v>1.0337461052816672</v>
          </cell>
          <cell r="N84">
            <v>1.7733966021415331</v>
          </cell>
          <cell r="O84">
            <v>3.3838846694712892</v>
          </cell>
          <cell r="P84">
            <v>3.0391067349729362</v>
          </cell>
          <cell r="Q84">
            <v>1.4116735914450498</v>
          </cell>
          <cell r="U84">
            <v>0.24088837339897426</v>
          </cell>
          <cell r="V84">
            <v>0.25812836495890606</v>
          </cell>
          <cell r="W84">
            <v>0.26743348577518267</v>
          </cell>
          <cell r="X84">
            <v>0.58467001883011838</v>
          </cell>
          <cell r="Y84">
            <v>1.3726984720742212</v>
          </cell>
          <cell r="Z84">
            <v>0.69330383154305952</v>
          </cell>
          <cell r="AA84">
            <v>0.76419619615723389</v>
          </cell>
          <cell r="AB84">
            <v>0.26210349958614576</v>
          </cell>
          <cell r="AC84">
            <v>0.44963986147142654</v>
          </cell>
          <cell r="AD84">
            <v>0.85797470919870578</v>
          </cell>
          <cell r="AE84">
            <v>0.7705572062447491</v>
          </cell>
          <cell r="AF84">
            <v>0.35792598076127646</v>
          </cell>
        </row>
        <row r="85">
          <cell r="F85">
            <v>0.95007284603989373</v>
          </cell>
          <cell r="G85">
            <v>1.0180680241214852</v>
          </cell>
          <cell r="H85">
            <v>1.0547677721911968</v>
          </cell>
          <cell r="I85">
            <v>2.3059606445351761</v>
          </cell>
          <cell r="J85">
            <v>5.4139746377801821</v>
          </cell>
          <cell r="K85">
            <v>2.7344165063272516</v>
          </cell>
          <cell r="L85">
            <v>3.0140186708531935</v>
          </cell>
          <cell r="M85">
            <v>1.0337461052816672</v>
          </cell>
          <cell r="N85">
            <v>1.7733966021415331</v>
          </cell>
          <cell r="O85">
            <v>3.3838846694712892</v>
          </cell>
          <cell r="P85">
            <v>3.0391067349729362</v>
          </cell>
          <cell r="Q85">
            <v>1.4116735914450498</v>
          </cell>
          <cell r="U85">
            <v>0.24088837339897426</v>
          </cell>
          <cell r="V85">
            <v>0.25812836495890606</v>
          </cell>
          <cell r="W85">
            <v>0.26743348577518267</v>
          </cell>
          <cell r="X85">
            <v>0.58467001883011838</v>
          </cell>
          <cell r="Y85">
            <v>1.3726984720742212</v>
          </cell>
          <cell r="Z85">
            <v>0.69330383154305952</v>
          </cell>
          <cell r="AA85">
            <v>0.76419619615723389</v>
          </cell>
          <cell r="AB85">
            <v>0.26210349958614576</v>
          </cell>
          <cell r="AC85">
            <v>0.44963986147142654</v>
          </cell>
          <cell r="AD85">
            <v>0.85797470919870578</v>
          </cell>
          <cell r="AE85">
            <v>0.7705572062447491</v>
          </cell>
          <cell r="AF85">
            <v>0.35792598076127646</v>
          </cell>
        </row>
        <row r="86">
          <cell r="F86">
            <v>0.95007284603989373</v>
          </cell>
          <cell r="G86">
            <v>1.0180680241214852</v>
          </cell>
          <cell r="H86">
            <v>1.0547677721911968</v>
          </cell>
          <cell r="I86">
            <v>2.3059606445351761</v>
          </cell>
          <cell r="J86">
            <v>5.4139746377801821</v>
          </cell>
          <cell r="K86">
            <v>2.7344165063272516</v>
          </cell>
          <cell r="L86">
            <v>3.0140186708531935</v>
          </cell>
          <cell r="M86">
            <v>1.0337461052816672</v>
          </cell>
          <cell r="N86">
            <v>1.7733966021415331</v>
          </cell>
          <cell r="O86">
            <v>3.3838846694712892</v>
          </cell>
          <cell r="P86">
            <v>3.0391067349729362</v>
          </cell>
          <cell r="Q86">
            <v>1.4116735914450498</v>
          </cell>
          <cell r="U86">
            <v>0.24088837339897426</v>
          </cell>
          <cell r="V86">
            <v>0.25812836495890606</v>
          </cell>
          <cell r="W86">
            <v>0.26743348577518267</v>
          </cell>
          <cell r="X86">
            <v>0.58467001883011838</v>
          </cell>
          <cell r="Y86">
            <v>1.3726984720742212</v>
          </cell>
          <cell r="Z86">
            <v>0.69330383154305952</v>
          </cell>
          <cell r="AA86">
            <v>0.76419619615723389</v>
          </cell>
          <cell r="AB86">
            <v>0.26210349958614576</v>
          </cell>
          <cell r="AC86">
            <v>0.44963986147142654</v>
          </cell>
          <cell r="AD86">
            <v>0.85797470919870578</v>
          </cell>
          <cell r="AE86">
            <v>0.7705572062447491</v>
          </cell>
          <cell r="AF86">
            <v>0.35792598076127646</v>
          </cell>
        </row>
        <row r="87">
          <cell r="F87">
            <v>0.97443368824604493</v>
          </cell>
          <cell r="G87">
            <v>1.0441723324322929</v>
          </cell>
          <cell r="H87">
            <v>1.0818130996832789</v>
          </cell>
          <cell r="I87">
            <v>2.3650878405488989</v>
          </cell>
          <cell r="J87">
            <v>5.5527945002873675</v>
          </cell>
          <cell r="K87">
            <v>2.8045297500792321</v>
          </cell>
          <cell r="L87">
            <v>3.0913012008750709</v>
          </cell>
          <cell r="M87">
            <v>1.0602524156735047</v>
          </cell>
          <cell r="N87">
            <v>1.8188683098887521</v>
          </cell>
          <cell r="O87">
            <v>3.4706509430474775</v>
          </cell>
          <cell r="P87">
            <v>3.1170325486901911</v>
          </cell>
          <cell r="Q87">
            <v>1.4478703502000512</v>
          </cell>
          <cell r="U87">
            <v>0.45446712741075046</v>
          </cell>
          <cell r="V87">
            <v>0.48699260520892962</v>
          </cell>
          <cell r="W87">
            <v>0.50454792125807346</v>
          </cell>
          <cell r="X87">
            <v>1.1030557440014861</v>
          </cell>
          <cell r="Y87">
            <v>2.5897735229065817</v>
          </cell>
          <cell r="Z87">
            <v>1.3080075069558452</v>
          </cell>
          <cell r="AA87">
            <v>1.4417551380554898</v>
          </cell>
          <cell r="AB87">
            <v>0.49449221172634517</v>
          </cell>
          <cell r="AC87">
            <v>0.848303856798583</v>
          </cell>
          <cell r="AD87">
            <v>1.6186804534347452</v>
          </cell>
          <cell r="AE87">
            <v>1.4537560077575562</v>
          </cell>
          <cell r="AF87">
            <v>0.67527373781895239</v>
          </cell>
        </row>
        <row r="88">
          <cell r="F88">
            <v>0.97443368824604493</v>
          </cell>
          <cell r="G88">
            <v>1.0441723324322929</v>
          </cell>
          <cell r="H88">
            <v>1.0818130996832789</v>
          </cell>
          <cell r="I88">
            <v>2.3650878405488989</v>
          </cell>
          <cell r="J88">
            <v>5.5527945002873675</v>
          </cell>
          <cell r="K88">
            <v>2.8045297500792321</v>
          </cell>
          <cell r="L88">
            <v>3.0913012008750709</v>
          </cell>
          <cell r="M88">
            <v>1.0602524156735047</v>
          </cell>
          <cell r="N88">
            <v>1.8188683098887521</v>
          </cell>
          <cell r="O88">
            <v>3.4706509430474775</v>
          </cell>
          <cell r="P88">
            <v>3.1170325486901911</v>
          </cell>
          <cell r="Q88">
            <v>1.4478703502000512</v>
          </cell>
          <cell r="U88">
            <v>0.45446712741075046</v>
          </cell>
          <cell r="V88">
            <v>0.48699260520892962</v>
          </cell>
          <cell r="W88">
            <v>0.50454792125807346</v>
          </cell>
          <cell r="X88">
            <v>1.1030557440014861</v>
          </cell>
          <cell r="Y88">
            <v>2.5897735229065817</v>
          </cell>
          <cell r="Z88">
            <v>1.3080075069558452</v>
          </cell>
          <cell r="AA88">
            <v>1.4417551380554898</v>
          </cell>
          <cell r="AB88">
            <v>0.49449221172634517</v>
          </cell>
          <cell r="AC88">
            <v>0.848303856798583</v>
          </cell>
          <cell r="AD88">
            <v>1.6186804534347452</v>
          </cell>
          <cell r="AE88">
            <v>1.4537560077575562</v>
          </cell>
          <cell r="AF88">
            <v>0.67527373781895239</v>
          </cell>
        </row>
        <row r="89">
          <cell r="F89">
            <v>0.97443368824604493</v>
          </cell>
          <cell r="G89">
            <v>1.0441723324322929</v>
          </cell>
          <cell r="H89">
            <v>1.0818130996832789</v>
          </cell>
          <cell r="I89">
            <v>2.3650878405488989</v>
          </cell>
          <cell r="J89">
            <v>5.5527945002873675</v>
          </cell>
          <cell r="K89">
            <v>2.8045297500792321</v>
          </cell>
          <cell r="L89">
            <v>3.0913012008750709</v>
          </cell>
          <cell r="M89">
            <v>1.0602524156735047</v>
          </cell>
          <cell r="N89">
            <v>1.8188683098887521</v>
          </cell>
          <cell r="O89">
            <v>3.4706509430474775</v>
          </cell>
          <cell r="P89">
            <v>3.1170325486901911</v>
          </cell>
          <cell r="Q89">
            <v>1.4478703502000512</v>
          </cell>
          <cell r="U89">
            <v>0.45446712741075046</v>
          </cell>
          <cell r="V89">
            <v>0.48699260520892962</v>
          </cell>
          <cell r="W89">
            <v>0.50454792125807346</v>
          </cell>
          <cell r="X89">
            <v>1.1030557440014861</v>
          </cell>
          <cell r="Y89">
            <v>2.5897735229065817</v>
          </cell>
          <cell r="Z89">
            <v>1.3080075069558452</v>
          </cell>
          <cell r="AA89">
            <v>1.4417551380554898</v>
          </cell>
          <cell r="AB89">
            <v>0.49449221172634517</v>
          </cell>
          <cell r="AC89">
            <v>0.848303856798583</v>
          </cell>
          <cell r="AD89">
            <v>1.6186804534347452</v>
          </cell>
          <cell r="AE89">
            <v>1.4537560077575562</v>
          </cell>
          <cell r="AF89">
            <v>0.67527373781895239</v>
          </cell>
        </row>
        <row r="90">
          <cell r="F90">
            <v>0.97443368824604493</v>
          </cell>
          <cell r="G90">
            <v>1.0441723324322929</v>
          </cell>
          <cell r="H90">
            <v>1.0818130996832789</v>
          </cell>
          <cell r="I90">
            <v>2.3650878405488989</v>
          </cell>
          <cell r="J90">
            <v>5.5527945002873675</v>
          </cell>
          <cell r="K90">
            <v>2.8045297500792321</v>
          </cell>
          <cell r="L90">
            <v>3.0913012008750709</v>
          </cell>
          <cell r="M90">
            <v>1.0602524156735047</v>
          </cell>
          <cell r="N90">
            <v>1.8188683098887521</v>
          </cell>
          <cell r="O90">
            <v>3.4706509430474775</v>
          </cell>
          <cell r="P90">
            <v>3.1170325486901911</v>
          </cell>
          <cell r="Q90">
            <v>1.4478703502000512</v>
          </cell>
          <cell r="U90">
            <v>0.45446712741075046</v>
          </cell>
          <cell r="V90">
            <v>0.48699260520892962</v>
          </cell>
          <cell r="W90">
            <v>0.50454792125807346</v>
          </cell>
          <cell r="X90">
            <v>1.1030557440014861</v>
          </cell>
          <cell r="Y90">
            <v>2.5897735229065817</v>
          </cell>
          <cell r="Z90">
            <v>1.3080075069558452</v>
          </cell>
          <cell r="AA90">
            <v>1.4417551380554898</v>
          </cell>
          <cell r="AB90">
            <v>0.49449221172634517</v>
          </cell>
          <cell r="AC90">
            <v>0.848303856798583</v>
          </cell>
          <cell r="AD90">
            <v>1.6186804534347452</v>
          </cell>
          <cell r="AE90">
            <v>1.4537560077575562</v>
          </cell>
          <cell r="AF90">
            <v>0.67527373781895239</v>
          </cell>
        </row>
        <row r="91">
          <cell r="F91">
            <v>0.97443368824604493</v>
          </cell>
          <cell r="G91">
            <v>1.0441723324322929</v>
          </cell>
          <cell r="H91">
            <v>1.0818130996832789</v>
          </cell>
          <cell r="I91">
            <v>2.3650878405488989</v>
          </cell>
          <cell r="J91">
            <v>5.5527945002873675</v>
          </cell>
          <cell r="K91">
            <v>2.8045297500792321</v>
          </cell>
          <cell r="L91">
            <v>3.0913012008750709</v>
          </cell>
          <cell r="M91">
            <v>1.0602524156735047</v>
          </cell>
          <cell r="N91">
            <v>1.8188683098887521</v>
          </cell>
          <cell r="O91">
            <v>3.4706509430474775</v>
          </cell>
          <cell r="P91">
            <v>3.1170325486901911</v>
          </cell>
          <cell r="Q91">
            <v>1.4478703502000512</v>
          </cell>
          <cell r="U91">
            <v>0.45446712741075046</v>
          </cell>
          <cell r="V91">
            <v>0.48699260520892962</v>
          </cell>
          <cell r="W91">
            <v>0.50454792125807346</v>
          </cell>
          <cell r="X91">
            <v>1.1030557440014861</v>
          </cell>
          <cell r="Y91">
            <v>2.5897735229065817</v>
          </cell>
          <cell r="Z91">
            <v>1.3080075069558452</v>
          </cell>
          <cell r="AA91">
            <v>1.4417551380554898</v>
          </cell>
          <cell r="AB91">
            <v>0.49449221172634517</v>
          </cell>
          <cell r="AC91">
            <v>0.848303856798583</v>
          </cell>
          <cell r="AD91">
            <v>1.6186804534347452</v>
          </cell>
          <cell r="AE91">
            <v>1.4537560077575562</v>
          </cell>
          <cell r="AF91">
            <v>0.67527373781895239</v>
          </cell>
        </row>
        <row r="92">
          <cell r="F92">
            <v>0.97443368824604493</v>
          </cell>
          <cell r="G92">
            <v>1.0441723324322929</v>
          </cell>
          <cell r="H92">
            <v>1.0818130996832789</v>
          </cell>
          <cell r="I92">
            <v>2.3650878405488989</v>
          </cell>
          <cell r="J92">
            <v>5.5527945002873675</v>
          </cell>
          <cell r="K92">
            <v>2.8045297500792321</v>
          </cell>
          <cell r="L92">
            <v>3.0913012008750709</v>
          </cell>
          <cell r="M92">
            <v>1.0602524156735047</v>
          </cell>
          <cell r="N92">
            <v>1.8188683098887521</v>
          </cell>
          <cell r="O92">
            <v>3.4706509430474775</v>
          </cell>
          <cell r="P92">
            <v>3.1170325486901911</v>
          </cell>
          <cell r="Q92">
            <v>1.4478703502000512</v>
          </cell>
          <cell r="U92">
            <v>0.45446712741075046</v>
          </cell>
          <cell r="V92">
            <v>0.48699260520892962</v>
          </cell>
          <cell r="W92">
            <v>0.50454792125807346</v>
          </cell>
          <cell r="X92">
            <v>1.1030557440014861</v>
          </cell>
          <cell r="Y92">
            <v>2.5897735229065817</v>
          </cell>
          <cell r="Z92">
            <v>1.3080075069558452</v>
          </cell>
          <cell r="AA92">
            <v>1.4417551380554898</v>
          </cell>
          <cell r="AB92">
            <v>0.49449221172634517</v>
          </cell>
          <cell r="AC92">
            <v>0.848303856798583</v>
          </cell>
          <cell r="AD92">
            <v>1.6186804534347452</v>
          </cell>
          <cell r="AE92">
            <v>1.4537560077575562</v>
          </cell>
          <cell r="AF92">
            <v>0.67527373781895239</v>
          </cell>
        </row>
        <row r="93">
          <cell r="F93">
            <v>0.73082526618453336</v>
          </cell>
          <cell r="G93">
            <v>0.78312924932421946</v>
          </cell>
          <cell r="H93">
            <v>0.81135982476245916</v>
          </cell>
          <cell r="I93">
            <v>1.7738158804116742</v>
          </cell>
          <cell r="J93">
            <v>4.1645958752155252</v>
          </cell>
          <cell r="K93">
            <v>2.1033973125594239</v>
          </cell>
          <cell r="L93">
            <v>2.3184759006563027</v>
          </cell>
          <cell r="M93">
            <v>0.79518931175512853</v>
          </cell>
          <cell r="N93">
            <v>1.3641512324165639</v>
          </cell>
          <cell r="O93">
            <v>2.6029882072856072</v>
          </cell>
          <cell r="P93">
            <v>2.3377744115176435</v>
          </cell>
          <cell r="Q93">
            <v>1.0859027626500382</v>
          </cell>
          <cell r="U93">
            <v>0.31969785086907943</v>
          </cell>
          <cell r="V93">
            <v>0.34257810935952421</v>
          </cell>
          <cell r="W93">
            <v>0.35492751039148546</v>
          </cell>
          <cell r="X93">
            <v>0.77595172340670993</v>
          </cell>
          <cell r="Y93">
            <v>1.8217929957397707</v>
          </cell>
          <cell r="Z93">
            <v>0.92012637146462739</v>
          </cell>
          <cell r="AA93">
            <v>1.0142120107604726</v>
          </cell>
          <cell r="AB93">
            <v>0.34785375624655318</v>
          </cell>
          <cell r="AC93">
            <v>0.59674485467756422</v>
          </cell>
          <cell r="AD93">
            <v>1.1386712723430166</v>
          </cell>
          <cell r="AE93">
            <v>1.0226541004538885</v>
          </cell>
          <cell r="AF93">
            <v>0.47502569428730607</v>
          </cell>
        </row>
        <row r="94">
          <cell r="F94">
            <v>0.73082526618453336</v>
          </cell>
          <cell r="G94">
            <v>0.78312924932421946</v>
          </cell>
          <cell r="H94">
            <v>0.81135982476245916</v>
          </cell>
          <cell r="I94">
            <v>1.7738158804116742</v>
          </cell>
          <cell r="J94">
            <v>4.1645958752155252</v>
          </cell>
          <cell r="K94">
            <v>2.1033973125594239</v>
          </cell>
          <cell r="L94">
            <v>2.3184759006563027</v>
          </cell>
          <cell r="M94">
            <v>0.79518931175512853</v>
          </cell>
          <cell r="N94">
            <v>1.3641512324165639</v>
          </cell>
          <cell r="O94">
            <v>2.6029882072856072</v>
          </cell>
          <cell r="P94">
            <v>2.3377744115176435</v>
          </cell>
          <cell r="Q94">
            <v>1.0859027626500382</v>
          </cell>
          <cell r="U94">
            <v>0.31969785086907943</v>
          </cell>
          <cell r="V94">
            <v>0.34257810935952421</v>
          </cell>
          <cell r="W94">
            <v>0.35492751039148546</v>
          </cell>
          <cell r="X94">
            <v>0.77595172340670993</v>
          </cell>
          <cell r="Y94">
            <v>1.8217929957397707</v>
          </cell>
          <cell r="Z94">
            <v>0.92012637146462739</v>
          </cell>
          <cell r="AA94">
            <v>1.0142120107604726</v>
          </cell>
          <cell r="AB94">
            <v>0.34785375624655318</v>
          </cell>
          <cell r="AC94">
            <v>0.59674485467756422</v>
          </cell>
          <cell r="AD94">
            <v>1.1386712723430166</v>
          </cell>
          <cell r="AE94">
            <v>1.0226541004538885</v>
          </cell>
          <cell r="AF94">
            <v>0.47502569428730607</v>
          </cell>
        </row>
        <row r="95">
          <cell r="F95">
            <v>0.73082526618453336</v>
          </cell>
          <cell r="G95">
            <v>0.78312924932421946</v>
          </cell>
          <cell r="H95">
            <v>0.81135982476245916</v>
          </cell>
          <cell r="I95">
            <v>1.7738158804116742</v>
          </cell>
          <cell r="J95">
            <v>4.1645958752155252</v>
          </cell>
          <cell r="K95">
            <v>2.1033973125594239</v>
          </cell>
          <cell r="L95">
            <v>2.3184759006563027</v>
          </cell>
          <cell r="M95">
            <v>0.79518931175512853</v>
          </cell>
          <cell r="N95">
            <v>1.3641512324165639</v>
          </cell>
          <cell r="O95">
            <v>2.6029882072856072</v>
          </cell>
          <cell r="P95">
            <v>2.3377744115176435</v>
          </cell>
          <cell r="Q95">
            <v>1.0859027626500382</v>
          </cell>
          <cell r="U95">
            <v>0.31969785086907943</v>
          </cell>
          <cell r="V95">
            <v>0.34257810935952421</v>
          </cell>
          <cell r="W95">
            <v>0.35492751039148546</v>
          </cell>
          <cell r="X95">
            <v>0.77595172340670993</v>
          </cell>
          <cell r="Y95">
            <v>1.8217929957397707</v>
          </cell>
          <cell r="Z95">
            <v>0.92012637146462739</v>
          </cell>
          <cell r="AA95">
            <v>1.0142120107604726</v>
          </cell>
          <cell r="AB95">
            <v>0.34785375624655318</v>
          </cell>
          <cell r="AC95">
            <v>0.59674485467756422</v>
          </cell>
          <cell r="AD95">
            <v>1.1386712723430166</v>
          </cell>
          <cell r="AE95">
            <v>1.0226541004538885</v>
          </cell>
          <cell r="AF95">
            <v>0.47502569428730607</v>
          </cell>
        </row>
        <row r="96">
          <cell r="F96">
            <v>0.73082526618453336</v>
          </cell>
          <cell r="G96">
            <v>0.78312924932421946</v>
          </cell>
          <cell r="H96">
            <v>0.81135982476245916</v>
          </cell>
          <cell r="I96">
            <v>1.7738158804116742</v>
          </cell>
          <cell r="J96">
            <v>4.1645958752155252</v>
          </cell>
          <cell r="K96">
            <v>2.1033973125594239</v>
          </cell>
          <cell r="L96">
            <v>2.3184759006563027</v>
          </cell>
          <cell r="M96">
            <v>0.79518931175512853</v>
          </cell>
          <cell r="N96">
            <v>1.3641512324165639</v>
          </cell>
          <cell r="O96">
            <v>2.6029882072856072</v>
          </cell>
          <cell r="P96">
            <v>2.3377744115176435</v>
          </cell>
          <cell r="Q96">
            <v>1.0859027626500382</v>
          </cell>
          <cell r="U96">
            <v>0.31969785086907943</v>
          </cell>
          <cell r="V96">
            <v>0.34257810935952421</v>
          </cell>
          <cell r="W96">
            <v>0.35492751039148546</v>
          </cell>
          <cell r="X96">
            <v>0.77595172340670993</v>
          </cell>
          <cell r="Y96">
            <v>1.8217929957397707</v>
          </cell>
          <cell r="Z96">
            <v>0.92012637146462739</v>
          </cell>
          <cell r="AA96">
            <v>1.0142120107604726</v>
          </cell>
          <cell r="AB96">
            <v>0.34785375624655318</v>
          </cell>
          <cell r="AC96">
            <v>0.59674485467756422</v>
          </cell>
          <cell r="AD96">
            <v>1.1386712723430166</v>
          </cell>
          <cell r="AE96">
            <v>1.0226541004538885</v>
          </cell>
          <cell r="AF96">
            <v>0.47502569428730607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F102">
            <v>3.4230403982486481</v>
          </cell>
          <cell r="G102">
            <v>2.4068827715478456</v>
          </cell>
          <cell r="H102">
            <v>2.0011918250327527</v>
          </cell>
          <cell r="I102">
            <v>2.8257201817807629</v>
          </cell>
          <cell r="J102">
            <v>2.8257201817807629</v>
          </cell>
          <cell r="K102">
            <v>2.0143318222165307</v>
          </cell>
          <cell r="L102">
            <v>2.8257201817807629</v>
          </cell>
          <cell r="M102">
            <v>2.6550931366573942</v>
          </cell>
          <cell r="N102">
            <v>4.3331770437353327</v>
          </cell>
          <cell r="O102">
            <v>4.4055828254611002</v>
          </cell>
          <cell r="P102">
            <v>4.6468384332029542</v>
          </cell>
          <cell r="Q102">
            <v>4.6664923856835445</v>
          </cell>
        </row>
        <row r="103">
          <cell r="F103">
            <v>1.0190928297479484E-2</v>
          </cell>
          <cell r="G103">
            <v>1.0920276565133011E-2</v>
          </cell>
          <cell r="H103">
            <v>1.1313935327903594E-2</v>
          </cell>
          <cell r="I103">
            <v>2.4734818685977687E-2</v>
          </cell>
          <cell r="J103">
            <v>5.8072838907000594E-2</v>
          </cell>
          <cell r="K103">
            <v>2.9330637821697383E-2</v>
          </cell>
          <cell r="L103">
            <v>3.2329782174028758E-2</v>
          </cell>
          <cell r="M103">
            <v>1.1088447039230287E-2</v>
          </cell>
          <cell r="N103">
            <v>1.9022286228628046E-2</v>
          </cell>
          <cell r="O103">
            <v>3.6297138874416324E-2</v>
          </cell>
          <cell r="P103">
            <v>3.2598888552168664E-2</v>
          </cell>
          <cell r="Q103">
            <v>1.5142275047462803E-2</v>
          </cell>
        </row>
        <row r="104">
          <cell r="F104">
            <v>3.246513007437709E-2</v>
          </cell>
          <cell r="G104">
            <v>2.784002065947954E-2</v>
          </cell>
          <cell r="H104">
            <v>6.6222024297460963E-2</v>
          </cell>
          <cell r="I104">
            <v>9.6324029772279468E-2</v>
          </cell>
          <cell r="J104">
            <v>5.2562078251376237E-2</v>
          </cell>
          <cell r="K104">
            <v>3.8652613510924361E-2</v>
          </cell>
          <cell r="L104">
            <v>2.3440076328904731E-2</v>
          </cell>
          <cell r="M104">
            <v>3.2548401433269036E-2</v>
          </cell>
          <cell r="N104">
            <v>3.7218109168081395E-2</v>
          </cell>
          <cell r="O104">
            <v>3.5995010384407541E-2</v>
          </cell>
          <cell r="P104">
            <v>2.4679813513068746E-2</v>
          </cell>
          <cell r="Q104">
            <v>3.2052692606370968E-2</v>
          </cell>
        </row>
        <row r="107">
          <cell r="F107">
            <v>5.8904479120565982</v>
          </cell>
          <cell r="G107">
            <v>6.0739904003292891</v>
          </cell>
          <cell r="H107">
            <v>5.6867780088113973</v>
          </cell>
          <cell r="I107">
            <v>4.453960652247055</v>
          </cell>
          <cell r="J107">
            <v>5.4780575351695742</v>
          </cell>
          <cell r="K107">
            <v>4.828731116728898</v>
          </cell>
          <cell r="L107">
            <v>5.9199139897620254</v>
          </cell>
          <cell r="M107">
            <v>4.564675951799769</v>
          </cell>
          <cell r="N107">
            <v>5.0038902420208755</v>
          </cell>
          <cell r="O107">
            <v>5.3348799252857031</v>
          </cell>
          <cell r="P107">
            <v>5.4759129829059576</v>
          </cell>
          <cell r="Q107">
            <v>5.8717191441135688</v>
          </cell>
        </row>
        <row r="108">
          <cell r="F108">
            <v>29.54000698340856</v>
          </cell>
          <cell r="G108">
            <v>30.460454200033645</v>
          </cell>
          <cell r="H108">
            <v>28.518622794294707</v>
          </cell>
          <cell r="I108">
            <v>22.336167085342829</v>
          </cell>
          <cell r="J108">
            <v>27.471910499913832</v>
          </cell>
          <cell r="K108">
            <v>24.215603471718357</v>
          </cell>
          <cell r="L108">
            <v>29.687776415239099</v>
          </cell>
          <cell r="M108">
            <v>22.891393236356439</v>
          </cell>
          <cell r="N108">
            <v>25.094008961688345</v>
          </cell>
          <cell r="O108">
            <v>26.753889110202465</v>
          </cell>
          <cell r="P108">
            <v>27.461155784858317</v>
          </cell>
          <cell r="Q108">
            <v>29.446084085848369</v>
          </cell>
        </row>
        <row r="109">
          <cell r="F109">
            <v>29.540006983408567</v>
          </cell>
          <cell r="G109">
            <v>30.460454200033642</v>
          </cell>
          <cell r="H109">
            <v>28.518622794294703</v>
          </cell>
          <cell r="I109">
            <v>22.336167085342829</v>
          </cell>
          <cell r="J109">
            <v>27.471910499913829</v>
          </cell>
          <cell r="K109">
            <v>24.215603471718353</v>
          </cell>
          <cell r="L109">
            <v>29.687776415239099</v>
          </cell>
          <cell r="M109">
            <v>22.891393236356439</v>
          </cell>
          <cell r="N109">
            <v>25.094008961688345</v>
          </cell>
          <cell r="O109">
            <v>26.753889110202461</v>
          </cell>
          <cell r="P109">
            <v>27.461155784858317</v>
          </cell>
          <cell r="Q109">
            <v>29.446084085848373</v>
          </cell>
        </row>
        <row r="110">
          <cell r="F110">
            <v>114.09827697341557</v>
          </cell>
          <cell r="G110">
            <v>117.65350434762995</v>
          </cell>
          <cell r="H110">
            <v>110.1531805429633</v>
          </cell>
          <cell r="I110">
            <v>86.273445367136688</v>
          </cell>
          <cell r="J110">
            <v>106.11025430591717</v>
          </cell>
          <cell r="K110">
            <v>93.532768409512158</v>
          </cell>
          <cell r="L110">
            <v>114.66903640386104</v>
          </cell>
          <cell r="M110">
            <v>88.418006375426756</v>
          </cell>
          <cell r="N110">
            <v>96.925609614521221</v>
          </cell>
          <cell r="O110">
            <v>103.33689668815703</v>
          </cell>
          <cell r="P110">
            <v>106.06871421901526</v>
          </cell>
          <cell r="Q110">
            <v>113.73549978158933</v>
          </cell>
        </row>
        <row r="112">
          <cell r="F112">
            <v>124.9542295398182</v>
          </cell>
          <cell r="G112">
            <v>128.84772126614229</v>
          </cell>
          <cell r="H112">
            <v>120.6337744198666</v>
          </cell>
          <cell r="I112">
            <v>94.481986771000166</v>
          </cell>
          <cell r="J112">
            <v>116.20618141463551</v>
          </cell>
          <cell r="K112">
            <v>102.43200268536864</v>
          </cell>
          <cell r="L112">
            <v>125.57929423646139</v>
          </cell>
          <cell r="M112">
            <v>96.830593389787751</v>
          </cell>
          <cell r="N112">
            <v>106.14765790794169</v>
          </cell>
          <cell r="O112">
            <v>113.16895093615641</v>
          </cell>
          <cell r="P112">
            <v>116.16068896995067</v>
          </cell>
          <cell r="Q112">
            <v>124.55693568313859</v>
          </cell>
        </row>
        <row r="113">
          <cell r="F113">
            <v>73.850017458521393</v>
          </cell>
          <cell r="G113">
            <v>76.151135500084095</v>
          </cell>
          <cell r="H113">
            <v>71.296556985736757</v>
          </cell>
          <cell r="I113">
            <v>55.840417713357063</v>
          </cell>
          <cell r="J113">
            <v>68.679776249784567</v>
          </cell>
          <cell r="K113">
            <v>60.539008679295883</v>
          </cell>
          <cell r="L113">
            <v>74.219441038097742</v>
          </cell>
          <cell r="M113">
            <v>57.228483090891096</v>
          </cell>
          <cell r="N113">
            <v>62.73502240422085</v>
          </cell>
          <cell r="O113">
            <v>66.884722775506148</v>
          </cell>
          <cell r="P113">
            <v>68.652889462145794</v>
          </cell>
          <cell r="Q113">
            <v>73.615210214620916</v>
          </cell>
        </row>
        <row r="114">
          <cell r="F114">
            <v>218.66626561572374</v>
          </cell>
          <cell r="G114">
            <v>225.47976283895861</v>
          </cell>
          <cell r="H114">
            <v>211.10559487797087</v>
          </cell>
          <cell r="I114">
            <v>165.34072749082293</v>
          </cell>
          <cell r="J114">
            <v>203.35743595861499</v>
          </cell>
          <cell r="K114">
            <v>179.25302400117482</v>
          </cell>
          <cell r="L114">
            <v>219.76011064591242</v>
          </cell>
          <cell r="M114">
            <v>169.45072073092365</v>
          </cell>
          <cell r="N114">
            <v>185.75531251776084</v>
          </cell>
          <cell r="O114">
            <v>198.04237100251726</v>
          </cell>
          <cell r="P114">
            <v>203.27782550421426</v>
          </cell>
          <cell r="Q114">
            <v>217.9710129275023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Source wise - Cost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1259.3245549999999</v>
          </cell>
          <cell r="J59">
            <v>525.68544499999996</v>
          </cell>
        </row>
        <row r="60">
          <cell r="J60">
            <v>11.824174999999999</v>
          </cell>
        </row>
        <row r="62">
          <cell r="J62">
            <v>-172.59028516886247</v>
          </cell>
        </row>
      </sheetData>
      <sheetData sheetId="23"/>
      <sheetData sheetId="24"/>
      <sheetData sheetId="25">
        <row r="7">
          <cell r="L7">
            <v>5882.1594533412481</v>
          </cell>
          <cell r="Y7">
            <v>2070.2702922449375</v>
          </cell>
          <cell r="Z7">
            <v>1320.8435147027183</v>
          </cell>
          <cell r="AA7">
            <v>1394.5959416171474</v>
          </cell>
          <cell r="AB7">
            <v>1438.0913097968062</v>
          </cell>
          <cell r="AC7">
            <v>1924.9082118867743</v>
          </cell>
          <cell r="AD7">
            <v>1831.3050051448129</v>
          </cell>
          <cell r="AE7">
            <v>1632.3321603334091</v>
          </cell>
          <cell r="AF7">
            <v>1441.6352373307693</v>
          </cell>
          <cell r="AG7">
            <v>2008.2403724884157</v>
          </cell>
          <cell r="AH7">
            <v>2187.043236791998</v>
          </cell>
          <cell r="AI7">
            <v>2444.1493047452814</v>
          </cell>
          <cell r="AJ7">
            <v>2729.336483048678</v>
          </cell>
        </row>
        <row r="9">
          <cell r="Y9">
            <v>72.332095322053817</v>
          </cell>
          <cell r="Z9">
            <v>73.541754059891474</v>
          </cell>
          <cell r="AA9">
            <v>67.78416854061129</v>
          </cell>
          <cell r="AB9">
            <v>66.609666169737238</v>
          </cell>
          <cell r="AC9">
            <v>68.048468279255175</v>
          </cell>
          <cell r="AD9">
            <v>68.344280140077984</v>
          </cell>
          <cell r="AE9">
            <v>67.796406807045727</v>
          </cell>
          <cell r="AF9">
            <v>67.565139265576448</v>
          </cell>
          <cell r="AG9">
            <v>66.09507549582068</v>
          </cell>
          <cell r="AH9">
            <v>77.75362017200564</v>
          </cell>
          <cell r="AI9">
            <v>72.519916757554938</v>
          </cell>
          <cell r="AJ9">
            <v>84.918506034437542</v>
          </cell>
        </row>
        <row r="11">
          <cell r="Y11">
            <v>60.658919562776873</v>
          </cell>
          <cell r="Z11">
            <v>38.700714980789598</v>
          </cell>
          <cell r="AA11">
            <v>40.861661089382324</v>
          </cell>
          <cell r="AB11">
            <v>42.136075377046382</v>
          </cell>
          <cell r="AC11">
            <v>56.399810608282451</v>
          </cell>
          <cell r="AD11">
            <v>53.657236650743016</v>
          </cell>
          <cell r="AE11">
            <v>47.827332297768862</v>
          </cell>
          <cell r="AF11">
            <v>42.239912453791476</v>
          </cell>
          <cell r="AG11">
            <v>58.841442913910669</v>
          </cell>
          <cell r="AH11">
            <v>64.080366838005375</v>
          </cell>
          <cell r="AI11">
            <v>71.61357462903652</v>
          </cell>
          <cell r="AJ11">
            <v>79.969558953326214</v>
          </cell>
        </row>
        <row r="19">
          <cell r="Y19">
            <v>1937.2792773601068</v>
          </cell>
          <cell r="Z19">
            <v>1208.6010456620372</v>
          </cell>
          <cell r="AA19">
            <v>1285.9501119871538</v>
          </cell>
          <cell r="AB19">
            <v>1329.3455682500226</v>
          </cell>
          <cell r="AC19">
            <v>1800.4599329992368</v>
          </cell>
          <cell r="AD19">
            <v>1709.303488353992</v>
          </cell>
          <cell r="AE19">
            <v>1516.7084212285945</v>
          </cell>
          <cell r="AF19">
            <v>1331.8301856114015</v>
          </cell>
          <cell r="AG19">
            <v>1883.3038540786843</v>
          </cell>
          <cell r="AH19">
            <v>2045.2092497819872</v>
          </cell>
          <cell r="AI19">
            <v>2300.0158133586897</v>
          </cell>
          <cell r="AJ19">
            <v>2564.4484180609143</v>
          </cell>
        </row>
        <row r="20">
          <cell r="Y20">
            <v>277.67388676463571</v>
          </cell>
          <cell r="Z20">
            <v>213.676119028507</v>
          </cell>
          <cell r="AA20">
            <v>261.1738618580743</v>
          </cell>
          <cell r="AB20">
            <v>287.44955929240069</v>
          </cell>
          <cell r="AC20">
            <v>306.8121910316986</v>
          </cell>
          <cell r="AD20">
            <v>285.77183509327324</v>
          </cell>
          <cell r="AE20">
            <v>297.16650332681206</v>
          </cell>
          <cell r="AF20">
            <v>246.17392345724096</v>
          </cell>
          <cell r="AG20">
            <v>327.66700119989508</v>
          </cell>
          <cell r="AH20">
            <v>350.02377239741742</v>
          </cell>
          <cell r="AI20">
            <v>348.69022870572462</v>
          </cell>
          <cell r="AJ20">
            <v>350.31180177609457</v>
          </cell>
        </row>
        <row r="22">
          <cell r="Y22">
            <v>70.71069362364392</v>
          </cell>
          <cell r="Z22">
            <v>44.113938166664411</v>
          </cell>
          <cell r="AA22">
            <v>46.937179087531149</v>
          </cell>
          <cell r="AB22">
            <v>48.521113241125704</v>
          </cell>
          <cell r="AC22">
            <v>65.716787554472148</v>
          </cell>
          <cell r="AD22">
            <v>62.389577324920765</v>
          </cell>
          <cell r="AE22">
            <v>55.359857374843614</v>
          </cell>
          <cell r="AF22">
            <v>48.611801774816058</v>
          </cell>
          <cell r="AG22">
            <v>68.74059067387202</v>
          </cell>
          <cell r="AH22">
            <v>74.650137617042446</v>
          </cell>
          <cell r="AI22">
            <v>83.950577187591989</v>
          </cell>
          <cell r="AJ22">
            <v>93.602367259223229</v>
          </cell>
        </row>
        <row r="27">
          <cell r="Y27">
            <v>1588.8946969718272</v>
          </cell>
          <cell r="Z27">
            <v>950.81098846686575</v>
          </cell>
          <cell r="AA27">
            <v>977.83907104154832</v>
          </cell>
          <cell r="AB27">
            <v>993.37489571649621</v>
          </cell>
          <cell r="AC27">
            <v>1427.930954413066</v>
          </cell>
          <cell r="AD27">
            <v>1361.1420759357979</v>
          </cell>
          <cell r="AE27">
            <v>1164.1820605269388</v>
          </cell>
          <cell r="AF27">
            <v>1037.0444603793444</v>
          </cell>
          <cell r="AG27">
            <v>1486.8962622049171</v>
          </cell>
          <cell r="AH27">
            <v>1620.5353397675274</v>
          </cell>
          <cell r="AI27">
            <v>1867.3750074653731</v>
          </cell>
          <cell r="AJ27">
            <v>2120.5342490255966</v>
          </cell>
        </row>
        <row r="28">
          <cell r="Y28">
            <v>575.7818374148161</v>
          </cell>
          <cell r="Z28">
            <v>610.9947445513144</v>
          </cell>
          <cell r="AA28">
            <v>745.43607540317601</v>
          </cell>
          <cell r="AB28">
            <v>665.87729622365305</v>
          </cell>
          <cell r="AC28">
            <v>558.26225353284372</v>
          </cell>
          <cell r="AD28">
            <v>622.14230383305073</v>
          </cell>
          <cell r="AE28">
            <v>573.60043155987978</v>
          </cell>
          <cell r="AF28">
            <v>578.70577169096259</v>
          </cell>
          <cell r="AG28">
            <v>511.99707835676213</v>
          </cell>
          <cell r="AH28">
            <v>442.70818174521924</v>
          </cell>
          <cell r="AI28">
            <v>506.67231385080026</v>
          </cell>
          <cell r="AJ28">
            <v>514.95576119111752</v>
          </cell>
        </row>
        <row r="29">
          <cell r="Y29">
            <v>940.81815084479297</v>
          </cell>
          <cell r="Z29">
            <v>296.55434394030897</v>
          </cell>
          <cell r="AA29">
            <v>187.91131790598183</v>
          </cell>
          <cell r="AB29">
            <v>282.29904173774264</v>
          </cell>
          <cell r="AC29">
            <v>804.69784245442793</v>
          </cell>
          <cell r="AD29">
            <v>677.06780764766847</v>
          </cell>
          <cell r="AE29">
            <v>537.61134521308327</v>
          </cell>
          <cell r="AF29">
            <v>411.15316574112165</v>
          </cell>
          <cell r="AG29">
            <v>907.24540391783125</v>
          </cell>
          <cell r="AH29">
            <v>1104.0928000628858</v>
          </cell>
          <cell r="AI29">
            <v>1275.7371307748983</v>
          </cell>
          <cell r="AJ29">
            <v>1509.0941795038143</v>
          </cell>
        </row>
        <row r="30">
          <cell r="Y30">
            <v>72.294708712218153</v>
          </cell>
          <cell r="Z30">
            <v>43.261899975242386</v>
          </cell>
          <cell r="AA30">
            <v>44.491677732390485</v>
          </cell>
          <cell r="AB30">
            <v>45.198557755100524</v>
          </cell>
          <cell r="AC30">
            <v>64.970858425794404</v>
          </cell>
          <cell r="AD30">
            <v>61.931964455078742</v>
          </cell>
          <cell r="AE30">
            <v>52.970283753975764</v>
          </cell>
          <cell r="AF30">
            <v>47.185522947260154</v>
          </cell>
          <cell r="AG30">
            <v>67.653779930323708</v>
          </cell>
          <cell r="AH30">
            <v>73.734357959422368</v>
          </cell>
          <cell r="AI30">
            <v>84.965562839674476</v>
          </cell>
          <cell r="AJ30">
            <v>96.484308330664817</v>
          </cell>
        </row>
        <row r="37">
          <cell r="Y37">
            <v>405.45238066283213</v>
          </cell>
          <cell r="Z37">
            <v>205.02654296554218</v>
          </cell>
          <cell r="AA37">
            <v>160.12681865429843</v>
          </cell>
          <cell r="AB37">
            <v>428.47649438451549</v>
          </cell>
          <cell r="AC37">
            <v>159.31876919353272</v>
          </cell>
          <cell r="AD37">
            <v>210.040829349245</v>
          </cell>
          <cell r="AE37">
            <v>228.28179709093274</v>
          </cell>
          <cell r="AF37">
            <v>298.26325926365325</v>
          </cell>
          <cell r="AG37">
            <v>166.6731113153449</v>
          </cell>
          <cell r="AH37">
            <v>270.79248280146237</v>
          </cell>
          <cell r="AI37">
            <v>284.4837075802522</v>
          </cell>
          <cell r="AJ37">
            <v>303.62049896215757</v>
          </cell>
        </row>
        <row r="46">
          <cell r="Y46">
            <v>2537.1210011352428</v>
          </cell>
          <cell r="Z46">
            <v>1563.711885292335</v>
          </cell>
          <cell r="AA46">
            <v>1593.2801396510001</v>
          </cell>
          <cell r="AB46">
            <v>1912.8589917824572</v>
          </cell>
          <cell r="AC46">
            <v>2135.9161519576833</v>
          </cell>
          <cell r="AD46">
            <v>2091.971545904958</v>
          </cell>
          <cell r="AE46">
            <v>1906.7574886496636</v>
          </cell>
          <cell r="AF46">
            <v>1783.0482645976865</v>
          </cell>
          <cell r="AG46">
            <v>2228.8516948183651</v>
          </cell>
          <cell r="AH46">
            <v>2518.79044844585</v>
          </cell>
          <cell r="AI46">
            <v>2796.3035584397758</v>
          </cell>
          <cell r="AJ46">
            <v>3108.1748124726741</v>
          </cell>
        </row>
        <row r="47">
          <cell r="Y47">
            <v>61.398328227472874</v>
          </cell>
          <cell r="Z47">
            <v>37.841827624074504</v>
          </cell>
          <cell r="AA47">
            <v>38.557379379554199</v>
          </cell>
          <cell r="AB47">
            <v>46.291187601135462</v>
          </cell>
          <cell r="AC47">
            <v>51.689170877375936</v>
          </cell>
          <cell r="AD47">
            <v>50.625711410899982</v>
          </cell>
          <cell r="AE47">
            <v>46.143531225321858</v>
          </cell>
          <cell r="AF47">
            <v>43.149768003264015</v>
          </cell>
          <cell r="AG47">
            <v>53.938211014604434</v>
          </cell>
          <cell r="AH47">
            <v>60.954728852389565</v>
          </cell>
          <cell r="AI47">
            <v>67.670546114242569</v>
          </cell>
          <cell r="AJ47">
            <v>75.217830461838716</v>
          </cell>
        </row>
        <row r="48">
          <cell r="Y48">
            <v>306.88663838954807</v>
          </cell>
          <cell r="Z48">
            <v>311.43502552720895</v>
          </cell>
          <cell r="AA48">
            <v>272.69162927753302</v>
          </cell>
          <cell r="AB48">
            <v>297.02700246635197</v>
          </cell>
          <cell r="AC48">
            <v>312.54748616724703</v>
          </cell>
          <cell r="AD48">
            <v>293.71625718184799</v>
          </cell>
          <cell r="AE48">
            <v>317.61823211265892</v>
          </cell>
          <cell r="AF48">
            <v>294.370388389548</v>
          </cell>
          <cell r="AG48">
            <v>294.05234211265901</v>
          </cell>
          <cell r="AH48">
            <v>312.43503211265903</v>
          </cell>
          <cell r="AI48">
            <v>288.33016594332594</v>
          </cell>
          <cell r="AJ48">
            <v>319.03183211265895</v>
          </cell>
        </row>
        <row r="49">
          <cell r="Y49">
            <v>48.654344999999999</v>
          </cell>
          <cell r="Z49">
            <v>50.27704</v>
          </cell>
          <cell r="AA49">
            <v>48.654344999999999</v>
          </cell>
          <cell r="AB49">
            <v>50.27704</v>
          </cell>
          <cell r="AC49">
            <v>50.27704</v>
          </cell>
          <cell r="AD49">
            <v>48.654344999999999</v>
          </cell>
          <cell r="AE49">
            <v>50.27704</v>
          </cell>
          <cell r="AF49">
            <v>38.320340000000002</v>
          </cell>
          <cell r="AG49">
            <v>45.108564999999992</v>
          </cell>
          <cell r="AH49">
            <v>50.27704</v>
          </cell>
          <cell r="AI49">
            <v>45.411899999999996</v>
          </cell>
          <cell r="AJ49">
            <v>50.27704</v>
          </cell>
        </row>
        <row r="52">
          <cell r="Y52">
            <v>13.972760647209238</v>
          </cell>
          <cell r="Z52">
            <v>12.94929194587408</v>
          </cell>
          <cell r="AA52">
            <v>10.572282553730835</v>
          </cell>
          <cell r="AB52">
            <v>12.190371890568954</v>
          </cell>
          <cell r="AC52">
            <v>12.227186531836225</v>
          </cell>
          <cell r="AD52">
            <v>11.982971076364681</v>
          </cell>
          <cell r="AE52">
            <v>12.214123034140275</v>
          </cell>
          <cell r="AF52">
            <v>10.903938622967434</v>
          </cell>
          <cell r="AG52">
            <v>13.362939740238764</v>
          </cell>
          <cell r="AH52">
            <v>14.091364001576805</v>
          </cell>
          <cell r="AI52">
            <v>12.532014576171889</v>
          </cell>
          <cell r="AJ52">
            <v>13.128930403605025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9.0887087425120026</v>
          </cell>
        </row>
        <row r="234">
          <cell r="BN234">
            <v>6.0889711478533206</v>
          </cell>
        </row>
        <row r="235">
          <cell r="BN235">
            <v>4.2950819672131164</v>
          </cell>
        </row>
        <row r="236">
          <cell r="BN236">
            <v>2.15</v>
          </cell>
        </row>
        <row r="237">
          <cell r="BN237">
            <v>5.8797512863388901</v>
          </cell>
        </row>
        <row r="238">
          <cell r="BN238">
            <v>2.822871232600924</v>
          </cell>
        </row>
        <row r="239">
          <cell r="BN239">
            <v>2.5291625268563891</v>
          </cell>
        </row>
        <row r="240">
          <cell r="BN240">
            <v>4.1048427492006478</v>
          </cell>
        </row>
        <row r="241">
          <cell r="BN241">
            <v>2.4442924982545899</v>
          </cell>
        </row>
        <row r="242">
          <cell r="BN242">
            <v>10.395315301599881</v>
          </cell>
        </row>
        <row r="243">
          <cell r="BN243">
            <v>4.7370130449857362</v>
          </cell>
        </row>
      </sheetData>
      <sheetData sheetId="30">
        <row r="16">
          <cell r="D16">
            <v>89.042991750812689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54.230592082976727</v>
          </cell>
          <cell r="I29">
            <v>0</v>
          </cell>
          <cell r="J29">
            <v>255.67560792188715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D31">
            <v>-283.16847138621142</v>
          </cell>
          <cell r="E31">
            <v>-624.45415588715309</v>
          </cell>
          <cell r="F31">
            <v>-642.55318908442246</v>
          </cell>
          <cell r="G31">
            <v>-457.30961125445083</v>
          </cell>
          <cell r="H31">
            <v>-515.12851049554592</v>
          </cell>
          <cell r="I31">
            <v>-551.33047279398716</v>
          </cell>
          <cell r="J31">
            <v>-416.15245348642839</v>
          </cell>
          <cell r="K31">
            <v>-565.60893668346012</v>
          </cell>
          <cell r="L31">
            <v>-334.46046209304541</v>
          </cell>
          <cell r="M31">
            <v>-310.62553620300696</v>
          </cell>
          <cell r="N31">
            <v>-46.652997396592582</v>
          </cell>
          <cell r="O31">
            <v>-7.6264039000207049</v>
          </cell>
        </row>
        <row r="32">
          <cell r="D32">
            <v>-134.44350653326481</v>
          </cell>
          <cell r="E32">
            <v>-254.74040435320867</v>
          </cell>
          <cell r="F32">
            <v>-257.53611709719604</v>
          </cell>
          <cell r="G32">
            <v>-176.90439647900354</v>
          </cell>
          <cell r="H32">
            <v>-190.28188179981439</v>
          </cell>
          <cell r="I32">
            <v>-203.9847149502919</v>
          </cell>
          <cell r="J32">
            <v>-164.38242446250155</v>
          </cell>
          <cell r="K32">
            <v>-209.25422366067224</v>
          </cell>
          <cell r="L32">
            <v>-141.54225584429201</v>
          </cell>
          <cell r="M32">
            <v>-141.58143598572232</v>
          </cell>
          <cell r="N32">
            <v>-25.920669464104641</v>
          </cell>
          <cell r="O32">
            <v>-4.5501332901340259</v>
          </cell>
        </row>
      </sheetData>
      <sheetData sheetId="31">
        <row r="4">
          <cell r="F4">
            <v>76.272727697121638</v>
          </cell>
        </row>
      </sheetData>
      <sheetData sheetId="32"/>
      <sheetData sheetId="33"/>
      <sheetData sheetId="34"/>
      <sheetData sheetId="35"/>
      <sheetData sheetId="36"/>
      <sheetData sheetId="37">
        <row r="4">
          <cell r="F4">
            <v>31.838863652448367</v>
          </cell>
          <cell r="G4">
            <v>39.95019320200069</v>
          </cell>
          <cell r="H4">
            <v>38.661477292258795</v>
          </cell>
          <cell r="I4">
            <v>0</v>
          </cell>
          <cell r="J4">
            <v>12.925062506529638</v>
          </cell>
          <cell r="K4">
            <v>26.7219034225906</v>
          </cell>
          <cell r="L4">
            <v>25.850125013059277</v>
          </cell>
          <cell r="M4">
            <v>31.838863652448367</v>
          </cell>
          <cell r="N4">
            <v>28.493887798485787</v>
          </cell>
          <cell r="O4">
            <v>28.493887798485787</v>
          </cell>
          <cell r="P4">
            <v>32.426366493654257</v>
          </cell>
          <cell r="Q4">
            <v>35.54392189295649</v>
          </cell>
          <cell r="U4">
            <v>6.4240602135839353</v>
          </cell>
          <cell r="V4">
            <v>8.0606660299017481</v>
          </cell>
          <cell r="W4">
            <v>7.8006445450662198</v>
          </cell>
          <cell r="X4">
            <v>0</v>
          </cell>
          <cell r="Y4">
            <v>2.6078625390858603</v>
          </cell>
          <cell r="Z4">
            <v>5.3916219649722326</v>
          </cell>
          <cell r="AA4">
            <v>5.2157250781717206</v>
          </cell>
          <cell r="AB4">
            <v>6.4240602135839353</v>
          </cell>
          <cell r="AC4">
            <v>5.7491515066210992</v>
          </cell>
          <cell r="AD4">
            <v>5.7491515066210992</v>
          </cell>
          <cell r="AE4">
            <v>6.5425994199060185</v>
          </cell>
          <cell r="AF4">
            <v>7.1716219824861112</v>
          </cell>
          <cell r="AJ4">
            <v>14.591423392609141</v>
          </cell>
          <cell r="AK4">
            <v>18.308762209297662</v>
          </cell>
          <cell r="AL4">
            <v>17.718156976739699</v>
          </cell>
          <cell r="AM4">
            <v>0</v>
          </cell>
          <cell r="AN4">
            <v>5.9234230677139506</v>
          </cell>
          <cell r="AO4">
            <v>12.246373204511247</v>
          </cell>
          <cell r="AP4">
            <v>11.846846135427901</v>
          </cell>
          <cell r="AQ4">
            <v>14.591423392609141</v>
          </cell>
          <cell r="AR4">
            <v>13.058455399278477</v>
          </cell>
          <cell r="AS4">
            <v>13.058455399278477</v>
          </cell>
          <cell r="AT4">
            <v>14.860669895687048</v>
          </cell>
          <cell r="AU4">
            <v>16.289413436213358</v>
          </cell>
        </row>
        <row r="5">
          <cell r="F5">
            <v>31.838863652448367</v>
          </cell>
          <cell r="G5">
            <v>39.95019320200069</v>
          </cell>
          <cell r="H5">
            <v>38.661477292258724</v>
          </cell>
          <cell r="I5">
            <v>0</v>
          </cell>
          <cell r="J5">
            <v>12.925062506529638</v>
          </cell>
          <cell r="K5">
            <v>26.7219034225906</v>
          </cell>
          <cell r="L5">
            <v>25.850125013059277</v>
          </cell>
          <cell r="M5">
            <v>32.214264360184941</v>
          </cell>
          <cell r="N5">
            <v>28.493887798485787</v>
          </cell>
          <cell r="O5">
            <v>28.493887798485787</v>
          </cell>
          <cell r="P5">
            <v>32.426366493654257</v>
          </cell>
          <cell r="Q5">
            <v>35.54392189295649</v>
          </cell>
          <cell r="U5">
            <v>6.4168207890887317</v>
          </cell>
          <cell r="V5">
            <v>8.0515822758327662</v>
          </cell>
          <cell r="W5">
            <v>7.79185381532203</v>
          </cell>
          <cell r="X5">
            <v>0</v>
          </cell>
          <cell r="Y5">
            <v>2.6049236774753068</v>
          </cell>
          <cell r="Z5">
            <v>5.3855460194137574</v>
          </cell>
          <cell r="AA5">
            <v>5.2098473549506137</v>
          </cell>
          <cell r="AB5">
            <v>6.4924792388354904</v>
          </cell>
          <cell r="AC5">
            <v>5.742672652616017</v>
          </cell>
          <cell r="AD5">
            <v>5.742672652616017</v>
          </cell>
          <cell r="AE5">
            <v>6.5352264107921538</v>
          </cell>
          <cell r="AF5">
            <v>7.163540113057091</v>
          </cell>
          <cell r="AJ5">
            <v>14.577506918224206</v>
          </cell>
          <cell r="AK5">
            <v>18.291300347390848</v>
          </cell>
          <cell r="AL5">
            <v>17.701258400700816</v>
          </cell>
          <cell r="AM5">
            <v>0</v>
          </cell>
          <cell r="AN5">
            <v>5.9177736418029223</v>
          </cell>
          <cell r="AO5">
            <v>12.234693306366745</v>
          </cell>
          <cell r="AP5">
            <v>11.835547283605845</v>
          </cell>
          <cell r="AQ5">
            <v>14.749385113183445</v>
          </cell>
          <cell r="AR5">
            <v>13.046000983065531</v>
          </cell>
          <cell r="AS5">
            <v>13.046000983065531</v>
          </cell>
          <cell r="AT5">
            <v>14.846496629215244</v>
          </cell>
          <cell r="AU5">
            <v>16.273877514958031</v>
          </cell>
        </row>
        <row r="6">
          <cell r="F6">
            <v>67.089034124801913</v>
          </cell>
          <cell r="G6">
            <v>0</v>
          </cell>
          <cell r="H6">
            <v>38.661477292258724</v>
          </cell>
          <cell r="I6">
            <v>60.212129281196553</v>
          </cell>
          <cell r="J6">
            <v>53.384212695151405</v>
          </cell>
          <cell r="K6">
            <v>54.924364807042451</v>
          </cell>
          <cell r="L6">
            <v>51.700250026118553</v>
          </cell>
          <cell r="M6">
            <v>77.060351096409818</v>
          </cell>
          <cell r="N6">
            <v>61.397301441002213</v>
          </cell>
          <cell r="O6">
            <v>65.239338347168058</v>
          </cell>
          <cell r="P6">
            <v>64.852732987308514</v>
          </cell>
          <cell r="Q6">
            <v>76.375369356766015</v>
          </cell>
          <cell r="U6">
            <v>16.512167406273118</v>
          </cell>
          <cell r="V6">
            <v>0</v>
          </cell>
          <cell r="W6">
            <v>9.5154863019201006</v>
          </cell>
          <cell r="X6">
            <v>14.819601616707766</v>
          </cell>
          <cell r="Y6">
            <v>13.139092973594563</v>
          </cell>
          <cell r="Z6">
            <v>13.51816013165443</v>
          </cell>
          <cell r="AA6">
            <v>12.724630701783356</v>
          </cell>
          <cell r="AB6">
            <v>18.96633979441507</v>
          </cell>
          <cell r="AC6">
            <v>15.11129997491577</v>
          </cell>
          <cell r="AD6">
            <v>16.056914372310068</v>
          </cell>
          <cell r="AE6">
            <v>15.961761826064015</v>
          </cell>
          <cell r="AF6">
            <v>18.797749900361769</v>
          </cell>
          <cell r="AJ6">
            <v>27.447263622639404</v>
          </cell>
          <cell r="AK6">
            <v>0</v>
          </cell>
          <cell r="AL6">
            <v>15.817067172368468</v>
          </cell>
          <cell r="AM6">
            <v>24.633805020759446</v>
          </cell>
          <cell r="AN6">
            <v>21.840388347299076</v>
          </cell>
          <cell r="AO6">
            <v>22.470490741609904</v>
          </cell>
          <cell r="AP6">
            <v>21.151450610892745</v>
          </cell>
          <cell r="AQ6">
            <v>31.526698796433966</v>
          </cell>
          <cell r="AR6">
            <v>25.118679085988727</v>
          </cell>
          <cell r="AS6">
            <v>26.690521655897765</v>
          </cell>
          <cell r="AT6">
            <v>26.532354835218094</v>
          </cell>
          <cell r="AU6">
            <v>31.246461129727908</v>
          </cell>
        </row>
        <row r="7">
          <cell r="F7">
            <v>110.07150005560726</v>
          </cell>
          <cell r="G7">
            <v>0</v>
          </cell>
          <cell r="H7">
            <v>61.858363667614015</v>
          </cell>
          <cell r="I7">
            <v>103.79890984875837</v>
          </cell>
          <cell r="J7">
            <v>85.540413679577966</v>
          </cell>
          <cell r="K7">
            <v>93.697227320062353</v>
          </cell>
          <cell r="L7">
            <v>83.730918767512748</v>
          </cell>
          <cell r="M7">
            <v>124.63541721317063</v>
          </cell>
          <cell r="N7">
            <v>108.25812074843139</v>
          </cell>
          <cell r="O7">
            <v>106.09122873949667</v>
          </cell>
          <cell r="P7">
            <v>104.75789826288997</v>
          </cell>
          <cell r="Q7">
            <v>127.32657069427984</v>
          </cell>
          <cell r="U7">
            <v>43.441687154274682</v>
          </cell>
          <cell r="V7">
            <v>0</v>
          </cell>
          <cell r="W7">
            <v>24.413510136286604</v>
          </cell>
          <cell r="X7">
            <v>40.966097185252401</v>
          </cell>
          <cell r="Y7">
            <v>33.760054948266898</v>
          </cell>
          <cell r="Z7">
            <v>36.979287412316452</v>
          </cell>
          <cell r="AA7">
            <v>33.04590540149524</v>
          </cell>
          <cell r="AB7">
            <v>49.189597672256319</v>
          </cell>
          <cell r="AC7">
            <v>42.726004561463903</v>
          </cell>
          <cell r="AD7">
            <v>41.870801855025952</v>
          </cell>
          <cell r="AE7">
            <v>41.344579123358386</v>
          </cell>
          <cell r="AF7">
            <v>50.251709550003262</v>
          </cell>
          <cell r="AJ7">
            <v>43.456477544908509</v>
          </cell>
          <cell r="AK7">
            <v>0</v>
          </cell>
          <cell r="AL7">
            <v>24.421822091353548</v>
          </cell>
          <cell r="AM7">
            <v>40.980044723200493</v>
          </cell>
          <cell r="AN7">
            <v>33.771549078288395</v>
          </cell>
          <cell r="AO7">
            <v>36.991877579550206</v>
          </cell>
          <cell r="AP7">
            <v>33.05715638831812</v>
          </cell>
          <cell r="AQ7">
            <v>49.206345027443277</v>
          </cell>
          <cell r="AR7">
            <v>42.740551286950009</v>
          </cell>
          <cell r="AS7">
            <v>41.88505741359549</v>
          </cell>
          <cell r="AT7">
            <v>41.3586555213043</v>
          </cell>
          <cell r="AU7">
            <v>50.268818517516948</v>
          </cell>
        </row>
        <row r="8">
          <cell r="F8">
            <v>7.9597159131121238</v>
          </cell>
          <cell r="G8">
            <v>0</v>
          </cell>
          <cell r="H8">
            <v>4.8326846615323102</v>
          </cell>
          <cell r="I8">
            <v>6.9031583841692452</v>
          </cell>
          <cell r="J8">
            <v>6.4625312532648191</v>
          </cell>
          <cell r="K8">
            <v>6.6804758556476571</v>
          </cell>
          <cell r="L8">
            <v>6.4625312532648191</v>
          </cell>
          <cell r="M8">
            <v>7.8729668346525301</v>
          </cell>
          <cell r="N8">
            <v>7.1234719496214609</v>
          </cell>
          <cell r="O8">
            <v>7.1234719496214609</v>
          </cell>
          <cell r="P8">
            <v>8.1065916234136033</v>
          </cell>
          <cell r="Q8">
            <v>8.8859804732391687</v>
          </cell>
          <cell r="U8">
            <v>4.1069091511171534</v>
          </cell>
          <cell r="V8">
            <v>0</v>
          </cell>
          <cell r="W8">
            <v>2.4934805560353888</v>
          </cell>
          <cell r="X8">
            <v>3.5617658530819498</v>
          </cell>
          <cell r="Y8">
            <v>3.3344190965022475</v>
          </cell>
          <cell r="Z8">
            <v>3.4468701804018869</v>
          </cell>
          <cell r="AA8">
            <v>3.3344190965022475</v>
          </cell>
          <cell r="AB8">
            <v>4.0621499426145231</v>
          </cell>
          <cell r="AC8">
            <v>3.6754392313718021</v>
          </cell>
          <cell r="AD8">
            <v>3.6754392313718021</v>
          </cell>
          <cell r="AE8">
            <v>4.1826914033103897</v>
          </cell>
          <cell r="AF8">
            <v>4.5848262576906134</v>
          </cell>
          <cell r="AJ8">
            <v>4.0305588937381422</v>
          </cell>
          <cell r="AK8">
            <v>0</v>
          </cell>
          <cell r="AL8">
            <v>2.4471250426267037</v>
          </cell>
          <cell r="AM8">
            <v>3.4955501834383673</v>
          </cell>
          <cell r="AN8">
            <v>3.272429958963575</v>
          </cell>
          <cell r="AO8">
            <v>3.3827905001016463</v>
          </cell>
          <cell r="AP8">
            <v>3.272429958963575</v>
          </cell>
          <cell r="AQ8">
            <v>3.9866317896146235</v>
          </cell>
          <cell r="AR8">
            <v>3.6071102956757648</v>
          </cell>
          <cell r="AS8">
            <v>3.6071102956757648</v>
          </cell>
          <cell r="AT8">
            <v>4.104932301896409</v>
          </cell>
          <cell r="AU8">
            <v>4.4995911935749371</v>
          </cell>
        </row>
        <row r="9">
          <cell r="F9">
            <v>80.734261404422625</v>
          </cell>
          <cell r="G9">
            <v>83.425403451236747</v>
          </cell>
          <cell r="H9">
            <v>80.734261404422654</v>
          </cell>
          <cell r="I9">
            <v>85.187911974854387</v>
          </cell>
          <cell r="J9">
            <v>69.325335262295312</v>
          </cell>
          <cell r="K9">
            <v>75.903759896647131</v>
          </cell>
          <cell r="L9">
            <v>0</v>
          </cell>
          <cell r="M9">
            <v>40.367130702211313</v>
          </cell>
          <cell r="N9">
            <v>80.693621891540033</v>
          </cell>
          <cell r="O9">
            <v>72.850352309530678</v>
          </cell>
          <cell r="P9">
            <v>71.447926172458523</v>
          </cell>
          <cell r="Q9">
            <v>88.712929022089753</v>
          </cell>
          <cell r="U9">
            <v>14.028385595213839</v>
          </cell>
          <cell r="V9">
            <v>14.495998448387642</v>
          </cell>
          <cell r="W9">
            <v>14.028385595213845</v>
          </cell>
          <cell r="X9">
            <v>14.802251936733853</v>
          </cell>
          <cell r="Y9">
            <v>12.045970541617896</v>
          </cell>
          <cell r="Z9">
            <v>13.18903763326389</v>
          </cell>
          <cell r="AA9">
            <v>0</v>
          </cell>
          <cell r="AB9">
            <v>7.0141927976069196</v>
          </cell>
          <cell r="AC9">
            <v>14.021324073287445</v>
          </cell>
          <cell r="AD9">
            <v>12.658477518310333</v>
          </cell>
          <cell r="AE9">
            <v>12.41479194693807</v>
          </cell>
          <cell r="AF9">
            <v>15.414758913426288</v>
          </cell>
          <cell r="AJ9">
            <v>29.721488896456805</v>
          </cell>
          <cell r="AK9">
            <v>30.712205193005378</v>
          </cell>
          <cell r="AL9">
            <v>29.721488896456812</v>
          </cell>
          <cell r="AM9">
            <v>31.361054598491393</v>
          </cell>
          <cell r="AN9">
            <v>25.521409949117135</v>
          </cell>
          <cell r="AO9">
            <v>27.943189393492595</v>
          </cell>
          <cell r="AP9">
            <v>0</v>
          </cell>
          <cell r="AQ9">
            <v>14.860744448228402</v>
          </cell>
          <cell r="AR9">
            <v>29.706527877307241</v>
          </cell>
          <cell r="AS9">
            <v>26.8191087600892</v>
          </cell>
          <cell r="AT9">
            <v>26.302819985831491</v>
          </cell>
          <cell r="AU9">
            <v>32.658753409463451</v>
          </cell>
        </row>
        <row r="10">
          <cell r="F10">
            <v>96.881113685307213</v>
          </cell>
          <cell r="G10">
            <v>100.11048414148411</v>
          </cell>
          <cell r="H10">
            <v>96.881113685307184</v>
          </cell>
          <cell r="I10">
            <v>102.22549436982533</v>
          </cell>
          <cell r="J10">
            <v>85.305412543095628</v>
          </cell>
          <cell r="K10">
            <v>93.95519091991136</v>
          </cell>
          <cell r="L10">
            <v>81.765652008764306</v>
          </cell>
          <cell r="M10">
            <v>0</v>
          </cell>
          <cell r="N10">
            <v>50.055242070742054</v>
          </cell>
          <cell r="O10">
            <v>95.725267202279099</v>
          </cell>
          <cell r="P10">
            <v>91.961224140806962</v>
          </cell>
          <cell r="Q10">
            <v>112.80054551153137</v>
          </cell>
          <cell r="U10">
            <v>23.919446234121416</v>
          </cell>
          <cell r="V10">
            <v>24.716761108592127</v>
          </cell>
          <cell r="W10">
            <v>23.919446234121409</v>
          </cell>
          <cell r="X10">
            <v>25.238946202435624</v>
          </cell>
          <cell r="Y10">
            <v>21.06146545168766</v>
          </cell>
          <cell r="Z10">
            <v>23.197051026120295</v>
          </cell>
          <cell r="AA10">
            <v>20.187516871186943</v>
          </cell>
          <cell r="AB10">
            <v>0</v>
          </cell>
          <cell r="AC10">
            <v>12.358380554296064</v>
          </cell>
          <cell r="AD10">
            <v>23.634073711510929</v>
          </cell>
          <cell r="AE10">
            <v>22.704750934274372</v>
          </cell>
          <cell r="AF10">
            <v>27.849871671653098</v>
          </cell>
          <cell r="AJ10">
            <v>33.484975736239669</v>
          </cell>
          <cell r="AK10">
            <v>34.601141594114324</v>
          </cell>
          <cell r="AL10">
            <v>33.484975736239662</v>
          </cell>
          <cell r="AM10">
            <v>35.332151627792797</v>
          </cell>
          <cell r="AN10">
            <v>29.484071358365025</v>
          </cell>
          <cell r="AO10">
            <v>32.473690367208562</v>
          </cell>
          <cell r="AP10">
            <v>28.260625517422358</v>
          </cell>
          <cell r="AQ10">
            <v>0</v>
          </cell>
          <cell r="AR10">
            <v>17.300570797057162</v>
          </cell>
          <cell r="AS10">
            <v>33.085481036325994</v>
          </cell>
          <cell r="AT10">
            <v>31.784516526432355</v>
          </cell>
          <cell r="AU10">
            <v>38.987201796185147</v>
          </cell>
        </row>
        <row r="11">
          <cell r="F11">
            <v>43.596501158388222</v>
          </cell>
          <cell r="G11">
            <v>45.049717863667865</v>
          </cell>
          <cell r="H11">
            <v>43.59650115838825</v>
          </cell>
          <cell r="I11">
            <v>46.001472466421404</v>
          </cell>
          <cell r="J11">
            <v>19.193717822196483</v>
          </cell>
          <cell r="K11">
            <v>0</v>
          </cell>
          <cell r="L11">
            <v>35.532171836132378</v>
          </cell>
          <cell r="M11">
            <v>43.59650115838825</v>
          </cell>
          <cell r="N11">
            <v>45.049717863667837</v>
          </cell>
          <cell r="O11">
            <v>41.242699452653653</v>
          </cell>
          <cell r="P11">
            <v>41.252933373113351</v>
          </cell>
          <cell r="Q11">
            <v>49.270560716679427</v>
          </cell>
          <cell r="U11">
            <v>14.658429107472795</v>
          </cell>
          <cell r="V11">
            <v>15.147043411055236</v>
          </cell>
          <cell r="W11">
            <v>14.658429107472804</v>
          </cell>
          <cell r="X11">
            <v>15.467051370443723</v>
          </cell>
          <cell r="Y11">
            <v>6.4534938476678878</v>
          </cell>
          <cell r="Z11">
            <v>0</v>
          </cell>
          <cell r="AA11">
            <v>11.946963817170317</v>
          </cell>
          <cell r="AB11">
            <v>14.658429107472804</v>
          </cell>
          <cell r="AC11">
            <v>15.147043411055225</v>
          </cell>
          <cell r="AD11">
            <v>13.867011573501262</v>
          </cell>
          <cell r="AE11">
            <v>13.870452519301134</v>
          </cell>
          <cell r="AF11">
            <v>16.566215227386852</v>
          </cell>
          <cell r="AJ11">
            <v>15.901922874930639</v>
          </cell>
          <cell r="AK11">
            <v>16.431986970761674</v>
          </cell>
          <cell r="AL11">
            <v>15.901922874930648</v>
          </cell>
          <cell r="AM11">
            <v>16.779141625073539</v>
          </cell>
          <cell r="AN11">
            <v>7.0009521952892912</v>
          </cell>
          <cell r="AO11">
            <v>0</v>
          </cell>
          <cell r="AP11">
            <v>12.960440427643002</v>
          </cell>
          <cell r="AQ11">
            <v>15.901922874930648</v>
          </cell>
          <cell r="AR11">
            <v>16.431986970761663</v>
          </cell>
          <cell r="AS11">
            <v>15.0433683535142</v>
          </cell>
          <cell r="AT11">
            <v>15.047101199259481</v>
          </cell>
          <cell r="AU11">
            <v>17.971548993685108</v>
          </cell>
        </row>
        <row r="12">
          <cell r="F12">
            <v>43.596501158388222</v>
          </cell>
          <cell r="G12">
            <v>0</v>
          </cell>
          <cell r="H12">
            <v>21.798250579194111</v>
          </cell>
          <cell r="I12">
            <v>46.001472466421404</v>
          </cell>
          <cell r="J12">
            <v>37.48191687886127</v>
          </cell>
          <cell r="K12">
            <v>41.754395475639427</v>
          </cell>
          <cell r="L12">
            <v>35.532171836132378</v>
          </cell>
          <cell r="M12">
            <v>43.59650115838825</v>
          </cell>
          <cell r="N12">
            <v>45.049717863667865</v>
          </cell>
          <cell r="O12">
            <v>41.242699452653653</v>
          </cell>
          <cell r="P12">
            <v>40.776671757584552</v>
          </cell>
          <cell r="Q12">
            <v>48.505950615511793</v>
          </cell>
          <cell r="U12">
            <v>14.923274651281668</v>
          </cell>
          <cell r="V12">
            <v>0</v>
          </cell>
          <cell r="W12">
            <v>7.4616373256408339</v>
          </cell>
          <cell r="X12">
            <v>15.746506938382897</v>
          </cell>
          <cell r="Y12">
            <v>12.830225480884355</v>
          </cell>
          <cell r="Z12">
            <v>14.292713750523287</v>
          </cell>
          <cell r="AA12">
            <v>12.162819152406092</v>
          </cell>
          <cell r="AB12">
            <v>14.923274651281677</v>
          </cell>
          <cell r="AC12">
            <v>15.420717139657734</v>
          </cell>
          <cell r="AD12">
            <v>14.117557944757072</v>
          </cell>
          <cell r="AE12">
            <v>13.958034609080354</v>
          </cell>
          <cell r="AF12">
            <v>16.603800856104048</v>
          </cell>
          <cell r="AJ12">
            <v>15.901922874930634</v>
          </cell>
          <cell r="AK12">
            <v>0</v>
          </cell>
          <cell r="AL12">
            <v>7.9509614374653168</v>
          </cell>
          <cell r="AM12">
            <v>16.779141625073532</v>
          </cell>
          <cell r="AN12">
            <v>13.671614362968947</v>
          </cell>
          <cell r="AO12">
            <v>15.230010640778639</v>
          </cell>
          <cell r="AP12">
            <v>12.960440427642999</v>
          </cell>
          <cell r="AQ12">
            <v>15.901922874930644</v>
          </cell>
          <cell r="AR12">
            <v>16.43198697076167</v>
          </cell>
          <cell r="AS12">
            <v>15.043368353514193</v>
          </cell>
          <cell r="AT12">
            <v>14.873383692643198</v>
          </cell>
          <cell r="AU12">
            <v>17.692655721631294</v>
          </cell>
        </row>
        <row r="13">
          <cell r="F13">
            <v>43.596501158388222</v>
          </cell>
          <cell r="G13">
            <v>45.049717863667865</v>
          </cell>
          <cell r="H13">
            <v>43.59650115838825</v>
          </cell>
          <cell r="I13">
            <v>46.001472466421404</v>
          </cell>
          <cell r="J13">
            <v>37.435681041639469</v>
          </cell>
          <cell r="K13">
            <v>41.754395475639427</v>
          </cell>
          <cell r="L13">
            <v>35.532171836132378</v>
          </cell>
          <cell r="M13">
            <v>0</v>
          </cell>
          <cell r="N13">
            <v>22.524858931833876</v>
          </cell>
          <cell r="O13">
            <v>41.047898792603561</v>
          </cell>
          <cell r="P13">
            <v>39.972502944572199</v>
          </cell>
          <cell r="Q13">
            <v>47.904981671928468</v>
          </cell>
          <cell r="U13">
            <v>14.954153182665333</v>
          </cell>
          <cell r="V13">
            <v>15.452624955420855</v>
          </cell>
          <cell r="W13">
            <v>14.954153182665342</v>
          </cell>
          <cell r="X13">
            <v>15.779088862929745</v>
          </cell>
          <cell r="Y13">
            <v>12.840913695349718</v>
          </cell>
          <cell r="Z13">
            <v>14.322287555228773</v>
          </cell>
          <cell r="AA13">
            <v>12.187985880331935</v>
          </cell>
          <cell r="AB13">
            <v>0</v>
          </cell>
          <cell r="AC13">
            <v>7.72631247771041</v>
          </cell>
          <cell r="AD13">
            <v>14.079950226763353</v>
          </cell>
          <cell r="AE13">
            <v>13.711075802987054</v>
          </cell>
          <cell r="AF13">
            <v>16.432016677947519</v>
          </cell>
          <cell r="AJ13">
            <v>15.901922874930637</v>
          </cell>
          <cell r="AK13">
            <v>16.43198697076167</v>
          </cell>
          <cell r="AL13">
            <v>15.901922874930648</v>
          </cell>
          <cell r="AM13">
            <v>16.779141625073535</v>
          </cell>
          <cell r="AN13">
            <v>13.654749736266732</v>
          </cell>
          <cell r="AO13">
            <v>15.230010640778639</v>
          </cell>
          <cell r="AP13">
            <v>12.960440427642999</v>
          </cell>
          <cell r="AQ13">
            <v>0</v>
          </cell>
          <cell r="AR13">
            <v>8.2159934853808156</v>
          </cell>
          <cell r="AS13">
            <v>14.972314370056946</v>
          </cell>
          <cell r="AT13">
            <v>14.580061290542901</v>
          </cell>
          <cell r="AU13">
            <v>17.473450933697258</v>
          </cell>
        </row>
        <row r="14">
          <cell r="F14">
            <v>43.596501158388222</v>
          </cell>
          <cell r="G14">
            <v>0</v>
          </cell>
          <cell r="H14">
            <v>21.798250579194111</v>
          </cell>
          <cell r="I14">
            <v>46.001472466421404</v>
          </cell>
          <cell r="J14">
            <v>37.435681041639469</v>
          </cell>
          <cell r="K14">
            <v>41.754395475639427</v>
          </cell>
          <cell r="L14">
            <v>35.532171836132378</v>
          </cell>
          <cell r="M14">
            <v>43.59650115838825</v>
          </cell>
          <cell r="N14">
            <v>45.049717863667837</v>
          </cell>
          <cell r="O14">
            <v>39.838704380838948</v>
          </cell>
          <cell r="P14">
            <v>38.68382094328193</v>
          </cell>
          <cell r="Q14">
            <v>47.904981671928468</v>
          </cell>
          <cell r="U14">
            <v>15.063446681682439</v>
          </cell>
          <cell r="V14">
            <v>0</v>
          </cell>
          <cell r="W14">
            <v>7.5317233408412196</v>
          </cell>
          <cell r="X14">
            <v>15.894411463418454</v>
          </cell>
          <cell r="Y14">
            <v>12.934762432299149</v>
          </cell>
          <cell r="Z14">
            <v>14.42696301907614</v>
          </cell>
          <cell r="AA14">
            <v>12.277062647605971</v>
          </cell>
          <cell r="AB14">
            <v>15.06344668168245</v>
          </cell>
          <cell r="AC14">
            <v>15.565561571071857</v>
          </cell>
          <cell r="AD14">
            <v>13.765054152576457</v>
          </cell>
          <cell r="AE14">
            <v>13.366019261634273</v>
          </cell>
          <cell r="AF14">
            <v>16.552111248111622</v>
          </cell>
          <cell r="AJ14">
            <v>15.901922874930634</v>
          </cell>
          <cell r="AK14">
            <v>0</v>
          </cell>
          <cell r="AL14">
            <v>7.9509614374653168</v>
          </cell>
          <cell r="AM14">
            <v>16.779141625073532</v>
          </cell>
          <cell r="AN14">
            <v>13.654749736266732</v>
          </cell>
          <cell r="AO14">
            <v>15.230010640778639</v>
          </cell>
          <cell r="AP14">
            <v>12.960440427642999</v>
          </cell>
          <cell r="AQ14">
            <v>15.901922874930644</v>
          </cell>
          <cell r="AR14">
            <v>16.43198697076166</v>
          </cell>
          <cell r="AS14">
            <v>14.531257960350581</v>
          </cell>
          <cell r="AT14">
            <v>14.110011601913559</v>
          </cell>
          <cell r="AU14">
            <v>17.473450933697254</v>
          </cell>
        </row>
        <row r="15">
          <cell r="F15">
            <v>137.21548238350181</v>
          </cell>
          <cell r="G15">
            <v>138.15491867482524</v>
          </cell>
          <cell r="H15">
            <v>67.31645457946226</v>
          </cell>
          <cell r="I15">
            <v>0</v>
          </cell>
          <cell r="J15">
            <v>135.33025342471052</v>
          </cell>
          <cell r="K15">
            <v>145.54909098262112</v>
          </cell>
          <cell r="L15">
            <v>133.48064552197883</v>
          </cell>
          <cell r="M15">
            <v>134.63290915892452</v>
          </cell>
          <cell r="N15">
            <v>141.94068643534365</v>
          </cell>
          <cell r="O15">
            <v>141.63965442348064</v>
          </cell>
          <cell r="P15">
            <v>138.45763259046373</v>
          </cell>
          <cell r="Q15">
            <v>150.40072734870853</v>
          </cell>
          <cell r="U15">
            <v>37.908230301399954</v>
          </cell>
          <cell r="V15">
            <v>38.167766373178281</v>
          </cell>
          <cell r="W15">
            <v>18.59737413697864</v>
          </cell>
          <cell r="X15">
            <v>0</v>
          </cell>
          <cell r="Y15">
            <v>37.387402095286959</v>
          </cell>
          <cell r="Z15">
            <v>40.210538674548417</v>
          </cell>
          <cell r="AA15">
            <v>36.876414842783788</v>
          </cell>
          <cell r="AB15">
            <v>37.194748273957281</v>
          </cell>
          <cell r="AC15">
            <v>39.213652403241909</v>
          </cell>
          <cell r="AD15">
            <v>39.130486927775351</v>
          </cell>
          <cell r="AE15">
            <v>38.251396504633774</v>
          </cell>
          <cell r="AF15">
            <v>41.550889963700044</v>
          </cell>
          <cell r="AJ15">
            <v>38.084521854293101</v>
          </cell>
          <cell r="AK15">
            <v>38.345264893971589</v>
          </cell>
          <cell r="AL15">
            <v>18.683860895666022</v>
          </cell>
          <cell r="AM15">
            <v>0</v>
          </cell>
          <cell r="AN15">
            <v>37.561271545842011</v>
          </cell>
          <cell r="AO15">
            <v>40.397537071710325</v>
          </cell>
          <cell r="AP15">
            <v>37.047907956181021</v>
          </cell>
          <cell r="AQ15">
            <v>37.367721791332045</v>
          </cell>
          <cell r="AR15">
            <v>39.396014798474177</v>
          </cell>
          <cell r="AS15">
            <v>39.312462563438508</v>
          </cell>
          <cell r="AT15">
            <v>38.429283945870637</v>
          </cell>
          <cell r="AU15">
            <v>41.744121640767347</v>
          </cell>
          <cell r="AW15">
            <v>0.83811439959595191</v>
          </cell>
        </row>
        <row r="16">
          <cell r="F16">
            <v>134.63290915892452</v>
          </cell>
          <cell r="G16">
            <v>136.30065915976712</v>
          </cell>
          <cell r="H16">
            <v>67.31645457946226</v>
          </cell>
          <cell r="I16">
            <v>0</v>
          </cell>
          <cell r="J16">
            <v>128.13866094693577</v>
          </cell>
          <cell r="K16">
            <v>145.54909098262112</v>
          </cell>
          <cell r="L16">
            <v>133.48064552197883</v>
          </cell>
          <cell r="M16">
            <v>133.22994632737232</v>
          </cell>
          <cell r="N16">
            <v>139.20258976564088</v>
          </cell>
          <cell r="O16">
            <v>139.12067279755541</v>
          </cell>
          <cell r="P16">
            <v>131.67998854035159</v>
          </cell>
          <cell r="Q16">
            <v>150.40072734870853</v>
          </cell>
          <cell r="U16">
            <v>37.842624405422399</v>
          </cell>
          <cell r="V16">
            <v>38.311395653687782</v>
          </cell>
          <cell r="W16">
            <v>18.921312202711199</v>
          </cell>
          <cell r="X16">
            <v>0</v>
          </cell>
          <cell r="Y16">
            <v>36.01722081415204</v>
          </cell>
          <cell r="Z16">
            <v>40.910945303159352</v>
          </cell>
          <cell r="AA16">
            <v>37.518746088439066</v>
          </cell>
          <cell r="AB16">
            <v>37.448279547089676</v>
          </cell>
          <cell r="AC16">
            <v>39.127070444158583</v>
          </cell>
          <cell r="AD16">
            <v>39.104045218936491</v>
          </cell>
          <cell r="AE16">
            <v>37.012617339796449</v>
          </cell>
          <cell r="AF16">
            <v>42.274643479931335</v>
          </cell>
          <cell r="AJ16">
            <v>37.367721791332045</v>
          </cell>
          <cell r="AK16">
            <v>37.830610236945418</v>
          </cell>
          <cell r="AL16">
            <v>18.683860895666022</v>
          </cell>
          <cell r="AM16">
            <v>0</v>
          </cell>
          <cell r="AN16">
            <v>35.565225938382824</v>
          </cell>
          <cell r="AO16">
            <v>40.397537071710325</v>
          </cell>
          <cell r="AP16">
            <v>37.047907956181021</v>
          </cell>
          <cell r="AQ16">
            <v>36.978325728359529</v>
          </cell>
          <cell r="AR16">
            <v>38.636048789937227</v>
          </cell>
          <cell r="AS16">
            <v>38.613312517709808</v>
          </cell>
          <cell r="AT16">
            <v>36.548130824784124</v>
          </cell>
          <cell r="AU16">
            <v>41.744121640767347</v>
          </cell>
        </row>
        <row r="17">
          <cell r="F17">
            <v>134.63290915892446</v>
          </cell>
          <cell r="G17">
            <v>0</v>
          </cell>
          <cell r="H17">
            <v>66.638827136661888</v>
          </cell>
          <cell r="I17">
            <v>150.26185894141906</v>
          </cell>
          <cell r="J17">
            <v>125.07140137187753</v>
          </cell>
          <cell r="K17">
            <v>139.84090887505738</v>
          </cell>
          <cell r="L17">
            <v>129.41629134118068</v>
          </cell>
          <cell r="M17">
            <v>131.90386370300041</v>
          </cell>
          <cell r="N17">
            <v>136.6528628552706</v>
          </cell>
          <cell r="O17">
            <v>139.12067279755541</v>
          </cell>
          <cell r="P17">
            <v>130.14514552029368</v>
          </cell>
          <cell r="Q17">
            <v>150.40072734870841</v>
          </cell>
          <cell r="U17">
            <v>37.973690251912238</v>
          </cell>
          <cell r="V17">
            <v>0</v>
          </cell>
          <cell r="W17">
            <v>18.795717898743636</v>
          </cell>
          <cell r="X17">
            <v>42.381891052970253</v>
          </cell>
          <cell r="Y17">
            <v>35.276833017564208</v>
          </cell>
          <cell r="Z17">
            <v>39.44262507095435</v>
          </cell>
          <cell r="AA17">
            <v>36.502324666698797</v>
          </cell>
          <cell r="AB17">
            <v>37.203953287346479</v>
          </cell>
          <cell r="AC17">
            <v>38.54342536695539</v>
          </cell>
          <cell r="AD17">
            <v>39.239479926976017</v>
          </cell>
          <cell r="AE17">
            <v>36.707900576848509</v>
          </cell>
          <cell r="AF17">
            <v>42.421059380514578</v>
          </cell>
          <cell r="AJ17">
            <v>37.367721791332023</v>
          </cell>
          <cell r="AK17">
            <v>0</v>
          </cell>
          <cell r="AL17">
            <v>18.495783597783035</v>
          </cell>
          <cell r="AM17">
            <v>41.705578345211919</v>
          </cell>
          <cell r="AN17">
            <v>34.713899890549456</v>
          </cell>
          <cell r="AO17">
            <v>38.813215955407962</v>
          </cell>
          <cell r="AP17">
            <v>35.91983565024708</v>
          </cell>
          <cell r="AQ17">
            <v>36.610267971237484</v>
          </cell>
          <cell r="AR17">
            <v>37.928365308789822</v>
          </cell>
          <cell r="AS17">
            <v>38.613312517709794</v>
          </cell>
          <cell r="AT17">
            <v>36.122131064954303</v>
          </cell>
          <cell r="AU17">
            <v>41.744121640767311</v>
          </cell>
        </row>
        <row r="18">
          <cell r="F18">
            <v>134.31109329275199</v>
          </cell>
          <cell r="G18">
            <v>134.04960776928493</v>
          </cell>
          <cell r="H18">
            <v>131.90386370300041</v>
          </cell>
          <cell r="I18">
            <v>143.42965495854645</v>
          </cell>
          <cell r="J18">
            <v>120.51144923802275</v>
          </cell>
          <cell r="K18">
            <v>137.36195461484863</v>
          </cell>
          <cell r="L18">
            <v>125.35010812528424</v>
          </cell>
          <cell r="M18">
            <v>0</v>
          </cell>
          <cell r="N18">
            <v>67.882166220312399</v>
          </cell>
          <cell r="O18">
            <v>136.61360619006251</v>
          </cell>
          <cell r="P18">
            <v>127.60666846124252</v>
          </cell>
          <cell r="Q18">
            <v>150.40072734870841</v>
          </cell>
          <cell r="U18">
            <v>38.545864087586878</v>
          </cell>
          <cell r="V18">
            <v>38.470820506291147</v>
          </cell>
          <cell r="W18">
            <v>37.85501464008864</v>
          </cell>
          <cell r="X18">
            <v>41.162794901171139</v>
          </cell>
          <cell r="Y18">
            <v>34.585512108087542</v>
          </cell>
          <cell r="Z18">
            <v>39.42142903898884</v>
          </cell>
          <cell r="AA18">
            <v>35.974156063416295</v>
          </cell>
          <cell r="AB18">
            <v>0</v>
          </cell>
          <cell r="AC18">
            <v>19.481464181040543</v>
          </cell>
          <cell r="AD18">
            <v>39.206660951224919</v>
          </cell>
          <cell r="AE18">
            <v>36.62176502767138</v>
          </cell>
          <cell r="AF18">
            <v>43.163418991917133</v>
          </cell>
          <cell r="AJ18">
            <v>37.278400942289281</v>
          </cell>
          <cell r="AK18">
            <v>37.205824940222485</v>
          </cell>
          <cell r="AL18">
            <v>36.610267971237484</v>
          </cell>
          <cell r="AM18">
            <v>39.80928196976744</v>
          </cell>
          <cell r="AN18">
            <v>33.448273055445284</v>
          </cell>
          <cell r="AO18">
            <v>38.125175611426599</v>
          </cell>
          <cell r="AP18">
            <v>34.791255690760032</v>
          </cell>
          <cell r="AQ18">
            <v>0</v>
          </cell>
          <cell r="AR18">
            <v>18.84087566524552</v>
          </cell>
          <cell r="AS18">
            <v>37.917469517017096</v>
          </cell>
          <cell r="AT18">
            <v>35.417570009942629</v>
          </cell>
          <cell r="AU18">
            <v>41.744121640767311</v>
          </cell>
        </row>
        <row r="19">
          <cell r="F19">
            <v>129.17481824707619</v>
          </cell>
          <cell r="G19">
            <v>0</v>
          </cell>
          <cell r="H19">
            <v>65.60348329734444</v>
          </cell>
          <cell r="I19">
            <v>141.94068643534359</v>
          </cell>
          <cell r="J19">
            <v>114.08767549875188</v>
          </cell>
          <cell r="K19">
            <v>133.95734946386011</v>
          </cell>
          <cell r="L19">
            <v>116.76646241065708</v>
          </cell>
          <cell r="M19">
            <v>131.44406636410912</v>
          </cell>
          <cell r="N19">
            <v>133.48064552197877</v>
          </cell>
          <cell r="O19">
            <v>133.07262213961184</v>
          </cell>
          <cell r="P19">
            <v>126.14370562774116</v>
          </cell>
          <cell r="Q19">
            <v>150.40072734870841</v>
          </cell>
          <cell r="U19">
            <v>37.970230483899179</v>
          </cell>
          <cell r="V19">
            <v>0</v>
          </cell>
          <cell r="W19">
            <v>19.283784681486715</v>
          </cell>
          <cell r="X19">
            <v>41.722687534068555</v>
          </cell>
          <cell r="Y19">
            <v>33.535447487714634</v>
          </cell>
          <cell r="Z19">
            <v>39.37602934672698</v>
          </cell>
          <cell r="AA19">
            <v>34.322862231877401</v>
          </cell>
          <cell r="AB19">
            <v>38.637263541875583</v>
          </cell>
          <cell r="AC19">
            <v>39.235904833362497</v>
          </cell>
          <cell r="AD19">
            <v>39.115968594383943</v>
          </cell>
          <cell r="AE19">
            <v>37.079251527314412</v>
          </cell>
          <cell r="AF19">
            <v>44.209470234774628</v>
          </cell>
          <cell r="AJ19">
            <v>35.852814151142908</v>
          </cell>
          <cell r="AK19">
            <v>0</v>
          </cell>
          <cell r="AL19">
            <v>18.208421163236558</v>
          </cell>
          <cell r="AM19">
            <v>39.39601479847417</v>
          </cell>
          <cell r="AN19">
            <v>31.665337579720067</v>
          </cell>
          <cell r="AO19">
            <v>37.18021840232926</v>
          </cell>
          <cell r="AP19">
            <v>32.408842007334968</v>
          </cell>
          <cell r="AQ19">
            <v>36.482649997686892</v>
          </cell>
          <cell r="AR19">
            <v>37.047907956181014</v>
          </cell>
          <cell r="AS19">
            <v>36.934659981878923</v>
          </cell>
          <cell r="AT19">
            <v>35.011520786949127</v>
          </cell>
          <cell r="AU19">
            <v>41.744121640767318</v>
          </cell>
        </row>
        <row r="20">
          <cell r="F20">
            <v>93.758504088999899</v>
          </cell>
          <cell r="G20">
            <v>0</v>
          </cell>
          <cell r="H20">
            <v>46.5897764707384</v>
          </cell>
          <cell r="I20">
            <v>91.650443228119258</v>
          </cell>
          <cell r="J20">
            <v>74.639618200685447</v>
          </cell>
          <cell r="K20">
            <v>77.748440770439259</v>
          </cell>
          <cell r="L20">
            <v>74.730361401389558</v>
          </cell>
          <cell r="M20">
            <v>95.092280175304666</v>
          </cell>
          <cell r="N20">
            <v>89.057285415008465</v>
          </cell>
          <cell r="O20">
            <v>85.305412543095628</v>
          </cell>
          <cell r="P20">
            <v>83.954719125134204</v>
          </cell>
          <cell r="Q20">
            <v>100.61217884983392</v>
          </cell>
          <cell r="U20">
            <v>19.948284403158656</v>
          </cell>
          <cell r="V20">
            <v>0</v>
          </cell>
          <cell r="W20">
            <v>9.9125526836015077</v>
          </cell>
          <cell r="X20">
            <v>19.499768313865072</v>
          </cell>
          <cell r="Y20">
            <v>15.880504345473421</v>
          </cell>
          <cell r="Z20">
            <v>16.541944898338251</v>
          </cell>
          <cell r="AA20">
            <v>15.899811086689985</v>
          </cell>
          <cell r="AB20">
            <v>20.232061805094197</v>
          </cell>
          <cell r="AC20">
            <v>18.948041832509276</v>
          </cell>
          <cell r="AD20">
            <v>18.149784353674416</v>
          </cell>
          <cell r="AE20">
            <v>17.862407579644486</v>
          </cell>
          <cell r="AF20">
            <v>21.40648869795081</v>
          </cell>
          <cell r="AJ20">
            <v>35.44071454564196</v>
          </cell>
          <cell r="AK20">
            <v>0</v>
          </cell>
          <cell r="AL20">
            <v>17.610935505939114</v>
          </cell>
          <cell r="AM20">
            <v>34.643867540229074</v>
          </cell>
          <cell r="AN20">
            <v>28.213775679859101</v>
          </cell>
          <cell r="AO20">
            <v>29.388910611226038</v>
          </cell>
          <cell r="AP20">
            <v>28.248076609725253</v>
          </cell>
          <cell r="AQ20">
            <v>35.944881906265167</v>
          </cell>
          <cell r="AR20">
            <v>33.663653886873199</v>
          </cell>
          <cell r="AS20">
            <v>32.245445941290143</v>
          </cell>
          <cell r="AT20">
            <v>31.734883829300724</v>
          </cell>
          <cell r="AU20">
            <v>38.031403605237223</v>
          </cell>
        </row>
        <row r="21">
          <cell r="F21">
            <v>89.906630080049524</v>
          </cell>
          <cell r="G21">
            <v>95.880463684801697</v>
          </cell>
          <cell r="H21">
            <v>0</v>
          </cell>
          <cell r="I21">
            <v>44.886197716187979</v>
          </cell>
          <cell r="J21">
            <v>69.522908007830694</v>
          </cell>
          <cell r="K21">
            <v>72.408020927062665</v>
          </cell>
          <cell r="L21">
            <v>73.391952705613818</v>
          </cell>
          <cell r="M21">
            <v>94.834329593364089</v>
          </cell>
          <cell r="N21">
            <v>85.305412543095628</v>
          </cell>
          <cell r="O21">
            <v>83.254716832270901</v>
          </cell>
          <cell r="P21">
            <v>82.413368070121237</v>
          </cell>
          <cell r="Q21">
            <v>97.72200289366927</v>
          </cell>
          <cell r="U21">
            <v>19.636534938743054</v>
          </cell>
          <cell r="V21">
            <v>20.94128178770746</v>
          </cell>
          <cell r="W21">
            <v>0</v>
          </cell>
          <cell r="X21">
            <v>9.8036083538720078</v>
          </cell>
          <cell r="Y21">
            <v>15.184519883831404</v>
          </cell>
          <cell r="Z21">
            <v>15.814658290646065</v>
          </cell>
          <cell r="AA21">
            <v>16.029559135329674</v>
          </cell>
          <cell r="AB21">
            <v>20.712795316589208</v>
          </cell>
          <cell r="AC21">
            <v>18.631581590533848</v>
          </cell>
          <cell r="AD21">
            <v>18.183688504801609</v>
          </cell>
          <cell r="AE21">
            <v>17.999929260918144</v>
          </cell>
          <cell r="AF21">
            <v>21.343492937027555</v>
          </cell>
          <cell r="AJ21">
            <v>33.984706170258718</v>
          </cell>
          <cell r="AK21">
            <v>36.24281527285504</v>
          </cell>
          <cell r="AL21">
            <v>0</v>
          </cell>
          <cell r="AM21">
            <v>16.966982736719054</v>
          </cell>
          <cell r="AN21">
            <v>26.27965922696</v>
          </cell>
          <cell r="AO21">
            <v>27.370231910429688</v>
          </cell>
          <cell r="AP21">
            <v>27.742158122722021</v>
          </cell>
          <cell r="AQ21">
            <v>35.847376586291624</v>
          </cell>
          <cell r="AR21">
            <v>32.245445941290143</v>
          </cell>
          <cell r="AS21">
            <v>31.4702829625984</v>
          </cell>
          <cell r="AT21">
            <v>31.152253130505823</v>
          </cell>
          <cell r="AU21">
            <v>36.938917093806978</v>
          </cell>
        </row>
        <row r="22">
          <cell r="F22">
            <v>112.11419757843743</v>
          </cell>
          <cell r="G22">
            <v>0</v>
          </cell>
          <cell r="H22">
            <v>61.858363667614015</v>
          </cell>
          <cell r="I22">
            <v>110.45820762612027</v>
          </cell>
          <cell r="J22">
            <v>87.847122768839824</v>
          </cell>
          <cell r="K22">
            <v>96.426272775986519</v>
          </cell>
          <cell r="L22">
            <v>93.15819797190963</v>
          </cell>
          <cell r="M22">
            <v>126.44577279115214</v>
          </cell>
          <cell r="N22">
            <v>111.3143419211267</v>
          </cell>
          <cell r="O22">
            <v>110.87400940061684</v>
          </cell>
          <cell r="P22">
            <v>107.18571700009375</v>
          </cell>
          <cell r="Q22">
            <v>127.84061824640219</v>
          </cell>
          <cell r="U22">
            <v>45.640381218539297</v>
          </cell>
          <cell r="V22">
            <v>0</v>
          </cell>
          <cell r="W22">
            <v>25.181817827931624</v>
          </cell>
          <cell r="X22">
            <v>44.966247037942331</v>
          </cell>
          <cell r="Y22">
            <v>35.761538312903056</v>
          </cell>
          <cell r="Z22">
            <v>39.254010143540462</v>
          </cell>
          <cell r="AA22">
            <v>37.923615036315795</v>
          </cell>
          <cell r="AB22">
            <v>51.474598207095504</v>
          </cell>
          <cell r="AC22">
            <v>45.314769316496943</v>
          </cell>
          <cell r="AD22">
            <v>45.135515087032118</v>
          </cell>
          <cell r="AE22">
            <v>43.634054301144189</v>
          </cell>
          <cell r="AF22">
            <v>52.042423511058644</v>
          </cell>
          <cell r="AJ22">
            <v>42.379166684649348</v>
          </cell>
          <cell r="AK22">
            <v>0</v>
          </cell>
          <cell r="AL22">
            <v>23.382461466358102</v>
          </cell>
          <cell r="AM22">
            <v>41.753202482673466</v>
          </cell>
          <cell r="AN22">
            <v>33.206212406621454</v>
          </cell>
          <cell r="AO22">
            <v>36.449131109322906</v>
          </cell>
          <cell r="AP22">
            <v>35.213798833381844</v>
          </cell>
          <cell r="AQ22">
            <v>47.79650211505551</v>
          </cell>
          <cell r="AR22">
            <v>42.076821246185894</v>
          </cell>
          <cell r="AS22">
            <v>41.91037555343317</v>
          </cell>
          <cell r="AT22">
            <v>40.516201026035439</v>
          </cell>
          <cell r="AU22">
            <v>48.323753697140027</v>
          </cell>
        </row>
        <row r="23">
          <cell r="F23">
            <v>43.096007769183814</v>
          </cell>
          <cell r="G23">
            <v>44.532541361489905</v>
          </cell>
          <cell r="H23">
            <v>43.096007769183785</v>
          </cell>
          <cell r="I23">
            <v>45.929261924322319</v>
          </cell>
          <cell r="J23">
            <v>37.946742991128744</v>
          </cell>
          <cell r="K23">
            <v>42.908679578985172</v>
          </cell>
          <cell r="L23">
            <v>37.005914652505723</v>
          </cell>
          <cell r="M23">
            <v>43.096007769183785</v>
          </cell>
          <cell r="N23">
            <v>44.532541361489905</v>
          </cell>
          <cell r="O23">
            <v>43.591713022866884</v>
          </cell>
          <cell r="P23">
            <v>41.659474176877694</v>
          </cell>
          <cell r="Q23">
            <v>50.177511393228116</v>
          </cell>
          <cell r="U23">
            <v>7.7034855032054779</v>
          </cell>
          <cell r="V23">
            <v>7.9602683533123209</v>
          </cell>
          <cell r="W23">
            <v>7.7034855032054725</v>
          </cell>
          <cell r="X23">
            <v>8.2099345559321897</v>
          </cell>
          <cell r="Y23">
            <v>6.7830455686675446</v>
          </cell>
          <cell r="Z23">
            <v>7.6700002670493621</v>
          </cell>
          <cell r="AA23">
            <v>6.6148708851468623</v>
          </cell>
          <cell r="AB23">
            <v>7.7034855032054725</v>
          </cell>
          <cell r="AC23">
            <v>7.9602683533123209</v>
          </cell>
          <cell r="AD23">
            <v>7.7920936697916385</v>
          </cell>
          <cell r="AE23">
            <v>7.4467026530986304</v>
          </cell>
          <cell r="AF23">
            <v>8.9693164544364272</v>
          </cell>
          <cell r="AJ23">
            <v>12.83445026336878</v>
          </cell>
          <cell r="AK23">
            <v>13.262265272147726</v>
          </cell>
          <cell r="AL23">
            <v>12.834450263368771</v>
          </cell>
          <cell r="AM23">
            <v>13.678223536576928</v>
          </cell>
          <cell r="AN23">
            <v>11.300944351618844</v>
          </cell>
          <cell r="AO23">
            <v>12.778661932512049</v>
          </cell>
          <cell r="AP23">
            <v>11.020755648686148</v>
          </cell>
          <cell r="AQ23">
            <v>12.834450263368771</v>
          </cell>
          <cell r="AR23">
            <v>13.262265272147726</v>
          </cell>
          <cell r="AS23">
            <v>12.98207656921503</v>
          </cell>
          <cell r="AT23">
            <v>12.406635254589821</v>
          </cell>
          <cell r="AU23">
            <v>14.943397489743933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2.6294542990253174</v>
          </cell>
          <cell r="H25">
            <v>5.0892663852103528</v>
          </cell>
          <cell r="I25">
            <v>3.681236018635472</v>
          </cell>
          <cell r="J25">
            <v>3.1553451588304178</v>
          </cell>
          <cell r="K25">
            <v>3.3080231503867203</v>
          </cell>
          <cell r="L25">
            <v>3.1553451588304178</v>
          </cell>
          <cell r="M25">
            <v>4.8363486096259063</v>
          </cell>
          <cell r="N25">
            <v>3.681236018635472</v>
          </cell>
          <cell r="O25">
            <v>3.9441814485379982</v>
          </cell>
          <cell r="P25">
            <v>4.1816805465144693</v>
          </cell>
          <cell r="Q25">
            <v>4.9959631681481067</v>
          </cell>
          <cell r="U25">
            <v>0</v>
          </cell>
          <cell r="V25">
            <v>0.39517795125273575</v>
          </cell>
          <cell r="W25">
            <v>0.76486055081175586</v>
          </cell>
          <cell r="X25">
            <v>0.55324913175383428</v>
          </cell>
          <cell r="Y25">
            <v>0.47421354150328848</v>
          </cell>
          <cell r="Z25">
            <v>0.49715935802764</v>
          </cell>
          <cell r="AA25">
            <v>0.47421354150328848</v>
          </cell>
          <cell r="AB25">
            <v>0.72684980142245892</v>
          </cell>
          <cell r="AC25">
            <v>0.55324913175383428</v>
          </cell>
          <cell r="AD25">
            <v>0.59276692687910704</v>
          </cell>
          <cell r="AE25">
            <v>0.62846041925032048</v>
          </cell>
          <cell r="AF25">
            <v>0.75083810738019852</v>
          </cell>
          <cell r="AJ25">
            <v>0</v>
          </cell>
          <cell r="AK25">
            <v>1.0975913203838163</v>
          </cell>
          <cell r="AL25">
            <v>2.1243702975170895</v>
          </cell>
          <cell r="AM25">
            <v>1.5366278485373546</v>
          </cell>
          <cell r="AN25">
            <v>1.3171095844605951</v>
          </cell>
          <cell r="AO25">
            <v>1.3808406933861046</v>
          </cell>
          <cell r="AP25">
            <v>1.3171095844605951</v>
          </cell>
          <cell r="AQ25">
            <v>2.0187969261315626</v>
          </cell>
          <cell r="AR25">
            <v>1.5366278485373546</v>
          </cell>
          <cell r="AS25">
            <v>1.6463869805757336</v>
          </cell>
          <cell r="AT25">
            <v>1.7455242611265263</v>
          </cell>
          <cell r="AU25">
            <v>2.0854235087292525</v>
          </cell>
          <cell r="AW25">
            <v>1.9773921578130285</v>
          </cell>
        </row>
        <row r="26">
          <cell r="F26">
            <v>4.32587642742876</v>
          </cell>
          <cell r="G26">
            <v>5.2589085980506969</v>
          </cell>
          <cell r="H26">
            <v>5.0892663852103528</v>
          </cell>
          <cell r="I26">
            <v>3.681236018635472</v>
          </cell>
          <cell r="J26">
            <v>3.1553451588304178</v>
          </cell>
          <cell r="K26">
            <v>3.3080231503867203</v>
          </cell>
          <cell r="L26">
            <v>3.1553451588304178</v>
          </cell>
          <cell r="M26">
            <v>4.7075714063195253</v>
          </cell>
          <cell r="N26">
            <v>3.681236018635472</v>
          </cell>
          <cell r="O26">
            <v>0</v>
          </cell>
          <cell r="P26">
            <v>2.0908402732572711</v>
          </cell>
          <cell r="Q26">
            <v>4.9959631681481067</v>
          </cell>
          <cell r="U26">
            <v>0.63828787025565625</v>
          </cell>
          <cell r="V26">
            <v>0.77595780305590289</v>
          </cell>
          <cell r="W26">
            <v>0.75092690618313196</v>
          </cell>
          <cell r="X26">
            <v>0.54317046213912967</v>
          </cell>
          <cell r="Y26">
            <v>0.46557468183354167</v>
          </cell>
          <cell r="Z26">
            <v>0.48810248901903447</v>
          </cell>
          <cell r="AA26">
            <v>0.46557468183354167</v>
          </cell>
          <cell r="AB26">
            <v>0.6946073882193895</v>
          </cell>
          <cell r="AC26">
            <v>0.54317046213912967</v>
          </cell>
          <cell r="AD26">
            <v>0</v>
          </cell>
          <cell r="AE26">
            <v>0.30850580395690602</v>
          </cell>
          <cell r="AF26">
            <v>0.73715991290309957</v>
          </cell>
          <cell r="AJ26">
            <v>1.8057147528895097</v>
          </cell>
          <cell r="AK26">
            <v>2.1951826407676593</v>
          </cell>
          <cell r="AL26">
            <v>2.1243702975170899</v>
          </cell>
          <cell r="AM26">
            <v>1.5366278485373548</v>
          </cell>
          <cell r="AN26">
            <v>1.3171095844605953</v>
          </cell>
          <cell r="AO26">
            <v>1.3808406933861046</v>
          </cell>
          <cell r="AP26">
            <v>1.3171095844605953</v>
          </cell>
          <cell r="AQ26">
            <v>1.9650425252032868</v>
          </cell>
          <cell r="AR26">
            <v>1.5366278485373548</v>
          </cell>
          <cell r="AS26">
            <v>0</v>
          </cell>
          <cell r="AT26">
            <v>0.87276213056327856</v>
          </cell>
          <cell r="AU26">
            <v>2.0854235087292534</v>
          </cell>
        </row>
        <row r="27">
          <cell r="F27">
            <v>4.32587642742876</v>
          </cell>
          <cell r="G27">
            <v>5.2589085980506969</v>
          </cell>
          <cell r="H27">
            <v>5.0892663852103528</v>
          </cell>
          <cell r="I27">
            <v>3.681236018635472</v>
          </cell>
          <cell r="J27">
            <v>3.1553451588304178</v>
          </cell>
          <cell r="K27">
            <v>3.3080231503867203</v>
          </cell>
          <cell r="L27">
            <v>3.1553451588304178</v>
          </cell>
          <cell r="M27">
            <v>4.7075714063195253</v>
          </cell>
          <cell r="N27">
            <v>3.681236018635472</v>
          </cell>
          <cell r="O27">
            <v>3.9441814485379982</v>
          </cell>
          <cell r="P27">
            <v>4.1816805465144693</v>
          </cell>
          <cell r="Q27">
            <v>4.9959631681481067</v>
          </cell>
          <cell r="U27">
            <v>0.5604438833364076</v>
          </cell>
          <cell r="V27">
            <v>0.68132393660505075</v>
          </cell>
          <cell r="W27">
            <v>0.65934574510166211</v>
          </cell>
          <cell r="X27">
            <v>0.47692675562353343</v>
          </cell>
          <cell r="Y27">
            <v>0.40879436196303037</v>
          </cell>
          <cell r="Z27">
            <v>0.42857473431607918</v>
          </cell>
          <cell r="AA27">
            <v>0.40879436196303037</v>
          </cell>
          <cell r="AB27">
            <v>0.6098948142190308</v>
          </cell>
          <cell r="AC27">
            <v>0.47692675562353343</v>
          </cell>
          <cell r="AD27">
            <v>0.51099295245378484</v>
          </cell>
          <cell r="AE27">
            <v>0.54176242055852764</v>
          </cell>
          <cell r="AF27">
            <v>0.64725773977479106</v>
          </cell>
          <cell r="AJ27">
            <v>1.8057147528895094</v>
          </cell>
          <cell r="AK27">
            <v>2.1951826407676589</v>
          </cell>
          <cell r="AL27">
            <v>2.1243702975170895</v>
          </cell>
          <cell r="AM27">
            <v>1.5366278485373546</v>
          </cell>
          <cell r="AN27">
            <v>1.3171095844605951</v>
          </cell>
          <cell r="AO27">
            <v>1.3808406933861046</v>
          </cell>
          <cell r="AP27">
            <v>1.3171095844605951</v>
          </cell>
          <cell r="AQ27">
            <v>1.9650425252032864</v>
          </cell>
          <cell r="AR27">
            <v>1.5366278485373546</v>
          </cell>
          <cell r="AS27">
            <v>1.6463869805757336</v>
          </cell>
          <cell r="AT27">
            <v>1.7455242611265263</v>
          </cell>
          <cell r="AU27">
            <v>2.0854235087292525</v>
          </cell>
        </row>
        <row r="28">
          <cell r="F28">
            <v>10.814691068572017</v>
          </cell>
          <cell r="G28">
            <v>13.147271495126713</v>
          </cell>
          <cell r="H28">
            <v>12.723165963025849</v>
          </cell>
          <cell r="I28">
            <v>9.2030900465887271</v>
          </cell>
          <cell r="J28">
            <v>7.8883628970760462</v>
          </cell>
          <cell r="K28">
            <v>8.270057875966824</v>
          </cell>
          <cell r="L28">
            <v>7.8883628970760462</v>
          </cell>
          <cell r="M28">
            <v>11.572164331772129</v>
          </cell>
          <cell r="N28">
            <v>9.2030900465887271</v>
          </cell>
          <cell r="O28">
            <v>9.6738648012465127</v>
          </cell>
          <cell r="P28">
            <v>10.454201366286284</v>
          </cell>
          <cell r="Q28">
            <v>12.489907920370435</v>
          </cell>
          <cell r="U28">
            <v>1.4054649124391545</v>
          </cell>
          <cell r="V28">
            <v>1.7086044033573966</v>
          </cell>
          <cell r="W28">
            <v>1.6534881322813515</v>
          </cell>
          <cell r="X28">
            <v>1.1960230823501814</v>
          </cell>
          <cell r="Y28">
            <v>1.0251626420144404</v>
          </cell>
          <cell r="Z28">
            <v>1.0747672859828812</v>
          </cell>
          <cell r="AA28">
            <v>1.0251626420144404</v>
          </cell>
          <cell r="AB28">
            <v>1.503905273498781</v>
          </cell>
          <cell r="AC28">
            <v>1.1960230823501814</v>
          </cell>
          <cell r="AD28">
            <v>1.2572044323432918</v>
          </cell>
          <cell r="AE28">
            <v>1.3586160820245161</v>
          </cell>
          <cell r="AF28">
            <v>1.6231741831895341</v>
          </cell>
          <cell r="AJ28">
            <v>4.5142868822238231</v>
          </cell>
          <cell r="AK28">
            <v>5.4879566019191346</v>
          </cell>
          <cell r="AL28">
            <v>5.3109257437927102</v>
          </cell>
          <cell r="AM28">
            <v>3.8415696213434058</v>
          </cell>
          <cell r="AN28">
            <v>3.2927739611514886</v>
          </cell>
          <cell r="AO28">
            <v>3.4521017334652706</v>
          </cell>
          <cell r="AP28">
            <v>3.2927739611514886</v>
          </cell>
          <cell r="AQ28">
            <v>4.8304726700579863</v>
          </cell>
          <cell r="AR28">
            <v>3.8415696213434058</v>
          </cell>
          <cell r="AS28">
            <v>4.038081226340589</v>
          </cell>
          <cell r="AT28">
            <v>4.3638106528163627</v>
          </cell>
          <cell r="AU28">
            <v>5.2135587718232017</v>
          </cell>
        </row>
        <row r="29">
          <cell r="F29">
            <v>10.527684456335468</v>
          </cell>
          <cell r="G29">
            <v>13.147271495126713</v>
          </cell>
          <cell r="H29">
            <v>12.723165963025849</v>
          </cell>
          <cell r="I29">
            <v>9.2030900465887271</v>
          </cell>
          <cell r="J29">
            <v>7.8883628970760462</v>
          </cell>
          <cell r="K29">
            <v>8.270057875966824</v>
          </cell>
          <cell r="L29">
            <v>7.8883628970760462</v>
          </cell>
          <cell r="M29">
            <v>11.450849366723315</v>
          </cell>
          <cell r="N29">
            <v>0</v>
          </cell>
          <cell r="O29">
            <v>4.76588591698345</v>
          </cell>
          <cell r="P29">
            <v>10.454201366286284</v>
          </cell>
          <cell r="Q29">
            <v>12.489907920370435</v>
          </cell>
          <cell r="U29">
            <v>1.550733144372312</v>
          </cell>
          <cell r="V29">
            <v>1.9365996150544813</v>
          </cell>
          <cell r="W29">
            <v>1.8741286597301428</v>
          </cell>
          <cell r="X29">
            <v>1.355619730538141</v>
          </cell>
          <cell r="Y29">
            <v>1.1619597690326915</v>
          </cell>
          <cell r="Z29">
            <v>1.2181836288245962</v>
          </cell>
          <cell r="AA29">
            <v>1.1619597690326915</v>
          </cell>
          <cell r="AB29">
            <v>1.686715793757136</v>
          </cell>
          <cell r="AC29">
            <v>0</v>
          </cell>
          <cell r="AD29">
            <v>0.70201736045725194</v>
          </cell>
          <cell r="AE29">
            <v>1.5399090487449407</v>
          </cell>
          <cell r="AF29">
            <v>1.8397696343017658</v>
          </cell>
          <cell r="AJ29">
            <v>4.394484090214708</v>
          </cell>
          <cell r="AK29">
            <v>5.4879566019191337</v>
          </cell>
          <cell r="AL29">
            <v>5.3109257437927093</v>
          </cell>
          <cell r="AM29">
            <v>3.8415696213434054</v>
          </cell>
          <cell r="AN29">
            <v>3.2927739611514881</v>
          </cell>
          <cell r="AO29">
            <v>3.4521017334652697</v>
          </cell>
          <cell r="AP29">
            <v>3.2927739611514881</v>
          </cell>
          <cell r="AQ29">
            <v>4.7798331694134593</v>
          </cell>
          <cell r="AR29">
            <v>0</v>
          </cell>
          <cell r="AS29">
            <v>1.989384268195693</v>
          </cell>
          <cell r="AT29">
            <v>4.3638106528163609</v>
          </cell>
          <cell r="AU29">
            <v>5.2135587718232008</v>
          </cell>
        </row>
        <row r="30">
          <cell r="F30">
            <v>11.054039961845888</v>
          </cell>
          <cell r="G30">
            <v>13.147271495126713</v>
          </cell>
          <cell r="H30">
            <v>12.723165963025849</v>
          </cell>
          <cell r="I30">
            <v>9.6422564938494943</v>
          </cell>
          <cell r="J30">
            <v>8.2170446844542155</v>
          </cell>
          <cell r="K30">
            <v>9.2242953231937719</v>
          </cell>
          <cell r="L30">
            <v>7.8883628970760462</v>
          </cell>
          <cell r="M30">
            <v>12.723165963025913</v>
          </cell>
          <cell r="N30">
            <v>10.846498983479581</v>
          </cell>
          <cell r="O30">
            <v>10.517817196101412</v>
          </cell>
          <cell r="P30">
            <v>10.454201366286284</v>
          </cell>
          <cell r="Q30">
            <v>12.818589707748608</v>
          </cell>
          <cell r="U30">
            <v>1.370680781900421</v>
          </cell>
          <cell r="V30">
            <v>1.6302376719278808</v>
          </cell>
          <cell r="W30">
            <v>1.5776493599302071</v>
          </cell>
          <cell r="X30">
            <v>1.1956222083411983</v>
          </cell>
          <cell r="Y30">
            <v>1.0188985449549279</v>
          </cell>
          <cell r="Z30">
            <v>1.1437957859494039</v>
          </cell>
          <cell r="AA30">
            <v>0.97814260315673063</v>
          </cell>
          <cell r="AB30">
            <v>1.5776493599302148</v>
          </cell>
          <cell r="AC30">
            <v>1.3449460793405068</v>
          </cell>
          <cell r="AD30">
            <v>1.3041901375423097</v>
          </cell>
          <cell r="AE30">
            <v>1.2963018907426589</v>
          </cell>
          <cell r="AF30">
            <v>1.5894817301296915</v>
          </cell>
          <cell r="AJ30">
            <v>4.4450896365427734</v>
          </cell>
          <cell r="AK30">
            <v>5.2868273023723606</v>
          </cell>
          <cell r="AL30">
            <v>5.1162844861667995</v>
          </cell>
          <cell r="AM30">
            <v>3.8773782763257216</v>
          </cell>
          <cell r="AN30">
            <v>3.3042670639827336</v>
          </cell>
          <cell r="AO30">
            <v>3.7093062524709426</v>
          </cell>
          <cell r="AP30">
            <v>3.1720963814234242</v>
          </cell>
          <cell r="AQ30">
            <v>5.1162844861668262</v>
          </cell>
          <cell r="AR30">
            <v>4.3616325244572156</v>
          </cell>
          <cell r="AS30">
            <v>4.2294618418979057</v>
          </cell>
          <cell r="AT30">
            <v>4.2038804194670725</v>
          </cell>
          <cell r="AU30">
            <v>5.1546566198130765</v>
          </cell>
        </row>
        <row r="31">
          <cell r="F31">
            <v>11.271685804472483</v>
          </cell>
          <cell r="G31">
            <v>13.702833723084204</v>
          </cell>
          <cell r="H31">
            <v>13.260806828791164</v>
          </cell>
          <cell r="I31">
            <v>0</v>
          </cell>
          <cell r="J31">
            <v>4.2821355384638053</v>
          </cell>
          <cell r="K31">
            <v>9.3594279863963585</v>
          </cell>
          <cell r="L31">
            <v>8.2217002338505054</v>
          </cell>
          <cell r="M31">
            <v>13.260806828791164</v>
          </cell>
          <cell r="N31">
            <v>10.773243550917819</v>
          </cell>
          <cell r="O31">
            <v>10.962266978467355</v>
          </cell>
          <cell r="P31">
            <v>10.895962944323401</v>
          </cell>
          <cell r="Q31">
            <v>13.181186051806861</v>
          </cell>
          <cell r="U31">
            <v>1.5159428594199527</v>
          </cell>
          <cell r="V31">
            <v>1.8429109271379829</v>
          </cell>
          <cell r="W31">
            <v>1.7834621875528864</v>
          </cell>
          <cell r="X31">
            <v>0</v>
          </cell>
          <cell r="Y31">
            <v>0.57590966473061855</v>
          </cell>
          <cell r="Z31">
            <v>1.2587609582413164</v>
          </cell>
          <cell r="AA31">
            <v>1.1057465562827873</v>
          </cell>
          <cell r="AB31">
            <v>1.7834621875528864</v>
          </cell>
          <cell r="AC31">
            <v>1.4489067489199985</v>
          </cell>
          <cell r="AD31">
            <v>1.474328741710385</v>
          </cell>
          <cell r="AE31">
            <v>1.4654114307726209</v>
          </cell>
          <cell r="AF31">
            <v>1.7727538915247156</v>
          </cell>
          <cell r="AJ31">
            <v>4.5326101523754811</v>
          </cell>
          <cell r="AK31">
            <v>5.5102319499466663</v>
          </cell>
          <cell r="AL31">
            <v>5.3324825322064511</v>
          </cell>
          <cell r="AM31">
            <v>0</v>
          </cell>
          <cell r="AN31">
            <v>1.72194748435833</v>
          </cell>
          <cell r="AO31">
            <v>3.7636462768270649</v>
          </cell>
          <cell r="AP31">
            <v>3.306139169967993</v>
          </cell>
          <cell r="AQ31">
            <v>5.3324825322064511</v>
          </cell>
          <cell r="AR31">
            <v>4.3321747908842712</v>
          </cell>
          <cell r="AS31">
            <v>4.4081855599573299</v>
          </cell>
          <cell r="AT31">
            <v>4.3815231472962983</v>
          </cell>
          <cell r="AU31">
            <v>5.3004651438264556</v>
          </cell>
        </row>
        <row r="32">
          <cell r="F32">
            <v>4.3682426812889421</v>
          </cell>
          <cell r="G32">
            <v>4.5138507706652415</v>
          </cell>
          <cell r="H32">
            <v>4.3682426812889421</v>
          </cell>
          <cell r="I32">
            <v>4.5138507706652415</v>
          </cell>
          <cell r="J32">
            <v>4.5138507706652415</v>
          </cell>
          <cell r="K32">
            <v>4.3682426812889421</v>
          </cell>
          <cell r="L32">
            <v>4.5138507706652415</v>
          </cell>
          <cell r="M32">
            <v>4.3682426812889421</v>
          </cell>
          <cell r="N32">
            <v>4.5138507706652415</v>
          </cell>
          <cell r="O32">
            <v>4.5138507706652415</v>
          </cell>
          <cell r="P32">
            <v>4.2226345919126445</v>
          </cell>
          <cell r="Q32">
            <v>4.5138507706652415</v>
          </cell>
          <cell r="AJ32">
            <v>1.1794255239480145</v>
          </cell>
          <cell r="AK32">
            <v>1.2187397080796152</v>
          </cell>
          <cell r="AL32">
            <v>1.1794255239480145</v>
          </cell>
          <cell r="AM32">
            <v>1.2187397080796152</v>
          </cell>
          <cell r="AN32">
            <v>1.2187397080796152</v>
          </cell>
          <cell r="AO32">
            <v>1.1794255239480145</v>
          </cell>
          <cell r="AP32">
            <v>1.2187397080796152</v>
          </cell>
          <cell r="AQ32">
            <v>1.1794255239480145</v>
          </cell>
          <cell r="AR32">
            <v>1.2187397080796152</v>
          </cell>
          <cell r="AS32">
            <v>1.2187397080796152</v>
          </cell>
          <cell r="AT32">
            <v>1.140111339816414</v>
          </cell>
          <cell r="AU32">
            <v>1.2187397080796152</v>
          </cell>
        </row>
        <row r="33">
          <cell r="F33">
            <v>0.68660999211903118</v>
          </cell>
          <cell r="G33">
            <v>0.91547998949207887</v>
          </cell>
          <cell r="H33">
            <v>0.88594837692775696</v>
          </cell>
          <cell r="I33">
            <v>0.59506199316984132</v>
          </cell>
          <cell r="J33">
            <v>0.54928799369524506</v>
          </cell>
          <cell r="K33">
            <v>0.55371773557988035</v>
          </cell>
          <cell r="L33">
            <v>0.54928799369524506</v>
          </cell>
          <cell r="M33">
            <v>0.66446128269583937</v>
          </cell>
          <cell r="N33">
            <v>0.59506199316984132</v>
          </cell>
          <cell r="O33">
            <v>0.59506199316984132</v>
          </cell>
          <cell r="P33">
            <v>0.70654383059990078</v>
          </cell>
          <cell r="Q33">
            <v>0.80104499080552483</v>
          </cell>
          <cell r="U33">
            <v>4.99425601750541E-2</v>
          </cell>
          <cell r="V33">
            <v>6.6590080233408191E-2</v>
          </cell>
          <cell r="W33">
            <v>6.4442013129100237E-2</v>
          </cell>
          <cell r="X33">
            <v>4.3283552151714595E-2</v>
          </cell>
          <cell r="Y33">
            <v>3.9954048140044746E-2</v>
          </cell>
          <cell r="Z33">
            <v>4.0276258205689988E-2</v>
          </cell>
          <cell r="AA33">
            <v>3.9954048140044746E-2</v>
          </cell>
          <cell r="AB33">
            <v>4.8331509846826756E-2</v>
          </cell>
          <cell r="AC33">
            <v>4.3283552151714595E-2</v>
          </cell>
          <cell r="AD33">
            <v>4.3283552151714595E-2</v>
          </cell>
          <cell r="AE33">
            <v>5.1392505470458504E-2</v>
          </cell>
          <cell r="AF33">
            <v>5.826632020422895E-2</v>
          </cell>
          <cell r="AJ33">
            <v>0.50268577549502913</v>
          </cell>
          <cell r="AK33">
            <v>0.67024770066006623</v>
          </cell>
          <cell r="AL33">
            <v>0.64862680709034171</v>
          </cell>
          <cell r="AM33">
            <v>0.4356610054290358</v>
          </cell>
          <cell r="AN33">
            <v>0.40214862039603805</v>
          </cell>
          <cell r="AO33">
            <v>0.40539175443148723</v>
          </cell>
          <cell r="AP33">
            <v>0.40214862039603805</v>
          </cell>
          <cell r="AQ33">
            <v>0.48647010531777218</v>
          </cell>
          <cell r="AR33">
            <v>0.4356610054290358</v>
          </cell>
          <cell r="AS33">
            <v>0.4356610054290358</v>
          </cell>
          <cell r="AT33">
            <v>0.51727987865455827</v>
          </cell>
          <cell r="AU33">
            <v>0.58646673807752558</v>
          </cell>
        </row>
        <row r="34">
          <cell r="F34">
            <v>1.2158688107676192</v>
          </cell>
          <cell r="G34">
            <v>1.2563977711265402</v>
          </cell>
          <cell r="H34">
            <v>1.2158688107676192</v>
          </cell>
          <cell r="I34">
            <v>1.2829413860094951</v>
          </cell>
          <cell r="J34">
            <v>1.0705924669458549</v>
          </cell>
          <cell r="K34">
            <v>1.1644940722844805</v>
          </cell>
          <cell r="L34">
            <v>0.99096162229698947</v>
          </cell>
          <cell r="M34">
            <v>1.2158688107676192</v>
          </cell>
          <cell r="N34">
            <v>1.2563977711265402</v>
          </cell>
          <cell r="O34">
            <v>1.1502233115947198</v>
          </cell>
          <cell r="P34">
            <v>1.150508726808515</v>
          </cell>
          <cell r="Q34">
            <v>1.4156594604242705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J34">
            <v>0.42648466963275744</v>
          </cell>
          <cell r="AK34">
            <v>0.44070082528718285</v>
          </cell>
          <cell r="AL34">
            <v>0.42648466963275744</v>
          </cell>
          <cell r="AM34">
            <v>0.45001140610310919</v>
          </cell>
          <cell r="AN34">
            <v>0.37552675957569814</v>
          </cell>
          <cell r="AO34">
            <v>0.40846419063419032</v>
          </cell>
          <cell r="AP34">
            <v>0.34759501712791885</v>
          </cell>
          <cell r="AQ34">
            <v>0.42648466963275744</v>
          </cell>
          <cell r="AR34">
            <v>0.44070082528718285</v>
          </cell>
          <cell r="AS34">
            <v>0.40345850202347722</v>
          </cell>
          <cell r="AT34">
            <v>0.40355861579569147</v>
          </cell>
          <cell r="AU34">
            <v>0.49656431018274122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6.9232689599325639</v>
          </cell>
          <cell r="G36">
            <v>7.1540445919303153</v>
          </cell>
          <cell r="H36">
            <v>6.9232689599325639</v>
          </cell>
          <cell r="I36">
            <v>7.1540445919303153</v>
          </cell>
          <cell r="J36">
            <v>7.1540445919303153</v>
          </cell>
          <cell r="K36">
            <v>6.9232689599325639</v>
          </cell>
          <cell r="L36">
            <v>7.1540445919303153</v>
          </cell>
          <cell r="M36">
            <v>6.9232689599325639</v>
          </cell>
          <cell r="N36">
            <v>7.1540445919303153</v>
          </cell>
          <cell r="O36">
            <v>7.1540445919303153</v>
          </cell>
          <cell r="P36">
            <v>6.6924933279348124</v>
          </cell>
          <cell r="Q36">
            <v>7.1540445919303153</v>
          </cell>
          <cell r="AJ36">
            <v>2.5269931703753858</v>
          </cell>
          <cell r="AK36">
            <v>2.6112262760545653</v>
          </cell>
          <cell r="AL36">
            <v>2.5269931703753858</v>
          </cell>
          <cell r="AM36">
            <v>2.6112262760545653</v>
          </cell>
          <cell r="AN36">
            <v>2.6112262760545653</v>
          </cell>
          <cell r="AO36">
            <v>2.5269931703753858</v>
          </cell>
          <cell r="AP36">
            <v>2.6112262760545653</v>
          </cell>
          <cell r="AQ36">
            <v>2.5269931703753858</v>
          </cell>
          <cell r="AR36">
            <v>2.6112262760545653</v>
          </cell>
          <cell r="AS36">
            <v>2.6112262760545653</v>
          </cell>
          <cell r="AT36">
            <v>2.4427600646962064</v>
          </cell>
          <cell r="AU36">
            <v>2.6112262760545653</v>
          </cell>
        </row>
        <row r="37">
          <cell r="F37">
            <v>6.9232689599325639</v>
          </cell>
          <cell r="G37">
            <v>7.1540445919303153</v>
          </cell>
          <cell r="H37">
            <v>6.9232689599325639</v>
          </cell>
          <cell r="I37">
            <v>7.1540445919303153</v>
          </cell>
          <cell r="J37">
            <v>7.1540445919303153</v>
          </cell>
          <cell r="K37">
            <v>6.9232689599325639</v>
          </cell>
          <cell r="L37">
            <v>7.1540445919303153</v>
          </cell>
          <cell r="M37">
            <v>6.9232689599325639</v>
          </cell>
          <cell r="N37">
            <v>7.1540445919303153</v>
          </cell>
          <cell r="O37">
            <v>7.1540445919303153</v>
          </cell>
          <cell r="P37">
            <v>6.6924933279348124</v>
          </cell>
          <cell r="Q37">
            <v>7.1540445919303153</v>
          </cell>
          <cell r="AJ37">
            <v>2.5269931703753858</v>
          </cell>
          <cell r="AK37">
            <v>2.6112262760545653</v>
          </cell>
          <cell r="AL37">
            <v>2.5269931703753858</v>
          </cell>
          <cell r="AM37">
            <v>2.6112262760545653</v>
          </cell>
          <cell r="AN37">
            <v>2.6112262760545653</v>
          </cell>
          <cell r="AO37">
            <v>2.5269931703753858</v>
          </cell>
          <cell r="AP37">
            <v>2.6112262760545653</v>
          </cell>
          <cell r="AQ37">
            <v>2.5269931703753858</v>
          </cell>
          <cell r="AR37">
            <v>2.6112262760545653</v>
          </cell>
          <cell r="AS37">
            <v>2.6112262760545653</v>
          </cell>
          <cell r="AT37">
            <v>2.4427600646962064</v>
          </cell>
          <cell r="AU37">
            <v>2.6112262760545653</v>
          </cell>
        </row>
        <row r="38">
          <cell r="F38">
            <v>6.9232689599325639</v>
          </cell>
          <cell r="G38">
            <v>7.1540445919303153</v>
          </cell>
          <cell r="H38">
            <v>6.9232689599325639</v>
          </cell>
          <cell r="I38">
            <v>7.1540445919303153</v>
          </cell>
          <cell r="J38">
            <v>7.1540445919303153</v>
          </cell>
          <cell r="K38">
            <v>6.9232689599325639</v>
          </cell>
          <cell r="L38">
            <v>7.1540445919303153</v>
          </cell>
          <cell r="M38">
            <v>6.9232689599325639</v>
          </cell>
          <cell r="N38">
            <v>7.1540445919303153</v>
          </cell>
          <cell r="O38">
            <v>7.1540445919303153</v>
          </cell>
          <cell r="P38">
            <v>6.6924933279348124</v>
          </cell>
          <cell r="Q38">
            <v>7.1540445919303153</v>
          </cell>
          <cell r="AJ38">
            <v>2.5269931703753858</v>
          </cell>
          <cell r="AK38">
            <v>2.6112262760545653</v>
          </cell>
          <cell r="AL38">
            <v>2.5269931703753858</v>
          </cell>
          <cell r="AM38">
            <v>2.6112262760545653</v>
          </cell>
          <cell r="AN38">
            <v>2.6112262760545653</v>
          </cell>
          <cell r="AO38">
            <v>2.5269931703753858</v>
          </cell>
          <cell r="AP38">
            <v>2.6112262760545653</v>
          </cell>
          <cell r="AQ38">
            <v>2.5269931703753858</v>
          </cell>
          <cell r="AR38">
            <v>2.6112262760545653</v>
          </cell>
          <cell r="AS38">
            <v>2.6112262760545653</v>
          </cell>
          <cell r="AT38">
            <v>2.4427600646962064</v>
          </cell>
          <cell r="AU38">
            <v>2.6112262760545653</v>
          </cell>
        </row>
        <row r="39">
          <cell r="F39">
            <v>6.9232689599325639</v>
          </cell>
          <cell r="G39">
            <v>7.1540445919303153</v>
          </cell>
          <cell r="H39">
            <v>6.9232689599325639</v>
          </cell>
          <cell r="I39">
            <v>7.1540445919303153</v>
          </cell>
          <cell r="J39">
            <v>7.1540445919303153</v>
          </cell>
          <cell r="K39">
            <v>6.9232689599325639</v>
          </cell>
          <cell r="L39">
            <v>7.1540445919303153</v>
          </cell>
          <cell r="M39">
            <v>6.9232689599325639</v>
          </cell>
          <cell r="N39">
            <v>7.1540445919303153</v>
          </cell>
          <cell r="O39">
            <v>7.1540445919303153</v>
          </cell>
          <cell r="P39">
            <v>6.6924933279348124</v>
          </cell>
          <cell r="Q39">
            <v>7.1540445919303153</v>
          </cell>
          <cell r="AJ39">
            <v>2.5269931703753858</v>
          </cell>
          <cell r="AK39">
            <v>2.6112262760545653</v>
          </cell>
          <cell r="AL39">
            <v>2.5269931703753858</v>
          </cell>
          <cell r="AM39">
            <v>2.6112262760545653</v>
          </cell>
          <cell r="AN39">
            <v>2.6112262760545653</v>
          </cell>
          <cell r="AO39">
            <v>2.5269931703753858</v>
          </cell>
          <cell r="AP39">
            <v>2.6112262760545653</v>
          </cell>
          <cell r="AQ39">
            <v>2.5269931703753858</v>
          </cell>
          <cell r="AR39">
            <v>2.6112262760545653</v>
          </cell>
          <cell r="AS39">
            <v>2.6112262760545653</v>
          </cell>
          <cell r="AT39">
            <v>2.4427600646962064</v>
          </cell>
          <cell r="AU39">
            <v>2.6112262760545653</v>
          </cell>
        </row>
        <row r="40">
          <cell r="F40">
            <v>64.745175991262016</v>
          </cell>
          <cell r="G40">
            <v>83.629185655380098</v>
          </cell>
          <cell r="H40">
            <v>80.931469989077527</v>
          </cell>
          <cell r="I40">
            <v>54.747088708958273</v>
          </cell>
          <cell r="J40">
            <v>50.177511393228073</v>
          </cell>
          <cell r="K40">
            <v>52.605455492900404</v>
          </cell>
          <cell r="L40">
            <v>50.177511393228073</v>
          </cell>
          <cell r="M40">
            <v>0</v>
          </cell>
          <cell r="N40">
            <v>28.224850158690785</v>
          </cell>
          <cell r="O40">
            <v>56.44970031738157</v>
          </cell>
          <cell r="P40">
            <v>66.498691174358726</v>
          </cell>
          <cell r="Q40">
            <v>74.096324926988643</v>
          </cell>
          <cell r="U40">
            <v>10.826685127215816</v>
          </cell>
          <cell r="V40">
            <v>13.984468289320427</v>
          </cell>
          <cell r="W40">
            <v>13.53335640901977</v>
          </cell>
          <cell r="X40">
            <v>9.1548054663352527</v>
          </cell>
          <cell r="Y40">
            <v>8.390680973592259</v>
          </cell>
          <cell r="Z40">
            <v>8.7966816658628524</v>
          </cell>
          <cell r="AA40">
            <v>8.390680973592259</v>
          </cell>
          <cell r="AB40">
            <v>0</v>
          </cell>
          <cell r="AC40">
            <v>4.7197580476456444</v>
          </cell>
          <cell r="AD40">
            <v>9.4395160952912889</v>
          </cell>
          <cell r="AE40">
            <v>11.119907849411248</v>
          </cell>
          <cell r="AF40">
            <v>12.390383789776793</v>
          </cell>
          <cell r="AJ40">
            <v>28.79476238363933</v>
          </cell>
          <cell r="AK40">
            <v>37.193234745534134</v>
          </cell>
          <cell r="AL40">
            <v>35.993452979549168</v>
          </cell>
          <cell r="AM40">
            <v>24.348214155495253</v>
          </cell>
          <cell r="AN40">
            <v>22.315940847320487</v>
          </cell>
          <cell r="AO40">
            <v>23.395744436706966</v>
          </cell>
          <cell r="AP40">
            <v>22.315940847320487</v>
          </cell>
          <cell r="AQ40">
            <v>0</v>
          </cell>
          <cell r="AR40">
            <v>12.552716726617771</v>
          </cell>
          <cell r="AS40">
            <v>25.105433453235541</v>
          </cell>
          <cell r="AT40">
            <v>29.574620531529575</v>
          </cell>
          <cell r="AU40">
            <v>32.953591323336859</v>
          </cell>
        </row>
        <row r="41">
          <cell r="F41">
            <v>30.994947963689896</v>
          </cell>
          <cell r="G41">
            <v>39.820465836278615</v>
          </cell>
          <cell r="H41">
            <v>0</v>
          </cell>
          <cell r="I41">
            <v>13.937163042697492</v>
          </cell>
          <cell r="J41">
            <v>23.892279501767163</v>
          </cell>
          <cell r="K41">
            <v>25.048357542175246</v>
          </cell>
          <cell r="L41">
            <v>23.892279501767163</v>
          </cell>
          <cell r="M41">
            <v>33.569292030840884</v>
          </cell>
          <cell r="N41">
            <v>27.585344343396372</v>
          </cell>
          <cell r="O41">
            <v>27.422649545165598</v>
          </cell>
          <cell r="P41">
            <v>31.663692995621531</v>
          </cell>
          <cell r="Q41">
            <v>36.501472569622194</v>
          </cell>
          <cell r="U41">
            <v>10.92042633753379</v>
          </cell>
          <cell r="V41">
            <v>14.029914307350641</v>
          </cell>
          <cell r="W41">
            <v>0</v>
          </cell>
          <cell r="X41">
            <v>4.9104700075727159</v>
          </cell>
          <cell r="Y41">
            <v>8.4179485844103823</v>
          </cell>
          <cell r="Z41">
            <v>8.8252686772044306</v>
          </cell>
          <cell r="AA41">
            <v>8.4179485844103823</v>
          </cell>
          <cell r="AB41">
            <v>11.827443016049378</v>
          </cell>
          <cell r="AC41">
            <v>9.7191232987539404</v>
          </cell>
          <cell r="AD41">
            <v>9.6618011647835775</v>
          </cell>
          <cell r="AE41">
            <v>11.156044763748167</v>
          </cell>
          <cell r="AF41">
            <v>12.860535945246198</v>
          </cell>
          <cell r="AJ41">
            <v>13.513737584904067</v>
          </cell>
          <cell r="AK41">
            <v>17.361646370579805</v>
          </cell>
          <cell r="AL41">
            <v>0</v>
          </cell>
          <cell r="AM41">
            <v>6.0765762297029218</v>
          </cell>
          <cell r="AN41">
            <v>10.416987822347881</v>
          </cell>
          <cell r="AO41">
            <v>10.921035620203423</v>
          </cell>
          <cell r="AP41">
            <v>10.416987822347881</v>
          </cell>
          <cell r="AQ41">
            <v>14.636146637420879</v>
          </cell>
          <cell r="AR41">
            <v>12.027156976762267</v>
          </cell>
          <cell r="AS41">
            <v>11.956222358246524</v>
          </cell>
          <cell r="AT41">
            <v>13.805309130154583</v>
          </cell>
          <cell r="AU41">
            <v>15.914571702017634</v>
          </cell>
          <cell r="AW41">
            <v>2.7477970577381257</v>
          </cell>
        </row>
        <row r="42">
          <cell r="F42">
            <v>9.4152329200468188</v>
          </cell>
          <cell r="G42">
            <v>9.3500191855356753</v>
          </cell>
          <cell r="H42">
            <v>9.0484056634216188</v>
          </cell>
          <cell r="I42">
            <v>10.108128849227757</v>
          </cell>
          <cell r="J42">
            <v>9.5395466014586958</v>
          </cell>
          <cell r="K42">
            <v>9.7820601766720223</v>
          </cell>
          <cell r="L42">
            <v>8.9709643536896344</v>
          </cell>
          <cell r="M42">
            <v>9.0484056634216188</v>
          </cell>
          <cell r="N42">
            <v>9.5395466014586958</v>
          </cell>
          <cell r="O42">
            <v>9.5395466014586958</v>
          </cell>
          <cell r="P42">
            <v>9.4559915041162874</v>
          </cell>
          <cell r="Q42">
            <v>10.108128849227757</v>
          </cell>
          <cell r="U42">
            <v>1.2779950083194671</v>
          </cell>
          <cell r="V42">
            <v>1.26914309484193</v>
          </cell>
          <cell r="W42">
            <v>1.2282029950083191</v>
          </cell>
          <cell r="X42">
            <v>1.3720465890183029</v>
          </cell>
          <cell r="Y42">
            <v>1.2948689683860233</v>
          </cell>
          <cell r="Z42">
            <v>1.3277870216306156</v>
          </cell>
          <cell r="AA42">
            <v>1.2176913477537439</v>
          </cell>
          <cell r="AB42">
            <v>1.2282029950083191</v>
          </cell>
          <cell r="AC42">
            <v>1.2948689683860233</v>
          </cell>
          <cell r="AD42">
            <v>1.2948689683860233</v>
          </cell>
          <cell r="AE42">
            <v>1.2835274542429282</v>
          </cell>
          <cell r="AF42">
            <v>1.3720465890183029</v>
          </cell>
          <cell r="AJ42">
            <v>1.7695840263601279</v>
          </cell>
          <cell r="AK42">
            <v>1.7573271673030888</v>
          </cell>
          <cell r="AL42">
            <v>1.7006391941642789</v>
          </cell>
          <cell r="AM42">
            <v>1.8998131538411773</v>
          </cell>
          <cell r="AN42">
            <v>1.7929486639376109</v>
          </cell>
          <cell r="AO42">
            <v>1.8385288585559778</v>
          </cell>
          <cell r="AP42">
            <v>1.6860841740340446</v>
          </cell>
          <cell r="AQ42">
            <v>1.7006391941642789</v>
          </cell>
          <cell r="AR42">
            <v>1.7929486639376109</v>
          </cell>
          <cell r="AS42">
            <v>1.7929486639376109</v>
          </cell>
          <cell r="AT42">
            <v>1.7772445632707783</v>
          </cell>
          <cell r="AU42">
            <v>1.8998131538411773</v>
          </cell>
        </row>
        <row r="43">
          <cell r="F43">
            <v>9.4152329200468188</v>
          </cell>
          <cell r="G43">
            <v>9.3500191855356753</v>
          </cell>
          <cell r="H43">
            <v>9.0484056634216188</v>
          </cell>
          <cell r="I43">
            <v>10.108128849227757</v>
          </cell>
          <cell r="J43">
            <v>9.5395466014586958</v>
          </cell>
          <cell r="K43">
            <v>9.7820601766720223</v>
          </cell>
          <cell r="L43">
            <v>8.9709643536896344</v>
          </cell>
          <cell r="M43">
            <v>9.0484056634216188</v>
          </cell>
          <cell r="N43">
            <v>9.5395466014586958</v>
          </cell>
          <cell r="O43">
            <v>9.5395466014586958</v>
          </cell>
          <cell r="P43">
            <v>9.4559915041162874</v>
          </cell>
          <cell r="Q43">
            <v>10.108128849227757</v>
          </cell>
          <cell r="U43">
            <v>1.2779950083194671</v>
          </cell>
          <cell r="V43">
            <v>1.26914309484193</v>
          </cell>
          <cell r="W43">
            <v>1.2282029950083191</v>
          </cell>
          <cell r="X43">
            <v>1.3720465890183029</v>
          </cell>
          <cell r="Y43">
            <v>1.2948689683860233</v>
          </cell>
          <cell r="Z43">
            <v>1.3277870216306156</v>
          </cell>
          <cell r="AA43">
            <v>1.2176913477537439</v>
          </cell>
          <cell r="AB43">
            <v>1.2282029950083191</v>
          </cell>
          <cell r="AC43">
            <v>1.2948689683860233</v>
          </cell>
          <cell r="AD43">
            <v>1.2948689683860233</v>
          </cell>
          <cell r="AE43">
            <v>1.2835274542429282</v>
          </cell>
          <cell r="AF43">
            <v>1.3720465890183029</v>
          </cell>
          <cell r="AJ43">
            <v>1.7695840263601279</v>
          </cell>
          <cell r="AK43">
            <v>1.7573271673030888</v>
          </cell>
          <cell r="AL43">
            <v>1.7006391941642789</v>
          </cell>
          <cell r="AM43">
            <v>1.8998131538411773</v>
          </cell>
          <cell r="AN43">
            <v>1.7929486639376109</v>
          </cell>
          <cell r="AO43">
            <v>1.8385288585559778</v>
          </cell>
          <cell r="AP43">
            <v>1.6860841740340446</v>
          </cell>
          <cell r="AQ43">
            <v>1.7006391941642789</v>
          </cell>
          <cell r="AR43">
            <v>1.7929486639376109</v>
          </cell>
          <cell r="AS43">
            <v>1.7929486639376109</v>
          </cell>
          <cell r="AT43">
            <v>1.7772445632707783</v>
          </cell>
          <cell r="AU43">
            <v>1.8998131538411773</v>
          </cell>
        </row>
        <row r="44">
          <cell r="F44">
            <v>9.4152329200468188</v>
          </cell>
          <cell r="G44">
            <v>9.3500191855356753</v>
          </cell>
          <cell r="H44">
            <v>9.0484056634216188</v>
          </cell>
          <cell r="I44">
            <v>10.108128849227757</v>
          </cell>
          <cell r="J44">
            <v>9.5395466014586958</v>
          </cell>
          <cell r="K44">
            <v>9.7820601766720223</v>
          </cell>
          <cell r="L44">
            <v>8.9709643536896344</v>
          </cell>
          <cell r="M44">
            <v>9.0484056634216188</v>
          </cell>
          <cell r="N44">
            <v>0</v>
          </cell>
          <cell r="O44">
            <v>4.7697733007293479</v>
          </cell>
          <cell r="P44">
            <v>9.4559915041162874</v>
          </cell>
          <cell r="Q44">
            <v>10.108128849227757</v>
          </cell>
          <cell r="U44">
            <v>1.4616079923882013</v>
          </cell>
          <cell r="V44">
            <v>1.4514843006660327</v>
          </cell>
          <cell r="W44">
            <v>1.4046622264509989</v>
          </cell>
          <cell r="X44">
            <v>1.5691722169362514</v>
          </cell>
          <cell r="Y44">
            <v>1.4809062797335872</v>
          </cell>
          <cell r="Z44">
            <v>1.5185537583254045</v>
          </cell>
          <cell r="AA44">
            <v>1.3926403425309233</v>
          </cell>
          <cell r="AB44">
            <v>1.4046622264509989</v>
          </cell>
          <cell r="AC44">
            <v>0</v>
          </cell>
          <cell r="AD44">
            <v>0.74045313986679362</v>
          </cell>
          <cell r="AE44">
            <v>1.4679352997145574</v>
          </cell>
          <cell r="AF44">
            <v>1.5691722169362514</v>
          </cell>
          <cell r="AJ44">
            <v>1.7695840263601277</v>
          </cell>
          <cell r="AK44">
            <v>1.7573271673030884</v>
          </cell>
          <cell r="AL44">
            <v>1.7006391941642787</v>
          </cell>
          <cell r="AM44">
            <v>1.8998131538411767</v>
          </cell>
          <cell r="AN44">
            <v>1.7929486639376104</v>
          </cell>
          <cell r="AO44">
            <v>1.8385288585559771</v>
          </cell>
          <cell r="AP44">
            <v>1.686084174034044</v>
          </cell>
          <cell r="AQ44">
            <v>1.7006391941642787</v>
          </cell>
          <cell r="AR44">
            <v>0</v>
          </cell>
          <cell r="AS44">
            <v>0.89647433196880522</v>
          </cell>
          <cell r="AT44">
            <v>1.7772445632707778</v>
          </cell>
          <cell r="AU44">
            <v>1.8998131538411767</v>
          </cell>
        </row>
        <row r="45">
          <cell r="F45">
            <v>9.4152329200468188</v>
          </cell>
          <cell r="G45">
            <v>9.3500191855356753</v>
          </cell>
          <cell r="H45">
            <v>9.0484056634216188</v>
          </cell>
          <cell r="I45">
            <v>10.108128849227757</v>
          </cell>
          <cell r="J45">
            <v>9.4135036385687343</v>
          </cell>
          <cell r="K45">
            <v>9.7820601766720223</v>
          </cell>
          <cell r="L45">
            <v>8.9709643536896344</v>
          </cell>
          <cell r="M45">
            <v>0</v>
          </cell>
          <cell r="N45">
            <v>4.7697733007293479</v>
          </cell>
          <cell r="O45">
            <v>9.5395466014586958</v>
          </cell>
          <cell r="P45">
            <v>9.4559915041162874</v>
          </cell>
          <cell r="Q45">
            <v>10.108128849227757</v>
          </cell>
          <cell r="U45">
            <v>1.4562696495564666</v>
          </cell>
          <cell r="V45">
            <v>1.4461829333690632</v>
          </cell>
          <cell r="W45">
            <v>1.3995318710023188</v>
          </cell>
          <cell r="X45">
            <v>1.5634410090476358</v>
          </cell>
          <cell r="Y45">
            <v>1.456002178729833</v>
          </cell>
          <cell r="Z45">
            <v>1.5130074281106152</v>
          </cell>
          <cell r="AA45">
            <v>1.3875538955297768</v>
          </cell>
          <cell r="AB45">
            <v>0</v>
          </cell>
          <cell r="AC45">
            <v>0.73774872614435316</v>
          </cell>
          <cell r="AD45">
            <v>1.4754974522887063</v>
          </cell>
          <cell r="AE45">
            <v>1.4625738471735947</v>
          </cell>
          <cell r="AF45">
            <v>1.5634410090476358</v>
          </cell>
          <cell r="AJ45">
            <v>1.7695840263601277</v>
          </cell>
          <cell r="AK45">
            <v>1.7573271673030884</v>
          </cell>
          <cell r="AL45">
            <v>1.7006391941642787</v>
          </cell>
          <cell r="AM45">
            <v>1.8998131538411769</v>
          </cell>
          <cell r="AN45">
            <v>1.7692590095595147</v>
          </cell>
          <cell r="AO45">
            <v>1.8385288585559774</v>
          </cell>
          <cell r="AP45">
            <v>1.6860841740340444</v>
          </cell>
          <cell r="AQ45">
            <v>0</v>
          </cell>
          <cell r="AR45">
            <v>0.89647433196880522</v>
          </cell>
          <cell r="AS45">
            <v>1.7929486639376104</v>
          </cell>
          <cell r="AT45">
            <v>1.7772445632707778</v>
          </cell>
          <cell r="AU45">
            <v>1.8998131538411769</v>
          </cell>
        </row>
        <row r="46">
          <cell r="F46">
            <v>12.791647592855206</v>
          </cell>
          <cell r="G46">
            <v>16.522544807437981</v>
          </cell>
          <cell r="H46">
            <v>15.989559491069016</v>
          </cell>
          <cell r="I46">
            <v>11.383141622073076</v>
          </cell>
          <cell r="J46">
            <v>9.913526884462776</v>
          </cell>
          <cell r="K46">
            <v>10.39321366919485</v>
          </cell>
          <cell r="L46">
            <v>9.913526884462776</v>
          </cell>
          <cell r="M46">
            <v>13.451948304351191</v>
          </cell>
          <cell r="N46">
            <v>11.152717745020627</v>
          </cell>
          <cell r="O46">
            <v>11.152717745020627</v>
          </cell>
          <cell r="P46">
            <v>13.138088048495035</v>
          </cell>
          <cell r="Q46">
            <v>14.870290326694182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J46">
            <v>5.6749781518743427</v>
          </cell>
          <cell r="AK46">
            <v>7.3301801128376951</v>
          </cell>
          <cell r="AL46">
            <v>7.0937226898429318</v>
          </cell>
          <cell r="AM46">
            <v>5.0500984752767959</v>
          </cell>
          <cell r="AN46">
            <v>4.3981080677026112</v>
          </cell>
          <cell r="AO46">
            <v>4.610919748397901</v>
          </cell>
          <cell r="AP46">
            <v>4.3981080677026112</v>
          </cell>
          <cell r="AQ46">
            <v>5.9679186885961162</v>
          </cell>
          <cell r="AR46">
            <v>4.9478715761654399</v>
          </cell>
          <cell r="AS46">
            <v>4.9478715761654399</v>
          </cell>
          <cell r="AT46">
            <v>5.8286754768209388</v>
          </cell>
          <cell r="AU46">
            <v>6.5971621015539252</v>
          </cell>
        </row>
        <row r="47">
          <cell r="F47">
            <v>20.150100088848994</v>
          </cell>
          <cell r="G47">
            <v>0</v>
          </cell>
          <cell r="H47">
            <v>11.324023190427525</v>
          </cell>
          <cell r="I47">
            <v>19.273043390766894</v>
          </cell>
          <cell r="J47">
            <v>15.659347754998102</v>
          </cell>
          <cell r="K47">
            <v>17.284415078510904</v>
          </cell>
          <cell r="L47">
            <v>15.914582906793612</v>
          </cell>
          <cell r="M47">
            <v>23.147635639256322</v>
          </cell>
          <cell r="N47">
            <v>20.305527858129366</v>
          </cell>
          <cell r="O47">
            <v>19.789285624448119</v>
          </cell>
          <cell r="P47">
            <v>19.478430085887354</v>
          </cell>
          <cell r="Q47">
            <v>23.402981260216883</v>
          </cell>
          <cell r="U47">
            <v>3.6632784027342793</v>
          </cell>
          <cell r="V47">
            <v>0</v>
          </cell>
          <cell r="W47">
            <v>2.0587019122804202</v>
          </cell>
          <cell r="X47">
            <v>3.5038299212929589</v>
          </cell>
          <cell r="Y47">
            <v>2.846861811050529</v>
          </cell>
          <cell r="Z47">
            <v>3.1422982606445466</v>
          </cell>
          <cell r="AA47">
            <v>2.8932634375967181</v>
          </cell>
          <cell r="AB47">
            <v>4.2082289089261629</v>
          </cell>
          <cell r="AC47">
            <v>3.6915350956479314</v>
          </cell>
          <cell r="AD47">
            <v>3.5976825084704429</v>
          </cell>
          <cell r="AE47">
            <v>3.5411691226431357</v>
          </cell>
          <cell r="AF47">
            <v>4.2546506187128674</v>
          </cell>
          <cell r="AJ47">
            <v>7.7505325637652707</v>
          </cell>
          <cell r="AK47">
            <v>0</v>
          </cell>
          <cell r="AL47">
            <v>4.355671192859818</v>
          </cell>
          <cell r="AM47">
            <v>7.413181559612414</v>
          </cell>
          <cell r="AN47">
            <v>6.023210017185086</v>
          </cell>
          <cell r="AO47">
            <v>6.6482757564945869</v>
          </cell>
          <cell r="AP47">
            <v>6.1213836414691363</v>
          </cell>
          <cell r="AQ47">
            <v>8.9035043501105324</v>
          </cell>
          <cell r="AR47">
            <v>7.810316286020206</v>
          </cell>
          <cell r="AS47">
            <v>7.6117489228163056</v>
          </cell>
          <cell r="AT47">
            <v>7.4921814783064251</v>
          </cell>
          <cell r="AU47">
            <v>9.001720465243622</v>
          </cell>
        </row>
        <row r="48">
          <cell r="F48">
            <v>10.769801807297089</v>
          </cell>
          <cell r="G48">
            <v>11.128795200873661</v>
          </cell>
          <cell r="H48">
            <v>10.769801807297089</v>
          </cell>
          <cell r="I48">
            <v>11.128795200873661</v>
          </cell>
          <cell r="J48">
            <v>11.128795200873661</v>
          </cell>
          <cell r="K48">
            <v>10.769801807297089</v>
          </cell>
          <cell r="L48">
            <v>11.128795200873661</v>
          </cell>
          <cell r="M48">
            <v>10.769801807297089</v>
          </cell>
          <cell r="N48">
            <v>11.128795200873661</v>
          </cell>
          <cell r="O48">
            <v>11.128795200873661</v>
          </cell>
          <cell r="P48">
            <v>10.41080841372052</v>
          </cell>
          <cell r="Q48">
            <v>11.128795200873661</v>
          </cell>
          <cell r="AJ48">
            <v>4.7387127952107191</v>
          </cell>
          <cell r="AK48">
            <v>4.8966698883844106</v>
          </cell>
          <cell r="AL48">
            <v>4.7387127952107191</v>
          </cell>
          <cell r="AM48">
            <v>4.8966698883844106</v>
          </cell>
          <cell r="AN48">
            <v>4.8966698883844106</v>
          </cell>
          <cell r="AO48">
            <v>4.7387127952107191</v>
          </cell>
          <cell r="AP48">
            <v>4.8966698883844106</v>
          </cell>
          <cell r="AQ48">
            <v>4.7387127952107191</v>
          </cell>
          <cell r="AR48">
            <v>4.8966698883844106</v>
          </cell>
          <cell r="AS48">
            <v>4.8966698883844106</v>
          </cell>
          <cell r="AT48">
            <v>4.5807557020370293</v>
          </cell>
          <cell r="AU48">
            <v>4.8966698883844106</v>
          </cell>
        </row>
        <row r="49">
          <cell r="F49">
            <v>11.222336980871802</v>
          </cell>
          <cell r="G49">
            <v>14.495518600292698</v>
          </cell>
          <cell r="H49">
            <v>0</v>
          </cell>
          <cell r="I49">
            <v>4.7110435450951353</v>
          </cell>
          <cell r="J49">
            <v>8.6973111601756266</v>
          </cell>
          <cell r="K49">
            <v>9.1181487969583266</v>
          </cell>
          <cell r="L49">
            <v>8.6973111601756266</v>
          </cell>
          <cell r="M49">
            <v>10.871638950219555</v>
          </cell>
          <cell r="N49">
            <v>9.4407512386849852</v>
          </cell>
          <cell r="O49">
            <v>9.6867498607725082</v>
          </cell>
          <cell r="P49">
            <v>11.526275274103753</v>
          </cell>
          <cell r="Q49">
            <v>12.683578775256159</v>
          </cell>
          <cell r="U49">
            <v>3.0824474119241763</v>
          </cell>
          <cell r="V49">
            <v>3.9814945737353815</v>
          </cell>
          <cell r="W49">
            <v>0</v>
          </cell>
          <cell r="X49">
            <v>1.2939857364640015</v>
          </cell>
          <cell r="Y49">
            <v>2.3888967442412312</v>
          </cell>
          <cell r="Z49">
            <v>2.5044885221883897</v>
          </cell>
          <cell r="AA49">
            <v>2.3888967442412312</v>
          </cell>
          <cell r="AB49">
            <v>2.9861209303015448</v>
          </cell>
          <cell r="AC49">
            <v>2.5930979680886241</v>
          </cell>
          <cell r="AD49">
            <v>2.660666587466483</v>
          </cell>
          <cell r="AE49">
            <v>3.1659303626637909</v>
          </cell>
          <cell r="AF49">
            <v>3.483807752018472</v>
          </cell>
          <cell r="AJ49">
            <v>6.6955710396650172</v>
          </cell>
          <cell r="AK49">
            <v>8.6484459262339541</v>
          </cell>
          <cell r="AL49">
            <v>0</v>
          </cell>
          <cell r="AM49">
            <v>2.8107449260260404</v>
          </cell>
          <cell r="AN49">
            <v>5.1890675557403778</v>
          </cell>
          <cell r="AO49">
            <v>5.4401514697278204</v>
          </cell>
          <cell r="AP49">
            <v>5.1890675557403778</v>
          </cell>
          <cell r="AQ49">
            <v>6.4863344446754851</v>
          </cell>
          <cell r="AR49">
            <v>5.6326254232218123</v>
          </cell>
          <cell r="AS49">
            <v>5.7793953208513491</v>
          </cell>
          <cell r="AT49">
            <v>6.8769094219892839</v>
          </cell>
          <cell r="AU49">
            <v>7.5673901854547383</v>
          </cell>
        </row>
        <row r="50">
          <cell r="F50">
            <v>11.222336980871802</v>
          </cell>
          <cell r="G50">
            <v>14.495518600292698</v>
          </cell>
          <cell r="H50">
            <v>14.027921226089774</v>
          </cell>
          <cell r="I50">
            <v>9.4220870901902707</v>
          </cell>
          <cell r="J50">
            <v>8.6973111601756266</v>
          </cell>
          <cell r="K50">
            <v>9.03023200871203</v>
          </cell>
          <cell r="L50">
            <v>8.6973111601756266</v>
          </cell>
          <cell r="M50">
            <v>8.4167527356538336</v>
          </cell>
          <cell r="N50">
            <v>9.0596991251829486</v>
          </cell>
          <cell r="O50">
            <v>9.4220870901902707</v>
          </cell>
          <cell r="P50">
            <v>11.441972370547582</v>
          </cell>
          <cell r="Q50">
            <v>12.683578775256159</v>
          </cell>
          <cell r="U50">
            <v>2.7059288744791914</v>
          </cell>
          <cell r="V50">
            <v>3.4951581295356116</v>
          </cell>
          <cell r="W50">
            <v>3.3824110930989946</v>
          </cell>
          <cell r="X50">
            <v>2.2718527841981517</v>
          </cell>
          <cell r="Y50">
            <v>2.0970948777213687</v>
          </cell>
          <cell r="Z50">
            <v>2.1773687225102267</v>
          </cell>
          <cell r="AA50">
            <v>2.0970948777213687</v>
          </cell>
          <cell r="AB50">
            <v>2.0294466558593891</v>
          </cell>
          <cell r="AC50">
            <v>2.1844738309597598</v>
          </cell>
          <cell r="AD50">
            <v>2.2718527841981517</v>
          </cell>
          <cell r="AE50">
            <v>2.7588873397074396</v>
          </cell>
          <cell r="AF50">
            <v>3.0582633633436713</v>
          </cell>
          <cell r="AJ50">
            <v>6.6955710396650172</v>
          </cell>
          <cell r="AK50">
            <v>8.6484459262339524</v>
          </cell>
          <cell r="AL50">
            <v>8.3694637995812844</v>
          </cell>
          <cell r="AM50">
            <v>5.62148985205208</v>
          </cell>
          <cell r="AN50">
            <v>5.1890675557403769</v>
          </cell>
          <cell r="AO50">
            <v>5.3876977693723926</v>
          </cell>
          <cell r="AP50">
            <v>5.1890675557403769</v>
          </cell>
          <cell r="AQ50">
            <v>5.0216782797487527</v>
          </cell>
          <cell r="AR50">
            <v>5.4052787038962276</v>
          </cell>
          <cell r="AS50">
            <v>5.62148985205208</v>
          </cell>
          <cell r="AT50">
            <v>6.8266118698330356</v>
          </cell>
          <cell r="AU50">
            <v>7.5673901854547383</v>
          </cell>
        </row>
        <row r="51">
          <cell r="F51">
            <v>11.222336980871802</v>
          </cell>
          <cell r="G51">
            <v>14.495518600292698</v>
          </cell>
          <cell r="H51">
            <v>14.027921226089774</v>
          </cell>
          <cell r="I51">
            <v>9.4220870901902707</v>
          </cell>
          <cell r="J51">
            <v>8.6973111601756266</v>
          </cell>
          <cell r="K51">
            <v>9.1181487969583266</v>
          </cell>
          <cell r="L51">
            <v>8.6973111601756266</v>
          </cell>
          <cell r="M51">
            <v>2.3137696517310742</v>
          </cell>
          <cell r="N51">
            <v>5.0734315101024556</v>
          </cell>
          <cell r="O51">
            <v>9.4220870901902707</v>
          </cell>
          <cell r="P51">
            <v>11.526275274103753</v>
          </cell>
          <cell r="Q51">
            <v>12.683578775256159</v>
          </cell>
          <cell r="U51">
            <v>2.9358760189265629</v>
          </cell>
          <cell r="V51">
            <v>3.7921731911134655</v>
          </cell>
          <cell r="W51">
            <v>3.6698450236582096</v>
          </cell>
          <cell r="X51">
            <v>2.464912574223757</v>
          </cell>
          <cell r="Y51">
            <v>2.2753039146680814</v>
          </cell>
          <cell r="Z51">
            <v>2.3853992653778291</v>
          </cell>
          <cell r="AA51">
            <v>2.2753039146680814</v>
          </cell>
          <cell r="AB51">
            <v>0.60530536958707692</v>
          </cell>
          <cell r="AC51">
            <v>1.3272606168897159</v>
          </cell>
          <cell r="AD51">
            <v>2.464912574223757</v>
          </cell>
          <cell r="AE51">
            <v>3.0153893277724926</v>
          </cell>
          <cell r="AF51">
            <v>3.3181515422242946</v>
          </cell>
          <cell r="AJ51">
            <v>6.6955710396650163</v>
          </cell>
          <cell r="AK51">
            <v>8.6484459262339506</v>
          </cell>
          <cell r="AL51">
            <v>8.3694637995812826</v>
          </cell>
          <cell r="AM51">
            <v>5.6214898520520791</v>
          </cell>
          <cell r="AN51">
            <v>5.189067555740376</v>
          </cell>
          <cell r="AO51">
            <v>5.4401514697278177</v>
          </cell>
          <cell r="AP51">
            <v>5.189067555740376</v>
          </cell>
          <cell r="AQ51">
            <v>1.380461939344019</v>
          </cell>
          <cell r="AR51">
            <v>3.0269560741818902</v>
          </cell>
          <cell r="AS51">
            <v>5.6214898520520791</v>
          </cell>
          <cell r="AT51">
            <v>6.8769094219892803</v>
          </cell>
          <cell r="AU51">
            <v>7.5673901854547365</v>
          </cell>
        </row>
        <row r="52">
          <cell r="F52">
            <v>10.604065003143006</v>
          </cell>
          <cell r="G52">
            <v>10.957533836581106</v>
          </cell>
          <cell r="H52">
            <v>10.604065003143006</v>
          </cell>
          <cell r="I52">
            <v>11.652025417772869</v>
          </cell>
          <cell r="J52">
            <v>9.3370534804670022</v>
          </cell>
          <cell r="K52">
            <v>10.604065003143006</v>
          </cell>
          <cell r="L52">
            <v>9.1055562867364159</v>
          </cell>
          <cell r="M52">
            <v>10.604065003143006</v>
          </cell>
          <cell r="N52">
            <v>10.957533836581106</v>
          </cell>
          <cell r="O52">
            <v>10.72603664285052</v>
          </cell>
          <cell r="P52">
            <v>10.250596169704909</v>
          </cell>
          <cell r="Q52">
            <v>12.346516998964628</v>
          </cell>
          <cell r="U52">
            <v>1.9067527912550415</v>
          </cell>
          <cell r="V52">
            <v>1.9703112176302096</v>
          </cell>
          <cell r="W52">
            <v>1.9067527912550415</v>
          </cell>
          <cell r="X52">
            <v>2.0951900976208568</v>
          </cell>
          <cell r="Y52">
            <v>1.6789271643187003</v>
          </cell>
          <cell r="Z52">
            <v>1.9067527912550415</v>
          </cell>
          <cell r="AA52">
            <v>1.6373008709884846</v>
          </cell>
          <cell r="AB52">
            <v>1.9067527912550415</v>
          </cell>
          <cell r="AC52">
            <v>1.9703112176302096</v>
          </cell>
          <cell r="AD52">
            <v>1.9286849242999939</v>
          </cell>
          <cell r="AE52">
            <v>1.8431943648798739</v>
          </cell>
          <cell r="AF52">
            <v>2.2200689776115037</v>
          </cell>
          <cell r="AJ52">
            <v>2.9988231750653309</v>
          </cell>
          <cell r="AK52">
            <v>3.098783947567509</v>
          </cell>
          <cell r="AL52">
            <v>2.9988231750653309</v>
          </cell>
          <cell r="AM52">
            <v>3.2951857470612245</v>
          </cell>
          <cell r="AN52">
            <v>2.6405130820821738</v>
          </cell>
          <cell r="AO52">
            <v>2.9988231750653309</v>
          </cell>
          <cell r="AP52">
            <v>2.5750458155842688</v>
          </cell>
          <cell r="AQ52">
            <v>2.9988231750653309</v>
          </cell>
          <cell r="AR52">
            <v>3.098783947567509</v>
          </cell>
          <cell r="AS52">
            <v>3.0333166810696039</v>
          </cell>
          <cell r="AT52">
            <v>2.8988624025631546</v>
          </cell>
          <cell r="AU52">
            <v>3.49158754655494</v>
          </cell>
        </row>
        <row r="53">
          <cell r="F53">
            <v>5.503339959257266</v>
          </cell>
          <cell r="G53">
            <v>7.1084807807072963</v>
          </cell>
          <cell r="H53">
            <v>6.8791749490715794</v>
          </cell>
          <cell r="I53">
            <v>4.6205125074597504</v>
          </cell>
          <cell r="J53">
            <v>4.2650884684243859</v>
          </cell>
          <cell r="K53">
            <v>4.4714637168965332</v>
          </cell>
          <cell r="L53">
            <v>4.2650884684243859</v>
          </cell>
          <cell r="M53">
            <v>5.503339959257266</v>
          </cell>
          <cell r="N53">
            <v>4.7982245269774317</v>
          </cell>
          <cell r="O53">
            <v>4.7982245269774317</v>
          </cell>
          <cell r="P53">
            <v>5.6523887498204832</v>
          </cell>
          <cell r="Q53">
            <v>6.2199206831188878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2.5618141177188676</v>
          </cell>
          <cell r="AK53">
            <v>3.3090099020535342</v>
          </cell>
          <cell r="AL53">
            <v>3.2022676471485831</v>
          </cell>
          <cell r="AM53">
            <v>2.1508564363348013</v>
          </cell>
          <cell r="AN53">
            <v>1.9854059412321245</v>
          </cell>
          <cell r="AO53">
            <v>2.0814739706465817</v>
          </cell>
          <cell r="AP53">
            <v>1.9854059412321245</v>
          </cell>
          <cell r="AQ53">
            <v>2.5618141177188676</v>
          </cell>
          <cell r="AR53">
            <v>2.2335816838861389</v>
          </cell>
          <cell r="AS53">
            <v>2.2335816838861389</v>
          </cell>
          <cell r="AT53">
            <v>2.6311965834070863</v>
          </cell>
          <cell r="AU53">
            <v>2.8953836642968445</v>
          </cell>
        </row>
        <row r="54">
          <cell r="F54">
            <v>23.489463698799888</v>
          </cell>
          <cell r="G54">
            <v>31.04785892386694</v>
          </cell>
          <cell r="H54">
            <v>30.046315087613166</v>
          </cell>
          <cell r="I54">
            <v>20.181108300513515</v>
          </cell>
          <cell r="J54">
            <v>18.628715354320164</v>
          </cell>
          <cell r="K54">
            <v>18.778946929758227</v>
          </cell>
          <cell r="L54">
            <v>18.628715354320164</v>
          </cell>
          <cell r="M54">
            <v>22.534736315709878</v>
          </cell>
          <cell r="N54">
            <v>20.181108300513515</v>
          </cell>
          <cell r="O54">
            <v>20.181108300513515</v>
          </cell>
          <cell r="P54">
            <v>23.961936282371504</v>
          </cell>
          <cell r="Q54">
            <v>27.166876558383578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14.450842585148754</v>
          </cell>
          <cell r="AK54">
            <v>19.100807394663093</v>
          </cell>
          <cell r="AL54">
            <v>18.484652317415897</v>
          </cell>
          <cell r="AM54">
            <v>12.415524806531012</v>
          </cell>
          <cell r="AN54">
            <v>11.460484436797856</v>
          </cell>
          <cell r="AO54">
            <v>11.552907698384933</v>
          </cell>
          <cell r="AP54">
            <v>11.460484436797856</v>
          </cell>
          <cell r="AQ54">
            <v>13.863489238061925</v>
          </cell>
          <cell r="AR54">
            <v>12.415524806531012</v>
          </cell>
          <cell r="AS54">
            <v>12.415524806531012</v>
          </cell>
          <cell r="AT54">
            <v>14.741510223139178</v>
          </cell>
          <cell r="AU54">
            <v>16.71320647033021</v>
          </cell>
        </row>
        <row r="55">
          <cell r="F55">
            <v>111.17691565080094</v>
          </cell>
          <cell r="G55">
            <v>114.65751722548106</v>
          </cell>
          <cell r="H55">
            <v>111.22400657172955</v>
          </cell>
          <cell r="I55">
            <v>114.05861897980816</v>
          </cell>
          <cell r="J55">
            <v>93.588034926751902</v>
          </cell>
          <cell r="K55">
            <v>101.1333413711632</v>
          </cell>
          <cell r="L55">
            <v>88.977021026976132</v>
          </cell>
          <cell r="M55">
            <v>111.2240065717296</v>
          </cell>
          <cell r="N55">
            <v>110.07521401558972</v>
          </cell>
          <cell r="O55">
            <v>99.83307739924004</v>
          </cell>
          <cell r="P55">
            <v>98.430634923807673</v>
          </cell>
          <cell r="Q55">
            <v>122.21586262025028</v>
          </cell>
          <cell r="U55">
            <v>28.879217833821222</v>
          </cell>
          <cell r="V55">
            <v>29.783335837810874</v>
          </cell>
          <cell r="W55">
            <v>28.891450130027067</v>
          </cell>
          <cell r="X55">
            <v>29.627766556221832</v>
          </cell>
          <cell r="Y55">
            <v>24.310345645656216</v>
          </cell>
          <cell r="Z55">
            <v>26.270307811862608</v>
          </cell>
          <cell r="AA55">
            <v>23.11259273025194</v>
          </cell>
          <cell r="AB55">
            <v>28.891450130027078</v>
          </cell>
          <cell r="AC55">
            <v>28.593040785961087</v>
          </cell>
          <cell r="AD55">
            <v>25.932552386045774</v>
          </cell>
          <cell r="AE55">
            <v>25.568255162019277</v>
          </cell>
          <cell r="AF55">
            <v>31.746684990295005</v>
          </cell>
          <cell r="AJ55">
            <v>41.669704005365006</v>
          </cell>
          <cell r="AK55">
            <v>42.974252135060155</v>
          </cell>
          <cell r="AL55">
            <v>41.687353934983477</v>
          </cell>
          <cell r="AM55">
            <v>42.749781861888458</v>
          </cell>
          <cell r="AN55">
            <v>35.077297216001867</v>
          </cell>
          <cell r="AO55">
            <v>37.905318521755063</v>
          </cell>
          <cell r="AP55">
            <v>33.349064486720387</v>
          </cell>
          <cell r="AQ55">
            <v>41.687353934983499</v>
          </cell>
          <cell r="AR55">
            <v>41.256780326265371</v>
          </cell>
          <cell r="AS55">
            <v>37.417972614363109</v>
          </cell>
          <cell r="AT55">
            <v>36.892329656076953</v>
          </cell>
          <cell r="AU55">
            <v>45.80716050930932</v>
          </cell>
        </row>
        <row r="56">
          <cell r="F56">
            <v>108.87921358785542</v>
          </cell>
          <cell r="G56">
            <v>111.33955587774534</v>
          </cell>
          <cell r="H56">
            <v>110.06272270981441</v>
          </cell>
          <cell r="I56">
            <v>108.19179361277031</v>
          </cell>
          <cell r="J56">
            <v>90.654347620391775</v>
          </cell>
          <cell r="K56">
            <v>94.762263803960792</v>
          </cell>
          <cell r="L56">
            <v>87.571693991404061</v>
          </cell>
          <cell r="M56">
            <v>111.22912467248534</v>
          </cell>
          <cell r="N56">
            <v>107.38758244223567</v>
          </cell>
          <cell r="O56">
            <v>97.939071982744736</v>
          </cell>
          <cell r="P56">
            <v>98.435164322833288</v>
          </cell>
          <cell r="Q56">
            <v>118.0422729511688</v>
          </cell>
          <cell r="U56">
            <v>29.011860202590832</v>
          </cell>
          <cell r="V56">
            <v>29.667440861310531</v>
          </cell>
          <cell r="W56">
            <v>29.327217010041132</v>
          </cell>
          <cell r="X56">
            <v>28.828690876137671</v>
          </cell>
          <cell r="Y56">
            <v>24.155678326953307</v>
          </cell>
          <cell r="Z56">
            <v>25.250270087073794</v>
          </cell>
          <cell r="AA56">
            <v>23.334277132086701</v>
          </cell>
          <cell r="AB56">
            <v>29.638015458761846</v>
          </cell>
          <cell r="AC56">
            <v>28.614401469702102</v>
          </cell>
          <cell r="AD56">
            <v>26.0967596210835</v>
          </cell>
          <cell r="AE56">
            <v>26.228947952941827</v>
          </cell>
          <cell r="AF56">
            <v>31.453441001316776</v>
          </cell>
          <cell r="AJ56">
            <v>40.808512954192267</v>
          </cell>
          <cell r="AK56">
            <v>41.730662434338022</v>
          </cell>
          <cell r="AL56">
            <v>41.2520985178949</v>
          </cell>
          <cell r="AM56">
            <v>40.55086426227188</v>
          </cell>
          <cell r="AN56">
            <v>33.977735486080441</v>
          </cell>
          <cell r="AO56">
            <v>35.51740449422077</v>
          </cell>
          <cell r="AP56">
            <v>32.82234037982974</v>
          </cell>
          <cell r="AQ56">
            <v>41.689272226584883</v>
          </cell>
          <cell r="AR56">
            <v>40.24944160417941</v>
          </cell>
          <cell r="AS56">
            <v>36.708089230497635</v>
          </cell>
          <cell r="AT56">
            <v>36.894027299113858</v>
          </cell>
          <cell r="AU56">
            <v>44.242876726723367</v>
          </cell>
        </row>
        <row r="57">
          <cell r="F57">
            <v>0.12180432223674215</v>
          </cell>
          <cell r="G57">
            <v>0.1305216607188559</v>
          </cell>
          <cell r="H57">
            <v>0.13522676092093311</v>
          </cell>
          <cell r="I57">
            <v>0.29563624998120852</v>
          </cell>
          <cell r="J57">
            <v>0.69409994624142413</v>
          </cell>
          <cell r="K57">
            <v>0.35056653882324085</v>
          </cell>
          <cell r="L57">
            <v>0.38641300290014213</v>
          </cell>
          <cell r="M57">
            <v>0.1325316729591261</v>
          </cell>
          <cell r="N57">
            <v>0.22735874631209152</v>
          </cell>
          <cell r="O57">
            <v>0.43383176396449241</v>
          </cell>
          <cell r="P57">
            <v>0.40354476089621716</v>
          </cell>
          <cell r="Q57">
            <v>0.18098395901134068</v>
          </cell>
          <cell r="U57">
            <v>2.9098440287340915E-2</v>
          </cell>
          <cell r="V57">
            <v>3.1180968629753135E-2</v>
          </cell>
          <cell r="W57">
            <v>3.2304993416082103E-2</v>
          </cell>
          <cell r="X57">
            <v>7.0626013994244258E-2</v>
          </cell>
          <cell r="Y57">
            <v>0.16581698800389652</v>
          </cell>
          <cell r="Z57">
            <v>8.3748583870948648E-2</v>
          </cell>
          <cell r="AA57">
            <v>9.2312123943251431E-2</v>
          </cell>
          <cell r="AB57">
            <v>3.1661150449874817E-2</v>
          </cell>
          <cell r="AC57">
            <v>5.43148615901205E-2</v>
          </cell>
          <cell r="AD57">
            <v>0.1036402275933735</v>
          </cell>
          <cell r="AE57">
            <v>9.6404814809319811E-2</v>
          </cell>
          <cell r="AF57">
            <v>4.323615802419746E-2</v>
          </cell>
        </row>
        <row r="58">
          <cell r="F58">
            <v>0.12180432223674215</v>
          </cell>
          <cell r="G58">
            <v>0.1305216607188559</v>
          </cell>
          <cell r="H58">
            <v>0.13522676092093311</v>
          </cell>
          <cell r="I58">
            <v>0.29563624998120852</v>
          </cell>
          <cell r="J58">
            <v>0.69409994624142413</v>
          </cell>
          <cell r="K58">
            <v>0.35056653882324085</v>
          </cell>
          <cell r="L58">
            <v>0.38641300290014213</v>
          </cell>
          <cell r="M58">
            <v>0.1325316729591261</v>
          </cell>
          <cell r="N58">
            <v>0.22735874631209152</v>
          </cell>
          <cell r="O58">
            <v>0.43383176396449241</v>
          </cell>
          <cell r="P58">
            <v>0.40354476089621716</v>
          </cell>
          <cell r="Q58">
            <v>0.18098395901134068</v>
          </cell>
          <cell r="U58">
            <v>2.9098440287340915E-2</v>
          </cell>
          <cell r="V58">
            <v>3.1180968629753135E-2</v>
          </cell>
          <cell r="W58">
            <v>3.2304993416082103E-2</v>
          </cell>
          <cell r="X58">
            <v>7.0626013994244258E-2</v>
          </cell>
          <cell r="Y58">
            <v>0.16581698800389652</v>
          </cell>
          <cell r="Z58">
            <v>8.3748583870948648E-2</v>
          </cell>
          <cell r="AA58">
            <v>9.2312123943251431E-2</v>
          </cell>
          <cell r="AB58">
            <v>3.1661150449874817E-2</v>
          </cell>
          <cell r="AC58">
            <v>5.43148615901205E-2</v>
          </cell>
          <cell r="AD58">
            <v>0.1036402275933735</v>
          </cell>
          <cell r="AE58">
            <v>9.6404814809319811E-2</v>
          </cell>
          <cell r="AF58">
            <v>4.323615802419746E-2</v>
          </cell>
        </row>
        <row r="59">
          <cell r="F59">
            <v>2.6796950892083267</v>
          </cell>
          <cell r="G59">
            <v>2.8714765358148293</v>
          </cell>
          <cell r="H59">
            <v>2.9749887402605282</v>
          </cell>
          <cell r="I59">
            <v>6.503997499586589</v>
          </cell>
          <cell r="J59">
            <v>15.270198817311332</v>
          </cell>
          <cell r="K59">
            <v>7.7124638541112951</v>
          </cell>
          <cell r="L59">
            <v>8.5010860638031254</v>
          </cell>
          <cell r="M59">
            <v>2.9156968051007741</v>
          </cell>
          <cell r="N59">
            <v>5.0018924188660119</v>
          </cell>
          <cell r="O59">
            <v>9.5442988072188335</v>
          </cell>
          <cell r="P59">
            <v>8.8779847397167764</v>
          </cell>
          <cell r="Q59">
            <v>3.9816470982494945</v>
          </cell>
          <cell r="U59">
            <v>0.64016568632150039</v>
          </cell>
          <cell r="V59">
            <v>0.68598130985456918</v>
          </cell>
          <cell r="W59">
            <v>0.71070985515380669</v>
          </cell>
          <cell r="X59">
            <v>1.5537723078733749</v>
          </cell>
          <cell r="Y59">
            <v>3.6479737360857256</v>
          </cell>
          <cell r="Z59">
            <v>1.8424688451608702</v>
          </cell>
          <cell r="AA59">
            <v>2.0308667267515323</v>
          </cell>
          <cell r="AB59">
            <v>0.69654530989724628</v>
          </cell>
          <cell r="AC59">
            <v>1.1949269549826513</v>
          </cell>
          <cell r="AD59">
            <v>2.2800850070542187</v>
          </cell>
          <cell r="AE59">
            <v>2.1209059258050371</v>
          </cell>
          <cell r="AF59">
            <v>0.95119547653234471</v>
          </cell>
        </row>
        <row r="60">
          <cell r="F60">
            <v>2.4555751362927207</v>
          </cell>
          <cell r="G60">
            <v>2.6313166800921346</v>
          </cell>
          <cell r="H60">
            <v>2.7261715001660107</v>
          </cell>
          <cell r="I60">
            <v>5.9600267996211649</v>
          </cell>
          <cell r="J60">
            <v>13.993054916227109</v>
          </cell>
          <cell r="K60">
            <v>7.0674214226765315</v>
          </cell>
          <cell r="L60">
            <v>7.7900861384668652</v>
          </cell>
          <cell r="M60">
            <v>2.6718385268559821</v>
          </cell>
          <cell r="N60">
            <v>4.5835523256517643</v>
          </cell>
          <cell r="O60">
            <v>8.7460483615241671</v>
          </cell>
          <cell r="P60">
            <v>8.1354623796677359</v>
          </cell>
          <cell r="Q60">
            <v>3.6486366136686268</v>
          </cell>
          <cell r="U60">
            <v>0.58662455619279297</v>
          </cell>
          <cell r="V60">
            <v>0.62860832757582341</v>
          </cell>
          <cell r="W60">
            <v>0.65126866726821542</v>
          </cell>
          <cell r="X60">
            <v>1.4238204421239655</v>
          </cell>
          <cell r="Y60">
            <v>3.3428704781585559</v>
          </cell>
          <cell r="Z60">
            <v>1.6883714508383245</v>
          </cell>
          <cell r="AA60">
            <v>1.86101241869595</v>
          </cell>
          <cell r="AB60">
            <v>0.63828879306947661</v>
          </cell>
          <cell r="AC60">
            <v>1.0949876096568298</v>
          </cell>
          <cell r="AD60">
            <v>2.0893869882824108</v>
          </cell>
          <cell r="AE60">
            <v>1.943521066555888</v>
          </cell>
          <cell r="AF60">
            <v>0.87164094576782103</v>
          </cell>
        </row>
        <row r="61">
          <cell r="F61">
            <v>2.4555751362927207</v>
          </cell>
          <cell r="G61">
            <v>2.6313166800921346</v>
          </cell>
          <cell r="H61">
            <v>2.7261715001660107</v>
          </cell>
          <cell r="I61">
            <v>5.9600267996211649</v>
          </cell>
          <cell r="J61">
            <v>13.993054916227109</v>
          </cell>
          <cell r="K61">
            <v>7.0674214226765315</v>
          </cell>
          <cell r="L61">
            <v>7.7900861384668652</v>
          </cell>
          <cell r="M61">
            <v>2.6718385268559821</v>
          </cell>
          <cell r="N61">
            <v>4.5835523256517643</v>
          </cell>
          <cell r="O61">
            <v>8.7460483615241671</v>
          </cell>
          <cell r="P61">
            <v>8.1354623796677359</v>
          </cell>
          <cell r="Q61">
            <v>3.6486366136686268</v>
          </cell>
          <cell r="U61">
            <v>0.58662455619279297</v>
          </cell>
          <cell r="V61">
            <v>0.62860832757582341</v>
          </cell>
          <cell r="W61">
            <v>0.65126866726821542</v>
          </cell>
          <cell r="X61">
            <v>1.4238204421239655</v>
          </cell>
          <cell r="Y61">
            <v>3.3428704781585559</v>
          </cell>
          <cell r="Z61">
            <v>1.6883714508383245</v>
          </cell>
          <cell r="AA61">
            <v>1.86101241869595</v>
          </cell>
          <cell r="AB61">
            <v>0.63828879306947661</v>
          </cell>
          <cell r="AC61">
            <v>1.0949876096568298</v>
          </cell>
          <cell r="AD61">
            <v>2.0893869882824108</v>
          </cell>
          <cell r="AE61">
            <v>1.943521066555888</v>
          </cell>
          <cell r="AF61">
            <v>0.87164094576782103</v>
          </cell>
        </row>
        <row r="62">
          <cell r="F62">
            <v>2.4555751362927207</v>
          </cell>
          <cell r="G62">
            <v>2.6313166800921346</v>
          </cell>
          <cell r="H62">
            <v>2.7261715001660107</v>
          </cell>
          <cell r="I62">
            <v>5.9600267996211649</v>
          </cell>
          <cell r="J62">
            <v>13.993054916227109</v>
          </cell>
          <cell r="K62">
            <v>7.0674214226765315</v>
          </cell>
          <cell r="L62">
            <v>7.7900861384668652</v>
          </cell>
          <cell r="M62">
            <v>2.6718385268559821</v>
          </cell>
          <cell r="N62">
            <v>4.5835523256517643</v>
          </cell>
          <cell r="O62">
            <v>8.7460483615241671</v>
          </cell>
          <cell r="P62">
            <v>8.1354623796677359</v>
          </cell>
          <cell r="Q62">
            <v>3.6486366136686268</v>
          </cell>
          <cell r="U62">
            <v>0.58662455619279297</v>
          </cell>
          <cell r="V62">
            <v>0.62860832757582341</v>
          </cell>
          <cell r="W62">
            <v>0.65126866726821542</v>
          </cell>
          <cell r="X62">
            <v>1.4238204421239655</v>
          </cell>
          <cell r="Y62">
            <v>3.3428704781585559</v>
          </cell>
          <cell r="Z62">
            <v>1.6883714508383245</v>
          </cell>
          <cell r="AA62">
            <v>1.86101241869595</v>
          </cell>
          <cell r="AB62">
            <v>0.63828879306947661</v>
          </cell>
          <cell r="AC62">
            <v>1.0949876096568298</v>
          </cell>
          <cell r="AD62">
            <v>2.0893869882824108</v>
          </cell>
          <cell r="AE62">
            <v>1.943521066555888</v>
          </cell>
          <cell r="AF62">
            <v>0.87164094576782103</v>
          </cell>
        </row>
        <row r="63">
          <cell r="F63">
            <v>2.4555751362927207</v>
          </cell>
          <cell r="G63">
            <v>2.6313166800921346</v>
          </cell>
          <cell r="H63">
            <v>2.7261715001660107</v>
          </cell>
          <cell r="I63">
            <v>5.9600267996211649</v>
          </cell>
          <cell r="J63">
            <v>13.993054916227109</v>
          </cell>
          <cell r="K63">
            <v>7.0674214226765315</v>
          </cell>
          <cell r="L63">
            <v>7.7900861384668652</v>
          </cell>
          <cell r="M63">
            <v>2.6718385268559821</v>
          </cell>
          <cell r="N63">
            <v>4.5835523256517643</v>
          </cell>
          <cell r="O63">
            <v>8.7460483615241671</v>
          </cell>
          <cell r="P63">
            <v>8.1354623796677359</v>
          </cell>
          <cell r="Q63">
            <v>3.6486366136686268</v>
          </cell>
          <cell r="U63">
            <v>0.58662455619279297</v>
          </cell>
          <cell r="V63">
            <v>0.62860832757582341</v>
          </cell>
          <cell r="W63">
            <v>0.65126866726821542</v>
          </cell>
          <cell r="X63">
            <v>1.4238204421239655</v>
          </cell>
          <cell r="Y63">
            <v>3.3428704781585559</v>
          </cell>
          <cell r="Z63">
            <v>1.6883714508383245</v>
          </cell>
          <cell r="AA63">
            <v>1.86101241869595</v>
          </cell>
          <cell r="AB63">
            <v>0.63828879306947661</v>
          </cell>
          <cell r="AC63">
            <v>1.0949876096568298</v>
          </cell>
          <cell r="AD63">
            <v>2.0893869882824108</v>
          </cell>
          <cell r="AE63">
            <v>1.943521066555888</v>
          </cell>
          <cell r="AF63">
            <v>0.87164094576782103</v>
          </cell>
        </row>
        <row r="64">
          <cell r="F64">
            <v>2.4555751362927207</v>
          </cell>
          <cell r="G64">
            <v>2.6313166800921346</v>
          </cell>
          <cell r="H64">
            <v>2.7261715001660107</v>
          </cell>
          <cell r="I64">
            <v>5.9600267996211649</v>
          </cell>
          <cell r="J64">
            <v>13.993054916227109</v>
          </cell>
          <cell r="K64">
            <v>7.0674214226765315</v>
          </cell>
          <cell r="L64">
            <v>7.7900861384668652</v>
          </cell>
          <cell r="M64">
            <v>2.6718385268559821</v>
          </cell>
          <cell r="N64">
            <v>4.5835523256517643</v>
          </cell>
          <cell r="O64">
            <v>8.7460483615241671</v>
          </cell>
          <cell r="P64">
            <v>8.1354623796677359</v>
          </cell>
          <cell r="Q64">
            <v>3.6486366136686268</v>
          </cell>
          <cell r="U64">
            <v>0.58662455619279297</v>
          </cell>
          <cell r="V64">
            <v>0.62860832757582341</v>
          </cell>
          <cell r="W64">
            <v>0.65126866726821542</v>
          </cell>
          <cell r="X64">
            <v>1.4238204421239655</v>
          </cell>
          <cell r="Y64">
            <v>3.3428704781585559</v>
          </cell>
          <cell r="Z64">
            <v>1.6883714508383245</v>
          </cell>
          <cell r="AA64">
            <v>1.86101241869595</v>
          </cell>
          <cell r="AB64">
            <v>0.63828879306947661</v>
          </cell>
          <cell r="AC64">
            <v>1.0949876096568298</v>
          </cell>
          <cell r="AD64">
            <v>2.0893869882824108</v>
          </cell>
          <cell r="AE64">
            <v>1.943521066555888</v>
          </cell>
          <cell r="AF64">
            <v>0.87164094576782103</v>
          </cell>
        </row>
        <row r="65">
          <cell r="F65">
            <v>2.4555751362927207</v>
          </cell>
          <cell r="G65">
            <v>2.6313166800921346</v>
          </cell>
          <cell r="H65">
            <v>2.7261715001660107</v>
          </cell>
          <cell r="I65">
            <v>5.9600267996211649</v>
          </cell>
          <cell r="J65">
            <v>13.993054916227109</v>
          </cell>
          <cell r="K65">
            <v>7.0674214226765315</v>
          </cell>
          <cell r="L65">
            <v>7.7900861384668652</v>
          </cell>
          <cell r="M65">
            <v>2.6718385268559821</v>
          </cell>
          <cell r="N65">
            <v>4.5835523256517643</v>
          </cell>
          <cell r="O65">
            <v>8.7460483615241671</v>
          </cell>
          <cell r="P65">
            <v>8.1354623796677359</v>
          </cell>
          <cell r="Q65">
            <v>3.6486366136686268</v>
          </cell>
          <cell r="U65">
            <v>0.58662455619279297</v>
          </cell>
          <cell r="V65">
            <v>0.62860832757582341</v>
          </cell>
          <cell r="W65">
            <v>0.65126866726821542</v>
          </cell>
          <cell r="X65">
            <v>1.4238204421239655</v>
          </cell>
          <cell r="Y65">
            <v>3.3428704781585559</v>
          </cell>
          <cell r="Z65">
            <v>1.6883714508383245</v>
          </cell>
          <cell r="AA65">
            <v>1.86101241869595</v>
          </cell>
          <cell r="AB65">
            <v>0.63828879306947661</v>
          </cell>
          <cell r="AC65">
            <v>1.0949876096568298</v>
          </cell>
          <cell r="AD65">
            <v>2.0893869882824108</v>
          </cell>
          <cell r="AE65">
            <v>1.943521066555888</v>
          </cell>
          <cell r="AF65">
            <v>0.87164094576782103</v>
          </cell>
        </row>
        <row r="66">
          <cell r="F66">
            <v>2.4555751362927207</v>
          </cell>
          <cell r="G66">
            <v>2.6313166800921346</v>
          </cell>
          <cell r="H66">
            <v>2.7261715001660107</v>
          </cell>
          <cell r="I66">
            <v>5.9600267996211649</v>
          </cell>
          <cell r="J66">
            <v>13.993054916227109</v>
          </cell>
          <cell r="K66">
            <v>7.0674214226765315</v>
          </cell>
          <cell r="L66">
            <v>7.7900861384668652</v>
          </cell>
          <cell r="M66">
            <v>2.6718385268559821</v>
          </cell>
          <cell r="N66">
            <v>4.5835523256517643</v>
          </cell>
          <cell r="O66">
            <v>8.7460483615241671</v>
          </cell>
          <cell r="P66">
            <v>8.1354623796677359</v>
          </cell>
          <cell r="Q66">
            <v>3.6486366136686268</v>
          </cell>
          <cell r="U66">
            <v>0.58662455619279297</v>
          </cell>
          <cell r="V66">
            <v>0.62860832757582341</v>
          </cell>
          <cell r="W66">
            <v>0.65126866726821542</v>
          </cell>
          <cell r="X66">
            <v>1.4238204421239655</v>
          </cell>
          <cell r="Y66">
            <v>3.3428704781585559</v>
          </cell>
          <cell r="Z66">
            <v>1.6883714508383245</v>
          </cell>
          <cell r="AA66">
            <v>1.86101241869595</v>
          </cell>
          <cell r="AB66">
            <v>0.63828879306947661</v>
          </cell>
          <cell r="AC66">
            <v>1.0949876096568298</v>
          </cell>
          <cell r="AD66">
            <v>2.0893869882824108</v>
          </cell>
          <cell r="AE66">
            <v>1.943521066555888</v>
          </cell>
          <cell r="AF66">
            <v>0.87164094576782103</v>
          </cell>
        </row>
        <row r="67">
          <cell r="F67">
            <v>3.6541296671022643</v>
          </cell>
          <cell r="G67">
            <v>3.9156498215656761</v>
          </cell>
          <cell r="H67">
            <v>4.0568028276279922</v>
          </cell>
          <cell r="I67">
            <v>8.8690874994362581</v>
          </cell>
          <cell r="J67">
            <v>20.82299838724272</v>
          </cell>
          <cell r="K67">
            <v>10.516996164697222</v>
          </cell>
          <cell r="L67">
            <v>11.592390087004262</v>
          </cell>
          <cell r="M67">
            <v>3.9759501887737834</v>
          </cell>
          <cell r="N67">
            <v>6.8207623893627449</v>
          </cell>
          <cell r="O67">
            <v>13.014952918934775</v>
          </cell>
          <cell r="P67">
            <v>12.106342826886515</v>
          </cell>
          <cell r="Q67">
            <v>5.4295187703402199</v>
          </cell>
          <cell r="U67">
            <v>1.0354966233245135</v>
          </cell>
          <cell r="V67">
            <v>1.1096054430842996</v>
          </cell>
          <cell r="W67">
            <v>1.1496049708694045</v>
          </cell>
          <cell r="X67">
            <v>2.5132961865906549</v>
          </cell>
          <cell r="Y67">
            <v>5.9007606412009119</v>
          </cell>
          <cell r="Z67">
            <v>2.9802757450303852</v>
          </cell>
          <cell r="AA67">
            <v>3.2850177429178622</v>
          </cell>
          <cell r="AB67">
            <v>1.1266931855339919</v>
          </cell>
          <cell r="AC67">
            <v>1.9328477821327141</v>
          </cell>
          <cell r="AD67">
            <v>3.6881394553718003</v>
          </cell>
          <cell r="AE67">
            <v>3.4306601735868556</v>
          </cell>
          <cell r="AF67">
            <v>1.5386012170232655</v>
          </cell>
        </row>
        <row r="68">
          <cell r="F68">
            <v>3.6541296671022643</v>
          </cell>
          <cell r="G68">
            <v>3.9156498215656761</v>
          </cell>
          <cell r="H68">
            <v>4.0568028276279922</v>
          </cell>
          <cell r="I68">
            <v>8.8690874994362581</v>
          </cell>
          <cell r="J68">
            <v>20.82299838724272</v>
          </cell>
          <cell r="K68">
            <v>10.516996164697222</v>
          </cell>
          <cell r="L68">
            <v>11.592390087004262</v>
          </cell>
          <cell r="M68">
            <v>3.9759501887737834</v>
          </cell>
          <cell r="N68">
            <v>6.8207623893627449</v>
          </cell>
          <cell r="O68">
            <v>13.014952918934775</v>
          </cell>
          <cell r="P68">
            <v>12.106342826886515</v>
          </cell>
          <cell r="Q68">
            <v>5.4295187703402199</v>
          </cell>
          <cell r="U68">
            <v>1.0354966233245135</v>
          </cell>
          <cell r="V68">
            <v>1.1096054430842996</v>
          </cell>
          <cell r="W68">
            <v>1.1496049708694045</v>
          </cell>
          <cell r="X68">
            <v>2.5132961865906549</v>
          </cell>
          <cell r="Y68">
            <v>5.9007606412009119</v>
          </cell>
          <cell r="Z68">
            <v>2.9802757450303852</v>
          </cell>
          <cell r="AA68">
            <v>3.2850177429178622</v>
          </cell>
          <cell r="AB68">
            <v>1.1266931855339919</v>
          </cell>
          <cell r="AC68">
            <v>1.9328477821327141</v>
          </cell>
          <cell r="AD68">
            <v>3.6881394553718003</v>
          </cell>
          <cell r="AE68">
            <v>3.4306601735868556</v>
          </cell>
          <cell r="AF68">
            <v>1.5386012170232655</v>
          </cell>
        </row>
        <row r="69">
          <cell r="F69">
            <v>3.6541296671022643</v>
          </cell>
          <cell r="G69">
            <v>3.9156498215656761</v>
          </cell>
          <cell r="H69">
            <v>4.0568028276279922</v>
          </cell>
          <cell r="I69">
            <v>8.8690874994362581</v>
          </cell>
          <cell r="J69">
            <v>20.82299838724272</v>
          </cell>
          <cell r="K69">
            <v>10.516996164697222</v>
          </cell>
          <cell r="L69">
            <v>11.592390087004262</v>
          </cell>
          <cell r="M69">
            <v>3.9759501887737834</v>
          </cell>
          <cell r="N69">
            <v>6.8207623893627449</v>
          </cell>
          <cell r="O69">
            <v>13.014952918934775</v>
          </cell>
          <cell r="P69">
            <v>12.106342826886515</v>
          </cell>
          <cell r="Q69">
            <v>5.4295187703402199</v>
          </cell>
          <cell r="U69">
            <v>1.0354966233245135</v>
          </cell>
          <cell r="V69">
            <v>1.1096054430842996</v>
          </cell>
          <cell r="W69">
            <v>1.1496049708694045</v>
          </cell>
          <cell r="X69">
            <v>2.5132961865906549</v>
          </cell>
          <cell r="Y69">
            <v>5.9007606412009119</v>
          </cell>
          <cell r="Z69">
            <v>2.9802757450303852</v>
          </cell>
          <cell r="AA69">
            <v>3.2850177429178622</v>
          </cell>
          <cell r="AB69">
            <v>1.1266931855339919</v>
          </cell>
          <cell r="AC69">
            <v>1.9328477821327141</v>
          </cell>
          <cell r="AD69">
            <v>3.6881394553718003</v>
          </cell>
          <cell r="AE69">
            <v>3.4306601735868556</v>
          </cell>
          <cell r="AF69">
            <v>1.5386012170232655</v>
          </cell>
        </row>
        <row r="70">
          <cell r="F70">
            <v>3.6541296671022643</v>
          </cell>
          <cell r="G70">
            <v>3.9156498215656761</v>
          </cell>
          <cell r="H70">
            <v>4.0568028276279922</v>
          </cell>
          <cell r="I70">
            <v>8.8690874994362581</v>
          </cell>
          <cell r="J70">
            <v>20.82299838724272</v>
          </cell>
          <cell r="K70">
            <v>10.516996164697222</v>
          </cell>
          <cell r="L70">
            <v>11.592390087004262</v>
          </cell>
          <cell r="M70">
            <v>3.9759501887737834</v>
          </cell>
          <cell r="N70">
            <v>6.8207623893627449</v>
          </cell>
          <cell r="O70">
            <v>13.014952918934775</v>
          </cell>
          <cell r="P70">
            <v>12.106342826886515</v>
          </cell>
          <cell r="Q70">
            <v>5.4295187703402199</v>
          </cell>
          <cell r="U70">
            <v>1.0354966233245135</v>
          </cell>
          <cell r="V70">
            <v>1.1096054430842996</v>
          </cell>
          <cell r="W70">
            <v>1.1496049708694045</v>
          </cell>
          <cell r="X70">
            <v>2.5132961865906549</v>
          </cell>
          <cell r="Y70">
            <v>5.9007606412009119</v>
          </cell>
          <cell r="Z70">
            <v>2.9802757450303852</v>
          </cell>
          <cell r="AA70">
            <v>3.2850177429178622</v>
          </cell>
          <cell r="AB70">
            <v>1.1266931855339919</v>
          </cell>
          <cell r="AC70">
            <v>1.9328477821327141</v>
          </cell>
          <cell r="AD70">
            <v>3.6881394553718003</v>
          </cell>
          <cell r="AE70">
            <v>3.4306601735868556</v>
          </cell>
          <cell r="AF70">
            <v>1.5386012170232655</v>
          </cell>
        </row>
        <row r="71">
          <cell r="F71">
            <v>3.6541296671022643</v>
          </cell>
          <cell r="G71">
            <v>3.9156498215656761</v>
          </cell>
          <cell r="H71">
            <v>4.0568028276279922</v>
          </cell>
          <cell r="I71">
            <v>8.8690874994362581</v>
          </cell>
          <cell r="J71">
            <v>20.82299838724272</v>
          </cell>
          <cell r="K71">
            <v>10.516996164697222</v>
          </cell>
          <cell r="L71">
            <v>11.592390087004262</v>
          </cell>
          <cell r="M71">
            <v>3.9759501887737834</v>
          </cell>
          <cell r="N71">
            <v>6.8207623893627449</v>
          </cell>
          <cell r="O71">
            <v>13.014952918934775</v>
          </cell>
          <cell r="P71">
            <v>12.106342826886515</v>
          </cell>
          <cell r="Q71">
            <v>5.4295187703402199</v>
          </cell>
          <cell r="U71">
            <v>1.0354966233245135</v>
          </cell>
          <cell r="V71">
            <v>1.1096054430842996</v>
          </cell>
          <cell r="W71">
            <v>1.1496049708694045</v>
          </cell>
          <cell r="X71">
            <v>2.5132961865906549</v>
          </cell>
          <cell r="Y71">
            <v>5.9007606412009119</v>
          </cell>
          <cell r="Z71">
            <v>2.9802757450303852</v>
          </cell>
          <cell r="AA71">
            <v>3.2850177429178622</v>
          </cell>
          <cell r="AB71">
            <v>1.1266931855339919</v>
          </cell>
          <cell r="AC71">
            <v>1.9328477821327141</v>
          </cell>
          <cell r="AD71">
            <v>3.6881394553718003</v>
          </cell>
          <cell r="AE71">
            <v>3.4306601735868556</v>
          </cell>
          <cell r="AF71">
            <v>1.5386012170232655</v>
          </cell>
        </row>
        <row r="72">
          <cell r="F72">
            <v>3.6541296671022643</v>
          </cell>
          <cell r="G72">
            <v>3.9156498215656761</v>
          </cell>
          <cell r="H72">
            <v>4.0568028276279922</v>
          </cell>
          <cell r="I72">
            <v>8.8690874994362581</v>
          </cell>
          <cell r="J72">
            <v>20.82299838724272</v>
          </cell>
          <cell r="K72">
            <v>10.516996164697222</v>
          </cell>
          <cell r="L72">
            <v>11.592390087004262</v>
          </cell>
          <cell r="M72">
            <v>3.9759501887737834</v>
          </cell>
          <cell r="N72">
            <v>6.8207623893627449</v>
          </cell>
          <cell r="O72">
            <v>13.014952918934775</v>
          </cell>
          <cell r="P72">
            <v>12.106342826886515</v>
          </cell>
          <cell r="Q72">
            <v>5.4295187703402199</v>
          </cell>
          <cell r="U72">
            <v>1.0354966233245135</v>
          </cell>
          <cell r="V72">
            <v>1.1096054430842996</v>
          </cell>
          <cell r="W72">
            <v>1.1496049708694045</v>
          </cell>
          <cell r="X72">
            <v>2.5132961865906549</v>
          </cell>
          <cell r="Y72">
            <v>5.9007606412009119</v>
          </cell>
          <cell r="Z72">
            <v>2.9802757450303852</v>
          </cell>
          <cell r="AA72">
            <v>3.2850177429178622</v>
          </cell>
          <cell r="AB72">
            <v>1.1266931855339919</v>
          </cell>
          <cell r="AC72">
            <v>1.9328477821327141</v>
          </cell>
          <cell r="AD72">
            <v>3.6881394553718003</v>
          </cell>
          <cell r="AE72">
            <v>3.4306601735868556</v>
          </cell>
          <cell r="AF72">
            <v>1.5386012170232655</v>
          </cell>
        </row>
        <row r="73">
          <cell r="F73">
            <v>0.73082593342045277</v>
          </cell>
          <cell r="G73">
            <v>0.78312996431313531</v>
          </cell>
          <cell r="H73">
            <v>0.81136056552559843</v>
          </cell>
          <cell r="I73">
            <v>1.7738174998872509</v>
          </cell>
          <cell r="J73">
            <v>4.1645996774485443</v>
          </cell>
          <cell r="K73">
            <v>2.1033992329394442</v>
          </cell>
          <cell r="L73">
            <v>2.3184780174008521</v>
          </cell>
          <cell r="M73">
            <v>0.7951900377547565</v>
          </cell>
          <cell r="N73">
            <v>1.3641524778725489</v>
          </cell>
          <cell r="O73">
            <v>2.6029905837869549</v>
          </cell>
          <cell r="P73">
            <v>2.4212685653773027</v>
          </cell>
          <cell r="Q73">
            <v>1.0859037540680441</v>
          </cell>
          <cell r="U73">
            <v>0.34869759496652963</v>
          </cell>
          <cell r="V73">
            <v>0.37365331827258913</v>
          </cell>
          <cell r="W73">
            <v>0.38712293161974132</v>
          </cell>
          <cell r="X73">
            <v>0.8463381878436731</v>
          </cell>
          <cell r="Y73">
            <v>1.9870475651132005</v>
          </cell>
          <cell r="Z73">
            <v>1.0035908966006342</v>
          </cell>
          <cell r="AA73">
            <v>1.1062110301240986</v>
          </cell>
          <cell r="AB73">
            <v>0.37940751829738989</v>
          </cell>
          <cell r="AC73">
            <v>0.6508754909332527</v>
          </cell>
          <cell r="AD73">
            <v>1.2419599726558261</v>
          </cell>
          <cell r="AE73">
            <v>1.1552552898111166</v>
          </cell>
          <cell r="AF73">
            <v>0.51811520376194686</v>
          </cell>
        </row>
        <row r="74">
          <cell r="F74">
            <v>0.73082593342045277</v>
          </cell>
          <cell r="G74">
            <v>0.78312996431313531</v>
          </cell>
          <cell r="H74">
            <v>0.81136056552559843</v>
          </cell>
          <cell r="I74">
            <v>1.7738174998872509</v>
          </cell>
          <cell r="J74">
            <v>4.1645996774485443</v>
          </cell>
          <cell r="K74">
            <v>2.1033992329394442</v>
          </cell>
          <cell r="L74">
            <v>2.3184780174008521</v>
          </cell>
          <cell r="M74">
            <v>0.7951900377547565</v>
          </cell>
          <cell r="N74">
            <v>1.3641524778725489</v>
          </cell>
          <cell r="O74">
            <v>2.6029905837869549</v>
          </cell>
          <cell r="P74">
            <v>2.4212685653773027</v>
          </cell>
          <cell r="Q74">
            <v>1.0859037540680441</v>
          </cell>
          <cell r="U74">
            <v>0.34869759496652963</v>
          </cell>
          <cell r="V74">
            <v>0.37365331827258913</v>
          </cell>
          <cell r="W74">
            <v>0.38712293161974132</v>
          </cell>
          <cell r="X74">
            <v>0.8463381878436731</v>
          </cell>
          <cell r="Y74">
            <v>1.9870475651132005</v>
          </cell>
          <cell r="Z74">
            <v>1.0035908966006342</v>
          </cell>
          <cell r="AA74">
            <v>1.1062110301240986</v>
          </cell>
          <cell r="AB74">
            <v>0.37940751829738989</v>
          </cell>
          <cell r="AC74">
            <v>0.6508754909332527</v>
          </cell>
          <cell r="AD74">
            <v>1.2419599726558261</v>
          </cell>
          <cell r="AE74">
            <v>1.1552552898111166</v>
          </cell>
          <cell r="AF74">
            <v>0.51811520376194686</v>
          </cell>
        </row>
        <row r="75">
          <cell r="F75">
            <v>0.21924778002613587</v>
          </cell>
          <cell r="G75">
            <v>0.23493898929394064</v>
          </cell>
          <cell r="H75">
            <v>0.24340816965767953</v>
          </cell>
          <cell r="I75">
            <v>0.5321452499661754</v>
          </cell>
          <cell r="J75">
            <v>1.2493799032345634</v>
          </cell>
          <cell r="K75">
            <v>0.63101976988183339</v>
          </cell>
          <cell r="L75">
            <v>0.69554340522025582</v>
          </cell>
          <cell r="M75">
            <v>0.23855701132642704</v>
          </cell>
          <cell r="N75">
            <v>0.40924574336176467</v>
          </cell>
          <cell r="O75">
            <v>0.78089717513608647</v>
          </cell>
          <cell r="P75">
            <v>0.72638056961319086</v>
          </cell>
          <cell r="Q75">
            <v>0.32577112622041315</v>
          </cell>
          <cell r="U75">
            <v>3.2173644071654038E-2</v>
          </cell>
          <cell r="V75">
            <v>3.4476259778759524E-2</v>
          </cell>
          <cell r="W75">
            <v>3.5719074618522535E-2</v>
          </cell>
          <cell r="X75">
            <v>7.8089966816503903E-2</v>
          </cell>
          <cell r="Y75">
            <v>0.18334098667797061</v>
          </cell>
          <cell r="Z75">
            <v>9.2599366232738956E-2</v>
          </cell>
          <cell r="AA75">
            <v>0.10206792494444009</v>
          </cell>
          <cell r="AB75">
            <v>3.5007188543934455E-2</v>
          </cell>
          <cell r="AC75">
            <v>6.0055006637655804E-2</v>
          </cell>
          <cell r="AD75">
            <v>0.11459321397185203</v>
          </cell>
          <cell r="AE75">
            <v>0.10659314271968554</v>
          </cell>
          <cell r="AF75">
            <v>4.7805474986282723E-2</v>
          </cell>
        </row>
        <row r="76">
          <cell r="F76">
            <v>0.21924778002613587</v>
          </cell>
          <cell r="G76">
            <v>0.23493898929394064</v>
          </cell>
          <cell r="H76">
            <v>0.24340816965767953</v>
          </cell>
          <cell r="I76">
            <v>0.5321452499661754</v>
          </cell>
          <cell r="J76">
            <v>1.2493799032345634</v>
          </cell>
          <cell r="K76">
            <v>0.63101976988183339</v>
          </cell>
          <cell r="L76">
            <v>0.69554340522025582</v>
          </cell>
          <cell r="M76">
            <v>0.23855701132642704</v>
          </cell>
          <cell r="N76">
            <v>0.40924574336176467</v>
          </cell>
          <cell r="O76">
            <v>0.78089717513608647</v>
          </cell>
          <cell r="P76">
            <v>0.72638056961319086</v>
          </cell>
          <cell r="Q76">
            <v>0.32577112622041315</v>
          </cell>
          <cell r="U76">
            <v>3.2173644071654038E-2</v>
          </cell>
          <cell r="V76">
            <v>3.4476259778759524E-2</v>
          </cell>
          <cell r="W76">
            <v>3.5719074618522535E-2</v>
          </cell>
          <cell r="X76">
            <v>7.8089966816503903E-2</v>
          </cell>
          <cell r="Y76">
            <v>0.18334098667797061</v>
          </cell>
          <cell r="Z76">
            <v>9.2599366232738956E-2</v>
          </cell>
          <cell r="AA76">
            <v>0.10206792494444009</v>
          </cell>
          <cell r="AB76">
            <v>3.5007188543934455E-2</v>
          </cell>
          <cell r="AC76">
            <v>6.0055006637655804E-2</v>
          </cell>
          <cell r="AD76">
            <v>0.11459321397185203</v>
          </cell>
          <cell r="AE76">
            <v>0.10659314271968554</v>
          </cell>
          <cell r="AF76">
            <v>4.7805474986282723E-2</v>
          </cell>
        </row>
        <row r="77">
          <cell r="F77">
            <v>0.21924778002613587</v>
          </cell>
          <cell r="G77">
            <v>0.23493898929394064</v>
          </cell>
          <cell r="H77">
            <v>0.24340816965767953</v>
          </cell>
          <cell r="I77">
            <v>0.5321452499661754</v>
          </cell>
          <cell r="J77">
            <v>1.2493799032345634</v>
          </cell>
          <cell r="K77">
            <v>0.63101976988183339</v>
          </cell>
          <cell r="L77">
            <v>0.69554340522025582</v>
          </cell>
          <cell r="M77">
            <v>0.23855701132642704</v>
          </cell>
          <cell r="N77">
            <v>0.40924574336176467</v>
          </cell>
          <cell r="O77">
            <v>0.78089717513608647</v>
          </cell>
          <cell r="P77">
            <v>0.72638056961319086</v>
          </cell>
          <cell r="Q77">
            <v>0.32577112622041315</v>
          </cell>
          <cell r="U77">
            <v>3.2173644071654038E-2</v>
          </cell>
          <cell r="V77">
            <v>3.4476259778759524E-2</v>
          </cell>
          <cell r="W77">
            <v>3.5719074618522535E-2</v>
          </cell>
          <cell r="X77">
            <v>7.8089966816503903E-2</v>
          </cell>
          <cell r="Y77">
            <v>0.18334098667797061</v>
          </cell>
          <cell r="Z77">
            <v>9.2599366232738956E-2</v>
          </cell>
          <cell r="AA77">
            <v>0.10206792494444009</v>
          </cell>
          <cell r="AB77">
            <v>3.5007188543934455E-2</v>
          </cell>
          <cell r="AC77">
            <v>6.0055006637655804E-2</v>
          </cell>
          <cell r="AD77">
            <v>0.11459321397185203</v>
          </cell>
          <cell r="AE77">
            <v>0.10659314271968554</v>
          </cell>
          <cell r="AF77">
            <v>4.7805474986282723E-2</v>
          </cell>
        </row>
        <row r="78">
          <cell r="F78">
            <v>0.21924778002613587</v>
          </cell>
          <cell r="G78">
            <v>0.23493898929394064</v>
          </cell>
          <cell r="H78">
            <v>0.24340816965767953</v>
          </cell>
          <cell r="I78">
            <v>0.5321452499661754</v>
          </cell>
          <cell r="J78">
            <v>1.2493799032345634</v>
          </cell>
          <cell r="K78">
            <v>0.63101976988183339</v>
          </cell>
          <cell r="L78">
            <v>0.69554340522025582</v>
          </cell>
          <cell r="M78">
            <v>0.23855701132642704</v>
          </cell>
          <cell r="N78">
            <v>0.40924574336176467</v>
          </cell>
          <cell r="O78">
            <v>0.78089717513608647</v>
          </cell>
          <cell r="P78">
            <v>0.72638056961319086</v>
          </cell>
          <cell r="Q78">
            <v>0.32577112622041315</v>
          </cell>
          <cell r="U78">
            <v>3.2173644071654038E-2</v>
          </cell>
          <cell r="V78">
            <v>3.4476259778759524E-2</v>
          </cell>
          <cell r="W78">
            <v>3.5719074618522535E-2</v>
          </cell>
          <cell r="X78">
            <v>7.8089966816503903E-2</v>
          </cell>
          <cell r="Y78">
            <v>0.18334098667797061</v>
          </cell>
          <cell r="Z78">
            <v>9.2599366232738956E-2</v>
          </cell>
          <cell r="AA78">
            <v>0.10206792494444009</v>
          </cell>
          <cell r="AB78">
            <v>3.5007188543934455E-2</v>
          </cell>
          <cell r="AC78">
            <v>6.0055006637655804E-2</v>
          </cell>
          <cell r="AD78">
            <v>0.11459321397185203</v>
          </cell>
          <cell r="AE78">
            <v>0.10659314271968554</v>
          </cell>
          <cell r="AF78">
            <v>4.7805474986282723E-2</v>
          </cell>
        </row>
        <row r="79">
          <cell r="F79">
            <v>0.18270648335511319</v>
          </cell>
          <cell r="G79">
            <v>0.19578249107828383</v>
          </cell>
          <cell r="H79">
            <v>0.20284014138139961</v>
          </cell>
          <cell r="I79">
            <v>0.44345437497181273</v>
          </cell>
          <cell r="J79">
            <v>1.0411499193621361</v>
          </cell>
          <cell r="K79">
            <v>0.52584980823486105</v>
          </cell>
          <cell r="L79">
            <v>0.57961950435021303</v>
          </cell>
          <cell r="M79">
            <v>0.19879750943868912</v>
          </cell>
          <cell r="N79">
            <v>0.34103811946813722</v>
          </cell>
          <cell r="O79">
            <v>0.65074764594673873</v>
          </cell>
          <cell r="P79">
            <v>0.60531714134432568</v>
          </cell>
          <cell r="Q79">
            <v>0.27147593851701102</v>
          </cell>
          <cell r="U79">
            <v>6.8712427402830151E-2</v>
          </cell>
          <cell r="V79">
            <v>7.3630064778899024E-2</v>
          </cell>
          <cell r="W79">
            <v>7.6284312593109568E-2</v>
          </cell>
          <cell r="X79">
            <v>0.16677474158097716</v>
          </cell>
          <cell r="Y79">
            <v>0.39155664832422132</v>
          </cell>
          <cell r="Z79">
            <v>0.19776209420495564</v>
          </cell>
          <cell r="AA79">
            <v>0.21798385247511698</v>
          </cell>
          <cell r="AB79">
            <v>7.4763955741076263E-2</v>
          </cell>
          <cell r="AC79">
            <v>0.12825793915591935</v>
          </cell>
          <cell r="AD79">
            <v>0.24473379137164888</v>
          </cell>
          <cell r="AE79">
            <v>0.22764824414834678</v>
          </cell>
          <cell r="AF79">
            <v>0.10209692822289911</v>
          </cell>
        </row>
        <row r="80">
          <cell r="F80">
            <v>0.18270648335511319</v>
          </cell>
          <cell r="G80">
            <v>0.19578249107828383</v>
          </cell>
          <cell r="H80">
            <v>0.20284014138139961</v>
          </cell>
          <cell r="I80">
            <v>0.44345437497181273</v>
          </cell>
          <cell r="J80">
            <v>1.0411499193621361</v>
          </cell>
          <cell r="K80">
            <v>0.52584980823486105</v>
          </cell>
          <cell r="L80">
            <v>0.57961950435021303</v>
          </cell>
          <cell r="M80">
            <v>0.19879750943868912</v>
          </cell>
          <cell r="N80">
            <v>0.34103811946813722</v>
          </cell>
          <cell r="O80">
            <v>0.65074764594673873</v>
          </cell>
          <cell r="P80">
            <v>0.60531714134432568</v>
          </cell>
          <cell r="Q80">
            <v>0.27147593851701102</v>
          </cell>
          <cell r="U80">
            <v>6.8712427402830151E-2</v>
          </cell>
          <cell r="V80">
            <v>7.3630064778899024E-2</v>
          </cell>
          <cell r="W80">
            <v>7.6284312593109568E-2</v>
          </cell>
          <cell r="X80">
            <v>0.16677474158097716</v>
          </cell>
          <cell r="Y80">
            <v>0.39155664832422132</v>
          </cell>
          <cell r="Z80">
            <v>0.19776209420495564</v>
          </cell>
          <cell r="AA80">
            <v>0.21798385247511698</v>
          </cell>
          <cell r="AB80">
            <v>7.4763955741076263E-2</v>
          </cell>
          <cell r="AC80">
            <v>0.12825793915591935</v>
          </cell>
          <cell r="AD80">
            <v>0.24473379137164888</v>
          </cell>
          <cell r="AE80">
            <v>0.22764824414834678</v>
          </cell>
          <cell r="AF80">
            <v>0.10209692822289911</v>
          </cell>
        </row>
        <row r="81">
          <cell r="F81">
            <v>0.95007371344658864</v>
          </cell>
          <cell r="G81">
            <v>1.0180689536070759</v>
          </cell>
          <cell r="H81">
            <v>1.054768735183278</v>
          </cell>
          <cell r="I81">
            <v>2.3059627498534265</v>
          </cell>
          <cell r="J81">
            <v>5.4139795806831064</v>
          </cell>
          <cell r="K81">
            <v>2.7344190028212774</v>
          </cell>
          <cell r="L81">
            <v>3.0140214226211084</v>
          </cell>
          <cell r="M81">
            <v>1.0337470490811835</v>
          </cell>
          <cell r="N81">
            <v>1.7733982212343138</v>
          </cell>
          <cell r="O81">
            <v>3.3838877589230414</v>
          </cell>
          <cell r="P81">
            <v>3.1476491349904938</v>
          </cell>
          <cell r="Q81">
            <v>1.4116748802884573</v>
          </cell>
          <cell r="U81">
            <v>0.24384866177212644</v>
          </cell>
          <cell r="V81">
            <v>0.26130051638650137</v>
          </cell>
          <cell r="W81">
            <v>0.27071998826328991</v>
          </cell>
          <cell r="X81">
            <v>0.59185505576009456</v>
          </cell>
          <cell r="Y81">
            <v>1.3895676271496091</v>
          </cell>
          <cell r="Z81">
            <v>0.70182387442690397</v>
          </cell>
          <cell r="AA81">
            <v>0.77358743859193868</v>
          </cell>
          <cell r="AB81">
            <v>0.26532450162721261</v>
          </cell>
          <cell r="AC81">
            <v>0.45516550654610644</v>
          </cell>
          <cell r="AD81">
            <v>0.86851840012185799</v>
          </cell>
          <cell r="AE81">
            <v>0.80788471297787745</v>
          </cell>
          <cell r="AF81">
            <v>0.36232454970981509</v>
          </cell>
        </row>
        <row r="82">
          <cell r="F82">
            <v>0.95007371344658864</v>
          </cell>
          <cell r="G82">
            <v>1.0180689536070759</v>
          </cell>
          <cell r="H82">
            <v>1.054768735183278</v>
          </cell>
          <cell r="I82">
            <v>2.3059627498534265</v>
          </cell>
          <cell r="J82">
            <v>5.4139795806831064</v>
          </cell>
          <cell r="K82">
            <v>2.7344190028212774</v>
          </cell>
          <cell r="L82">
            <v>3.0140214226211084</v>
          </cell>
          <cell r="M82">
            <v>1.0337470490811835</v>
          </cell>
          <cell r="N82">
            <v>1.7733982212343138</v>
          </cell>
          <cell r="O82">
            <v>3.3838877589230414</v>
          </cell>
          <cell r="P82">
            <v>3.1476491349904938</v>
          </cell>
          <cell r="Q82">
            <v>1.4116748802884573</v>
          </cell>
          <cell r="U82">
            <v>0.24384866177212644</v>
          </cell>
          <cell r="V82">
            <v>0.26130051638650137</v>
          </cell>
          <cell r="W82">
            <v>0.27071998826328991</v>
          </cell>
          <cell r="X82">
            <v>0.59185505576009456</v>
          </cell>
          <cell r="Y82">
            <v>1.3895676271496091</v>
          </cell>
          <cell r="Z82">
            <v>0.70182387442690397</v>
          </cell>
          <cell r="AA82">
            <v>0.77358743859193868</v>
          </cell>
          <cell r="AB82">
            <v>0.26532450162721261</v>
          </cell>
          <cell r="AC82">
            <v>0.45516550654610644</v>
          </cell>
          <cell r="AD82">
            <v>0.86851840012185799</v>
          </cell>
          <cell r="AE82">
            <v>0.80788471297787745</v>
          </cell>
          <cell r="AF82">
            <v>0.36232454970981509</v>
          </cell>
        </row>
        <row r="83">
          <cell r="F83">
            <v>0.95007371344658864</v>
          </cell>
          <cell r="G83">
            <v>1.0180689536070759</v>
          </cell>
          <cell r="H83">
            <v>1.054768735183278</v>
          </cell>
          <cell r="I83">
            <v>2.3059627498534265</v>
          </cell>
          <cell r="J83">
            <v>5.4139795806831064</v>
          </cell>
          <cell r="K83">
            <v>2.7344190028212774</v>
          </cell>
          <cell r="L83">
            <v>3.0140214226211084</v>
          </cell>
          <cell r="M83">
            <v>1.0337470490811835</v>
          </cell>
          <cell r="N83">
            <v>1.7733982212343138</v>
          </cell>
          <cell r="O83">
            <v>3.3838877589230414</v>
          </cell>
          <cell r="P83">
            <v>3.1476491349904938</v>
          </cell>
          <cell r="Q83">
            <v>1.4116748802884573</v>
          </cell>
          <cell r="U83">
            <v>0.24384866177212644</v>
          </cell>
          <cell r="V83">
            <v>0.26130051638650137</v>
          </cell>
          <cell r="W83">
            <v>0.27071998826328991</v>
          </cell>
          <cell r="X83">
            <v>0.59185505576009456</v>
          </cell>
          <cell r="Y83">
            <v>1.3895676271496091</v>
          </cell>
          <cell r="Z83">
            <v>0.70182387442690397</v>
          </cell>
          <cell r="AA83">
            <v>0.77358743859193868</v>
          </cell>
          <cell r="AB83">
            <v>0.26532450162721261</v>
          </cell>
          <cell r="AC83">
            <v>0.45516550654610644</v>
          </cell>
          <cell r="AD83">
            <v>0.86851840012185799</v>
          </cell>
          <cell r="AE83">
            <v>0.80788471297787745</v>
          </cell>
          <cell r="AF83">
            <v>0.36232454970981509</v>
          </cell>
        </row>
        <row r="84">
          <cell r="F84">
            <v>0.95007371344658864</v>
          </cell>
          <cell r="G84">
            <v>1.0180689536070759</v>
          </cell>
          <cell r="H84">
            <v>1.054768735183278</v>
          </cell>
          <cell r="I84">
            <v>2.3059627498534265</v>
          </cell>
          <cell r="J84">
            <v>5.4139795806831064</v>
          </cell>
          <cell r="K84">
            <v>2.7344190028212774</v>
          </cell>
          <cell r="L84">
            <v>3.0140214226211084</v>
          </cell>
          <cell r="M84">
            <v>1.0337470490811835</v>
          </cell>
          <cell r="N84">
            <v>1.7733982212343138</v>
          </cell>
          <cell r="O84">
            <v>3.3838877589230414</v>
          </cell>
          <cell r="P84">
            <v>3.1476491349904938</v>
          </cell>
          <cell r="Q84">
            <v>1.4116748802884573</v>
          </cell>
          <cell r="U84">
            <v>0.24384866177212644</v>
          </cell>
          <cell r="V84">
            <v>0.26130051638650137</v>
          </cell>
          <cell r="W84">
            <v>0.27071998826328991</v>
          </cell>
          <cell r="X84">
            <v>0.59185505576009456</v>
          </cell>
          <cell r="Y84">
            <v>1.3895676271496091</v>
          </cell>
          <cell r="Z84">
            <v>0.70182387442690397</v>
          </cell>
          <cell r="AA84">
            <v>0.77358743859193868</v>
          </cell>
          <cell r="AB84">
            <v>0.26532450162721261</v>
          </cell>
          <cell r="AC84">
            <v>0.45516550654610644</v>
          </cell>
          <cell r="AD84">
            <v>0.86851840012185799</v>
          </cell>
          <cell r="AE84">
            <v>0.80788471297787745</v>
          </cell>
          <cell r="AF84">
            <v>0.36232454970981509</v>
          </cell>
        </row>
        <row r="85">
          <cell r="F85">
            <v>0.95007371344658864</v>
          </cell>
          <cell r="G85">
            <v>1.0180689536070759</v>
          </cell>
          <cell r="H85">
            <v>1.054768735183278</v>
          </cell>
          <cell r="I85">
            <v>2.3059627498534265</v>
          </cell>
          <cell r="J85">
            <v>5.4139795806831064</v>
          </cell>
          <cell r="K85">
            <v>2.7344190028212774</v>
          </cell>
          <cell r="L85">
            <v>3.0140214226211084</v>
          </cell>
          <cell r="M85">
            <v>1.0337470490811835</v>
          </cell>
          <cell r="N85">
            <v>1.7733982212343138</v>
          </cell>
          <cell r="O85">
            <v>3.3838877589230414</v>
          </cell>
          <cell r="P85">
            <v>3.1476491349904938</v>
          </cell>
          <cell r="Q85">
            <v>1.4116748802884573</v>
          </cell>
          <cell r="U85">
            <v>0.24384866177212644</v>
          </cell>
          <cell r="V85">
            <v>0.26130051638650137</v>
          </cell>
          <cell r="W85">
            <v>0.27071998826328991</v>
          </cell>
          <cell r="X85">
            <v>0.59185505576009456</v>
          </cell>
          <cell r="Y85">
            <v>1.3895676271496091</v>
          </cell>
          <cell r="Z85">
            <v>0.70182387442690397</v>
          </cell>
          <cell r="AA85">
            <v>0.77358743859193868</v>
          </cell>
          <cell r="AB85">
            <v>0.26532450162721261</v>
          </cell>
          <cell r="AC85">
            <v>0.45516550654610644</v>
          </cell>
          <cell r="AD85">
            <v>0.86851840012185799</v>
          </cell>
          <cell r="AE85">
            <v>0.80788471297787745</v>
          </cell>
          <cell r="AF85">
            <v>0.36232454970981509</v>
          </cell>
        </row>
        <row r="86">
          <cell r="F86">
            <v>0.95007371344658864</v>
          </cell>
          <cell r="G86">
            <v>1.0180689536070759</v>
          </cell>
          <cell r="H86">
            <v>1.054768735183278</v>
          </cell>
          <cell r="I86">
            <v>2.3059627498534265</v>
          </cell>
          <cell r="J86">
            <v>5.4139795806831064</v>
          </cell>
          <cell r="K86">
            <v>2.7344190028212774</v>
          </cell>
          <cell r="L86">
            <v>3.0140214226211084</v>
          </cell>
          <cell r="M86">
            <v>1.0337470490811835</v>
          </cell>
          <cell r="N86">
            <v>1.7733982212343138</v>
          </cell>
          <cell r="O86">
            <v>3.3838877589230414</v>
          </cell>
          <cell r="P86">
            <v>3.1476491349904938</v>
          </cell>
          <cell r="Q86">
            <v>1.4116748802884573</v>
          </cell>
          <cell r="U86">
            <v>0.24384866177212644</v>
          </cell>
          <cell r="V86">
            <v>0.26130051638650137</v>
          </cell>
          <cell r="W86">
            <v>0.27071998826328991</v>
          </cell>
          <cell r="X86">
            <v>0.59185505576009456</v>
          </cell>
          <cell r="Y86">
            <v>1.3895676271496091</v>
          </cell>
          <cell r="Z86">
            <v>0.70182387442690397</v>
          </cell>
          <cell r="AA86">
            <v>0.77358743859193868</v>
          </cell>
          <cell r="AB86">
            <v>0.26532450162721261</v>
          </cell>
          <cell r="AC86">
            <v>0.45516550654610644</v>
          </cell>
          <cell r="AD86">
            <v>0.86851840012185799</v>
          </cell>
          <cell r="AE86">
            <v>0.80788471297787745</v>
          </cell>
          <cell r="AF86">
            <v>0.36232454970981509</v>
          </cell>
        </row>
        <row r="87">
          <cell r="F87">
            <v>0.97443457789393717</v>
          </cell>
          <cell r="G87">
            <v>1.0441732857508472</v>
          </cell>
          <cell r="H87">
            <v>1.0818140873674649</v>
          </cell>
          <cell r="I87">
            <v>2.3650899998496682</v>
          </cell>
          <cell r="J87">
            <v>5.552799569931393</v>
          </cell>
          <cell r="K87">
            <v>2.8045323105859268</v>
          </cell>
          <cell r="L87">
            <v>3.0913040232011371</v>
          </cell>
          <cell r="M87">
            <v>1.0602533836730088</v>
          </cell>
          <cell r="N87">
            <v>1.8188699704967322</v>
          </cell>
          <cell r="O87">
            <v>3.4706541117159393</v>
          </cell>
          <cell r="P87">
            <v>3.2283580871697373</v>
          </cell>
          <cell r="Q87">
            <v>1.4478716720907254</v>
          </cell>
          <cell r="U87">
            <v>0.45156081775267981</v>
          </cell>
          <cell r="V87">
            <v>0.48387829566581397</v>
          </cell>
          <cell r="W87">
            <v>0.50132134576323806</v>
          </cell>
          <cell r="X87">
            <v>1.0960017210175874</v>
          </cell>
          <cell r="Y87">
            <v>2.5732119646598486</v>
          </cell>
          <cell r="Z87">
            <v>1.2996428208850337</v>
          </cell>
          <cell r="AA87">
            <v>1.4325351381268339</v>
          </cell>
          <cell r="AB87">
            <v>0.49132994232532401</v>
          </cell>
          <cell r="AC87">
            <v>0.8428789678609856</v>
          </cell>
          <cell r="AD87">
            <v>1.6083290190813959</v>
          </cell>
          <cell r="AE87">
            <v>1.4960470932708616</v>
          </cell>
          <cell r="AF87">
            <v>0.67095537359039736</v>
          </cell>
        </row>
        <row r="88">
          <cell r="F88">
            <v>0.97443457789393717</v>
          </cell>
          <cell r="G88">
            <v>1.0441732857508472</v>
          </cell>
          <cell r="H88">
            <v>1.0818140873674649</v>
          </cell>
          <cell r="I88">
            <v>2.3650899998496682</v>
          </cell>
          <cell r="J88">
            <v>5.552799569931393</v>
          </cell>
          <cell r="K88">
            <v>2.8045323105859268</v>
          </cell>
          <cell r="L88">
            <v>3.0913040232011371</v>
          </cell>
          <cell r="M88">
            <v>1.0602533836730088</v>
          </cell>
          <cell r="N88">
            <v>1.8188699704967322</v>
          </cell>
          <cell r="O88">
            <v>3.4706541117159393</v>
          </cell>
          <cell r="P88">
            <v>3.2283580871697373</v>
          </cell>
          <cell r="Q88">
            <v>1.4478716720907254</v>
          </cell>
          <cell r="U88">
            <v>0.45156081775267981</v>
          </cell>
          <cell r="V88">
            <v>0.48387829566581397</v>
          </cell>
          <cell r="W88">
            <v>0.50132134576323806</v>
          </cell>
          <cell r="X88">
            <v>1.0960017210175874</v>
          </cell>
          <cell r="Y88">
            <v>2.5732119646598486</v>
          </cell>
          <cell r="Z88">
            <v>1.2996428208850337</v>
          </cell>
          <cell r="AA88">
            <v>1.4325351381268339</v>
          </cell>
          <cell r="AB88">
            <v>0.49132994232532401</v>
          </cell>
          <cell r="AC88">
            <v>0.8428789678609856</v>
          </cell>
          <cell r="AD88">
            <v>1.6083290190813959</v>
          </cell>
          <cell r="AE88">
            <v>1.4960470932708616</v>
          </cell>
          <cell r="AF88">
            <v>0.67095537359039736</v>
          </cell>
        </row>
        <row r="89">
          <cell r="F89">
            <v>0.97443457789393717</v>
          </cell>
          <cell r="G89">
            <v>1.0441732857508472</v>
          </cell>
          <cell r="H89">
            <v>1.0818140873674649</v>
          </cell>
          <cell r="I89">
            <v>2.3650899998496682</v>
          </cell>
          <cell r="J89">
            <v>5.552799569931393</v>
          </cell>
          <cell r="K89">
            <v>2.8045323105859268</v>
          </cell>
          <cell r="L89">
            <v>3.0913040232011371</v>
          </cell>
          <cell r="M89">
            <v>1.0602533836730088</v>
          </cell>
          <cell r="N89">
            <v>1.8188699704967322</v>
          </cell>
          <cell r="O89">
            <v>3.4706541117159393</v>
          </cell>
          <cell r="P89">
            <v>3.2283580871697373</v>
          </cell>
          <cell r="Q89">
            <v>1.4478716720907254</v>
          </cell>
          <cell r="U89">
            <v>0.45156081775267981</v>
          </cell>
          <cell r="V89">
            <v>0.48387829566581397</v>
          </cell>
          <cell r="W89">
            <v>0.50132134576323806</v>
          </cell>
          <cell r="X89">
            <v>1.0960017210175874</v>
          </cell>
          <cell r="Y89">
            <v>2.5732119646598486</v>
          </cell>
          <cell r="Z89">
            <v>1.2996428208850337</v>
          </cell>
          <cell r="AA89">
            <v>1.4325351381268339</v>
          </cell>
          <cell r="AB89">
            <v>0.49132994232532401</v>
          </cell>
          <cell r="AC89">
            <v>0.8428789678609856</v>
          </cell>
          <cell r="AD89">
            <v>1.6083290190813959</v>
          </cell>
          <cell r="AE89">
            <v>1.4960470932708616</v>
          </cell>
          <cell r="AF89">
            <v>0.67095537359039736</v>
          </cell>
        </row>
        <row r="90">
          <cell r="F90">
            <v>0.97443457789393717</v>
          </cell>
          <cell r="G90">
            <v>1.0441732857508472</v>
          </cell>
          <cell r="H90">
            <v>1.0818140873674649</v>
          </cell>
          <cell r="I90">
            <v>2.3650899998496682</v>
          </cell>
          <cell r="J90">
            <v>5.552799569931393</v>
          </cell>
          <cell r="K90">
            <v>2.8045323105859268</v>
          </cell>
          <cell r="L90">
            <v>3.0913040232011371</v>
          </cell>
          <cell r="M90">
            <v>1.0602533836730088</v>
          </cell>
          <cell r="N90">
            <v>1.8188699704967322</v>
          </cell>
          <cell r="O90">
            <v>3.4706541117159393</v>
          </cell>
          <cell r="P90">
            <v>3.2283580871697373</v>
          </cell>
          <cell r="Q90">
            <v>1.4478716720907254</v>
          </cell>
          <cell r="U90">
            <v>0.45156081775267981</v>
          </cell>
          <cell r="V90">
            <v>0.48387829566581397</v>
          </cell>
          <cell r="W90">
            <v>0.50132134576323806</v>
          </cell>
          <cell r="X90">
            <v>1.0960017210175874</v>
          </cell>
          <cell r="Y90">
            <v>2.5732119646598486</v>
          </cell>
          <cell r="Z90">
            <v>1.2996428208850337</v>
          </cell>
          <cell r="AA90">
            <v>1.4325351381268339</v>
          </cell>
          <cell r="AB90">
            <v>0.49132994232532401</v>
          </cell>
          <cell r="AC90">
            <v>0.8428789678609856</v>
          </cell>
          <cell r="AD90">
            <v>1.6083290190813959</v>
          </cell>
          <cell r="AE90">
            <v>1.4960470932708616</v>
          </cell>
          <cell r="AF90">
            <v>0.67095537359039736</v>
          </cell>
        </row>
        <row r="91">
          <cell r="F91">
            <v>0.97443457789393717</v>
          </cell>
          <cell r="G91">
            <v>1.0441732857508472</v>
          </cell>
          <cell r="H91">
            <v>1.0818140873674649</v>
          </cell>
          <cell r="I91">
            <v>2.3650899998496682</v>
          </cell>
          <cell r="J91">
            <v>5.552799569931393</v>
          </cell>
          <cell r="K91">
            <v>2.8045323105859268</v>
          </cell>
          <cell r="L91">
            <v>3.0913040232011371</v>
          </cell>
          <cell r="M91">
            <v>1.0602533836730088</v>
          </cell>
          <cell r="N91">
            <v>1.8188699704967322</v>
          </cell>
          <cell r="O91">
            <v>3.4706541117159393</v>
          </cell>
          <cell r="P91">
            <v>3.2283580871697373</v>
          </cell>
          <cell r="Q91">
            <v>1.4478716720907254</v>
          </cell>
          <cell r="U91">
            <v>0.45156081775267981</v>
          </cell>
          <cell r="V91">
            <v>0.48387829566581397</v>
          </cell>
          <cell r="W91">
            <v>0.50132134576323806</v>
          </cell>
          <cell r="X91">
            <v>1.0960017210175874</v>
          </cell>
          <cell r="Y91">
            <v>2.5732119646598486</v>
          </cell>
          <cell r="Z91">
            <v>1.2996428208850337</v>
          </cell>
          <cell r="AA91">
            <v>1.4325351381268339</v>
          </cell>
          <cell r="AB91">
            <v>0.49132994232532401</v>
          </cell>
          <cell r="AC91">
            <v>0.8428789678609856</v>
          </cell>
          <cell r="AD91">
            <v>1.6083290190813959</v>
          </cell>
          <cell r="AE91">
            <v>1.4960470932708616</v>
          </cell>
          <cell r="AF91">
            <v>0.67095537359039736</v>
          </cell>
        </row>
        <row r="92">
          <cell r="F92">
            <v>0.97443457789393717</v>
          </cell>
          <cell r="G92">
            <v>1.0441732857508472</v>
          </cell>
          <cell r="H92">
            <v>1.0818140873674649</v>
          </cell>
          <cell r="I92">
            <v>2.3650899998496682</v>
          </cell>
          <cell r="J92">
            <v>5.552799569931393</v>
          </cell>
          <cell r="K92">
            <v>2.8045323105859268</v>
          </cell>
          <cell r="L92">
            <v>3.0913040232011371</v>
          </cell>
          <cell r="M92">
            <v>1.0602533836730088</v>
          </cell>
          <cell r="N92">
            <v>1.8188699704967322</v>
          </cell>
          <cell r="O92">
            <v>3.4706541117159393</v>
          </cell>
          <cell r="P92">
            <v>3.2283580871697373</v>
          </cell>
          <cell r="Q92">
            <v>1.4478716720907254</v>
          </cell>
          <cell r="U92">
            <v>0.45156081775267981</v>
          </cell>
          <cell r="V92">
            <v>0.48387829566581397</v>
          </cell>
          <cell r="W92">
            <v>0.50132134576323806</v>
          </cell>
          <cell r="X92">
            <v>1.0960017210175874</v>
          </cell>
          <cell r="Y92">
            <v>2.5732119646598486</v>
          </cell>
          <cell r="Z92">
            <v>1.2996428208850337</v>
          </cell>
          <cell r="AA92">
            <v>1.4325351381268339</v>
          </cell>
          <cell r="AB92">
            <v>0.49132994232532401</v>
          </cell>
          <cell r="AC92">
            <v>0.8428789678609856</v>
          </cell>
          <cell r="AD92">
            <v>1.6083290190813959</v>
          </cell>
          <cell r="AE92">
            <v>1.4960470932708616</v>
          </cell>
          <cell r="AF92">
            <v>0.67095537359039736</v>
          </cell>
        </row>
        <row r="93">
          <cell r="F93">
            <v>0.73082593342045277</v>
          </cell>
          <cell r="G93">
            <v>0.78312996431313531</v>
          </cell>
          <cell r="H93">
            <v>0.81136056552559843</v>
          </cell>
          <cell r="I93">
            <v>1.7738174998872509</v>
          </cell>
          <cell r="J93">
            <v>4.1645996774485443</v>
          </cell>
          <cell r="K93">
            <v>2.1033992329394442</v>
          </cell>
          <cell r="L93">
            <v>2.3184780174008521</v>
          </cell>
          <cell r="M93">
            <v>0.7951900377547565</v>
          </cell>
          <cell r="N93">
            <v>1.3641524778725489</v>
          </cell>
          <cell r="O93">
            <v>2.6029905837869549</v>
          </cell>
          <cell r="P93">
            <v>2.4212685653773027</v>
          </cell>
          <cell r="Q93">
            <v>1.0859037540680441</v>
          </cell>
          <cell r="U93">
            <v>0.32191618174487363</v>
          </cell>
          <cell r="V93">
            <v>0.34495520259082857</v>
          </cell>
          <cell r="W93">
            <v>0.35739029408812217</v>
          </cell>
          <cell r="X93">
            <v>0.78133592496289639</v>
          </cell>
          <cell r="Y93">
            <v>1.8344341181019295</v>
          </cell>
          <cell r="Z93">
            <v>0.9265109772225445</v>
          </cell>
          <cell r="AA93">
            <v>1.0212494613155987</v>
          </cell>
          <cell r="AB93">
            <v>0.35026745632506473</v>
          </cell>
          <cell r="AC93">
            <v>0.60088556920693614</v>
          </cell>
          <cell r="AD93">
            <v>1.1465723252714359</v>
          </cell>
          <cell r="AE93">
            <v>1.0665269196142839</v>
          </cell>
          <cell r="AF93">
            <v>0.47832181955548825</v>
          </cell>
        </row>
        <row r="94">
          <cell r="F94">
            <v>0.73082593342045277</v>
          </cell>
          <cell r="G94">
            <v>0.78312996431313531</v>
          </cell>
          <cell r="H94">
            <v>0.81136056552559843</v>
          </cell>
          <cell r="I94">
            <v>1.7738174998872509</v>
          </cell>
          <cell r="J94">
            <v>4.1645996774485443</v>
          </cell>
          <cell r="K94">
            <v>2.1033992329394442</v>
          </cell>
          <cell r="L94">
            <v>2.3184780174008521</v>
          </cell>
          <cell r="M94">
            <v>0.7951900377547565</v>
          </cell>
          <cell r="N94">
            <v>1.3641524778725489</v>
          </cell>
          <cell r="O94">
            <v>2.6029905837869549</v>
          </cell>
          <cell r="P94">
            <v>2.4212685653773027</v>
          </cell>
          <cell r="Q94">
            <v>1.0859037540680441</v>
          </cell>
          <cell r="U94">
            <v>0.32191618174487363</v>
          </cell>
          <cell r="V94">
            <v>0.34495520259082857</v>
          </cell>
          <cell r="W94">
            <v>0.35739029408812217</v>
          </cell>
          <cell r="X94">
            <v>0.78133592496289639</v>
          </cell>
          <cell r="Y94">
            <v>1.8344341181019295</v>
          </cell>
          <cell r="Z94">
            <v>0.9265109772225445</v>
          </cell>
          <cell r="AA94">
            <v>1.0212494613155987</v>
          </cell>
          <cell r="AB94">
            <v>0.35026745632506473</v>
          </cell>
          <cell r="AC94">
            <v>0.60088556920693614</v>
          </cell>
          <cell r="AD94">
            <v>1.1465723252714359</v>
          </cell>
          <cell r="AE94">
            <v>1.0665269196142839</v>
          </cell>
          <cell r="AF94">
            <v>0.47832181955548825</v>
          </cell>
        </row>
        <row r="95">
          <cell r="F95">
            <v>0.73082593342045277</v>
          </cell>
          <cell r="G95">
            <v>0.78312996431313531</v>
          </cell>
          <cell r="H95">
            <v>0.81136056552559843</v>
          </cell>
          <cell r="I95">
            <v>1.7738174998872509</v>
          </cell>
          <cell r="J95">
            <v>4.1645996774485443</v>
          </cell>
          <cell r="K95">
            <v>2.1033992329394442</v>
          </cell>
          <cell r="L95">
            <v>2.3184780174008521</v>
          </cell>
          <cell r="M95">
            <v>0.7951900377547565</v>
          </cell>
          <cell r="N95">
            <v>1.3641524778725489</v>
          </cell>
          <cell r="O95">
            <v>2.6029905837869549</v>
          </cell>
          <cell r="P95">
            <v>2.4212685653773027</v>
          </cell>
          <cell r="Q95">
            <v>1.0859037540680441</v>
          </cell>
          <cell r="U95">
            <v>0.32191618174487363</v>
          </cell>
          <cell r="V95">
            <v>0.34495520259082857</v>
          </cell>
          <cell r="W95">
            <v>0.35739029408812217</v>
          </cell>
          <cell r="X95">
            <v>0.78133592496289639</v>
          </cell>
          <cell r="Y95">
            <v>1.8344341181019295</v>
          </cell>
          <cell r="Z95">
            <v>0.9265109772225445</v>
          </cell>
          <cell r="AA95">
            <v>1.0212494613155987</v>
          </cell>
          <cell r="AB95">
            <v>0.35026745632506473</v>
          </cell>
          <cell r="AC95">
            <v>0.60088556920693614</v>
          </cell>
          <cell r="AD95">
            <v>1.1465723252714359</v>
          </cell>
          <cell r="AE95">
            <v>1.0665269196142839</v>
          </cell>
          <cell r="AF95">
            <v>0.47832181955548825</v>
          </cell>
        </row>
        <row r="96">
          <cell r="F96">
            <v>0.73082593342045277</v>
          </cell>
          <cell r="G96">
            <v>0.78312996431313531</v>
          </cell>
          <cell r="H96">
            <v>0.81136056552559843</v>
          </cell>
          <cell r="I96">
            <v>1.7738174998872509</v>
          </cell>
          <cell r="J96">
            <v>4.1645996774485443</v>
          </cell>
          <cell r="K96">
            <v>2.1033992329394442</v>
          </cell>
          <cell r="L96">
            <v>2.3184780174008521</v>
          </cell>
          <cell r="M96">
            <v>0.7951900377547565</v>
          </cell>
          <cell r="N96">
            <v>1.3641524778725489</v>
          </cell>
          <cell r="O96">
            <v>2.6029905837869549</v>
          </cell>
          <cell r="P96">
            <v>2.4212685653773027</v>
          </cell>
          <cell r="Q96">
            <v>1.0859037540680441</v>
          </cell>
          <cell r="U96">
            <v>0.32191618174487363</v>
          </cell>
          <cell r="V96">
            <v>0.34495520259082857</v>
          </cell>
          <cell r="W96">
            <v>0.35739029408812217</v>
          </cell>
          <cell r="X96">
            <v>0.78133592496289639</v>
          </cell>
          <cell r="Y96">
            <v>1.8344341181019295</v>
          </cell>
          <cell r="Z96">
            <v>0.9265109772225445</v>
          </cell>
          <cell r="AA96">
            <v>1.0212494613155987</v>
          </cell>
          <cell r="AB96">
            <v>0.35026745632506473</v>
          </cell>
          <cell r="AC96">
            <v>0.60088556920693614</v>
          </cell>
          <cell r="AD96">
            <v>1.1465723252714359</v>
          </cell>
          <cell r="AE96">
            <v>1.0665269196142839</v>
          </cell>
          <cell r="AF96">
            <v>0.47832181955548825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F102">
            <v>3.4728501919145072</v>
          </cell>
          <cell r="G102">
            <v>2.4419061192974212</v>
          </cell>
          <cell r="H102">
            <v>2.0303118295590461</v>
          </cell>
          <cell r="I102">
            <v>2.8668381712979074</v>
          </cell>
          <cell r="J102">
            <v>2.8668381712979074</v>
          </cell>
          <cell r="K102">
            <v>2.0436430311904337</v>
          </cell>
          <cell r="L102">
            <v>2.8668381712979074</v>
          </cell>
          <cell r="M102">
            <v>2.6937282755731391</v>
          </cell>
          <cell r="N102">
            <v>4.3962305369329355</v>
          </cell>
          <cell r="O102">
            <v>4.469689919150774</v>
          </cell>
          <cell r="P102">
            <v>4.8828295498356677</v>
          </cell>
          <cell r="Q102">
            <v>4.7343960607301847</v>
          </cell>
        </row>
        <row r="103">
          <cell r="F103">
            <v>1.0150324314589851E-2</v>
          </cell>
          <cell r="G103">
            <v>1.08767666208122E-2</v>
          </cell>
          <cell r="H103">
            <v>1.1268856918649919E-2</v>
          </cell>
          <cell r="I103">
            <v>2.4636267099175522E-2</v>
          </cell>
          <cell r="J103">
            <v>5.7841457771886984E-2</v>
          </cell>
          <cell r="K103">
            <v>2.9213774992179798E-2</v>
          </cell>
          <cell r="L103">
            <v>3.2200969775010649E-2</v>
          </cell>
          <cell r="M103">
            <v>1.1044267048878975E-2</v>
          </cell>
          <cell r="N103">
            <v>1.8946495234716337E-2</v>
          </cell>
          <cell r="O103">
            <v>3.6152519232046369E-2</v>
          </cell>
          <cell r="P103">
            <v>3.3628611229320024E-2</v>
          </cell>
          <cell r="Q103">
            <v>1.5081943283859936E-2</v>
          </cell>
        </row>
        <row r="104">
          <cell r="F104">
            <v>3.246513007437709E-2</v>
          </cell>
          <cell r="G104">
            <v>2.784002065947954E-2</v>
          </cell>
          <cell r="H104">
            <v>6.6222024297460963E-2</v>
          </cell>
          <cell r="I104">
            <v>9.6324029772279454E-2</v>
          </cell>
          <cell r="J104">
            <v>5.2562078251376237E-2</v>
          </cell>
          <cell r="K104">
            <v>3.8652613510924347E-2</v>
          </cell>
          <cell r="L104">
            <v>2.3440076328904727E-2</v>
          </cell>
          <cell r="M104">
            <v>3.2548401433269036E-2</v>
          </cell>
          <cell r="N104">
            <v>3.7218109168081402E-2</v>
          </cell>
          <cell r="O104">
            <v>3.5995010384407528E-2</v>
          </cell>
          <cell r="P104">
            <v>2.4679813513068746E-2</v>
          </cell>
          <cell r="Q104">
            <v>3.2052692606370968E-2</v>
          </cell>
        </row>
        <row r="107">
          <cell r="F107">
            <v>5.9761617690268922</v>
          </cell>
          <cell r="G107">
            <v>6.1623750447885239</v>
          </cell>
          <cell r="H107">
            <v>5.7695281976164603</v>
          </cell>
          <cell r="I107">
            <v>4.5187717077045901</v>
          </cell>
          <cell r="J107">
            <v>5.5577705632881154</v>
          </cell>
          <cell r="K107">
            <v>4.8989955812427359</v>
          </cell>
          <cell r="L107">
            <v>6.0060566173806</v>
          </cell>
          <cell r="M107">
            <v>4.6310980622215387</v>
          </cell>
          <cell r="N107">
            <v>5.0767035049345077</v>
          </cell>
          <cell r="O107">
            <v>5.4125095286192098</v>
          </cell>
          <cell r="P107">
            <v>5.7540089051110286</v>
          </cell>
          <cell r="Q107">
            <v>5.9571604725833698</v>
          </cell>
        </row>
        <row r="108">
          <cell r="F108">
            <v>29.969853401079952</v>
          </cell>
          <cell r="G108">
            <v>30.903694349769616</v>
          </cell>
          <cell r="H108">
            <v>28.933606712610437</v>
          </cell>
          <cell r="I108">
            <v>22.66118804459774</v>
          </cell>
          <cell r="J108">
            <v>27.871663361232027</v>
          </cell>
          <cell r="K108">
            <v>24.567972731817559</v>
          </cell>
          <cell r="L108">
            <v>30.119773074816298</v>
          </cell>
          <cell r="M108">
            <v>23.224493475082898</v>
          </cell>
          <cell r="N108">
            <v>25.459160190774167</v>
          </cell>
          <cell r="O108">
            <v>27.143193804654874</v>
          </cell>
          <cell r="P108">
            <v>28.855779013285623</v>
          </cell>
          <cell r="Q108">
            <v>29.874563800354235</v>
          </cell>
        </row>
        <row r="109">
          <cell r="F109">
            <v>29.969853401079945</v>
          </cell>
          <cell r="G109">
            <v>30.903694349769616</v>
          </cell>
          <cell r="H109">
            <v>28.933606712610437</v>
          </cell>
          <cell r="I109">
            <v>22.661188044597733</v>
          </cell>
          <cell r="J109">
            <v>27.871663361232017</v>
          </cell>
          <cell r="K109">
            <v>24.567972731817555</v>
          </cell>
          <cell r="L109">
            <v>30.119773074816301</v>
          </cell>
          <cell r="M109">
            <v>23.224493475082898</v>
          </cell>
          <cell r="N109">
            <v>25.459160190774163</v>
          </cell>
          <cell r="O109">
            <v>27.143193804654871</v>
          </cell>
          <cell r="P109">
            <v>28.85577901328562</v>
          </cell>
          <cell r="Q109">
            <v>29.874563800354235</v>
          </cell>
        </row>
        <row r="110">
          <cell r="F110">
            <v>115.75855876167131</v>
          </cell>
          <cell r="G110">
            <v>119.36551942598514</v>
          </cell>
          <cell r="H110">
            <v>111.75605592745782</v>
          </cell>
          <cell r="I110">
            <v>87.528838822258777</v>
          </cell>
          <cell r="J110">
            <v>107.6542997327587</v>
          </cell>
          <cell r="K110">
            <v>94.893794676645314</v>
          </cell>
          <cell r="L110">
            <v>116.33762350147795</v>
          </cell>
          <cell r="M110">
            <v>89.704606047507696</v>
          </cell>
          <cell r="N110">
            <v>98.336006236865202</v>
          </cell>
          <cell r="O110">
            <v>104.84058607047943</v>
          </cell>
          <cell r="P110">
            <v>111.4554464388157</v>
          </cell>
          <cell r="Q110">
            <v>115.39050267886823</v>
          </cell>
        </row>
        <row r="112">
          <cell r="F112">
            <v>126.77247988656818</v>
          </cell>
          <cell r="G112">
            <v>130.72262709952545</v>
          </cell>
          <cell r="H112">
            <v>122.38915639434214</v>
          </cell>
          <cell r="I112">
            <v>95.856825428648435</v>
          </cell>
          <cell r="J112">
            <v>117.89713601801145</v>
          </cell>
          <cell r="K112">
            <v>103.92252465558826</v>
          </cell>
          <cell r="L112">
            <v>127.40664010647292</v>
          </cell>
          <cell r="M112">
            <v>98.239607399600644</v>
          </cell>
          <cell r="N112">
            <v>107.6922476069747</v>
          </cell>
          <cell r="O112">
            <v>114.81570979369009</v>
          </cell>
          <cell r="P112">
            <v>122.05994522619817</v>
          </cell>
          <cell r="Q112">
            <v>126.36940487549842</v>
          </cell>
        </row>
        <row r="113">
          <cell r="F113">
            <v>74.924633502699848</v>
          </cell>
          <cell r="G113">
            <v>77.259235874424022</v>
          </cell>
          <cell r="H113">
            <v>72.334016781526074</v>
          </cell>
          <cell r="I113">
            <v>56.652970111494334</v>
          </cell>
          <cell r="J113">
            <v>69.679158403080038</v>
          </cell>
          <cell r="K113">
            <v>61.41993182954387</v>
          </cell>
          <cell r="L113">
            <v>75.299432687040721</v>
          </cell>
          <cell r="M113">
            <v>58.061233687707229</v>
          </cell>
          <cell r="N113">
            <v>63.647900476935391</v>
          </cell>
          <cell r="O113">
            <v>67.85798451163717</v>
          </cell>
          <cell r="P113">
            <v>72.139447533214039</v>
          </cell>
          <cell r="Q113">
            <v>74.686409500885574</v>
          </cell>
        </row>
        <row r="114">
          <cell r="F114">
            <v>221.84815081274789</v>
          </cell>
          <cell r="G114">
            <v>228.76079348895666</v>
          </cell>
          <cell r="H114">
            <v>214.17746225293965</v>
          </cell>
          <cell r="I114">
            <v>167.74665513488299</v>
          </cell>
          <cell r="J114">
            <v>206.31655730895</v>
          </cell>
          <cell r="K114">
            <v>181.86139407593294</v>
          </cell>
          <cell r="L114">
            <v>222.95791274397115</v>
          </cell>
          <cell r="M114">
            <v>171.91645424679356</v>
          </cell>
          <cell r="N114">
            <v>188.45829954461004</v>
          </cell>
          <cell r="O114">
            <v>200.92415108369303</v>
          </cell>
          <cell r="P114">
            <v>213.60135228849788</v>
          </cell>
          <cell r="Q114">
            <v>221.14278127257117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1373.0441000000001</v>
          </cell>
          <cell r="J59">
            <v>573.15589999999997</v>
          </cell>
        </row>
        <row r="60">
          <cell r="J60">
            <v>11.977314999999999</v>
          </cell>
        </row>
      </sheetData>
      <sheetData sheetId="23"/>
      <sheetData sheetId="24"/>
      <sheetData sheetId="25">
        <row r="7">
          <cell r="L7">
            <v>6391.5220184431864</v>
          </cell>
          <cell r="Y7">
            <v>2156.1616534933578</v>
          </cell>
          <cell r="Z7">
            <v>1386.2088428002232</v>
          </cell>
          <cell r="AA7">
            <v>1466.8358928184914</v>
          </cell>
          <cell r="AB7">
            <v>1510.2202239668084</v>
          </cell>
          <cell r="AC7">
            <v>2007.6271196522696</v>
          </cell>
          <cell r="AD7">
            <v>1912.8011148571943</v>
          </cell>
          <cell r="AE7">
            <v>1708.1289725935362</v>
          </cell>
          <cell r="AF7">
            <v>1510.7391349187697</v>
          </cell>
          <cell r="AG7">
            <v>2092.9465477051986</v>
          </cell>
          <cell r="AH7">
            <v>2276.4933268305599</v>
          </cell>
          <cell r="AI7">
            <v>2540.8696860550049</v>
          </cell>
          <cell r="AJ7">
            <v>2833.4607359819784</v>
          </cell>
        </row>
        <row r="9">
          <cell r="Y9">
            <v>77.132159823343216</v>
          </cell>
          <cell r="Z9">
            <v>78.311118799144509</v>
          </cell>
          <cell r="AA9">
            <v>71.874313476149055</v>
          </cell>
          <cell r="AB9">
            <v>70.706011405322513</v>
          </cell>
          <cell r="AC9">
            <v>72.362257972170184</v>
          </cell>
          <cell r="AD9">
            <v>73.006527468194861</v>
          </cell>
          <cell r="AE9">
            <v>72.232467180297476</v>
          </cell>
          <cell r="AF9">
            <v>71.828035148215932</v>
          </cell>
          <cell r="AG9">
            <v>70.091300394201284</v>
          </cell>
          <cell r="AH9">
            <v>83.181482792092183</v>
          </cell>
          <cell r="AI9">
            <v>77.621009371292601</v>
          </cell>
          <cell r="AJ9">
            <v>90.457386913729607</v>
          </cell>
        </row>
        <row r="11">
          <cell r="Y11">
            <v>62.744304116656622</v>
          </cell>
          <cell r="Z11">
            <v>40.338677325486515</v>
          </cell>
          <cell r="AA11">
            <v>42.684924481018015</v>
          </cell>
          <cell r="AB11">
            <v>43.947408517434042</v>
          </cell>
          <cell r="AC11">
            <v>58.421949181881018</v>
          </cell>
          <cell r="AD11">
            <v>55.66251244234445</v>
          </cell>
          <cell r="AE11">
            <v>49.706553102471844</v>
          </cell>
          <cell r="AF11">
            <v>43.962508826136173</v>
          </cell>
          <cell r="AG11">
            <v>60.904744538221394</v>
          </cell>
          <cell r="AH11">
            <v>66.245955810769374</v>
          </cell>
          <cell r="AI11">
            <v>73.9393078642006</v>
          </cell>
          <cell r="AJ11">
            <v>82.453707417075748</v>
          </cell>
        </row>
        <row r="19">
          <cell r="Y19">
            <v>2016.2851895533579</v>
          </cell>
          <cell r="Z19">
            <v>1267.5590466755923</v>
          </cell>
          <cell r="AA19">
            <v>1352.2766548613242</v>
          </cell>
          <cell r="AB19">
            <v>1395.5668040440519</v>
          </cell>
          <cell r="AC19">
            <v>1876.8429124982183</v>
          </cell>
          <cell r="AD19">
            <v>1784.1320749466549</v>
          </cell>
          <cell r="AE19">
            <v>1586.189952310767</v>
          </cell>
          <cell r="AF19">
            <v>1394.9485909444174</v>
          </cell>
          <cell r="AG19">
            <v>1961.950502772776</v>
          </cell>
          <cell r="AH19">
            <v>2127.0658882276985</v>
          </cell>
          <cell r="AI19">
            <v>2389.3093688195117</v>
          </cell>
          <cell r="AJ19">
            <v>2660.5496416511728</v>
          </cell>
        </row>
        <row r="20">
          <cell r="Y20">
            <v>299.8447667167955</v>
          </cell>
          <cell r="Z20">
            <v>231.7647684333111</v>
          </cell>
          <cell r="AA20">
            <v>282.65885980106953</v>
          </cell>
          <cell r="AB20">
            <v>310.12956849522186</v>
          </cell>
          <cell r="AC20">
            <v>330.91535713526935</v>
          </cell>
          <cell r="AD20">
            <v>308.39109775741753</v>
          </cell>
          <cell r="AE20">
            <v>320.67497119215352</v>
          </cell>
          <cell r="AF20">
            <v>266.65125360220179</v>
          </cell>
          <cell r="AG20">
            <v>353.41785160613875</v>
          </cell>
          <cell r="AH20">
            <v>377.34703737482562</v>
          </cell>
          <cell r="AI20">
            <v>375.58573829980941</v>
          </cell>
          <cell r="AJ20">
            <v>376.92098480430991</v>
          </cell>
        </row>
        <row r="22">
          <cell r="Y22">
            <v>72.989523861831685</v>
          </cell>
          <cell r="Z22">
            <v>45.885637489656347</v>
          </cell>
          <cell r="AA22">
            <v>48.952414905980049</v>
          </cell>
          <cell r="AB22">
            <v>50.51951830639473</v>
          </cell>
          <cell r="AC22">
            <v>67.941713432435563</v>
          </cell>
          <cell r="AD22">
            <v>64.585581113068883</v>
          </cell>
          <cell r="AE22">
            <v>57.420076273649784</v>
          </cell>
          <cell r="AF22">
            <v>50.497138992187956</v>
          </cell>
          <cell r="AG22">
            <v>71.022608200374407</v>
          </cell>
          <cell r="AH22">
            <v>76.999785153842822</v>
          </cell>
          <cell r="AI22">
            <v>86.492999151266304</v>
          </cell>
          <cell r="AJ22">
            <v>96.311897027772375</v>
          </cell>
        </row>
        <row r="27">
          <cell r="Y27">
            <v>1643.4508989747308</v>
          </cell>
          <cell r="Z27">
            <v>989.90864075262482</v>
          </cell>
          <cell r="AA27">
            <v>1020.6653801542747</v>
          </cell>
          <cell r="AB27">
            <v>1034.9177172424354</v>
          </cell>
          <cell r="AC27">
            <v>1477.9858419305135</v>
          </cell>
          <cell r="AD27">
            <v>1411.1553960761685</v>
          </cell>
          <cell r="AE27">
            <v>1208.0949048449636</v>
          </cell>
          <cell r="AF27">
            <v>1077.8001983500276</v>
          </cell>
          <cell r="AG27">
            <v>1537.5100429662627</v>
          </cell>
          <cell r="AH27">
            <v>1672.7190656990301</v>
          </cell>
          <cell r="AI27">
            <v>1927.2306313684362</v>
          </cell>
          <cell r="AJ27">
            <v>2187.3167598190903</v>
          </cell>
        </row>
        <row r="28">
          <cell r="Y28">
            <v>604.45731172651165</v>
          </cell>
          <cell r="Z28">
            <v>641.17400011146333</v>
          </cell>
          <cell r="AA28">
            <v>781.98658640417614</v>
          </cell>
          <cell r="AB28">
            <v>698.77995467177527</v>
          </cell>
          <cell r="AC28">
            <v>586.06273185029545</v>
          </cell>
          <cell r="AD28">
            <v>653.15536096913104</v>
          </cell>
          <cell r="AE28">
            <v>602.27918045771185</v>
          </cell>
          <cell r="AF28">
            <v>607.56141743067849</v>
          </cell>
          <cell r="AG28">
            <v>537.72082809455401</v>
          </cell>
          <cell r="AH28">
            <v>464.93046715042806</v>
          </cell>
          <cell r="AI28">
            <v>531.92592045264382</v>
          </cell>
          <cell r="AJ28">
            <v>540.94364912005676</v>
          </cell>
        </row>
        <row r="29">
          <cell r="Y29">
            <v>965.03829679435614</v>
          </cell>
          <cell r="Z29">
            <v>304.18875180729339</v>
          </cell>
          <cell r="AA29">
            <v>192.74885164315614</v>
          </cell>
          <cell r="AB29">
            <v>289.5664652947504</v>
          </cell>
          <cell r="AC29">
            <v>825.41374719334499</v>
          </cell>
          <cell r="AD29">
            <v>694.49804228360983</v>
          </cell>
          <cell r="AE29">
            <v>551.45145366922839</v>
          </cell>
          <cell r="AF29">
            <v>421.7377719935979</v>
          </cell>
          <cell r="AG29">
            <v>930.60126293822691</v>
          </cell>
          <cell r="AH29">
            <v>1132.5162405921456</v>
          </cell>
          <cell r="AI29">
            <v>1308.5793325042127</v>
          </cell>
          <cell r="AJ29">
            <v>1547.9438565071746</v>
          </cell>
        </row>
        <row r="30">
          <cell r="Y30">
            <v>73.955290453863086</v>
          </cell>
          <cell r="Z30">
            <v>44.545888833868105</v>
          </cell>
          <cell r="AA30">
            <v>45.929942106942377</v>
          </cell>
          <cell r="AB30">
            <v>46.571297275909728</v>
          </cell>
          <cell r="AC30">
            <v>66.509362886873078</v>
          </cell>
          <cell r="AD30">
            <v>63.501992823427599</v>
          </cell>
          <cell r="AE30">
            <v>54.364270718023363</v>
          </cell>
          <cell r="AF30">
            <v>48.501008925751194</v>
          </cell>
          <cell r="AG30">
            <v>69.187951933481827</v>
          </cell>
          <cell r="AH30">
            <v>75.272357956456517</v>
          </cell>
          <cell r="AI30">
            <v>86.725378411579641</v>
          </cell>
          <cell r="AJ30">
            <v>98.429254191858945</v>
          </cell>
        </row>
        <row r="37">
          <cell r="Y37">
            <v>420.14901763885621</v>
          </cell>
          <cell r="Z37">
            <v>215.56904243492971</v>
          </cell>
          <cell r="AA37">
            <v>169.60631402329224</v>
          </cell>
          <cell r="AB37">
            <v>443.37719850142236</v>
          </cell>
          <cell r="AC37">
            <v>168.9166147590395</v>
          </cell>
          <cell r="AD37">
            <v>220.32382912638741</v>
          </cell>
          <cell r="AE37">
            <v>239.27401792122893</v>
          </cell>
          <cell r="AF37">
            <v>310.75912881985437</v>
          </cell>
          <cell r="AG37">
            <v>176.40928444108525</v>
          </cell>
          <cell r="AH37">
            <v>282.86310444267838</v>
          </cell>
          <cell r="AI37">
            <v>296.47006268898446</v>
          </cell>
          <cell r="AJ37">
            <v>316.49763233201617</v>
          </cell>
        </row>
        <row r="46">
          <cell r="Y46">
            <v>2639.6625728813665</v>
          </cell>
          <cell r="Z46">
            <v>1641.1658660196238</v>
          </cell>
          <cell r="AA46">
            <v>1676.6825889772372</v>
          </cell>
          <cell r="AB46">
            <v>2001.6367033485967</v>
          </cell>
          <cell r="AC46">
            <v>2230.0653016509314</v>
          </cell>
          <cell r="AD46">
            <v>2185.5788360487518</v>
          </cell>
          <cell r="AE46">
            <v>1995.289949297915</v>
          </cell>
          <cell r="AF46">
            <v>1866.2892046502293</v>
          </cell>
          <cell r="AG46">
            <v>2325.1596640843068</v>
          </cell>
          <cell r="AH46">
            <v>2622.2914254848752</v>
          </cell>
          <cell r="AI46">
            <v>2907.1103983032676</v>
          </cell>
          <cell r="AJ46">
            <v>3227.4163609774532</v>
          </cell>
        </row>
        <row r="47">
          <cell r="Y47">
            <v>63.35190174915256</v>
          </cell>
          <cell r="Z47">
            <v>39.38798078447082</v>
          </cell>
          <cell r="AA47">
            <v>40.240382135453544</v>
          </cell>
          <cell r="AB47">
            <v>48.039280880366142</v>
          </cell>
          <cell r="AC47">
            <v>53.521567239622151</v>
          </cell>
          <cell r="AD47">
            <v>52.453892065169846</v>
          </cell>
          <cell r="AE47">
            <v>47.88695878314978</v>
          </cell>
          <cell r="AF47">
            <v>44.790940911605333</v>
          </cell>
          <cell r="AG47">
            <v>55.803831938023151</v>
          </cell>
          <cell r="AH47">
            <v>62.93499421163677</v>
          </cell>
          <cell r="AI47">
            <v>69.770649559278169</v>
          </cell>
          <cell r="AJ47">
            <v>77.457992663458583</v>
          </cell>
        </row>
        <row r="48">
          <cell r="Y48">
            <v>306.88663838954807</v>
          </cell>
          <cell r="Z48">
            <v>311.43502552720895</v>
          </cell>
          <cell r="AA48">
            <v>272.69162927753302</v>
          </cell>
          <cell r="AB48">
            <v>297.02700246635197</v>
          </cell>
          <cell r="AC48">
            <v>312.54748616724703</v>
          </cell>
          <cell r="AD48">
            <v>293.71625718184799</v>
          </cell>
          <cell r="AE48">
            <v>317.61823211265892</v>
          </cell>
          <cell r="AF48">
            <v>294.370388389548</v>
          </cell>
          <cell r="AG48">
            <v>294.05234211265901</v>
          </cell>
          <cell r="AH48">
            <v>312.43503211265903</v>
          </cell>
          <cell r="AI48">
            <v>288.33016594332594</v>
          </cell>
          <cell r="AJ48">
            <v>319.03183211265895</v>
          </cell>
        </row>
        <row r="49">
          <cell r="Y49">
            <v>48.654344999999999</v>
          </cell>
          <cell r="Z49">
            <v>50.27704</v>
          </cell>
          <cell r="AA49">
            <v>48.654344999999999</v>
          </cell>
          <cell r="AB49">
            <v>50.27704</v>
          </cell>
          <cell r="AC49">
            <v>50.27704</v>
          </cell>
          <cell r="AD49">
            <v>48.654344999999999</v>
          </cell>
          <cell r="AE49">
            <v>50.27704</v>
          </cell>
          <cell r="AF49">
            <v>38.320340000000002</v>
          </cell>
          <cell r="AG49">
            <v>45.108564999999992</v>
          </cell>
          <cell r="AH49">
            <v>50.27704</v>
          </cell>
          <cell r="AI49">
            <v>45.411899999999996</v>
          </cell>
          <cell r="AJ49">
            <v>50.27704</v>
          </cell>
        </row>
        <row r="52">
          <cell r="Y52">
            <v>13.972760647209238</v>
          </cell>
          <cell r="Z52">
            <v>12.94929194587408</v>
          </cell>
          <cell r="AA52">
            <v>10.572282553730835</v>
          </cell>
          <cell r="AB52">
            <v>12.190371890568954</v>
          </cell>
          <cell r="AC52">
            <v>12.227186531836225</v>
          </cell>
          <cell r="AD52">
            <v>11.982971076364681</v>
          </cell>
          <cell r="AE52">
            <v>12.214123034140275</v>
          </cell>
          <cell r="AF52">
            <v>10.903938622967434</v>
          </cell>
          <cell r="AG52">
            <v>13.362939740238764</v>
          </cell>
          <cell r="AH52">
            <v>14.091364001576805</v>
          </cell>
          <cell r="AI52">
            <v>12.532014576171889</v>
          </cell>
          <cell r="AJ52">
            <v>13.128930403605025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359">
          <cell r="BN359">
            <v>7.51</v>
          </cell>
        </row>
        <row r="361">
          <cell r="BN361">
            <v>9.3613700047873607</v>
          </cell>
        </row>
        <row r="362">
          <cell r="BN362">
            <v>6.2716402822889181</v>
          </cell>
        </row>
        <row r="363">
          <cell r="BN363">
            <v>4.2950819672131155</v>
          </cell>
        </row>
        <row r="364">
          <cell r="BN364">
            <v>2.15</v>
          </cell>
        </row>
        <row r="365">
          <cell r="BN365">
            <v>5.8797512863388901</v>
          </cell>
        </row>
        <row r="366">
          <cell r="BN366">
            <v>2.822871232600924</v>
          </cell>
        </row>
        <row r="367">
          <cell r="BN367">
            <v>2.5291625268563891</v>
          </cell>
        </row>
        <row r="368">
          <cell r="BN368">
            <v>4.1048427492006478</v>
          </cell>
        </row>
        <row r="369">
          <cell r="BN369">
            <v>2.4442924982545899</v>
          </cell>
        </row>
        <row r="370">
          <cell r="BN370">
            <v>10.395315301599881</v>
          </cell>
        </row>
        <row r="371">
          <cell r="BN371">
            <v>4.7370130449857362</v>
          </cell>
        </row>
      </sheetData>
      <sheetData sheetId="30">
        <row r="16">
          <cell r="D16">
            <v>305.64274306391098</v>
          </cell>
        </row>
        <row r="21">
          <cell r="D21">
            <v>173.18364056134649</v>
          </cell>
          <cell r="E21">
            <v>267.83982727971005</v>
          </cell>
          <cell r="F21">
            <v>272.285907771952</v>
          </cell>
          <cell r="G21">
            <v>229.07151999093981</v>
          </cell>
          <cell r="H21">
            <v>267.9703683128804</v>
          </cell>
          <cell r="I21">
            <v>261.38107883477227</v>
          </cell>
          <cell r="J21">
            <v>262.21638517473696</v>
          </cell>
          <cell r="K21">
            <v>242.32495790175875</v>
          </cell>
          <cell r="L21">
            <v>185.71356613431061</v>
          </cell>
          <cell r="M21">
            <v>188.39362767257612</v>
          </cell>
          <cell r="N21">
            <v>32.035800317346983</v>
          </cell>
          <cell r="O21">
            <v>34.050336148684138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-98.813848208658783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-56.704202581571302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E31">
            <v>-638.22009050709221</v>
          </cell>
          <cell r="F31">
            <v>-660.96766373912988</v>
          </cell>
          <cell r="G31">
            <v>-572.23438007479149</v>
          </cell>
          <cell r="H31">
            <v>-706.41513561055854</v>
          </cell>
          <cell r="I31">
            <v>-681.54916852458337</v>
          </cell>
          <cell r="J31">
            <v>-685.25713523233298</v>
          </cell>
          <cell r="K31">
            <v>-622.45114767828363</v>
          </cell>
          <cell r="L31">
            <v>-443.51197135112943</v>
          </cell>
          <cell r="M31">
            <v>-426.17658938351497</v>
          </cell>
          <cell r="N31">
            <v>-59.748476047714121</v>
          </cell>
          <cell r="O31">
            <v>-59.932747906500481</v>
          </cell>
        </row>
      </sheetData>
      <sheetData sheetId="31">
        <row r="4">
          <cell r="F4">
            <v>82.090716838471351</v>
          </cell>
        </row>
      </sheetData>
      <sheetData sheetId="32"/>
      <sheetData sheetId="33"/>
      <sheetData sheetId="34"/>
      <sheetData sheetId="35"/>
      <sheetData sheetId="36"/>
      <sheetData sheetId="37">
        <row r="4">
          <cell r="F4">
            <v>34.267492712870038</v>
          </cell>
          <cell r="G4">
            <v>40.811228609452002</v>
          </cell>
          <cell r="H4">
            <v>39.494737363985863</v>
          </cell>
          <cell r="I4">
            <v>0</v>
          </cell>
          <cell r="J4">
            <v>13.653756630368136</v>
          </cell>
          <cell r="K4">
            <v>29.302059059476377</v>
          </cell>
          <cell r="L4">
            <v>26.407265570821885</v>
          </cell>
          <cell r="M4">
            <v>40.365944805838424</v>
          </cell>
          <cell r="N4">
            <v>33.371208095568804</v>
          </cell>
          <cell r="O4">
            <v>33.916442450839313</v>
          </cell>
          <cell r="P4">
            <v>32.796120144407823</v>
          </cell>
          <cell r="Q4">
            <v>39.910980919537622</v>
          </cell>
          <cell r="U4">
            <v>6.5013917613628154</v>
          </cell>
          <cell r="V4">
            <v>7.7429004705948117</v>
          </cell>
          <cell r="W4">
            <v>7.4931294876724079</v>
          </cell>
          <cell r="X4">
            <v>0</v>
          </cell>
          <cell r="Y4">
            <v>2.5904556721475296</v>
          </cell>
          <cell r="Z4">
            <v>5.5593260632312802</v>
          </cell>
          <cell r="AA4">
            <v>5.0101120692084073</v>
          </cell>
          <cell r="AB4">
            <v>7.6584191087239928</v>
          </cell>
          <cell r="AC4">
            <v>6.3313443792685327</v>
          </cell>
          <cell r="AD4">
            <v>6.4347888353619407</v>
          </cell>
          <cell r="AE4">
            <v>6.2222359569201187</v>
          </cell>
          <cell r="AF4">
            <v>7.5721011955081625</v>
          </cell>
          <cell r="AJ4">
            <v>16.175572257910368</v>
          </cell>
          <cell r="AK4">
            <v>19.26446684727404</v>
          </cell>
          <cell r="AL4">
            <v>18.643032432845871</v>
          </cell>
          <cell r="AM4">
            <v>0</v>
          </cell>
          <cell r="AN4">
            <v>6.4450973643453606</v>
          </cell>
          <cell r="AO4">
            <v>13.831696926110462</v>
          </cell>
          <cell r="AP4">
            <v>12.465243254118498</v>
          </cell>
          <cell r="AQ4">
            <v>19.054275795335087</v>
          </cell>
          <cell r="AR4">
            <v>15.752491505773381</v>
          </cell>
          <cell r="AS4">
            <v>16.009863055687241</v>
          </cell>
          <cell r="AT4">
            <v>15.481027912372971</v>
          </cell>
          <cell r="AU4">
            <v>18.839515372701818</v>
          </cell>
        </row>
        <row r="5">
          <cell r="F5">
            <v>34.267492712870038</v>
          </cell>
          <cell r="G5">
            <v>41.222694978559915</v>
          </cell>
          <cell r="H5">
            <v>39.827305045773812</v>
          </cell>
          <cell r="I5">
            <v>0</v>
          </cell>
          <cell r="J5">
            <v>13.653756630368136</v>
          </cell>
          <cell r="K5">
            <v>29.911455503606902</v>
          </cell>
          <cell r="L5">
            <v>26.407265570821885</v>
          </cell>
          <cell r="M5">
            <v>40.365944805838424</v>
          </cell>
          <cell r="N5">
            <v>34.509494780051327</v>
          </cell>
          <cell r="O5">
            <v>34.509494780051327</v>
          </cell>
          <cell r="P5">
            <v>32.873516965722885</v>
          </cell>
          <cell r="Q5">
            <v>39.910980919537622</v>
          </cell>
          <cell r="U5">
            <v>6.4454441329296426</v>
          </cell>
          <cell r="V5">
            <v>7.7536626247918434</v>
          </cell>
          <cell r="W5">
            <v>7.4912008237261531</v>
          </cell>
          <cell r="X5">
            <v>0</v>
          </cell>
          <cell r="Y5">
            <v>2.5681635450557243</v>
          </cell>
          <cell r="Z5">
            <v>5.6261080143368929</v>
          </cell>
          <cell r="AA5">
            <v>4.9669976256022794</v>
          </cell>
          <cell r="AB5">
            <v>7.5925146989594925</v>
          </cell>
          <cell r="AC5">
            <v>6.4909628061847968</v>
          </cell>
          <cell r="AD5">
            <v>6.4909628061847968</v>
          </cell>
          <cell r="AE5">
            <v>6.1832483289885696</v>
          </cell>
          <cell r="AF5">
            <v>7.5069395932398084</v>
          </cell>
          <cell r="AJ5">
            <v>16.160144911932381</v>
          </cell>
          <cell r="AK5">
            <v>19.440136169160702</v>
          </cell>
          <cell r="AL5">
            <v>18.782086754474289</v>
          </cell>
          <cell r="AM5">
            <v>0</v>
          </cell>
          <cell r="AN5">
            <v>6.4389503949945279</v>
          </cell>
          <cell r="AO5">
            <v>14.105889202788438</v>
          </cell>
          <cell r="AP5">
            <v>12.453354610099305</v>
          </cell>
          <cell r="AQ5">
            <v>19.036102904733902</v>
          </cell>
          <cell r="AR5">
            <v>16.274270229107046</v>
          </cell>
          <cell r="AS5">
            <v>16.274270229107046</v>
          </cell>
          <cell r="AT5">
            <v>15.502762410493734</v>
          </cell>
          <cell r="AU5">
            <v>18.821547308445542</v>
          </cell>
        </row>
        <row r="6">
          <cell r="F6">
            <v>71.443374822563356</v>
          </cell>
          <cell r="G6">
            <v>0</v>
          </cell>
          <cell r="H6">
            <v>41.237152247691057</v>
          </cell>
          <cell r="I6">
            <v>70.610155768383663</v>
          </cell>
          <cell r="J6">
            <v>58.590979083706173</v>
          </cell>
          <cell r="K6">
            <v>61.565325890919041</v>
          </cell>
          <cell r="L6">
            <v>61.476149685900879</v>
          </cell>
          <cell r="M6">
            <v>80.731889611676849</v>
          </cell>
          <cell r="N6">
            <v>72.619980319760174</v>
          </cell>
          <cell r="O6">
            <v>71.170235916040923</v>
          </cell>
          <cell r="P6">
            <v>68.341743348988444</v>
          </cell>
          <cell r="Q6">
            <v>81.622457218904003</v>
          </cell>
          <cell r="U6">
            <v>16.438592695214361</v>
          </cell>
          <cell r="V6">
            <v>0</v>
          </cell>
          <cell r="W6">
            <v>9.4883640560642615</v>
          </cell>
          <cell r="X6">
            <v>16.246875146994256</v>
          </cell>
          <cell r="Y6">
            <v>13.481351394204927</v>
          </cell>
          <cell r="Z6">
            <v>14.165726618912842</v>
          </cell>
          <cell r="AA6">
            <v>14.145207833006671</v>
          </cell>
          <cell r="AB6">
            <v>18.575811321027217</v>
          </cell>
          <cell r="AC6">
            <v>16.709320926900027</v>
          </cell>
          <cell r="AD6">
            <v>16.375745450880089</v>
          </cell>
          <cell r="AE6">
            <v>15.724930209205189</v>
          </cell>
          <cell r="AF6">
            <v>18.780724347590112</v>
          </cell>
          <cell r="AJ6">
            <v>30.10555932843036</v>
          </cell>
          <cell r="AK6">
            <v>0</v>
          </cell>
          <cell r="AL6">
            <v>17.376944140890394</v>
          </cell>
          <cell r="AM6">
            <v>29.754448735859874</v>
          </cell>
          <cell r="AN6">
            <v>24.689681881576742</v>
          </cell>
          <cell r="AO6">
            <v>25.943043365272977</v>
          </cell>
          <cell r="AP6">
            <v>25.905465359789247</v>
          </cell>
          <cell r="AQ6">
            <v>34.019651205405133</v>
          </cell>
          <cell r="AR6">
            <v>30.601369705389612</v>
          </cell>
          <cell r="AS6">
            <v>29.990461188460962</v>
          </cell>
          <cell r="AT6">
            <v>28.798561295728994</v>
          </cell>
          <cell r="AU6">
            <v>34.394927933330472</v>
          </cell>
        </row>
        <row r="7">
          <cell r="F7">
            <v>125.76088351979666</v>
          </cell>
          <cell r="G7">
            <v>0</v>
          </cell>
          <cell r="H7">
            <v>65.979443596305714</v>
          </cell>
          <cell r="I7">
            <v>123.95996095636013</v>
          </cell>
          <cell r="J7">
            <v>100.40024923627587</v>
          </cell>
          <cell r="K7">
            <v>100.21377222626248</v>
          </cell>
          <cell r="L7">
            <v>101.78800547298621</v>
          </cell>
          <cell r="M7">
            <v>130.40312036019532</v>
          </cell>
          <cell r="N7">
            <v>116.34261660814929</v>
          </cell>
          <cell r="O7">
            <v>116.19196851161632</v>
          </cell>
          <cell r="P7">
            <v>111.93524526655165</v>
          </cell>
          <cell r="Q7">
            <v>134.43488869052175</v>
          </cell>
          <cell r="U7">
            <v>45.39372592653983</v>
          </cell>
          <cell r="V7">
            <v>0</v>
          </cell>
          <cell r="W7">
            <v>23.815455931691421</v>
          </cell>
          <cell r="X7">
            <v>44.743678129708869</v>
          </cell>
          <cell r="Y7">
            <v>36.23973742256964</v>
          </cell>
          <cell r="Z7">
            <v>36.172428049040818</v>
          </cell>
          <cell r="AA7">
            <v>36.740651733116451</v>
          </cell>
          <cell r="AB7">
            <v>47.069353680745067</v>
          </cell>
          <cell r="AC7">
            <v>41.994177395036232</v>
          </cell>
          <cell r="AD7">
            <v>41.939800563274432</v>
          </cell>
          <cell r="AE7">
            <v>40.403324968291983</v>
          </cell>
          <cell r="AF7">
            <v>48.52463119998523</v>
          </cell>
          <cell r="AJ7">
            <v>51.140202124830765</v>
          </cell>
          <cell r="AK7">
            <v>0</v>
          </cell>
          <cell r="AL7">
            <v>26.830298795314956</v>
          </cell>
          <cell r="AM7">
            <v>50.407863568296889</v>
          </cell>
          <cell r="AN7">
            <v>40.827393189538839</v>
          </cell>
          <cell r="AO7">
            <v>40.751562997218208</v>
          </cell>
          <cell r="AP7">
            <v>41.391719174368532</v>
          </cell>
          <cell r="AQ7">
            <v>53.027950713142424</v>
          </cell>
          <cell r="AR7">
            <v>47.310298421494956</v>
          </cell>
          <cell r="AS7">
            <v>47.24903792545841</v>
          </cell>
          <cell r="AT7">
            <v>45.518057027031396</v>
          </cell>
          <cell r="AU7">
            <v>54.66745452038888</v>
          </cell>
        </row>
        <row r="8">
          <cell r="F8">
            <v>8.5668731782175485</v>
          </cell>
          <cell r="G8">
            <v>0</v>
          </cell>
          <cell r="H8">
            <v>4.9368421704981937</v>
          </cell>
          <cell r="I8">
            <v>8.1772498500556665</v>
          </cell>
          <cell r="J8">
            <v>6.8268783151840715</v>
          </cell>
          <cell r="K8">
            <v>7.2600620154385815</v>
          </cell>
          <cell r="L8">
            <v>6.6018163927054712</v>
          </cell>
          <cell r="M8">
            <v>10.085106589210042</v>
          </cell>
          <cell r="N8">
            <v>8.0167933906685178</v>
          </cell>
          <cell r="O8">
            <v>8.4023117725342686</v>
          </cell>
          <cell r="P8">
            <v>8.1990300361019948</v>
          </cell>
          <cell r="Q8">
            <v>9.9777452298844622</v>
          </cell>
          <cell r="U8">
            <v>4.1653599125472693</v>
          </cell>
          <cell r="V8">
            <v>0</v>
          </cell>
          <cell r="W8">
            <v>2.400376898756027</v>
          </cell>
          <cell r="X8">
            <v>3.9759184024003411</v>
          </cell>
          <cell r="Y8">
            <v>3.3193447212700007</v>
          </cell>
          <cell r="Z8">
            <v>3.5299660275824229</v>
          </cell>
          <cell r="AA8">
            <v>3.2099157744149438</v>
          </cell>
          <cell r="AB8">
            <v>4.903550902010922</v>
          </cell>
          <cell r="AC8">
            <v>3.8979017340387854</v>
          </cell>
          <cell r="AD8">
            <v>4.0853473492553984</v>
          </cell>
          <cell r="AE8">
            <v>3.9865083004830941</v>
          </cell>
          <cell r="AF8">
            <v>4.8513499772407949</v>
          </cell>
          <cell r="AJ8">
            <v>4.4681450788720189</v>
          </cell>
          <cell r="AK8">
            <v>0</v>
          </cell>
          <cell r="AL8">
            <v>2.5748632657906265</v>
          </cell>
          <cell r="AM8">
            <v>4.2649328309346144</v>
          </cell>
          <cell r="AN8">
            <v>3.5606319964683388</v>
          </cell>
          <cell r="AO8">
            <v>3.7865636261627187</v>
          </cell>
          <cell r="AP8">
            <v>3.4432485240572923</v>
          </cell>
          <cell r="AQ8">
            <v>5.2599960848088934</v>
          </cell>
          <cell r="AR8">
            <v>4.181245034410809</v>
          </cell>
          <cell r="AS8">
            <v>4.3823163033456618</v>
          </cell>
          <cell r="AT8">
            <v>4.2762925218131089</v>
          </cell>
          <cell r="AU8">
            <v>5.2040006102229821</v>
          </cell>
        </row>
        <row r="9">
          <cell r="F9">
            <v>82.474304495382114</v>
          </cell>
          <cell r="G9">
            <v>85.223447978561524</v>
          </cell>
          <cell r="H9">
            <v>82.768744198646033</v>
          </cell>
          <cell r="I9">
            <v>87.023943358390284</v>
          </cell>
          <cell r="J9">
            <v>70.819484939931414</v>
          </cell>
          <cell r="K9">
            <v>77.247059844266346</v>
          </cell>
          <cell r="L9">
            <v>0</v>
          </cell>
          <cell r="M9">
            <v>41.237152247691057</v>
          </cell>
          <cell r="N9">
            <v>83.005767397273502</v>
          </cell>
          <cell r="O9">
            <v>74.420475699588934</v>
          </cell>
          <cell r="P9">
            <v>74.822086200374827</v>
          </cell>
          <cell r="Q9">
            <v>91.32488198187778</v>
          </cell>
          <cell r="U9">
            <v>14.361834853957575</v>
          </cell>
          <cell r="V9">
            <v>14.840562682422828</v>
          </cell>
          <cell r="W9">
            <v>14.413107725169983</v>
          </cell>
          <cell r="X9">
            <v>15.15409569684021</v>
          </cell>
          <cell r="Y9">
            <v>12.332298567083757</v>
          </cell>
          <cell r="Z9">
            <v>13.45157771532646</v>
          </cell>
          <cell r="AA9">
            <v>0</v>
          </cell>
          <cell r="AB9">
            <v>7.1809174269787874</v>
          </cell>
          <cell r="AC9">
            <v>14.454382253716446</v>
          </cell>
          <cell r="AD9">
            <v>12.959364595918524</v>
          </cell>
          <cell r="AE9">
            <v>13.029299877254848</v>
          </cell>
          <cell r="AF9">
            <v>15.903048605330559</v>
          </cell>
          <cell r="AJ9">
            <v>31.272929920224215</v>
          </cell>
          <cell r="AK9">
            <v>32.315360917565023</v>
          </cell>
          <cell r="AL9">
            <v>31.38457672054879</v>
          </cell>
          <cell r="AM9">
            <v>32.998079810189637</v>
          </cell>
          <cell r="AN9">
            <v>26.853609776568124</v>
          </cell>
          <cell r="AO9">
            <v>29.290842812604371</v>
          </cell>
          <cell r="AP9">
            <v>0</v>
          </cell>
          <cell r="AQ9">
            <v>15.636464960112107</v>
          </cell>
          <cell r="AR9">
            <v>31.474452105682342</v>
          </cell>
          <cell r="AS9">
            <v>28.219047561817341</v>
          </cell>
          <cell r="AT9">
            <v>28.371331805051021</v>
          </cell>
          <cell r="AU9">
            <v>34.628926568903935</v>
          </cell>
        </row>
        <row r="10">
          <cell r="F10">
            <v>103.15096111535121</v>
          </cell>
          <cell r="G10">
            <v>104.77407455799997</v>
          </cell>
          <cell r="H10">
            <v>103.15096111535121</v>
          </cell>
          <cell r="I10">
            <v>114.41937420347858</v>
          </cell>
          <cell r="J10">
            <v>94.357811243858606</v>
          </cell>
          <cell r="K10">
            <v>106.87016285466547</v>
          </cell>
          <cell r="L10">
            <v>95.967145412036132</v>
          </cell>
          <cell r="M10">
            <v>0</v>
          </cell>
          <cell r="N10">
            <v>52.995039722935601</v>
          </cell>
          <cell r="O10">
            <v>106.5893264858629</v>
          </cell>
          <cell r="P10">
            <v>103.79740991628165</v>
          </cell>
          <cell r="Q10">
            <v>115.23170430904099</v>
          </cell>
          <cell r="U10">
            <v>23.24141251457274</v>
          </cell>
          <cell r="V10">
            <v>23.607123591528804</v>
          </cell>
          <cell r="W10">
            <v>23.24141251457274</v>
          </cell>
          <cell r="X10">
            <v>25.780349952808621</v>
          </cell>
          <cell r="Y10">
            <v>21.260187897215225</v>
          </cell>
          <cell r="Z10">
            <v>24.079402785469547</v>
          </cell>
          <cell r="AA10">
            <v>21.622794303127272</v>
          </cell>
          <cell r="AB10">
            <v>0</v>
          </cell>
          <cell r="AC10">
            <v>11.940553593577842</v>
          </cell>
          <cell r="AD10">
            <v>24.016126265058496</v>
          </cell>
          <cell r="AE10">
            <v>23.387066836059613</v>
          </cell>
          <cell r="AF10">
            <v>25.963379746009188</v>
          </cell>
          <cell r="AJ10">
            <v>36.721580891161871</v>
          </cell>
          <cell r="AK10">
            <v>37.299406739174145</v>
          </cell>
          <cell r="AL10">
            <v>36.721580891161871</v>
          </cell>
          <cell r="AM10">
            <v>40.733118333532005</v>
          </cell>
          <cell r="AN10">
            <v>33.591233284094635</v>
          </cell>
          <cell r="AO10">
            <v>38.04561089576891</v>
          </cell>
          <cell r="AP10">
            <v>34.164153731937624</v>
          </cell>
          <cell r="AQ10">
            <v>0</v>
          </cell>
          <cell r="AR10">
            <v>18.866151289078953</v>
          </cell>
          <cell r="AS10">
            <v>37.945633587533926</v>
          </cell>
          <cell r="AT10">
            <v>36.951715653636995</v>
          </cell>
          <cell r="AU10">
            <v>41.022306581117768</v>
          </cell>
        </row>
        <row r="11">
          <cell r="F11">
            <v>46.417932501908012</v>
          </cell>
          <cell r="G11">
            <v>46.992929413530774</v>
          </cell>
          <cell r="H11">
            <v>45.848241384173448</v>
          </cell>
          <cell r="I11">
            <v>49.487116382306368</v>
          </cell>
          <cell r="J11">
            <v>21.018210822845091</v>
          </cell>
          <cell r="K11">
            <v>0</v>
          </cell>
          <cell r="L11">
            <v>41.873322024888836</v>
          </cell>
          <cell r="M11">
            <v>45.704684403502142</v>
          </cell>
          <cell r="N11">
            <v>46.992929413530746</v>
          </cell>
          <cell r="O11">
            <v>47.503214618540881</v>
          </cell>
          <cell r="P11">
            <v>45.07975787122237</v>
          </cell>
          <cell r="Q11">
            <v>51.85426693906841</v>
          </cell>
          <cell r="U11">
            <v>14.406060868855656</v>
          </cell>
          <cell r="V11">
            <v>14.584514325564461</v>
          </cell>
          <cell r="W11">
            <v>14.229254094486867</v>
          </cell>
          <cell r="X11">
            <v>15.358598981080103</v>
          </cell>
          <cell r="Y11">
            <v>6.5231174278583168</v>
          </cell>
          <cell r="Z11">
            <v>0</v>
          </cell>
          <cell r="AA11">
            <v>12.995615990586117</v>
          </cell>
          <cell r="AB11">
            <v>14.184700395297122</v>
          </cell>
          <cell r="AC11">
            <v>14.584514325564452</v>
          </cell>
          <cell r="AD11">
            <v>14.742884147907366</v>
          </cell>
          <cell r="AE11">
            <v>13.990751005969727</v>
          </cell>
          <cell r="AF11">
            <v>16.093257186829742</v>
          </cell>
          <cell r="AJ11">
            <v>17.43897776054828</v>
          </cell>
          <cell r="AK11">
            <v>17.655001133708232</v>
          </cell>
          <cell r="AL11">
            <v>17.224947746778351</v>
          </cell>
          <cell r="AM11">
            <v>18.592054309812944</v>
          </cell>
          <cell r="AN11">
            <v>7.8964333685272221</v>
          </cell>
          <cell r="AO11">
            <v>0</v>
          </cell>
          <cell r="AP11">
            <v>15.731591050986529</v>
          </cell>
          <cell r="AQ11">
            <v>17.171014129782474</v>
          </cell>
          <cell r="AR11">
            <v>17.655001133708225</v>
          </cell>
          <cell r="AS11">
            <v>17.846712652555876</v>
          </cell>
          <cell r="AT11">
            <v>16.936232455739678</v>
          </cell>
          <cell r="AU11">
            <v>19.481380561333214</v>
          </cell>
        </row>
        <row r="12">
          <cell r="F12">
            <v>46.417932501908012</v>
          </cell>
          <cell r="G12">
            <v>0</v>
          </cell>
          <cell r="H12">
            <v>22.738514232353587</v>
          </cell>
          <cell r="I12">
            <v>48.937464423745851</v>
          </cell>
          <cell r="J12">
            <v>41.159324382885558</v>
          </cell>
          <cell r="K12">
            <v>47.358836539108836</v>
          </cell>
          <cell r="L12">
            <v>41.070126428343755</v>
          </cell>
          <cell r="M12">
            <v>45.477028464707203</v>
          </cell>
          <cell r="N12">
            <v>46.992929413530774</v>
          </cell>
          <cell r="O12">
            <v>46.697005091939701</v>
          </cell>
          <cell r="P12">
            <v>44.201837524411715</v>
          </cell>
          <cell r="Q12">
            <v>51.85426693906841</v>
          </cell>
          <cell r="U12">
            <v>14.581095727121234</v>
          </cell>
          <cell r="V12">
            <v>0</v>
          </cell>
          <cell r="W12">
            <v>7.1427664879479007</v>
          </cell>
          <cell r="X12">
            <v>15.372547094291566</v>
          </cell>
          <cell r="Y12">
            <v>12.929228350827998</v>
          </cell>
          <cell r="Z12">
            <v>14.876658478346659</v>
          </cell>
          <cell r="AA12">
            <v>12.901208922910048</v>
          </cell>
          <cell r="AB12">
            <v>14.285532975895814</v>
          </cell>
          <cell r="AC12">
            <v>14.761717408425673</v>
          </cell>
          <cell r="AD12">
            <v>14.668759781307628</v>
          </cell>
          <cell r="AE12">
            <v>13.884961899835025</v>
          </cell>
          <cell r="AF12">
            <v>16.288791623090386</v>
          </cell>
          <cell r="AJ12">
            <v>17.43897776054828</v>
          </cell>
          <cell r="AK12">
            <v>0</v>
          </cell>
          <cell r="AL12">
            <v>8.5427424840523667</v>
          </cell>
          <cell r="AM12">
            <v>18.385552904758235</v>
          </cell>
          <cell r="AN12">
            <v>15.46334582055824</v>
          </cell>
          <cell r="AO12">
            <v>17.792470552991823</v>
          </cell>
          <cell r="AP12">
            <v>15.429834609228934</v>
          </cell>
          <cell r="AQ12">
            <v>17.085484968104744</v>
          </cell>
          <cell r="AR12">
            <v>17.655001133708232</v>
          </cell>
          <cell r="AS12">
            <v>17.543823892825738</v>
          </cell>
          <cell r="AT12">
            <v>16.606402310828884</v>
          </cell>
          <cell r="AU12">
            <v>19.481380561333214</v>
          </cell>
        </row>
        <row r="13">
          <cell r="F13">
            <v>45.755412258247262</v>
          </cell>
          <cell r="G13">
            <v>46.992929413530774</v>
          </cell>
          <cell r="H13">
            <v>45.477028464707203</v>
          </cell>
          <cell r="I13">
            <v>48.937464423745851</v>
          </cell>
          <cell r="J13">
            <v>40.399007757445176</v>
          </cell>
          <cell r="K13">
            <v>47.358836539108836</v>
          </cell>
          <cell r="L13">
            <v>40.187056877778019</v>
          </cell>
          <cell r="M13">
            <v>0</v>
          </cell>
          <cell r="N13">
            <v>23.49646470676533</v>
          </cell>
          <cell r="O13">
            <v>46.020661908423207</v>
          </cell>
          <cell r="P13">
            <v>43.557268756679562</v>
          </cell>
          <cell r="Q13">
            <v>51.85426693906841</v>
          </cell>
          <cell r="U13">
            <v>14.458878694859862</v>
          </cell>
          <cell r="V13">
            <v>14.849938671110589</v>
          </cell>
          <cell r="W13">
            <v>14.370908391397345</v>
          </cell>
          <cell r="X13">
            <v>15.464418891984135</v>
          </cell>
          <cell r="Y13">
            <v>12.766235156198729</v>
          </cell>
          <cell r="Z13">
            <v>14.965566669662049</v>
          </cell>
          <cell r="AA13">
            <v>12.699257898053187</v>
          </cell>
          <cell r="AB13">
            <v>0</v>
          </cell>
          <cell r="AC13">
            <v>7.4249693355552768</v>
          </cell>
          <cell r="AD13">
            <v>14.542698560673808</v>
          </cell>
          <cell r="AE13">
            <v>13.764257257210526</v>
          </cell>
          <cell r="AF13">
            <v>16.386139223294435</v>
          </cell>
          <cell r="AJ13">
            <v>17.190072323093954</v>
          </cell>
          <cell r="AK13">
            <v>17.65500113370824</v>
          </cell>
          <cell r="AL13">
            <v>17.085484968104748</v>
          </cell>
          <cell r="AM13">
            <v>18.385552904758239</v>
          </cell>
          <cell r="AN13">
            <v>15.177698787022553</v>
          </cell>
          <cell r="AO13">
            <v>17.792470552991823</v>
          </cell>
          <cell r="AP13">
            <v>15.098069935033243</v>
          </cell>
          <cell r="AQ13">
            <v>0</v>
          </cell>
          <cell r="AR13">
            <v>8.8275005668540985</v>
          </cell>
          <cell r="AS13">
            <v>17.289725248183228</v>
          </cell>
          <cell r="AT13">
            <v>16.364241150265283</v>
          </cell>
          <cell r="AU13">
            <v>19.481380561333218</v>
          </cell>
        </row>
        <row r="14">
          <cell r="F14">
            <v>44.536124427506337</v>
          </cell>
          <cell r="G14">
            <v>0</v>
          </cell>
          <cell r="H14">
            <v>22.738514232353587</v>
          </cell>
          <cell r="I14">
            <v>48.937464423745851</v>
          </cell>
          <cell r="J14">
            <v>40.187056877778019</v>
          </cell>
          <cell r="K14">
            <v>47.358836539108836</v>
          </cell>
          <cell r="L14">
            <v>40.187056877778019</v>
          </cell>
          <cell r="M14">
            <v>45.477028464707203</v>
          </cell>
          <cell r="N14">
            <v>46.992929413530746</v>
          </cell>
          <cell r="O14">
            <v>46.011597611049552</v>
          </cell>
          <cell r="P14">
            <v>43.323403668447483</v>
          </cell>
          <cell r="Q14">
            <v>51.85426693906841</v>
          </cell>
          <cell r="U14">
            <v>14.145246561212479</v>
          </cell>
          <cell r="V14">
            <v>0</v>
          </cell>
          <cell r="W14">
            <v>7.222044899210597</v>
          </cell>
          <cell r="X14">
            <v>15.543168815266592</v>
          </cell>
          <cell r="Y14">
            <v>12.763926709225533</v>
          </cell>
          <cell r="Z14">
            <v>15.041776272838618</v>
          </cell>
          <cell r="AA14">
            <v>12.763926709225533</v>
          </cell>
          <cell r="AB14">
            <v>14.444089798421203</v>
          </cell>
          <cell r="AC14">
            <v>14.925559458368568</v>
          </cell>
          <cell r="AD14">
            <v>14.613875842362628</v>
          </cell>
          <cell r="AE14">
            <v>13.760070833254582</v>
          </cell>
          <cell r="AF14">
            <v>16.469582850613591</v>
          </cell>
          <cell r="AJ14">
            <v>16.731992175661183</v>
          </cell>
          <cell r="AK14">
            <v>0</v>
          </cell>
          <cell r="AL14">
            <v>8.5427424840523649</v>
          </cell>
          <cell r="AM14">
            <v>18.385552904758235</v>
          </cell>
          <cell r="AN14">
            <v>15.098069935033241</v>
          </cell>
          <cell r="AO14">
            <v>17.792470552991819</v>
          </cell>
          <cell r="AP14">
            <v>15.098069935033241</v>
          </cell>
          <cell r="AQ14">
            <v>17.085484968104744</v>
          </cell>
          <cell r="AR14">
            <v>17.655001133708222</v>
          </cell>
          <cell r="AS14">
            <v>17.286319838424664</v>
          </cell>
          <cell r="AT14">
            <v>16.276379243178393</v>
          </cell>
          <cell r="AU14">
            <v>19.481380561333211</v>
          </cell>
        </row>
        <row r="15">
          <cell r="F15">
            <v>148.68607007618186</v>
          </cell>
          <cell r="G15">
            <v>148.08992351087397</v>
          </cell>
          <cell r="H15">
            <v>74.343035038090932</v>
          </cell>
          <cell r="I15">
            <v>0</v>
          </cell>
          <cell r="J15">
            <v>153.31600280461515</v>
          </cell>
          <cell r="K15">
            <v>148.68607007618186</v>
          </cell>
          <cell r="L15">
            <v>141.30036709593918</v>
          </cell>
          <cell r="M15">
            <v>144.11768285895351</v>
          </cell>
          <cell r="N15">
            <v>153.64227241205464</v>
          </cell>
          <cell r="O15">
            <v>153.64227241205464</v>
          </cell>
          <cell r="P15">
            <v>138.77366540443643</v>
          </cell>
          <cell r="Q15">
            <v>153.64227241205464</v>
          </cell>
          <cell r="U15">
            <v>37.707469591926682</v>
          </cell>
          <cell r="V15">
            <v>37.556284087648024</v>
          </cell>
          <cell r="W15">
            <v>18.853734795963341</v>
          </cell>
          <cell r="X15">
            <v>0</v>
          </cell>
          <cell r="Y15">
            <v>38.881641775511966</v>
          </cell>
          <cell r="Z15">
            <v>37.707469591926682</v>
          </cell>
          <cell r="AA15">
            <v>35.834421428101976</v>
          </cell>
          <cell r="AB15">
            <v>36.54890563237403</v>
          </cell>
          <cell r="AC15">
            <v>38.964385244990915</v>
          </cell>
          <cell r="AD15">
            <v>38.964385244990915</v>
          </cell>
          <cell r="AE15">
            <v>35.193638285798244</v>
          </cell>
          <cell r="AF15">
            <v>38.964385244990915</v>
          </cell>
          <cell r="AJ15">
            <v>42.506260375935085</v>
          </cell>
          <cell r="AK15">
            <v>42.335834450263548</v>
          </cell>
          <cell r="AL15">
            <v>21.253130187967542</v>
          </cell>
          <cell r="AM15">
            <v>0</v>
          </cell>
          <cell r="AN15">
            <v>43.82986201512707</v>
          </cell>
          <cell r="AO15">
            <v>42.506260375935085</v>
          </cell>
          <cell r="AP15">
            <v>40.394841237769263</v>
          </cell>
          <cell r="AQ15">
            <v>41.200253320572685</v>
          </cell>
          <cell r="AR15">
            <v>43.923135721799603</v>
          </cell>
          <cell r="AS15">
            <v>43.923135721799603</v>
          </cell>
          <cell r="AT15">
            <v>39.672509684206084</v>
          </cell>
          <cell r="AU15">
            <v>43.923135721799603</v>
          </cell>
          <cell r="AW15">
            <v>0.90211401915212264</v>
          </cell>
        </row>
        <row r="16">
          <cell r="F16">
            <v>148.68607007618186</v>
          </cell>
          <cell r="G16">
            <v>144.11292417028517</v>
          </cell>
          <cell r="H16">
            <v>73.090069897839385</v>
          </cell>
          <cell r="I16">
            <v>0</v>
          </cell>
          <cell r="J16">
            <v>145.65151584866584</v>
          </cell>
          <cell r="K16">
            <v>148.68607007618186</v>
          </cell>
          <cell r="L16">
            <v>139.2383093734245</v>
          </cell>
          <cell r="M16">
            <v>140.32247863439665</v>
          </cell>
          <cell r="N16">
            <v>153.5391376488177</v>
          </cell>
          <cell r="O16">
            <v>153.64227241205464</v>
          </cell>
          <cell r="P16">
            <v>138.77366540443643</v>
          </cell>
          <cell r="Q16">
            <v>153.64227241205464</v>
          </cell>
          <cell r="U16">
            <v>38.169322027818041</v>
          </cell>
          <cell r="V16">
            <v>36.995346021370814</v>
          </cell>
          <cell r="W16">
            <v>18.763011313278774</v>
          </cell>
          <cell r="X16">
            <v>0</v>
          </cell>
          <cell r="Y16">
            <v>37.39031914300449</v>
          </cell>
          <cell r="Z16">
            <v>38.169322027818041</v>
          </cell>
          <cell r="AA16">
            <v>35.743979690633772</v>
          </cell>
          <cell r="AB16">
            <v>36.022297663753278</v>
          </cell>
          <cell r="AC16">
            <v>39.415156953092399</v>
          </cell>
          <cell r="AD16">
            <v>39.441632762078655</v>
          </cell>
          <cell r="AE16">
            <v>35.624700559296841</v>
          </cell>
          <cell r="AF16">
            <v>39.441632762078655</v>
          </cell>
          <cell r="AJ16">
            <v>42.506260375935099</v>
          </cell>
          <cell r="AK16">
            <v>41.198892910283547</v>
          </cell>
          <cell r="AL16">
            <v>20.894933468757642</v>
          </cell>
          <cell r="AM16">
            <v>0</v>
          </cell>
          <cell r="AN16">
            <v>41.638744326492116</v>
          </cell>
          <cell r="AO16">
            <v>42.506260375935099</v>
          </cell>
          <cell r="AP16">
            <v>39.805341747880888</v>
          </cell>
          <cell r="AQ16">
            <v>40.115283229788744</v>
          </cell>
          <cell r="AR16">
            <v>43.893651634300937</v>
          </cell>
          <cell r="AS16">
            <v>43.923135721799611</v>
          </cell>
          <cell r="AT16">
            <v>39.672509684206098</v>
          </cell>
          <cell r="AU16">
            <v>43.923135721799611</v>
          </cell>
        </row>
        <row r="17">
          <cell r="F17">
            <v>145.65610878226067</v>
          </cell>
          <cell r="G17">
            <v>0</v>
          </cell>
          <cell r="H17">
            <v>72.138341187362158</v>
          </cell>
          <cell r="I17">
            <v>153.64227241205464</v>
          </cell>
          <cell r="J17">
            <v>144.99989458887649</v>
          </cell>
          <cell r="K17">
            <v>148.68607007618181</v>
          </cell>
          <cell r="L17">
            <v>136.45944637792775</v>
          </cell>
          <cell r="M17">
            <v>139.39475737483156</v>
          </cell>
          <cell r="N17">
            <v>146.87382762831868</v>
          </cell>
          <cell r="O17">
            <v>150.43666755528386</v>
          </cell>
          <cell r="P17">
            <v>138.77366540443631</v>
          </cell>
          <cell r="Q17">
            <v>153.64227241205452</v>
          </cell>
          <cell r="U17">
            <v>37.603565992316348</v>
          </cell>
          <cell r="V17">
            <v>0</v>
          </cell>
          <cell r="W17">
            <v>18.623721971526248</v>
          </cell>
          <cell r="X17">
            <v>39.665327998654995</v>
          </cell>
          <cell r="Y17">
            <v>37.434153298730635</v>
          </cell>
          <cell r="Z17">
            <v>38.385801289020932</v>
          </cell>
          <cell r="AA17">
            <v>35.229293436763186</v>
          </cell>
          <cell r="AB17">
            <v>35.987093172749859</v>
          </cell>
          <cell r="AC17">
            <v>37.91794052401746</v>
          </cell>
          <cell r="AD17">
            <v>38.837747372036262</v>
          </cell>
          <cell r="AE17">
            <v>35.826747869752865</v>
          </cell>
          <cell r="AF17">
            <v>39.665327998654966</v>
          </cell>
          <cell r="AJ17">
            <v>41.640057350847201</v>
          </cell>
          <cell r="AK17">
            <v>0</v>
          </cell>
          <cell r="AL17">
            <v>20.622853990471139</v>
          </cell>
          <cell r="AM17">
            <v>43.923135721799611</v>
          </cell>
          <cell r="AN17">
            <v>41.45245933744836</v>
          </cell>
          <cell r="AO17">
            <v>42.506260375935078</v>
          </cell>
          <cell r="AP17">
            <v>39.01092251294439</v>
          </cell>
          <cell r="AQ17">
            <v>39.850066983269087</v>
          </cell>
          <cell r="AR17">
            <v>41.988177886339898</v>
          </cell>
          <cell r="AS17">
            <v>43.006719848850338</v>
          </cell>
          <cell r="AT17">
            <v>39.672509684206062</v>
          </cell>
          <cell r="AU17">
            <v>43.923135721799575</v>
          </cell>
        </row>
        <row r="18">
          <cell r="F18">
            <v>140.89689183972416</v>
          </cell>
          <cell r="G18">
            <v>142.11910198115044</v>
          </cell>
          <cell r="H18">
            <v>140.32247863439665</v>
          </cell>
          <cell r="I18">
            <v>153.64227241205464</v>
          </cell>
          <cell r="J18">
            <v>136.21532752210481</v>
          </cell>
          <cell r="K18">
            <v>148.68607007618181</v>
          </cell>
          <cell r="L18">
            <v>136.35751676569845</v>
          </cell>
          <cell r="M18">
            <v>0</v>
          </cell>
          <cell r="N18">
            <v>72.4999472944383</v>
          </cell>
          <cell r="O18">
            <v>144.99989458887649</v>
          </cell>
          <cell r="P18">
            <v>138.77366540443631</v>
          </cell>
          <cell r="Q18">
            <v>153.64227241205452</v>
          </cell>
          <cell r="U18">
            <v>36.91872221413665</v>
          </cell>
          <cell r="V18">
            <v>37.238973683913187</v>
          </cell>
          <cell r="W18">
            <v>36.768210721038983</v>
          </cell>
          <cell r="X18">
            <v>40.258349928554829</v>
          </cell>
          <cell r="Y18">
            <v>35.692028208945871</v>
          </cell>
          <cell r="Z18">
            <v>38.959693479246582</v>
          </cell>
          <cell r="AA18">
            <v>35.729285561592398</v>
          </cell>
          <cell r="AB18">
            <v>0</v>
          </cell>
          <cell r="AC18">
            <v>18.996908872536814</v>
          </cell>
          <cell r="AD18">
            <v>37.993817745073599</v>
          </cell>
          <cell r="AE18">
            <v>36.362380580630131</v>
          </cell>
          <cell r="AF18">
            <v>40.2583499285548</v>
          </cell>
          <cell r="AJ18">
            <v>40.279496039075575</v>
          </cell>
          <cell r="AK18">
            <v>40.628900542664617</v>
          </cell>
          <cell r="AL18">
            <v>40.115283229788751</v>
          </cell>
          <cell r="AM18">
            <v>43.923135721799618</v>
          </cell>
          <cell r="AN18">
            <v>38.941134000523775</v>
          </cell>
          <cell r="AO18">
            <v>42.506260375935085</v>
          </cell>
          <cell r="AP18">
            <v>38.981782953097152</v>
          </cell>
          <cell r="AQ18">
            <v>0</v>
          </cell>
          <cell r="AR18">
            <v>20.726229668724198</v>
          </cell>
          <cell r="AS18">
            <v>41.452459337448367</v>
          </cell>
          <cell r="AT18">
            <v>39.672509684206069</v>
          </cell>
          <cell r="AU18">
            <v>43.923135721799582</v>
          </cell>
        </row>
        <row r="19">
          <cell r="F19">
            <v>137.53461482046816</v>
          </cell>
          <cell r="G19">
            <v>0</v>
          </cell>
          <cell r="H19">
            <v>69.117180354947664</v>
          </cell>
          <cell r="I19">
            <v>153.64227241205452</v>
          </cell>
          <cell r="J19">
            <v>129.6082670334967</v>
          </cell>
          <cell r="K19">
            <v>148.68607007618181</v>
          </cell>
          <cell r="L19">
            <v>136.0102255907106</v>
          </cell>
          <cell r="M19">
            <v>137.53461482046816</v>
          </cell>
          <cell r="N19">
            <v>144.2566769181019</v>
          </cell>
          <cell r="O19">
            <v>142.56947010883414</v>
          </cell>
          <cell r="P19">
            <v>138.77366540443631</v>
          </cell>
          <cell r="Q19">
            <v>153.64227241205452</v>
          </cell>
          <cell r="U19">
            <v>36.443192405554257</v>
          </cell>
          <cell r="V19">
            <v>0</v>
          </cell>
          <cell r="W19">
            <v>18.314303679061105</v>
          </cell>
          <cell r="X19">
            <v>40.711314038637184</v>
          </cell>
          <cell r="Y19">
            <v>34.34291083025041</v>
          </cell>
          <cell r="Z19">
            <v>39.398045843842439</v>
          </cell>
          <cell r="AA19">
            <v>36.039267836648264</v>
          </cell>
          <cell r="AB19">
            <v>36.443192405554257</v>
          </cell>
          <cell r="AC19">
            <v>38.224368749458137</v>
          </cell>
          <cell r="AD19">
            <v>37.777301642327544</v>
          </cell>
          <cell r="AE19">
            <v>36.771509454252936</v>
          </cell>
          <cell r="AF19">
            <v>40.711314038637184</v>
          </cell>
          <cell r="AJ19">
            <v>39.318290847739945</v>
          </cell>
          <cell r="AK19">
            <v>0</v>
          </cell>
          <cell r="AL19">
            <v>19.759166834610539</v>
          </cell>
          <cell r="AM19">
            <v>43.923135721799575</v>
          </cell>
          <cell r="AN19">
            <v>37.052312584338409</v>
          </cell>
          <cell r="AO19">
            <v>42.506260375935078</v>
          </cell>
          <cell r="AP19">
            <v>38.882499616717787</v>
          </cell>
          <cell r="AQ19">
            <v>39.318290847739945</v>
          </cell>
          <cell r="AR19">
            <v>41.239988836252422</v>
          </cell>
          <cell r="AS19">
            <v>40.757651439709221</v>
          </cell>
          <cell r="AT19">
            <v>39.672509684206062</v>
          </cell>
          <cell r="AU19">
            <v>43.923135721799575</v>
          </cell>
        </row>
        <row r="20">
          <cell r="F20">
            <v>98.969165394458571</v>
          </cell>
          <cell r="G20">
            <v>0</v>
          </cell>
          <cell r="H20">
            <v>50.530031627452445</v>
          </cell>
          <cell r="I20">
            <v>108.00561459488375</v>
          </cell>
          <cell r="J20">
            <v>87.216402050233398</v>
          </cell>
          <cell r="K20">
            <v>101.97465585944454</v>
          </cell>
          <cell r="L20">
            <v>85.812573732343509</v>
          </cell>
          <cell r="M20">
            <v>101.06006325490489</v>
          </cell>
          <cell r="N20">
            <v>102.95825887084345</v>
          </cell>
          <cell r="O20">
            <v>97.952920874670468</v>
          </cell>
          <cell r="P20">
            <v>95.125258087672535</v>
          </cell>
          <cell r="Q20">
            <v>115.23170430904099</v>
          </cell>
          <cell r="U20">
            <v>17.898699266449395</v>
          </cell>
          <cell r="V20">
            <v>0</v>
          </cell>
          <cell r="W20">
            <v>9.1384204001238114</v>
          </cell>
          <cell r="X20">
            <v>19.532952581917019</v>
          </cell>
          <cell r="Y20">
            <v>15.773197087971747</v>
          </cell>
          <cell r="Z20">
            <v>18.442246034440803</v>
          </cell>
          <cell r="AA20">
            <v>15.519312953620508</v>
          </cell>
          <cell r="AB20">
            <v>18.276840800247623</v>
          </cell>
          <cell r="AC20">
            <v>18.620131888367474</v>
          </cell>
          <cell r="AD20">
            <v>17.714910154271202</v>
          </cell>
          <cell r="AE20">
            <v>17.203523747710275</v>
          </cell>
          <cell r="AF20">
            <v>20.839800084880054</v>
          </cell>
          <cell r="AJ20">
            <v>37.410344519105344</v>
          </cell>
          <cell r="AK20">
            <v>0</v>
          </cell>
          <cell r="AL20">
            <v>19.100351955177025</v>
          </cell>
          <cell r="AM20">
            <v>40.826122316866062</v>
          </cell>
          <cell r="AN20">
            <v>32.967799974988225</v>
          </cell>
          <cell r="AO20">
            <v>38.546419914870043</v>
          </cell>
          <cell r="AP20">
            <v>32.437152870825848</v>
          </cell>
          <cell r="AQ20">
            <v>38.200703910354051</v>
          </cell>
          <cell r="AR20">
            <v>38.918221853178828</v>
          </cell>
          <cell r="AS20">
            <v>37.026204090625441</v>
          </cell>
          <cell r="AT20">
            <v>35.957347557140217</v>
          </cell>
          <cell r="AU20">
            <v>43.557584228817497</v>
          </cell>
        </row>
        <row r="21">
          <cell r="F21">
            <v>98.969165394458571</v>
          </cell>
          <cell r="G21">
            <v>103.58148170087165</v>
          </cell>
          <cell r="H21">
            <v>0</v>
          </cell>
          <cell r="I21">
            <v>52.214366015034201</v>
          </cell>
          <cell r="J21">
            <v>87.089245889686026</v>
          </cell>
          <cell r="K21">
            <v>95.346614149753606</v>
          </cell>
          <cell r="L21">
            <v>83.178305333849863</v>
          </cell>
          <cell r="M21">
            <v>101.06006325490489</v>
          </cell>
          <cell r="N21">
            <v>102.26813757427385</v>
          </cell>
          <cell r="O21">
            <v>95.786354206890309</v>
          </cell>
          <cell r="P21">
            <v>92.425824798488946</v>
          </cell>
          <cell r="Q21">
            <v>115.23170430904099</v>
          </cell>
          <cell r="U21">
            <v>18.206877250993788</v>
          </cell>
          <cell r="V21">
            <v>19.05538270720249</v>
          </cell>
          <cell r="W21">
            <v>0</v>
          </cell>
          <cell r="X21">
            <v>9.6056236200959031</v>
          </cell>
          <cell r="Y21">
            <v>16.021386090054975</v>
          </cell>
          <cell r="Z21">
            <v>17.540454071765168</v>
          </cell>
          <cell r="AA21">
            <v>15.301909328255087</v>
          </cell>
          <cell r="AB21">
            <v>18.591529587282388</v>
          </cell>
          <cell r="AC21">
            <v>18.813773159360245</v>
          </cell>
          <cell r="AD21">
            <v>17.621350916865584</v>
          </cell>
          <cell r="AE21">
            <v>17.003130623774741</v>
          </cell>
          <cell r="AF21">
            <v>21.198617644349575</v>
          </cell>
          <cell r="AJ21">
            <v>37.41034451910533</v>
          </cell>
          <cell r="AK21">
            <v>39.153800082929479</v>
          </cell>
          <cell r="AL21">
            <v>0</v>
          </cell>
          <cell r="AM21">
            <v>19.737030353682925</v>
          </cell>
          <cell r="AN21">
            <v>32.919734946301311</v>
          </cell>
          <cell r="AO21">
            <v>36.041020148606854</v>
          </cell>
          <cell r="AP21">
            <v>31.441399416195242</v>
          </cell>
          <cell r="AQ21">
            <v>38.200703910354044</v>
          </cell>
          <cell r="AR21">
            <v>38.657356003075513</v>
          </cell>
          <cell r="AS21">
            <v>36.207241890204529</v>
          </cell>
          <cell r="AT21">
            <v>34.93696177382882</v>
          </cell>
          <cell r="AU21">
            <v>43.55758422881749</v>
          </cell>
        </row>
        <row r="22">
          <cell r="F22">
            <v>131.95888719261143</v>
          </cell>
          <cell r="G22">
            <v>0</v>
          </cell>
          <cell r="H22">
            <v>67.373375503269926</v>
          </cell>
          <cell r="I22">
            <v>139.23830937342456</v>
          </cell>
          <cell r="J22">
            <v>113.31117590389027</v>
          </cell>
          <cell r="K22">
            <v>126.00049455816327</v>
          </cell>
          <cell r="L22">
            <v>107.73736240721541</v>
          </cell>
          <cell r="M22">
            <v>132.01626372788854</v>
          </cell>
          <cell r="N22">
            <v>136.26722667287629</v>
          </cell>
          <cell r="O22">
            <v>121.0403346165254</v>
          </cell>
          <cell r="P22">
            <v>120.55962182010416</v>
          </cell>
          <cell r="Q22">
            <v>152.06522337219991</v>
          </cell>
          <cell r="U22">
            <v>45.664663588277627</v>
          </cell>
          <cell r="V22">
            <v>0</v>
          </cell>
          <cell r="W22">
            <v>23.314705001057241</v>
          </cell>
          <cell r="X22">
            <v>48.183723668851641</v>
          </cell>
          <cell r="Y22">
            <v>39.211582020168905</v>
          </cell>
          <cell r="Z22">
            <v>43.602748692149426</v>
          </cell>
          <cell r="AA22">
            <v>37.282751581807119</v>
          </cell>
          <cell r="AB22">
            <v>45.684518864697665</v>
          </cell>
          <cell r="AC22">
            <v>47.155573955710651</v>
          </cell>
          <cell r="AD22">
            <v>41.886274418246742</v>
          </cell>
          <cell r="AE22">
            <v>41.719922696144728</v>
          </cell>
          <cell r="AF22">
            <v>52.622505512888303</v>
          </cell>
          <cell r="AJ22">
            <v>49.880459358807123</v>
          </cell>
          <cell r="AK22">
            <v>0</v>
          </cell>
          <cell r="AL22">
            <v>25.467135940236034</v>
          </cell>
          <cell r="AM22">
            <v>52.632080943154484</v>
          </cell>
          <cell r="AN22">
            <v>42.831624491670524</v>
          </cell>
          <cell r="AO22">
            <v>47.628186942985721</v>
          </cell>
          <cell r="AP22">
            <v>40.724722989927429</v>
          </cell>
          <cell r="AQ22">
            <v>49.90214768914187</v>
          </cell>
          <cell r="AR22">
            <v>51.509011682347236</v>
          </cell>
          <cell r="AS22">
            <v>45.753246485046603</v>
          </cell>
          <cell r="AT22">
            <v>45.571537047999371</v>
          </cell>
          <cell r="AU22">
            <v>57.480654434691566</v>
          </cell>
        </row>
        <row r="23">
          <cell r="F23">
            <v>45.885048721318867</v>
          </cell>
          <cell r="G23">
            <v>47.414550345362784</v>
          </cell>
          <cell r="H23">
            <v>45.885048721318825</v>
          </cell>
          <cell r="I23">
            <v>51.258973346338152</v>
          </cell>
          <cell r="J23">
            <v>42.609021594143613</v>
          </cell>
          <cell r="K23">
            <v>49.605458077101474</v>
          </cell>
          <cell r="L23">
            <v>44.531233094631304</v>
          </cell>
          <cell r="M23">
            <v>45.885048721318825</v>
          </cell>
          <cell r="N23">
            <v>47.414550345362784</v>
          </cell>
          <cell r="O23">
            <v>47.414550345362784</v>
          </cell>
          <cell r="P23">
            <v>46.298427538628047</v>
          </cell>
          <cell r="Q23">
            <v>51.258973346338195</v>
          </cell>
          <cell r="U23">
            <v>7.5074071620808365</v>
          </cell>
          <cell r="V23">
            <v>7.7576540674835242</v>
          </cell>
          <cell r="W23">
            <v>7.5074071620808294</v>
          </cell>
          <cell r="X23">
            <v>8.386653045928135</v>
          </cell>
          <cell r="Y23">
            <v>6.971405344427767</v>
          </cell>
          <cell r="Z23">
            <v>8.1161158508982005</v>
          </cell>
          <cell r="AA23">
            <v>7.2859048336500738</v>
          </cell>
          <cell r="AB23">
            <v>7.5074071620808294</v>
          </cell>
          <cell r="AC23">
            <v>7.7576540674835242</v>
          </cell>
          <cell r="AD23">
            <v>7.7576540674835242</v>
          </cell>
          <cell r="AE23">
            <v>7.5750414608383227</v>
          </cell>
          <cell r="AF23">
            <v>8.3866530459281421</v>
          </cell>
          <cell r="AJ23">
            <v>14.075008064880169</v>
          </cell>
          <cell r="AK23">
            <v>14.544175000376161</v>
          </cell>
          <cell r="AL23">
            <v>14.075008064880157</v>
          </cell>
          <cell r="AM23">
            <v>15.723432432839095</v>
          </cell>
          <cell r="AN23">
            <v>13.070103209797505</v>
          </cell>
          <cell r="AO23">
            <v>15.216224935005588</v>
          </cell>
          <cell r="AP23">
            <v>13.659731926028973</v>
          </cell>
          <cell r="AQ23">
            <v>14.075008064880157</v>
          </cell>
          <cell r="AR23">
            <v>14.544175000376161</v>
          </cell>
          <cell r="AS23">
            <v>14.544175000376161</v>
          </cell>
          <cell r="AT23">
            <v>14.201809939338549</v>
          </cell>
          <cell r="AU23">
            <v>15.723432432839108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2.8204325063380935</v>
          </cell>
          <cell r="H25">
            <v>5.458901625170574</v>
          </cell>
          <cell r="I25">
            <v>4.4321082242455976</v>
          </cell>
          <cell r="J25">
            <v>3.6262703652918695</v>
          </cell>
          <cell r="K25">
            <v>3.8992154465503859</v>
          </cell>
          <cell r="L25">
            <v>3.7605766751174912</v>
          </cell>
          <cell r="M25">
            <v>5.3289277769521615</v>
          </cell>
          <cell r="N25">
            <v>4.7007208438968391</v>
          </cell>
          <cell r="O25">
            <v>4.5664145340712192</v>
          </cell>
          <cell r="P25">
            <v>4.3671213001364162</v>
          </cell>
          <cell r="Q25">
            <v>5.3722523930249455</v>
          </cell>
          <cell r="U25">
            <v>0</v>
          </cell>
          <cell r="V25">
            <v>0.37411133367349569</v>
          </cell>
          <cell r="W25">
            <v>0.72408645227129143</v>
          </cell>
          <cell r="X25">
            <v>0.58788923862978193</v>
          </cell>
          <cell r="Y25">
            <v>0.48100028615164198</v>
          </cell>
          <cell r="Z25">
            <v>0.51720460876520491</v>
          </cell>
          <cell r="AA25">
            <v>0.49881511156466535</v>
          </cell>
          <cell r="AB25">
            <v>0.70684629864577575</v>
          </cell>
          <cell r="AC25">
            <v>0.62351888945582845</v>
          </cell>
          <cell r="AD25">
            <v>0.6057040640428053</v>
          </cell>
          <cell r="AE25">
            <v>0.57926916181702737</v>
          </cell>
          <cell r="AF25">
            <v>0.71259301652094487</v>
          </cell>
          <cell r="AJ25">
            <v>0</v>
          </cell>
          <cell r="AK25">
            <v>1.2126290641474715</v>
          </cell>
          <cell r="AL25">
            <v>2.3470239951241689</v>
          </cell>
          <cell r="AM25">
            <v>1.9055599579460363</v>
          </cell>
          <cell r="AN25">
            <v>1.5590945110467642</v>
          </cell>
          <cell r="AO25">
            <v>1.6764457108029673</v>
          </cell>
          <cell r="AP25">
            <v>1.616838752196643</v>
          </cell>
          <cell r="AQ25">
            <v>2.2911424714307076</v>
          </cell>
          <cell r="AR25">
            <v>2.0210484402457931</v>
          </cell>
          <cell r="AS25">
            <v>1.963304199095915</v>
          </cell>
          <cell r="AT25">
            <v>1.8776191960993163</v>
          </cell>
          <cell r="AU25">
            <v>2.3097696459951864</v>
          </cell>
          <cell r="AW25">
            <v>2.2520009661770359</v>
          </cell>
        </row>
        <row r="26">
          <cell r="F26">
            <v>4.5490846876421021</v>
          </cell>
          <cell r="G26">
            <v>5.6408650126762616</v>
          </cell>
          <cell r="H26">
            <v>5.458901625170574</v>
          </cell>
          <cell r="I26">
            <v>4.4321082242455976</v>
          </cell>
          <cell r="J26">
            <v>3.6262703652918695</v>
          </cell>
          <cell r="K26">
            <v>3.8992154465503859</v>
          </cell>
          <cell r="L26">
            <v>3.7605766751174912</v>
          </cell>
          <cell r="M26">
            <v>5.3289277769521615</v>
          </cell>
          <cell r="N26">
            <v>4.7007208438968391</v>
          </cell>
          <cell r="O26">
            <v>0</v>
          </cell>
          <cell r="P26">
            <v>2.1835606500682516</v>
          </cell>
          <cell r="Q26">
            <v>5.3722523930249455</v>
          </cell>
          <cell r="U26">
            <v>0.59576868613287559</v>
          </cell>
          <cell r="V26">
            <v>0.73875317080477299</v>
          </cell>
          <cell r="W26">
            <v>0.71492242335945755</v>
          </cell>
          <cell r="X26">
            <v>0.58044891991803105</v>
          </cell>
          <cell r="Y26">
            <v>0.47491275266020949</v>
          </cell>
          <cell r="Z26">
            <v>0.51065887382818076</v>
          </cell>
          <cell r="AA26">
            <v>0.49250211386984644</v>
          </cell>
          <cell r="AB26">
            <v>0.69790046089850943</v>
          </cell>
          <cell r="AC26">
            <v>0.61562764233730483</v>
          </cell>
          <cell r="AD26">
            <v>0</v>
          </cell>
          <cell r="AE26">
            <v>0.28596896934378585</v>
          </cell>
          <cell r="AF26">
            <v>0.70357444838548955</v>
          </cell>
          <cell r="AJ26">
            <v>1.9558533292701217</v>
          </cell>
          <cell r="AK26">
            <v>2.4252581282949746</v>
          </cell>
          <cell r="AL26">
            <v>2.347023995124168</v>
          </cell>
          <cell r="AM26">
            <v>1.9055599579460356</v>
          </cell>
          <cell r="AN26">
            <v>1.5590945110467638</v>
          </cell>
          <cell r="AO26">
            <v>1.6764457108029671</v>
          </cell>
          <cell r="AP26">
            <v>1.6168387521966427</v>
          </cell>
          <cell r="AQ26">
            <v>2.2911424714307076</v>
          </cell>
          <cell r="AR26">
            <v>2.0210484402457927</v>
          </cell>
          <cell r="AS26">
            <v>0</v>
          </cell>
          <cell r="AT26">
            <v>0.93880959804967679</v>
          </cell>
          <cell r="AU26">
            <v>2.309769645995186</v>
          </cell>
        </row>
        <row r="27">
          <cell r="F27">
            <v>4.5490846876421021</v>
          </cell>
          <cell r="G27">
            <v>5.6408650126762616</v>
          </cell>
          <cell r="H27">
            <v>5.458901625170574</v>
          </cell>
          <cell r="I27">
            <v>4.3738114688265757</v>
          </cell>
          <cell r="J27">
            <v>3.6262703652918695</v>
          </cell>
          <cell r="K27">
            <v>3.8992154465503859</v>
          </cell>
          <cell r="L27">
            <v>3.7605766751174912</v>
          </cell>
          <cell r="M27">
            <v>5.3289277769521615</v>
          </cell>
          <cell r="N27">
            <v>4.7007208438968391</v>
          </cell>
          <cell r="O27">
            <v>4.5664145340712192</v>
          </cell>
          <cell r="P27">
            <v>4.3671213001364162</v>
          </cell>
          <cell r="Q27">
            <v>5.3722523930249455</v>
          </cell>
          <cell r="U27">
            <v>0.52412249158268143</v>
          </cell>
          <cell r="V27">
            <v>0.64991188956253132</v>
          </cell>
          <cell r="W27">
            <v>0.62894698989922371</v>
          </cell>
          <cell r="X27">
            <v>0.50392839926277655</v>
          </cell>
          <cell r="Y27">
            <v>0.41780050043305439</v>
          </cell>
          <cell r="Z27">
            <v>0.4492478499280142</v>
          </cell>
          <cell r="AA27">
            <v>0.43327459304168564</v>
          </cell>
          <cell r="AB27">
            <v>0.61397206156828221</v>
          </cell>
          <cell r="AC27">
            <v>0.54159324130210418</v>
          </cell>
          <cell r="AD27">
            <v>0.5261191486934732</v>
          </cell>
          <cell r="AE27">
            <v>0.50315759191937404</v>
          </cell>
          <cell r="AF27">
            <v>0.61896370434526049</v>
          </cell>
          <cell r="AJ27">
            <v>1.9558533292701217</v>
          </cell>
          <cell r="AK27">
            <v>2.4252581282949746</v>
          </cell>
          <cell r="AL27">
            <v>2.347023995124168</v>
          </cell>
          <cell r="AM27">
            <v>1.8804955964313597</v>
          </cell>
          <cell r="AN27">
            <v>1.5590945110467638</v>
          </cell>
          <cell r="AO27">
            <v>1.6764457108029671</v>
          </cell>
          <cell r="AP27">
            <v>1.6168387521966427</v>
          </cell>
          <cell r="AQ27">
            <v>2.2911424714307076</v>
          </cell>
          <cell r="AR27">
            <v>2.0210484402457927</v>
          </cell>
          <cell r="AS27">
            <v>1.9633041990959146</v>
          </cell>
          <cell r="AT27">
            <v>1.877619196099316</v>
          </cell>
          <cell r="AU27">
            <v>2.309769645995186</v>
          </cell>
        </row>
        <row r="28">
          <cell r="F28">
            <v>11.372711719105386</v>
          </cell>
          <cell r="G28">
            <v>14.102162531690617</v>
          </cell>
          <cell r="H28">
            <v>13.6472540629264</v>
          </cell>
          <cell r="I28">
            <v>10.744504786050037</v>
          </cell>
          <cell r="J28">
            <v>9.0656759132297111</v>
          </cell>
          <cell r="K28">
            <v>9.7480386163760393</v>
          </cell>
          <cell r="L28">
            <v>9.3474575985871375</v>
          </cell>
          <cell r="M28">
            <v>13.322319442380604</v>
          </cell>
          <cell r="N28">
            <v>11.751802109742233</v>
          </cell>
          <cell r="O28">
            <v>11.41603633517817</v>
          </cell>
          <cell r="P28">
            <v>10.917803250341173</v>
          </cell>
          <cell r="Q28">
            <v>13.430630982562562</v>
          </cell>
          <cell r="U28">
            <v>1.3126086230272358</v>
          </cell>
          <cell r="V28">
            <v>1.6276346925537652</v>
          </cell>
          <cell r="W28">
            <v>1.5751303476326757</v>
          </cell>
          <cell r="X28">
            <v>1.2401026228981118</v>
          </cell>
          <cell r="Y28">
            <v>1.0463365880702811</v>
          </cell>
          <cell r="Z28">
            <v>1.1250931054519158</v>
          </cell>
          <cell r="AA28">
            <v>1.0788590927416999</v>
          </cell>
          <cell r="AB28">
            <v>1.5376272441176202</v>
          </cell>
          <cell r="AC28">
            <v>1.3563622437948104</v>
          </cell>
          <cell r="AD28">
            <v>1.3176090368292446</v>
          </cell>
          <cell r="AE28">
            <v>1.2601042781061467</v>
          </cell>
          <cell r="AF28">
            <v>1.5501282786226418</v>
          </cell>
          <cell r="AJ28">
            <v>4.8896333231753619</v>
          </cell>
          <cell r="AK28">
            <v>6.0631453207374211</v>
          </cell>
          <cell r="AL28">
            <v>5.8675599878104068</v>
          </cell>
          <cell r="AM28">
            <v>4.619539291990435</v>
          </cell>
          <cell r="AN28">
            <v>3.8977362776169264</v>
          </cell>
          <cell r="AO28">
            <v>4.1911142770074505</v>
          </cell>
          <cell r="AP28">
            <v>4.0188867255149034</v>
          </cell>
          <cell r="AQ28">
            <v>5.7278561785768556</v>
          </cell>
          <cell r="AR28">
            <v>5.0526211006145401</v>
          </cell>
          <cell r="AS28">
            <v>4.9082604977398399</v>
          </cell>
          <cell r="AT28">
            <v>4.6940479902483485</v>
          </cell>
          <cell r="AU28">
            <v>5.7744241149880509</v>
          </cell>
        </row>
        <row r="29">
          <cell r="F29">
            <v>11.372711719105386</v>
          </cell>
          <cell r="G29">
            <v>14.102162531690617</v>
          </cell>
          <cell r="H29">
            <v>13.6472540629264</v>
          </cell>
          <cell r="I29">
            <v>10.744504786050037</v>
          </cell>
          <cell r="J29">
            <v>9.0656759132297111</v>
          </cell>
          <cell r="K29">
            <v>9.7480386163760393</v>
          </cell>
          <cell r="L29">
            <v>9.0656759132297111</v>
          </cell>
          <cell r="M29">
            <v>13.322319442380604</v>
          </cell>
          <cell r="N29">
            <v>0</v>
          </cell>
          <cell r="O29">
            <v>5.5812428326419408</v>
          </cell>
          <cell r="P29">
            <v>10.917803250341173</v>
          </cell>
          <cell r="Q29">
            <v>13.430630982562562</v>
          </cell>
          <cell r="U29">
            <v>1.5064480437928442</v>
          </cell>
          <cell r="V29">
            <v>1.8679955743031187</v>
          </cell>
          <cell r="W29">
            <v>1.8077376525514048</v>
          </cell>
          <cell r="X29">
            <v>1.4232347232785725</v>
          </cell>
          <cell r="Y29">
            <v>1.2008542977662944</v>
          </cell>
          <cell r="Z29">
            <v>1.2912411803938659</v>
          </cell>
          <cell r="AA29">
            <v>1.2008542977662944</v>
          </cell>
          <cell r="AB29">
            <v>1.7646962798716188</v>
          </cell>
          <cell r="AC29">
            <v>0</v>
          </cell>
          <cell r="AD29">
            <v>0.73930057798279214</v>
          </cell>
          <cell r="AE29">
            <v>1.4461901220411308</v>
          </cell>
          <cell r="AF29">
            <v>1.7790434040982177</v>
          </cell>
          <cell r="AJ29">
            <v>4.8896333231753619</v>
          </cell>
          <cell r="AK29">
            <v>6.0631453207374211</v>
          </cell>
          <cell r="AL29">
            <v>5.8675599878104068</v>
          </cell>
          <cell r="AM29">
            <v>4.619539291990435</v>
          </cell>
          <cell r="AN29">
            <v>3.8977362776169264</v>
          </cell>
          <cell r="AO29">
            <v>4.1911142770074505</v>
          </cell>
          <cell r="AP29">
            <v>3.8977362776169264</v>
          </cell>
          <cell r="AQ29">
            <v>5.7278561785768556</v>
          </cell>
          <cell r="AR29">
            <v>0</v>
          </cell>
          <cell r="AS29">
            <v>2.3996239079351622</v>
          </cell>
          <cell r="AT29">
            <v>4.6940479902483485</v>
          </cell>
          <cell r="AU29">
            <v>5.7744241149880509</v>
          </cell>
        </row>
        <row r="30">
          <cell r="F30">
            <v>12.04671530828049</v>
          </cell>
          <cell r="G30">
            <v>14.102162531690617</v>
          </cell>
          <cell r="H30">
            <v>13.6472540629264</v>
          </cell>
          <cell r="I30">
            <v>12.423333658870362</v>
          </cell>
          <cell r="J30">
            <v>9.4014416877937776</v>
          </cell>
          <cell r="K30">
            <v>9.7480386163760393</v>
          </cell>
          <cell r="L30">
            <v>10.072973236921907</v>
          </cell>
          <cell r="M30">
            <v>13.322319442380604</v>
          </cell>
          <cell r="N30">
            <v>11.751802109742233</v>
          </cell>
          <cell r="O30">
            <v>11.751802109742233</v>
          </cell>
          <cell r="P30">
            <v>11.22107556285065</v>
          </cell>
          <cell r="Q30">
            <v>13.430630982562562</v>
          </cell>
          <cell r="U30">
            <v>1.3509690512841548</v>
          </cell>
          <cell r="V30">
            <v>1.5814755017409297</v>
          </cell>
          <cell r="W30">
            <v>1.5304601629750929</v>
          </cell>
          <cell r="X30">
            <v>1.3932046086765397</v>
          </cell>
          <cell r="Y30">
            <v>1.0543170011606235</v>
          </cell>
          <cell r="Z30">
            <v>1.0931858306964994</v>
          </cell>
          <cell r="AA30">
            <v>1.1296253583863827</v>
          </cell>
          <cell r="AB30">
            <v>1.4940206352852177</v>
          </cell>
          <cell r="AC30">
            <v>1.3178962514507806</v>
          </cell>
          <cell r="AD30">
            <v>1.3178962514507806</v>
          </cell>
          <cell r="AE30">
            <v>1.2583783562239714</v>
          </cell>
          <cell r="AF30">
            <v>1.506167144515179</v>
          </cell>
          <cell r="AJ30">
            <v>4.9895957896596119</v>
          </cell>
          <cell r="AK30">
            <v>5.8409358063648451</v>
          </cell>
          <cell r="AL30">
            <v>5.6525185222885588</v>
          </cell>
          <cell r="AM30">
            <v>5.1455863056071491</v>
          </cell>
          <cell r="AN30">
            <v>3.893957204243244</v>
          </cell>
          <cell r="AO30">
            <v>4.0375132302061294</v>
          </cell>
          <cell r="AP30">
            <v>4.1720970045463339</v>
          </cell>
          <cell r="AQ30">
            <v>5.5179347479483836</v>
          </cell>
          <cell r="AR30">
            <v>4.8674465053040592</v>
          </cell>
          <cell r="AS30">
            <v>4.8674465053040592</v>
          </cell>
          <cell r="AT30">
            <v>4.6476263405483937</v>
          </cell>
          <cell r="AU30">
            <v>5.5627960060617863</v>
          </cell>
        </row>
        <row r="31">
          <cell r="F31">
            <v>12.530617313331042</v>
          </cell>
          <cell r="G31">
            <v>14.698075443204523</v>
          </cell>
          <cell r="H31">
            <v>14.223943977294702</v>
          </cell>
          <cell r="I31">
            <v>0</v>
          </cell>
          <cell r="J31">
            <v>4.8993584810681678</v>
          </cell>
          <cell r="K31">
            <v>10.159959983781917</v>
          </cell>
          <cell r="L31">
            <v>10.498625316574646</v>
          </cell>
          <cell r="M31">
            <v>13.885278644501966</v>
          </cell>
          <cell r="N31">
            <v>12.248396202670428</v>
          </cell>
          <cell r="O31">
            <v>12.248396202670428</v>
          </cell>
          <cell r="P31">
            <v>11.695242825775637</v>
          </cell>
          <cell r="Q31">
            <v>13.998167088766209</v>
          </cell>
          <cell r="U31">
            <v>1.5320902282784385</v>
          </cell>
          <cell r="V31">
            <v>1.7971004299266014</v>
          </cell>
          <cell r="W31">
            <v>1.739129448316066</v>
          </cell>
          <cell r="X31">
            <v>0</v>
          </cell>
          <cell r="Y31">
            <v>0.59903347664219964</v>
          </cell>
          <cell r="Z31">
            <v>1.2422353202257599</v>
          </cell>
          <cell r="AA31">
            <v>1.2836431642332848</v>
          </cell>
          <cell r="AB31">
            <v>1.6977216043085399</v>
          </cell>
          <cell r="AC31">
            <v>1.4975836916055001</v>
          </cell>
          <cell r="AD31">
            <v>1.4975836916055001</v>
          </cell>
          <cell r="AE31">
            <v>1.4299508797265423</v>
          </cell>
          <cell r="AF31">
            <v>1.7115242189777153</v>
          </cell>
          <cell r="AJ31">
            <v>5.1900218265684828</v>
          </cell>
          <cell r="AK31">
            <v>6.0877553317046544</v>
          </cell>
          <cell r="AL31">
            <v>5.8913761274561178</v>
          </cell>
          <cell r="AM31">
            <v>0</v>
          </cell>
          <cell r="AN31">
            <v>2.0292517772348821</v>
          </cell>
          <cell r="AO31">
            <v>4.2081258053257935</v>
          </cell>
          <cell r="AP31">
            <v>4.3483966655033193</v>
          </cell>
          <cell r="AQ31">
            <v>5.7511052672785894</v>
          </cell>
          <cell r="AR31">
            <v>5.0731294430872085</v>
          </cell>
          <cell r="AS31">
            <v>5.0731294430872085</v>
          </cell>
          <cell r="AT31">
            <v>4.8440203714639161</v>
          </cell>
          <cell r="AU31">
            <v>5.7978622206710977</v>
          </cell>
        </row>
        <row r="32">
          <cell r="F32">
            <v>4.4623902013750651</v>
          </cell>
          <cell r="G32">
            <v>4.6111365414209011</v>
          </cell>
          <cell r="H32">
            <v>4.4623902013750651</v>
          </cell>
          <cell r="I32">
            <v>4.6111365414209011</v>
          </cell>
          <cell r="J32">
            <v>4.6111365414209011</v>
          </cell>
          <cell r="K32">
            <v>4.4623902013750651</v>
          </cell>
          <cell r="L32">
            <v>4.6111365414209011</v>
          </cell>
          <cell r="M32">
            <v>4.4623902013750651</v>
          </cell>
          <cell r="N32">
            <v>4.6111365414209011</v>
          </cell>
          <cell r="O32">
            <v>4.6111365414209011</v>
          </cell>
          <cell r="P32">
            <v>4.1648975212833932</v>
          </cell>
          <cell r="Q32">
            <v>4.6111365414209011</v>
          </cell>
          <cell r="AJ32">
            <v>1.2048453543712676</v>
          </cell>
          <cell r="AK32">
            <v>1.2450068661836435</v>
          </cell>
          <cell r="AL32">
            <v>1.2048453543712676</v>
          </cell>
          <cell r="AM32">
            <v>1.2450068661836435</v>
          </cell>
          <cell r="AN32">
            <v>1.2450068661836435</v>
          </cell>
          <cell r="AO32">
            <v>1.2048453543712676</v>
          </cell>
          <cell r="AP32">
            <v>1.2450068661836435</v>
          </cell>
          <cell r="AQ32">
            <v>1.2048453543712676</v>
          </cell>
          <cell r="AR32">
            <v>1.2450068661836435</v>
          </cell>
          <cell r="AS32">
            <v>1.2450068661836435</v>
          </cell>
          <cell r="AT32">
            <v>1.1245223307465162</v>
          </cell>
          <cell r="AU32">
            <v>1.2450068661836435</v>
          </cell>
        </row>
        <row r="33">
          <cell r="F33">
            <v>0.7692865295927358</v>
          </cell>
          <cell r="G33">
            <v>0.93521107519121793</v>
          </cell>
          <cell r="H33">
            <v>0.90504297599143824</v>
          </cell>
          <cell r="I33">
            <v>0.67802802951361096</v>
          </cell>
          <cell r="J33">
            <v>0.58450692199450494</v>
          </cell>
          <cell r="K33">
            <v>0.58827793439446574</v>
          </cell>
          <cell r="L33">
            <v>0.56112664511472832</v>
          </cell>
          <cell r="M33">
            <v>0.90504297599143824</v>
          </cell>
          <cell r="N33">
            <v>0.65464775263383435</v>
          </cell>
          <cell r="O33">
            <v>0.63126747575405795</v>
          </cell>
          <cell r="P33">
            <v>0.7391184303930185</v>
          </cell>
          <cell r="Q33">
            <v>0.86507024455182346</v>
          </cell>
          <cell r="U33">
            <v>5.1392643284858111E-2</v>
          </cell>
          <cell r="V33">
            <v>6.2477331052183713E-2</v>
          </cell>
          <cell r="W33">
            <v>6.0461933276302615E-2</v>
          </cell>
          <cell r="X33">
            <v>4.5296065012831718E-2</v>
          </cell>
          <cell r="Y33">
            <v>3.9048331907614406E-2</v>
          </cell>
          <cell r="Z33">
            <v>3.9300256629598761E-2</v>
          </cell>
          <cell r="AA33">
            <v>3.7486398631310064E-2</v>
          </cell>
          <cell r="AB33">
            <v>6.0461933276302615E-2</v>
          </cell>
          <cell r="AC33">
            <v>4.373413173652739E-2</v>
          </cell>
          <cell r="AD33">
            <v>4.2172198460223062E-2</v>
          </cell>
          <cell r="AE33">
            <v>4.9377245508981177E-2</v>
          </cell>
          <cell r="AF33">
            <v>5.7791531223266392E-2</v>
          </cell>
          <cell r="AJ33">
            <v>0.58011197353553634</v>
          </cell>
          <cell r="AK33">
            <v>0.70523416390598304</v>
          </cell>
          <cell r="AL33">
            <v>0.68248467474767804</v>
          </cell>
          <cell r="AM33">
            <v>0.51129476883182101</v>
          </cell>
          <cell r="AN33">
            <v>0.44077135244123467</v>
          </cell>
          <cell r="AO33">
            <v>0.44361503858601398</v>
          </cell>
          <cell r="AP33">
            <v>0.42314049834358797</v>
          </cell>
          <cell r="AQ33">
            <v>0.68248467474767804</v>
          </cell>
          <cell r="AR33">
            <v>0.49366391473417437</v>
          </cell>
          <cell r="AS33">
            <v>0.47603306063652784</v>
          </cell>
          <cell r="AT33">
            <v>0.55736248437727842</v>
          </cell>
          <cell r="AU33">
            <v>0.65234160161299415</v>
          </cell>
        </row>
        <row r="34">
          <cell r="F34">
            <v>1.2945560971589001</v>
          </cell>
          <cell r="G34">
            <v>1.3105922650291117</v>
          </cell>
          <cell r="H34">
            <v>1.2945560971589001</v>
          </cell>
          <cell r="I34">
            <v>1.3919393711343671</v>
          </cell>
          <cell r="J34">
            <v>1.1750137548536865</v>
          </cell>
          <cell r="K34">
            <v>1.3207970991283373</v>
          </cell>
          <cell r="L34">
            <v>1.2021294568887715</v>
          </cell>
          <cell r="M34">
            <v>1.2945560971589001</v>
          </cell>
          <cell r="N34">
            <v>1.3105922650291117</v>
          </cell>
          <cell r="O34">
            <v>1.3377079670641967</v>
          </cell>
          <cell r="P34">
            <v>1.2572355610245896</v>
          </cell>
          <cell r="Q34">
            <v>1.446170775204537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J34">
            <v>0.46770800785769018</v>
          </cell>
          <cell r="AK34">
            <v>0.47350168813520666</v>
          </cell>
          <cell r="AL34">
            <v>0.46770800785769018</v>
          </cell>
          <cell r="AM34">
            <v>0.50289144808842645</v>
          </cell>
          <cell r="AN34">
            <v>0.42451875487984053</v>
          </cell>
          <cell r="AO34">
            <v>0.47718857558453526</v>
          </cell>
          <cell r="AP34">
            <v>0.43431534153091372</v>
          </cell>
          <cell r="AQ34">
            <v>0.46770800785769018</v>
          </cell>
          <cell r="AR34">
            <v>0.47350168813520666</v>
          </cell>
          <cell r="AS34">
            <v>0.48329827478627985</v>
          </cell>
          <cell r="AT34">
            <v>0.45422453375728838</v>
          </cell>
          <cell r="AU34">
            <v>0.52248462139057283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7.0724842510744352</v>
          </cell>
          <cell r="G36">
            <v>7.3082337261102488</v>
          </cell>
          <cell r="H36">
            <v>7.0724842510744352</v>
          </cell>
          <cell r="I36">
            <v>7.3082337261102488</v>
          </cell>
          <cell r="J36">
            <v>7.3082337261102488</v>
          </cell>
          <cell r="K36">
            <v>7.0724842510744352</v>
          </cell>
          <cell r="L36">
            <v>7.3082337261102488</v>
          </cell>
          <cell r="M36">
            <v>7.0724842510744352</v>
          </cell>
          <cell r="N36">
            <v>7.3082337261102488</v>
          </cell>
          <cell r="O36">
            <v>7.3082337261102488</v>
          </cell>
          <cell r="P36">
            <v>6.6009853010028046</v>
          </cell>
          <cell r="Q36">
            <v>7.3082337261102488</v>
          </cell>
          <cell r="AJ36">
            <v>2.5814567516421691</v>
          </cell>
          <cell r="AK36">
            <v>2.6675053100302408</v>
          </cell>
          <cell r="AL36">
            <v>2.5814567516421691</v>
          </cell>
          <cell r="AM36">
            <v>2.6675053100302408</v>
          </cell>
          <cell r="AN36">
            <v>2.6675053100302408</v>
          </cell>
          <cell r="AO36">
            <v>2.5814567516421691</v>
          </cell>
          <cell r="AP36">
            <v>2.6675053100302408</v>
          </cell>
          <cell r="AQ36">
            <v>2.5814567516421691</v>
          </cell>
          <cell r="AR36">
            <v>2.6675053100302408</v>
          </cell>
          <cell r="AS36">
            <v>2.6675053100302408</v>
          </cell>
          <cell r="AT36">
            <v>2.4093596348660236</v>
          </cell>
          <cell r="AU36">
            <v>2.6675053100302408</v>
          </cell>
        </row>
        <row r="37">
          <cell r="F37">
            <v>7.0724842510744352</v>
          </cell>
          <cell r="G37">
            <v>7.3082337261102488</v>
          </cell>
          <cell r="H37">
            <v>7.0724842510744352</v>
          </cell>
          <cell r="I37">
            <v>7.3082337261102488</v>
          </cell>
          <cell r="J37">
            <v>7.3082337261102488</v>
          </cell>
          <cell r="K37">
            <v>7.0724842510744352</v>
          </cell>
          <cell r="L37">
            <v>7.3082337261102488</v>
          </cell>
          <cell r="M37">
            <v>7.0724842510744352</v>
          </cell>
          <cell r="N37">
            <v>7.3082337261102488</v>
          </cell>
          <cell r="O37">
            <v>7.3082337261102488</v>
          </cell>
          <cell r="P37">
            <v>6.6009853010028046</v>
          </cell>
          <cell r="Q37">
            <v>7.3082337261102488</v>
          </cell>
          <cell r="AJ37">
            <v>2.5814567516421691</v>
          </cell>
          <cell r="AK37">
            <v>2.6675053100302408</v>
          </cell>
          <cell r="AL37">
            <v>2.5814567516421691</v>
          </cell>
          <cell r="AM37">
            <v>2.6675053100302408</v>
          </cell>
          <cell r="AN37">
            <v>2.6675053100302408</v>
          </cell>
          <cell r="AO37">
            <v>2.5814567516421691</v>
          </cell>
          <cell r="AP37">
            <v>2.6675053100302408</v>
          </cell>
          <cell r="AQ37">
            <v>2.5814567516421691</v>
          </cell>
          <cell r="AR37">
            <v>2.6675053100302408</v>
          </cell>
          <cell r="AS37">
            <v>2.6675053100302408</v>
          </cell>
          <cell r="AT37">
            <v>2.4093596348660236</v>
          </cell>
          <cell r="AU37">
            <v>2.6675053100302408</v>
          </cell>
        </row>
        <row r="38">
          <cell r="F38">
            <v>7.0724842510744352</v>
          </cell>
          <cell r="G38">
            <v>7.3082337261102488</v>
          </cell>
          <cell r="H38">
            <v>7.0724842510744352</v>
          </cell>
          <cell r="I38">
            <v>7.3082337261102488</v>
          </cell>
          <cell r="J38">
            <v>7.3082337261102488</v>
          </cell>
          <cell r="K38">
            <v>7.0724842510744352</v>
          </cell>
          <cell r="L38">
            <v>7.3082337261102488</v>
          </cell>
          <cell r="M38">
            <v>7.0724842510744352</v>
          </cell>
          <cell r="N38">
            <v>7.3082337261102488</v>
          </cell>
          <cell r="O38">
            <v>7.3082337261102488</v>
          </cell>
          <cell r="P38">
            <v>6.6009853010028046</v>
          </cell>
          <cell r="Q38">
            <v>7.3082337261102488</v>
          </cell>
          <cell r="AJ38">
            <v>2.5814567516421691</v>
          </cell>
          <cell r="AK38">
            <v>2.6675053100302408</v>
          </cell>
          <cell r="AL38">
            <v>2.5814567516421691</v>
          </cell>
          <cell r="AM38">
            <v>2.6675053100302408</v>
          </cell>
          <cell r="AN38">
            <v>2.6675053100302408</v>
          </cell>
          <cell r="AO38">
            <v>2.5814567516421691</v>
          </cell>
          <cell r="AP38">
            <v>2.6675053100302408</v>
          </cell>
          <cell r="AQ38">
            <v>2.5814567516421691</v>
          </cell>
          <cell r="AR38">
            <v>2.6675053100302408</v>
          </cell>
          <cell r="AS38">
            <v>2.6675053100302408</v>
          </cell>
          <cell r="AT38">
            <v>2.4093596348660236</v>
          </cell>
          <cell r="AU38">
            <v>2.6675053100302408</v>
          </cell>
        </row>
        <row r="39">
          <cell r="F39">
            <v>7.0724842510744352</v>
          </cell>
          <cell r="G39">
            <v>7.3082337261102488</v>
          </cell>
          <cell r="H39">
            <v>7.0724842510744352</v>
          </cell>
          <cell r="I39">
            <v>7.3082337261102488</v>
          </cell>
          <cell r="J39">
            <v>7.3082337261102488</v>
          </cell>
          <cell r="K39">
            <v>7.0724842510744352</v>
          </cell>
          <cell r="L39">
            <v>7.3082337261102488</v>
          </cell>
          <cell r="M39">
            <v>7.0724842510744352</v>
          </cell>
          <cell r="N39">
            <v>7.3082337261102488</v>
          </cell>
          <cell r="O39">
            <v>7.3082337261102488</v>
          </cell>
          <cell r="P39">
            <v>6.6009853010028046</v>
          </cell>
          <cell r="Q39">
            <v>7.3082337261102488</v>
          </cell>
          <cell r="AJ39">
            <v>2.5814567516421691</v>
          </cell>
          <cell r="AK39">
            <v>2.6675053100302408</v>
          </cell>
          <cell r="AL39">
            <v>2.5814567516421691</v>
          </cell>
          <cell r="AM39">
            <v>2.6675053100302408</v>
          </cell>
          <cell r="AN39">
            <v>2.6675053100302408</v>
          </cell>
          <cell r="AO39">
            <v>2.5814567516421691</v>
          </cell>
          <cell r="AP39">
            <v>2.6675053100302408</v>
          </cell>
          <cell r="AQ39">
            <v>2.5814567516421691</v>
          </cell>
          <cell r="AR39">
            <v>2.6675053100302408</v>
          </cell>
          <cell r="AS39">
            <v>2.6675053100302408</v>
          </cell>
          <cell r="AT39">
            <v>2.4093596348660236</v>
          </cell>
          <cell r="AU39">
            <v>2.6675053100302408</v>
          </cell>
        </row>
        <row r="40">
          <cell r="F40">
            <v>72.313437932971709</v>
          </cell>
          <cell r="G40">
            <v>87.623694537397284</v>
          </cell>
          <cell r="H40">
            <v>84.911504618017631</v>
          </cell>
          <cell r="I40">
            <v>68.345297795117546</v>
          </cell>
          <cell r="J40">
            <v>53.394763902435571</v>
          </cell>
          <cell r="K40">
            <v>59.939928509830906</v>
          </cell>
          <cell r="L40">
            <v>53.045735808711072</v>
          </cell>
          <cell r="M40">
            <v>0</v>
          </cell>
          <cell r="N40">
            <v>35.240544175607482</v>
          </cell>
          <cell r="O40">
            <v>70.481088351214964</v>
          </cell>
          <cell r="P40">
            <v>69.447641307942007</v>
          </cell>
          <cell r="Q40">
            <v>84.226941090058148</v>
          </cell>
          <cell r="U40">
            <v>10.837360921706258</v>
          </cell>
          <cell r="V40">
            <v>13.131855297425096</v>
          </cell>
          <cell r="W40">
            <v>12.725388921538286</v>
          </cell>
          <cell r="X40">
            <v>10.242669698455389</v>
          </cell>
          <cell r="Y40">
            <v>8.0020857019182703</v>
          </cell>
          <cell r="Z40">
            <v>8.9829865298953493</v>
          </cell>
          <cell r="AA40">
            <v>7.9497780875712163</v>
          </cell>
          <cell r="AB40">
            <v>0</v>
          </cell>
          <cell r="AC40">
            <v>5.2813765632660594</v>
          </cell>
          <cell r="AD40">
            <v>10.562753126532119</v>
          </cell>
          <cell r="AE40">
            <v>10.407874048430473</v>
          </cell>
          <cell r="AF40">
            <v>12.622795790325108</v>
          </cell>
          <cell r="AJ40">
            <v>33.125490470303767</v>
          </cell>
          <cell r="AK40">
            <v>40.138844747801926</v>
          </cell>
          <cell r="AL40">
            <v>38.896439132799344</v>
          </cell>
          <cell r="AM40">
            <v>31.307756559724691</v>
          </cell>
          <cell r="AN40">
            <v>24.45918481228491</v>
          </cell>
          <cell r="AO40">
            <v>27.457407466694029</v>
          </cell>
          <cell r="AP40">
            <v>24.299301295154166</v>
          </cell>
          <cell r="AQ40">
            <v>0</v>
          </cell>
          <cell r="AR40">
            <v>16.143061976108044</v>
          </cell>
          <cell r="AS40">
            <v>32.286123952216087</v>
          </cell>
          <cell r="AT40">
            <v>31.812720375204115</v>
          </cell>
          <cell r="AU40">
            <v>38.582852844138053</v>
          </cell>
        </row>
        <row r="41">
          <cell r="F41">
            <v>34.445677846109973</v>
          </cell>
          <cell r="G41">
            <v>42.712640529176383</v>
          </cell>
          <cell r="H41">
            <v>0</v>
          </cell>
          <cell r="I41">
            <v>16.27148210635287</v>
          </cell>
          <cell r="J41">
            <v>25.569071547371244</v>
          </cell>
          <cell r="K41">
            <v>28.903135006395118</v>
          </cell>
          <cell r="L41">
            <v>27.054749708389323</v>
          </cell>
          <cell r="M41">
            <v>40.350651191157411</v>
          </cell>
          <cell r="N41">
            <v>34.567504328111696</v>
          </cell>
          <cell r="O41">
            <v>33.559931844352874</v>
          </cell>
          <cell r="P41">
            <v>33.067850732265569</v>
          </cell>
          <cell r="Q41">
            <v>40.678705265882272</v>
          </cell>
          <cell r="U41">
            <v>10.680155487073375</v>
          </cell>
          <cell r="V41">
            <v>13.243392803970988</v>
          </cell>
          <cell r="W41">
            <v>0</v>
          </cell>
          <cell r="X41">
            <v>5.0451020205603658</v>
          </cell>
          <cell r="Y41">
            <v>7.9278933341376643</v>
          </cell>
          <cell r="Z41">
            <v>8.9616461406647687</v>
          </cell>
          <cell r="AA41">
            <v>8.3885396257946674</v>
          </cell>
          <cell r="AB41">
            <v>12.511039284857386</v>
          </cell>
          <cell r="AC41">
            <v>10.717928753607262</v>
          </cell>
          <cell r="AD41">
            <v>10.405522917405778</v>
          </cell>
          <cell r="AE41">
            <v>10.252949267590438</v>
          </cell>
          <cell r="AF41">
            <v>12.612755051400942</v>
          </cell>
          <cell r="AJ41">
            <v>15.468796639005225</v>
          </cell>
          <cell r="AK41">
            <v>19.181307832366485</v>
          </cell>
          <cell r="AL41">
            <v>0</v>
          </cell>
          <cell r="AM41">
            <v>7.3071648885205489</v>
          </cell>
          <cell r="AN41">
            <v>11.482507900744583</v>
          </cell>
          <cell r="AO41">
            <v>12.979762501440529</v>
          </cell>
          <cell r="AP41">
            <v>12.149693300505712</v>
          </cell>
          <cell r="AQ41">
            <v>18.120590348548983</v>
          </cell>
          <cell r="AR41">
            <v>15.523506233740139</v>
          </cell>
          <cell r="AS41">
            <v>15.071027582573668</v>
          </cell>
          <cell r="AT41">
            <v>14.850044773445012</v>
          </cell>
          <cell r="AU41">
            <v>18.267912221301415</v>
          </cell>
          <cell r="AW41">
            <v>3.216086500695468</v>
          </cell>
        </row>
        <row r="42">
          <cell r="F42">
            <v>9.9928902001301374</v>
          </cell>
          <cell r="G42">
            <v>10.325986540134473</v>
          </cell>
          <cell r="H42">
            <v>9.9928902001301374</v>
          </cell>
          <cell r="I42">
            <v>10.325986540134473</v>
          </cell>
          <cell r="J42">
            <v>10.325986540134473</v>
          </cell>
          <cell r="K42">
            <v>9.9928902001301374</v>
          </cell>
          <cell r="L42">
            <v>9.5515375496243884</v>
          </cell>
          <cell r="M42">
            <v>9.9928902001301374</v>
          </cell>
          <cell r="N42">
            <v>10.325986540134473</v>
          </cell>
          <cell r="O42">
            <v>10.325986540134473</v>
          </cell>
          <cell r="P42">
            <v>9.3266975201214599</v>
          </cell>
          <cell r="Q42">
            <v>10.325986540134473</v>
          </cell>
          <cell r="U42">
            <v>1.2789343075756539</v>
          </cell>
          <cell r="V42">
            <v>1.3215654511615085</v>
          </cell>
          <cell r="W42">
            <v>1.2789343075756539</v>
          </cell>
          <cell r="X42">
            <v>1.3215654511615085</v>
          </cell>
          <cell r="Y42">
            <v>1.3215654511615085</v>
          </cell>
          <cell r="Z42">
            <v>1.2789343075756539</v>
          </cell>
          <cell r="AA42">
            <v>1.2224480423243955</v>
          </cell>
          <cell r="AB42">
            <v>1.2789343075756539</v>
          </cell>
          <cell r="AC42">
            <v>1.3215654511615085</v>
          </cell>
          <cell r="AD42">
            <v>1.3215654511615085</v>
          </cell>
          <cell r="AE42">
            <v>1.1936720204039433</v>
          </cell>
          <cell r="AF42">
            <v>1.3215654511615085</v>
          </cell>
          <cell r="AJ42">
            <v>1.9344987847087709</v>
          </cell>
          <cell r="AK42">
            <v>1.9989820775323959</v>
          </cell>
          <cell r="AL42">
            <v>1.9344987847087709</v>
          </cell>
          <cell r="AM42">
            <v>1.9989820775323959</v>
          </cell>
          <cell r="AN42">
            <v>1.9989820775323959</v>
          </cell>
          <cell r="AO42">
            <v>1.9344987847087709</v>
          </cell>
          <cell r="AP42">
            <v>1.8490584217174664</v>
          </cell>
          <cell r="AQ42">
            <v>1.9344987847087709</v>
          </cell>
          <cell r="AR42">
            <v>1.9989820775323959</v>
          </cell>
          <cell r="AS42">
            <v>1.9989820775323959</v>
          </cell>
          <cell r="AT42">
            <v>1.8055321990615192</v>
          </cell>
          <cell r="AU42">
            <v>1.9989820775323959</v>
          </cell>
        </row>
        <row r="43">
          <cell r="F43">
            <v>9.9928902001301374</v>
          </cell>
          <cell r="G43">
            <v>10.325986540134473</v>
          </cell>
          <cell r="H43">
            <v>9.9928902001301374</v>
          </cell>
          <cell r="I43">
            <v>10.325986540134473</v>
          </cell>
          <cell r="J43">
            <v>10.325986540134473</v>
          </cell>
          <cell r="K43">
            <v>9.9928902001301374</v>
          </cell>
          <cell r="L43">
            <v>9.5515375496243884</v>
          </cell>
          <cell r="M43">
            <v>9.9928902001301374</v>
          </cell>
          <cell r="N43">
            <v>10.325986540134473</v>
          </cell>
          <cell r="O43">
            <v>10.325986540134473</v>
          </cell>
          <cell r="P43">
            <v>9.3266975201214599</v>
          </cell>
          <cell r="Q43">
            <v>10.325986540134473</v>
          </cell>
          <cell r="U43">
            <v>1.2789343075756539</v>
          </cell>
          <cell r="V43">
            <v>1.3215654511615085</v>
          </cell>
          <cell r="W43">
            <v>1.2789343075756539</v>
          </cell>
          <cell r="X43">
            <v>1.3215654511615085</v>
          </cell>
          <cell r="Y43">
            <v>1.3215654511615085</v>
          </cell>
          <cell r="Z43">
            <v>1.2789343075756539</v>
          </cell>
          <cell r="AA43">
            <v>1.2224480423243955</v>
          </cell>
          <cell r="AB43">
            <v>1.2789343075756539</v>
          </cell>
          <cell r="AC43">
            <v>1.3215654511615085</v>
          </cell>
          <cell r="AD43">
            <v>1.3215654511615085</v>
          </cell>
          <cell r="AE43">
            <v>1.1936720204039433</v>
          </cell>
          <cell r="AF43">
            <v>1.3215654511615085</v>
          </cell>
          <cell r="AJ43">
            <v>1.9344987847087709</v>
          </cell>
          <cell r="AK43">
            <v>1.9989820775323959</v>
          </cell>
          <cell r="AL43">
            <v>1.9344987847087709</v>
          </cell>
          <cell r="AM43">
            <v>1.9989820775323959</v>
          </cell>
          <cell r="AN43">
            <v>1.9989820775323959</v>
          </cell>
          <cell r="AO43">
            <v>1.9344987847087709</v>
          </cell>
          <cell r="AP43">
            <v>1.8490584217174664</v>
          </cell>
          <cell r="AQ43">
            <v>1.9344987847087709</v>
          </cell>
          <cell r="AR43">
            <v>1.9989820775323959</v>
          </cell>
          <cell r="AS43">
            <v>1.9989820775323959</v>
          </cell>
          <cell r="AT43">
            <v>1.8055321990615192</v>
          </cell>
          <cell r="AU43">
            <v>1.9989820775323959</v>
          </cell>
        </row>
        <row r="44">
          <cell r="F44">
            <v>9.9928902001301374</v>
          </cell>
          <cell r="G44">
            <v>10.22748569354048</v>
          </cell>
          <cell r="H44">
            <v>9.9928902001301374</v>
          </cell>
          <cell r="I44">
            <v>10.325986540134473</v>
          </cell>
          <cell r="J44">
            <v>10.325986540134473</v>
          </cell>
          <cell r="K44">
            <v>9.9928902001301374</v>
          </cell>
          <cell r="L44">
            <v>9.5515375496243884</v>
          </cell>
          <cell r="M44">
            <v>9.9928902001301374</v>
          </cell>
          <cell r="N44">
            <v>0</v>
          </cell>
          <cell r="O44">
            <v>5.1629932700672363</v>
          </cell>
          <cell r="P44">
            <v>9.3266975201214599</v>
          </cell>
          <cell r="Q44">
            <v>10.325986540134473</v>
          </cell>
          <cell r="U44">
            <v>1.4684011227531195</v>
          </cell>
          <cell r="V44">
            <v>1.5028736606293072</v>
          </cell>
          <cell r="W44">
            <v>1.4684011227531195</v>
          </cell>
          <cell r="X44">
            <v>1.5173478268448899</v>
          </cell>
          <cell r="Y44">
            <v>1.5173478268448899</v>
          </cell>
          <cell r="Z44">
            <v>1.4684011227531195</v>
          </cell>
          <cell r="AA44">
            <v>1.4035467398315231</v>
          </cell>
          <cell r="AB44">
            <v>1.4684011227531195</v>
          </cell>
          <cell r="AC44">
            <v>0</v>
          </cell>
          <cell r="AD44">
            <v>0.75867391342244495</v>
          </cell>
          <cell r="AE44">
            <v>1.3705077145695781</v>
          </cell>
          <cell r="AF44">
            <v>1.5173478268448899</v>
          </cell>
          <cell r="AJ44">
            <v>1.9344987847087705</v>
          </cell>
          <cell r="AK44">
            <v>1.9799135433833481</v>
          </cell>
          <cell r="AL44">
            <v>1.9344987847087705</v>
          </cell>
          <cell r="AM44">
            <v>1.9989820775323957</v>
          </cell>
          <cell r="AN44">
            <v>1.9989820775323957</v>
          </cell>
          <cell r="AO44">
            <v>1.9344987847087705</v>
          </cell>
          <cell r="AP44">
            <v>1.8490584217174661</v>
          </cell>
          <cell r="AQ44">
            <v>1.9344987847087705</v>
          </cell>
          <cell r="AR44">
            <v>0</v>
          </cell>
          <cell r="AS44">
            <v>0.99949103876619783</v>
          </cell>
          <cell r="AT44">
            <v>1.8055321990615187</v>
          </cell>
          <cell r="AU44">
            <v>1.9989820775323957</v>
          </cell>
        </row>
        <row r="45">
          <cell r="F45">
            <v>9.9928902001301374</v>
          </cell>
          <cell r="G45">
            <v>10.132374292506952</v>
          </cell>
          <cell r="H45">
            <v>9.9928902001301374</v>
          </cell>
          <cell r="I45">
            <v>10.325986540134473</v>
          </cell>
          <cell r="J45">
            <v>10.325986540134473</v>
          </cell>
          <cell r="K45">
            <v>9.9928902001301374</v>
          </cell>
          <cell r="L45">
            <v>9.5515375496243884</v>
          </cell>
          <cell r="M45">
            <v>0</v>
          </cell>
          <cell r="N45">
            <v>5.1629932700672363</v>
          </cell>
          <cell r="O45">
            <v>10.325986540134473</v>
          </cell>
          <cell r="P45">
            <v>9.3266975201214599</v>
          </cell>
          <cell r="Q45">
            <v>10.325986540134473</v>
          </cell>
          <cell r="U45">
            <v>1.4650873556411019</v>
          </cell>
          <cell r="V45">
            <v>1.4855375333135921</v>
          </cell>
          <cell r="W45">
            <v>1.4650873556411019</v>
          </cell>
          <cell r="X45">
            <v>1.5139236008291383</v>
          </cell>
          <cell r="Y45">
            <v>1.5139236008291383</v>
          </cell>
          <cell r="Z45">
            <v>1.4650873556411019</v>
          </cell>
          <cell r="AA45">
            <v>1.400379330766953</v>
          </cell>
          <cell r="AB45">
            <v>0</v>
          </cell>
          <cell r="AC45">
            <v>0.75696180041456917</v>
          </cell>
          <cell r="AD45">
            <v>1.5139236008291383</v>
          </cell>
          <cell r="AE45">
            <v>1.3674148652650282</v>
          </cell>
          <cell r="AF45">
            <v>1.5139236008291383</v>
          </cell>
          <cell r="AJ45">
            <v>1.9344987847087705</v>
          </cell>
          <cell r="AK45">
            <v>1.9615011635786632</v>
          </cell>
          <cell r="AL45">
            <v>1.9344987847087705</v>
          </cell>
          <cell r="AM45">
            <v>1.9989820775323957</v>
          </cell>
          <cell r="AN45">
            <v>1.9989820775323957</v>
          </cell>
          <cell r="AO45">
            <v>1.9344987847087705</v>
          </cell>
          <cell r="AP45">
            <v>1.8490584217174661</v>
          </cell>
          <cell r="AQ45">
            <v>0</v>
          </cell>
          <cell r="AR45">
            <v>0.99949103876619783</v>
          </cell>
          <cell r="AS45">
            <v>1.9989820775323957</v>
          </cell>
          <cell r="AT45">
            <v>1.8055321990615187</v>
          </cell>
          <cell r="AU45">
            <v>1.9989820775323957</v>
          </cell>
        </row>
        <row r="46">
          <cell r="F46">
            <v>14.292405768804876</v>
          </cell>
          <cell r="G46">
            <v>17.722583153318055</v>
          </cell>
          <cell r="H46">
            <v>17.15088692256586</v>
          </cell>
          <cell r="I46">
            <v>13.502920497766127</v>
          </cell>
          <cell r="J46">
            <v>10.549156638879779</v>
          </cell>
          <cell r="K46">
            <v>11.842279065581181</v>
          </cell>
          <cell r="L46">
            <v>10.631636221637883</v>
          </cell>
          <cell r="M46">
            <v>16.742532472028572</v>
          </cell>
          <cell r="N46">
            <v>13.924886763321318</v>
          </cell>
          <cell r="O46">
            <v>13.924886763321318</v>
          </cell>
          <cell r="P46">
            <v>13.720709538052688</v>
          </cell>
          <cell r="Q46">
            <v>16.878650622207665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J46">
            <v>6.5310088152071923</v>
          </cell>
          <cell r="AK46">
            <v>8.0984509308569237</v>
          </cell>
          <cell r="AL46">
            <v>7.8372105782486345</v>
          </cell>
          <cell r="AM46">
            <v>6.1702483282719358</v>
          </cell>
          <cell r="AN46">
            <v>4.8205065064624462</v>
          </cell>
          <cell r="AO46">
            <v>5.4114073040288151</v>
          </cell>
          <cell r="AP46">
            <v>4.858196094260431</v>
          </cell>
          <cell r="AQ46">
            <v>7.6506103263855696</v>
          </cell>
          <cell r="AR46">
            <v>6.3630685885304334</v>
          </cell>
          <cell r="AS46">
            <v>6.3630685885304334</v>
          </cell>
          <cell r="AT46">
            <v>6.2697684625989076</v>
          </cell>
          <cell r="AU46">
            <v>7.7128104103399222</v>
          </cell>
        </row>
        <row r="47">
          <cell r="F47">
            <v>23.646530194869655</v>
          </cell>
          <cell r="G47">
            <v>0</v>
          </cell>
          <cell r="H47">
            <v>12.0784434808327</v>
          </cell>
          <cell r="I47">
            <v>23.309066831401395</v>
          </cell>
          <cell r="J47">
            <v>19.161061277809274</v>
          </cell>
          <cell r="K47">
            <v>20.07403282729944</v>
          </cell>
          <cell r="L47">
            <v>18.633692618787002</v>
          </cell>
          <cell r="M47">
            <v>24.156886961665471</v>
          </cell>
          <cell r="N47">
            <v>21.922347578503633</v>
          </cell>
          <cell r="O47">
            <v>21.27053591389835</v>
          </cell>
          <cell r="P47">
            <v>20.789074092896641</v>
          </cell>
          <cell r="Q47">
            <v>26.016853845098787</v>
          </cell>
          <cell r="U47">
            <v>3.8276696204935114</v>
          </cell>
          <cell r="V47">
            <v>0</v>
          </cell>
          <cell r="W47">
            <v>1.9551405975182679</v>
          </cell>
          <cell r="X47">
            <v>3.7730443433922956</v>
          </cell>
          <cell r="Y47">
            <v>3.101605670898703</v>
          </cell>
          <cell r="Z47">
            <v>3.2493885986923368</v>
          </cell>
          <cell r="AA47">
            <v>3.0162403772042437</v>
          </cell>
          <cell r="AB47">
            <v>3.9102811950365477</v>
          </cell>
          <cell r="AC47">
            <v>3.5485757590914231</v>
          </cell>
          <cell r="AD47">
            <v>3.443066845676539</v>
          </cell>
          <cell r="AE47">
            <v>3.365132503069455</v>
          </cell>
          <cell r="AF47">
            <v>4.2113544889266716</v>
          </cell>
          <cell r="AJ47">
            <v>9.3682610772104002</v>
          </cell>
          <cell r="AK47">
            <v>0</v>
          </cell>
          <cell r="AL47">
            <v>4.7852268811650243</v>
          </cell>
          <cell r="AM47">
            <v>9.2345651452106132</v>
          </cell>
          <cell r="AN47">
            <v>7.591212033547718</v>
          </cell>
          <cell r="AO47">
            <v>7.9529122813728659</v>
          </cell>
          <cell r="AP47">
            <v>7.3822795922574143</v>
          </cell>
          <cell r="AQ47">
            <v>9.5704537623300769</v>
          </cell>
          <cell r="AR47">
            <v>8.6851759580917793</v>
          </cell>
          <cell r="AS47">
            <v>8.4269417987089277</v>
          </cell>
          <cell r="AT47">
            <v>8.2361966872408718</v>
          </cell>
          <cell r="AU47">
            <v>10.307333770321655</v>
          </cell>
        </row>
        <row r="48">
          <cell r="F48">
            <v>11.001920351516084</v>
          </cell>
          <cell r="G48">
            <v>11.368651029899954</v>
          </cell>
          <cell r="H48">
            <v>11.001920351516084</v>
          </cell>
          <cell r="I48">
            <v>11.368651029899954</v>
          </cell>
          <cell r="J48">
            <v>11.368651029899954</v>
          </cell>
          <cell r="K48">
            <v>11.001920351516084</v>
          </cell>
          <cell r="L48">
            <v>11.368651029899954</v>
          </cell>
          <cell r="M48">
            <v>11.001920351516084</v>
          </cell>
          <cell r="N48">
            <v>11.368651029899954</v>
          </cell>
          <cell r="O48">
            <v>11.368651029899954</v>
          </cell>
          <cell r="P48">
            <v>10.268458994748343</v>
          </cell>
          <cell r="Q48">
            <v>11.368651029899954</v>
          </cell>
          <cell r="AJ48">
            <v>4.8408449546670775</v>
          </cell>
          <cell r="AK48">
            <v>5.0022064531559804</v>
          </cell>
          <cell r="AL48">
            <v>4.8408449546670775</v>
          </cell>
          <cell r="AM48">
            <v>5.0022064531559804</v>
          </cell>
          <cell r="AN48">
            <v>5.0022064531559804</v>
          </cell>
          <cell r="AO48">
            <v>4.8408449546670775</v>
          </cell>
          <cell r="AP48">
            <v>5.0022064531559804</v>
          </cell>
          <cell r="AQ48">
            <v>4.8408449546670775</v>
          </cell>
          <cell r="AR48">
            <v>5.0022064531559804</v>
          </cell>
          <cell r="AS48">
            <v>5.0022064531559804</v>
          </cell>
          <cell r="AT48">
            <v>4.5181219576892717</v>
          </cell>
          <cell r="AU48">
            <v>5.0022064531559804</v>
          </cell>
        </row>
        <row r="49">
          <cell r="F49">
            <v>12.180721945493957</v>
          </cell>
          <cell r="G49">
            <v>14.807936482757306</v>
          </cell>
          <cell r="H49">
            <v>0</v>
          </cell>
          <cell r="I49">
            <v>5.7380753870684735</v>
          </cell>
          <cell r="J49">
            <v>9.2549603017233295</v>
          </cell>
          <cell r="K49">
            <v>10.031182778642069</v>
          </cell>
          <cell r="L49">
            <v>8.8847618896543956</v>
          </cell>
          <cell r="M49">
            <v>14.330261112345845</v>
          </cell>
          <cell r="N49">
            <v>10.75829858061541</v>
          </cell>
          <cell r="O49">
            <v>11.324218629548909</v>
          </cell>
          <cell r="P49">
            <v>11.703046575082432</v>
          </cell>
          <cell r="Q49">
            <v>14.437738070688432</v>
          </cell>
          <cell r="U49">
            <v>3.0123271834791989</v>
          </cell>
          <cell r="V49">
            <v>3.6620448112884247</v>
          </cell>
          <cell r="W49">
            <v>0</v>
          </cell>
          <cell r="X49">
            <v>1.4190423643742689</v>
          </cell>
          <cell r="Y49">
            <v>2.2887780070552686</v>
          </cell>
          <cell r="Z49">
            <v>2.4807400334534551</v>
          </cell>
          <cell r="AA49">
            <v>2.1972268867730578</v>
          </cell>
          <cell r="AB49">
            <v>3.5439143335049428</v>
          </cell>
          <cell r="AC49">
            <v>2.6605578394605809</v>
          </cell>
          <cell r="AD49">
            <v>2.800511477242198</v>
          </cell>
          <cell r="AE49">
            <v>2.8941967056957014</v>
          </cell>
          <cell r="AF49">
            <v>3.5704936910062286</v>
          </cell>
          <cell r="AJ49">
            <v>7.4853923845503276</v>
          </cell>
          <cell r="AK49">
            <v>9.0998887812180111</v>
          </cell>
          <cell r="AL49">
            <v>0</v>
          </cell>
          <cell r="AM49">
            <v>3.5262069027219902</v>
          </cell>
          <cell r="AN49">
            <v>5.6874304882612652</v>
          </cell>
          <cell r="AO49">
            <v>6.1644407872767326</v>
          </cell>
          <cell r="AP49">
            <v>5.4599332687308149</v>
          </cell>
          <cell r="AQ49">
            <v>8.8063439818239218</v>
          </cell>
          <cell r="AR49">
            <v>6.6112736688688525</v>
          </cell>
          <cell r="AS49">
            <v>6.9590472773221874</v>
          </cell>
          <cell r="AT49">
            <v>7.1918475851561983</v>
          </cell>
          <cell r="AU49">
            <v>8.8723915616875981</v>
          </cell>
        </row>
        <row r="50">
          <cell r="F50">
            <v>12.180721945493957</v>
          </cell>
          <cell r="G50">
            <v>14.807936482757306</v>
          </cell>
          <cell r="H50">
            <v>14.330261112345845</v>
          </cell>
          <cell r="I50">
            <v>10.918392165743747</v>
          </cell>
          <cell r="J50">
            <v>9.2549603017233295</v>
          </cell>
          <cell r="K50">
            <v>10.031182778642069</v>
          </cell>
          <cell r="L50">
            <v>8.8847618896543956</v>
          </cell>
          <cell r="M50">
            <v>8.5981566674074799</v>
          </cell>
          <cell r="N50">
            <v>9.8102579198267357</v>
          </cell>
          <cell r="O50">
            <v>10.852390822886058</v>
          </cell>
          <cell r="P50">
            <v>11.703046575082432</v>
          </cell>
          <cell r="Q50">
            <v>14.437738070688432</v>
          </cell>
          <cell r="U50">
            <v>2.7382073491110717</v>
          </cell>
          <cell r="V50">
            <v>3.3288010910761927</v>
          </cell>
          <cell r="W50">
            <v>3.2214204107189106</v>
          </cell>
          <cell r="X50">
            <v>2.4544375778790419</v>
          </cell>
          <cell r="Y50">
            <v>2.0805006819226235</v>
          </cell>
          <cell r="Z50">
            <v>2.2549942875032327</v>
          </cell>
          <cell r="AA50">
            <v>1.9972806546457182</v>
          </cell>
          <cell r="AB50">
            <v>1.9328522464313405</v>
          </cell>
          <cell r="AC50">
            <v>2.2053307228379824</v>
          </cell>
          <cell r="AD50">
            <v>2.439600578654133</v>
          </cell>
          <cell r="AE50">
            <v>2.6308266687537754</v>
          </cell>
          <cell r="AF50">
            <v>3.245581063799301</v>
          </cell>
          <cell r="AJ50">
            <v>7.4853923845503285</v>
          </cell>
          <cell r="AK50">
            <v>9.0998887812180129</v>
          </cell>
          <cell r="AL50">
            <v>8.8063439818239235</v>
          </cell>
          <cell r="AM50">
            <v>6.7096556291744438</v>
          </cell>
          <cell r="AN50">
            <v>5.6874304882612661</v>
          </cell>
          <cell r="AO50">
            <v>6.1644407872767335</v>
          </cell>
          <cell r="AP50">
            <v>5.4599332687308157</v>
          </cell>
          <cell r="AQ50">
            <v>5.2838063890943374</v>
          </cell>
          <cell r="AR50">
            <v>6.028676317556946</v>
          </cell>
          <cell r="AS50">
            <v>6.6690959684738882</v>
          </cell>
          <cell r="AT50">
            <v>7.1918475851561992</v>
          </cell>
          <cell r="AU50">
            <v>8.8723915616875999</v>
          </cell>
        </row>
        <row r="51">
          <cell r="F51">
            <v>12.180721945493957</v>
          </cell>
          <cell r="G51">
            <v>14.807936482757306</v>
          </cell>
          <cell r="H51">
            <v>14.330261112345845</v>
          </cell>
          <cell r="I51">
            <v>11.176263243931675</v>
          </cell>
          <cell r="J51">
            <v>9.2549603017233295</v>
          </cell>
          <cell r="K51">
            <v>10.031182778642069</v>
          </cell>
          <cell r="L51">
            <v>8.8847618896543956</v>
          </cell>
          <cell r="M51">
            <v>5.7321044449383667</v>
          </cell>
          <cell r="N51">
            <v>6.2933730051718779</v>
          </cell>
          <cell r="O51">
            <v>11.105952362068013</v>
          </cell>
          <cell r="P51">
            <v>11.703046575082432</v>
          </cell>
          <cell r="Q51">
            <v>14.437738070688432</v>
          </cell>
          <cell r="U51">
            <v>2.8619383549236379</v>
          </cell>
          <cell r="V51">
            <v>3.4792191765738218</v>
          </cell>
          <cell r="W51">
            <v>3.3669862999101654</v>
          </cell>
          <cell r="X51">
            <v>2.6259343728278695</v>
          </cell>
          <cell r="Y51">
            <v>2.1745119853586417</v>
          </cell>
          <cell r="Z51">
            <v>2.3568904099371109</v>
          </cell>
          <cell r="AA51">
            <v>2.0875315059442956</v>
          </cell>
          <cell r="AB51">
            <v>1.346794519964073</v>
          </cell>
          <cell r="AC51">
            <v>1.4786681500438796</v>
          </cell>
          <cell r="AD51">
            <v>2.6094143824303742</v>
          </cell>
          <cell r="AE51">
            <v>2.7497054782599664</v>
          </cell>
          <cell r="AF51">
            <v>3.3922386971594904</v>
          </cell>
          <cell r="AJ51">
            <v>7.4853923845503285</v>
          </cell>
          <cell r="AK51">
            <v>9.0998887812180129</v>
          </cell>
          <cell r="AL51">
            <v>8.8063439818239235</v>
          </cell>
          <cell r="AM51">
            <v>6.8681245781826563</v>
          </cell>
          <cell r="AN51">
            <v>5.6874304882612661</v>
          </cell>
          <cell r="AO51">
            <v>6.1644407872767335</v>
          </cell>
          <cell r="AP51">
            <v>5.4599332687308157</v>
          </cell>
          <cell r="AQ51">
            <v>3.522537592729587</v>
          </cell>
          <cell r="AR51">
            <v>3.8674527320176693</v>
          </cell>
          <cell r="AS51">
            <v>6.8249165859135301</v>
          </cell>
          <cell r="AT51">
            <v>7.1918475851561992</v>
          </cell>
          <cell r="AU51">
            <v>8.8723915616875999</v>
          </cell>
        </row>
        <row r="52">
          <cell r="F52">
            <v>11.290327445624186</v>
          </cell>
          <cell r="G52">
            <v>11.666671693811658</v>
          </cell>
          <cell r="H52">
            <v>11.290327445624186</v>
          </cell>
          <cell r="I52">
            <v>12.612618047363956</v>
          </cell>
          <cell r="J52">
            <v>10.484238751871288</v>
          </cell>
          <cell r="K52">
            <v>12.205759400674793</v>
          </cell>
          <cell r="L52">
            <v>10.957211928647435</v>
          </cell>
          <cell r="M52">
            <v>11.290327445624186</v>
          </cell>
          <cell r="N52">
            <v>11.666671693811658</v>
          </cell>
          <cell r="O52">
            <v>11.666671693811658</v>
          </cell>
          <cell r="P52">
            <v>11.392042107296472</v>
          </cell>
          <cell r="Q52">
            <v>12.612618047363956</v>
          </cell>
          <cell r="U52">
            <v>1.8640112581329045</v>
          </cell>
          <cell r="V52">
            <v>1.9261449667373345</v>
          </cell>
          <cell r="W52">
            <v>1.8640112581329045</v>
          </cell>
          <cell r="X52">
            <v>2.0823188829592807</v>
          </cell>
          <cell r="Y52">
            <v>1.7309275714599022</v>
          </cell>
          <cell r="Z52">
            <v>2.0151473060896263</v>
          </cell>
          <cell r="AA52">
            <v>1.8090145295708748</v>
          </cell>
          <cell r="AB52">
            <v>1.8640112581329045</v>
          </cell>
          <cell r="AC52">
            <v>1.9261449667373345</v>
          </cell>
          <cell r="AD52">
            <v>1.9261449667373345</v>
          </cell>
          <cell r="AE52">
            <v>1.8808041523503174</v>
          </cell>
          <cell r="AF52">
            <v>2.0823188829592807</v>
          </cell>
          <cell r="AJ52">
            <v>3.2886847124775294</v>
          </cell>
          <cell r="AK52">
            <v>3.3983075362267798</v>
          </cell>
          <cell r="AL52">
            <v>3.2886847124775294</v>
          </cell>
          <cell r="AM52">
            <v>3.6738459851100322</v>
          </cell>
          <cell r="AN52">
            <v>3.0538844751227145</v>
          </cell>
          <cell r="AO52">
            <v>3.5553348243000307</v>
          </cell>
          <cell r="AP52">
            <v>3.1916536995643403</v>
          </cell>
          <cell r="AQ52">
            <v>3.2886847124775294</v>
          </cell>
          <cell r="AR52">
            <v>3.3983075362267798</v>
          </cell>
          <cell r="AS52">
            <v>3.3983075362267798</v>
          </cell>
          <cell r="AT52">
            <v>3.3183125026800284</v>
          </cell>
          <cell r="AU52">
            <v>3.6738459851100322</v>
          </cell>
        </row>
        <row r="53">
          <cell r="F53">
            <v>5.9733239101176245</v>
          </cell>
          <cell r="G53">
            <v>7.2616878907312241</v>
          </cell>
          <cell r="H53">
            <v>7.0274398942560268</v>
          </cell>
          <cell r="I53">
            <v>5.751550704222991</v>
          </cell>
          <cell r="J53">
            <v>4.5385549317070222</v>
          </cell>
          <cell r="K53">
            <v>4.9192079259792241</v>
          </cell>
          <cell r="L53">
            <v>4.3570127344387437</v>
          </cell>
          <cell r="M53">
            <v>7.2031258916124266</v>
          </cell>
          <cell r="N53">
            <v>5.6278081153167037</v>
          </cell>
          <cell r="O53">
            <v>5.8093503125849839</v>
          </cell>
          <cell r="P53">
            <v>5.7390759136424219</v>
          </cell>
          <cell r="Q53">
            <v>7.0801456934629456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2.8640102201597601</v>
          </cell>
          <cell r="AK53">
            <v>3.4817379147040191</v>
          </cell>
          <cell r="AL53">
            <v>3.3694237884232465</v>
          </cell>
          <cell r="AM53">
            <v>2.7576773412137534</v>
          </cell>
          <cell r="AN53">
            <v>2.1760861966900156</v>
          </cell>
          <cell r="AO53">
            <v>2.3585966518962751</v>
          </cell>
          <cell r="AP53">
            <v>2.0890427488224161</v>
          </cell>
          <cell r="AQ53">
            <v>3.4536593831338274</v>
          </cell>
          <cell r="AR53">
            <v>2.6983468838956175</v>
          </cell>
          <cell r="AS53">
            <v>2.7853903317632178</v>
          </cell>
          <cell r="AT53">
            <v>2.7516960938789845</v>
          </cell>
          <cell r="AU53">
            <v>3.3946944668364196</v>
          </cell>
        </row>
        <row r="54">
          <cell r="F54">
            <v>26.089810718942381</v>
          </cell>
          <cell r="G54">
            <v>31.717024795577004</v>
          </cell>
          <cell r="H54">
            <v>30.693894963461616</v>
          </cell>
          <cell r="I54">
            <v>22.994842976793329</v>
          </cell>
          <cell r="J54">
            <v>19.823140497235627</v>
          </cell>
          <cell r="K54">
            <v>20.669060793278895</v>
          </cell>
          <cell r="L54">
            <v>19.030214877346204</v>
          </cell>
          <cell r="M54">
            <v>30.693894963461616</v>
          </cell>
          <cell r="N54">
            <v>22.250346244894573</v>
          </cell>
          <cell r="O54">
            <v>22.257757311703962</v>
          </cell>
          <cell r="P54">
            <v>25.066680886826994</v>
          </cell>
          <cell r="Q54">
            <v>30.141293051016788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16.532107552071373</v>
          </cell>
          <cell r="AK54">
            <v>20.097856239773034</v>
          </cell>
          <cell r="AL54">
            <v>19.449538296554547</v>
          </cell>
          <cell r="AM54">
            <v>14.570945773835451</v>
          </cell>
          <cell r="AN54">
            <v>12.561160149858146</v>
          </cell>
          <cell r="AO54">
            <v>13.097187239717934</v>
          </cell>
          <cell r="AP54">
            <v>12.058713743863821</v>
          </cell>
          <cell r="AQ54">
            <v>19.449538296554547</v>
          </cell>
          <cell r="AR54">
            <v>14.099186887712921</v>
          </cell>
          <cell r="AS54">
            <v>14.103882995127739</v>
          </cell>
          <cell r="AT54">
            <v>15.883789608852885</v>
          </cell>
          <cell r="AU54">
            <v>19.099375761899388</v>
          </cell>
        </row>
        <row r="55">
          <cell r="F55">
            <v>113.62118666376631</v>
          </cell>
          <cell r="G55">
            <v>117.40855955255853</v>
          </cell>
          <cell r="H55">
            <v>113.62118666376631</v>
          </cell>
          <cell r="I55">
            <v>119.81846318622416</v>
          </cell>
          <cell r="J55">
            <v>95.87990069262267</v>
          </cell>
          <cell r="K55">
            <v>104.02601702898704</v>
          </cell>
          <cell r="L55">
            <v>91.251007342926926</v>
          </cell>
          <cell r="M55">
            <v>113.62118666376631</v>
          </cell>
          <cell r="N55">
            <v>112.44763450104199</v>
          </cell>
          <cell r="O55">
            <v>102.47473891342656</v>
          </cell>
          <cell r="P55">
            <v>101.56560535577987</v>
          </cell>
          <cell r="Q55">
            <v>124.84994712983337</v>
          </cell>
          <cell r="U55">
            <v>28.74866443448396</v>
          </cell>
          <cell r="V55">
            <v>29.706953248966762</v>
          </cell>
          <cell r="W55">
            <v>28.74866443448396</v>
          </cell>
          <cell r="X55">
            <v>30.316711982509283</v>
          </cell>
          <cell r="Y55">
            <v>24.259728066217026</v>
          </cell>
          <cell r="Z55">
            <v>26.32087503954898</v>
          </cell>
          <cell r="AA55">
            <v>23.088516028032473</v>
          </cell>
          <cell r="AB55">
            <v>28.74866443448396</v>
          </cell>
          <cell r="AC55">
            <v>28.45172987224986</v>
          </cell>
          <cell r="AD55">
            <v>25.928367486175325</v>
          </cell>
          <cell r="AE55">
            <v>25.698336658806323</v>
          </cell>
          <cell r="AF55">
            <v>31.589788314042117</v>
          </cell>
          <cell r="AJ55">
            <v>43.863404781304162</v>
          </cell>
          <cell r="AK55">
            <v>45.3255182740143</v>
          </cell>
          <cell r="AL55">
            <v>43.863404781304162</v>
          </cell>
          <cell r="AM55">
            <v>46.255860419447302</v>
          </cell>
          <cell r="AN55">
            <v>37.014389815494866</v>
          </cell>
          <cell r="AO55">
            <v>40.159194131919882</v>
          </cell>
          <cell r="AP55">
            <v>35.227407751242758</v>
          </cell>
          <cell r="AQ55">
            <v>43.863404781304162</v>
          </cell>
          <cell r="AR55">
            <v>43.410355530041869</v>
          </cell>
          <cell r="AS55">
            <v>39.560323957182419</v>
          </cell>
          <cell r="AT55">
            <v>39.209353381973308</v>
          </cell>
          <cell r="AU55">
            <v>48.198262389972953</v>
          </cell>
        </row>
        <row r="56">
          <cell r="F56">
            <v>113.14190355253538</v>
          </cell>
          <cell r="G56">
            <v>117.41396224264224</v>
          </cell>
          <cell r="H56">
            <v>113.6264150735247</v>
          </cell>
          <cell r="I56">
            <v>113.61834798085897</v>
          </cell>
          <cell r="J56">
            <v>93.548680307964304</v>
          </cell>
          <cell r="K56">
            <v>99.566732216635273</v>
          </cell>
          <cell r="L56">
            <v>89.792057741229485</v>
          </cell>
          <cell r="M56">
            <v>113.62641507352475</v>
          </cell>
          <cell r="N56">
            <v>109.39663936455707</v>
          </cell>
          <cell r="O56">
            <v>100.04992557295563</v>
          </cell>
          <cell r="P56">
            <v>101.50123165079947</v>
          </cell>
          <cell r="Q56">
            <v>124.50086755822628</v>
          </cell>
          <cell r="U56">
            <v>29.089111907759388</v>
          </cell>
          <cell r="V56">
            <v>30.187470600790675</v>
          </cell>
          <cell r="W56">
            <v>29.213681226571605</v>
          </cell>
          <cell r="X56">
            <v>29.211607153624669</v>
          </cell>
          <cell r="Y56">
            <v>24.051637323195813</v>
          </cell>
          <cell r="Z56">
            <v>25.598895942163175</v>
          </cell>
          <cell r="AA56">
            <v>23.085798754038073</v>
          </cell>
          <cell r="AB56">
            <v>29.213681226571623</v>
          </cell>
          <cell r="AC56">
            <v>28.126193610758691</v>
          </cell>
          <cell r="AD56">
            <v>25.723126357011751</v>
          </cell>
          <cell r="AE56">
            <v>26.096261363452648</v>
          </cell>
          <cell r="AF56">
            <v>32.009534534061835</v>
          </cell>
          <cell r="AJ56">
            <v>43.678377765392256</v>
          </cell>
          <cell r="AK56">
            <v>45.327603979937706</v>
          </cell>
          <cell r="AL56">
            <v>43.865423206391306</v>
          </cell>
          <cell r="AM56">
            <v>43.862308909125147</v>
          </cell>
          <cell r="AN56">
            <v>36.114423300717149</v>
          </cell>
          <cell r="AO56">
            <v>38.437689362407703</v>
          </cell>
          <cell r="AP56">
            <v>34.664180955133389</v>
          </cell>
          <cell r="AQ56">
            <v>43.865423206391327</v>
          </cell>
          <cell r="AR56">
            <v>42.232520316496206</v>
          </cell>
          <cell r="AS56">
            <v>38.624225926566609</v>
          </cell>
          <cell r="AT56">
            <v>39.18450194394719</v>
          </cell>
          <cell r="AU56">
            <v>48.063500388273411</v>
          </cell>
        </row>
        <row r="57">
          <cell r="F57">
            <v>0.12180432223674215</v>
          </cell>
          <cell r="G57">
            <v>0.1305216607188559</v>
          </cell>
          <cell r="H57">
            <v>0.13522676092093311</v>
          </cell>
          <cell r="I57">
            <v>0.29563624998120852</v>
          </cell>
          <cell r="J57">
            <v>0.69409994624142413</v>
          </cell>
          <cell r="K57">
            <v>0.35056653882324085</v>
          </cell>
          <cell r="L57">
            <v>0.38641300290014213</v>
          </cell>
          <cell r="M57">
            <v>0.13253167295912616</v>
          </cell>
          <cell r="N57">
            <v>0.22735874631209152</v>
          </cell>
          <cell r="O57">
            <v>0.43383176396449263</v>
          </cell>
          <cell r="P57">
            <v>0.38962942431358905</v>
          </cell>
          <cell r="Q57">
            <v>0.18098395901134073</v>
          </cell>
          <cell r="U57">
            <v>3.0045447551802947E-2</v>
          </cell>
          <cell r="V57">
            <v>3.219575167357782E-2</v>
          </cell>
          <cell r="W57">
            <v>3.3356357789613045E-2</v>
          </cell>
          <cell r="X57">
            <v>7.2924534040407801E-2</v>
          </cell>
          <cell r="Y57">
            <v>0.17121349347498932</v>
          </cell>
          <cell r="Z57">
            <v>8.6474177288706475E-2</v>
          </cell>
          <cell r="AA57">
            <v>9.5316417338667886E-2</v>
          </cell>
          <cell r="AB57">
            <v>3.2691560986700084E-2</v>
          </cell>
          <cell r="AC57">
            <v>5.6082536007930131E-2</v>
          </cell>
          <cell r="AD57">
            <v>0.10701319354798251</v>
          </cell>
          <cell r="AE57">
            <v>9.6109811358745315E-2</v>
          </cell>
          <cell r="AF57">
            <v>4.4643276595915424E-2</v>
          </cell>
        </row>
        <row r="58">
          <cell r="F58">
            <v>0.12180432223674215</v>
          </cell>
          <cell r="G58">
            <v>0.1305216607188559</v>
          </cell>
          <cell r="H58">
            <v>0.13522676092093311</v>
          </cell>
          <cell r="I58">
            <v>0.29563624998120852</v>
          </cell>
          <cell r="J58">
            <v>0.69409994624142413</v>
          </cell>
          <cell r="K58">
            <v>0.35056653882324085</v>
          </cell>
          <cell r="L58">
            <v>0.38641300290014213</v>
          </cell>
          <cell r="M58">
            <v>0.13253167295912616</v>
          </cell>
          <cell r="N58">
            <v>0.22735874631209152</v>
          </cell>
          <cell r="O58">
            <v>0.43383176396449263</v>
          </cell>
          <cell r="P58">
            <v>0.38962942431358905</v>
          </cell>
          <cell r="Q58">
            <v>0.18098395901134073</v>
          </cell>
          <cell r="U58">
            <v>3.0045447551802947E-2</v>
          </cell>
          <cell r="V58">
            <v>3.219575167357782E-2</v>
          </cell>
          <cell r="W58">
            <v>3.3356357789613045E-2</v>
          </cell>
          <cell r="X58">
            <v>7.2924534040407801E-2</v>
          </cell>
          <cell r="Y58">
            <v>0.17121349347498932</v>
          </cell>
          <cell r="Z58">
            <v>8.6474177288706475E-2</v>
          </cell>
          <cell r="AA58">
            <v>9.5316417338667886E-2</v>
          </cell>
          <cell r="AB58">
            <v>3.2691560986700084E-2</v>
          </cell>
          <cell r="AC58">
            <v>5.6082536007930131E-2</v>
          </cell>
          <cell r="AD58">
            <v>0.10701319354798251</v>
          </cell>
          <cell r="AE58">
            <v>9.6109811358745315E-2</v>
          </cell>
          <cell r="AF58">
            <v>4.4643276595915424E-2</v>
          </cell>
        </row>
        <row r="59">
          <cell r="F59">
            <v>2.6796950892083276</v>
          </cell>
          <cell r="G59">
            <v>2.8714765358148293</v>
          </cell>
          <cell r="H59">
            <v>2.9749887402605282</v>
          </cell>
          <cell r="I59">
            <v>6.503997499586589</v>
          </cell>
          <cell r="J59">
            <v>15.270198817311332</v>
          </cell>
          <cell r="K59">
            <v>7.7124638541112986</v>
          </cell>
          <cell r="L59">
            <v>8.5010860638031254</v>
          </cell>
          <cell r="M59">
            <v>2.9156968051007741</v>
          </cell>
          <cell r="N59">
            <v>5.0018924188660119</v>
          </cell>
          <cell r="O59">
            <v>9.5442988072188406</v>
          </cell>
          <cell r="P59">
            <v>8.5718473348989583</v>
          </cell>
          <cell r="Q59">
            <v>3.9816470982494963</v>
          </cell>
          <cell r="U59">
            <v>0.66099984613966478</v>
          </cell>
          <cell r="V59">
            <v>0.70830653681871192</v>
          </cell>
          <cell r="W59">
            <v>0.73383987137148698</v>
          </cell>
          <cell r="X59">
            <v>1.6043397488889721</v>
          </cell>
          <cell r="Y59">
            <v>3.7666968564497658</v>
          </cell>
          <cell r="Z59">
            <v>1.9024319003515426</v>
          </cell>
          <cell r="AA59">
            <v>2.096961181450693</v>
          </cell>
          <cell r="AB59">
            <v>0.71921434170740162</v>
          </cell>
          <cell r="AC59">
            <v>1.2338157921744626</v>
          </cell>
          <cell r="AD59">
            <v>2.3542902580556158</v>
          </cell>
          <cell r="AE59">
            <v>2.1144158498923966</v>
          </cell>
          <cell r="AF59">
            <v>0.98215208511013929</v>
          </cell>
        </row>
        <row r="60">
          <cell r="F60">
            <v>2.4555751362927216</v>
          </cell>
          <cell r="G60">
            <v>2.6313166800921346</v>
          </cell>
          <cell r="H60">
            <v>2.7261715001660107</v>
          </cell>
          <cell r="I60">
            <v>5.9600267996211649</v>
          </cell>
          <cell r="J60">
            <v>13.993054916227109</v>
          </cell>
          <cell r="K60">
            <v>7.0674214226765351</v>
          </cell>
          <cell r="L60">
            <v>7.7900861384668652</v>
          </cell>
          <cell r="M60">
            <v>2.671838526855983</v>
          </cell>
          <cell r="N60">
            <v>4.5835523256517643</v>
          </cell>
          <cell r="O60">
            <v>8.7460483615241742</v>
          </cell>
          <cell r="P60">
            <v>7.8549291941619543</v>
          </cell>
          <cell r="Q60">
            <v>3.6486366136686286</v>
          </cell>
          <cell r="U60">
            <v>0.60571622264434744</v>
          </cell>
          <cell r="V60">
            <v>0.64906635373932897</v>
          </cell>
          <cell r="W60">
            <v>0.67246417303859896</v>
          </cell>
          <cell r="X60">
            <v>1.4701586062546219</v>
          </cell>
          <cell r="Y60">
            <v>3.4516640284557853</v>
          </cell>
          <cell r="Z60">
            <v>1.7433194141403228</v>
          </cell>
          <cell r="AA60">
            <v>1.9215789735475446</v>
          </cell>
          <cell r="AB60">
            <v>0.65906186949187373</v>
          </cell>
          <cell r="AC60">
            <v>1.1306239259198716</v>
          </cell>
          <cell r="AD60">
            <v>2.1573859819273284</v>
          </cell>
          <cell r="AE60">
            <v>1.9375737969923055</v>
          </cell>
          <cell r="AF60">
            <v>0.90000845617365499</v>
          </cell>
        </row>
        <row r="61">
          <cell r="F61">
            <v>2.4555751362927216</v>
          </cell>
          <cell r="G61">
            <v>2.6313166800921346</v>
          </cell>
          <cell r="H61">
            <v>2.7261715001660107</v>
          </cell>
          <cell r="I61">
            <v>5.9600267996211649</v>
          </cell>
          <cell r="J61">
            <v>13.993054916227109</v>
          </cell>
          <cell r="K61">
            <v>7.0674214226765351</v>
          </cell>
          <cell r="L61">
            <v>7.7900861384668652</v>
          </cell>
          <cell r="M61">
            <v>2.671838526855983</v>
          </cell>
          <cell r="N61">
            <v>4.5835523256517643</v>
          </cell>
          <cell r="O61">
            <v>8.7460483615241742</v>
          </cell>
          <cell r="P61">
            <v>7.8549291941619543</v>
          </cell>
          <cell r="Q61">
            <v>3.6486366136686286</v>
          </cell>
          <cell r="U61">
            <v>0.60571622264434744</v>
          </cell>
          <cell r="V61">
            <v>0.64906635373932897</v>
          </cell>
          <cell r="W61">
            <v>0.67246417303859896</v>
          </cell>
          <cell r="X61">
            <v>1.4701586062546219</v>
          </cell>
          <cell r="Y61">
            <v>3.4516640284557853</v>
          </cell>
          <cell r="Z61">
            <v>1.7433194141403228</v>
          </cell>
          <cell r="AA61">
            <v>1.9215789735475446</v>
          </cell>
          <cell r="AB61">
            <v>0.65906186949187373</v>
          </cell>
          <cell r="AC61">
            <v>1.1306239259198716</v>
          </cell>
          <cell r="AD61">
            <v>2.1573859819273284</v>
          </cell>
          <cell r="AE61">
            <v>1.9375737969923055</v>
          </cell>
          <cell r="AF61">
            <v>0.90000845617365499</v>
          </cell>
        </row>
        <row r="62">
          <cell r="F62">
            <v>2.4555751362927216</v>
          </cell>
          <cell r="G62">
            <v>2.6313166800921346</v>
          </cell>
          <cell r="H62">
            <v>2.7261715001660107</v>
          </cell>
          <cell r="I62">
            <v>5.9600267996211649</v>
          </cell>
          <cell r="J62">
            <v>13.993054916227109</v>
          </cell>
          <cell r="K62">
            <v>7.0674214226765351</v>
          </cell>
          <cell r="L62">
            <v>7.7900861384668652</v>
          </cell>
          <cell r="M62">
            <v>2.671838526855983</v>
          </cell>
          <cell r="N62">
            <v>4.5835523256517643</v>
          </cell>
          <cell r="O62">
            <v>8.7460483615241742</v>
          </cell>
          <cell r="P62">
            <v>7.8549291941619543</v>
          </cell>
          <cell r="Q62">
            <v>3.6486366136686286</v>
          </cell>
          <cell r="U62">
            <v>0.60571622264434744</v>
          </cell>
          <cell r="V62">
            <v>0.64906635373932897</v>
          </cell>
          <cell r="W62">
            <v>0.67246417303859896</v>
          </cell>
          <cell r="X62">
            <v>1.4701586062546219</v>
          </cell>
          <cell r="Y62">
            <v>3.4516640284557853</v>
          </cell>
          <cell r="Z62">
            <v>1.7433194141403228</v>
          </cell>
          <cell r="AA62">
            <v>1.9215789735475446</v>
          </cell>
          <cell r="AB62">
            <v>0.65906186949187373</v>
          </cell>
          <cell r="AC62">
            <v>1.1306239259198716</v>
          </cell>
          <cell r="AD62">
            <v>2.1573859819273284</v>
          </cell>
          <cell r="AE62">
            <v>1.9375737969923055</v>
          </cell>
          <cell r="AF62">
            <v>0.90000845617365499</v>
          </cell>
        </row>
        <row r="63">
          <cell r="F63">
            <v>2.4555751362927216</v>
          </cell>
          <cell r="G63">
            <v>2.6313166800921346</v>
          </cell>
          <cell r="H63">
            <v>2.7261715001660107</v>
          </cell>
          <cell r="I63">
            <v>5.9600267996211649</v>
          </cell>
          <cell r="J63">
            <v>13.993054916227109</v>
          </cell>
          <cell r="K63">
            <v>7.0674214226765351</v>
          </cell>
          <cell r="L63">
            <v>7.7900861384668652</v>
          </cell>
          <cell r="M63">
            <v>2.671838526855983</v>
          </cell>
          <cell r="N63">
            <v>4.5835523256517643</v>
          </cell>
          <cell r="O63">
            <v>8.7460483615241742</v>
          </cell>
          <cell r="P63">
            <v>7.8549291941619543</v>
          </cell>
          <cell r="Q63">
            <v>3.6486366136686286</v>
          </cell>
          <cell r="U63">
            <v>0.60571622264434744</v>
          </cell>
          <cell r="V63">
            <v>0.64906635373932897</v>
          </cell>
          <cell r="W63">
            <v>0.67246417303859896</v>
          </cell>
          <cell r="X63">
            <v>1.4701586062546219</v>
          </cell>
          <cell r="Y63">
            <v>3.4516640284557853</v>
          </cell>
          <cell r="Z63">
            <v>1.7433194141403228</v>
          </cell>
          <cell r="AA63">
            <v>1.9215789735475446</v>
          </cell>
          <cell r="AB63">
            <v>0.65906186949187373</v>
          </cell>
          <cell r="AC63">
            <v>1.1306239259198716</v>
          </cell>
          <cell r="AD63">
            <v>2.1573859819273284</v>
          </cell>
          <cell r="AE63">
            <v>1.9375737969923055</v>
          </cell>
          <cell r="AF63">
            <v>0.90000845617365499</v>
          </cell>
        </row>
        <row r="64">
          <cell r="F64">
            <v>2.4555751362927216</v>
          </cell>
          <cell r="G64">
            <v>2.6313166800921346</v>
          </cell>
          <cell r="H64">
            <v>2.7261715001660107</v>
          </cell>
          <cell r="I64">
            <v>5.9600267996211649</v>
          </cell>
          <cell r="J64">
            <v>13.993054916227109</v>
          </cell>
          <cell r="K64">
            <v>7.0674214226765351</v>
          </cell>
          <cell r="L64">
            <v>7.7900861384668652</v>
          </cell>
          <cell r="M64">
            <v>2.671838526855983</v>
          </cell>
          <cell r="N64">
            <v>4.5835523256517643</v>
          </cell>
          <cell r="O64">
            <v>8.7460483615241742</v>
          </cell>
          <cell r="P64">
            <v>7.8549291941619543</v>
          </cell>
          <cell r="Q64">
            <v>3.6486366136686286</v>
          </cell>
          <cell r="U64">
            <v>0.60571622264434744</v>
          </cell>
          <cell r="V64">
            <v>0.64906635373932897</v>
          </cell>
          <cell r="W64">
            <v>0.67246417303859896</v>
          </cell>
          <cell r="X64">
            <v>1.4701586062546219</v>
          </cell>
          <cell r="Y64">
            <v>3.4516640284557853</v>
          </cell>
          <cell r="Z64">
            <v>1.7433194141403228</v>
          </cell>
          <cell r="AA64">
            <v>1.9215789735475446</v>
          </cell>
          <cell r="AB64">
            <v>0.65906186949187373</v>
          </cell>
          <cell r="AC64">
            <v>1.1306239259198716</v>
          </cell>
          <cell r="AD64">
            <v>2.1573859819273284</v>
          </cell>
          <cell r="AE64">
            <v>1.9375737969923055</v>
          </cell>
          <cell r="AF64">
            <v>0.90000845617365499</v>
          </cell>
        </row>
        <row r="65">
          <cell r="F65">
            <v>2.4555751362927216</v>
          </cell>
          <cell r="G65">
            <v>2.6313166800921346</v>
          </cell>
          <cell r="H65">
            <v>2.7261715001660107</v>
          </cell>
          <cell r="I65">
            <v>5.9600267996211649</v>
          </cell>
          <cell r="J65">
            <v>13.993054916227109</v>
          </cell>
          <cell r="K65">
            <v>7.0674214226765351</v>
          </cell>
          <cell r="L65">
            <v>7.7900861384668652</v>
          </cell>
          <cell r="M65">
            <v>2.671838526855983</v>
          </cell>
          <cell r="N65">
            <v>4.5835523256517643</v>
          </cell>
          <cell r="O65">
            <v>8.7460483615241742</v>
          </cell>
          <cell r="P65">
            <v>7.8549291941619543</v>
          </cell>
          <cell r="Q65">
            <v>3.6486366136686286</v>
          </cell>
          <cell r="U65">
            <v>0.60571622264434744</v>
          </cell>
          <cell r="V65">
            <v>0.64906635373932897</v>
          </cell>
          <cell r="W65">
            <v>0.67246417303859896</v>
          </cell>
          <cell r="X65">
            <v>1.4701586062546219</v>
          </cell>
          <cell r="Y65">
            <v>3.4516640284557853</v>
          </cell>
          <cell r="Z65">
            <v>1.7433194141403228</v>
          </cell>
          <cell r="AA65">
            <v>1.9215789735475446</v>
          </cell>
          <cell r="AB65">
            <v>0.65906186949187373</v>
          </cell>
          <cell r="AC65">
            <v>1.1306239259198716</v>
          </cell>
          <cell r="AD65">
            <v>2.1573859819273284</v>
          </cell>
          <cell r="AE65">
            <v>1.9375737969923055</v>
          </cell>
          <cell r="AF65">
            <v>0.90000845617365499</v>
          </cell>
        </row>
        <row r="66">
          <cell r="F66">
            <v>2.4555751362927216</v>
          </cell>
          <cell r="G66">
            <v>2.6313166800921346</v>
          </cell>
          <cell r="H66">
            <v>2.7261715001660107</v>
          </cell>
          <cell r="I66">
            <v>5.9600267996211649</v>
          </cell>
          <cell r="J66">
            <v>13.993054916227109</v>
          </cell>
          <cell r="K66">
            <v>7.0674214226765351</v>
          </cell>
          <cell r="L66">
            <v>7.7900861384668652</v>
          </cell>
          <cell r="M66">
            <v>2.671838526855983</v>
          </cell>
          <cell r="N66">
            <v>4.5835523256517643</v>
          </cell>
          <cell r="O66">
            <v>8.7460483615241742</v>
          </cell>
          <cell r="P66">
            <v>7.8549291941619543</v>
          </cell>
          <cell r="Q66">
            <v>3.6486366136686286</v>
          </cell>
          <cell r="U66">
            <v>0.60571622264434744</v>
          </cell>
          <cell r="V66">
            <v>0.64906635373932897</v>
          </cell>
          <cell r="W66">
            <v>0.67246417303859896</v>
          </cell>
          <cell r="X66">
            <v>1.4701586062546219</v>
          </cell>
          <cell r="Y66">
            <v>3.4516640284557853</v>
          </cell>
          <cell r="Z66">
            <v>1.7433194141403228</v>
          </cell>
          <cell r="AA66">
            <v>1.9215789735475446</v>
          </cell>
          <cell r="AB66">
            <v>0.65906186949187373</v>
          </cell>
          <cell r="AC66">
            <v>1.1306239259198716</v>
          </cell>
          <cell r="AD66">
            <v>2.1573859819273284</v>
          </cell>
          <cell r="AE66">
            <v>1.9375737969923055</v>
          </cell>
          <cell r="AF66">
            <v>0.90000845617365499</v>
          </cell>
        </row>
        <row r="67">
          <cell r="F67">
            <v>3.6541296671022643</v>
          </cell>
          <cell r="G67">
            <v>3.9156498215656779</v>
          </cell>
          <cell r="H67">
            <v>4.0568028276279922</v>
          </cell>
          <cell r="I67">
            <v>8.8690874994362581</v>
          </cell>
          <cell r="J67">
            <v>20.82299838724272</v>
          </cell>
          <cell r="K67">
            <v>10.516996164697225</v>
          </cell>
          <cell r="L67">
            <v>11.592390087004262</v>
          </cell>
          <cell r="M67">
            <v>3.9759501887737834</v>
          </cell>
          <cell r="N67">
            <v>6.8207623893627449</v>
          </cell>
          <cell r="O67">
            <v>13.014952918934782</v>
          </cell>
          <cell r="P67">
            <v>11.68888272940767</v>
          </cell>
          <cell r="Q67">
            <v>5.4295187703402235</v>
          </cell>
          <cell r="U67">
            <v>1.0493321659442327</v>
          </cell>
          <cell r="V67">
            <v>1.124431173128283</v>
          </cell>
          <cell r="W67">
            <v>1.1649651451201319</v>
          </cell>
          <cell r="X67">
            <v>2.5468769976935559</v>
          </cell>
          <cell r="Y67">
            <v>5.9796022554574462</v>
          </cell>
          <cell r="Z67">
            <v>3.0200959927840678</v>
          </cell>
          <cell r="AA67">
            <v>3.3289097286229952</v>
          </cell>
          <cell r="AB67">
            <v>1.141747229397269</v>
          </cell>
          <cell r="AC67">
            <v>1.958673069501851</v>
          </cell>
          <cell r="AD67">
            <v>3.7374176562590611</v>
          </cell>
          <cell r="AE67">
            <v>3.3566188803705153</v>
          </cell>
          <cell r="AF67">
            <v>1.5591588723872527</v>
          </cell>
        </row>
        <row r="68">
          <cell r="F68">
            <v>3.6541296671022643</v>
          </cell>
          <cell r="G68">
            <v>3.9156498215656779</v>
          </cell>
          <cell r="H68">
            <v>4.0568028276279922</v>
          </cell>
          <cell r="I68">
            <v>8.8690874994362581</v>
          </cell>
          <cell r="J68">
            <v>20.82299838724272</v>
          </cell>
          <cell r="K68">
            <v>10.516996164697225</v>
          </cell>
          <cell r="L68">
            <v>11.592390087004262</v>
          </cell>
          <cell r="M68">
            <v>3.9759501887737834</v>
          </cell>
          <cell r="N68">
            <v>6.8207623893627449</v>
          </cell>
          <cell r="O68">
            <v>13.014952918934782</v>
          </cell>
          <cell r="P68">
            <v>11.68888272940767</v>
          </cell>
          <cell r="Q68">
            <v>5.4295187703402235</v>
          </cell>
          <cell r="U68">
            <v>1.0493321659442327</v>
          </cell>
          <cell r="V68">
            <v>1.124431173128283</v>
          </cell>
          <cell r="W68">
            <v>1.1649651451201319</v>
          </cell>
          <cell r="X68">
            <v>2.5468769976935559</v>
          </cell>
          <cell r="Y68">
            <v>5.9796022554574462</v>
          </cell>
          <cell r="Z68">
            <v>3.0200959927840678</v>
          </cell>
          <cell r="AA68">
            <v>3.3289097286229952</v>
          </cell>
          <cell r="AB68">
            <v>1.141747229397269</v>
          </cell>
          <cell r="AC68">
            <v>1.958673069501851</v>
          </cell>
          <cell r="AD68">
            <v>3.7374176562590611</v>
          </cell>
          <cell r="AE68">
            <v>3.3566188803705153</v>
          </cell>
          <cell r="AF68">
            <v>1.5591588723872527</v>
          </cell>
        </row>
        <row r="69">
          <cell r="F69">
            <v>3.6541296671022643</v>
          </cell>
          <cell r="G69">
            <v>3.9156498215656779</v>
          </cell>
          <cell r="H69">
            <v>4.0568028276279922</v>
          </cell>
          <cell r="I69">
            <v>8.8690874994362581</v>
          </cell>
          <cell r="J69">
            <v>20.82299838724272</v>
          </cell>
          <cell r="K69">
            <v>10.516996164697225</v>
          </cell>
          <cell r="L69">
            <v>11.592390087004262</v>
          </cell>
          <cell r="M69">
            <v>3.9759501887737834</v>
          </cell>
          <cell r="N69">
            <v>6.8207623893627449</v>
          </cell>
          <cell r="O69">
            <v>13.014952918934782</v>
          </cell>
          <cell r="P69">
            <v>11.68888272940767</v>
          </cell>
          <cell r="Q69">
            <v>5.4295187703402235</v>
          </cell>
          <cell r="U69">
            <v>1.0493321659442327</v>
          </cell>
          <cell r="V69">
            <v>1.124431173128283</v>
          </cell>
          <cell r="W69">
            <v>1.1649651451201319</v>
          </cell>
          <cell r="X69">
            <v>2.5468769976935559</v>
          </cell>
          <cell r="Y69">
            <v>5.9796022554574462</v>
          </cell>
          <cell r="Z69">
            <v>3.0200959927840678</v>
          </cell>
          <cell r="AA69">
            <v>3.3289097286229952</v>
          </cell>
          <cell r="AB69">
            <v>1.141747229397269</v>
          </cell>
          <cell r="AC69">
            <v>1.958673069501851</v>
          </cell>
          <cell r="AD69">
            <v>3.7374176562590611</v>
          </cell>
          <cell r="AE69">
            <v>3.3566188803705153</v>
          </cell>
          <cell r="AF69">
            <v>1.5591588723872527</v>
          </cell>
        </row>
        <row r="70">
          <cell r="F70">
            <v>3.6541296671022643</v>
          </cell>
          <cell r="G70">
            <v>3.9156498215656779</v>
          </cell>
          <cell r="H70">
            <v>4.0568028276279922</v>
          </cell>
          <cell r="I70">
            <v>8.8690874994362581</v>
          </cell>
          <cell r="J70">
            <v>20.82299838724272</v>
          </cell>
          <cell r="K70">
            <v>10.516996164697225</v>
          </cell>
          <cell r="L70">
            <v>11.592390087004262</v>
          </cell>
          <cell r="M70">
            <v>3.9759501887737834</v>
          </cell>
          <cell r="N70">
            <v>6.8207623893627449</v>
          </cell>
          <cell r="O70">
            <v>13.014952918934782</v>
          </cell>
          <cell r="P70">
            <v>11.68888272940767</v>
          </cell>
          <cell r="Q70">
            <v>5.4295187703402235</v>
          </cell>
          <cell r="U70">
            <v>1.0493321659442327</v>
          </cell>
          <cell r="V70">
            <v>1.124431173128283</v>
          </cell>
          <cell r="W70">
            <v>1.1649651451201319</v>
          </cell>
          <cell r="X70">
            <v>2.5468769976935559</v>
          </cell>
          <cell r="Y70">
            <v>5.9796022554574462</v>
          </cell>
          <cell r="Z70">
            <v>3.0200959927840678</v>
          </cell>
          <cell r="AA70">
            <v>3.3289097286229952</v>
          </cell>
          <cell r="AB70">
            <v>1.141747229397269</v>
          </cell>
          <cell r="AC70">
            <v>1.958673069501851</v>
          </cell>
          <cell r="AD70">
            <v>3.7374176562590611</v>
          </cell>
          <cell r="AE70">
            <v>3.3566188803705153</v>
          </cell>
          <cell r="AF70">
            <v>1.5591588723872527</v>
          </cell>
        </row>
        <row r="71">
          <cell r="F71">
            <v>3.6541296671022643</v>
          </cell>
          <cell r="G71">
            <v>3.9156498215656779</v>
          </cell>
          <cell r="H71">
            <v>4.0568028276279922</v>
          </cell>
          <cell r="I71">
            <v>8.8690874994362581</v>
          </cell>
          <cell r="J71">
            <v>20.82299838724272</v>
          </cell>
          <cell r="K71">
            <v>10.516996164697225</v>
          </cell>
          <cell r="L71">
            <v>11.592390087004262</v>
          </cell>
          <cell r="M71">
            <v>3.9759501887737834</v>
          </cell>
          <cell r="N71">
            <v>6.8207623893627449</v>
          </cell>
          <cell r="O71">
            <v>13.014952918934782</v>
          </cell>
          <cell r="P71">
            <v>11.68888272940767</v>
          </cell>
          <cell r="Q71">
            <v>5.4295187703402235</v>
          </cell>
          <cell r="U71">
            <v>1.0493321659442327</v>
          </cell>
          <cell r="V71">
            <v>1.124431173128283</v>
          </cell>
          <cell r="W71">
            <v>1.1649651451201319</v>
          </cell>
          <cell r="X71">
            <v>2.5468769976935559</v>
          </cell>
          <cell r="Y71">
            <v>5.9796022554574462</v>
          </cell>
          <cell r="Z71">
            <v>3.0200959927840678</v>
          </cell>
          <cell r="AA71">
            <v>3.3289097286229952</v>
          </cell>
          <cell r="AB71">
            <v>1.141747229397269</v>
          </cell>
          <cell r="AC71">
            <v>1.958673069501851</v>
          </cell>
          <cell r="AD71">
            <v>3.7374176562590611</v>
          </cell>
          <cell r="AE71">
            <v>3.3566188803705153</v>
          </cell>
          <cell r="AF71">
            <v>1.5591588723872527</v>
          </cell>
        </row>
        <row r="72">
          <cell r="F72">
            <v>3.6541296671022643</v>
          </cell>
          <cell r="G72">
            <v>3.9156498215656779</v>
          </cell>
          <cell r="H72">
            <v>4.0568028276279922</v>
          </cell>
          <cell r="I72">
            <v>8.8690874994362581</v>
          </cell>
          <cell r="J72">
            <v>20.82299838724272</v>
          </cell>
          <cell r="K72">
            <v>10.516996164697225</v>
          </cell>
          <cell r="L72">
            <v>11.592390087004262</v>
          </cell>
          <cell r="M72">
            <v>3.9759501887737834</v>
          </cell>
          <cell r="N72">
            <v>6.8207623893627449</v>
          </cell>
          <cell r="O72">
            <v>13.014952918934782</v>
          </cell>
          <cell r="P72">
            <v>11.68888272940767</v>
          </cell>
          <cell r="Q72">
            <v>5.4295187703402235</v>
          </cell>
          <cell r="U72">
            <v>1.0493321659442327</v>
          </cell>
          <cell r="V72">
            <v>1.124431173128283</v>
          </cell>
          <cell r="W72">
            <v>1.1649651451201319</v>
          </cell>
          <cell r="X72">
            <v>2.5468769976935559</v>
          </cell>
          <cell r="Y72">
            <v>5.9796022554574462</v>
          </cell>
          <cell r="Z72">
            <v>3.0200959927840678</v>
          </cell>
          <cell r="AA72">
            <v>3.3289097286229952</v>
          </cell>
          <cell r="AB72">
            <v>1.141747229397269</v>
          </cell>
          <cell r="AC72">
            <v>1.958673069501851</v>
          </cell>
          <cell r="AD72">
            <v>3.7374176562590611</v>
          </cell>
          <cell r="AE72">
            <v>3.3566188803705153</v>
          </cell>
          <cell r="AF72">
            <v>1.5591588723872527</v>
          </cell>
        </row>
        <row r="73">
          <cell r="F73">
            <v>0.73082593342045299</v>
          </cell>
          <cell r="G73">
            <v>0.78312996431313531</v>
          </cell>
          <cell r="H73">
            <v>0.81136056552559843</v>
          </cell>
          <cell r="I73">
            <v>1.7738174998872509</v>
          </cell>
          <cell r="J73">
            <v>4.1645996774485443</v>
          </cell>
          <cell r="K73">
            <v>2.1033992329394451</v>
          </cell>
          <cell r="L73">
            <v>2.3184780174008521</v>
          </cell>
          <cell r="M73">
            <v>0.79519003775475672</v>
          </cell>
          <cell r="N73">
            <v>1.3641524778725489</v>
          </cell>
          <cell r="O73">
            <v>2.6029905837869558</v>
          </cell>
          <cell r="P73">
            <v>2.3377765458815336</v>
          </cell>
          <cell r="Q73">
            <v>1.0859037540680445</v>
          </cell>
          <cell r="U73">
            <v>0.36489020088710195</v>
          </cell>
          <cell r="V73">
            <v>0.39100480282837713</v>
          </cell>
          <cell r="W73">
            <v>0.40509990985251865</v>
          </cell>
          <cell r="X73">
            <v>0.88563992364313915</v>
          </cell>
          <cell r="Y73">
            <v>2.0793208661963325</v>
          </cell>
          <cell r="Z73">
            <v>1.0501950376348954</v>
          </cell>
          <cell r="AA73">
            <v>1.157580582235604</v>
          </cell>
          <cell r="AB73">
            <v>0.3970262128790995</v>
          </cell>
          <cell r="AC73">
            <v>0.68110044940780934</v>
          </cell>
          <cell r="AD73">
            <v>1.2996333512412761</v>
          </cell>
          <cell r="AE73">
            <v>1.1672160420792137</v>
          </cell>
          <cell r="AF73">
            <v>0.5421751211146304</v>
          </cell>
        </row>
        <row r="74">
          <cell r="F74">
            <v>0.73082593342045299</v>
          </cell>
          <cell r="G74">
            <v>0.78312996431313531</v>
          </cell>
          <cell r="H74">
            <v>0.81136056552559843</v>
          </cell>
          <cell r="I74">
            <v>1.7738174998872509</v>
          </cell>
          <cell r="J74">
            <v>4.1645996774485443</v>
          </cell>
          <cell r="K74">
            <v>2.1033992329394451</v>
          </cell>
          <cell r="L74">
            <v>2.3184780174008521</v>
          </cell>
          <cell r="M74">
            <v>0.79519003775475672</v>
          </cell>
          <cell r="N74">
            <v>1.3641524778725489</v>
          </cell>
          <cell r="O74">
            <v>2.6029905837869558</v>
          </cell>
          <cell r="P74">
            <v>2.3377765458815336</v>
          </cell>
          <cell r="Q74">
            <v>1.0859037540680445</v>
          </cell>
          <cell r="U74">
            <v>0.36489020088710195</v>
          </cell>
          <cell r="V74">
            <v>0.39100480282837713</v>
          </cell>
          <cell r="W74">
            <v>0.40509990985251865</v>
          </cell>
          <cell r="X74">
            <v>0.88563992364313915</v>
          </cell>
          <cell r="Y74">
            <v>2.0793208661963325</v>
          </cell>
          <cell r="Z74">
            <v>1.0501950376348954</v>
          </cell>
          <cell r="AA74">
            <v>1.157580582235604</v>
          </cell>
          <cell r="AB74">
            <v>0.3970262128790995</v>
          </cell>
          <cell r="AC74">
            <v>0.68110044940780934</v>
          </cell>
          <cell r="AD74">
            <v>1.2996333512412761</v>
          </cell>
          <cell r="AE74">
            <v>1.1672160420792137</v>
          </cell>
          <cell r="AF74">
            <v>0.5421751211146304</v>
          </cell>
        </row>
        <row r="75">
          <cell r="F75">
            <v>0.21924778002613587</v>
          </cell>
          <cell r="G75">
            <v>0.23493898929394064</v>
          </cell>
          <cell r="H75">
            <v>0.24340816965767953</v>
          </cell>
          <cell r="I75">
            <v>0.5321452499661754</v>
          </cell>
          <cell r="J75">
            <v>1.2493799032345634</v>
          </cell>
          <cell r="K75">
            <v>0.63101976988183384</v>
          </cell>
          <cell r="L75">
            <v>0.69554340522025582</v>
          </cell>
          <cell r="M75">
            <v>0.23855701132642704</v>
          </cell>
          <cell r="N75">
            <v>0.40924574336176467</v>
          </cell>
          <cell r="O75">
            <v>0.78089717513608692</v>
          </cell>
          <cell r="P75">
            <v>0.7013329637644603</v>
          </cell>
          <cell r="Q75">
            <v>0.32577112622041338</v>
          </cell>
          <cell r="U75">
            <v>3.333354738922021E-2</v>
          </cell>
          <cell r="V75">
            <v>3.5719175502126027E-2</v>
          </cell>
          <cell r="W75">
            <v>3.7006795495217362E-2</v>
          </cell>
          <cell r="X75">
            <v>8.0905215576556416E-2</v>
          </cell>
          <cell r="Y75">
            <v>0.18995067683989389</v>
          </cell>
          <cell r="Z75">
            <v>9.5937698435913571E-2</v>
          </cell>
          <cell r="AA75">
            <v>0.10574761147595284</v>
          </cell>
          <cell r="AB75">
            <v>3.6269244966276371E-2</v>
          </cell>
          <cell r="AC75">
            <v>6.222007072801311E-2</v>
          </cell>
          <cell r="AD75">
            <v>0.118724454087535</v>
          </cell>
          <cell r="AE75">
            <v>0.10662783258502359</v>
          </cell>
          <cell r="AF75">
            <v>4.9528926918271668E-2</v>
          </cell>
        </row>
        <row r="76">
          <cell r="F76">
            <v>0.21924778002613587</v>
          </cell>
          <cell r="G76">
            <v>0.23493898929394064</v>
          </cell>
          <cell r="H76">
            <v>0.24340816965767953</v>
          </cell>
          <cell r="I76">
            <v>0.5321452499661754</v>
          </cell>
          <cell r="J76">
            <v>1.2493799032345634</v>
          </cell>
          <cell r="K76">
            <v>0.63101976988183384</v>
          </cell>
          <cell r="L76">
            <v>0.69554340522025582</v>
          </cell>
          <cell r="M76">
            <v>0.23855701132642704</v>
          </cell>
          <cell r="N76">
            <v>0.40924574336176467</v>
          </cell>
          <cell r="O76">
            <v>0.78089717513608692</v>
          </cell>
          <cell r="P76">
            <v>0.7013329637644603</v>
          </cell>
          <cell r="Q76">
            <v>0.32577112622041338</v>
          </cell>
          <cell r="U76">
            <v>3.333354738922021E-2</v>
          </cell>
          <cell r="V76">
            <v>3.5719175502126027E-2</v>
          </cell>
          <cell r="W76">
            <v>3.7006795495217362E-2</v>
          </cell>
          <cell r="X76">
            <v>8.0905215576556416E-2</v>
          </cell>
          <cell r="Y76">
            <v>0.18995067683989389</v>
          </cell>
          <cell r="Z76">
            <v>9.5937698435913571E-2</v>
          </cell>
          <cell r="AA76">
            <v>0.10574761147595284</v>
          </cell>
          <cell r="AB76">
            <v>3.6269244966276371E-2</v>
          </cell>
          <cell r="AC76">
            <v>6.222007072801311E-2</v>
          </cell>
          <cell r="AD76">
            <v>0.118724454087535</v>
          </cell>
          <cell r="AE76">
            <v>0.10662783258502359</v>
          </cell>
          <cell r="AF76">
            <v>4.9528926918271668E-2</v>
          </cell>
        </row>
        <row r="77">
          <cell r="F77">
            <v>0.21924778002613587</v>
          </cell>
          <cell r="G77">
            <v>0.23493898929394064</v>
          </cell>
          <cell r="H77">
            <v>0.24340816965767953</v>
          </cell>
          <cell r="I77">
            <v>0.5321452499661754</v>
          </cell>
          <cell r="J77">
            <v>1.2493799032345634</v>
          </cell>
          <cell r="K77">
            <v>0.63101976988183384</v>
          </cell>
          <cell r="L77">
            <v>0.69554340522025582</v>
          </cell>
          <cell r="M77">
            <v>0.23855701132642704</v>
          </cell>
          <cell r="N77">
            <v>0.40924574336176467</v>
          </cell>
          <cell r="O77">
            <v>0.78089717513608692</v>
          </cell>
          <cell r="P77">
            <v>0.7013329637644603</v>
          </cell>
          <cell r="Q77">
            <v>0.32577112622041338</v>
          </cell>
          <cell r="U77">
            <v>3.333354738922021E-2</v>
          </cell>
          <cell r="V77">
            <v>3.5719175502126027E-2</v>
          </cell>
          <cell r="W77">
            <v>3.7006795495217362E-2</v>
          </cell>
          <cell r="X77">
            <v>8.0905215576556416E-2</v>
          </cell>
          <cell r="Y77">
            <v>0.18995067683989389</v>
          </cell>
          <cell r="Z77">
            <v>9.5937698435913571E-2</v>
          </cell>
          <cell r="AA77">
            <v>0.10574761147595284</v>
          </cell>
          <cell r="AB77">
            <v>3.6269244966276371E-2</v>
          </cell>
          <cell r="AC77">
            <v>6.222007072801311E-2</v>
          </cell>
          <cell r="AD77">
            <v>0.118724454087535</v>
          </cell>
          <cell r="AE77">
            <v>0.10662783258502359</v>
          </cell>
          <cell r="AF77">
            <v>4.9528926918271668E-2</v>
          </cell>
        </row>
        <row r="78">
          <cell r="F78">
            <v>0.21924778002613587</v>
          </cell>
          <cell r="G78">
            <v>0.23493898929394064</v>
          </cell>
          <cell r="H78">
            <v>0.24340816965767953</v>
          </cell>
          <cell r="I78">
            <v>0.5321452499661754</v>
          </cell>
          <cell r="J78">
            <v>1.2493799032345634</v>
          </cell>
          <cell r="K78">
            <v>0.63101976988183384</v>
          </cell>
          <cell r="L78">
            <v>0.69554340522025582</v>
          </cell>
          <cell r="M78">
            <v>0.23855701132642704</v>
          </cell>
          <cell r="N78">
            <v>0.40924574336176467</v>
          </cell>
          <cell r="O78">
            <v>0.78089717513608692</v>
          </cell>
          <cell r="P78">
            <v>0.7013329637644603</v>
          </cell>
          <cell r="Q78">
            <v>0.32577112622041338</v>
          </cell>
          <cell r="U78">
            <v>3.333354738922021E-2</v>
          </cell>
          <cell r="V78">
            <v>3.5719175502126027E-2</v>
          </cell>
          <cell r="W78">
            <v>3.7006795495217362E-2</v>
          </cell>
          <cell r="X78">
            <v>8.0905215576556416E-2</v>
          </cell>
          <cell r="Y78">
            <v>0.18995067683989389</v>
          </cell>
          <cell r="Z78">
            <v>9.5937698435913571E-2</v>
          </cell>
          <cell r="AA78">
            <v>0.10574761147595284</v>
          </cell>
          <cell r="AB78">
            <v>3.6269244966276371E-2</v>
          </cell>
          <cell r="AC78">
            <v>6.222007072801311E-2</v>
          </cell>
          <cell r="AD78">
            <v>0.118724454087535</v>
          </cell>
          <cell r="AE78">
            <v>0.10662783258502359</v>
          </cell>
          <cell r="AF78">
            <v>4.9528926918271668E-2</v>
          </cell>
        </row>
        <row r="79">
          <cell r="F79">
            <v>0.18270648335511325</v>
          </cell>
          <cell r="G79">
            <v>0.19578249107828383</v>
          </cell>
          <cell r="H79">
            <v>0.20284014138139961</v>
          </cell>
          <cell r="I79">
            <v>0.44345437497181273</v>
          </cell>
          <cell r="J79">
            <v>1.0411499193621361</v>
          </cell>
          <cell r="K79">
            <v>0.52584980823486127</v>
          </cell>
          <cell r="L79">
            <v>0.57961950435021303</v>
          </cell>
          <cell r="M79">
            <v>0.19879750943868918</v>
          </cell>
          <cell r="N79">
            <v>0.34103811946813722</v>
          </cell>
          <cell r="O79">
            <v>0.65074764594673895</v>
          </cell>
          <cell r="P79">
            <v>0.5844441364703834</v>
          </cell>
          <cell r="Q79">
            <v>0.27147593851701113</v>
          </cell>
          <cell r="U79">
            <v>6.8987295292771297E-2</v>
          </cell>
          <cell r="V79">
            <v>7.3924604519481241E-2</v>
          </cell>
          <cell r="W79">
            <v>7.6589470027224799E-2</v>
          </cell>
          <cell r="X79">
            <v>0.16744188467352272</v>
          </cell>
          <cell r="Y79">
            <v>0.3931229785178314</v>
          </cell>
          <cell r="Z79">
            <v>0.19855319490680942</v>
          </cell>
          <cell r="AA79">
            <v>0.21885584556044063</v>
          </cell>
          <cell r="AB79">
            <v>7.5063031345518602E-2</v>
          </cell>
          <cell r="AC79">
            <v>0.12877100484776727</v>
          </cell>
          <cell r="AD79">
            <v>0.24571279129021165</v>
          </cell>
          <cell r="AE79">
            <v>0.22067755606923672</v>
          </cell>
          <cell r="AF79">
            <v>0.10250534294918405</v>
          </cell>
        </row>
        <row r="80">
          <cell r="F80">
            <v>0.18270648335511325</v>
          </cell>
          <cell r="G80">
            <v>0.19578249107828383</v>
          </cell>
          <cell r="H80">
            <v>0.20284014138139961</v>
          </cell>
          <cell r="I80">
            <v>0.44345437497181273</v>
          </cell>
          <cell r="J80">
            <v>1.0411499193621361</v>
          </cell>
          <cell r="K80">
            <v>0.52584980823486127</v>
          </cell>
          <cell r="L80">
            <v>0.57961950435021303</v>
          </cell>
          <cell r="M80">
            <v>0.19879750943868918</v>
          </cell>
          <cell r="N80">
            <v>0.34103811946813722</v>
          </cell>
          <cell r="O80">
            <v>0.65074764594673895</v>
          </cell>
          <cell r="P80">
            <v>0.5844441364703834</v>
          </cell>
          <cell r="Q80">
            <v>0.27147593851701113</v>
          </cell>
          <cell r="U80">
            <v>6.8987295292771297E-2</v>
          </cell>
          <cell r="V80">
            <v>7.3924604519481241E-2</v>
          </cell>
          <cell r="W80">
            <v>7.6589470027224799E-2</v>
          </cell>
          <cell r="X80">
            <v>0.16744188467352272</v>
          </cell>
          <cell r="Y80">
            <v>0.3931229785178314</v>
          </cell>
          <cell r="Z80">
            <v>0.19855319490680942</v>
          </cell>
          <cell r="AA80">
            <v>0.21885584556044063</v>
          </cell>
          <cell r="AB80">
            <v>7.5063031345518602E-2</v>
          </cell>
          <cell r="AC80">
            <v>0.12877100484776727</v>
          </cell>
          <cell r="AD80">
            <v>0.24571279129021165</v>
          </cell>
          <cell r="AE80">
            <v>0.22067755606923672</v>
          </cell>
          <cell r="AF80">
            <v>0.10250534294918405</v>
          </cell>
        </row>
        <row r="81">
          <cell r="F81">
            <v>0.95007371344658864</v>
          </cell>
          <cell r="G81">
            <v>1.0180689536070759</v>
          </cell>
          <cell r="H81">
            <v>1.054768735183278</v>
          </cell>
          <cell r="I81">
            <v>2.3059627498534265</v>
          </cell>
          <cell r="J81">
            <v>5.4139795806831064</v>
          </cell>
          <cell r="K81">
            <v>2.7344190028212791</v>
          </cell>
          <cell r="L81">
            <v>3.0140214226211084</v>
          </cell>
          <cell r="M81">
            <v>1.0337470490811835</v>
          </cell>
          <cell r="N81">
            <v>1.7733982212343138</v>
          </cell>
          <cell r="O81">
            <v>3.3838877589230432</v>
          </cell>
          <cell r="P81">
            <v>3.0391095096459946</v>
          </cell>
          <cell r="Q81">
            <v>1.4116748802884578</v>
          </cell>
          <cell r="U81">
            <v>0.24910360188675312</v>
          </cell>
          <cell r="V81">
            <v>0.26693154407208802</v>
          </cell>
          <cell r="W81">
            <v>0.27655400562396526</v>
          </cell>
          <cell r="X81">
            <v>0.60460953573942189</v>
          </cell>
          <cell r="Y81">
            <v>1.4195128177970724</v>
          </cell>
          <cell r="Z81">
            <v>0.71694818310396036</v>
          </cell>
          <cell r="AA81">
            <v>0.79025825250449122</v>
          </cell>
          <cell r="AB81">
            <v>0.27104224621872114</v>
          </cell>
          <cell r="AC81">
            <v>0.46497432592514681</v>
          </cell>
          <cell r="AD81">
            <v>0.88723497682120789</v>
          </cell>
          <cell r="AE81">
            <v>0.7968361977248426</v>
          </cell>
          <cell r="AF81">
            <v>0.37013264591566364</v>
          </cell>
        </row>
        <row r="82">
          <cell r="F82">
            <v>0.95007371344658864</v>
          </cell>
          <cell r="G82">
            <v>1.0180689536070759</v>
          </cell>
          <cell r="H82">
            <v>1.054768735183278</v>
          </cell>
          <cell r="I82">
            <v>2.3059627498534265</v>
          </cell>
          <cell r="J82">
            <v>5.4139795806831064</v>
          </cell>
          <cell r="K82">
            <v>2.7344190028212791</v>
          </cell>
          <cell r="L82">
            <v>3.0140214226211084</v>
          </cell>
          <cell r="M82">
            <v>1.0337470490811835</v>
          </cell>
          <cell r="N82">
            <v>1.7733982212343138</v>
          </cell>
          <cell r="O82">
            <v>3.3838877589230432</v>
          </cell>
          <cell r="P82">
            <v>3.0391095096459946</v>
          </cell>
          <cell r="Q82">
            <v>1.4116748802884578</v>
          </cell>
          <cell r="U82">
            <v>0.24910360188675312</v>
          </cell>
          <cell r="V82">
            <v>0.26693154407208802</v>
          </cell>
          <cell r="W82">
            <v>0.27655400562396526</v>
          </cell>
          <cell r="X82">
            <v>0.60460953573942189</v>
          </cell>
          <cell r="Y82">
            <v>1.4195128177970724</v>
          </cell>
          <cell r="Z82">
            <v>0.71694818310396036</v>
          </cell>
          <cell r="AA82">
            <v>0.79025825250449122</v>
          </cell>
          <cell r="AB82">
            <v>0.27104224621872114</v>
          </cell>
          <cell r="AC82">
            <v>0.46497432592514681</v>
          </cell>
          <cell r="AD82">
            <v>0.88723497682120789</v>
          </cell>
          <cell r="AE82">
            <v>0.7968361977248426</v>
          </cell>
          <cell r="AF82">
            <v>0.37013264591566364</v>
          </cell>
        </row>
        <row r="83">
          <cell r="F83">
            <v>0.95007371344658864</v>
          </cell>
          <cell r="G83">
            <v>1.0180689536070759</v>
          </cell>
          <cell r="H83">
            <v>1.054768735183278</v>
          </cell>
          <cell r="I83">
            <v>2.3059627498534265</v>
          </cell>
          <cell r="J83">
            <v>5.4139795806831064</v>
          </cell>
          <cell r="K83">
            <v>2.7344190028212791</v>
          </cell>
          <cell r="L83">
            <v>3.0140214226211084</v>
          </cell>
          <cell r="M83">
            <v>1.0337470490811835</v>
          </cell>
          <cell r="N83">
            <v>1.7733982212343138</v>
          </cell>
          <cell r="O83">
            <v>3.3838877589230432</v>
          </cell>
          <cell r="P83">
            <v>3.0391095096459946</v>
          </cell>
          <cell r="Q83">
            <v>1.4116748802884578</v>
          </cell>
          <cell r="U83">
            <v>0.24910360188675312</v>
          </cell>
          <cell r="V83">
            <v>0.26693154407208802</v>
          </cell>
          <cell r="W83">
            <v>0.27655400562396526</v>
          </cell>
          <cell r="X83">
            <v>0.60460953573942189</v>
          </cell>
          <cell r="Y83">
            <v>1.4195128177970724</v>
          </cell>
          <cell r="Z83">
            <v>0.71694818310396036</v>
          </cell>
          <cell r="AA83">
            <v>0.79025825250449122</v>
          </cell>
          <cell r="AB83">
            <v>0.27104224621872114</v>
          </cell>
          <cell r="AC83">
            <v>0.46497432592514681</v>
          </cell>
          <cell r="AD83">
            <v>0.88723497682120789</v>
          </cell>
          <cell r="AE83">
            <v>0.7968361977248426</v>
          </cell>
          <cell r="AF83">
            <v>0.37013264591566364</v>
          </cell>
        </row>
        <row r="84">
          <cell r="F84">
            <v>0.95007371344658864</v>
          </cell>
          <cell r="G84">
            <v>1.0180689536070759</v>
          </cell>
          <cell r="H84">
            <v>1.054768735183278</v>
          </cell>
          <cell r="I84">
            <v>2.3059627498534265</v>
          </cell>
          <cell r="J84">
            <v>5.4139795806831064</v>
          </cell>
          <cell r="K84">
            <v>2.7344190028212791</v>
          </cell>
          <cell r="L84">
            <v>3.0140214226211084</v>
          </cell>
          <cell r="M84">
            <v>1.0337470490811835</v>
          </cell>
          <cell r="N84">
            <v>1.7733982212343138</v>
          </cell>
          <cell r="O84">
            <v>3.3838877589230432</v>
          </cell>
          <cell r="P84">
            <v>3.0391095096459946</v>
          </cell>
          <cell r="Q84">
            <v>1.4116748802884578</v>
          </cell>
          <cell r="U84">
            <v>0.24910360188675312</v>
          </cell>
          <cell r="V84">
            <v>0.26693154407208802</v>
          </cell>
          <cell r="W84">
            <v>0.27655400562396526</v>
          </cell>
          <cell r="X84">
            <v>0.60460953573942189</v>
          </cell>
          <cell r="Y84">
            <v>1.4195128177970724</v>
          </cell>
          <cell r="Z84">
            <v>0.71694818310396036</v>
          </cell>
          <cell r="AA84">
            <v>0.79025825250449122</v>
          </cell>
          <cell r="AB84">
            <v>0.27104224621872114</v>
          </cell>
          <cell r="AC84">
            <v>0.46497432592514681</v>
          </cell>
          <cell r="AD84">
            <v>0.88723497682120789</v>
          </cell>
          <cell r="AE84">
            <v>0.7968361977248426</v>
          </cell>
          <cell r="AF84">
            <v>0.37013264591566364</v>
          </cell>
        </row>
        <row r="85">
          <cell r="F85">
            <v>0.95007371344658864</v>
          </cell>
          <cell r="G85">
            <v>1.0180689536070759</v>
          </cell>
          <cell r="H85">
            <v>1.054768735183278</v>
          </cell>
          <cell r="I85">
            <v>2.3059627498534265</v>
          </cell>
          <cell r="J85">
            <v>5.4139795806831064</v>
          </cell>
          <cell r="K85">
            <v>2.7344190028212791</v>
          </cell>
          <cell r="L85">
            <v>3.0140214226211084</v>
          </cell>
          <cell r="M85">
            <v>1.0337470490811835</v>
          </cell>
          <cell r="N85">
            <v>1.7733982212343138</v>
          </cell>
          <cell r="O85">
            <v>3.3838877589230432</v>
          </cell>
          <cell r="P85">
            <v>3.0391095096459946</v>
          </cell>
          <cell r="Q85">
            <v>1.4116748802884578</v>
          </cell>
          <cell r="U85">
            <v>0.24910360188675312</v>
          </cell>
          <cell r="V85">
            <v>0.26693154407208802</v>
          </cell>
          <cell r="W85">
            <v>0.27655400562396526</v>
          </cell>
          <cell r="X85">
            <v>0.60460953573942189</v>
          </cell>
          <cell r="Y85">
            <v>1.4195128177970724</v>
          </cell>
          <cell r="Z85">
            <v>0.71694818310396036</v>
          </cell>
          <cell r="AA85">
            <v>0.79025825250449122</v>
          </cell>
          <cell r="AB85">
            <v>0.27104224621872114</v>
          </cell>
          <cell r="AC85">
            <v>0.46497432592514681</v>
          </cell>
          <cell r="AD85">
            <v>0.88723497682120789</v>
          </cell>
          <cell r="AE85">
            <v>0.7968361977248426</v>
          </cell>
          <cell r="AF85">
            <v>0.37013264591566364</v>
          </cell>
        </row>
        <row r="86">
          <cell r="F86">
            <v>0.95007371344658864</v>
          </cell>
          <cell r="G86">
            <v>1.0180689536070759</v>
          </cell>
          <cell r="H86">
            <v>1.054768735183278</v>
          </cell>
          <cell r="I86">
            <v>2.3059627498534265</v>
          </cell>
          <cell r="J86">
            <v>5.4139795806831064</v>
          </cell>
          <cell r="K86">
            <v>2.7344190028212791</v>
          </cell>
          <cell r="L86">
            <v>3.0140214226211084</v>
          </cell>
          <cell r="M86">
            <v>1.0337470490811835</v>
          </cell>
          <cell r="N86">
            <v>1.7733982212343138</v>
          </cell>
          <cell r="O86">
            <v>3.3838877589230432</v>
          </cell>
          <cell r="P86">
            <v>3.0391095096459946</v>
          </cell>
          <cell r="Q86">
            <v>1.4116748802884578</v>
          </cell>
          <cell r="U86">
            <v>0.24910360188675312</v>
          </cell>
          <cell r="V86">
            <v>0.26693154407208802</v>
          </cell>
          <cell r="W86">
            <v>0.27655400562396526</v>
          </cell>
          <cell r="X86">
            <v>0.60460953573942189</v>
          </cell>
          <cell r="Y86">
            <v>1.4195128177970724</v>
          </cell>
          <cell r="Z86">
            <v>0.71694818310396036</v>
          </cell>
          <cell r="AA86">
            <v>0.79025825250449122</v>
          </cell>
          <cell r="AB86">
            <v>0.27104224621872114</v>
          </cell>
          <cell r="AC86">
            <v>0.46497432592514681</v>
          </cell>
          <cell r="AD86">
            <v>0.88723497682120789</v>
          </cell>
          <cell r="AE86">
            <v>0.7968361977248426</v>
          </cell>
          <cell r="AF86">
            <v>0.37013264591566364</v>
          </cell>
        </row>
        <row r="87">
          <cell r="F87">
            <v>0.97443457789393717</v>
          </cell>
          <cell r="G87">
            <v>1.0441732857508472</v>
          </cell>
          <cell r="H87">
            <v>1.0818140873674649</v>
          </cell>
          <cell r="I87">
            <v>2.3650899998496682</v>
          </cell>
          <cell r="J87">
            <v>5.552799569931393</v>
          </cell>
          <cell r="K87">
            <v>2.8045323105859268</v>
          </cell>
          <cell r="L87">
            <v>3.0913040232011371</v>
          </cell>
          <cell r="M87">
            <v>1.0602533836730093</v>
          </cell>
          <cell r="N87">
            <v>1.8188699704967322</v>
          </cell>
          <cell r="O87">
            <v>3.4706541117159411</v>
          </cell>
          <cell r="P87">
            <v>3.1170353945087124</v>
          </cell>
          <cell r="Q87">
            <v>1.4478716720907259</v>
          </cell>
          <cell r="U87">
            <v>0.45257659365833225</v>
          </cell>
          <cell r="V87">
            <v>0.48496676901133517</v>
          </cell>
          <cell r="W87">
            <v>0.50244905685772567</v>
          </cell>
          <cell r="X87">
            <v>1.0984671522441141</v>
          </cell>
          <cell r="Y87">
            <v>2.5790003471126193</v>
          </cell>
          <cell r="Z87">
            <v>1.3025663381865997</v>
          </cell>
          <cell r="AA87">
            <v>1.4357575937077935</v>
          </cell>
          <cell r="AB87">
            <v>0.49243517798244679</v>
          </cell>
          <cell r="AC87">
            <v>0.84477500514605253</v>
          </cell>
          <cell r="AD87">
            <v>1.6119469190446292</v>
          </cell>
          <cell r="AE87">
            <v>1.4477085410989561</v>
          </cell>
          <cell r="AF87">
            <v>0.67246467261605947</v>
          </cell>
        </row>
        <row r="88">
          <cell r="F88">
            <v>0.97443457789393717</v>
          </cell>
          <cell r="G88">
            <v>1.0441732857508472</v>
          </cell>
          <cell r="H88">
            <v>1.0818140873674649</v>
          </cell>
          <cell r="I88">
            <v>2.3650899998496682</v>
          </cell>
          <cell r="J88">
            <v>5.552799569931393</v>
          </cell>
          <cell r="K88">
            <v>2.8045323105859268</v>
          </cell>
          <cell r="L88">
            <v>3.0913040232011371</v>
          </cell>
          <cell r="M88">
            <v>1.0602533836730093</v>
          </cell>
          <cell r="N88">
            <v>1.8188699704967322</v>
          </cell>
          <cell r="O88">
            <v>3.4706541117159411</v>
          </cell>
          <cell r="P88">
            <v>3.1170353945087124</v>
          </cell>
          <cell r="Q88">
            <v>1.4478716720907259</v>
          </cell>
          <cell r="U88">
            <v>0.45257659365833225</v>
          </cell>
          <cell r="V88">
            <v>0.48496676901133517</v>
          </cell>
          <cell r="W88">
            <v>0.50244905685772567</v>
          </cell>
          <cell r="X88">
            <v>1.0984671522441141</v>
          </cell>
          <cell r="Y88">
            <v>2.5790003471126193</v>
          </cell>
          <cell r="Z88">
            <v>1.3025663381865997</v>
          </cell>
          <cell r="AA88">
            <v>1.4357575937077935</v>
          </cell>
          <cell r="AB88">
            <v>0.49243517798244679</v>
          </cell>
          <cell r="AC88">
            <v>0.84477500514605253</v>
          </cell>
          <cell r="AD88">
            <v>1.6119469190446292</v>
          </cell>
          <cell r="AE88">
            <v>1.4477085410989561</v>
          </cell>
          <cell r="AF88">
            <v>0.67246467261605947</v>
          </cell>
        </row>
        <row r="89">
          <cell r="F89">
            <v>0.97443457789393717</v>
          </cell>
          <cell r="G89">
            <v>1.0441732857508472</v>
          </cell>
          <cell r="H89">
            <v>1.0818140873674649</v>
          </cell>
          <cell r="I89">
            <v>2.3650899998496682</v>
          </cell>
          <cell r="J89">
            <v>5.552799569931393</v>
          </cell>
          <cell r="K89">
            <v>2.8045323105859268</v>
          </cell>
          <cell r="L89">
            <v>3.0913040232011371</v>
          </cell>
          <cell r="M89">
            <v>1.0602533836730093</v>
          </cell>
          <cell r="N89">
            <v>1.8188699704967322</v>
          </cell>
          <cell r="O89">
            <v>3.4706541117159411</v>
          </cell>
          <cell r="P89">
            <v>3.1170353945087124</v>
          </cell>
          <cell r="Q89">
            <v>1.4478716720907259</v>
          </cell>
          <cell r="U89">
            <v>0.45257659365833225</v>
          </cell>
          <cell r="V89">
            <v>0.48496676901133517</v>
          </cell>
          <cell r="W89">
            <v>0.50244905685772567</v>
          </cell>
          <cell r="X89">
            <v>1.0984671522441141</v>
          </cell>
          <cell r="Y89">
            <v>2.5790003471126193</v>
          </cell>
          <cell r="Z89">
            <v>1.3025663381865997</v>
          </cell>
          <cell r="AA89">
            <v>1.4357575937077935</v>
          </cell>
          <cell r="AB89">
            <v>0.49243517798244679</v>
          </cell>
          <cell r="AC89">
            <v>0.84477500514605253</v>
          </cell>
          <cell r="AD89">
            <v>1.6119469190446292</v>
          </cell>
          <cell r="AE89">
            <v>1.4477085410989561</v>
          </cell>
          <cell r="AF89">
            <v>0.67246467261605947</v>
          </cell>
        </row>
        <row r="90">
          <cell r="F90">
            <v>0.97443457789393717</v>
          </cell>
          <cell r="G90">
            <v>1.0441732857508472</v>
          </cell>
          <cell r="H90">
            <v>1.0818140873674649</v>
          </cell>
          <cell r="I90">
            <v>2.3650899998496682</v>
          </cell>
          <cell r="J90">
            <v>5.552799569931393</v>
          </cell>
          <cell r="K90">
            <v>2.8045323105859268</v>
          </cell>
          <cell r="L90">
            <v>3.0913040232011371</v>
          </cell>
          <cell r="M90">
            <v>1.0602533836730093</v>
          </cell>
          <cell r="N90">
            <v>1.8188699704967322</v>
          </cell>
          <cell r="O90">
            <v>3.4706541117159411</v>
          </cell>
          <cell r="P90">
            <v>3.1170353945087124</v>
          </cell>
          <cell r="Q90">
            <v>1.4478716720907259</v>
          </cell>
          <cell r="U90">
            <v>0.45257659365833225</v>
          </cell>
          <cell r="V90">
            <v>0.48496676901133517</v>
          </cell>
          <cell r="W90">
            <v>0.50244905685772567</v>
          </cell>
          <cell r="X90">
            <v>1.0984671522441141</v>
          </cell>
          <cell r="Y90">
            <v>2.5790003471126193</v>
          </cell>
          <cell r="Z90">
            <v>1.3025663381865997</v>
          </cell>
          <cell r="AA90">
            <v>1.4357575937077935</v>
          </cell>
          <cell r="AB90">
            <v>0.49243517798244679</v>
          </cell>
          <cell r="AC90">
            <v>0.84477500514605253</v>
          </cell>
          <cell r="AD90">
            <v>1.6119469190446292</v>
          </cell>
          <cell r="AE90">
            <v>1.4477085410989561</v>
          </cell>
          <cell r="AF90">
            <v>0.67246467261605947</v>
          </cell>
        </row>
        <row r="91">
          <cell r="F91">
            <v>0.97443457789393717</v>
          </cell>
          <cell r="G91">
            <v>1.0441732857508472</v>
          </cell>
          <cell r="H91">
            <v>1.0818140873674649</v>
          </cell>
          <cell r="I91">
            <v>2.3650899998496682</v>
          </cell>
          <cell r="J91">
            <v>5.552799569931393</v>
          </cell>
          <cell r="K91">
            <v>2.8045323105859268</v>
          </cell>
          <cell r="L91">
            <v>3.0913040232011371</v>
          </cell>
          <cell r="M91">
            <v>1.0602533836730093</v>
          </cell>
          <cell r="N91">
            <v>1.8188699704967322</v>
          </cell>
          <cell r="O91">
            <v>3.4706541117159411</v>
          </cell>
          <cell r="P91">
            <v>3.1170353945087124</v>
          </cell>
          <cell r="Q91">
            <v>1.4478716720907259</v>
          </cell>
          <cell r="U91">
            <v>0.45257659365833225</v>
          </cell>
          <cell r="V91">
            <v>0.48496676901133517</v>
          </cell>
          <cell r="W91">
            <v>0.50244905685772567</v>
          </cell>
          <cell r="X91">
            <v>1.0984671522441141</v>
          </cell>
          <cell r="Y91">
            <v>2.5790003471126193</v>
          </cell>
          <cell r="Z91">
            <v>1.3025663381865997</v>
          </cell>
          <cell r="AA91">
            <v>1.4357575937077935</v>
          </cell>
          <cell r="AB91">
            <v>0.49243517798244679</v>
          </cell>
          <cell r="AC91">
            <v>0.84477500514605253</v>
          </cell>
          <cell r="AD91">
            <v>1.6119469190446292</v>
          </cell>
          <cell r="AE91">
            <v>1.4477085410989561</v>
          </cell>
          <cell r="AF91">
            <v>0.67246467261605947</v>
          </cell>
        </row>
        <row r="92">
          <cell r="F92">
            <v>0.97443457789393717</v>
          </cell>
          <cell r="G92">
            <v>1.0441732857508472</v>
          </cell>
          <cell r="H92">
            <v>1.0818140873674649</v>
          </cell>
          <cell r="I92">
            <v>2.3650899998496682</v>
          </cell>
          <cell r="J92">
            <v>5.552799569931393</v>
          </cell>
          <cell r="K92">
            <v>2.8045323105859268</v>
          </cell>
          <cell r="L92">
            <v>3.0913040232011371</v>
          </cell>
          <cell r="M92">
            <v>1.0602533836730093</v>
          </cell>
          <cell r="N92">
            <v>1.8188699704967322</v>
          </cell>
          <cell r="O92">
            <v>3.4706541117159411</v>
          </cell>
          <cell r="P92">
            <v>3.1170353945087124</v>
          </cell>
          <cell r="Q92">
            <v>1.4478716720907259</v>
          </cell>
          <cell r="U92">
            <v>0.45257659365833225</v>
          </cell>
          <cell r="V92">
            <v>0.48496676901133517</v>
          </cell>
          <cell r="W92">
            <v>0.50244905685772567</v>
          </cell>
          <cell r="X92">
            <v>1.0984671522441141</v>
          </cell>
          <cell r="Y92">
            <v>2.5790003471126193</v>
          </cell>
          <cell r="Z92">
            <v>1.3025663381865997</v>
          </cell>
          <cell r="AA92">
            <v>1.4357575937077935</v>
          </cell>
          <cell r="AB92">
            <v>0.49243517798244679</v>
          </cell>
          <cell r="AC92">
            <v>0.84477500514605253</v>
          </cell>
          <cell r="AD92">
            <v>1.6119469190446292</v>
          </cell>
          <cell r="AE92">
            <v>1.4477085410989561</v>
          </cell>
          <cell r="AF92">
            <v>0.67246467261605947</v>
          </cell>
        </row>
        <row r="93">
          <cell r="F93">
            <v>0.73082593342045299</v>
          </cell>
          <cell r="G93">
            <v>0.78312996431313531</v>
          </cell>
          <cell r="H93">
            <v>0.81136056552559843</v>
          </cell>
          <cell r="I93">
            <v>1.7738174998872509</v>
          </cell>
          <cell r="J93">
            <v>4.1645996774485443</v>
          </cell>
          <cell r="K93">
            <v>2.1033992329394451</v>
          </cell>
          <cell r="L93">
            <v>2.3184780174008521</v>
          </cell>
          <cell r="M93">
            <v>0.79519003775475672</v>
          </cell>
          <cell r="N93">
            <v>1.3641524778725489</v>
          </cell>
          <cell r="O93">
            <v>2.6029905837869558</v>
          </cell>
          <cell r="P93">
            <v>2.3377765458815336</v>
          </cell>
          <cell r="Q93">
            <v>1.0859037540680445</v>
          </cell>
          <cell r="U93">
            <v>0.32980361310927619</v>
          </cell>
          <cell r="V93">
            <v>0.35340712467030022</v>
          </cell>
          <cell r="W93">
            <v>0.36614689464061539</v>
          </cell>
          <cell r="X93">
            <v>0.80047983207338425</v>
          </cell>
          <cell r="Y93">
            <v>1.8793805172565832</v>
          </cell>
          <cell r="Z93">
            <v>0.94921189179477317</v>
          </cell>
          <cell r="AA93">
            <v>1.0462716114554249</v>
          </cell>
          <cell r="AB93">
            <v>0.35884953662302671</v>
          </cell>
          <cell r="AC93">
            <v>0.61560817078381413</v>
          </cell>
          <cell r="AD93">
            <v>1.1746650743556342</v>
          </cell>
          <cell r="AE93">
            <v>1.0549805585925802</v>
          </cell>
          <cell r="AF93">
            <v>0.49004142464458578</v>
          </cell>
        </row>
        <row r="94">
          <cell r="F94">
            <v>0.73082593342045299</v>
          </cell>
          <cell r="G94">
            <v>0.78312996431313531</v>
          </cell>
          <cell r="H94">
            <v>0.81136056552559843</v>
          </cell>
          <cell r="I94">
            <v>1.7738174998872509</v>
          </cell>
          <cell r="J94">
            <v>4.1645996774485443</v>
          </cell>
          <cell r="K94">
            <v>2.1033992329394451</v>
          </cell>
          <cell r="L94">
            <v>2.3184780174008521</v>
          </cell>
          <cell r="M94">
            <v>0.79519003775475672</v>
          </cell>
          <cell r="N94">
            <v>1.3641524778725489</v>
          </cell>
          <cell r="O94">
            <v>2.6029905837869558</v>
          </cell>
          <cell r="P94">
            <v>2.3377765458815336</v>
          </cell>
          <cell r="Q94">
            <v>1.0859037540680445</v>
          </cell>
          <cell r="U94">
            <v>0.32980361310927619</v>
          </cell>
          <cell r="V94">
            <v>0.35340712467030022</v>
          </cell>
          <cell r="W94">
            <v>0.36614689464061539</v>
          </cell>
          <cell r="X94">
            <v>0.80047983207338425</v>
          </cell>
          <cell r="Y94">
            <v>1.8793805172565832</v>
          </cell>
          <cell r="Z94">
            <v>0.94921189179477317</v>
          </cell>
          <cell r="AA94">
            <v>1.0462716114554249</v>
          </cell>
          <cell r="AB94">
            <v>0.35884953662302671</v>
          </cell>
          <cell r="AC94">
            <v>0.61560817078381413</v>
          </cell>
          <cell r="AD94">
            <v>1.1746650743556342</v>
          </cell>
          <cell r="AE94">
            <v>1.0549805585925802</v>
          </cell>
          <cell r="AF94">
            <v>0.49004142464458578</v>
          </cell>
        </row>
        <row r="95">
          <cell r="F95">
            <v>0.73082593342045299</v>
          </cell>
          <cell r="G95">
            <v>0.78312996431313531</v>
          </cell>
          <cell r="H95">
            <v>0.81136056552559843</v>
          </cell>
          <cell r="I95">
            <v>1.7738174998872509</v>
          </cell>
          <cell r="J95">
            <v>4.1645996774485443</v>
          </cell>
          <cell r="K95">
            <v>2.1033992329394451</v>
          </cell>
          <cell r="L95">
            <v>2.3184780174008521</v>
          </cell>
          <cell r="M95">
            <v>0.79519003775475672</v>
          </cell>
          <cell r="N95">
            <v>1.3641524778725489</v>
          </cell>
          <cell r="O95">
            <v>2.6029905837869558</v>
          </cell>
          <cell r="P95">
            <v>2.3377765458815336</v>
          </cell>
          <cell r="Q95">
            <v>1.0859037540680445</v>
          </cell>
          <cell r="U95">
            <v>0.32980361310927619</v>
          </cell>
          <cell r="V95">
            <v>0.35340712467030022</v>
          </cell>
          <cell r="W95">
            <v>0.36614689464061539</v>
          </cell>
          <cell r="X95">
            <v>0.80047983207338425</v>
          </cell>
          <cell r="Y95">
            <v>1.8793805172565832</v>
          </cell>
          <cell r="Z95">
            <v>0.94921189179477317</v>
          </cell>
          <cell r="AA95">
            <v>1.0462716114554249</v>
          </cell>
          <cell r="AB95">
            <v>0.35884953662302671</v>
          </cell>
          <cell r="AC95">
            <v>0.61560817078381413</v>
          </cell>
          <cell r="AD95">
            <v>1.1746650743556342</v>
          </cell>
          <cell r="AE95">
            <v>1.0549805585925802</v>
          </cell>
          <cell r="AF95">
            <v>0.49004142464458578</v>
          </cell>
        </row>
        <row r="96">
          <cell r="F96">
            <v>0.73082593342045299</v>
          </cell>
          <cell r="G96">
            <v>0.78312996431313531</v>
          </cell>
          <cell r="H96">
            <v>0.81136056552559843</v>
          </cell>
          <cell r="I96">
            <v>1.7738174998872509</v>
          </cell>
          <cell r="J96">
            <v>4.1645996774485443</v>
          </cell>
          <cell r="K96">
            <v>2.1033992329394451</v>
          </cell>
          <cell r="L96">
            <v>2.3184780174008521</v>
          </cell>
          <cell r="M96">
            <v>0.79519003775475672</v>
          </cell>
          <cell r="N96">
            <v>1.3641524778725489</v>
          </cell>
          <cell r="O96">
            <v>2.6029905837869558</v>
          </cell>
          <cell r="P96">
            <v>2.3377765458815336</v>
          </cell>
          <cell r="Q96">
            <v>1.0859037540680445</v>
          </cell>
          <cell r="U96">
            <v>0.32980361310927619</v>
          </cell>
          <cell r="V96">
            <v>0.35340712467030022</v>
          </cell>
          <cell r="W96">
            <v>0.36614689464061539</v>
          </cell>
          <cell r="X96">
            <v>0.80047983207338425</v>
          </cell>
          <cell r="Y96">
            <v>1.8793805172565832</v>
          </cell>
          <cell r="Z96">
            <v>0.94921189179477317</v>
          </cell>
          <cell r="AA96">
            <v>1.0462716114554249</v>
          </cell>
          <cell r="AB96">
            <v>0.35884953662302671</v>
          </cell>
          <cell r="AC96">
            <v>0.61560817078381413</v>
          </cell>
          <cell r="AD96">
            <v>1.1746650743556342</v>
          </cell>
          <cell r="AE96">
            <v>1.0549805585925802</v>
          </cell>
          <cell r="AF96">
            <v>0.49004142464458578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F102">
            <v>3.5476995666069602</v>
          </cell>
          <cell r="G102">
            <v>2.4945358430075384</v>
          </cell>
          <cell r="H102">
            <v>2.0740705759705658</v>
          </cell>
          <cell r="I102">
            <v>2.9286263373885997</v>
          </cell>
          <cell r="J102">
            <v>2.9286263373885997</v>
          </cell>
          <cell r="K102">
            <v>2.0876891012844818</v>
          </cell>
          <cell r="L102">
            <v>2.9286263373885997</v>
          </cell>
          <cell r="M102">
            <v>2.7517854522078959</v>
          </cell>
          <cell r="N102">
            <v>4.490981271490794</v>
          </cell>
          <cell r="O102">
            <v>4.5660239033509873</v>
          </cell>
          <cell r="P102">
            <v>4.8160654790990236</v>
          </cell>
          <cell r="Q102">
            <v>4.836435182808386</v>
          </cell>
        </row>
        <row r="103">
          <cell r="F103">
            <v>1.0190928297479487E-2</v>
          </cell>
          <cell r="G103">
            <v>1.0920276565133011E-2</v>
          </cell>
          <cell r="H103">
            <v>1.131393532790359E-2</v>
          </cell>
          <cell r="I103">
            <v>2.473481868597768E-2</v>
          </cell>
          <cell r="J103">
            <v>5.8072838907000594E-2</v>
          </cell>
          <cell r="K103">
            <v>2.9330637821697394E-2</v>
          </cell>
          <cell r="L103">
            <v>3.2329782174028751E-2</v>
          </cell>
          <cell r="M103">
            <v>1.1088447039230285E-2</v>
          </cell>
          <cell r="N103">
            <v>1.9022286228628043E-2</v>
          </cell>
          <cell r="O103">
            <v>3.6297138874416351E-2</v>
          </cell>
          <cell r="P103">
            <v>3.2598888552168651E-2</v>
          </cell>
          <cell r="Q103">
            <v>1.5142275047462808E-2</v>
          </cell>
        </row>
        <row r="104">
          <cell r="F104">
            <v>3.246513007437709E-2</v>
          </cell>
          <cell r="G104">
            <v>2.784002065947954E-2</v>
          </cell>
          <cell r="H104">
            <v>6.6222024297460963E-2</v>
          </cell>
          <cell r="I104">
            <v>9.6324029772279482E-2</v>
          </cell>
          <cell r="J104">
            <v>5.2562078251376237E-2</v>
          </cell>
          <cell r="K104">
            <v>3.8652613510924354E-2</v>
          </cell>
          <cell r="L104">
            <v>2.3440076328904731E-2</v>
          </cell>
          <cell r="M104">
            <v>3.2548401433269043E-2</v>
          </cell>
          <cell r="N104">
            <v>3.7218109168081402E-2</v>
          </cell>
          <cell r="O104">
            <v>3.5995010384407528E-2</v>
          </cell>
          <cell r="P104">
            <v>2.4679813513068749E-2</v>
          </cell>
          <cell r="Q104">
            <v>3.2052692606370968E-2</v>
          </cell>
        </row>
        <row r="107">
          <cell r="F107">
            <v>6.1049643221902974</v>
          </cell>
          <cell r="G107">
            <v>6.2951910009149028</v>
          </cell>
          <cell r="H107">
            <v>5.8938772348618604</v>
          </cell>
          <cell r="I107">
            <v>4.6161635380481805</v>
          </cell>
          <cell r="J107">
            <v>5.6775556471119915</v>
          </cell>
          <cell r="K107">
            <v>5.0045822710259102</v>
          </cell>
          <cell r="L107">
            <v>6.1355034858994486</v>
          </cell>
          <cell r="M107">
            <v>4.7309108312559625</v>
          </cell>
          <cell r="N107">
            <v>5.186120284192083</v>
          </cell>
          <cell r="O107">
            <v>5.5291638417471702</v>
          </cell>
          <cell r="P107">
            <v>5.6753329952437603</v>
          </cell>
          <cell r="Q107">
            <v>6.0855534960871163</v>
          </cell>
        </row>
        <row r="108">
          <cell r="F108">
            <v>30.615785319455821</v>
          </cell>
          <cell r="G108">
            <v>31.569753082493634</v>
          </cell>
          <cell r="H108">
            <v>29.557204694198688</v>
          </cell>
          <cell r="I108">
            <v>23.149598330441705</v>
          </cell>
          <cell r="J108">
            <v>28.472373573000965</v>
          </cell>
          <cell r="K108">
            <v>25.097479417916229</v>
          </cell>
          <cell r="L108">
            <v>30.768936170240746</v>
          </cell>
          <cell r="M108">
            <v>23.725044526264469</v>
          </cell>
          <cell r="N108">
            <v>26.007874392414955</v>
          </cell>
          <cell r="O108">
            <v>27.728203514594153</v>
          </cell>
          <cell r="P108">
            <v>28.461227196241591</v>
          </cell>
          <cell r="Q108">
            <v>30.518441968457317</v>
          </cell>
        </row>
        <row r="109">
          <cell r="F109">
            <v>30.61578531945581</v>
          </cell>
          <cell r="G109">
            <v>31.569753082493634</v>
          </cell>
          <cell r="H109">
            <v>29.557204694198681</v>
          </cell>
          <cell r="I109">
            <v>23.149598330441702</v>
          </cell>
          <cell r="J109">
            <v>28.472373573000961</v>
          </cell>
          <cell r="K109">
            <v>25.097479417916226</v>
          </cell>
          <cell r="L109">
            <v>30.768936170240735</v>
          </cell>
          <cell r="M109">
            <v>23.725044526264465</v>
          </cell>
          <cell r="N109">
            <v>26.007874392414955</v>
          </cell>
          <cell r="O109">
            <v>27.728203514594153</v>
          </cell>
          <cell r="P109">
            <v>28.461227196241587</v>
          </cell>
          <cell r="Q109">
            <v>30.51844196845731</v>
          </cell>
        </row>
        <row r="110">
          <cell r="F110">
            <v>118.25347079639809</v>
          </cell>
          <cell r="G110">
            <v>121.93817128113166</v>
          </cell>
          <cell r="H110">
            <v>114.16470313134243</v>
          </cell>
          <cell r="I110">
            <v>89.41532355133107</v>
          </cell>
          <cell r="J110">
            <v>109.97454292571622</v>
          </cell>
          <cell r="K110">
            <v>96.939014251701423</v>
          </cell>
          <cell r="L110">
            <v>118.84501595755488</v>
          </cell>
          <cell r="M110">
            <v>91.637984482696524</v>
          </cell>
          <cell r="N110">
            <v>100.45541484070277</v>
          </cell>
          <cell r="O110">
            <v>107.10018607511991</v>
          </cell>
          <cell r="P110">
            <v>109.93149004548314</v>
          </cell>
          <cell r="Q110">
            <v>117.87748210316637</v>
          </cell>
        </row>
        <row r="112">
          <cell r="F112">
            <v>129.50477190129811</v>
          </cell>
          <cell r="G112">
            <v>133.54005553894805</v>
          </cell>
          <cell r="H112">
            <v>125.02697585646044</v>
          </cell>
          <cell r="I112">
            <v>97.9228009377684</v>
          </cell>
          <cell r="J112">
            <v>120.43814021379407</v>
          </cell>
          <cell r="K112">
            <v>106.16233793778564</v>
          </cell>
          <cell r="L112">
            <v>130.15260000011835</v>
          </cell>
          <cell r="M112">
            <v>100.3569383460987</v>
          </cell>
          <cell r="N112">
            <v>110.01330867991527</v>
          </cell>
          <cell r="O112">
            <v>117.29030086673325</v>
          </cell>
          <cell r="P112">
            <v>120.39099104010192</v>
          </cell>
          <cell r="Q112">
            <v>129.09300952657443</v>
          </cell>
        </row>
        <row r="113">
          <cell r="F113">
            <v>76.539463298639518</v>
          </cell>
          <cell r="G113">
            <v>78.92438270623407</v>
          </cell>
          <cell r="H113">
            <v>73.8930117354967</v>
          </cell>
          <cell r="I113">
            <v>57.873995826104235</v>
          </cell>
          <cell r="J113">
            <v>71.180933932502384</v>
          </cell>
          <cell r="K113">
            <v>62.743698544790547</v>
          </cell>
          <cell r="L113">
            <v>76.922340425601831</v>
          </cell>
          <cell r="M113">
            <v>59.312611315661158</v>
          </cell>
          <cell r="N113">
            <v>65.019685981037384</v>
          </cell>
          <cell r="O113">
            <v>69.320508786485348</v>
          </cell>
          <cell r="P113">
            <v>71.153067990603958</v>
          </cell>
          <cell r="Q113">
            <v>76.296104921143268</v>
          </cell>
        </row>
        <row r="114">
          <cell r="F114">
            <v>226.62958233077637</v>
          </cell>
          <cell r="G114">
            <v>233.69121127278808</v>
          </cell>
          <cell r="H114">
            <v>218.79356955298169</v>
          </cell>
          <cell r="I114">
            <v>171.36205215742916</v>
          </cell>
          <cell r="J114">
            <v>210.76324071015981</v>
          </cell>
          <cell r="K114">
            <v>185.78100214280934</v>
          </cell>
          <cell r="L114">
            <v>227.7632626523762</v>
          </cell>
          <cell r="M114">
            <v>175.62172179034471</v>
          </cell>
          <cell r="N114">
            <v>192.52008888103424</v>
          </cell>
          <cell r="O114">
            <v>205.25461345268329</v>
          </cell>
          <cell r="P114">
            <v>210.68073102820591</v>
          </cell>
          <cell r="Q114">
            <v>225.9090101570014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x"/>
      <sheetName val="F3x"/>
      <sheetName val="F4x"/>
      <sheetName val="F4Ax"/>
      <sheetName val="F4Bx"/>
      <sheetName val="F2"/>
      <sheetName val="F2_working"/>
      <sheetName val="F3"/>
      <sheetName val="F3_working"/>
      <sheetName val="F4"/>
      <sheetName val="F4A"/>
      <sheetName val="F4B"/>
      <sheetName val="F5"/>
      <sheetName val="F6"/>
      <sheetName val="F7"/>
      <sheetName val="F7-Working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 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x"/>
      <sheetName val="F15.1x"/>
      <sheetName val="F15.2x"/>
      <sheetName val="F15.3x"/>
      <sheetName val="F16x"/>
      <sheetName val="F16.1x"/>
      <sheetName val="F16.2x"/>
      <sheetName val="F17x"/>
      <sheetName val="F18x"/>
      <sheetName val="F19x"/>
      <sheetName val="F20x"/>
      <sheetName val="F21x"/>
      <sheetName val="F22x"/>
      <sheetName val="F23x"/>
      <sheetName val="F15-x"/>
      <sheetName val="F15.1-x"/>
      <sheetName val="F15.2-x"/>
      <sheetName val="F15.3-x"/>
      <sheetName val="F16-x"/>
      <sheetName val="F17-x"/>
      <sheetName val="F18-x"/>
      <sheetName val="F19-x"/>
      <sheetName val="F20-x"/>
      <sheetName val="F21-x"/>
      <sheetName val="F22-x"/>
      <sheetName val="F15"/>
      <sheetName val="F15.1"/>
      <sheetName val="F15.2"/>
      <sheetName val="F15.3"/>
      <sheetName val="F16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xx"/>
      <sheetName val="F26-Year(n+1)(Current Tariff)"/>
      <sheetName val="F26-Year(n+1)(Proposed Tariff)"/>
      <sheetName val="F26-Year(n+2)(Proposed Tariff)x"/>
      <sheetName val="F26-Year(n+2)(Current Tariff)"/>
      <sheetName val="F26-Year(n+2)(Proposed Tariff)"/>
      <sheetName val="F27"/>
      <sheetName val="F27 (n+2)"/>
      <sheetName val="F28"/>
      <sheetName val="F29"/>
      <sheetName val="F25x"/>
      <sheetName val="F26-Year(n-1)x"/>
      <sheetName val="F26-Year(n+1)(Current Tariff)x"/>
      <sheetName val="F26-Year(n+1)(Proposed Tariff)x"/>
      <sheetName val="F27x"/>
      <sheetName val="F28x"/>
      <sheetName val="F29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H9">
            <v>2150.5685949999997</v>
          </cell>
        </row>
        <row r="10">
          <cell r="H10">
            <v>2151.4504699999998</v>
          </cell>
        </row>
        <row r="11">
          <cell r="H11">
            <v>3777.9877750000001</v>
          </cell>
        </row>
        <row r="12">
          <cell r="H12">
            <v>213.62540000000001</v>
          </cell>
        </row>
        <row r="13">
          <cell r="H13">
            <v>1876.12204</v>
          </cell>
        </row>
        <row r="14">
          <cell r="H14">
            <v>2565.0780649999997</v>
          </cell>
        </row>
        <row r="15">
          <cell r="H15">
            <v>5118.4166100000002</v>
          </cell>
        </row>
        <row r="16">
          <cell r="H16">
            <v>638.83024999999998</v>
          </cell>
        </row>
        <row r="29">
          <cell r="H29">
            <v>119.73746</v>
          </cell>
        </row>
        <row r="30">
          <cell r="H30">
            <v>1760.4694249999998</v>
          </cell>
        </row>
        <row r="31">
          <cell r="H31">
            <v>1523.2662150000001</v>
          </cell>
        </row>
        <row r="32">
          <cell r="H32">
            <v>265.45848499999994</v>
          </cell>
        </row>
        <row r="33">
          <cell r="H33">
            <v>229.10406999999998</v>
          </cell>
        </row>
        <row r="34">
          <cell r="H34">
            <v>12.261589999999998</v>
          </cell>
        </row>
        <row r="35">
          <cell r="H35">
            <v>92.088915</v>
          </cell>
        </row>
        <row r="36">
          <cell r="H36">
            <v>2.4833599999999998</v>
          </cell>
        </row>
        <row r="51">
          <cell r="H51">
            <v>1395.6342099999999</v>
          </cell>
        </row>
        <row r="52">
          <cell r="H52">
            <v>321.14359999999999</v>
          </cell>
        </row>
        <row r="53">
          <cell r="H53">
            <v>1126.8669299999999</v>
          </cell>
        </row>
        <row r="54">
          <cell r="H54">
            <v>1957.5790699999998</v>
          </cell>
        </row>
        <row r="55">
          <cell r="H55">
            <v>1015.687185</v>
          </cell>
        </row>
        <row r="56">
          <cell r="H56">
            <v>1012.738195</v>
          </cell>
        </row>
        <row r="57">
          <cell r="H57">
            <v>237.30198000000001</v>
          </cell>
        </row>
        <row r="58">
          <cell r="H58">
            <v>983.96790499999997</v>
          </cell>
        </row>
        <row r="59">
          <cell r="H59">
            <v>5584.7803300000005</v>
          </cell>
        </row>
        <row r="60">
          <cell r="H60">
            <v>24.629004999999996</v>
          </cell>
        </row>
        <row r="61">
          <cell r="H61">
            <v>31.507629999999995</v>
          </cell>
        </row>
        <row r="62">
          <cell r="H62">
            <v>259.82153999999997</v>
          </cell>
        </row>
        <row r="63">
          <cell r="H63">
            <v>28.756180000000001</v>
          </cell>
        </row>
        <row r="64">
          <cell r="H64">
            <v>21.179110000000001</v>
          </cell>
        </row>
        <row r="65">
          <cell r="H65">
            <v>0</v>
          </cell>
        </row>
        <row r="66">
          <cell r="H66">
            <v>0</v>
          </cell>
        </row>
        <row r="79">
          <cell r="H79">
            <v>39.818419999999996</v>
          </cell>
        </row>
        <row r="80">
          <cell r="H80">
            <v>301.14972999999998</v>
          </cell>
        </row>
        <row r="81">
          <cell r="H81">
            <v>326.32197000000002</v>
          </cell>
        </row>
        <row r="82">
          <cell r="H82">
            <v>236.20140000000001</v>
          </cell>
        </row>
        <row r="83">
          <cell r="H83">
            <v>0</v>
          </cell>
        </row>
        <row r="96">
          <cell r="H96">
            <v>1564.05117</v>
          </cell>
        </row>
        <row r="97">
          <cell r="H97">
            <v>3181.924935</v>
          </cell>
        </row>
        <row r="105">
          <cell r="H105">
            <v>5582.064155</v>
          </cell>
        </row>
        <row r="106">
          <cell r="H106">
            <v>4814.8470149999994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/>
      <sheetData sheetId="1"/>
      <sheetData sheetId="2"/>
      <sheetData sheetId="3">
        <row r="5">
          <cell r="N5">
            <v>4436.9900000000007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8">
          <cell r="I78">
            <v>938.84538499999985</v>
          </cell>
        </row>
      </sheetData>
      <sheetData sheetId="15"/>
      <sheetData sheetId="16">
        <row r="9">
          <cell r="F9">
            <v>500</v>
          </cell>
          <cell r="H9">
            <v>500</v>
          </cell>
        </row>
        <row r="10">
          <cell r="F10">
            <v>500</v>
          </cell>
          <cell r="H10">
            <v>500</v>
          </cell>
        </row>
        <row r="11">
          <cell r="F11">
            <v>800</v>
          </cell>
          <cell r="H11">
            <v>800</v>
          </cell>
        </row>
        <row r="12">
          <cell r="F12">
            <v>62.5</v>
          </cell>
          <cell r="H12">
            <v>62.5</v>
          </cell>
        </row>
        <row r="13">
          <cell r="F13">
            <v>500</v>
          </cell>
          <cell r="H13">
            <v>500</v>
          </cell>
        </row>
        <row r="14">
          <cell r="F14">
            <v>600</v>
          </cell>
          <cell r="H14">
            <v>600</v>
          </cell>
        </row>
        <row r="15">
          <cell r="F15">
            <v>1080</v>
          </cell>
          <cell r="H15">
            <v>1080</v>
          </cell>
        </row>
        <row r="16">
          <cell r="F16" t="str">
            <v>-</v>
          </cell>
          <cell r="H16" t="str">
            <v>-</v>
          </cell>
        </row>
        <row r="20">
          <cell r="F20">
            <v>234</v>
          </cell>
          <cell r="H20">
            <v>117</v>
          </cell>
        </row>
        <row r="21">
          <cell r="F21">
            <v>815.6</v>
          </cell>
          <cell r="H21">
            <v>815.6</v>
          </cell>
        </row>
        <row r="22">
          <cell r="F22">
            <v>60</v>
          </cell>
          <cell r="H22">
            <v>60</v>
          </cell>
        </row>
        <row r="23">
          <cell r="F23">
            <v>900</v>
          </cell>
          <cell r="H23">
            <v>900</v>
          </cell>
        </row>
        <row r="24">
          <cell r="F24">
            <v>240</v>
          </cell>
          <cell r="H24">
            <v>240</v>
          </cell>
        </row>
        <row r="25">
          <cell r="F25">
            <v>120</v>
          </cell>
          <cell r="H25">
            <v>120</v>
          </cell>
        </row>
        <row r="26">
          <cell r="F26">
            <v>9</v>
          </cell>
          <cell r="H26">
            <v>9</v>
          </cell>
        </row>
        <row r="27">
          <cell r="F27">
            <v>54</v>
          </cell>
          <cell r="H27">
            <v>54</v>
          </cell>
        </row>
        <row r="28">
          <cell r="F28">
            <v>9.16</v>
          </cell>
          <cell r="H28">
            <v>9.16</v>
          </cell>
        </row>
        <row r="31">
          <cell r="F31">
            <v>2100</v>
          </cell>
          <cell r="H31">
            <v>358.68</v>
          </cell>
        </row>
        <row r="32">
          <cell r="F32">
            <v>500</v>
          </cell>
          <cell r="H32">
            <v>89.85</v>
          </cell>
        </row>
        <row r="33">
          <cell r="F33">
            <v>2000</v>
          </cell>
          <cell r="H33">
            <v>219.20000000000002</v>
          </cell>
        </row>
        <row r="34">
          <cell r="F34">
            <v>1000</v>
          </cell>
          <cell r="H34">
            <v>538.90000000000009</v>
          </cell>
        </row>
        <row r="35">
          <cell r="F35">
            <v>1000</v>
          </cell>
          <cell r="H35">
            <v>247</v>
          </cell>
        </row>
        <row r="36">
          <cell r="F36">
            <v>2400</v>
          </cell>
          <cell r="H36">
            <v>289.44</v>
          </cell>
        </row>
        <row r="37">
          <cell r="F37">
            <v>630</v>
          </cell>
          <cell r="H37">
            <v>59.031000000000006</v>
          </cell>
        </row>
        <row r="38">
          <cell r="F38">
            <v>840</v>
          </cell>
          <cell r="H38">
            <v>105.92399999999999</v>
          </cell>
        </row>
        <row r="39">
          <cell r="F39">
            <v>1000</v>
          </cell>
          <cell r="H39">
            <v>62.1</v>
          </cell>
        </row>
        <row r="40">
          <cell r="F40">
            <v>800</v>
          </cell>
          <cell r="H40">
            <v>680</v>
          </cell>
        </row>
        <row r="41">
          <cell r="F41" t="str">
            <v>-</v>
          </cell>
          <cell r="H41" t="str">
            <v>-</v>
          </cell>
        </row>
        <row r="42">
          <cell r="F42" t="str">
            <v>-</v>
          </cell>
          <cell r="H42" t="str">
            <v>-</v>
          </cell>
        </row>
        <row r="44">
          <cell r="F44">
            <v>440</v>
          </cell>
          <cell r="H44">
            <v>22.483999999999998</v>
          </cell>
        </row>
        <row r="45">
          <cell r="F45">
            <v>440</v>
          </cell>
          <cell r="H45">
            <v>69.432000000000002</v>
          </cell>
        </row>
        <row r="46">
          <cell r="F46">
            <v>440</v>
          </cell>
          <cell r="H46">
            <v>73.744</v>
          </cell>
        </row>
        <row r="47">
          <cell r="F47">
            <v>1000</v>
          </cell>
          <cell r="H47">
            <v>50</v>
          </cell>
        </row>
        <row r="49">
          <cell r="F49">
            <v>85</v>
          </cell>
          <cell r="H49">
            <v>45.806500000000007</v>
          </cell>
        </row>
        <row r="50">
          <cell r="F50">
            <v>200</v>
          </cell>
          <cell r="H50">
            <v>200</v>
          </cell>
        </row>
        <row r="55">
          <cell r="F55">
            <v>24</v>
          </cell>
          <cell r="H55">
            <v>24</v>
          </cell>
        </row>
        <row r="56">
          <cell r="F56">
            <v>35.200000000000003</v>
          </cell>
          <cell r="H56">
            <v>35.200000000000003</v>
          </cell>
        </row>
        <row r="57">
          <cell r="F57">
            <v>19.8</v>
          </cell>
          <cell r="H57">
            <v>19.8</v>
          </cell>
        </row>
        <row r="58">
          <cell r="F58">
            <v>15</v>
          </cell>
          <cell r="H58">
            <v>15</v>
          </cell>
        </row>
        <row r="59">
          <cell r="F59">
            <v>128.1</v>
          </cell>
          <cell r="H59">
            <v>128.1</v>
          </cell>
        </row>
        <row r="60">
          <cell r="F60">
            <v>4.2</v>
          </cell>
          <cell r="H60">
            <v>4.2</v>
          </cell>
        </row>
        <row r="61">
          <cell r="F61">
            <v>2764.71</v>
          </cell>
          <cell r="H61">
            <v>2764.71</v>
          </cell>
        </row>
        <row r="62">
          <cell r="F62">
            <v>45.81</v>
          </cell>
          <cell r="H62">
            <v>45.81</v>
          </cell>
        </row>
        <row r="63">
          <cell r="F63">
            <v>400</v>
          </cell>
          <cell r="H63">
            <v>400</v>
          </cell>
        </row>
        <row r="64">
          <cell r="F64">
            <v>400</v>
          </cell>
          <cell r="H64">
            <v>400</v>
          </cell>
        </row>
        <row r="65">
          <cell r="F65" t="str">
            <v>-</v>
          </cell>
          <cell r="H65" t="str">
            <v>-</v>
          </cell>
        </row>
        <row r="67">
          <cell r="F67">
            <v>500</v>
          </cell>
          <cell r="H67">
            <v>269.45000000000005</v>
          </cell>
        </row>
        <row r="68">
          <cell r="F68">
            <v>570</v>
          </cell>
          <cell r="H68">
            <v>570</v>
          </cell>
        </row>
        <row r="69">
          <cell r="F69">
            <v>1200</v>
          </cell>
          <cell r="H69">
            <v>1200</v>
          </cell>
        </row>
        <row r="70">
          <cell r="F70">
            <v>1000</v>
          </cell>
          <cell r="H70">
            <v>1000</v>
          </cell>
        </row>
        <row r="71">
          <cell r="F71" t="str">
            <v>-</v>
          </cell>
          <cell r="H71" t="str">
            <v>-</v>
          </cell>
        </row>
        <row r="79">
          <cell r="H79">
            <v>12</v>
          </cell>
        </row>
        <row r="80">
          <cell r="H80">
            <v>22.1</v>
          </cell>
        </row>
        <row r="81">
          <cell r="H81">
            <v>0</v>
          </cell>
        </row>
        <row r="82">
          <cell r="H82">
            <v>7.5</v>
          </cell>
        </row>
        <row r="83">
          <cell r="H83">
            <v>0</v>
          </cell>
        </row>
        <row r="84">
          <cell r="H84">
            <v>2</v>
          </cell>
        </row>
        <row r="85">
          <cell r="H85">
            <v>867</v>
          </cell>
        </row>
        <row r="86">
          <cell r="H86">
            <v>13.491045</v>
          </cell>
        </row>
        <row r="87">
          <cell r="H87">
            <v>117.8</v>
          </cell>
        </row>
        <row r="88">
          <cell r="H88">
            <v>117.8</v>
          </cell>
        </row>
        <row r="89">
          <cell r="H89" t="str">
            <v>-</v>
          </cell>
        </row>
      </sheetData>
      <sheetData sheetId="17"/>
      <sheetData sheetId="18"/>
      <sheetData sheetId="1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4(ii)|NCE- Year 1 "/>
      <sheetName val="1.4(ii)|NCE- Year 2"/>
      <sheetName val="1.4(ii)|NCE- Year 3"/>
      <sheetName val="1.4(ii)|NCE- 18-19"/>
      <sheetName val="1.4(ii)|NCE- 19-20"/>
      <sheetName val="1.4(ii)|NCE- 2020-21"/>
      <sheetName val="1.4(ii)|NCE- 2021-22"/>
      <sheetName val="FY NCE 2022-23 H1"/>
      <sheetName val="FY NCE 2022-23 "/>
      <sheetName val="FY NCE 2022-23 H2"/>
      <sheetName val="FY NCE 2023-24"/>
      <sheetName val="1.4| PP Cost-Reg"/>
      <sheetName val="4.1|Energy Availability"/>
      <sheetName val="4.2|Energy Dispatc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96">
          <cell r="G1596">
            <v>147.502681</v>
          </cell>
          <cell r="H1596">
            <v>130.58424500000001</v>
          </cell>
          <cell r="I1596">
            <v>114.75428100000001</v>
          </cell>
          <cell r="J1596">
            <v>82.314811500000005</v>
          </cell>
          <cell r="K1596">
            <v>119.54314549999999</v>
          </cell>
          <cell r="L1596">
            <v>131.486593</v>
          </cell>
          <cell r="M1596">
            <v>149.52059499999999</v>
          </cell>
          <cell r="N1596">
            <v>133.1231295</v>
          </cell>
          <cell r="O1596">
            <v>141.58264199999999</v>
          </cell>
          <cell r="P1596">
            <v>188.11099150000001</v>
          </cell>
          <cell r="Q1596">
            <v>165.572023</v>
          </cell>
          <cell r="R1596">
            <v>154.86135250000001</v>
          </cell>
        </row>
        <row r="1597">
          <cell r="G1597">
            <v>88.621249225</v>
          </cell>
          <cell r="H1597">
            <v>89.172086148000005</v>
          </cell>
          <cell r="I1597">
            <v>79.844103750000002</v>
          </cell>
          <cell r="J1597">
            <v>38.591927900000002</v>
          </cell>
          <cell r="K1597">
            <v>67.32318592499999</v>
          </cell>
          <cell r="L1597">
            <v>79.275041399999992</v>
          </cell>
          <cell r="M1597">
            <v>76.798104975000001</v>
          </cell>
          <cell r="N1597">
            <v>76.178889274999989</v>
          </cell>
          <cell r="O1597">
            <v>84.276829399999997</v>
          </cell>
          <cell r="P1597">
            <v>87.613720549999996</v>
          </cell>
          <cell r="Q1597">
            <v>80.32952809999999</v>
          </cell>
          <cell r="R1597">
            <v>86.611934625000004</v>
          </cell>
        </row>
        <row r="1598">
          <cell r="G1598">
            <v>87.162546550000002</v>
          </cell>
          <cell r="H1598">
            <v>79.160687049999993</v>
          </cell>
          <cell r="I1598">
            <v>83.574299649999986</v>
          </cell>
          <cell r="J1598">
            <v>88.440028649999988</v>
          </cell>
          <cell r="K1598">
            <v>90.767314899999988</v>
          </cell>
          <cell r="L1598">
            <v>85.884063149999989</v>
          </cell>
          <cell r="M1598">
            <v>71.159180950000007</v>
          </cell>
          <cell r="N1598">
            <v>86.48840659999999</v>
          </cell>
          <cell r="O1598">
            <v>88.355919449999988</v>
          </cell>
          <cell r="P1598">
            <v>84.304041199999986</v>
          </cell>
          <cell r="Q1598">
            <v>80.900828649999994</v>
          </cell>
          <cell r="R1598">
            <v>93.383004999999997</v>
          </cell>
        </row>
        <row r="1599">
          <cell r="G1599">
            <v>3.3536275849999999</v>
          </cell>
          <cell r="H1599">
            <v>8.4656292649999987</v>
          </cell>
          <cell r="I1599">
            <v>7.9720929125</v>
          </cell>
          <cell r="J1599">
            <v>6.4291013924999998</v>
          </cell>
          <cell r="K1599">
            <v>8.0933002774999991</v>
          </cell>
          <cell r="L1599">
            <v>7.1999978449999995</v>
          </cell>
          <cell r="M1599">
            <v>1.8320359074999999</v>
          </cell>
          <cell r="N1599">
            <v>5.2841840499999995</v>
          </cell>
          <cell r="O1599">
            <v>3.0431642124999998</v>
          </cell>
          <cell r="P1599">
            <v>5.5016222349999993</v>
          </cell>
          <cell r="Q1599">
            <v>5.885279165</v>
          </cell>
          <cell r="R1599">
            <v>5.3191058599999996</v>
          </cell>
        </row>
        <row r="1600">
          <cell r="G1600">
            <v>83.395329054999991</v>
          </cell>
          <cell r="H1600">
            <v>71.051990606999993</v>
          </cell>
          <cell r="I1600">
            <v>-1.0461711979999999</v>
          </cell>
          <cell r="J1600">
            <v>18.469222346000002</v>
          </cell>
          <cell r="K1600">
            <v>81.836657177000006</v>
          </cell>
          <cell r="L1600">
            <v>83.709595011499999</v>
          </cell>
          <cell r="M1600">
            <v>80.240306969000002</v>
          </cell>
          <cell r="N1600">
            <v>88.016252574000006</v>
          </cell>
          <cell r="O1600">
            <v>93.709608739499998</v>
          </cell>
          <cell r="P1600">
            <v>96.568668044000006</v>
          </cell>
          <cell r="Q1600">
            <v>82.197228251999988</v>
          </cell>
          <cell r="R1600">
            <v>99.108507901999999</v>
          </cell>
        </row>
        <row r="1601">
          <cell r="G1601">
            <v>95.922121566000001</v>
          </cell>
          <cell r="H1601">
            <v>117.5160875695</v>
          </cell>
          <cell r="I1601">
            <v>111.15648052</v>
          </cell>
          <cell r="J1601">
            <v>108.171910911</v>
          </cell>
          <cell r="K1601">
            <v>86.620420347999996</v>
          </cell>
          <cell r="L1601">
            <v>104.613564596</v>
          </cell>
          <cell r="M1601">
            <v>105.39354254499999</v>
          </cell>
          <cell r="N1601">
            <v>66.202798371</v>
          </cell>
          <cell r="O1601">
            <v>109.58380752299999</v>
          </cell>
          <cell r="P1601">
            <v>103.19587163499999</v>
          </cell>
          <cell r="Q1601">
            <v>106.13128683799999</v>
          </cell>
          <cell r="R1601">
            <v>112.53985421799999</v>
          </cell>
        </row>
        <row r="1602">
          <cell r="G1602">
            <v>126.1089655725</v>
          </cell>
          <cell r="H1602">
            <v>146.675338616</v>
          </cell>
          <cell r="I1602">
            <v>144.30261072149997</v>
          </cell>
          <cell r="J1602">
            <v>6.3491255000000004</v>
          </cell>
          <cell r="K1602">
            <v>-0.51024009800000003</v>
          </cell>
          <cell r="L1602">
            <v>8.0293590264999999</v>
          </cell>
          <cell r="M1602">
            <v>112.376974514</v>
          </cell>
          <cell r="N1602">
            <v>100.9880967245</v>
          </cell>
          <cell r="O1602">
            <v>131.70665459099999</v>
          </cell>
          <cell r="P1602">
            <v>137.08209299999999</v>
          </cell>
          <cell r="Q1602">
            <v>131.35028485300001</v>
          </cell>
          <cell r="R1602">
            <v>137.465229843</v>
          </cell>
        </row>
      </sheetData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23"/>
      <sheetName val="Intra &amp; Inter State 22-23"/>
      <sheetName val="STOA 22-23"/>
      <sheetName val="NCEs NP 22-23"/>
      <sheetName val="NCEs SP 22-23"/>
      <sheetName val="March-23 Prov-NCE"/>
      <sheetName val="Sheet2 "/>
      <sheetName val="Hydel Break up 22-23"/>
      <sheetName val="Sheet1"/>
    </sheetNames>
    <sheetDataSet>
      <sheetData sheetId="0">
        <row r="5">
          <cell r="G5">
            <v>95391070</v>
          </cell>
          <cell r="L5">
            <v>99033102</v>
          </cell>
          <cell r="Q5">
            <v>92143557</v>
          </cell>
          <cell r="V5">
            <v>98847899</v>
          </cell>
          <cell r="AA5">
            <v>97240016</v>
          </cell>
          <cell r="AF5">
            <v>76375799</v>
          </cell>
          <cell r="AK5">
            <v>92215625</v>
          </cell>
          <cell r="AP5">
            <v>87080500</v>
          </cell>
          <cell r="AU5">
            <v>70185799</v>
          </cell>
          <cell r="AZ5">
            <v>96883407</v>
          </cell>
          <cell r="BE5">
            <v>85798374</v>
          </cell>
          <cell r="BJ5">
            <v>95773015</v>
          </cell>
        </row>
        <row r="6">
          <cell r="G6">
            <v>5746885</v>
          </cell>
          <cell r="L6">
            <v>4320813</v>
          </cell>
          <cell r="Q6">
            <v>5063836</v>
          </cell>
          <cell r="V6">
            <v>7211324</v>
          </cell>
          <cell r="AA6">
            <v>5232782</v>
          </cell>
          <cell r="AF6">
            <v>6435305</v>
          </cell>
          <cell r="AK6">
            <v>6176378</v>
          </cell>
          <cell r="AP6">
            <v>6836167</v>
          </cell>
          <cell r="AU6">
            <v>7126474</v>
          </cell>
          <cell r="AZ6">
            <v>7095062</v>
          </cell>
          <cell r="BE6">
            <v>4826212</v>
          </cell>
          <cell r="BJ6">
            <v>6656269</v>
          </cell>
        </row>
        <row r="7">
          <cell r="Q7">
            <v>33444670</v>
          </cell>
          <cell r="V7">
            <v>33841908</v>
          </cell>
          <cell r="AA7">
            <v>35504435</v>
          </cell>
          <cell r="AF7">
            <v>34381578</v>
          </cell>
          <cell r="AK7">
            <v>35624025</v>
          </cell>
          <cell r="AP7">
            <v>35791083</v>
          </cell>
          <cell r="AU7">
            <v>37219115</v>
          </cell>
          <cell r="AZ7">
            <v>32567028</v>
          </cell>
          <cell r="BE7">
            <v>34591986</v>
          </cell>
          <cell r="BJ7">
            <v>38490065</v>
          </cell>
        </row>
        <row r="13">
          <cell r="G13">
            <v>210588119</v>
          </cell>
          <cell r="L13">
            <v>218953416</v>
          </cell>
          <cell r="Q13">
            <v>230444744</v>
          </cell>
          <cell r="V13">
            <v>185807838</v>
          </cell>
          <cell r="AA13">
            <v>124030051</v>
          </cell>
          <cell r="AF13">
            <v>108683614</v>
          </cell>
          <cell r="AK13">
            <v>64064717</v>
          </cell>
          <cell r="AP13">
            <v>71124434</v>
          </cell>
          <cell r="AU13">
            <v>111748214</v>
          </cell>
          <cell r="AZ13">
            <v>170409411</v>
          </cell>
          <cell r="BE13">
            <v>237429657</v>
          </cell>
          <cell r="BJ13">
            <v>250336737</v>
          </cell>
        </row>
        <row r="14">
          <cell r="G14">
            <v>59604931</v>
          </cell>
          <cell r="L14">
            <v>59921480</v>
          </cell>
          <cell r="Q14">
            <v>22116932</v>
          </cell>
          <cell r="V14">
            <v>0</v>
          </cell>
          <cell r="AA14">
            <v>24809656</v>
          </cell>
          <cell r="AF14">
            <v>37148000</v>
          </cell>
          <cell r="AK14">
            <v>24813892</v>
          </cell>
          <cell r="AP14">
            <v>28333058</v>
          </cell>
          <cell r="AU14">
            <v>41890886</v>
          </cell>
          <cell r="AZ14">
            <v>53323665</v>
          </cell>
          <cell r="BE14">
            <v>61999872</v>
          </cell>
          <cell r="BJ14">
            <v>59125343</v>
          </cell>
        </row>
        <row r="15">
          <cell r="G15">
            <v>348947677</v>
          </cell>
          <cell r="L15">
            <v>329883363</v>
          </cell>
          <cell r="Q15">
            <v>329320603</v>
          </cell>
          <cell r="V15">
            <v>286777513</v>
          </cell>
          <cell r="AA15">
            <v>246812120</v>
          </cell>
          <cell r="AF15">
            <v>240241020</v>
          </cell>
          <cell r="AK15">
            <v>28328213</v>
          </cell>
          <cell r="AP15">
            <v>39314205</v>
          </cell>
          <cell r="AU15">
            <v>310641857</v>
          </cell>
          <cell r="AZ15">
            <v>366562773</v>
          </cell>
          <cell r="BE15">
            <v>332377942</v>
          </cell>
          <cell r="BJ15">
            <v>361043900</v>
          </cell>
        </row>
        <row r="16">
          <cell r="G16">
            <v>160640741</v>
          </cell>
          <cell r="L16">
            <v>131507691</v>
          </cell>
          <cell r="Q16">
            <v>78945278</v>
          </cell>
          <cell r="V16">
            <v>109579052</v>
          </cell>
          <cell r="AA16">
            <v>118946731</v>
          </cell>
          <cell r="AF16">
            <v>89429007</v>
          </cell>
          <cell r="AK16">
            <v>78634387</v>
          </cell>
          <cell r="AP16">
            <v>103048600</v>
          </cell>
          <cell r="AU16">
            <v>153454933</v>
          </cell>
          <cell r="AZ16">
            <v>165356175</v>
          </cell>
          <cell r="BE16">
            <v>161059683</v>
          </cell>
          <cell r="BJ16">
            <v>185721115</v>
          </cell>
        </row>
        <row r="17">
          <cell r="G17">
            <v>140433554</v>
          </cell>
          <cell r="L17">
            <v>164830583</v>
          </cell>
          <cell r="Q17">
            <v>156997684</v>
          </cell>
          <cell r="V17">
            <v>184471595</v>
          </cell>
          <cell r="AA17">
            <v>156788357</v>
          </cell>
          <cell r="AF17">
            <v>147323761</v>
          </cell>
          <cell r="AK17">
            <v>131174363</v>
          </cell>
          <cell r="AP17">
            <v>107929672</v>
          </cell>
          <cell r="AU17">
            <v>123683713</v>
          </cell>
          <cell r="AZ17">
            <v>124220229</v>
          </cell>
          <cell r="BE17">
            <v>126454108</v>
          </cell>
          <cell r="BJ17">
            <v>146825384</v>
          </cell>
        </row>
        <row r="18">
          <cell r="G18">
            <v>135932409</v>
          </cell>
          <cell r="L18">
            <v>119078805</v>
          </cell>
          <cell r="Q18">
            <v>155849072</v>
          </cell>
          <cell r="V18">
            <v>106520824</v>
          </cell>
          <cell r="AA18">
            <v>98322885</v>
          </cell>
          <cell r="AF18">
            <v>103230035</v>
          </cell>
          <cell r="AK18">
            <v>4218821</v>
          </cell>
          <cell r="AP18">
            <v>0</v>
          </cell>
          <cell r="AU18">
            <v>66902060</v>
          </cell>
          <cell r="AZ18">
            <v>99507610</v>
          </cell>
          <cell r="BE18">
            <v>148536340</v>
          </cell>
          <cell r="BJ18">
            <v>96723845</v>
          </cell>
        </row>
        <row r="190">
          <cell r="G190">
            <v>1899681.9685</v>
          </cell>
          <cell r="L190">
            <v>3888645.1459999997</v>
          </cell>
          <cell r="Q190">
            <v>2035552.4885</v>
          </cell>
          <cell r="V190">
            <v>2308660.0085</v>
          </cell>
          <cell r="AA190">
            <v>1390561.2649999999</v>
          </cell>
          <cell r="AF190">
            <v>844742.3274999999</v>
          </cell>
          <cell r="AK190">
            <v>708718.66749999998</v>
          </cell>
          <cell r="AP190">
            <v>1050031.7985</v>
          </cell>
          <cell r="AU190">
            <v>1329516.716</v>
          </cell>
          <cell r="AZ190">
            <v>1888347.2524999999</v>
          </cell>
          <cell r="BE190">
            <v>1535049.7385</v>
          </cell>
          <cell r="BJ190">
            <v>1199709.9509999999</v>
          </cell>
        </row>
        <row r="191">
          <cell r="G191">
            <v>2350265.4959999998</v>
          </cell>
          <cell r="L191">
            <v>6964837.5334999999</v>
          </cell>
          <cell r="Q191">
            <v>2464710.2574999998</v>
          </cell>
          <cell r="V191">
            <v>4778149.1174999997</v>
          </cell>
          <cell r="AA191">
            <v>3850196.6984999999</v>
          </cell>
          <cell r="AF191">
            <v>2872458.1709999996</v>
          </cell>
          <cell r="AK191">
            <v>1093659.6174999999</v>
          </cell>
          <cell r="AP191">
            <v>879275.39749999996</v>
          </cell>
          <cell r="AU191">
            <v>980523.9084999999</v>
          </cell>
          <cell r="AZ191">
            <v>749459.79749999999</v>
          </cell>
          <cell r="BE191">
            <v>1679597.7009999999</v>
          </cell>
          <cell r="BJ191">
            <v>1556995.2895</v>
          </cell>
        </row>
        <row r="192">
          <cell r="AK192">
            <v>958568.04999999993</v>
          </cell>
          <cell r="AP192">
            <v>1375529.3959999999</v>
          </cell>
          <cell r="AU192">
            <v>1308361.8975</v>
          </cell>
          <cell r="AZ192">
            <v>1177729.9435000001</v>
          </cell>
          <cell r="BE192">
            <v>1368219.0225</v>
          </cell>
          <cell r="BJ192">
            <v>1015025.1725</v>
          </cell>
        </row>
        <row r="193">
          <cell r="AK193">
            <v>745722.59249999991</v>
          </cell>
          <cell r="AP193">
            <v>313859.84099999996</v>
          </cell>
          <cell r="AU193">
            <v>622777.67749999999</v>
          </cell>
          <cell r="AZ193">
            <v>276862.39499999996</v>
          </cell>
          <cell r="BE193">
            <v>704099.43499999994</v>
          </cell>
          <cell r="BJ193">
            <v>347852.50349999999</v>
          </cell>
        </row>
        <row r="194">
          <cell r="G194">
            <v>10376331.4235</v>
          </cell>
          <cell r="L194">
            <v>13285729.907499999</v>
          </cell>
          <cell r="Q194">
            <v>10644601.780999999</v>
          </cell>
          <cell r="V194">
            <v>13421444.342499999</v>
          </cell>
          <cell r="AA194">
            <v>11693151.361</v>
          </cell>
          <cell r="AF194">
            <v>10764630.262499999</v>
          </cell>
          <cell r="AK194">
            <v>10631308.639999999</v>
          </cell>
          <cell r="AP194">
            <v>10301587.3235</v>
          </cell>
          <cell r="AU194">
            <v>4396113.41</v>
          </cell>
          <cell r="AZ194">
            <v>10944557.9825</v>
          </cell>
          <cell r="BE194">
            <v>10956860.719999999</v>
          </cell>
          <cell r="BJ194">
            <v>12965174.02</v>
          </cell>
        </row>
        <row r="202">
          <cell r="G202">
            <v>25149510.150999997</v>
          </cell>
          <cell r="L202">
            <v>27942195.34</v>
          </cell>
          <cell r="Q202">
            <v>22869150.119999997</v>
          </cell>
          <cell r="V202">
            <v>12690700.9035</v>
          </cell>
          <cell r="AA202">
            <v>12373264.359999999</v>
          </cell>
          <cell r="AF202">
            <v>15234494.718499999</v>
          </cell>
          <cell r="AK202">
            <v>8931802.1500000004</v>
          </cell>
          <cell r="AP202">
            <v>14804504.692499999</v>
          </cell>
          <cell r="AU202">
            <v>15049453.594999999</v>
          </cell>
          <cell r="AZ202">
            <v>13394651.615999999</v>
          </cell>
          <cell r="BE202">
            <v>18562996.1525</v>
          </cell>
          <cell r="BJ202">
            <v>20612404.866</v>
          </cell>
        </row>
        <row r="203">
          <cell r="G203">
            <v>17278716.403499998</v>
          </cell>
          <cell r="L203">
            <v>47275063.085000001</v>
          </cell>
          <cell r="Q203">
            <v>26997448.763999999</v>
          </cell>
          <cell r="V203">
            <v>22598197.750999998</v>
          </cell>
          <cell r="AA203">
            <v>23601364.880999997</v>
          </cell>
          <cell r="AF203">
            <v>14790391.6635</v>
          </cell>
          <cell r="AK203">
            <v>13289310.4385</v>
          </cell>
          <cell r="AP203">
            <v>10571398.504999999</v>
          </cell>
          <cell r="AU203">
            <v>23528905.217499997</v>
          </cell>
          <cell r="AZ203">
            <v>24483074.320999999</v>
          </cell>
          <cell r="BE203">
            <v>26028461.598499998</v>
          </cell>
          <cell r="BJ203">
            <v>23440365.264999997</v>
          </cell>
        </row>
        <row r="206">
          <cell r="G206">
            <v>111138063.96249999</v>
          </cell>
          <cell r="L206">
            <v>95773577.238499999</v>
          </cell>
          <cell r="Q206">
            <v>74319576.04124999</v>
          </cell>
          <cell r="V206">
            <v>108989000.27749999</v>
          </cell>
          <cell r="AA206">
            <v>113309824.76249997</v>
          </cell>
          <cell r="AF206">
            <v>86338722.55749999</v>
          </cell>
          <cell r="AK206">
            <v>73511267.928499997</v>
          </cell>
          <cell r="AP206">
            <v>103455939.43124999</v>
          </cell>
          <cell r="AU206">
            <v>96536728.929999992</v>
          </cell>
          <cell r="AZ206">
            <v>99972251.074999988</v>
          </cell>
          <cell r="BE206">
            <v>112747311.35624999</v>
          </cell>
          <cell r="BJ206">
            <v>112688688.3335</v>
          </cell>
        </row>
        <row r="207">
          <cell r="G207">
            <v>52537030.938499995</v>
          </cell>
          <cell r="L207">
            <v>56280005.193499997</v>
          </cell>
          <cell r="Q207">
            <v>35735205.747499995</v>
          </cell>
          <cell r="V207">
            <v>56981752.162499994</v>
          </cell>
          <cell r="AA207">
            <v>58887272.593499996</v>
          </cell>
          <cell r="AF207">
            <v>51585241.394999996</v>
          </cell>
          <cell r="AK207">
            <v>59006170.195</v>
          </cell>
          <cell r="AP207">
            <v>52676018.740999997</v>
          </cell>
          <cell r="AU207">
            <v>55538882.691</v>
          </cell>
          <cell r="AZ207">
            <v>52626854.910999998</v>
          </cell>
          <cell r="BE207">
            <v>53297830.458499998</v>
          </cell>
          <cell r="BJ207">
            <v>58765307.479999997</v>
          </cell>
        </row>
        <row r="209">
          <cell r="G209">
            <v>454923995.87124997</v>
          </cell>
          <cell r="L209">
            <v>72748668.129999995</v>
          </cell>
          <cell r="Q209">
            <v>57773566.213749997</v>
          </cell>
          <cell r="V209">
            <v>147373276.22749999</v>
          </cell>
          <cell r="AA209">
            <v>214560239.70499998</v>
          </cell>
          <cell r="AF209">
            <v>220329401.9375</v>
          </cell>
          <cell r="AK209">
            <v>44756057.776749998</v>
          </cell>
          <cell r="AP209">
            <v>10254676.27125</v>
          </cell>
          <cell r="AU209">
            <v>177988251.965</v>
          </cell>
          <cell r="AZ209">
            <v>309730617.47874999</v>
          </cell>
          <cell r="BE209">
            <v>447582820.61624998</v>
          </cell>
          <cell r="BJ209">
            <v>611573566.36000001</v>
          </cell>
        </row>
        <row r="212">
          <cell r="G212">
            <v>1123539.5874999999</v>
          </cell>
          <cell r="L212">
            <v>943722.30499999993</v>
          </cell>
          <cell r="Q212">
            <v>1162736.9484999999</v>
          </cell>
          <cell r="V212">
            <v>419523.20149999997</v>
          </cell>
          <cell r="AA212">
            <v>744248.91449999996</v>
          </cell>
          <cell r="AF212">
            <v>848355.98974999995</v>
          </cell>
          <cell r="AK212">
            <v>671267.83875</v>
          </cell>
          <cell r="AP212">
            <v>822966.99749999994</v>
          </cell>
          <cell r="AU212">
            <v>661443.31874999998</v>
          </cell>
          <cell r="AZ212">
            <v>1614030.2209999999</v>
          </cell>
          <cell r="BE212">
            <v>1484376.5959999999</v>
          </cell>
          <cell r="BJ212">
            <v>1687736.2084999999</v>
          </cell>
        </row>
        <row r="213">
          <cell r="G213">
            <v>7886344.8199999994</v>
          </cell>
          <cell r="L213">
            <v>7083572.5709999995</v>
          </cell>
          <cell r="Q213">
            <v>7600102.3054999998</v>
          </cell>
          <cell r="V213">
            <v>5178815.7785</v>
          </cell>
          <cell r="AA213">
            <v>4562552.1464999998</v>
          </cell>
          <cell r="AF213">
            <v>6106399.7779999999</v>
          </cell>
          <cell r="AK213">
            <v>4305923.6684999997</v>
          </cell>
          <cell r="AP213">
            <v>5404423.3934999993</v>
          </cell>
          <cell r="AU213">
            <v>5071793.5949999997</v>
          </cell>
          <cell r="AZ213">
            <v>9032464.9004999995</v>
          </cell>
          <cell r="BE213">
            <v>4437624.9519999996</v>
          </cell>
          <cell r="BJ213">
            <v>7668342.0784999998</v>
          </cell>
        </row>
        <row r="214">
          <cell r="G214">
            <v>18435389.596999999</v>
          </cell>
          <cell r="L214">
            <v>23754714.270500001</v>
          </cell>
          <cell r="Q214">
            <v>19111262.090499997</v>
          </cell>
          <cell r="V214">
            <v>21092212.806499999</v>
          </cell>
          <cell r="AA214">
            <v>7738422.4764999999</v>
          </cell>
          <cell r="AF214">
            <v>21362572.346999999</v>
          </cell>
          <cell r="AK214">
            <v>19547275.819499999</v>
          </cell>
          <cell r="AP214">
            <v>17860040.849999998</v>
          </cell>
          <cell r="AU214">
            <v>22540682.195499998</v>
          </cell>
          <cell r="AZ214">
            <v>17632336.395</v>
          </cell>
          <cell r="BE214">
            <v>23620350.117999997</v>
          </cell>
          <cell r="BJ214">
            <v>28389511.389999997</v>
          </cell>
        </row>
        <row r="215">
          <cell r="G215">
            <v>35169108.717999995</v>
          </cell>
          <cell r="L215">
            <v>36016678.339445502</v>
          </cell>
          <cell r="Q215">
            <v>40759964.338733993</v>
          </cell>
          <cell r="V215">
            <v>28459664.906754494</v>
          </cell>
          <cell r="AA215">
            <v>38733159.426436491</v>
          </cell>
          <cell r="AF215">
            <v>27776964.985592499</v>
          </cell>
          <cell r="AK215">
            <v>23989661.028859001</v>
          </cell>
          <cell r="AP215">
            <v>25035750.509587999</v>
          </cell>
          <cell r="AU215">
            <v>32182848.288198497</v>
          </cell>
          <cell r="AZ215">
            <v>33702165.953614995</v>
          </cell>
          <cell r="BE215">
            <v>57128399.321589001</v>
          </cell>
          <cell r="BJ215">
            <v>67618372.765851498</v>
          </cell>
        </row>
        <row r="216">
          <cell r="G216">
            <v>12869331.939999999</v>
          </cell>
          <cell r="L216">
            <v>13479697.178749999</v>
          </cell>
          <cell r="Q216">
            <v>16062783.18375</v>
          </cell>
          <cell r="V216">
            <v>16051209.333749998</v>
          </cell>
          <cell r="AA216">
            <v>28923801.388749998</v>
          </cell>
          <cell r="AF216">
            <v>37927748.8235</v>
          </cell>
          <cell r="AK216">
            <v>43797030.748499997</v>
          </cell>
          <cell r="AP216">
            <v>39889547.909999996</v>
          </cell>
          <cell r="AU216">
            <v>56282449.838</v>
          </cell>
          <cell r="AZ216">
            <v>76311080.017499998</v>
          </cell>
          <cell r="BE216">
            <v>78185419.377499998</v>
          </cell>
          <cell r="BJ216">
            <v>3919686.9184999997</v>
          </cell>
        </row>
        <row r="217">
          <cell r="G217">
            <v>0</v>
          </cell>
          <cell r="L217">
            <v>0</v>
          </cell>
          <cell r="Q217">
            <v>0</v>
          </cell>
          <cell r="V217">
            <v>0</v>
          </cell>
          <cell r="AA217">
            <v>0</v>
          </cell>
          <cell r="AF217">
            <v>0</v>
          </cell>
          <cell r="AK217">
            <v>0</v>
          </cell>
          <cell r="AP217">
            <v>0</v>
          </cell>
          <cell r="AU217">
            <v>0</v>
          </cell>
          <cell r="AZ217">
            <v>0</v>
          </cell>
          <cell r="BE217">
            <v>0</v>
          </cell>
          <cell r="BJ217">
            <v>81904524.407499999</v>
          </cell>
        </row>
        <row r="218">
          <cell r="G218">
            <v>15401814.74625</v>
          </cell>
          <cell r="L218">
            <v>16062202.577</v>
          </cell>
          <cell r="Q218">
            <v>13827126.19125</v>
          </cell>
          <cell r="V218">
            <v>12674202.129999999</v>
          </cell>
          <cell r="AA218">
            <v>13875489.1285</v>
          </cell>
          <cell r="AF218">
            <v>16589723.934999999</v>
          </cell>
          <cell r="AK218">
            <v>17038501.588500001</v>
          </cell>
          <cell r="AP218">
            <v>14244854.5625</v>
          </cell>
          <cell r="AU218">
            <v>14405010.435999999</v>
          </cell>
          <cell r="AZ218">
            <v>15749197.375</v>
          </cell>
          <cell r="BE218">
            <v>14960672.88875</v>
          </cell>
          <cell r="BJ218">
            <v>16926978.708749998</v>
          </cell>
        </row>
        <row r="227">
          <cell r="G227">
            <v>20305911.459519997</v>
          </cell>
          <cell r="L227">
            <v>12583581.535</v>
          </cell>
          <cell r="Q227">
            <v>21973274.770579997</v>
          </cell>
          <cell r="V227">
            <v>126713337.79515</v>
          </cell>
          <cell r="AA227">
            <v>368890777.89524996</v>
          </cell>
          <cell r="AF227">
            <v>378349233.98294997</v>
          </cell>
          <cell r="AK227">
            <v>404253225.45094997</v>
          </cell>
          <cell r="AP227">
            <v>170778892.64234999</v>
          </cell>
          <cell r="AU227">
            <v>64237778.691399992</v>
          </cell>
          <cell r="AZ227">
            <v>51866189.682999998</v>
          </cell>
          <cell r="BE227">
            <v>47511070.908600003</v>
          </cell>
          <cell r="BJ227">
            <v>23446273.082249999</v>
          </cell>
        </row>
        <row r="231">
          <cell r="G231">
            <v>227848760</v>
          </cell>
          <cell r="L231">
            <v>194690416</v>
          </cell>
          <cell r="Q231">
            <v>211747267</v>
          </cell>
          <cell r="V231">
            <v>227900592</v>
          </cell>
          <cell r="AA231">
            <v>211864183.5</v>
          </cell>
          <cell r="AF231">
            <v>233843013</v>
          </cell>
          <cell r="AK231">
            <v>226898997.5</v>
          </cell>
          <cell r="AP231">
            <v>229573057.5</v>
          </cell>
          <cell r="AU231">
            <v>228428630.5</v>
          </cell>
          <cell r="AZ231">
            <v>232453267.5</v>
          </cell>
          <cell r="BE231">
            <v>98702264</v>
          </cell>
          <cell r="BJ231">
            <v>244523055.5</v>
          </cell>
        </row>
      </sheetData>
      <sheetData sheetId="1"/>
      <sheetData sheetId="2"/>
      <sheetData sheetId="3">
        <row r="39">
          <cell r="F39">
            <v>881402032.25048351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0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 (2)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/>
      <sheetData sheetId="3">
        <row r="33">
          <cell r="L33">
            <v>2831.0401979512767</v>
          </cell>
          <cell r="M33">
            <v>3002.7942081817282</v>
          </cell>
          <cell r="N33">
            <v>3252.7952934315822</v>
          </cell>
          <cell r="O33">
            <v>3487.4987533921289</v>
          </cell>
          <cell r="P33">
            <v>3739.4238485265923</v>
          </cell>
          <cell r="Q33">
            <v>0</v>
          </cell>
        </row>
        <row r="34">
          <cell r="L34">
            <v>372.75948107795972</v>
          </cell>
          <cell r="M34">
            <v>413.78871466384675</v>
          </cell>
          <cell r="N34">
            <v>431.19167524981003</v>
          </cell>
          <cell r="O34">
            <v>487.56894996150265</v>
          </cell>
          <cell r="P34">
            <v>560.31062575476972</v>
          </cell>
          <cell r="Q34">
            <v>0</v>
          </cell>
        </row>
        <row r="35">
          <cell r="L35">
            <v>313.90317378315819</v>
          </cell>
          <cell r="M35">
            <v>382.43238164597398</v>
          </cell>
          <cell r="N35">
            <v>400.85431786294504</v>
          </cell>
          <cell r="O35">
            <v>458.78745266745506</v>
          </cell>
          <cell r="P35">
            <v>520.00650182078698</v>
          </cell>
          <cell r="Q35">
            <v>0</v>
          </cell>
        </row>
        <row r="36">
          <cell r="L36">
            <v>89.46</v>
          </cell>
          <cell r="M36">
            <v>98.250496523005694</v>
          </cell>
          <cell r="N36">
            <v>101.36276786568246</v>
          </cell>
          <cell r="O36">
            <v>112.48086271833098</v>
          </cell>
          <cell r="P36">
            <v>124.28928445261499</v>
          </cell>
          <cell r="Q36">
            <v>0</v>
          </cell>
        </row>
        <row r="37">
          <cell r="L37">
            <v>114.23375571729723</v>
          </cell>
          <cell r="M37">
            <v>209.09116712593274</v>
          </cell>
          <cell r="N37">
            <v>199.97629578668878</v>
          </cell>
          <cell r="O37">
            <v>238.48258318713266</v>
          </cell>
          <cell r="P37">
            <v>279.81096937100187</v>
          </cell>
          <cell r="Q37">
            <v>0</v>
          </cell>
        </row>
        <row r="38"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L39">
            <v>2.6768858268067359</v>
          </cell>
          <cell r="M39">
            <v>3.1530550873553875</v>
          </cell>
          <cell r="N39">
            <v>9.2025263497320857</v>
          </cell>
          <cell r="O39">
            <v>10.549792515443476</v>
          </cell>
          <cell r="P39">
            <v>12.010482235016001</v>
          </cell>
          <cell r="Q39">
            <v>0</v>
          </cell>
        </row>
        <row r="40">
          <cell r="L40">
            <v>171.82408385544005</v>
          </cell>
          <cell r="M40">
            <v>175.26056553254884</v>
          </cell>
          <cell r="N40">
            <v>178.76577684319983</v>
          </cell>
          <cell r="O40">
            <v>182.34109238006383</v>
          </cell>
          <cell r="P40">
            <v>185.98791422766513</v>
          </cell>
          <cell r="Q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55">
          <cell r="L55">
            <v>314.56002199458635</v>
          </cell>
          <cell r="M55">
            <v>333.64380090908094</v>
          </cell>
        </row>
        <row r="56">
          <cell r="L56">
            <v>41.4177201197733</v>
          </cell>
          <cell r="M56">
            <v>45.976523851538531</v>
          </cell>
        </row>
        <row r="57">
          <cell r="L57">
            <v>34.878130420350907</v>
          </cell>
          <cell r="M57">
            <v>42.49248684955267</v>
          </cell>
        </row>
        <row r="58">
          <cell r="L58">
            <v>0</v>
          </cell>
          <cell r="M58">
            <v>0</v>
          </cell>
        </row>
        <row r="60">
          <cell r="L60">
            <v>12.692639524144136</v>
          </cell>
          <cell r="M60">
            <v>23.232351902881419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4(ii)|NCE- Year 1 "/>
      <sheetName val="1.4(ii)|NCE- Year 2"/>
      <sheetName val="1.4(ii)|NCE- Year 3"/>
      <sheetName val="1.4(ii)|NCE- 18-19"/>
      <sheetName val="1.4(ii)|NCE- 19-20"/>
      <sheetName val="1.4(ii)|NCE- 2020-21"/>
      <sheetName val="1.4(ii)|NCE- 2021-22"/>
      <sheetName val="FY NCE 2022-23 H1"/>
      <sheetName val="FY NCE 2022-23 "/>
      <sheetName val="FY NCE 2022-23 H2"/>
      <sheetName val="FY NCE 2023-24"/>
      <sheetName val="1.4| PP Cost-Reg"/>
      <sheetName val="4.1|Energy Availability"/>
      <sheetName val="4.2|Energy Dispatch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713">
          <cell r="G1713">
            <v>6.0083499999999983</v>
          </cell>
          <cell r="H1713">
            <v>3.4163500000000058</v>
          </cell>
          <cell r="I1713">
            <v>4.0741500000000013</v>
          </cell>
          <cell r="J1713">
            <v>2.2565999999999913</v>
          </cell>
          <cell r="K1713">
            <v>0</v>
          </cell>
          <cell r="L1713">
            <v>1.4953500000000024</v>
          </cell>
          <cell r="M1713">
            <v>0.6247500000000058</v>
          </cell>
          <cell r="N1713">
            <v>1.5914260000000007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</row>
        <row r="1714">
          <cell r="G1714">
            <v>26.470623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4.7991058000000271</v>
          </cell>
          <cell r="O1714">
            <v>18.614105099999986</v>
          </cell>
          <cell r="P1714">
            <v>14.911844100000009</v>
          </cell>
          <cell r="Q1714">
            <v>18.073064700000003</v>
          </cell>
          <cell r="R1714">
            <v>14.387328299999981</v>
          </cell>
        </row>
        <row r="1716"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</row>
        <row r="1718">
          <cell r="G1718">
            <v>0</v>
          </cell>
          <cell r="H1718">
            <v>0</v>
          </cell>
          <cell r="I1718">
            <v>0</v>
          </cell>
          <cell r="J1718">
            <v>0.23330000000000017</v>
          </cell>
          <cell r="K1718">
            <v>0.17710000000000034</v>
          </cell>
          <cell r="L1718">
            <v>0.434</v>
          </cell>
          <cell r="M1718">
            <v>0.34139999999999965</v>
          </cell>
          <cell r="N1718">
            <v>0.17519999999999983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</row>
        <row r="1719">
          <cell r="G1719">
            <v>155.12317199999995</v>
          </cell>
          <cell r="H1719">
            <v>152.76403200000004</v>
          </cell>
          <cell r="I1719">
            <v>143.93153799999999</v>
          </cell>
          <cell r="J1719">
            <v>85.13490400000002</v>
          </cell>
          <cell r="K1719">
            <v>115.49809199999994</v>
          </cell>
          <cell r="L1719">
            <v>116.730976</v>
          </cell>
          <cell r="M1719">
            <v>122.10993999999997</v>
          </cell>
          <cell r="N1719">
            <v>143.50670400000007</v>
          </cell>
          <cell r="O1719">
            <v>125.60572799999993</v>
          </cell>
          <cell r="P1719">
            <v>138.20777000000004</v>
          </cell>
          <cell r="Q1719">
            <v>170.44388599999999</v>
          </cell>
          <cell r="R1719">
            <v>166.52824400000006</v>
          </cell>
        </row>
      </sheetData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For FSA "/>
      <sheetName val="Sheet1"/>
      <sheetName val="Sheet2"/>
      <sheetName val="Sheet3"/>
    </sheetNames>
    <sheetDataSet>
      <sheetData sheetId="0">
        <row r="159">
          <cell r="G159">
            <v>28032147.419999998</v>
          </cell>
        </row>
        <row r="206">
          <cell r="G206">
            <v>222495633.5</v>
          </cell>
          <cell r="M206">
            <v>229052087</v>
          </cell>
          <cell r="S206">
            <v>111463832.5</v>
          </cell>
          <cell r="Y206">
            <v>200508852.5</v>
          </cell>
          <cell r="AE206">
            <v>239982749</v>
          </cell>
          <cell r="AK206">
            <v>219323574</v>
          </cell>
        </row>
      </sheetData>
      <sheetData sheetId="1"/>
      <sheetData sheetId="2"/>
      <sheetData sheetId="3">
        <row r="37">
          <cell r="E37">
            <v>1039760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Legend"/>
      <sheetName val="ACOS calc."/>
      <sheetName val="Other ARR"/>
      <sheetName val="PP summary"/>
      <sheetName val="FY 2022-23 Actual"/>
      <sheetName val="Sales_SP"/>
      <sheetName val="Sales_NP"/>
      <sheetName val="Rqmnt"/>
      <sheetName val="1. Gen"/>
      <sheetName val="2. PPC_act"/>
      <sheetName val="4. Gen_Cost"/>
      <sheetName val="3. MoD"/>
      <sheetName val="Dispatch"/>
      <sheetName val="ST,D-D"/>
      <sheetName val="POC,STU"/>
      <sheetName val="4.1 TS"/>
      <sheetName val="1.4 TS"/>
      <sheetName val="RSF"/>
      <sheetName val="BTPS FC"/>
      <sheetName val="4.1 CGS"/>
      <sheetName val="Other stns"/>
      <sheetName val="1.4 CGS"/>
      <sheetName val="PP Cost Input 20-21"/>
      <sheetName val="Rev Impact_PWW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Y7">
            <v>1639.9010000000001</v>
          </cell>
        </row>
      </sheetData>
      <sheetData sheetId="23">
        <row r="286">
          <cell r="DN286">
            <v>79.048924299999996</v>
          </cell>
        </row>
        <row r="384">
          <cell r="DN384">
            <v>242.928338</v>
          </cell>
          <cell r="DO384">
            <v>171.25498949999999</v>
          </cell>
          <cell r="DP384">
            <v>242.85492503999998</v>
          </cell>
          <cell r="DQ384">
            <v>242.85492503999998</v>
          </cell>
          <cell r="DR384">
            <v>227.18686535999998</v>
          </cell>
          <cell r="DS384">
            <v>242.85492503999998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MoD"/>
      <sheetName val="ST,D-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4">
          <cell r="DB14">
            <v>500</v>
          </cell>
        </row>
        <row r="68">
          <cell r="DB68">
            <v>440</v>
          </cell>
          <cell r="DD68">
            <v>22.044</v>
          </cell>
        </row>
        <row r="69">
          <cell r="DB69">
            <v>440</v>
          </cell>
          <cell r="DD69">
            <v>67.716000000000008</v>
          </cell>
        </row>
        <row r="70">
          <cell r="DB70">
            <v>440</v>
          </cell>
          <cell r="DD70">
            <v>72.028000000000006</v>
          </cell>
        </row>
        <row r="72">
          <cell r="DB72">
            <v>1000</v>
          </cell>
          <cell r="DD72">
            <v>50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x"/>
      <sheetName val="F3x"/>
      <sheetName val="F4x"/>
      <sheetName val="F4Ax"/>
      <sheetName val="F4Bx"/>
      <sheetName val="F2"/>
      <sheetName val="F3"/>
      <sheetName val="F4"/>
      <sheetName val="F4A"/>
      <sheetName val="F4B"/>
      <sheetName val="F5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x"/>
      <sheetName val="F15.1x"/>
      <sheetName val="F15.2x"/>
      <sheetName val="F15.3x"/>
      <sheetName val="F16x"/>
      <sheetName val="F16.1x"/>
      <sheetName val="F16.2x"/>
      <sheetName val="F17x"/>
      <sheetName val="F18x"/>
      <sheetName val="F19x"/>
      <sheetName val="F20x"/>
      <sheetName val="F21x"/>
      <sheetName val="F22x"/>
      <sheetName val="F23x"/>
      <sheetName val="F15"/>
      <sheetName val="F15.1"/>
      <sheetName val="F15.2"/>
      <sheetName val="F15.3"/>
      <sheetName val="F16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f)"/>
      <sheetName val="F27"/>
      <sheetName val="F28"/>
      <sheetName val="F29"/>
      <sheetName val="F25x"/>
      <sheetName val="F26-Year(n-1)x"/>
      <sheetName val="F26-Year(n+1)(Current Tariff)x"/>
      <sheetName val="F26-Year(n+1)(Proposed Tariff)x"/>
      <sheetName val="F27x"/>
      <sheetName val="F28x"/>
      <sheetName val="F29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E9">
            <v>2249.0846149999998</v>
          </cell>
        </row>
        <row r="10">
          <cell r="E10">
            <v>2286.6665999999996</v>
          </cell>
        </row>
        <row r="11">
          <cell r="E11">
            <v>3981.8913849999994</v>
          </cell>
        </row>
        <row r="12">
          <cell r="E12">
            <v>260.79512999999997</v>
          </cell>
        </row>
        <row r="13">
          <cell r="E13">
            <v>2286.6665999999996</v>
          </cell>
        </row>
        <row r="14">
          <cell r="E14">
            <v>2758.82953</v>
          </cell>
        </row>
        <row r="15">
          <cell r="E15">
            <v>5193.25605</v>
          </cell>
        </row>
        <row r="16">
          <cell r="E16">
            <v>0</v>
          </cell>
        </row>
        <row r="29">
          <cell r="E29">
            <v>111.109195</v>
          </cell>
        </row>
        <row r="30">
          <cell r="E30">
            <v>1095.47218</v>
          </cell>
        </row>
        <row r="31">
          <cell r="E31">
            <v>993.76729999999998</v>
          </cell>
        </row>
        <row r="32">
          <cell r="E32">
            <v>223.40363000000002</v>
          </cell>
        </row>
        <row r="33">
          <cell r="E33">
            <v>119.19422499999999</v>
          </cell>
        </row>
        <row r="34">
          <cell r="E34">
            <v>12.882430000000001</v>
          </cell>
        </row>
        <row r="35">
          <cell r="E35">
            <v>65.696160000000006</v>
          </cell>
        </row>
        <row r="36">
          <cell r="E36">
            <v>1.9048500000000002</v>
          </cell>
        </row>
        <row r="37">
          <cell r="E37">
            <v>0</v>
          </cell>
        </row>
        <row r="51">
          <cell r="E51">
            <v>1964.9727099999998</v>
          </cell>
        </row>
        <row r="52">
          <cell r="E52">
            <v>527.55173500000001</v>
          </cell>
        </row>
        <row r="53">
          <cell r="E53">
            <v>1156.2651149999999</v>
          </cell>
        </row>
        <row r="54">
          <cell r="E54">
            <v>2942.3230249999997</v>
          </cell>
        </row>
        <row r="55">
          <cell r="E55">
            <v>1348.5844149999998</v>
          </cell>
        </row>
        <row r="56">
          <cell r="E56">
            <v>1507.4347949999999</v>
          </cell>
        </row>
        <row r="57">
          <cell r="E57">
            <v>237.30198000000001</v>
          </cell>
        </row>
        <row r="58">
          <cell r="E58">
            <v>981.13884999999993</v>
          </cell>
        </row>
        <row r="59">
          <cell r="E59">
            <v>2468.988965</v>
          </cell>
        </row>
        <row r="60">
          <cell r="E60">
            <v>279.19457</v>
          </cell>
        </row>
        <row r="61">
          <cell r="E61">
            <v>501.08843000000002</v>
          </cell>
        </row>
        <row r="62">
          <cell r="E62">
            <v>284.11896000000002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9">
          <cell r="E79">
            <v>41.448124999999997</v>
          </cell>
        </row>
        <row r="80">
          <cell r="E80">
            <v>317.98296000000005</v>
          </cell>
        </row>
        <row r="81">
          <cell r="E81">
            <v>316.27564999999998</v>
          </cell>
        </row>
        <row r="82">
          <cell r="E82">
            <v>202.94413</v>
          </cell>
        </row>
        <row r="83">
          <cell r="E83">
            <v>0</v>
          </cell>
        </row>
        <row r="96">
          <cell r="E96">
            <v>1665.24809</v>
          </cell>
        </row>
        <row r="97">
          <cell r="E97">
            <v>3520.2059999999997</v>
          </cell>
        </row>
        <row r="105">
          <cell r="E105">
            <v>6380.8100899999999</v>
          </cell>
        </row>
        <row r="106">
          <cell r="E106">
            <v>4479.6286899999996</v>
          </cell>
        </row>
        <row r="107">
          <cell r="E107">
            <v>0</v>
          </cell>
        </row>
        <row r="115">
          <cell r="E115">
            <v>54.51</v>
          </cell>
        </row>
        <row r="116">
          <cell r="E116">
            <v>8.6</v>
          </cell>
        </row>
        <row r="117">
          <cell r="E117">
            <v>142.05000000000001</v>
          </cell>
        </row>
        <row r="118">
          <cell r="E118">
            <v>35.99</v>
          </cell>
        </row>
        <row r="119">
          <cell r="E119">
            <v>243.67</v>
          </cell>
        </row>
        <row r="120">
          <cell r="E120">
            <v>7.88</v>
          </cell>
        </row>
        <row r="121">
          <cell r="E121">
            <v>3691.14</v>
          </cell>
        </row>
        <row r="122">
          <cell r="E122">
            <v>60.32</v>
          </cell>
        </row>
        <row r="123">
          <cell r="E123">
            <v>579.29999999999995</v>
          </cell>
        </row>
        <row r="124">
          <cell r="E124">
            <v>500.05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</sheetData>
      <sheetData sheetId="16"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51">
          <cell r="I51">
            <v>148.5699179545</v>
          </cell>
          <cell r="J51">
            <v>154.47163498800001</v>
          </cell>
          <cell r="K51">
            <v>162.57876689199998</v>
          </cell>
          <cell r="L51">
            <v>131.08742970900002</v>
          </cell>
          <cell r="M51">
            <v>87.503200980499997</v>
          </cell>
          <cell r="N51">
            <v>76.676289677</v>
          </cell>
          <cell r="O51">
            <v>45.197657843500004</v>
          </cell>
          <cell r="P51">
            <v>50.178288187</v>
          </cell>
          <cell r="Q51">
            <v>78.838364976999998</v>
          </cell>
          <cell r="R51">
            <v>120.2238394605</v>
          </cell>
          <cell r="S51">
            <v>167.50662301350002</v>
          </cell>
          <cell r="T51">
            <v>176.61256795349999</v>
          </cell>
        </row>
        <row r="52">
          <cell r="I52">
            <v>42.051278820500002</v>
          </cell>
          <cell r="J52">
            <v>42.274604140000001</v>
          </cell>
          <cell r="K52">
            <v>15.603495526</v>
          </cell>
          <cell r="L52">
            <v>0</v>
          </cell>
          <cell r="M52">
            <v>17.503212308000002</v>
          </cell>
          <cell r="N52">
            <v>26.207913999999999</v>
          </cell>
          <cell r="O52">
            <v>17.506200806000003</v>
          </cell>
          <cell r="P52">
            <v>19.988972419</v>
          </cell>
          <cell r="Q52">
            <v>29.554020073</v>
          </cell>
          <cell r="R52">
            <v>37.619845657500001</v>
          </cell>
          <cell r="S52">
            <v>43.740909696000003</v>
          </cell>
          <cell r="T52">
            <v>41.712929486500002</v>
          </cell>
        </row>
        <row r="53">
          <cell r="I53">
            <v>99.075872347000001</v>
          </cell>
          <cell r="J53">
            <v>116.2879763065</v>
          </cell>
          <cell r="K53">
            <v>110.76186606200001</v>
          </cell>
          <cell r="L53">
            <v>130.14471027250002</v>
          </cell>
          <cell r="M53">
            <v>110.6141858635</v>
          </cell>
          <cell r="N53">
            <v>103.93691338550001</v>
          </cell>
          <cell r="O53">
            <v>92.543513096500007</v>
          </cell>
          <cell r="P53">
            <v>76.144383595999997</v>
          </cell>
          <cell r="Q53">
            <v>87.2588595215</v>
          </cell>
          <cell r="R53">
            <v>87.637371559500011</v>
          </cell>
          <cell r="S53">
            <v>89.213373193999999</v>
          </cell>
          <cell r="T53">
            <v>103.585308412</v>
          </cell>
        </row>
        <row r="54">
          <cell r="I54">
            <v>246.18258612350002</v>
          </cell>
          <cell r="J54">
            <v>232.73271259650002</v>
          </cell>
          <cell r="K54">
            <v>232.33568541650001</v>
          </cell>
          <cell r="L54">
            <v>202.32153542149999</v>
          </cell>
          <cell r="M54">
            <v>174.12595066</v>
          </cell>
          <cell r="N54">
            <v>169.49003961000003</v>
          </cell>
          <cell r="O54">
            <v>19.9855542715</v>
          </cell>
          <cell r="P54">
            <v>27.736171627500003</v>
          </cell>
          <cell r="Q54">
            <v>219.15783011350001</v>
          </cell>
          <cell r="R54">
            <v>258.61003635150001</v>
          </cell>
          <cell r="S54">
            <v>234.492638081</v>
          </cell>
          <cell r="T54">
            <v>254.71647145000003</v>
          </cell>
        </row>
        <row r="55">
          <cell r="I55">
            <v>113.3320427755</v>
          </cell>
          <cell r="J55">
            <v>92.778676000500013</v>
          </cell>
          <cell r="K55">
            <v>55.695893629000004</v>
          </cell>
          <cell r="L55">
            <v>77.308021186000005</v>
          </cell>
          <cell r="M55">
            <v>83.916918720500007</v>
          </cell>
          <cell r="N55">
            <v>63.092164438499999</v>
          </cell>
          <cell r="O55">
            <v>55.476560028499996</v>
          </cell>
          <cell r="P55">
            <v>72.700787300000002</v>
          </cell>
          <cell r="Q55">
            <v>108.2624552315</v>
          </cell>
          <cell r="R55">
            <v>116.6587814625</v>
          </cell>
          <cell r="S55">
            <v>113.6276063565</v>
          </cell>
          <cell r="T55">
            <v>131.0262466325</v>
          </cell>
        </row>
        <row r="56">
          <cell r="I56">
            <v>95.90031454950001</v>
          </cell>
          <cell r="J56">
            <v>84.010096927500001</v>
          </cell>
          <cell r="K56">
            <v>109.951520296</v>
          </cell>
          <cell r="L56">
            <v>75.150441332</v>
          </cell>
          <cell r="M56">
            <v>69.366795367500004</v>
          </cell>
          <cell r="N56">
            <v>72.828789692499996</v>
          </cell>
          <cell r="O56">
            <v>2.9763782155</v>
          </cell>
          <cell r="P56">
            <v>0</v>
          </cell>
          <cell r="Q56">
            <v>47.199403329999996</v>
          </cell>
          <cell r="R56">
            <v>70.202618854999997</v>
          </cell>
          <cell r="S56">
            <v>104.79238787</v>
          </cell>
          <cell r="T56">
            <v>68.23867264750001</v>
          </cell>
        </row>
        <row r="57">
          <cell r="I57">
            <v>18.89241518</v>
          </cell>
          <cell r="J57">
            <v>16.969305429000002</v>
          </cell>
          <cell r="K57">
            <v>18.2066966945</v>
          </cell>
          <cell r="L57">
            <v>12.406297221499999</v>
          </cell>
          <cell r="M57">
            <v>10.929984853500001</v>
          </cell>
          <cell r="N57">
            <v>14.628404222</v>
          </cell>
          <cell r="O57">
            <v>10.3152093315</v>
          </cell>
          <cell r="P57">
            <v>12.946759606500001</v>
          </cell>
          <cell r="Q57">
            <v>12.149916405000001</v>
          </cell>
          <cell r="R57">
            <v>21.6380440995</v>
          </cell>
          <cell r="S57">
            <v>10.630711048</v>
          </cell>
          <cell r="T57">
            <v>18.370170921500002</v>
          </cell>
        </row>
        <row r="58">
          <cell r="I58">
            <v>84.250615281999998</v>
          </cell>
          <cell r="J58">
            <v>86.281040979554504</v>
          </cell>
          <cell r="K58">
            <v>97.643989273265987</v>
          </cell>
          <cell r="L58">
            <v>68.177567374245498</v>
          </cell>
          <cell r="M58">
            <v>92.788604330563487</v>
          </cell>
          <cell r="N58">
            <v>66.54210117940751</v>
          </cell>
          <cell r="O58">
            <v>57.469289833141005</v>
          </cell>
          <cell r="P58">
            <v>59.975286874411999</v>
          </cell>
          <cell r="Q58">
            <v>77.096772384801497</v>
          </cell>
          <cell r="R58">
            <v>80.736428116384999</v>
          </cell>
          <cell r="S58">
            <v>136.855978680411</v>
          </cell>
          <cell r="T58">
            <v>161.9856094611485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I60">
            <v>4.5508510315000006</v>
          </cell>
          <cell r="J60">
            <v>9.3155828540000005</v>
          </cell>
          <cell r="K60">
            <v>4.8763405114999996</v>
          </cell>
          <cell r="L60">
            <v>5.5305929915000007</v>
          </cell>
          <cell r="M60">
            <v>3.3312087349999997</v>
          </cell>
          <cell r="N60">
            <v>2.0236526724999999</v>
          </cell>
          <cell r="O60">
            <v>1.6977963325000001</v>
          </cell>
          <cell r="P60">
            <v>2.5154412014999998</v>
          </cell>
          <cell r="Q60">
            <v>3.184971284</v>
          </cell>
          <cell r="R60">
            <v>4.5236977475000009</v>
          </cell>
          <cell r="S60">
            <v>3.6773432614999999</v>
          </cell>
          <cell r="T60">
            <v>2.874008049</v>
          </cell>
        </row>
        <row r="61">
          <cell r="I61">
            <v>5.6302625040000001</v>
          </cell>
          <cell r="J61">
            <v>16.6848654665</v>
          </cell>
          <cell r="K61">
            <v>5.9044247424999998</v>
          </cell>
          <cell r="L61">
            <v>11.4464658825</v>
          </cell>
          <cell r="M61">
            <v>9.2234763014999999</v>
          </cell>
          <cell r="N61">
            <v>6.881219829</v>
          </cell>
          <cell r="O61">
            <v>2.6199553824999997</v>
          </cell>
          <cell r="P61">
            <v>2.1063796025000001</v>
          </cell>
          <cell r="Q61">
            <v>2.3489290915000001</v>
          </cell>
          <cell r="R61">
            <v>1.7953952025000002</v>
          </cell>
          <cell r="S61">
            <v>4.0236202990000001</v>
          </cell>
          <cell r="T61">
            <v>3.7299157105000003</v>
          </cell>
        </row>
        <row r="62">
          <cell r="I62">
            <v>24.857391576500003</v>
          </cell>
          <cell r="J62">
            <v>31.827105092500002</v>
          </cell>
          <cell r="K62">
            <v>25.500056219000001</v>
          </cell>
          <cell r="L62">
            <v>32.152220657500003</v>
          </cell>
          <cell r="M62">
            <v>28.011946639000001</v>
          </cell>
          <cell r="N62">
            <v>25.787594737500001</v>
          </cell>
          <cell r="O62">
            <v>25.468211359999998</v>
          </cell>
          <cell r="P62">
            <v>24.678335676500001</v>
          </cell>
          <cell r="Q62">
            <v>10.53126659</v>
          </cell>
          <cell r="R62">
            <v>26.218627017500001</v>
          </cell>
          <cell r="S62">
            <v>26.248099280000002</v>
          </cell>
          <cell r="T62">
            <v>31.059185979999999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2.2963319500000003</v>
          </cell>
          <cell r="P63">
            <v>3.2951986040000003</v>
          </cell>
          <cell r="Q63">
            <v>3.1342931025</v>
          </cell>
          <cell r="R63">
            <v>2.8213530565</v>
          </cell>
          <cell r="S63">
            <v>3.2776859775</v>
          </cell>
          <cell r="T63">
            <v>2.4315798275000002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1.7864424075000001</v>
          </cell>
          <cell r="P64">
            <v>0.75187815899999999</v>
          </cell>
          <cell r="Q64">
            <v>1.4919173225</v>
          </cell>
          <cell r="R64">
            <v>0.66324760500000002</v>
          </cell>
          <cell r="S64">
            <v>1.686730565</v>
          </cell>
          <cell r="T64">
            <v>0.8333104965</v>
          </cell>
        </row>
        <row r="65">
          <cell r="I65">
            <v>60.247807848999997</v>
          </cell>
          <cell r="J65">
            <v>66.937924660000007</v>
          </cell>
          <cell r="K65">
            <v>54.785009880000004</v>
          </cell>
          <cell r="L65">
            <v>30.401662096500001</v>
          </cell>
          <cell r="M65">
            <v>29.641215640000002</v>
          </cell>
          <cell r="N65">
            <v>36.495538281500004</v>
          </cell>
          <cell r="O65">
            <v>21.396897850000002</v>
          </cell>
          <cell r="P65">
            <v>35.465460307499995</v>
          </cell>
          <cell r="Q65">
            <v>36.052256405000001</v>
          </cell>
          <cell r="R65">
            <v>32.088036383999999</v>
          </cell>
          <cell r="S65">
            <v>44.469248847500005</v>
          </cell>
          <cell r="T65">
            <v>49.378783134000003</v>
          </cell>
        </row>
        <row r="66">
          <cell r="I66">
            <v>41.392646596500001</v>
          </cell>
          <cell r="J66">
            <v>113.25146691500001</v>
          </cell>
          <cell r="K66">
            <v>64.674703235999999</v>
          </cell>
          <cell r="L66">
            <v>54.135920248999994</v>
          </cell>
          <cell r="M66">
            <v>56.539093119</v>
          </cell>
          <cell r="N66">
            <v>35.431651336500003</v>
          </cell>
          <cell r="O66">
            <v>31.835682561500001</v>
          </cell>
          <cell r="P66">
            <v>25.324691495</v>
          </cell>
          <cell r="Q66">
            <v>56.365509782499998</v>
          </cell>
          <cell r="R66">
            <v>58.651303678999994</v>
          </cell>
          <cell r="S66">
            <v>62.353411401500004</v>
          </cell>
          <cell r="T66">
            <v>56.153404735000002</v>
          </cell>
        </row>
        <row r="79">
          <cell r="I79">
            <v>4.0544273674999998</v>
          </cell>
          <cell r="J79">
            <v>3.0483335715000002</v>
          </cell>
          <cell r="K79">
            <v>3.5725362980000002</v>
          </cell>
          <cell r="L79">
            <v>5.087589082</v>
          </cell>
          <cell r="M79">
            <v>3.691727701</v>
          </cell>
          <cell r="N79">
            <v>4.5401076775</v>
          </cell>
          <cell r="O79">
            <v>4.3574346790000007</v>
          </cell>
          <cell r="P79">
            <v>4.8229158185000003</v>
          </cell>
          <cell r="Q79">
            <v>5.0277274069999995</v>
          </cell>
          <cell r="R79">
            <v>5.0055662410000004</v>
          </cell>
          <cell r="S79">
            <v>3.404892566</v>
          </cell>
          <cell r="T79">
            <v>4.6959977794999999</v>
          </cell>
        </row>
        <row r="80">
          <cell r="I80">
            <v>67.298399885000009</v>
          </cell>
          <cell r="J80">
            <v>69.867853460999996</v>
          </cell>
          <cell r="K80">
            <v>65.007279463499998</v>
          </cell>
          <cell r="L80">
            <v>69.737192744499993</v>
          </cell>
          <cell r="M80">
            <v>68.602831288000004</v>
          </cell>
          <cell r="N80">
            <v>53.883126194500001</v>
          </cell>
          <cell r="O80">
            <v>65.058123437500001</v>
          </cell>
          <cell r="P80">
            <v>61.435292750000002</v>
          </cell>
          <cell r="Q80">
            <v>49.516081194499996</v>
          </cell>
          <cell r="R80">
            <v>68.351243638500009</v>
          </cell>
          <cell r="S80">
            <v>60.530752857000003</v>
          </cell>
          <cell r="T80">
            <v>67.5678620825</v>
          </cell>
        </row>
        <row r="82">
          <cell r="K82">
            <v>23.595214685000002</v>
          </cell>
          <cell r="L82">
            <v>23.875466094</v>
          </cell>
          <cell r="M82">
            <v>25.048378892500001</v>
          </cell>
          <cell r="N82">
            <v>24.256203278999998</v>
          </cell>
          <cell r="O82">
            <v>25.132749637499998</v>
          </cell>
          <cell r="P82">
            <v>25.2506090565</v>
          </cell>
          <cell r="Q82">
            <v>26.258085632500002</v>
          </cell>
          <cell r="R82">
            <v>22.976038254000002</v>
          </cell>
          <cell r="S82">
            <v>24.404646122999999</v>
          </cell>
          <cell r="T82">
            <v>27.154740857500002</v>
          </cell>
        </row>
        <row r="96">
          <cell r="I96">
            <v>266.24076103750002</v>
          </cell>
          <cell r="J96">
            <v>229.4338157615</v>
          </cell>
          <cell r="K96">
            <v>178.03891645875001</v>
          </cell>
          <cell r="L96">
            <v>261.09249472250002</v>
          </cell>
          <cell r="M96">
            <v>271.44340023749993</v>
          </cell>
          <cell r="N96">
            <v>206.8318124425</v>
          </cell>
          <cell r="O96">
            <v>176.1025450715</v>
          </cell>
          <cell r="P96">
            <v>247.83757306875</v>
          </cell>
          <cell r="Q96">
            <v>231.26201107</v>
          </cell>
          <cell r="R96">
            <v>239.49209892500002</v>
          </cell>
          <cell r="S96">
            <v>270.09585114375</v>
          </cell>
          <cell r="T96">
            <v>269.95541466650002</v>
          </cell>
        </row>
        <row r="97">
          <cell r="I97">
            <v>125.8569620615</v>
          </cell>
          <cell r="J97">
            <v>134.82357780650003</v>
          </cell>
          <cell r="K97">
            <v>85.606749252499995</v>
          </cell>
          <cell r="L97">
            <v>136.50467283750001</v>
          </cell>
          <cell r="M97">
            <v>141.0695104065</v>
          </cell>
          <cell r="N97">
            <v>123.576868605</v>
          </cell>
          <cell r="O97">
            <v>141.354339805</v>
          </cell>
          <cell r="P97">
            <v>126.18991925900001</v>
          </cell>
          <cell r="Q97">
            <v>133.04815530900001</v>
          </cell>
          <cell r="R97">
            <v>126.07214308900001</v>
          </cell>
          <cell r="S97">
            <v>127.67952254150001</v>
          </cell>
          <cell r="T97">
            <v>140.77733252000002</v>
          </cell>
        </row>
        <row r="105">
          <cell r="I105">
            <v>545.83123999999998</v>
          </cell>
          <cell r="J105">
            <v>466.39758399999999</v>
          </cell>
          <cell r="K105">
            <v>507.25873300000001</v>
          </cell>
          <cell r="L105">
            <v>545.95540800000003</v>
          </cell>
          <cell r="M105">
            <v>507.5388165</v>
          </cell>
          <cell r="N105">
            <v>560.19098699999995</v>
          </cell>
          <cell r="O105">
            <v>543.55600249999998</v>
          </cell>
          <cell r="P105">
            <v>549.96194249999996</v>
          </cell>
          <cell r="Q105">
            <v>547.22036949999995</v>
          </cell>
          <cell r="R105">
            <v>556.86173250000002</v>
          </cell>
          <cell r="S105">
            <v>236.449736</v>
          </cell>
          <cell r="T105">
            <v>585.77594450000004</v>
          </cell>
        </row>
        <row r="115">
          <cell r="I115">
            <v>1.9339500000000001</v>
          </cell>
          <cell r="J115">
            <v>0.7757999999999956</v>
          </cell>
          <cell r="K115">
            <v>0</v>
          </cell>
          <cell r="L115">
            <v>0.87660000000000227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4.8519100000000002</v>
          </cell>
          <cell r="R116">
            <v>0</v>
          </cell>
          <cell r="S116">
            <v>0</v>
          </cell>
          <cell r="T116">
            <v>0</v>
          </cell>
        </row>
        <row r="117">
          <cell r="I117">
            <v>9.8330760000000001</v>
          </cell>
          <cell r="J117">
            <v>9.5158799999999992</v>
          </cell>
          <cell r="K117">
            <v>9.8330760000000001</v>
          </cell>
          <cell r="L117">
            <v>9.5158799999999992</v>
          </cell>
          <cell r="M117">
            <v>9.8542224000000012</v>
          </cell>
          <cell r="N117">
            <v>6.1347999999999887</v>
          </cell>
          <cell r="O117">
            <v>12.68784</v>
          </cell>
          <cell r="P117">
            <v>12.304861200000003</v>
          </cell>
          <cell r="Q117">
            <v>10.150271999999999</v>
          </cell>
          <cell r="R117">
            <v>10.488614999999999</v>
          </cell>
          <cell r="S117">
            <v>10.488614</v>
          </cell>
          <cell r="T117">
            <v>9.4735870000000002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0.83332000000000694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I119">
            <v>14.949600000000071</v>
          </cell>
          <cell r="J119">
            <v>20.450700000000001</v>
          </cell>
          <cell r="K119">
            <v>29.6814</v>
          </cell>
          <cell r="L119">
            <v>22.305384480000004</v>
          </cell>
          <cell r="M119">
            <v>23.155674900000005</v>
          </cell>
          <cell r="N119">
            <v>22.177440000000001</v>
          </cell>
          <cell r="O119">
            <v>12.073099999999977</v>
          </cell>
          <cell r="P119">
            <v>18.849</v>
          </cell>
          <cell r="Q119">
            <v>19.716000000000005</v>
          </cell>
          <cell r="R119">
            <v>17.996100000000002</v>
          </cell>
          <cell r="S119">
            <v>18.558099999999992</v>
          </cell>
          <cell r="T119">
            <v>19.505700000000008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I121">
            <v>428.07366865000006</v>
          </cell>
          <cell r="J121">
            <v>305.12937732000006</v>
          </cell>
          <cell r="K121">
            <v>323.82634593000006</v>
          </cell>
          <cell r="L121">
            <v>204.20170647999993</v>
          </cell>
          <cell r="M121">
            <v>255.86228024000008</v>
          </cell>
          <cell r="N121">
            <v>264.09524637999988</v>
          </cell>
          <cell r="O121">
            <v>247.75901632000017</v>
          </cell>
          <cell r="P121">
            <v>307.29421326999989</v>
          </cell>
          <cell r="Q121">
            <v>261.79636560000006</v>
          </cell>
          <cell r="R121">
            <v>307.52076669999985</v>
          </cell>
          <cell r="S121">
            <v>367.49057372000004</v>
          </cell>
          <cell r="T121">
            <v>318.14222346000003</v>
          </cell>
        </row>
        <row r="122">
          <cell r="I122">
            <v>44.163556403000001</v>
          </cell>
          <cell r="J122">
            <v>56.906454729500005</v>
          </cell>
          <cell r="K122">
            <v>45.782666909500001</v>
          </cell>
          <cell r="L122">
            <v>50.528204193500002</v>
          </cell>
          <cell r="M122">
            <v>18.538054523499998</v>
          </cell>
          <cell r="N122">
            <v>51.175873653000004</v>
          </cell>
          <cell r="O122">
            <v>46.827175180499999</v>
          </cell>
          <cell r="P122">
            <v>42.785259150000002</v>
          </cell>
          <cell r="Q122">
            <v>53.9981368045</v>
          </cell>
          <cell r="R122">
            <v>42.239773605000003</v>
          </cell>
          <cell r="S122">
            <v>56.584573882000001</v>
          </cell>
          <cell r="T122">
            <v>68.009508609999997</v>
          </cell>
        </row>
        <row r="123">
          <cell r="I123">
            <v>30.829588060000003</v>
          </cell>
          <cell r="J123">
            <v>32.291770321249999</v>
          </cell>
          <cell r="K123">
            <v>38.479774316250001</v>
          </cell>
          <cell r="L123">
            <v>38.452048166249995</v>
          </cell>
          <cell r="M123">
            <v>69.289446111250001</v>
          </cell>
          <cell r="N123">
            <v>90.859174176500005</v>
          </cell>
          <cell r="O123">
            <v>104.91954225149999</v>
          </cell>
          <cell r="P123">
            <v>95.55883209000001</v>
          </cell>
          <cell r="Q123">
            <v>134.82943416200001</v>
          </cell>
          <cell r="R123">
            <v>182.8097349825</v>
          </cell>
          <cell r="S123">
            <v>187.2998756225</v>
          </cell>
          <cell r="T123">
            <v>9.3899460814999998</v>
          </cell>
        </row>
        <row r="124">
          <cell r="I124">
            <v>36.896367753750006</v>
          </cell>
          <cell r="J124">
            <v>38.478383423000004</v>
          </cell>
          <cell r="K124">
            <v>33.124066308750002</v>
          </cell>
          <cell r="L124">
            <v>30.362137870000002</v>
          </cell>
          <cell r="M124">
            <v>33.239923871500004</v>
          </cell>
          <cell r="N124">
            <v>39.742106064999994</v>
          </cell>
          <cell r="O124">
            <v>40.817191411499998</v>
          </cell>
          <cell r="P124">
            <v>34.124770437499997</v>
          </cell>
          <cell r="Q124">
            <v>34.508437564000005</v>
          </cell>
          <cell r="R124">
            <v>37.728552624999999</v>
          </cell>
          <cell r="S124">
            <v>35.839574611250001</v>
          </cell>
          <cell r="T124">
            <v>40.55002879125</v>
          </cell>
        </row>
        <row r="129">
          <cell r="I129">
            <v>2.6915354124999999</v>
          </cell>
          <cell r="J129">
            <v>2.2607676949999997</v>
          </cell>
          <cell r="K129">
            <v>2.7854360515000001</v>
          </cell>
          <cell r="L129">
            <v>1.0050037985</v>
          </cell>
          <cell r="M129">
            <v>1.7829120855</v>
          </cell>
          <cell r="N129">
            <v>2.0323095102500002</v>
          </cell>
          <cell r="O129">
            <v>1.6080796612500001</v>
          </cell>
          <cell r="P129">
            <v>1.9714880024999999</v>
          </cell>
          <cell r="Q129">
            <v>1.5845441812500001</v>
          </cell>
          <cell r="R129">
            <v>3.8665477790000002</v>
          </cell>
          <cell r="S129">
            <v>3.555951404</v>
          </cell>
          <cell r="T129">
            <v>4.0431167915000001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41">
          <cell r="I141">
            <v>1544.7334324999999</v>
          </cell>
          <cell r="J141">
            <v>247.02434</v>
          </cell>
          <cell r="K141">
            <v>196.17509749999999</v>
          </cell>
          <cell r="L141">
            <v>500.41859499999998</v>
          </cell>
          <cell r="M141">
            <v>728.55768999999998</v>
          </cell>
          <cell r="N141">
            <v>748.14737500000001</v>
          </cell>
          <cell r="O141">
            <v>151.97303149999999</v>
          </cell>
          <cell r="P141">
            <v>34.820632500000002</v>
          </cell>
          <cell r="Q141">
            <v>604.37437</v>
          </cell>
          <cell r="R141">
            <v>1051.7168675</v>
          </cell>
          <cell r="S141">
            <v>1519.8058424999999</v>
          </cell>
          <cell r="T141">
            <v>2076.6504799999998</v>
          </cell>
        </row>
      </sheetData>
      <sheetData sheetId="17"/>
      <sheetData sheetId="18"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8">
          <cell r="I78">
            <v>938.84538499999985</v>
          </cell>
        </row>
        <row r="136">
          <cell r="I136">
            <v>639.61571499999991</v>
          </cell>
        </row>
        <row r="138">
          <cell r="I138">
            <v>470.13</v>
          </cell>
        </row>
        <row r="139">
          <cell r="I139">
            <v>-655.47</v>
          </cell>
        </row>
        <row r="141">
          <cell r="I141">
            <v>23585.681594999998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-24"/>
      <sheetName val="For FSA "/>
      <sheetName val="Intra &amp; Inter State 23-24"/>
      <sheetName val="STOA 23-24"/>
      <sheetName val="NCEs NP 23-24"/>
      <sheetName val="NCEs SP 23-24"/>
      <sheetName val="Sheet5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G103">
            <v>67153412.579999998</v>
          </cell>
        </row>
        <row r="175">
          <cell r="G175">
            <v>28032147.419999998</v>
          </cell>
          <cell r="H175">
            <v>0</v>
          </cell>
          <cell r="I175">
            <v>98086929.809999987</v>
          </cell>
          <cell r="J175">
            <v>0</v>
          </cell>
          <cell r="M175">
            <v>25246523.752</v>
          </cell>
          <cell r="N175">
            <v>0</v>
          </cell>
          <cell r="O175">
            <v>88271356.719999999</v>
          </cell>
          <cell r="P175">
            <v>0</v>
          </cell>
          <cell r="S175">
            <v>23477254.923999999</v>
          </cell>
          <cell r="T175">
            <v>0</v>
          </cell>
          <cell r="U175">
            <v>84896458.283500001</v>
          </cell>
          <cell r="V175">
            <v>0</v>
          </cell>
          <cell r="Y175">
            <v>26529195.8255</v>
          </cell>
          <cell r="Z175">
            <v>0</v>
          </cell>
          <cell r="AA175">
            <v>92887795.887499988</v>
          </cell>
          <cell r="AB175">
            <v>0</v>
          </cell>
          <cell r="AE175">
            <v>27768954.536999997</v>
          </cell>
          <cell r="AF175">
            <v>0</v>
          </cell>
          <cell r="AG175">
            <v>100615650.2315</v>
          </cell>
          <cell r="AH175">
            <v>0</v>
          </cell>
          <cell r="AK175">
            <v>27732041.906999998</v>
          </cell>
          <cell r="AL175">
            <v>0</v>
          </cell>
          <cell r="AM175">
            <v>97084644.118499994</v>
          </cell>
          <cell r="AN175">
            <v>0</v>
          </cell>
          <cell r="AQ175">
            <v>22724643.976499997</v>
          </cell>
          <cell r="AR175">
            <v>0</v>
          </cell>
          <cell r="AS175">
            <v>81693172.064999998</v>
          </cell>
          <cell r="AT175">
            <v>0</v>
          </cell>
          <cell r="AW175">
            <v>25660313.627499998</v>
          </cell>
          <cell r="AX175">
            <v>0</v>
          </cell>
          <cell r="AY175">
            <v>89845282.519999996</v>
          </cell>
          <cell r="AZ175">
            <v>0</v>
          </cell>
          <cell r="BC175">
            <v>28592995.870499998</v>
          </cell>
          <cell r="BD175">
            <v>0</v>
          </cell>
          <cell r="BE175">
            <v>100159148.432</v>
          </cell>
          <cell r="BF175">
            <v>0</v>
          </cell>
          <cell r="BI175">
            <v>26449659.032499999</v>
          </cell>
          <cell r="BJ175">
            <v>0</v>
          </cell>
          <cell r="BK175">
            <v>92607843.598499998</v>
          </cell>
          <cell r="BL175">
            <v>0</v>
          </cell>
          <cell r="BO175">
            <v>26914955.779999997</v>
          </cell>
          <cell r="BP175">
            <v>0</v>
          </cell>
          <cell r="BQ175">
            <v>97087081.105999991</v>
          </cell>
          <cell r="BR175">
            <v>0</v>
          </cell>
          <cell r="BU175">
            <v>28769018.814999998</v>
          </cell>
          <cell r="BV175">
            <v>0</v>
          </cell>
          <cell r="BW175">
            <v>100726640.508</v>
          </cell>
          <cell r="BX175">
            <v>0</v>
          </cell>
          <cell r="CC175">
            <v>2767257.7645</v>
          </cell>
          <cell r="CD175">
            <v>0</v>
          </cell>
        </row>
        <row r="176">
          <cell r="G176">
            <v>1945951.1579999998</v>
          </cell>
          <cell r="H176">
            <v>0</v>
          </cell>
          <cell r="I176">
            <v>5060496.2804999994</v>
          </cell>
          <cell r="J176">
            <v>0</v>
          </cell>
          <cell r="M176">
            <v>1988435.7279999999</v>
          </cell>
          <cell r="N176">
            <v>0</v>
          </cell>
          <cell r="O176">
            <v>5196048.1514999997</v>
          </cell>
          <cell r="P176">
            <v>0</v>
          </cell>
          <cell r="S176">
            <v>1782543.4154999999</v>
          </cell>
          <cell r="T176">
            <v>0</v>
          </cell>
          <cell r="U176">
            <v>4651441.6705</v>
          </cell>
          <cell r="V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K176">
            <v>946941.19</v>
          </cell>
          <cell r="AL176">
            <v>0</v>
          </cell>
          <cell r="AM176">
            <v>2539715.5789999999</v>
          </cell>
          <cell r="AN176">
            <v>0</v>
          </cell>
          <cell r="AQ176">
            <v>1710317.2904999999</v>
          </cell>
          <cell r="AR176">
            <v>0</v>
          </cell>
          <cell r="AS176">
            <v>4456400.7994999997</v>
          </cell>
          <cell r="AT176">
            <v>0</v>
          </cell>
          <cell r="AW176">
            <v>1924664.4034999998</v>
          </cell>
          <cell r="AX176">
            <v>0</v>
          </cell>
          <cell r="AY176">
            <v>5014551.0409999993</v>
          </cell>
          <cell r="AZ176">
            <v>0</v>
          </cell>
          <cell r="BC176">
            <v>2026855.6089999999</v>
          </cell>
          <cell r="BD176">
            <v>0</v>
          </cell>
          <cell r="BE176">
            <v>5456893.8695</v>
          </cell>
          <cell r="BF176">
            <v>0</v>
          </cell>
          <cell r="BI176">
            <v>2006795.4469999999</v>
          </cell>
          <cell r="BJ176">
            <v>0</v>
          </cell>
          <cell r="BK176">
            <v>5229867.9424999999</v>
          </cell>
          <cell r="BL176">
            <v>0</v>
          </cell>
          <cell r="BO176">
            <v>1808877.9</v>
          </cell>
          <cell r="BP176">
            <v>0</v>
          </cell>
          <cell r="BQ176">
            <v>4713062.8504999997</v>
          </cell>
          <cell r="BR176">
            <v>0</v>
          </cell>
          <cell r="BU176">
            <v>2001446.7379999999</v>
          </cell>
          <cell r="BV176">
            <v>0</v>
          </cell>
          <cell r="BW176">
            <v>5214540.3954999996</v>
          </cell>
          <cell r="BX176">
            <v>0</v>
          </cell>
          <cell r="CD176">
            <v>0</v>
          </cell>
        </row>
        <row r="177">
          <cell r="G177">
            <v>8006924.8999999994</v>
          </cell>
          <cell r="H177">
            <v>0</v>
          </cell>
          <cell r="I177">
            <v>35243513.553999998</v>
          </cell>
          <cell r="J177">
            <v>0</v>
          </cell>
          <cell r="M177">
            <v>2261331.7969999998</v>
          </cell>
          <cell r="N177">
            <v>0</v>
          </cell>
          <cell r="O177">
            <v>9964561.818</v>
          </cell>
          <cell r="P177">
            <v>0</v>
          </cell>
          <cell r="S177">
            <v>856752.03749999998</v>
          </cell>
          <cell r="T177">
            <v>0</v>
          </cell>
          <cell r="U177">
            <v>3628815.7474999996</v>
          </cell>
          <cell r="V177">
            <v>0</v>
          </cell>
          <cell r="Y177">
            <v>3061132.5409999997</v>
          </cell>
          <cell r="Z177">
            <v>0</v>
          </cell>
          <cell r="AA177">
            <v>13005939.0045</v>
          </cell>
          <cell r="AB177">
            <v>3030201.7949999999</v>
          </cell>
          <cell r="AE177">
            <v>11015083.369999999</v>
          </cell>
          <cell r="AF177">
            <v>0</v>
          </cell>
          <cell r="AG177">
            <v>46805957.863499999</v>
          </cell>
          <cell r="AH177">
            <v>0</v>
          </cell>
          <cell r="AK177">
            <v>10827293.677999999</v>
          </cell>
          <cell r="AL177">
            <v>0</v>
          </cell>
          <cell r="AM177">
            <v>46025969.3125</v>
          </cell>
          <cell r="AN177">
            <v>0</v>
          </cell>
          <cell r="AQ177">
            <v>11333548.602</v>
          </cell>
          <cell r="AR177">
            <v>0</v>
          </cell>
          <cell r="AS177">
            <v>48179368.920999996</v>
          </cell>
          <cell r="AT177">
            <v>0</v>
          </cell>
          <cell r="AW177">
            <v>11019818.046499999</v>
          </cell>
          <cell r="AX177">
            <v>0</v>
          </cell>
          <cell r="AY177">
            <v>47363992.660999998</v>
          </cell>
          <cell r="AZ177">
            <v>0</v>
          </cell>
          <cell r="BC177">
            <v>8622876.3619999997</v>
          </cell>
          <cell r="BD177">
            <v>0</v>
          </cell>
          <cell r="BE177">
            <v>36675645.850000001</v>
          </cell>
          <cell r="BF177">
            <v>0</v>
          </cell>
          <cell r="BI177">
            <v>11216744.895499999</v>
          </cell>
          <cell r="BJ177">
            <v>0</v>
          </cell>
          <cell r="BK177">
            <v>47679115.317999996</v>
          </cell>
          <cell r="BL177">
            <v>0</v>
          </cell>
          <cell r="BO177">
            <v>9502986.9615000002</v>
          </cell>
          <cell r="BP177">
            <v>0</v>
          </cell>
          <cell r="BQ177">
            <v>40384941.968499996</v>
          </cell>
          <cell r="BR177">
            <v>0</v>
          </cell>
          <cell r="BU177">
            <v>10244969.6985</v>
          </cell>
          <cell r="BV177">
            <v>0</v>
          </cell>
          <cell r="BW177">
            <v>43666227.100999996</v>
          </cell>
          <cell r="BX177">
            <v>0</v>
          </cell>
          <cell r="CD177">
            <v>0</v>
          </cell>
        </row>
        <row r="178">
          <cell r="G178">
            <v>720310.1875</v>
          </cell>
          <cell r="H178">
            <v>607285.38184354454</v>
          </cell>
          <cell r="I178">
            <v>2308594.0404999997</v>
          </cell>
          <cell r="J178">
            <v>0</v>
          </cell>
          <cell r="M178">
            <v>519805.16349999997</v>
          </cell>
          <cell r="N178">
            <v>495567.4894203922</v>
          </cell>
          <cell r="O178">
            <v>1666038.6265</v>
          </cell>
          <cell r="P178">
            <v>84260777.383000001</v>
          </cell>
          <cell r="S178">
            <v>727890.61749999993</v>
          </cell>
          <cell r="T178">
            <v>565191.14749999973</v>
          </cell>
          <cell r="U178">
            <v>2332889.4290875001</v>
          </cell>
          <cell r="V178">
            <v>0</v>
          </cell>
          <cell r="Y178">
            <v>578938.40749999997</v>
          </cell>
          <cell r="Z178">
            <v>365193.40956499928</v>
          </cell>
          <cell r="AA178">
            <v>1859087.4994999999</v>
          </cell>
          <cell r="AB178">
            <v>72555070.614136443</v>
          </cell>
          <cell r="AE178">
            <v>510352.30249999999</v>
          </cell>
          <cell r="AF178">
            <v>292422.26539299998</v>
          </cell>
          <cell r="AG178">
            <v>1833220.6809999999</v>
          </cell>
          <cell r="AH178">
            <v>0</v>
          </cell>
          <cell r="AK178">
            <v>936516.77349999989</v>
          </cell>
          <cell r="AL178">
            <v>339607.38699999999</v>
          </cell>
          <cell r="AM178">
            <v>3904829.0989999999</v>
          </cell>
          <cell r="AN178">
            <v>0</v>
          </cell>
          <cell r="AQ178">
            <v>422757.10599999997</v>
          </cell>
          <cell r="AR178">
            <v>349918.65803836175</v>
          </cell>
          <cell r="AS178">
            <v>3243329.0607279995</v>
          </cell>
          <cell r="AT178">
            <v>0</v>
          </cell>
          <cell r="AW178">
            <v>518681.64599999995</v>
          </cell>
          <cell r="AX178">
            <v>396034.34445399977</v>
          </cell>
          <cell r="AY178">
            <v>1564411.8037449999</v>
          </cell>
          <cell r="AZ178">
            <v>0</v>
          </cell>
          <cell r="BC178">
            <v>465522.92349999998</v>
          </cell>
          <cell r="BD178">
            <v>435959.54099999997</v>
          </cell>
          <cell r="BE178">
            <v>21395221.056394</v>
          </cell>
          <cell r="BF178">
            <v>0</v>
          </cell>
          <cell r="BI178">
            <v>621610.86849999998</v>
          </cell>
          <cell r="BJ178">
            <v>457547.56899999996</v>
          </cell>
          <cell r="BK178">
            <v>3134859.4374109996</v>
          </cell>
          <cell r="BL178">
            <v>0</v>
          </cell>
          <cell r="BO178">
            <v>523557.6825</v>
          </cell>
          <cell r="BP178">
            <v>471418.49897399999</v>
          </cell>
          <cell r="BQ178">
            <v>2690795.801825</v>
          </cell>
          <cell r="BR178">
            <v>0</v>
          </cell>
          <cell r="BU178">
            <v>768473.60099999991</v>
          </cell>
          <cell r="BV178">
            <v>657718.25557659275</v>
          </cell>
          <cell r="BW178">
            <v>3073460.8617149997</v>
          </cell>
          <cell r="BX178">
            <v>0</v>
          </cell>
          <cell r="CD178">
            <v>0</v>
          </cell>
        </row>
        <row r="179">
          <cell r="G179">
            <v>716570.92099999997</v>
          </cell>
          <cell r="H179">
            <v>654153.41299999994</v>
          </cell>
          <cell r="I179">
            <v>2296609.6574999997</v>
          </cell>
          <cell r="J179">
            <v>0</v>
          </cell>
          <cell r="M179">
            <v>254948.06099999999</v>
          </cell>
          <cell r="N179">
            <v>312233.90451275097</v>
          </cell>
          <cell r="O179">
            <v>817110.27599999995</v>
          </cell>
          <cell r="P179">
            <v>0</v>
          </cell>
          <cell r="S179">
            <v>370034.83249999996</v>
          </cell>
          <cell r="T179">
            <v>84113.512064731462</v>
          </cell>
          <cell r="U179">
            <v>1185961.513</v>
          </cell>
          <cell r="V179">
            <v>0</v>
          </cell>
          <cell r="Y179">
            <v>630135.76</v>
          </cell>
          <cell r="Z179">
            <v>372376.669995</v>
          </cell>
          <cell r="AA179">
            <v>2023425.2729999998</v>
          </cell>
          <cell r="AB179">
            <v>107348840.86875892</v>
          </cell>
          <cell r="AE179">
            <v>772580.99249999993</v>
          </cell>
          <cell r="AF179">
            <v>450282.25399999996</v>
          </cell>
          <cell r="AG179">
            <v>2483075.2774999999</v>
          </cell>
          <cell r="AH179">
            <v>0</v>
          </cell>
          <cell r="AK179">
            <v>1135587.5825</v>
          </cell>
          <cell r="AL179">
            <v>358135.85449999996</v>
          </cell>
          <cell r="AM179">
            <v>3640693.7894949997</v>
          </cell>
          <cell r="AN179">
            <v>0</v>
          </cell>
          <cell r="AQ179">
            <v>643437.73599999992</v>
          </cell>
          <cell r="AR179">
            <v>516089.64213683701</v>
          </cell>
          <cell r="AS179">
            <v>3378895.9794999999</v>
          </cell>
          <cell r="AT179">
            <v>0</v>
          </cell>
          <cell r="AW179">
            <v>569161.00749999995</v>
          </cell>
          <cell r="AX179">
            <v>434535.50980999973</v>
          </cell>
          <cell r="AY179">
            <v>507376.25424849964</v>
          </cell>
          <cell r="AZ179">
            <v>0</v>
          </cell>
          <cell r="BC179">
            <v>418930.0785</v>
          </cell>
          <cell r="BD179">
            <v>393878.59944750019</v>
          </cell>
          <cell r="BE179">
            <v>1342251.9715140001</v>
          </cell>
          <cell r="BF179">
            <v>0</v>
          </cell>
          <cell r="BI179">
            <v>854183.99749999994</v>
          </cell>
          <cell r="BJ179">
            <v>618363.67871109594</v>
          </cell>
          <cell r="BK179">
            <v>2738513.8959849998</v>
          </cell>
          <cell r="BL179">
            <v>0</v>
          </cell>
          <cell r="BO179">
            <v>734045.07849999995</v>
          </cell>
          <cell r="BP179">
            <v>679785.34108621895</v>
          </cell>
          <cell r="BQ179">
            <v>2356284.7019849997</v>
          </cell>
          <cell r="BR179">
            <v>0</v>
          </cell>
          <cell r="BU179">
            <v>938515.54499999993</v>
          </cell>
          <cell r="BV179">
            <v>828268.58649999998</v>
          </cell>
          <cell r="BW179">
            <v>3017327.4771750001</v>
          </cell>
          <cell r="BX179">
            <v>0</v>
          </cell>
          <cell r="CD179">
            <v>0</v>
          </cell>
        </row>
        <row r="180">
          <cell r="G180">
            <v>11984319.682499999</v>
          </cell>
          <cell r="H180">
            <v>19917521.738556251</v>
          </cell>
          <cell r="I180">
            <v>30655889.739</v>
          </cell>
          <cell r="J180">
            <v>0</v>
          </cell>
          <cell r="M180">
            <v>9837990.4299999997</v>
          </cell>
          <cell r="N180">
            <v>18962446.208967499</v>
          </cell>
          <cell r="O180">
            <v>25352505.132742498</v>
          </cell>
          <cell r="P180">
            <v>0</v>
          </cell>
          <cell r="S180">
            <v>11262907.476</v>
          </cell>
          <cell r="T180">
            <v>20399322.902155858</v>
          </cell>
          <cell r="U180">
            <v>29632709.566999998</v>
          </cell>
          <cell r="V180">
            <v>0</v>
          </cell>
          <cell r="Y180">
            <v>11342863.342499999</v>
          </cell>
          <cell r="Z180">
            <v>19377501.499920834</v>
          </cell>
          <cell r="AA180">
            <v>29684273.367322501</v>
          </cell>
          <cell r="AB180">
            <v>77728388.261761382</v>
          </cell>
          <cell r="AE180">
            <v>7786300.2249999996</v>
          </cell>
          <cell r="AF180">
            <v>15929612.436192524</v>
          </cell>
          <cell r="AG180">
            <v>19940714.861499999</v>
          </cell>
          <cell r="AH180">
            <v>0</v>
          </cell>
          <cell r="AK180">
            <v>6709899.1909999996</v>
          </cell>
          <cell r="AL180">
            <v>12045031.151999999</v>
          </cell>
          <cell r="AM180">
            <v>17210891.286499999</v>
          </cell>
          <cell r="AN180">
            <v>0</v>
          </cell>
          <cell r="AQ180">
            <v>10365503.541999999</v>
          </cell>
          <cell r="AR180">
            <v>18314900.222999997</v>
          </cell>
          <cell r="AS180">
            <v>27572566.328499999</v>
          </cell>
          <cell r="AT180">
            <v>0</v>
          </cell>
          <cell r="AW180">
            <v>11077345.087499999</v>
          </cell>
          <cell r="AX180">
            <v>20298272.023499999</v>
          </cell>
          <cell r="AY180">
            <v>27405587.478999998</v>
          </cell>
          <cell r="AZ180">
            <v>0</v>
          </cell>
          <cell r="BC180">
            <v>12186520.731999999</v>
          </cell>
          <cell r="BD180">
            <v>23065795.721499998</v>
          </cell>
          <cell r="BE180">
            <v>31538715.654415999</v>
          </cell>
          <cell r="BF180">
            <v>0</v>
          </cell>
          <cell r="BI180">
            <v>12562131.0385</v>
          </cell>
          <cell r="BJ180">
            <v>23447288.846808713</v>
          </cell>
          <cell r="BK180">
            <v>32824848.371499997</v>
          </cell>
          <cell r="BL180">
            <v>0</v>
          </cell>
          <cell r="BO180">
            <v>8563591.1559999995</v>
          </cell>
          <cell r="BP180">
            <v>18379609.132417742</v>
          </cell>
          <cell r="BQ180">
            <v>22385227.281783998</v>
          </cell>
          <cell r="BR180">
            <v>0</v>
          </cell>
          <cell r="BU180">
            <v>12789867.888499999</v>
          </cell>
          <cell r="BV180">
            <v>20040036.252850007</v>
          </cell>
          <cell r="BW180">
            <v>33253656.510099996</v>
          </cell>
          <cell r="BX180">
            <v>0</v>
          </cell>
          <cell r="CD180">
            <v>0</v>
          </cell>
        </row>
        <row r="181">
          <cell r="G181">
            <v>1057233.7959999999</v>
          </cell>
          <cell r="H181">
            <v>822582.96950000001</v>
          </cell>
          <cell r="I181">
            <v>3017345.2537839999</v>
          </cell>
          <cell r="J181">
            <v>0</v>
          </cell>
          <cell r="M181">
            <v>767366.28099999996</v>
          </cell>
          <cell r="N181">
            <v>831007.37258033419</v>
          </cell>
          <cell r="O181">
            <v>2180087.6043210002</v>
          </cell>
          <cell r="P181">
            <v>0</v>
          </cell>
          <cell r="S181">
            <v>683312.15249999997</v>
          </cell>
          <cell r="T181">
            <v>686760.83290499973</v>
          </cell>
          <cell r="U181">
            <v>1944706.3064999999</v>
          </cell>
          <cell r="V181">
            <v>0</v>
          </cell>
          <cell r="Y181">
            <v>1518297.1059999999</v>
          </cell>
          <cell r="Z181">
            <v>1213274.2253764751</v>
          </cell>
          <cell r="AA181">
            <v>4325628.4549940005</v>
          </cell>
          <cell r="AB181">
            <v>2287346.0034479117</v>
          </cell>
          <cell r="AE181">
            <v>985559.85849999997</v>
          </cell>
          <cell r="AF181">
            <v>866991.64347000024</v>
          </cell>
          <cell r="AG181">
            <v>2802932.2375739994</v>
          </cell>
          <cell r="AH181">
            <v>0</v>
          </cell>
          <cell r="AK181">
            <v>1529381.7914999998</v>
          </cell>
          <cell r="AL181">
            <v>834104.0802100827</v>
          </cell>
          <cell r="AM181">
            <v>4389325.7416049996</v>
          </cell>
          <cell r="AN181">
            <v>0</v>
          </cell>
          <cell r="AQ181">
            <v>702544.47499999998</v>
          </cell>
          <cell r="AR181">
            <v>532980.66993430106</v>
          </cell>
          <cell r="AS181">
            <v>3017538.8698639995</v>
          </cell>
          <cell r="AT181">
            <v>0</v>
          </cell>
          <cell r="AW181">
            <v>900857.24099999992</v>
          </cell>
          <cell r="AX181">
            <v>865980.48949999991</v>
          </cell>
          <cell r="AY181">
            <v>1561361.6919830001</v>
          </cell>
          <cell r="AZ181">
            <v>0</v>
          </cell>
          <cell r="BC181">
            <v>614538.451</v>
          </cell>
          <cell r="BD181">
            <v>631393.770349</v>
          </cell>
          <cell r="BE181">
            <v>1752663.6622519998</v>
          </cell>
          <cell r="BF181">
            <v>0</v>
          </cell>
          <cell r="BI181">
            <v>1392588.3084999998</v>
          </cell>
          <cell r="BJ181">
            <v>1326306.8544800007</v>
          </cell>
          <cell r="BK181">
            <v>4013439.5050969999</v>
          </cell>
          <cell r="BL181">
            <v>0</v>
          </cell>
          <cell r="BO181">
            <v>1060389.3635</v>
          </cell>
          <cell r="BP181">
            <v>982625.99590099999</v>
          </cell>
          <cell r="BQ181">
            <v>3022109.5239999997</v>
          </cell>
          <cell r="BR181">
            <v>0</v>
          </cell>
          <cell r="BU181">
            <v>1100665.7725</v>
          </cell>
          <cell r="BV181">
            <v>999948.62755550013</v>
          </cell>
          <cell r="BW181">
            <v>3129192.7912174994</v>
          </cell>
          <cell r="BX181">
            <v>0</v>
          </cell>
          <cell r="CD181">
            <v>0</v>
          </cell>
        </row>
        <row r="182">
          <cell r="G182">
            <v>806349.24599999993</v>
          </cell>
          <cell r="H182">
            <v>1687948.4553145797</v>
          </cell>
          <cell r="I182">
            <v>2448882.6601019995</v>
          </cell>
          <cell r="J182">
            <v>0</v>
          </cell>
          <cell r="M182">
            <v>519737.42849999998</v>
          </cell>
          <cell r="N182">
            <v>1190911.1002859999</v>
          </cell>
          <cell r="O182">
            <v>1574283.912</v>
          </cell>
          <cell r="P182">
            <v>0</v>
          </cell>
          <cell r="S182">
            <v>599060.12</v>
          </cell>
          <cell r="T182">
            <v>1228537.8433100001</v>
          </cell>
          <cell r="U182">
            <v>1816350.2838399999</v>
          </cell>
          <cell r="V182">
            <v>0</v>
          </cell>
          <cell r="Y182">
            <v>914385.09849999996</v>
          </cell>
          <cell r="Z182">
            <v>1771510.2086</v>
          </cell>
          <cell r="AA182">
            <v>2776987.4554999997</v>
          </cell>
          <cell r="AB182">
            <v>947795.54578412231</v>
          </cell>
          <cell r="AE182">
            <v>383054.67749999999</v>
          </cell>
          <cell r="AF182">
            <v>865576.43549999991</v>
          </cell>
          <cell r="AG182">
            <v>1181340.6254099999</v>
          </cell>
          <cell r="AH182">
            <v>0</v>
          </cell>
          <cell r="AK182">
            <v>824049.28499999992</v>
          </cell>
          <cell r="AL182">
            <v>1727915.1969859095</v>
          </cell>
          <cell r="AM182">
            <v>2506757.9249699996</v>
          </cell>
          <cell r="AN182">
            <v>0</v>
          </cell>
          <cell r="AQ182">
            <v>619172.99749999994</v>
          </cell>
          <cell r="AR182">
            <v>1289404.3397219488</v>
          </cell>
          <cell r="AS182">
            <v>1917543.0919319999</v>
          </cell>
          <cell r="AT182">
            <v>0</v>
          </cell>
          <cell r="AW182">
            <v>713745.19349999994</v>
          </cell>
          <cell r="AX182">
            <v>1619327.26881</v>
          </cell>
          <cell r="AY182">
            <v>2126655.3946905001</v>
          </cell>
          <cell r="AZ182">
            <v>0</v>
          </cell>
          <cell r="BC182">
            <v>437811.0625</v>
          </cell>
          <cell r="BD182">
            <v>946938.09833899979</v>
          </cell>
          <cell r="BE182">
            <v>1322627.2198124998</v>
          </cell>
          <cell r="BF182">
            <v>0</v>
          </cell>
          <cell r="BI182">
            <v>590432.74249999993</v>
          </cell>
          <cell r="BJ182">
            <v>1237528.1684999999</v>
          </cell>
          <cell r="BK182">
            <v>1783697.2664999999</v>
          </cell>
          <cell r="BL182">
            <v>0</v>
          </cell>
          <cell r="BO182">
            <v>384510.98</v>
          </cell>
          <cell r="BP182">
            <v>887743.24926860793</v>
          </cell>
          <cell r="BQ182">
            <v>1168913.3791999999</v>
          </cell>
          <cell r="BR182">
            <v>0</v>
          </cell>
          <cell r="BU182">
            <v>623403.49</v>
          </cell>
          <cell r="BV182">
            <v>1322228.3239800003</v>
          </cell>
          <cell r="BW182">
            <v>1895770.01309</v>
          </cell>
          <cell r="BX182">
            <v>0</v>
          </cell>
          <cell r="CD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54817.9355</v>
          </cell>
          <cell r="T183">
            <v>36016.171999999999</v>
          </cell>
          <cell r="U183">
            <v>182708.17902149999</v>
          </cell>
          <cell r="V183">
            <v>0</v>
          </cell>
          <cell r="Y183">
            <v>0</v>
          </cell>
          <cell r="Z183">
            <v>-242.96249999999998</v>
          </cell>
          <cell r="AA183">
            <v>0</v>
          </cell>
          <cell r="AB183">
            <v>0</v>
          </cell>
          <cell r="AE183">
            <v>0</v>
          </cell>
          <cell r="AF183">
            <v>14616.624</v>
          </cell>
          <cell r="AG183">
            <v>0</v>
          </cell>
          <cell r="AH183">
            <v>0</v>
          </cell>
          <cell r="AK183">
            <v>0</v>
          </cell>
          <cell r="AL183">
            <v>1604.1415</v>
          </cell>
          <cell r="AM183">
            <v>0</v>
          </cell>
          <cell r="AN183">
            <v>0</v>
          </cell>
          <cell r="AQ183">
            <v>0</v>
          </cell>
          <cell r="AR183">
            <v>1574.6914999999999</v>
          </cell>
          <cell r="AS183">
            <v>0</v>
          </cell>
          <cell r="AT183">
            <v>0</v>
          </cell>
          <cell r="AW183">
            <v>0</v>
          </cell>
          <cell r="AX183">
            <v>1610.915</v>
          </cell>
          <cell r="AY183">
            <v>0</v>
          </cell>
          <cell r="AZ183">
            <v>0</v>
          </cell>
          <cell r="BC183">
            <v>0</v>
          </cell>
          <cell r="BD183">
            <v>-251.79749999999999</v>
          </cell>
          <cell r="BE183">
            <v>0</v>
          </cell>
          <cell r="BF183">
            <v>0</v>
          </cell>
          <cell r="BI183">
            <v>0</v>
          </cell>
          <cell r="BJ183">
            <v>447.34549999999996</v>
          </cell>
          <cell r="BK183">
            <v>0</v>
          </cell>
          <cell r="BL183">
            <v>0</v>
          </cell>
          <cell r="BO183">
            <v>0</v>
          </cell>
          <cell r="BP183">
            <v>2927.33</v>
          </cell>
          <cell r="BQ183">
            <v>0</v>
          </cell>
          <cell r="BR183">
            <v>0</v>
          </cell>
          <cell r="BU183">
            <v>0</v>
          </cell>
          <cell r="BV183">
            <v>-1116.155</v>
          </cell>
          <cell r="BW183">
            <v>0</v>
          </cell>
          <cell r="BX183">
            <v>0</v>
          </cell>
          <cell r="CD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415714.43299999996</v>
          </cell>
          <cell r="T184">
            <v>385900.7255</v>
          </cell>
          <cell r="U184">
            <v>1305343.31962</v>
          </cell>
          <cell r="V184">
            <v>0</v>
          </cell>
          <cell r="Y184">
            <v>0</v>
          </cell>
          <cell r="Z184">
            <v>-5608.7524999999996</v>
          </cell>
          <cell r="AA184">
            <v>0</v>
          </cell>
          <cell r="AB184">
            <v>0</v>
          </cell>
          <cell r="AE184">
            <v>0</v>
          </cell>
          <cell r="AF184">
            <v>7342.1794999999993</v>
          </cell>
          <cell r="AG184">
            <v>0</v>
          </cell>
          <cell r="AH184">
            <v>0</v>
          </cell>
          <cell r="AK184">
            <v>0</v>
          </cell>
          <cell r="AL184">
            <v>-14812.466499999999</v>
          </cell>
          <cell r="AM184">
            <v>0</v>
          </cell>
          <cell r="AN184">
            <v>0</v>
          </cell>
          <cell r="AQ184">
            <v>0</v>
          </cell>
          <cell r="AR184">
            <v>26781.240999999998</v>
          </cell>
          <cell r="AS184">
            <v>0</v>
          </cell>
          <cell r="AT184">
            <v>0</v>
          </cell>
          <cell r="AW184">
            <v>0</v>
          </cell>
          <cell r="AX184">
            <v>-7611.3525</v>
          </cell>
          <cell r="AY184">
            <v>0</v>
          </cell>
          <cell r="AZ184">
            <v>0</v>
          </cell>
          <cell r="BC184">
            <v>0</v>
          </cell>
          <cell r="BD184">
            <v>1634.1804999999999</v>
          </cell>
          <cell r="BE184">
            <v>0</v>
          </cell>
          <cell r="BF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O184">
            <v>0</v>
          </cell>
          <cell r="BP184">
            <v>-6793.8204999999998</v>
          </cell>
          <cell r="BQ184">
            <v>-41155.786</v>
          </cell>
          <cell r="BR184">
            <v>0</v>
          </cell>
          <cell r="BU184">
            <v>0</v>
          </cell>
          <cell r="BV184">
            <v>-1798.8059999999998</v>
          </cell>
          <cell r="BW184">
            <v>0</v>
          </cell>
          <cell r="BX184">
            <v>0</v>
          </cell>
          <cell r="CD184">
            <v>0</v>
          </cell>
        </row>
        <row r="185">
          <cell r="G185">
            <v>0</v>
          </cell>
          <cell r="M185">
            <v>0</v>
          </cell>
          <cell r="S185">
            <v>0</v>
          </cell>
          <cell r="Y185">
            <v>0</v>
          </cell>
          <cell r="AE185">
            <v>0</v>
          </cell>
          <cell r="AK185">
            <v>0</v>
          </cell>
          <cell r="AQ185">
            <v>0</v>
          </cell>
          <cell r="AW185">
            <v>0</v>
          </cell>
          <cell r="BC185">
            <v>0</v>
          </cell>
          <cell r="BI185">
            <v>0</v>
          </cell>
          <cell r="BO185">
            <v>0</v>
          </cell>
          <cell r="BU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M186">
            <v>68480.673999999999</v>
          </cell>
          <cell r="N186">
            <v>64158.591999999997</v>
          </cell>
          <cell r="O186">
            <v>240625.348</v>
          </cell>
          <cell r="P186">
            <v>0</v>
          </cell>
          <cell r="S186">
            <v>0</v>
          </cell>
          <cell r="T186">
            <v>58.016499999999994</v>
          </cell>
          <cell r="U186">
            <v>0</v>
          </cell>
          <cell r="V186">
            <v>0</v>
          </cell>
          <cell r="Y186">
            <v>0</v>
          </cell>
          <cell r="Z186">
            <v>192.89749999999998</v>
          </cell>
          <cell r="AA186">
            <v>0</v>
          </cell>
          <cell r="AB186">
            <v>0</v>
          </cell>
          <cell r="AE186">
            <v>0</v>
          </cell>
          <cell r="AF186">
            <v>2613.982</v>
          </cell>
          <cell r="AG186">
            <v>0</v>
          </cell>
          <cell r="AH186">
            <v>0</v>
          </cell>
          <cell r="AK186">
            <v>0</v>
          </cell>
          <cell r="AL186">
            <v>-2283.5529999999999</v>
          </cell>
          <cell r="AM186">
            <v>0</v>
          </cell>
          <cell r="AN186">
            <v>0</v>
          </cell>
          <cell r="AQ186">
            <v>0</v>
          </cell>
          <cell r="AR186">
            <v>753.3309999999999</v>
          </cell>
          <cell r="AS186">
            <v>0</v>
          </cell>
          <cell r="AT186">
            <v>0</v>
          </cell>
          <cell r="AW186">
            <v>0</v>
          </cell>
          <cell r="AX186">
            <v>615.505</v>
          </cell>
          <cell r="AY186">
            <v>0</v>
          </cell>
          <cell r="AZ186">
            <v>0</v>
          </cell>
          <cell r="BC186">
            <v>0</v>
          </cell>
          <cell r="BD186">
            <v>553.95449999999994</v>
          </cell>
          <cell r="BE186">
            <v>0</v>
          </cell>
          <cell r="BF186">
            <v>0</v>
          </cell>
          <cell r="BI186">
            <v>0</v>
          </cell>
          <cell r="BJ186">
            <v>1029.2774999999999</v>
          </cell>
          <cell r="BK186">
            <v>0</v>
          </cell>
          <cell r="BL186">
            <v>0</v>
          </cell>
          <cell r="BO186">
            <v>0</v>
          </cell>
          <cell r="BP186">
            <v>-374.89849999999996</v>
          </cell>
          <cell r="BQ186">
            <v>0</v>
          </cell>
          <cell r="BR186">
            <v>0</v>
          </cell>
          <cell r="BU186">
            <v>0</v>
          </cell>
          <cell r="BV186">
            <v>434.38749999999999</v>
          </cell>
          <cell r="BW186">
            <v>0</v>
          </cell>
          <cell r="BX186">
            <v>0</v>
          </cell>
          <cell r="CD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M187">
            <v>173118.291</v>
          </cell>
          <cell r="N187">
            <v>331028.60199999996</v>
          </cell>
          <cell r="O187">
            <v>467681.01949999999</v>
          </cell>
          <cell r="P187">
            <v>0</v>
          </cell>
          <cell r="S187">
            <v>0</v>
          </cell>
          <cell r="T187">
            <v>213.80699999999999</v>
          </cell>
          <cell r="U187">
            <v>0</v>
          </cell>
          <cell r="V187">
            <v>0</v>
          </cell>
          <cell r="Y187">
            <v>0</v>
          </cell>
          <cell r="Z187">
            <v>-138.70949999999999</v>
          </cell>
          <cell r="AA187">
            <v>0</v>
          </cell>
          <cell r="AB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C187">
            <v>0</v>
          </cell>
          <cell r="BD187">
            <v>0</v>
          </cell>
          <cell r="BE187">
            <v>-27352.8655</v>
          </cell>
          <cell r="BF187">
            <v>0</v>
          </cell>
          <cell r="BI187">
            <v>0</v>
          </cell>
          <cell r="BJ187">
            <v>13107.606</v>
          </cell>
          <cell r="BK187">
            <v>0</v>
          </cell>
          <cell r="BL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CC187">
            <v>4103175.7884549997</v>
          </cell>
          <cell r="CD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K188">
            <v>0</v>
          </cell>
          <cell r="AL188">
            <v>11012.532999999999</v>
          </cell>
          <cell r="AM188">
            <v>0</v>
          </cell>
          <cell r="AN188">
            <v>0</v>
          </cell>
          <cell r="AQ188">
            <v>17149.912542109356</v>
          </cell>
          <cell r="AR188">
            <v>39313.688499999997</v>
          </cell>
          <cell r="AS188">
            <v>66181.512499999997</v>
          </cell>
          <cell r="AT188">
            <v>0</v>
          </cell>
          <cell r="AW188">
            <v>0</v>
          </cell>
          <cell r="AX188">
            <v>624.04549999999995</v>
          </cell>
          <cell r="AY188">
            <v>-2459.9584999999997</v>
          </cell>
          <cell r="AZ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O188">
            <v>0</v>
          </cell>
          <cell r="BP188">
            <v>0</v>
          </cell>
          <cell r="BQ188">
            <v>33601.271999999997</v>
          </cell>
          <cell r="BR188">
            <v>0</v>
          </cell>
          <cell r="BU188">
            <v>0</v>
          </cell>
          <cell r="BV188">
            <v>0</v>
          </cell>
          <cell r="BW188">
            <v>-14342.15</v>
          </cell>
          <cell r="BX188">
            <v>0</v>
          </cell>
          <cell r="CD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K189">
            <v>0</v>
          </cell>
          <cell r="AL189">
            <v>24.738</v>
          </cell>
          <cell r="AM189">
            <v>0</v>
          </cell>
          <cell r="AN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C189">
            <v>0</v>
          </cell>
          <cell r="BD189">
            <v>-1.7669999999999999</v>
          </cell>
          <cell r="BE189">
            <v>0</v>
          </cell>
          <cell r="BF189">
            <v>0</v>
          </cell>
          <cell r="BI189">
            <v>0</v>
          </cell>
          <cell r="BJ189">
            <v>-1.7669999999999999</v>
          </cell>
          <cell r="BK189">
            <v>0</v>
          </cell>
          <cell r="BL189">
            <v>0</v>
          </cell>
          <cell r="BO189">
            <v>0</v>
          </cell>
          <cell r="BP189">
            <v>-83.637999999999991</v>
          </cell>
          <cell r="BQ189">
            <v>0</v>
          </cell>
          <cell r="BR189">
            <v>0</v>
          </cell>
          <cell r="BU189">
            <v>0</v>
          </cell>
          <cell r="BV189">
            <v>-0.88349999999999995</v>
          </cell>
          <cell r="BW189">
            <v>0</v>
          </cell>
          <cell r="BX189">
            <v>0</v>
          </cell>
          <cell r="CD189">
            <v>0</v>
          </cell>
        </row>
        <row r="190">
          <cell r="G190">
            <v>56337309.0035</v>
          </cell>
          <cell r="H190">
            <v>44039272.3125</v>
          </cell>
          <cell r="I190">
            <v>191559708.11083001</v>
          </cell>
          <cell r="J190">
            <v>0</v>
          </cell>
          <cell r="M190">
            <v>46147035.611999996</v>
          </cell>
          <cell r="N190">
            <v>39666427.936499998</v>
          </cell>
          <cell r="O190">
            <v>176882065.74759197</v>
          </cell>
          <cell r="P190">
            <v>0</v>
          </cell>
          <cell r="S190">
            <v>43299945.670999996</v>
          </cell>
          <cell r="T190">
            <v>39353587.6545</v>
          </cell>
          <cell r="U190">
            <v>156269531.020639</v>
          </cell>
          <cell r="V190">
            <v>0</v>
          </cell>
          <cell r="Y190">
            <v>52403118.843499996</v>
          </cell>
          <cell r="Z190">
            <v>231408042.236</v>
          </cell>
          <cell r="AA190">
            <v>202538054.33012751</v>
          </cell>
          <cell r="AB190">
            <v>0</v>
          </cell>
          <cell r="AE190">
            <v>53557153.611499995</v>
          </cell>
          <cell r="AF190">
            <v>42421323.769000001</v>
          </cell>
          <cell r="AG190">
            <v>220373380.30132252</v>
          </cell>
          <cell r="AH190">
            <v>0</v>
          </cell>
          <cell r="AK190">
            <v>53327558.466499999</v>
          </cell>
          <cell r="AL190">
            <v>-43918238.408</v>
          </cell>
          <cell r="AM190">
            <v>204556867.49899998</v>
          </cell>
          <cell r="AN190">
            <v>0</v>
          </cell>
          <cell r="AQ190">
            <v>46678370.744999997</v>
          </cell>
          <cell r="AR190">
            <v>58395103.898999996</v>
          </cell>
          <cell r="AS190">
            <v>162002404.03487501</v>
          </cell>
          <cell r="AT190">
            <v>0</v>
          </cell>
          <cell r="AW190">
            <v>45617428.015999995</v>
          </cell>
          <cell r="AX190">
            <v>54321680.028999999</v>
          </cell>
          <cell r="AY190">
            <v>211610296.52249998</v>
          </cell>
          <cell r="AZ190">
            <v>-4486532.3423966654</v>
          </cell>
          <cell r="BC190">
            <v>48372529.114999995</v>
          </cell>
          <cell r="BD190">
            <v>57387139.952999994</v>
          </cell>
          <cell r="BE190">
            <v>177352868.41820496</v>
          </cell>
          <cell r="BF190">
            <v>2735100.691768772</v>
          </cell>
          <cell r="BI190">
            <v>54541304.287499994</v>
          </cell>
          <cell r="BJ190">
            <v>50143824.103</v>
          </cell>
          <cell r="BK190">
            <v>191509959.3037</v>
          </cell>
          <cell r="BL190">
            <v>2658373.2619530335</v>
          </cell>
          <cell r="BO190">
            <v>45323369.765999995</v>
          </cell>
          <cell r="BP190">
            <v>48651420.909499995</v>
          </cell>
          <cell r="BQ190">
            <v>178282993.857876</v>
          </cell>
          <cell r="BR190">
            <v>2368299.8924371544</v>
          </cell>
          <cell r="BU190">
            <v>51207954.794500001</v>
          </cell>
          <cell r="BV190">
            <v>50800410.969499998</v>
          </cell>
          <cell r="BW190">
            <v>206234025.265733</v>
          </cell>
          <cell r="BX190">
            <v>2073551.0801335953</v>
          </cell>
          <cell r="CD190">
            <v>0</v>
          </cell>
        </row>
        <row r="191">
          <cell r="G191">
            <v>15051954.783499999</v>
          </cell>
          <cell r="H191">
            <v>13177774.159</v>
          </cell>
          <cell r="I191">
            <v>42423228.946338497</v>
          </cell>
          <cell r="J191">
            <v>-291159.19199999998</v>
          </cell>
          <cell r="M191">
            <v>12618288.948999999</v>
          </cell>
          <cell r="N191">
            <v>12032838.557499999</v>
          </cell>
          <cell r="O191">
            <v>42452957.171384998</v>
          </cell>
          <cell r="P191">
            <v>0</v>
          </cell>
          <cell r="S191">
            <v>14032183.448999999</v>
          </cell>
          <cell r="T191">
            <v>15610299.983999999</v>
          </cell>
          <cell r="U191">
            <v>49954573.078440003</v>
          </cell>
          <cell r="V191">
            <v>0</v>
          </cell>
          <cell r="Y191">
            <v>13908015.475499999</v>
          </cell>
          <cell r="Z191">
            <v>12546579.671499999</v>
          </cell>
          <cell r="AA191">
            <v>52989538.961654998</v>
          </cell>
          <cell r="AB191">
            <v>0</v>
          </cell>
          <cell r="AE191">
            <v>15328136.589</v>
          </cell>
          <cell r="AF191">
            <v>12793907.250499999</v>
          </cell>
          <cell r="AG191">
            <v>62223001.091661997</v>
          </cell>
          <cell r="AH191">
            <v>0</v>
          </cell>
          <cell r="AK191">
            <v>13044681.068499999</v>
          </cell>
          <cell r="AL191">
            <v>11915570.4245</v>
          </cell>
          <cell r="AM191">
            <v>49245490.432499997</v>
          </cell>
          <cell r="AN191">
            <v>0</v>
          </cell>
          <cell r="AQ191">
            <v>14911307.473499998</v>
          </cell>
          <cell r="AR191">
            <v>12736576.3465</v>
          </cell>
          <cell r="AS191">
            <v>51130873.326631494</v>
          </cell>
          <cell r="AT191">
            <v>0</v>
          </cell>
          <cell r="AW191">
            <v>10967343.4475</v>
          </cell>
          <cell r="AX191">
            <v>12739056.625499999</v>
          </cell>
          <cell r="AY191">
            <v>52135647.909194991</v>
          </cell>
          <cell r="AZ191">
            <v>5119830.9815417016</v>
          </cell>
          <cell r="BC191">
            <v>9912768.1030000001</v>
          </cell>
          <cell r="BD191">
            <v>12702220.859999999</v>
          </cell>
          <cell r="BE191">
            <v>35828527.739757001</v>
          </cell>
          <cell r="BF191">
            <v>565461.69947029022</v>
          </cell>
          <cell r="BI191">
            <v>13402839.305</v>
          </cell>
          <cell r="BJ191">
            <v>12772525.078</v>
          </cell>
          <cell r="BK191">
            <v>46431503.275129996</v>
          </cell>
          <cell r="BL191">
            <v>651288.81391850975</v>
          </cell>
          <cell r="BO191">
            <v>12833632.3555</v>
          </cell>
          <cell r="BP191">
            <v>11905236.714</v>
          </cell>
          <cell r="BQ191">
            <v>48511129.420290001</v>
          </cell>
          <cell r="BR191">
            <v>644418.74181036605</v>
          </cell>
          <cell r="BU191">
            <v>11764974.9045</v>
          </cell>
          <cell r="BV191">
            <v>12499638.727499999</v>
          </cell>
          <cell r="BW191">
            <v>46760156.125898495</v>
          </cell>
          <cell r="BX191">
            <v>470143.43107127812</v>
          </cell>
          <cell r="CD191">
            <v>0</v>
          </cell>
        </row>
        <row r="192">
          <cell r="G192">
            <v>59918875.759999998</v>
          </cell>
          <cell r="H192">
            <v>97410206.800499991</v>
          </cell>
          <cell r="I192">
            <v>297494737.23328</v>
          </cell>
          <cell r="J192">
            <v>0</v>
          </cell>
          <cell r="M192">
            <v>40948075.149999999</v>
          </cell>
          <cell r="N192">
            <v>207109950.72749999</v>
          </cell>
          <cell r="O192">
            <v>188893470.66694999</v>
          </cell>
          <cell r="P192">
            <v>0</v>
          </cell>
          <cell r="S192">
            <v>70399136.82249999</v>
          </cell>
          <cell r="T192">
            <v>118863219.50849999</v>
          </cell>
          <cell r="U192">
            <v>350610497.50047743</v>
          </cell>
          <cell r="V192">
            <v>0</v>
          </cell>
          <cell r="Y192">
            <v>68526949.668499991</v>
          </cell>
          <cell r="Z192">
            <v>110093353.48449999</v>
          </cell>
          <cell r="AA192">
            <v>365728609.73435503</v>
          </cell>
          <cell r="AB192">
            <v>0</v>
          </cell>
          <cell r="AE192">
            <v>82876907.746999994</v>
          </cell>
          <cell r="AF192">
            <v>99528715.816</v>
          </cell>
          <cell r="AG192">
            <v>346847434.49901295</v>
          </cell>
          <cell r="AH192">
            <v>0</v>
          </cell>
          <cell r="AK192">
            <v>92951939.754500002</v>
          </cell>
          <cell r="AL192">
            <v>96299483.263999999</v>
          </cell>
          <cell r="AM192">
            <v>305875112.2705</v>
          </cell>
          <cell r="AN192">
            <v>0</v>
          </cell>
          <cell r="AQ192">
            <v>104422441.75299999</v>
          </cell>
          <cell r="AR192">
            <v>105309883.0465</v>
          </cell>
          <cell r="AS192">
            <v>342573108.88936394</v>
          </cell>
          <cell r="AT192">
            <v>0</v>
          </cell>
          <cell r="AW192">
            <v>67397051.531499997</v>
          </cell>
          <cell r="AX192">
            <v>99896526.878999993</v>
          </cell>
          <cell r="AY192">
            <v>218482518.74594301</v>
          </cell>
          <cell r="AZ192">
            <v>33899173.098612905</v>
          </cell>
          <cell r="BC192">
            <v>41298066.330038458</v>
          </cell>
          <cell r="BD192">
            <v>106889214.39399999</v>
          </cell>
          <cell r="BE192">
            <v>165575998.452555</v>
          </cell>
          <cell r="BF192">
            <v>3174660.3287203112</v>
          </cell>
          <cell r="BI192">
            <v>93963195.326999992</v>
          </cell>
          <cell r="BJ192">
            <v>107209798.5535</v>
          </cell>
          <cell r="BK192">
            <v>363355786.066688</v>
          </cell>
          <cell r="BL192">
            <v>5176575.1419843994</v>
          </cell>
          <cell r="BO192">
            <v>95940850.882499993</v>
          </cell>
          <cell r="BP192">
            <v>95016625.066499993</v>
          </cell>
          <cell r="BQ192">
            <v>390369396.70384496</v>
          </cell>
          <cell r="BR192">
            <v>5185642.1087559089</v>
          </cell>
          <cell r="BU192">
            <v>94218474.700499997</v>
          </cell>
          <cell r="BV192">
            <v>112019306.61999999</v>
          </cell>
          <cell r="BW192">
            <v>376922592.63179296</v>
          </cell>
          <cell r="BX192">
            <v>3789715.3395098448</v>
          </cell>
          <cell r="CD192">
            <v>0</v>
          </cell>
        </row>
        <row r="193">
          <cell r="G193">
            <v>32868516.2425</v>
          </cell>
          <cell r="H193">
            <v>60262203.270999998</v>
          </cell>
          <cell r="I193">
            <v>158648711.8674975</v>
          </cell>
          <cell r="J193">
            <v>0</v>
          </cell>
          <cell r="M193">
            <v>17831314.730999999</v>
          </cell>
          <cell r="N193">
            <v>117283970.62099999</v>
          </cell>
          <cell r="O193">
            <v>83346325.175017998</v>
          </cell>
          <cell r="P193">
            <v>0</v>
          </cell>
          <cell r="S193">
            <v>31303885.451499999</v>
          </cell>
          <cell r="T193">
            <v>61512289.508499995</v>
          </cell>
          <cell r="U193">
            <v>156744401.523745</v>
          </cell>
          <cell r="V193">
            <v>0</v>
          </cell>
          <cell r="Y193">
            <v>15763931.798999999</v>
          </cell>
          <cell r="Z193">
            <v>62577606.445999995</v>
          </cell>
          <cell r="AA193">
            <v>85091467.55582799</v>
          </cell>
          <cell r="AB193">
            <v>0</v>
          </cell>
          <cell r="AE193">
            <v>30800192.677499998</v>
          </cell>
          <cell r="AF193">
            <v>80287578.930999994</v>
          </cell>
          <cell r="AG193">
            <v>123782623.11401249</v>
          </cell>
          <cell r="AH193">
            <v>0</v>
          </cell>
          <cell r="AK193">
            <v>43390300.332499996</v>
          </cell>
          <cell r="AL193">
            <v>75086811.416999996</v>
          </cell>
          <cell r="AM193">
            <v>138158113.53999999</v>
          </cell>
          <cell r="AN193">
            <v>0</v>
          </cell>
          <cell r="AQ193">
            <v>43463571.932499997</v>
          </cell>
          <cell r="AR193">
            <v>66057110.693499997</v>
          </cell>
          <cell r="AS193">
            <v>141202936.65774748</v>
          </cell>
          <cell r="AT193">
            <v>0</v>
          </cell>
          <cell r="AW193">
            <v>45876601.563000001</v>
          </cell>
          <cell r="AX193">
            <v>63476150.683999993</v>
          </cell>
          <cell r="AY193">
            <v>154080071.62763396</v>
          </cell>
          <cell r="AZ193">
            <v>16464924.464224501</v>
          </cell>
          <cell r="BC193">
            <v>44731933.072999999</v>
          </cell>
          <cell r="BD193">
            <v>67995657.237999991</v>
          </cell>
          <cell r="BE193">
            <v>178507850.668686</v>
          </cell>
          <cell r="BF193">
            <v>2872164.4839206277</v>
          </cell>
          <cell r="BI193">
            <v>46949545.166999996</v>
          </cell>
          <cell r="BJ193">
            <v>70188235.948499992</v>
          </cell>
          <cell r="BK193">
            <v>183170199.565465</v>
          </cell>
          <cell r="BL193">
            <v>2787133.2331968881</v>
          </cell>
          <cell r="BO193">
            <v>40645622.766499996</v>
          </cell>
          <cell r="BP193">
            <v>62005693.630499996</v>
          </cell>
          <cell r="BQ193">
            <v>166806649.8802515</v>
          </cell>
          <cell r="BR193">
            <v>2215848.8727428876</v>
          </cell>
          <cell r="BU193">
            <v>42340488.230999999</v>
          </cell>
          <cell r="BV193">
            <v>70291018.50999999</v>
          </cell>
          <cell r="BW193">
            <v>169691774.09249198</v>
          </cell>
          <cell r="BX193">
            <v>1706142.1412198814</v>
          </cell>
          <cell r="CD193">
            <v>0</v>
          </cell>
        </row>
        <row r="194">
          <cell r="G194">
            <v>41723874.144000001</v>
          </cell>
          <cell r="H194">
            <v>171176293.20999998</v>
          </cell>
          <cell r="I194">
            <v>63723225.148495995</v>
          </cell>
          <cell r="J194">
            <v>0</v>
          </cell>
          <cell r="M194">
            <v>41639384.155499995</v>
          </cell>
          <cell r="N194">
            <v>39786803.633499995</v>
          </cell>
          <cell r="O194">
            <v>69870886.612928987</v>
          </cell>
          <cell r="P194">
            <v>0</v>
          </cell>
          <cell r="S194">
            <v>31836176.825999998</v>
          </cell>
          <cell r="T194">
            <v>40141787.748999998</v>
          </cell>
          <cell r="U194">
            <v>63253298.091761999</v>
          </cell>
          <cell r="V194">
            <v>0</v>
          </cell>
          <cell r="Y194">
            <v>35454391.162500001</v>
          </cell>
          <cell r="Z194">
            <v>34776624.1505</v>
          </cell>
          <cell r="AA194">
            <v>77751479.819362491</v>
          </cell>
          <cell r="AB194">
            <v>0</v>
          </cell>
          <cell r="AE194">
            <v>28256988.156999998</v>
          </cell>
          <cell r="AF194">
            <v>32704752.154999997</v>
          </cell>
          <cell r="AG194">
            <v>67531885.747230008</v>
          </cell>
          <cell r="AH194">
            <v>0</v>
          </cell>
          <cell r="AK194">
            <v>34364215.774499997</v>
          </cell>
          <cell r="AL194">
            <v>35454483.93</v>
          </cell>
          <cell r="AM194">
            <v>64168188.282499999</v>
          </cell>
          <cell r="AN194">
            <v>0</v>
          </cell>
          <cell r="AQ194">
            <v>46572713.863499999</v>
          </cell>
          <cell r="AR194">
            <v>46009240.828999996</v>
          </cell>
          <cell r="AS194">
            <v>81828258.847169489</v>
          </cell>
          <cell r="AT194">
            <v>0</v>
          </cell>
          <cell r="AW194">
            <v>42737643.568499997</v>
          </cell>
          <cell r="AX194">
            <v>38857319.814499997</v>
          </cell>
          <cell r="AY194">
            <v>61318756.182999998</v>
          </cell>
          <cell r="AZ194">
            <v>9998266.4286251217</v>
          </cell>
          <cell r="BC194">
            <v>43981416.020499997</v>
          </cell>
          <cell r="BD194">
            <v>41584402.183499999</v>
          </cell>
          <cell r="BE194">
            <v>68157842.496275008</v>
          </cell>
          <cell r="BF194">
            <v>1278674.6129158356</v>
          </cell>
          <cell r="BI194">
            <v>43854951.830499999</v>
          </cell>
          <cell r="BJ194">
            <v>47773108.526999995</v>
          </cell>
          <cell r="BK194">
            <v>61566772.179309994</v>
          </cell>
          <cell r="BL194">
            <v>1202820.875539952</v>
          </cell>
          <cell r="BO194">
            <v>41259545.123499997</v>
          </cell>
          <cell r="BP194">
            <v>39966767.282499999</v>
          </cell>
          <cell r="BQ194">
            <v>68942564.612626508</v>
          </cell>
          <cell r="BR194">
            <v>915828.62068485434</v>
          </cell>
          <cell r="BU194">
            <v>43892804.798999995</v>
          </cell>
          <cell r="BV194">
            <v>39709047.681999996</v>
          </cell>
          <cell r="BW194">
            <v>71145290.032900006</v>
          </cell>
          <cell r="BX194">
            <v>715320.33961929171</v>
          </cell>
          <cell r="CD194">
            <v>0</v>
          </cell>
        </row>
        <row r="195">
          <cell r="G195">
            <v>20361270.874499999</v>
          </cell>
          <cell r="H195">
            <v>73075616.729000002</v>
          </cell>
          <cell r="I195">
            <v>55356225.785606489</v>
          </cell>
          <cell r="J195">
            <v>0</v>
          </cell>
          <cell r="M195">
            <v>14171352.6635</v>
          </cell>
          <cell r="N195">
            <v>97808564.876000002</v>
          </cell>
          <cell r="O195">
            <v>73081776.154386505</v>
          </cell>
          <cell r="P195">
            <v>0</v>
          </cell>
          <cell r="S195">
            <v>25578784.247499999</v>
          </cell>
          <cell r="T195">
            <v>71850726.144500002</v>
          </cell>
          <cell r="U195">
            <v>159453043.41595501</v>
          </cell>
          <cell r="V195">
            <v>0</v>
          </cell>
          <cell r="Y195">
            <v>14658404.125999998</v>
          </cell>
          <cell r="Z195">
            <v>75057775.483999997</v>
          </cell>
          <cell r="AA195">
            <v>86085607.844993994</v>
          </cell>
          <cell r="AB195">
            <v>0</v>
          </cell>
          <cell r="AE195">
            <v>28280279.278499998</v>
          </cell>
          <cell r="AF195">
            <v>77197026.42899999</v>
          </cell>
          <cell r="AG195">
            <v>155012878.58139449</v>
          </cell>
          <cell r="AH195">
            <v>0</v>
          </cell>
          <cell r="AK195">
            <v>27707581.031499997</v>
          </cell>
          <cell r="AL195">
            <v>76039594.014499992</v>
          </cell>
          <cell r="AM195">
            <v>151883152.926</v>
          </cell>
          <cell r="AN195">
            <v>0</v>
          </cell>
          <cell r="AQ195">
            <v>34679057.184</v>
          </cell>
          <cell r="AR195">
            <v>76304591.593500003</v>
          </cell>
          <cell r="AS195">
            <v>184124550.56099999</v>
          </cell>
          <cell r="AT195">
            <v>0</v>
          </cell>
          <cell r="AW195">
            <v>9269852.8099999987</v>
          </cell>
          <cell r="AX195">
            <v>74803935.037499994</v>
          </cell>
          <cell r="AY195">
            <v>70053579.816919997</v>
          </cell>
          <cell r="AZ195">
            <v>-73853867.720150635</v>
          </cell>
          <cell r="BC195">
            <v>12852467.397499999</v>
          </cell>
          <cell r="BD195">
            <v>77397340.32249999</v>
          </cell>
          <cell r="BE195">
            <v>78712087.619064987</v>
          </cell>
          <cell r="BF195">
            <v>1729927.0684083318</v>
          </cell>
          <cell r="BI195">
            <v>30947942.443999998</v>
          </cell>
          <cell r="BJ195">
            <v>75102159.578999996</v>
          </cell>
          <cell r="BK195">
            <v>172460787.91101599</v>
          </cell>
          <cell r="BL195">
            <v>2723378.5086250575</v>
          </cell>
          <cell r="BO195">
            <v>16307478.669</v>
          </cell>
          <cell r="BP195">
            <v>66030626.603</v>
          </cell>
          <cell r="BQ195">
            <v>96993460.041924998</v>
          </cell>
          <cell r="BR195">
            <v>1288454.9222205614</v>
          </cell>
          <cell r="BU195">
            <v>12065089.547</v>
          </cell>
          <cell r="BV195">
            <v>70380427.237499997</v>
          </cell>
          <cell r="BW195">
            <v>65179739.135425001</v>
          </cell>
          <cell r="BX195">
            <v>655340.54486373346</v>
          </cell>
          <cell r="CD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K196">
            <v>2541487.1437499998</v>
          </cell>
          <cell r="AL196">
            <v>156416.01799999998</v>
          </cell>
          <cell r="AM196">
            <v>9352672.0999999996</v>
          </cell>
          <cell r="AN196">
            <v>0</v>
          </cell>
          <cell r="AQ196">
            <v>130704783.84999999</v>
          </cell>
          <cell r="AR196">
            <v>261465281.79899999</v>
          </cell>
          <cell r="AS196">
            <v>594682496.62524998</v>
          </cell>
          <cell r="AT196">
            <v>0</v>
          </cell>
          <cell r="AW196">
            <v>55620662.984999999</v>
          </cell>
          <cell r="AX196">
            <v>192939416.4795</v>
          </cell>
          <cell r="AY196">
            <v>212468988.13699999</v>
          </cell>
          <cell r="AZ196">
            <v>12858205.089543059</v>
          </cell>
          <cell r="BC196">
            <v>59103532.778499998</v>
          </cell>
          <cell r="BD196">
            <v>186956657.51999998</v>
          </cell>
          <cell r="BE196">
            <v>216614447.63320249</v>
          </cell>
          <cell r="BF196">
            <v>4702255.9832958309</v>
          </cell>
          <cell r="BI196">
            <v>101669716.3855</v>
          </cell>
          <cell r="BJ196">
            <v>232611899.0415</v>
          </cell>
          <cell r="BK196">
            <v>356657365.08033395</v>
          </cell>
          <cell r="BL196">
            <v>6482404.8427821593</v>
          </cell>
          <cell r="BO196">
            <v>110767406.85149999</v>
          </cell>
          <cell r="BP196">
            <v>230771542.331</v>
          </cell>
          <cell r="BQ196">
            <v>402861058.71890545</v>
          </cell>
          <cell r="BR196">
            <v>5351580.5483482629</v>
          </cell>
          <cell r="BU196">
            <v>318591526.55799997</v>
          </cell>
          <cell r="BV196">
            <v>248453633.32299998</v>
          </cell>
          <cell r="BW196">
            <v>875745534.96878493</v>
          </cell>
          <cell r="BX196">
            <v>8805060.6470823735</v>
          </cell>
          <cell r="CD196">
            <v>0</v>
          </cell>
        </row>
        <row r="197">
          <cell r="G197">
            <v>18301131.169999998</v>
          </cell>
          <cell r="H197">
            <v>32892022.348999999</v>
          </cell>
          <cell r="I197">
            <v>58301605.968319997</v>
          </cell>
          <cell r="J197">
            <v>0</v>
          </cell>
          <cell r="M197">
            <v>12169144.348499998</v>
          </cell>
          <cell r="N197">
            <v>24563550.863499999</v>
          </cell>
          <cell r="O197">
            <v>45630417.743662998</v>
          </cell>
          <cell r="P197">
            <v>0</v>
          </cell>
          <cell r="S197">
            <v>14288665.854999999</v>
          </cell>
          <cell r="T197">
            <v>32133412.141999997</v>
          </cell>
          <cell r="U197">
            <v>52576844.098999999</v>
          </cell>
          <cell r="V197">
            <v>0</v>
          </cell>
          <cell r="Y197">
            <v>17292088.765000001</v>
          </cell>
          <cell r="Z197">
            <v>35435926.306999996</v>
          </cell>
          <cell r="AA197">
            <v>68538849.629575834</v>
          </cell>
          <cell r="AB197">
            <v>0</v>
          </cell>
          <cell r="AE197">
            <v>14705312.3805</v>
          </cell>
          <cell r="AF197">
            <v>27046341.919050001</v>
          </cell>
          <cell r="AG197">
            <v>59091420.575797394</v>
          </cell>
          <cell r="AH197">
            <v>0</v>
          </cell>
          <cell r="AK197">
            <v>10845138.022</v>
          </cell>
          <cell r="AL197">
            <v>22732173.458000001</v>
          </cell>
          <cell r="AM197">
            <v>45219651.283500001</v>
          </cell>
          <cell r="AN197">
            <v>0</v>
          </cell>
          <cell r="AQ197">
            <v>11062415.115499999</v>
          </cell>
          <cell r="AR197">
            <v>22885849.7425</v>
          </cell>
          <cell r="AS197">
            <v>48343556.066912085</v>
          </cell>
          <cell r="AT197">
            <v>0</v>
          </cell>
          <cell r="AW197">
            <v>5260576.341</v>
          </cell>
          <cell r="AX197">
            <v>20207371.947999999</v>
          </cell>
          <cell r="AY197">
            <v>22793681.50288</v>
          </cell>
          <cell r="AZ197">
            <v>0</v>
          </cell>
          <cell r="BC197">
            <v>3132499.3149999999</v>
          </cell>
          <cell r="BD197">
            <v>12889197.731999999</v>
          </cell>
          <cell r="BE197">
            <v>35835057.642315</v>
          </cell>
          <cell r="BF197">
            <v>0</v>
          </cell>
          <cell r="BI197">
            <v>5191221.8854999999</v>
          </cell>
          <cell r="BJ197">
            <v>12443589.782</v>
          </cell>
          <cell r="BK197">
            <v>20373491.055398859</v>
          </cell>
          <cell r="BL197">
            <v>0</v>
          </cell>
          <cell r="BO197">
            <v>5284226.1634999998</v>
          </cell>
          <cell r="BP197">
            <v>16314335.807</v>
          </cell>
          <cell r="BQ197">
            <v>19313984.760166999</v>
          </cell>
          <cell r="BR197">
            <v>0</v>
          </cell>
          <cell r="BU197">
            <v>7064083.1499999994</v>
          </cell>
          <cell r="BV197">
            <v>11482934.021499999</v>
          </cell>
          <cell r="BW197">
            <v>29752040.466349997</v>
          </cell>
          <cell r="BX197">
            <v>0</v>
          </cell>
          <cell r="CD197">
            <v>0</v>
          </cell>
        </row>
        <row r="198">
          <cell r="G198">
            <v>21880473.273499999</v>
          </cell>
          <cell r="H198">
            <v>38214849.216499999</v>
          </cell>
          <cell r="I198">
            <v>76603537.070999995</v>
          </cell>
          <cell r="J198">
            <v>0</v>
          </cell>
          <cell r="M198">
            <v>14769582.882499998</v>
          </cell>
          <cell r="N198">
            <v>32456442.713</v>
          </cell>
          <cell r="O198">
            <v>50895982.403999999</v>
          </cell>
          <cell r="P198">
            <v>0</v>
          </cell>
          <cell r="S198">
            <v>20443715.265999999</v>
          </cell>
          <cell r="T198">
            <v>42190668.422527499</v>
          </cell>
          <cell r="U198">
            <v>82326841.236000001</v>
          </cell>
          <cell r="V198">
            <v>0</v>
          </cell>
          <cell r="Y198">
            <v>15869255.601</v>
          </cell>
          <cell r="Z198">
            <v>25349692.403696857</v>
          </cell>
          <cell r="AA198">
            <v>54352200.241999999</v>
          </cell>
          <cell r="AB198">
            <v>0</v>
          </cell>
          <cell r="AE198">
            <v>14033855.619999999</v>
          </cell>
          <cell r="AF198">
            <v>20144583.958999999</v>
          </cell>
          <cell r="AG198">
            <v>47350228.861879997</v>
          </cell>
          <cell r="AH198">
            <v>0</v>
          </cell>
          <cell r="AK198">
            <v>25290851.302999999</v>
          </cell>
          <cell r="AL198">
            <v>30912581.904785719</v>
          </cell>
          <cell r="AM198">
            <v>84623188.459838003</v>
          </cell>
          <cell r="AN198">
            <v>0</v>
          </cell>
          <cell r="AQ198">
            <v>29595057.741999999</v>
          </cell>
          <cell r="AR198">
            <v>43005635.666246869</v>
          </cell>
          <cell r="AS198">
            <v>102339709.48099999</v>
          </cell>
          <cell r="AT198">
            <v>0</v>
          </cell>
          <cell r="AW198">
            <v>16548802.570999999</v>
          </cell>
          <cell r="AX198">
            <v>26259825.805</v>
          </cell>
          <cell r="AY198">
            <v>56596904.568999998</v>
          </cell>
          <cell r="AZ198">
            <v>0</v>
          </cell>
          <cell r="BC198">
            <v>11501120.5745</v>
          </cell>
          <cell r="BD198">
            <v>26832229.858944222</v>
          </cell>
          <cell r="BE198">
            <v>40794474.677751504</v>
          </cell>
          <cell r="BF198">
            <v>0</v>
          </cell>
          <cell r="BI198">
            <v>17282442.4175</v>
          </cell>
          <cell r="BJ198">
            <v>25333151.780139998</v>
          </cell>
          <cell r="BK198">
            <v>61007021.73377499</v>
          </cell>
          <cell r="BL198">
            <v>0</v>
          </cell>
          <cell r="BO198">
            <v>15710459.433999998</v>
          </cell>
          <cell r="BP198">
            <v>32220497.264500007</v>
          </cell>
          <cell r="BQ198">
            <v>54578136.073716</v>
          </cell>
          <cell r="BR198">
            <v>0</v>
          </cell>
          <cell r="BU198">
            <v>19946455.844499998</v>
          </cell>
          <cell r="BV198">
            <v>35179108.465500005</v>
          </cell>
          <cell r="BW198">
            <v>74101083.462317497</v>
          </cell>
          <cell r="BX198">
            <v>0</v>
          </cell>
          <cell r="CD198">
            <v>0</v>
          </cell>
        </row>
        <row r="201">
          <cell r="G201">
            <v>111158232.79499999</v>
          </cell>
          <cell r="H201">
            <v>274109621.65845001</v>
          </cell>
          <cell r="I201">
            <v>306813104.78349996</v>
          </cell>
          <cell r="J201">
            <v>0</v>
          </cell>
          <cell r="M201">
            <v>104873555.675</v>
          </cell>
          <cell r="N201">
            <v>279859353.92949998</v>
          </cell>
          <cell r="O201">
            <v>311973297.26550001</v>
          </cell>
          <cell r="P201">
            <v>0</v>
          </cell>
          <cell r="S201">
            <v>111039208.41125</v>
          </cell>
          <cell r="T201">
            <v>273648672.87095946</v>
          </cell>
          <cell r="U201">
            <v>285611952.30399996</v>
          </cell>
          <cell r="V201">
            <v>0</v>
          </cell>
          <cell r="Y201">
            <v>113221221.49249999</v>
          </cell>
          <cell r="Z201">
            <v>280875972.99666697</v>
          </cell>
          <cell r="AA201">
            <v>324669158.6925</v>
          </cell>
          <cell r="AB201">
            <v>0</v>
          </cell>
          <cell r="AE201">
            <v>111956899.86125</v>
          </cell>
          <cell r="AF201">
            <v>279855313.38949996</v>
          </cell>
          <cell r="AG201">
            <v>371474265.15649998</v>
          </cell>
          <cell r="AH201">
            <v>0</v>
          </cell>
          <cell r="AK201">
            <v>104945038.1875</v>
          </cell>
          <cell r="AL201">
            <v>270829989.52499998</v>
          </cell>
          <cell r="AM201">
            <v>347547352.02399999</v>
          </cell>
          <cell r="AN201">
            <v>0</v>
          </cell>
          <cell r="AQ201">
            <v>105405437.39999999</v>
          </cell>
          <cell r="AR201">
            <v>263448598.23349997</v>
          </cell>
          <cell r="AS201">
            <v>319110309.21749997</v>
          </cell>
          <cell r="AT201">
            <v>0</v>
          </cell>
          <cell r="AW201">
            <v>89184813.259999901</v>
          </cell>
          <cell r="AX201">
            <v>220327650.13252199</v>
          </cell>
          <cell r="AY201">
            <v>242715302.00099999</v>
          </cell>
          <cell r="AZ201">
            <v>0</v>
          </cell>
          <cell r="BC201">
            <v>70803530.233749866</v>
          </cell>
          <cell r="BD201">
            <v>161149107.36793649</v>
          </cell>
          <cell r="BE201">
            <v>179541415.51499999</v>
          </cell>
          <cell r="BF201">
            <v>4888.4054999999998</v>
          </cell>
          <cell r="BI201">
            <v>117710735.5775</v>
          </cell>
          <cell r="BJ201">
            <v>286459270.03399998</v>
          </cell>
          <cell r="BK201">
            <v>302505588.75349998</v>
          </cell>
          <cell r="BL201">
            <v>0</v>
          </cell>
          <cell r="BO201">
            <v>111958132.34375</v>
          </cell>
          <cell r="BP201">
            <v>270278027.023</v>
          </cell>
          <cell r="BQ201">
            <v>281109904.59349996</v>
          </cell>
          <cell r="BR201">
            <v>0</v>
          </cell>
          <cell r="BU201">
            <v>107855523.52374999</v>
          </cell>
          <cell r="BV201">
            <v>423090272.96649998</v>
          </cell>
          <cell r="BW201">
            <v>264756263.933</v>
          </cell>
          <cell r="BX201">
            <v>70803.395499999999</v>
          </cell>
          <cell r="CD201">
            <v>0</v>
          </cell>
        </row>
        <row r="202">
          <cell r="G202">
            <v>54838119.941</v>
          </cell>
          <cell r="H202">
            <v>76838009.157368451</v>
          </cell>
          <cell r="I202">
            <v>150658785.81112701</v>
          </cell>
          <cell r="J202">
            <v>0</v>
          </cell>
          <cell r="M202">
            <v>57224821.566</v>
          </cell>
          <cell r="N202">
            <v>79465839.310549095</v>
          </cell>
          <cell r="O202">
            <v>156222651.067</v>
          </cell>
          <cell r="P202">
            <v>0</v>
          </cell>
          <cell r="S202">
            <v>55122502.982499994</v>
          </cell>
          <cell r="T202">
            <v>76877681.230999991</v>
          </cell>
          <cell r="U202">
            <v>141456419.0246425</v>
          </cell>
          <cell r="V202">
            <v>0</v>
          </cell>
          <cell r="Y202">
            <v>57572061.214999996</v>
          </cell>
          <cell r="Z202">
            <v>79648131.081</v>
          </cell>
          <cell r="AA202">
            <v>176572480.91689</v>
          </cell>
          <cell r="AB202">
            <v>0</v>
          </cell>
          <cell r="AE202">
            <v>54992021.8125</v>
          </cell>
          <cell r="AF202">
            <v>79036867.175499991</v>
          </cell>
          <cell r="AG202">
            <v>137376311.7525</v>
          </cell>
          <cell r="AH202">
            <v>0</v>
          </cell>
          <cell r="AK202">
            <v>53161903.983499996</v>
          </cell>
          <cell r="AL202">
            <v>76530770.832999989</v>
          </cell>
          <cell r="AM202">
            <v>133194318.38304198</v>
          </cell>
          <cell r="AN202">
            <v>0</v>
          </cell>
          <cell r="AQ202">
            <v>50051586.408500001</v>
          </cell>
          <cell r="AR202">
            <v>77851333.276500002</v>
          </cell>
          <cell r="AS202">
            <v>122976747.51118448</v>
          </cell>
          <cell r="AT202">
            <v>0</v>
          </cell>
          <cell r="AW202">
            <v>43175144.522500001</v>
          </cell>
          <cell r="AX202">
            <v>74026479.480999991</v>
          </cell>
          <cell r="AY202">
            <v>129046299.50337249</v>
          </cell>
          <cell r="AZ202">
            <v>0</v>
          </cell>
          <cell r="BC202">
            <v>34476775.736000001</v>
          </cell>
          <cell r="BD202">
            <v>74050117.229000002</v>
          </cell>
          <cell r="BE202">
            <v>114992172.30423999</v>
          </cell>
          <cell r="BF202">
            <v>0</v>
          </cell>
          <cell r="BI202">
            <v>54615862.852499999</v>
          </cell>
          <cell r="BJ202">
            <v>79390551.368000001</v>
          </cell>
          <cell r="BK202">
            <v>155122633.31919217</v>
          </cell>
          <cell r="BL202">
            <v>0</v>
          </cell>
          <cell r="BO202">
            <v>50576213.714999996</v>
          </cell>
          <cell r="BP202">
            <v>74457422.950749993</v>
          </cell>
          <cell r="BQ202">
            <v>140559873.50954998</v>
          </cell>
          <cell r="BR202">
            <v>0</v>
          </cell>
          <cell r="BU202">
            <v>51566845.452500001</v>
          </cell>
          <cell r="BV202">
            <v>79317165.207499996</v>
          </cell>
          <cell r="BW202">
            <v>173171873.50799999</v>
          </cell>
          <cell r="BX202">
            <v>0</v>
          </cell>
          <cell r="CD202">
            <v>0</v>
          </cell>
        </row>
        <row r="204">
          <cell r="G204">
            <v>456669874.33124995</v>
          </cell>
          <cell r="I204">
            <v>1986217853.237761</v>
          </cell>
          <cell r="M204">
            <v>83584363.451250002</v>
          </cell>
          <cell r="O204">
            <v>460523709.51994032</v>
          </cell>
          <cell r="S204">
            <v>177611527.565</v>
          </cell>
          <cell r="U204">
            <v>1088197996.1188979</v>
          </cell>
          <cell r="Y204">
            <v>305735027.75</v>
          </cell>
          <cell r="AA204">
            <v>1368334726.1730556</v>
          </cell>
          <cell r="AE204">
            <v>510097749.21624994</v>
          </cell>
          <cell r="AG204">
            <v>3337312409.8768716</v>
          </cell>
          <cell r="AK204">
            <v>384833839.61374998</v>
          </cell>
          <cell r="AM204">
            <v>2032819093.710721</v>
          </cell>
          <cell r="AQ204">
            <v>477015660.83749998</v>
          </cell>
          <cell r="AS204">
            <v>4139197120.9361138</v>
          </cell>
          <cell r="AW204">
            <v>304465438.98624998</v>
          </cell>
          <cell r="AY204">
            <v>1483503697.2571535</v>
          </cell>
          <cell r="BC204">
            <v>360285414.41749996</v>
          </cell>
          <cell r="BE204">
            <v>1805287919.7855651</v>
          </cell>
          <cell r="BI204">
            <v>381980379.04874998</v>
          </cell>
          <cell r="BK204">
            <v>2243056857.2028065</v>
          </cell>
          <cell r="BO204">
            <v>580751470.98124993</v>
          </cell>
          <cell r="BQ204">
            <v>2408563585.9452257</v>
          </cell>
          <cell r="BU204">
            <v>775534216.4124999</v>
          </cell>
          <cell r="BW204">
            <v>2873081441.743072</v>
          </cell>
        </row>
        <row r="205">
          <cell r="G205">
            <v>298230312.86774993</v>
          </cell>
          <cell r="I205">
            <v>1367612925.8016949</v>
          </cell>
          <cell r="M205">
            <v>308965013.42275</v>
          </cell>
          <cell r="O205">
            <v>1395414096.3867998</v>
          </cell>
          <cell r="S205">
            <v>282549757.35125005</v>
          </cell>
          <cell r="U205">
            <v>1834595669.3972702</v>
          </cell>
          <cell r="Y205">
            <v>227949534.86474997</v>
          </cell>
          <cell r="AA205">
            <v>960909754.5252372</v>
          </cell>
          <cell r="AE205">
            <v>252613474.27224994</v>
          </cell>
          <cell r="AG205">
            <v>1105786008.7496123</v>
          </cell>
          <cell r="AK205">
            <v>237127581.5597775</v>
          </cell>
          <cell r="AM205">
            <v>1000866667.897045</v>
          </cell>
          <cell r="AQ205">
            <v>285268025.65799999</v>
          </cell>
          <cell r="AS205">
            <v>1281552796.7901094</v>
          </cell>
          <cell r="AW205">
            <v>235109826.56999999</v>
          </cell>
          <cell r="AY205">
            <v>1103335527.5871177</v>
          </cell>
          <cell r="BC205">
            <v>256290855.55925003</v>
          </cell>
          <cell r="BE205">
            <v>1154031765.9134302</v>
          </cell>
          <cell r="BI205">
            <v>258896555.92949998</v>
          </cell>
          <cell r="BK205">
            <v>1169913760.0846698</v>
          </cell>
          <cell r="BO205">
            <v>282523573.72674996</v>
          </cell>
          <cell r="BQ205">
            <v>1346863322.1540151</v>
          </cell>
          <cell r="BU205">
            <v>312912796.57949996</v>
          </cell>
          <cell r="BW205">
            <v>1442407442.25477</v>
          </cell>
          <cell r="CC205">
            <v>1356347</v>
          </cell>
        </row>
        <row r="207">
          <cell r="G207">
            <v>7538575.3654999994</v>
          </cell>
          <cell r="H207">
            <v>0</v>
          </cell>
          <cell r="I207">
            <v>43568341.641585</v>
          </cell>
          <cell r="M207">
            <v>6827856.4539999999</v>
          </cell>
          <cell r="N207">
            <v>0</v>
          </cell>
          <cell r="O207">
            <v>37110404.137280002</v>
          </cell>
          <cell r="S207">
            <v>6745873.8384999996</v>
          </cell>
          <cell r="T207">
            <v>0</v>
          </cell>
          <cell r="U207">
            <v>40251516.670220003</v>
          </cell>
          <cell r="Y207">
            <v>6025289.1769999992</v>
          </cell>
          <cell r="Z207">
            <v>0</v>
          </cell>
          <cell r="AA207">
            <v>36045747.462889999</v>
          </cell>
          <cell r="AE207">
            <v>6491551.2955</v>
          </cell>
          <cell r="AF207">
            <v>0</v>
          </cell>
          <cell r="AG207">
            <v>47799804.754685</v>
          </cell>
          <cell r="AK207">
            <v>7108328.8300000001</v>
          </cell>
          <cell r="AL207">
            <v>0</v>
          </cell>
          <cell r="AM207">
            <v>40438884.002099998</v>
          </cell>
          <cell r="AQ207">
            <v>7804550.6844999995</v>
          </cell>
          <cell r="AR207">
            <v>0</v>
          </cell>
          <cell r="AS207">
            <v>36196528.650414996</v>
          </cell>
          <cell r="AW207">
            <v>6823941.6654999992</v>
          </cell>
          <cell r="AX207">
            <v>0</v>
          </cell>
          <cell r="AY207">
            <v>33902649.614584997</v>
          </cell>
          <cell r="BC207">
            <v>6258638.9024999999</v>
          </cell>
          <cell r="BD207">
            <v>0</v>
          </cell>
          <cell r="BE207">
            <v>38409978.187174998</v>
          </cell>
          <cell r="BI207">
            <v>7788020.3994999994</v>
          </cell>
          <cell r="BJ207">
            <v>0</v>
          </cell>
          <cell r="BK207">
            <v>43489835.256964996</v>
          </cell>
          <cell r="BO207">
            <v>9916520.6219999995</v>
          </cell>
          <cell r="BP207">
            <v>0</v>
          </cell>
          <cell r="BQ207">
            <v>53957083.241052635</v>
          </cell>
          <cell r="BU207">
            <v>11756060.3895</v>
          </cell>
          <cell r="BV207">
            <v>0</v>
          </cell>
          <cell r="BW207">
            <v>61873909.819265001</v>
          </cell>
          <cell r="CC207">
            <v>-10924.771999999999</v>
          </cell>
        </row>
        <row r="208">
          <cell r="G208">
            <v>34350548.940388493</v>
          </cell>
          <cell r="H208">
            <v>0</v>
          </cell>
          <cell r="I208">
            <v>152109318.324</v>
          </cell>
          <cell r="M208">
            <v>34283612.978671998</v>
          </cell>
          <cell r="N208">
            <v>0</v>
          </cell>
          <cell r="O208">
            <v>130245667.77399999</v>
          </cell>
          <cell r="S208">
            <v>48538295.907636493</v>
          </cell>
          <cell r="T208">
            <v>0</v>
          </cell>
          <cell r="U208">
            <v>232375471.49649999</v>
          </cell>
          <cell r="Y208">
            <v>40906325.265615992</v>
          </cell>
          <cell r="Z208">
            <v>0</v>
          </cell>
          <cell r="AA208">
            <v>188784689.51573727</v>
          </cell>
          <cell r="AE208">
            <v>44750798.137213491</v>
          </cell>
          <cell r="AF208">
            <v>0</v>
          </cell>
          <cell r="AG208">
            <v>200841400.30105409</v>
          </cell>
          <cell r="AK208">
            <v>65955650.3318635</v>
          </cell>
          <cell r="AL208">
            <v>0</v>
          </cell>
          <cell r="AM208">
            <v>280031495.53395963</v>
          </cell>
          <cell r="AQ208">
            <v>60769732.266200997</v>
          </cell>
          <cell r="AR208">
            <v>0</v>
          </cell>
          <cell r="AS208">
            <v>235375086.227</v>
          </cell>
          <cell r="AW208">
            <v>60921758.737552002</v>
          </cell>
          <cell r="AX208">
            <v>0</v>
          </cell>
          <cell r="AY208">
            <v>254187318.9075</v>
          </cell>
          <cell r="BC208">
            <v>48325490.308061004</v>
          </cell>
          <cell r="BD208">
            <v>0</v>
          </cell>
          <cell r="BE208">
            <v>192893167.02149999</v>
          </cell>
          <cell r="BI208">
            <v>41847103.339261003</v>
          </cell>
          <cell r="BJ208">
            <v>0</v>
          </cell>
          <cell r="BK208">
            <v>173714113.0925</v>
          </cell>
          <cell r="BO208">
            <v>40465329.017456494</v>
          </cell>
          <cell r="BP208">
            <v>0</v>
          </cell>
          <cell r="BQ208">
            <v>173595087.9725</v>
          </cell>
          <cell r="BU208">
            <v>37715384.018860996</v>
          </cell>
          <cell r="BV208">
            <v>0</v>
          </cell>
          <cell r="BW208">
            <v>166027975.55699998</v>
          </cell>
          <cell r="CC208">
            <v>0</v>
          </cell>
        </row>
        <row r="209">
          <cell r="G209">
            <v>75849196.524999991</v>
          </cell>
          <cell r="H209">
            <v>93879237.5</v>
          </cell>
          <cell r="I209">
            <v>301217441.33599997</v>
          </cell>
          <cell r="M209">
            <v>72949902.924999997</v>
          </cell>
          <cell r="N209">
            <v>93879237.5</v>
          </cell>
          <cell r="O209">
            <v>277919764.56049997</v>
          </cell>
          <cell r="S209">
            <v>79344381.424999997</v>
          </cell>
          <cell r="T209">
            <v>93879237.5</v>
          </cell>
          <cell r="U209">
            <v>334583109.49017316</v>
          </cell>
          <cell r="Y209">
            <v>76538002.575000003</v>
          </cell>
          <cell r="Z209">
            <v>93879237.5</v>
          </cell>
          <cell r="AA209">
            <v>319937968.33464503</v>
          </cell>
          <cell r="AE209">
            <v>74318194.099999994</v>
          </cell>
          <cell r="AF209">
            <v>93879237.5</v>
          </cell>
          <cell r="AG209">
            <v>326572255.69654942</v>
          </cell>
          <cell r="AK209">
            <v>77829929.899999991</v>
          </cell>
          <cell r="AL209">
            <v>93879237.5</v>
          </cell>
          <cell r="AM209">
            <v>310970986.83599997</v>
          </cell>
          <cell r="AQ209">
            <v>79048924.299999997</v>
          </cell>
          <cell r="AR209">
            <v>93879237.5</v>
          </cell>
          <cell r="AS209">
            <v>218175031.06800047</v>
          </cell>
          <cell r="AW209">
            <v>77121907.724999994</v>
          </cell>
          <cell r="AX209">
            <v>93879237.5</v>
          </cell>
          <cell r="AY209">
            <v>427205456.20588326</v>
          </cell>
          <cell r="BC209">
            <v>76552256.375</v>
          </cell>
          <cell r="BD209">
            <v>93879237.5</v>
          </cell>
          <cell r="BE209">
            <v>327604000.20949996</v>
          </cell>
          <cell r="BI209">
            <v>77529260.125</v>
          </cell>
          <cell r="BJ209">
            <v>93879237.5</v>
          </cell>
          <cell r="BK209">
            <v>333359839.55649996</v>
          </cell>
          <cell r="BO209">
            <v>70902038.274999991</v>
          </cell>
          <cell r="BP209">
            <v>93879237.5</v>
          </cell>
          <cell r="BQ209">
            <v>298974737.54749995</v>
          </cell>
          <cell r="BU209">
            <v>75401747.950000003</v>
          </cell>
          <cell r="BV209">
            <v>93879237.5</v>
          </cell>
          <cell r="BW209">
            <v>320654230.17949998</v>
          </cell>
          <cell r="CC209">
            <v>0</v>
          </cell>
        </row>
        <row r="210">
          <cell r="G210">
            <v>86561707.649999991</v>
          </cell>
          <cell r="H210">
            <v>146729716.56849998</v>
          </cell>
          <cell r="I210">
            <v>339944768.55599999</v>
          </cell>
          <cell r="M210">
            <v>90136289.75</v>
          </cell>
          <cell r="N210">
            <v>146729716.56849998</v>
          </cell>
          <cell r="O210">
            <v>330773677.79350001</v>
          </cell>
          <cell r="S210">
            <v>83846506</v>
          </cell>
          <cell r="T210">
            <v>146729716.56849998</v>
          </cell>
          <cell r="U210">
            <v>352841692.10244972</v>
          </cell>
          <cell r="Y210">
            <v>89205817</v>
          </cell>
          <cell r="Z210">
            <v>146729716.56849998</v>
          </cell>
          <cell r="AA210">
            <v>373179630.07008356</v>
          </cell>
          <cell r="AE210">
            <v>76054094.899999991</v>
          </cell>
          <cell r="AF210">
            <v>146729716.56849998</v>
          </cell>
          <cell r="AG210">
            <v>311426090.66644347</v>
          </cell>
          <cell r="AK210">
            <v>74893706</v>
          </cell>
          <cell r="AL210">
            <v>146729716.56849998</v>
          </cell>
          <cell r="AM210">
            <v>296519379.43199998</v>
          </cell>
          <cell r="AQ210">
            <v>90708797.75</v>
          </cell>
          <cell r="AR210">
            <v>146729716.56849998</v>
          </cell>
          <cell r="AS210">
            <v>247635017.85750076</v>
          </cell>
          <cell r="AW210">
            <v>45840426.949999996</v>
          </cell>
          <cell r="AX210">
            <v>146729716.56849998</v>
          </cell>
          <cell r="AY210">
            <v>279007382.08509099</v>
          </cell>
          <cell r="BC210">
            <v>62321353.75</v>
          </cell>
          <cell r="BD210">
            <v>146729716.56849998</v>
          </cell>
          <cell r="BE210">
            <v>257691420.08949998</v>
          </cell>
          <cell r="BI210">
            <v>81526876.75</v>
          </cell>
          <cell r="BJ210">
            <v>146729716.56849998</v>
          </cell>
          <cell r="BK210">
            <v>323429818.75999999</v>
          </cell>
          <cell r="BO210">
            <v>78582406.849999994</v>
          </cell>
          <cell r="BP210">
            <v>146729716.56849998</v>
          </cell>
          <cell r="BQ210">
            <v>293993299.792</v>
          </cell>
          <cell r="BU210">
            <v>75073409.899999991</v>
          </cell>
          <cell r="BV210">
            <v>146729716.56849998</v>
          </cell>
          <cell r="BW210">
            <v>303363403.347</v>
          </cell>
        </row>
        <row r="211">
          <cell r="G211">
            <v>146998901.05399999</v>
          </cell>
          <cell r="H211">
            <v>330186037.5</v>
          </cell>
          <cell r="I211">
            <v>493167112.523</v>
          </cell>
          <cell r="M211">
            <v>153371797.41599998</v>
          </cell>
          <cell r="N211">
            <v>330186037.5</v>
          </cell>
          <cell r="O211">
            <v>521015766.71149999</v>
          </cell>
          <cell r="S211">
            <v>157269353.54299998</v>
          </cell>
          <cell r="T211">
            <v>330186037.5</v>
          </cell>
          <cell r="U211">
            <v>520095690.82914889</v>
          </cell>
          <cell r="Y211">
            <v>155829538.62549999</v>
          </cell>
          <cell r="Z211">
            <v>330186037.5</v>
          </cell>
          <cell r="AA211">
            <v>582155854.4581126</v>
          </cell>
          <cell r="AE211">
            <v>144138641.07299998</v>
          </cell>
          <cell r="AF211">
            <v>330186037.5</v>
          </cell>
          <cell r="AG211">
            <v>476001988.71214199</v>
          </cell>
          <cell r="AK211">
            <v>113900370.29849999</v>
          </cell>
          <cell r="AL211">
            <v>330186037.5</v>
          </cell>
          <cell r="AM211">
            <v>413920399.3725</v>
          </cell>
          <cell r="AQ211">
            <v>158994278.917</v>
          </cell>
          <cell r="AR211">
            <v>330186037.5</v>
          </cell>
          <cell r="AS211">
            <v>383017217.98350018</v>
          </cell>
          <cell r="AW211">
            <v>94316678.670499995</v>
          </cell>
          <cell r="AX211">
            <v>330186037.5</v>
          </cell>
          <cell r="AY211">
            <v>491529659.68312216</v>
          </cell>
          <cell r="BC211">
            <v>149268328.65599999</v>
          </cell>
          <cell r="BD211">
            <v>330186037.5</v>
          </cell>
          <cell r="BE211">
            <v>526693883.67999995</v>
          </cell>
          <cell r="BI211">
            <v>142924431.4145</v>
          </cell>
          <cell r="BJ211">
            <v>330186037.5</v>
          </cell>
          <cell r="BK211">
            <v>523458038.42499995</v>
          </cell>
          <cell r="BO211">
            <v>134647508.62</v>
          </cell>
          <cell r="BP211">
            <v>330186037.5</v>
          </cell>
          <cell r="BQ211">
            <v>480249600.38299996</v>
          </cell>
          <cell r="BU211">
            <v>143663860.83649999</v>
          </cell>
          <cell r="BV211">
            <v>330186037.5</v>
          </cell>
          <cell r="BW211">
            <v>519508486.2615</v>
          </cell>
        </row>
        <row r="212">
          <cell r="G212">
            <v>5782017.1574999997</v>
          </cell>
          <cell r="H212">
            <v>18690650.7115</v>
          </cell>
          <cell r="I212">
            <v>24192496.177499998</v>
          </cell>
          <cell r="M212">
            <v>7244289.1724999994</v>
          </cell>
          <cell r="N212">
            <v>25969517.717999998</v>
          </cell>
          <cell r="O212">
            <v>33549826.972999997</v>
          </cell>
          <cell r="S212">
            <v>6264344.8399999999</v>
          </cell>
          <cell r="T212">
            <v>20271336.759</v>
          </cell>
          <cell r="U212">
            <v>29347744.371675719</v>
          </cell>
          <cell r="Y212">
            <v>7247306.3249999993</v>
          </cell>
          <cell r="Z212">
            <v>22692485.459999997</v>
          </cell>
          <cell r="AA212">
            <v>35291927.25052464</v>
          </cell>
          <cell r="AE212">
            <v>7072844.5249999994</v>
          </cell>
          <cell r="AF212">
            <v>22118040.827999998</v>
          </cell>
          <cell r="AG212">
            <v>34433034.686090954</v>
          </cell>
          <cell r="AK212">
            <v>1021676.455</v>
          </cell>
          <cell r="AL212">
            <v>3604735.6604999998</v>
          </cell>
          <cell r="AM212">
            <v>4922785.1354999999</v>
          </cell>
          <cell r="AQ212">
            <v>507656.15499999997</v>
          </cell>
          <cell r="AR212">
            <v>1349366.3104999999</v>
          </cell>
          <cell r="AS212">
            <v>1543274.8289999999</v>
          </cell>
          <cell r="AW212">
            <v>5489353.3649999993</v>
          </cell>
          <cell r="AX212">
            <v>17711396.097999997</v>
          </cell>
          <cell r="AY212">
            <v>27291593.227020737</v>
          </cell>
          <cell r="BC212">
            <v>6768793.8899999997</v>
          </cell>
          <cell r="BD212">
            <v>21269867.869999997</v>
          </cell>
          <cell r="BE212">
            <v>32103391.400999997</v>
          </cell>
          <cell r="BI212">
            <v>7286357.0249999994</v>
          </cell>
          <cell r="BJ212">
            <v>22858264.810999997</v>
          </cell>
          <cell r="BK212">
            <v>34302225.585999995</v>
          </cell>
          <cell r="BO212">
            <v>5928017.0049999999</v>
          </cell>
          <cell r="BP212">
            <v>19731590.411499999</v>
          </cell>
          <cell r="BQ212">
            <v>27919174.274999999</v>
          </cell>
          <cell r="BU212">
            <v>3899954.5349999997</v>
          </cell>
          <cell r="BV212">
            <v>11739486.5185</v>
          </cell>
          <cell r="BW212">
            <v>18944919.360999998</v>
          </cell>
        </row>
        <row r="213">
          <cell r="G213">
            <v>75057604.673999995</v>
          </cell>
          <cell r="H213">
            <v>103043095.93149999</v>
          </cell>
          <cell r="I213">
            <v>276329843.87650001</v>
          </cell>
          <cell r="M213">
            <v>86009459.482999995</v>
          </cell>
          <cell r="N213">
            <v>103043095.93149999</v>
          </cell>
          <cell r="O213">
            <v>293283116.57599998</v>
          </cell>
          <cell r="S213">
            <v>90946900.11649999</v>
          </cell>
          <cell r="T213">
            <v>103043095.93149999</v>
          </cell>
          <cell r="U213">
            <v>296459507.39725578</v>
          </cell>
          <cell r="Y213">
            <v>89918899.273999989</v>
          </cell>
          <cell r="Z213">
            <v>103043095.93149999</v>
          </cell>
          <cell r="AA213">
            <v>308467654.86327749</v>
          </cell>
          <cell r="AE213">
            <v>85733410.202500001</v>
          </cell>
          <cell r="AF213">
            <v>103043095.93149999</v>
          </cell>
          <cell r="AG213">
            <v>293647046.64324164</v>
          </cell>
          <cell r="AK213">
            <v>81771655.725999996</v>
          </cell>
          <cell r="AL213">
            <v>103043095.93149999</v>
          </cell>
          <cell r="AM213">
            <v>296129492.64899999</v>
          </cell>
          <cell r="AQ213">
            <v>83475446.012999997</v>
          </cell>
          <cell r="AR213">
            <v>103043095.93149999</v>
          </cell>
          <cell r="AS213">
            <v>252095847.05350003</v>
          </cell>
          <cell r="AW213">
            <v>88175810.90699999</v>
          </cell>
          <cell r="AX213">
            <v>103043095.93149999</v>
          </cell>
          <cell r="AY213">
            <v>358540589.72830015</v>
          </cell>
          <cell r="BC213">
            <v>88605842.163000003</v>
          </cell>
          <cell r="BD213">
            <v>103043095.93149999</v>
          </cell>
          <cell r="BE213">
            <v>319702028.33599997</v>
          </cell>
          <cell r="BI213">
            <v>93745477.07249999</v>
          </cell>
          <cell r="BJ213">
            <v>103043095.93149999</v>
          </cell>
          <cell r="BK213">
            <v>321836341.10499996</v>
          </cell>
          <cell r="BO213">
            <v>84851383.585999995</v>
          </cell>
          <cell r="BP213">
            <v>103043095.93149999</v>
          </cell>
          <cell r="BQ213">
            <v>297963624.8075</v>
          </cell>
          <cell r="BU213">
            <v>88734428.225500003</v>
          </cell>
          <cell r="BV213">
            <v>103043095.93149999</v>
          </cell>
          <cell r="BW213">
            <v>324744485.31349999</v>
          </cell>
        </row>
        <row r="214">
          <cell r="G214">
            <v>109751267.29099999</v>
          </cell>
          <cell r="H214">
            <v>183866166.56849998</v>
          </cell>
          <cell r="I214">
            <v>393003775.41749996</v>
          </cell>
          <cell r="M214">
            <v>103502258.5385</v>
          </cell>
          <cell r="N214">
            <v>183866166.56849998</v>
          </cell>
          <cell r="O214">
            <v>344030828.83199996</v>
          </cell>
          <cell r="S214">
            <v>106095567.522</v>
          </cell>
          <cell r="T214">
            <v>183866166.56849998</v>
          </cell>
          <cell r="U214">
            <v>337208894.10623235</v>
          </cell>
          <cell r="Y214">
            <v>80543452.31099999</v>
          </cell>
          <cell r="Z214">
            <v>183866166.56849998</v>
          </cell>
          <cell r="AA214">
            <v>270299281.68350375</v>
          </cell>
          <cell r="AE214">
            <v>112108839.03749999</v>
          </cell>
          <cell r="AF214">
            <v>183866166.56849998</v>
          </cell>
          <cell r="AG214">
            <v>374021004.91833425</v>
          </cell>
          <cell r="AK214">
            <v>97593825.488999993</v>
          </cell>
          <cell r="AL214">
            <v>183866166.56849998</v>
          </cell>
          <cell r="AM214">
            <v>345008294.06349999</v>
          </cell>
          <cell r="AQ214">
            <v>103822983.17449999</v>
          </cell>
          <cell r="AR214">
            <v>183866166.56849998</v>
          </cell>
          <cell r="AS214">
            <v>301086651.23549968</v>
          </cell>
          <cell r="AW214">
            <v>100171003.52949999</v>
          </cell>
          <cell r="AX214">
            <v>183866166.56849998</v>
          </cell>
          <cell r="AY214">
            <v>406233778.13554889</v>
          </cell>
          <cell r="BC214">
            <v>103896089.8545</v>
          </cell>
          <cell r="BD214">
            <v>183866166.56849998</v>
          </cell>
          <cell r="BE214">
            <v>365417644.12449998</v>
          </cell>
          <cell r="BI214">
            <v>111955519.68699999</v>
          </cell>
          <cell r="BJ214">
            <v>183866166.56849998</v>
          </cell>
          <cell r="BK214">
            <v>374648974.86199999</v>
          </cell>
          <cell r="BO214">
            <v>101024213.0265</v>
          </cell>
          <cell r="BP214">
            <v>183866166.56849998</v>
          </cell>
          <cell r="BQ214">
            <v>345872648.61849999</v>
          </cell>
          <cell r="BU214">
            <v>112030695.2295</v>
          </cell>
          <cell r="BV214">
            <v>183866166.56849998</v>
          </cell>
          <cell r="BW214">
            <v>399453989.80949998</v>
          </cell>
        </row>
        <row r="215">
          <cell r="G215">
            <v>150845845</v>
          </cell>
          <cell r="H215">
            <v>297215679.91799998</v>
          </cell>
          <cell r="I215">
            <v>485709289.352</v>
          </cell>
          <cell r="M215">
            <v>159650511.5</v>
          </cell>
          <cell r="N215">
            <v>308612363.7245</v>
          </cell>
          <cell r="O215">
            <v>529124767.66749996</v>
          </cell>
          <cell r="S215">
            <v>150403800.5</v>
          </cell>
          <cell r="T215">
            <v>300331320.58050001</v>
          </cell>
          <cell r="U215">
            <v>498198787.55021203</v>
          </cell>
          <cell r="Y215">
            <v>118186089.5</v>
          </cell>
          <cell r="Z215">
            <v>223014248</v>
          </cell>
          <cell r="AA215">
            <v>394883047.83857882</v>
          </cell>
          <cell r="AE215">
            <v>124909230</v>
          </cell>
          <cell r="AF215">
            <v>236378704.82549998</v>
          </cell>
          <cell r="AG215">
            <v>426322469.67433894</v>
          </cell>
          <cell r="AK215">
            <v>137356861.5</v>
          </cell>
          <cell r="AL215">
            <v>268928946.083</v>
          </cell>
          <cell r="AM215">
            <v>464270973.66649997</v>
          </cell>
          <cell r="AQ215">
            <v>157867608.5</v>
          </cell>
          <cell r="AR215">
            <v>299675395.75</v>
          </cell>
          <cell r="AS215">
            <v>373041158.88549948</v>
          </cell>
          <cell r="AW215">
            <v>172402950.5</v>
          </cell>
          <cell r="AX215">
            <v>344524217.051</v>
          </cell>
          <cell r="AY215">
            <v>714686747.2792418</v>
          </cell>
          <cell r="BC215">
            <v>166420477.5</v>
          </cell>
          <cell r="BD215">
            <v>322468763.65749997</v>
          </cell>
          <cell r="BE215">
            <v>564351591.023</v>
          </cell>
          <cell r="BI215">
            <v>182174460.5</v>
          </cell>
          <cell r="BJ215">
            <v>354609052.37449998</v>
          </cell>
          <cell r="BK215">
            <v>586749110.2895</v>
          </cell>
          <cell r="BO215">
            <v>172979287</v>
          </cell>
          <cell r="BP215">
            <v>361414266.49049997</v>
          </cell>
          <cell r="BQ215">
            <v>555333546.31499994</v>
          </cell>
          <cell r="BU215">
            <v>169630527.5</v>
          </cell>
          <cell r="BV215">
            <v>323862602.70749998</v>
          </cell>
          <cell r="BW215">
            <v>575921187.55949998</v>
          </cell>
        </row>
        <row r="217">
          <cell r="J217">
            <v>286666300</v>
          </cell>
          <cell r="P217">
            <v>286666300</v>
          </cell>
          <cell r="V217">
            <v>286666300</v>
          </cell>
          <cell r="AB217">
            <v>286666300</v>
          </cell>
          <cell r="AH217">
            <v>286666300</v>
          </cell>
          <cell r="AN217">
            <v>286666300</v>
          </cell>
          <cell r="AT217">
            <v>286666300</v>
          </cell>
          <cell r="AZ217">
            <v>286666300</v>
          </cell>
          <cell r="BF217">
            <v>286666300</v>
          </cell>
          <cell r="BL217">
            <v>286666300</v>
          </cell>
          <cell r="BR217">
            <v>286666300</v>
          </cell>
          <cell r="BX217">
            <v>286666300</v>
          </cell>
          <cell r="CD217">
            <v>0</v>
          </cell>
        </row>
        <row r="218">
          <cell r="G218">
            <v>15247185.606999999</v>
          </cell>
          <cell r="H218">
            <v>304892168.75</v>
          </cell>
          <cell r="M218">
            <v>15052246.5152</v>
          </cell>
          <cell r="N218">
            <v>304892168.75</v>
          </cell>
          <cell r="S218">
            <v>16124947.42175</v>
          </cell>
          <cell r="T218">
            <v>304892168.75</v>
          </cell>
          <cell r="Y218">
            <v>33742132.645800002</v>
          </cell>
          <cell r="Z218">
            <v>304892168.75</v>
          </cell>
          <cell r="AE218">
            <v>84976902.548799992</v>
          </cell>
          <cell r="AF218">
            <v>304892168.75</v>
          </cell>
          <cell r="AK218">
            <v>43479076.385649994</v>
          </cell>
          <cell r="AL218">
            <v>304892168.75</v>
          </cell>
          <cell r="AQ218">
            <v>45450074.827550001</v>
          </cell>
          <cell r="AR218">
            <v>304892168.75</v>
          </cell>
          <cell r="AW218">
            <v>16575447.635199999</v>
          </cell>
          <cell r="AX218">
            <v>304892168.75</v>
          </cell>
          <cell r="BC218">
            <v>27336370.260499999</v>
          </cell>
          <cell r="BD218">
            <v>304892168.75</v>
          </cell>
          <cell r="BI218">
            <v>28370194.958300002</v>
          </cell>
          <cell r="BJ218">
            <v>304892168.75</v>
          </cell>
          <cell r="BO218">
            <v>13342600.773049999</v>
          </cell>
          <cell r="BP218">
            <v>304892168.75</v>
          </cell>
          <cell r="BU218">
            <v>7980954.2407999989</v>
          </cell>
          <cell r="BV218">
            <v>304892168.75</v>
          </cell>
        </row>
        <row r="219">
          <cell r="J219">
            <v>16766866.666666662</v>
          </cell>
          <cell r="P219">
            <v>16766866.666666662</v>
          </cell>
          <cell r="V219">
            <v>16766866.666666662</v>
          </cell>
          <cell r="AB219">
            <v>16766866.666666662</v>
          </cell>
          <cell r="AH219">
            <v>16766866.666666662</v>
          </cell>
          <cell r="AN219">
            <v>16766866.666666662</v>
          </cell>
          <cell r="AT219">
            <v>16766866.666666662</v>
          </cell>
          <cell r="AZ219">
            <v>16766866.666666662</v>
          </cell>
          <cell r="BF219">
            <v>16766866.666666662</v>
          </cell>
          <cell r="BL219">
            <v>16766866.666666662</v>
          </cell>
          <cell r="BR219">
            <v>16766866.666666662</v>
          </cell>
          <cell r="BX219">
            <v>16766866.666666662</v>
          </cell>
          <cell r="CD219">
            <v>0</v>
          </cell>
        </row>
        <row r="223">
          <cell r="G223">
            <v>222495633.5</v>
          </cell>
          <cell r="H223">
            <v>326330541.56849998</v>
          </cell>
          <cell r="I223">
            <v>757223352.60649991</v>
          </cell>
          <cell r="J223">
            <v>-191101050</v>
          </cell>
          <cell r="M223">
            <v>229052087</v>
          </cell>
          <cell r="N223">
            <v>326330541.56849998</v>
          </cell>
          <cell r="O223">
            <v>854395795.421</v>
          </cell>
          <cell r="P223">
            <v>97155550</v>
          </cell>
          <cell r="S223">
            <v>111463832.5</v>
          </cell>
          <cell r="T223">
            <v>326330541.56849998</v>
          </cell>
          <cell r="U223">
            <v>415504096.977</v>
          </cell>
          <cell r="V223">
            <v>0</v>
          </cell>
          <cell r="Y223">
            <v>200508852.5</v>
          </cell>
          <cell r="Z223">
            <v>327051454.00849998</v>
          </cell>
          <cell r="AA223">
            <v>740903889.25999999</v>
          </cell>
          <cell r="AB223">
            <v>-44872368.637499996</v>
          </cell>
          <cell r="AE223">
            <v>239982749</v>
          </cell>
          <cell r="AF223">
            <v>326464830.91799998</v>
          </cell>
          <cell r="AG223">
            <v>979683124.84149992</v>
          </cell>
          <cell r="AH223">
            <v>3058953.8299999996</v>
          </cell>
          <cell r="AK223">
            <v>219323574</v>
          </cell>
          <cell r="AL223">
            <v>326330541.56849998</v>
          </cell>
          <cell r="AM223">
            <v>812865774.13499999</v>
          </cell>
          <cell r="AN223">
            <v>40958213.607000001</v>
          </cell>
          <cell r="AQ223">
            <v>242928338</v>
          </cell>
          <cell r="AR223">
            <v>326330541.56849998</v>
          </cell>
          <cell r="AS223">
            <v>944485691.40799999</v>
          </cell>
          <cell r="AT223">
            <v>0</v>
          </cell>
          <cell r="AW223">
            <v>171254989.5</v>
          </cell>
          <cell r="AX223">
            <v>326330541.56849998</v>
          </cell>
          <cell r="AY223">
            <v>640693459.83749998</v>
          </cell>
          <cell r="AZ223">
            <v>0</v>
          </cell>
          <cell r="BC223">
            <v>161656351</v>
          </cell>
          <cell r="BD223">
            <v>314701754.65499997</v>
          </cell>
          <cell r="BE223">
            <v>626754312.47249997</v>
          </cell>
          <cell r="BF223">
            <v>0</v>
          </cell>
          <cell r="BI223">
            <v>232655294.5</v>
          </cell>
          <cell r="BJ223">
            <v>326330541.56849998</v>
          </cell>
          <cell r="BK223">
            <v>926518509.102</v>
          </cell>
          <cell r="BL223">
            <v>16890.164000000001</v>
          </cell>
          <cell r="BO223">
            <v>193373117.5</v>
          </cell>
          <cell r="BP223">
            <v>326330541.56849998</v>
          </cell>
          <cell r="BQ223">
            <v>732756781.18199992</v>
          </cell>
          <cell r="BR223">
            <v>11611897.044</v>
          </cell>
          <cell r="BU223">
            <v>215633783.5</v>
          </cell>
          <cell r="BV223">
            <v>326330541.56849998</v>
          </cell>
          <cell r="BW223">
            <v>821890182.98799992</v>
          </cell>
          <cell r="BX223">
            <v>0</v>
          </cell>
          <cell r="CC223">
            <v>0</v>
          </cell>
          <cell r="CD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CC224">
            <v>0</v>
          </cell>
          <cell r="CD224">
            <v>0</v>
          </cell>
        </row>
        <row r="227">
          <cell r="H227">
            <v>0</v>
          </cell>
          <cell r="I227">
            <v>36311667.998999998</v>
          </cell>
          <cell r="J227">
            <v>0</v>
          </cell>
          <cell r="N227">
            <v>0</v>
          </cell>
          <cell r="O227">
            <v>26854508.855642855</v>
          </cell>
          <cell r="P227">
            <v>0</v>
          </cell>
          <cell r="T227">
            <v>0</v>
          </cell>
          <cell r="U227">
            <v>23168617.914285712</v>
          </cell>
          <cell r="V227">
            <v>0</v>
          </cell>
          <cell r="Z227">
            <v>0</v>
          </cell>
          <cell r="AA227">
            <v>50248198.857714288</v>
          </cell>
          <cell r="AB227">
            <v>0</v>
          </cell>
          <cell r="AF227">
            <v>0</v>
          </cell>
          <cell r="AG227">
            <v>97610459.227642849</v>
          </cell>
          <cell r="AH227">
            <v>0</v>
          </cell>
          <cell r="AL227">
            <v>0</v>
          </cell>
          <cell r="AM227">
            <v>58077562.639714278</v>
          </cell>
          <cell r="AN227">
            <v>0</v>
          </cell>
          <cell r="AR227">
            <v>0</v>
          </cell>
          <cell r="AS227">
            <v>19773294.556499999</v>
          </cell>
          <cell r="AT227">
            <v>0</v>
          </cell>
          <cell r="AX227">
            <v>0</v>
          </cell>
          <cell r="AY227">
            <v>9845098.7764999997</v>
          </cell>
          <cell r="AZ227">
            <v>0</v>
          </cell>
          <cell r="BD227">
            <v>0</v>
          </cell>
          <cell r="BE227">
            <v>0</v>
          </cell>
          <cell r="BF227">
            <v>0</v>
          </cell>
          <cell r="BJ227">
            <v>0</v>
          </cell>
          <cell r="BK227">
            <v>19356855.0645</v>
          </cell>
          <cell r="BL227">
            <v>0</v>
          </cell>
          <cell r="BP227">
            <v>0</v>
          </cell>
          <cell r="BQ227">
            <v>0</v>
          </cell>
          <cell r="BR227">
            <v>0</v>
          </cell>
          <cell r="BV227">
            <v>0</v>
          </cell>
          <cell r="BW227">
            <v>107340.2435</v>
          </cell>
          <cell r="BX227">
            <v>0</v>
          </cell>
          <cell r="CC227">
            <v>-146552549.197</v>
          </cell>
          <cell r="CD227">
            <v>0</v>
          </cell>
        </row>
        <row r="228">
          <cell r="H228">
            <v>0</v>
          </cell>
          <cell r="I228">
            <v>0</v>
          </cell>
          <cell r="J228">
            <v>3765347.7144999998</v>
          </cell>
          <cell r="N228">
            <v>0</v>
          </cell>
          <cell r="O228">
            <v>0</v>
          </cell>
          <cell r="P228">
            <v>10488466.379428571</v>
          </cell>
          <cell r="T228">
            <v>0</v>
          </cell>
          <cell r="U228">
            <v>0</v>
          </cell>
          <cell r="V228">
            <v>15733650.257214284</v>
          </cell>
          <cell r="Z228">
            <v>0</v>
          </cell>
          <cell r="AA228">
            <v>0</v>
          </cell>
          <cell r="AB228">
            <v>5259752.330000001</v>
          </cell>
          <cell r="AF228">
            <v>0</v>
          </cell>
          <cell r="AG228">
            <v>0</v>
          </cell>
          <cell r="AH228">
            <v>2498570.563285714</v>
          </cell>
          <cell r="AL228">
            <v>0</v>
          </cell>
          <cell r="AM228">
            <v>0</v>
          </cell>
          <cell r="AN228">
            <v>2713789.5225</v>
          </cell>
          <cell r="AR228">
            <v>0</v>
          </cell>
          <cell r="AS228">
            <v>0</v>
          </cell>
          <cell r="AT228">
            <v>1870285.9882142856</v>
          </cell>
          <cell r="AX228">
            <v>0</v>
          </cell>
          <cell r="AY228">
            <v>0</v>
          </cell>
          <cell r="AZ228">
            <v>3432985.8268571426</v>
          </cell>
          <cell r="BD228">
            <v>0</v>
          </cell>
          <cell r="BE228">
            <v>0</v>
          </cell>
          <cell r="BF228">
            <v>2064455.3074999999</v>
          </cell>
          <cell r="BJ228">
            <v>0</v>
          </cell>
          <cell r="BK228">
            <v>0</v>
          </cell>
          <cell r="BL228">
            <v>1114372.2232142857</v>
          </cell>
          <cell r="BP228">
            <v>0</v>
          </cell>
          <cell r="BQ228">
            <v>0</v>
          </cell>
          <cell r="BR228">
            <v>991833.80235714279</v>
          </cell>
          <cell r="BV228">
            <v>0</v>
          </cell>
          <cell r="BW228">
            <v>0</v>
          </cell>
          <cell r="BX228">
            <v>-96688.220571428566</v>
          </cell>
          <cell r="CC228">
            <v>0</v>
          </cell>
          <cell r="CD228">
            <v>0</v>
          </cell>
        </row>
        <row r="234">
          <cell r="H234">
            <v>0</v>
          </cell>
          <cell r="I234">
            <v>0</v>
          </cell>
          <cell r="N234">
            <v>0</v>
          </cell>
          <cell r="O234">
            <v>0</v>
          </cell>
          <cell r="T234">
            <v>0</v>
          </cell>
          <cell r="U234">
            <v>0</v>
          </cell>
          <cell r="Z234">
            <v>0</v>
          </cell>
          <cell r="AA234">
            <v>0</v>
          </cell>
          <cell r="AF234">
            <v>0</v>
          </cell>
          <cell r="AG234">
            <v>0</v>
          </cell>
          <cell r="AL234">
            <v>0</v>
          </cell>
          <cell r="AM234">
            <v>0</v>
          </cell>
          <cell r="AR234">
            <v>0</v>
          </cell>
          <cell r="AS234">
            <v>0</v>
          </cell>
          <cell r="AX234">
            <v>0</v>
          </cell>
          <cell r="AY234">
            <v>0</v>
          </cell>
          <cell r="BD234">
            <v>0</v>
          </cell>
          <cell r="BE234">
            <v>0</v>
          </cell>
          <cell r="BJ234">
            <v>0</v>
          </cell>
          <cell r="BK234">
            <v>0</v>
          </cell>
          <cell r="BP234">
            <v>0</v>
          </cell>
          <cell r="BQ234">
            <v>0</v>
          </cell>
          <cell r="BV234">
            <v>-13545.233</v>
          </cell>
          <cell r="BW234">
            <v>0</v>
          </cell>
          <cell r="CC23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-24"/>
      <sheetName val="Intra &amp; Inter State 23-24"/>
    </sheetNames>
    <sheetDataSet>
      <sheetData sheetId="0">
        <row r="228">
          <cell r="CB228">
            <v>-58970286.2535</v>
          </cell>
        </row>
        <row r="234">
          <cell r="CB234">
            <v>0</v>
          </cell>
        </row>
      </sheetData>
      <sheetData sheetId="1">
        <row r="31">
          <cell r="D31">
            <v>82398175</v>
          </cell>
          <cell r="G31">
            <v>275065818.85057503</v>
          </cell>
          <cell r="I31">
            <v>341292412.5</v>
          </cell>
          <cell r="L31">
            <v>1231998226.2082</v>
          </cell>
          <cell r="N31">
            <v>58793125</v>
          </cell>
          <cell r="Q31">
            <v>286706986.75332499</v>
          </cell>
          <cell r="S31">
            <v>97375310</v>
          </cell>
          <cell r="V31">
            <v>544890507.43229997</v>
          </cell>
          <cell r="X31">
            <v>20000307.5</v>
          </cell>
          <cell r="AA31">
            <v>128697499.71122497</v>
          </cell>
          <cell r="AC31">
            <v>185204197.5</v>
          </cell>
          <cell r="AF31">
            <v>1252950909.2297752</v>
          </cell>
          <cell r="AH31">
            <v>61722152.5</v>
          </cell>
          <cell r="AK31">
            <v>334018383.75749999</v>
          </cell>
          <cell r="AM31">
            <v>12469932.5</v>
          </cell>
          <cell r="AP31">
            <v>49049738.838974997</v>
          </cell>
          <cell r="AR31">
            <v>23967925</v>
          </cell>
          <cell r="AU31">
            <v>120301638.45314999</v>
          </cell>
          <cell r="AW31">
            <v>111960177.5</v>
          </cell>
          <cell r="AZ31">
            <v>843654213.31204987</v>
          </cell>
          <cell r="BB31">
            <v>219588775</v>
          </cell>
          <cell r="BE31">
            <v>1466035999.7416251</v>
          </cell>
          <cell r="BG31">
            <v>172847165</v>
          </cell>
          <cell r="BJ31">
            <v>819152484.09350014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8">
          <cell r="I78">
            <v>938.84538499999985</v>
          </cell>
          <cell r="J78">
            <v>109.674745</v>
          </cell>
          <cell r="K78">
            <v>250.43985499999999</v>
          </cell>
          <cell r="M78">
            <v>360.1146</v>
          </cell>
        </row>
        <row r="79">
          <cell r="J79">
            <v>153.66715499999998</v>
          </cell>
          <cell r="K79">
            <v>260.90638499999994</v>
          </cell>
          <cell r="M79">
            <v>414.57353999999992</v>
          </cell>
        </row>
        <row r="80">
          <cell r="J80">
            <v>312.37615</v>
          </cell>
          <cell r="K80">
            <v>400.493495</v>
          </cell>
          <cell r="M80">
            <v>712.86964499999999</v>
          </cell>
        </row>
        <row r="81">
          <cell r="J81">
            <v>33.349179999999997</v>
          </cell>
          <cell r="K81">
            <v>32.52458</v>
          </cell>
          <cell r="M81">
            <v>65.873760000000004</v>
          </cell>
        </row>
        <row r="82">
          <cell r="J82">
            <v>144.31383499999998</v>
          </cell>
          <cell r="K82">
            <v>285.40878499999997</v>
          </cell>
          <cell r="M82">
            <v>429.72261999999995</v>
          </cell>
        </row>
        <row r="83">
          <cell r="J83">
            <v>212.072395</v>
          </cell>
          <cell r="K83">
            <v>336.82259499999998</v>
          </cell>
          <cell r="M83">
            <v>548.89499000000001</v>
          </cell>
        </row>
        <row r="84">
          <cell r="J84">
            <v>569.52176999999995</v>
          </cell>
          <cell r="K84">
            <v>512.31219999999996</v>
          </cell>
          <cell r="M84">
            <v>1081.8339699999999</v>
          </cell>
        </row>
        <row r="85">
          <cell r="M85">
            <v>0</v>
          </cell>
        </row>
        <row r="87">
          <cell r="J87">
            <v>18.332625</v>
          </cell>
          <cell r="K87">
            <v>0</v>
          </cell>
          <cell r="M87">
            <v>18.332625</v>
          </cell>
        </row>
        <row r="88">
          <cell r="J88">
            <v>102.18561</v>
          </cell>
          <cell r="K88">
            <v>0</v>
          </cell>
          <cell r="M88">
            <v>102.18561</v>
          </cell>
        </row>
        <row r="89">
          <cell r="J89">
            <v>136.64211</v>
          </cell>
          <cell r="K89">
            <v>0</v>
          </cell>
          <cell r="M89">
            <v>136.64211</v>
          </cell>
        </row>
        <row r="90">
          <cell r="J90">
            <v>78.148520000000005</v>
          </cell>
          <cell r="K90">
            <v>0</v>
          </cell>
          <cell r="M90">
            <v>78.148520000000005</v>
          </cell>
        </row>
        <row r="91">
          <cell r="J91">
            <v>36.379584999999999</v>
          </cell>
          <cell r="K91">
            <v>0</v>
          </cell>
          <cell r="M91">
            <v>36.379584999999999</v>
          </cell>
        </row>
        <row r="92">
          <cell r="J92">
            <v>3.0215699999999996</v>
          </cell>
          <cell r="K92">
            <v>0</v>
          </cell>
          <cell r="M92">
            <v>3.0215699999999996</v>
          </cell>
        </row>
        <row r="93">
          <cell r="J93">
            <v>14.498234999999998</v>
          </cell>
          <cell r="K93">
            <v>0</v>
          </cell>
          <cell r="M93">
            <v>14.498234999999998</v>
          </cell>
        </row>
        <row r="94">
          <cell r="J94">
            <v>2.7093999999999996</v>
          </cell>
          <cell r="K94">
            <v>0</v>
          </cell>
          <cell r="M94">
            <v>2.7093999999999996</v>
          </cell>
        </row>
        <row r="98">
          <cell r="J98">
            <v>53.369289999999999</v>
          </cell>
          <cell r="K98">
            <v>205.90261999999998</v>
          </cell>
          <cell r="M98">
            <v>259.27190999999999</v>
          </cell>
        </row>
        <row r="99">
          <cell r="J99">
            <v>15.870604999999999</v>
          </cell>
          <cell r="K99">
            <v>54.238064999999992</v>
          </cell>
          <cell r="M99">
            <v>70.108669999999989</v>
          </cell>
        </row>
        <row r="100">
          <cell r="J100">
            <v>32.509855000000002</v>
          </cell>
          <cell r="K100">
            <v>81.644234999999995</v>
          </cell>
          <cell r="M100">
            <v>114.15409</v>
          </cell>
        </row>
        <row r="101">
          <cell r="J101">
            <v>105.06287499999999</v>
          </cell>
          <cell r="K101">
            <v>339.81765999999999</v>
          </cell>
          <cell r="M101">
            <v>444.88053500000001</v>
          </cell>
        </row>
        <row r="102">
          <cell r="J102">
            <v>72.184894999999997</v>
          </cell>
          <cell r="K102">
            <v>159.59249499999999</v>
          </cell>
          <cell r="M102">
            <v>231.77738999999997</v>
          </cell>
        </row>
        <row r="103">
          <cell r="J103">
            <v>86.653679999999994</v>
          </cell>
          <cell r="K103">
            <v>176.49679499999996</v>
          </cell>
          <cell r="M103">
            <v>263.15047499999997</v>
          </cell>
        </row>
        <row r="104">
          <cell r="J104">
            <v>8.2754499999999993</v>
          </cell>
          <cell r="K104">
            <v>30.036054999999998</v>
          </cell>
          <cell r="M104">
            <v>38.311504999999997</v>
          </cell>
        </row>
        <row r="105">
          <cell r="J105">
            <v>15.390569999999999</v>
          </cell>
          <cell r="K105">
            <v>53.955345000000001</v>
          </cell>
          <cell r="M105">
            <v>69.345915000000005</v>
          </cell>
        </row>
        <row r="106">
          <cell r="J106">
            <v>23.035789999999999</v>
          </cell>
          <cell r="K106">
            <v>25.279879999999999</v>
          </cell>
          <cell r="M106">
            <v>48.315669999999997</v>
          </cell>
        </row>
        <row r="107">
          <cell r="J107">
            <v>209.63099</v>
          </cell>
          <cell r="K107">
            <v>228.15503999999999</v>
          </cell>
          <cell r="M107">
            <v>437.78602999999998</v>
          </cell>
        </row>
        <row r="108">
          <cell r="M108">
            <v>0</v>
          </cell>
        </row>
        <row r="109">
          <cell r="M109">
            <v>0</v>
          </cell>
        </row>
        <row r="111">
          <cell r="J111">
            <v>0</v>
          </cell>
          <cell r="K111">
            <v>3.7313149999999999</v>
          </cell>
          <cell r="M111">
            <v>3.7313149999999999</v>
          </cell>
        </row>
        <row r="112">
          <cell r="J112">
            <v>0</v>
          </cell>
          <cell r="K112">
            <v>46.395529999999994</v>
          </cell>
          <cell r="M112">
            <v>46.395529999999994</v>
          </cell>
        </row>
        <row r="113">
          <cell r="J113">
            <v>0</v>
          </cell>
          <cell r="K113">
            <v>46.145204999999997</v>
          </cell>
          <cell r="M113">
            <v>46.145204999999997</v>
          </cell>
        </row>
        <row r="114">
          <cell r="J114">
            <v>0</v>
          </cell>
          <cell r="K114">
            <v>33.193095</v>
          </cell>
          <cell r="M114">
            <v>33.193095</v>
          </cell>
        </row>
        <row r="116">
          <cell r="J116">
            <v>0</v>
          </cell>
          <cell r="K116">
            <v>45.750574999999998</v>
          </cell>
          <cell r="M116">
            <v>45.750574999999998</v>
          </cell>
        </row>
        <row r="117">
          <cell r="J117">
            <v>0</v>
          </cell>
          <cell r="K117">
            <v>161.74529000000001</v>
          </cell>
          <cell r="M117">
            <v>161.74529000000001</v>
          </cell>
        </row>
        <row r="119">
          <cell r="K119">
            <v>46.36</v>
          </cell>
          <cell r="M119">
            <v>46.36</v>
          </cell>
        </row>
        <row r="120">
          <cell r="K120">
            <v>6.87</v>
          </cell>
          <cell r="M120">
            <v>6.87</v>
          </cell>
        </row>
        <row r="121">
          <cell r="K121">
            <v>0</v>
          </cell>
          <cell r="M121">
            <v>0</v>
          </cell>
        </row>
        <row r="122">
          <cell r="K122">
            <v>24.82</v>
          </cell>
          <cell r="M122">
            <v>24.82</v>
          </cell>
        </row>
        <row r="123">
          <cell r="K123">
            <v>0</v>
          </cell>
          <cell r="M123">
            <v>0</v>
          </cell>
        </row>
        <row r="124">
          <cell r="K124">
            <v>0</v>
          </cell>
          <cell r="M124">
            <v>0</v>
          </cell>
        </row>
        <row r="125">
          <cell r="K125">
            <v>1017.83</v>
          </cell>
          <cell r="M125">
            <v>1017.83</v>
          </cell>
        </row>
        <row r="126">
          <cell r="K126">
            <v>26.69</v>
          </cell>
          <cell r="M126">
            <v>26.69</v>
          </cell>
        </row>
        <row r="127">
          <cell r="K127">
            <v>114.46</v>
          </cell>
          <cell r="M127">
            <v>114.46</v>
          </cell>
        </row>
        <row r="128">
          <cell r="K128">
            <v>58.03</v>
          </cell>
          <cell r="M128">
            <v>58.03</v>
          </cell>
        </row>
        <row r="129">
          <cell r="K129">
            <v>0</v>
          </cell>
          <cell r="M129">
            <v>0</v>
          </cell>
        </row>
        <row r="131">
          <cell r="J131">
            <v>98.445459999999983</v>
          </cell>
          <cell r="K131">
            <v>157.12163999999999</v>
          </cell>
          <cell r="M131">
            <v>255.56709999999998</v>
          </cell>
        </row>
        <row r="132">
          <cell r="J132">
            <v>334.849445</v>
          </cell>
          <cell r="K132">
            <v>342.77149500000002</v>
          </cell>
          <cell r="M132">
            <v>677.62094000000002</v>
          </cell>
        </row>
        <row r="133">
          <cell r="J133">
            <v>417.05912000000001</v>
          </cell>
          <cell r="K133">
            <v>624.60799499999996</v>
          </cell>
          <cell r="M133">
            <v>1041.667115</v>
          </cell>
        </row>
        <row r="134">
          <cell r="J134">
            <v>449.46001000000001</v>
          </cell>
          <cell r="K134">
            <v>224.39427499999999</v>
          </cell>
          <cell r="M134">
            <v>673.854285</v>
          </cell>
        </row>
        <row r="135">
          <cell r="J135">
            <v>0</v>
          </cell>
          <cell r="K135">
            <v>0</v>
          </cell>
          <cell r="M135">
            <v>0</v>
          </cell>
        </row>
        <row r="136">
          <cell r="J136">
            <v>0</v>
          </cell>
          <cell r="K136">
            <v>210.83549499999998</v>
          </cell>
          <cell r="M136">
            <v>210.83549499999998</v>
          </cell>
        </row>
        <row r="138">
          <cell r="J138">
            <v>0</v>
          </cell>
          <cell r="K138">
            <v>152.52000000000001</v>
          </cell>
          <cell r="M138">
            <v>152.52000000000001</v>
          </cell>
        </row>
        <row r="139">
          <cell r="J139">
            <v>0</v>
          </cell>
          <cell r="K139">
            <v>-212.64</v>
          </cell>
          <cell r="M139">
            <v>-212.64</v>
          </cell>
        </row>
        <row r="140">
          <cell r="K140">
            <v>-476.84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0">
          <cell r="I80">
            <v>897.72140499999989</v>
          </cell>
          <cell r="J80">
            <v>116.05361499999999</v>
          </cell>
          <cell r="K80">
            <v>247.77168499999999</v>
          </cell>
          <cell r="M80">
            <v>363.82529999999997</v>
          </cell>
        </row>
        <row r="81">
          <cell r="J81">
            <v>149.92406</v>
          </cell>
          <cell r="K81">
            <v>245.17713999999998</v>
          </cell>
          <cell r="M81">
            <v>395.10119999999995</v>
          </cell>
        </row>
        <row r="82">
          <cell r="J82">
            <v>392.94545999999997</v>
          </cell>
          <cell r="K82">
            <v>379.91383499999995</v>
          </cell>
          <cell r="M82">
            <v>772.85929499999997</v>
          </cell>
        </row>
        <row r="83">
          <cell r="J83">
            <v>34.36815</v>
          </cell>
          <cell r="K83">
            <v>27.108724999999996</v>
          </cell>
          <cell r="M83">
            <v>61.476874999999993</v>
          </cell>
        </row>
        <row r="84">
          <cell r="J84">
            <v>118.45673499999999</v>
          </cell>
          <cell r="K84">
            <v>236.51294999999999</v>
          </cell>
          <cell r="M84">
            <v>354.96968499999997</v>
          </cell>
        </row>
        <row r="85">
          <cell r="J85">
            <v>220.436195</v>
          </cell>
          <cell r="K85">
            <v>310.517855</v>
          </cell>
          <cell r="M85">
            <v>530.95405000000005</v>
          </cell>
        </row>
        <row r="86">
          <cell r="J86">
            <v>415.73092500000001</v>
          </cell>
          <cell r="K86">
            <v>504.92908499999999</v>
          </cell>
          <cell r="M86">
            <v>920.66001000000006</v>
          </cell>
        </row>
        <row r="87">
          <cell r="J87">
            <v>32.745455</v>
          </cell>
          <cell r="K87">
            <v>63.020054999999999</v>
          </cell>
          <cell r="M87">
            <v>95.765510000000006</v>
          </cell>
        </row>
        <row r="89">
          <cell r="J89">
            <v>14.486454999999999</v>
          </cell>
          <cell r="K89">
            <v>0</v>
          </cell>
          <cell r="M89">
            <v>14.486454999999999</v>
          </cell>
        </row>
        <row r="90">
          <cell r="J90">
            <v>94.664079999999998</v>
          </cell>
          <cell r="K90">
            <v>0</v>
          </cell>
          <cell r="M90">
            <v>94.664079999999998</v>
          </cell>
        </row>
        <row r="91">
          <cell r="J91">
            <v>125.106545</v>
          </cell>
          <cell r="K91">
            <v>0</v>
          </cell>
          <cell r="M91">
            <v>125.106545</v>
          </cell>
        </row>
        <row r="92">
          <cell r="J92">
            <v>76.187149999999988</v>
          </cell>
          <cell r="K92">
            <v>0</v>
          </cell>
          <cell r="M92">
            <v>76.187149999999988</v>
          </cell>
        </row>
        <row r="93">
          <cell r="J93">
            <v>27.132284999999996</v>
          </cell>
          <cell r="K93">
            <v>0</v>
          </cell>
          <cell r="M93">
            <v>27.132284999999996</v>
          </cell>
        </row>
        <row r="94">
          <cell r="J94">
            <v>2.9980099999999998</v>
          </cell>
          <cell r="K94">
            <v>0</v>
          </cell>
          <cell r="M94">
            <v>2.9980099999999998</v>
          </cell>
        </row>
        <row r="95">
          <cell r="J95">
            <v>16.818894999999998</v>
          </cell>
          <cell r="K95">
            <v>0</v>
          </cell>
          <cell r="M95">
            <v>16.818894999999998</v>
          </cell>
        </row>
        <row r="96">
          <cell r="J96">
            <v>3.0215699999999996</v>
          </cell>
          <cell r="K96">
            <v>0</v>
          </cell>
          <cell r="M96">
            <v>3.0215699999999996</v>
          </cell>
        </row>
        <row r="97">
          <cell r="M97">
            <v>406.10666499999996</v>
          </cell>
        </row>
        <row r="100">
          <cell r="J100">
            <v>52.535854999999991</v>
          </cell>
          <cell r="K100">
            <v>163.12354999999999</v>
          </cell>
          <cell r="M100">
            <v>215.65940499999999</v>
          </cell>
        </row>
        <row r="101">
          <cell r="J101">
            <v>15.629114999999999</v>
          </cell>
          <cell r="K101">
            <v>36.980364999999999</v>
          </cell>
          <cell r="M101">
            <v>52.609479999999998</v>
          </cell>
        </row>
        <row r="102">
          <cell r="J102">
            <v>32.244804999999999</v>
          </cell>
          <cell r="K102">
            <v>82.271519999999995</v>
          </cell>
          <cell r="M102">
            <v>114.51632499999999</v>
          </cell>
        </row>
        <row r="103">
          <cell r="J103">
            <v>105.06287499999999</v>
          </cell>
          <cell r="K103">
            <v>246.62018999999998</v>
          </cell>
          <cell r="M103">
            <v>351.68306499999994</v>
          </cell>
        </row>
        <row r="104">
          <cell r="J104">
            <v>76.084074999999999</v>
          </cell>
          <cell r="K104">
            <v>127.27995499999999</v>
          </cell>
          <cell r="M104">
            <v>203.36402999999999</v>
          </cell>
        </row>
        <row r="105">
          <cell r="J105">
            <v>84.126869999999997</v>
          </cell>
          <cell r="K105">
            <v>165.42359500000001</v>
          </cell>
          <cell r="M105">
            <v>249.550465</v>
          </cell>
        </row>
        <row r="106">
          <cell r="J106">
            <v>0.73330499999999998</v>
          </cell>
          <cell r="K106">
            <v>2.8124750000000001</v>
          </cell>
          <cell r="M106">
            <v>3.5457800000000002</v>
          </cell>
        </row>
        <row r="107">
          <cell r="J107">
            <v>1.0012999999999999</v>
          </cell>
          <cell r="K107">
            <v>3.5987900000000002</v>
          </cell>
          <cell r="M107">
            <v>4.6000899999999998</v>
          </cell>
        </row>
        <row r="108">
          <cell r="J108">
            <v>22.962164999999999</v>
          </cell>
          <cell r="K108">
            <v>23.936959999999999</v>
          </cell>
          <cell r="M108">
            <v>46.899124999999998</v>
          </cell>
        </row>
        <row r="109">
          <cell r="J109">
            <v>1.1573849999999999</v>
          </cell>
          <cell r="K109">
            <v>2.9420549999999999</v>
          </cell>
          <cell r="M109">
            <v>4.0994399999999995</v>
          </cell>
        </row>
        <row r="110">
          <cell r="J110">
            <v>2.0408849999999998</v>
          </cell>
          <cell r="K110">
            <v>2.3353849999999996</v>
          </cell>
          <cell r="M110">
            <v>4.3762699999999999</v>
          </cell>
        </row>
        <row r="111">
          <cell r="J111">
            <v>447.00976999999995</v>
          </cell>
          <cell r="K111">
            <v>478.83933000000002</v>
          </cell>
          <cell r="M111">
            <v>925.84909999999991</v>
          </cell>
        </row>
        <row r="112">
          <cell r="J112">
            <v>0</v>
          </cell>
          <cell r="K112">
            <v>0</v>
          </cell>
          <cell r="M112">
            <v>0</v>
          </cell>
        </row>
        <row r="113">
          <cell r="J113">
            <v>0</v>
          </cell>
          <cell r="K113">
            <v>0</v>
          </cell>
          <cell r="M113">
            <v>0</v>
          </cell>
        </row>
        <row r="115">
          <cell r="J115">
            <v>0</v>
          </cell>
          <cell r="K115">
            <v>4.2231299999999994</v>
          </cell>
          <cell r="M115">
            <v>4.2231299999999994</v>
          </cell>
        </row>
        <row r="116">
          <cell r="J116">
            <v>0</v>
          </cell>
          <cell r="K116">
            <v>43.774479999999997</v>
          </cell>
          <cell r="M116">
            <v>43.774479999999997</v>
          </cell>
        </row>
        <row r="117">
          <cell r="J117">
            <v>0</v>
          </cell>
          <cell r="K117">
            <v>47.435114999999996</v>
          </cell>
          <cell r="M117">
            <v>47.435114999999996</v>
          </cell>
        </row>
        <row r="118">
          <cell r="J118">
            <v>0</v>
          </cell>
          <cell r="K118">
            <v>41.00029</v>
          </cell>
          <cell r="M118">
            <v>41.00029</v>
          </cell>
        </row>
        <row r="120">
          <cell r="J120">
            <v>0</v>
          </cell>
          <cell r="K120">
            <v>35.448965000000001</v>
          </cell>
          <cell r="M120">
            <v>35.448965000000001</v>
          </cell>
        </row>
        <row r="121">
          <cell r="J121">
            <v>0</v>
          </cell>
          <cell r="K121">
            <v>265.59776999999997</v>
          </cell>
          <cell r="M121">
            <v>265.59776999999997</v>
          </cell>
        </row>
        <row r="123">
          <cell r="K123">
            <v>0</v>
          </cell>
          <cell r="M123">
            <v>0</v>
          </cell>
        </row>
        <row r="124">
          <cell r="K124">
            <v>24.05</v>
          </cell>
          <cell r="M124">
            <v>24.05</v>
          </cell>
        </row>
        <row r="125">
          <cell r="K125">
            <v>0</v>
          </cell>
          <cell r="M125">
            <v>0</v>
          </cell>
        </row>
        <row r="126">
          <cell r="K126">
            <v>19.95</v>
          </cell>
          <cell r="M126">
            <v>19.95</v>
          </cell>
        </row>
        <row r="127">
          <cell r="K127">
            <v>0</v>
          </cell>
          <cell r="M127">
            <v>0</v>
          </cell>
        </row>
        <row r="128">
          <cell r="K128">
            <v>0.31</v>
          </cell>
          <cell r="M128">
            <v>0.31</v>
          </cell>
        </row>
        <row r="129">
          <cell r="K129">
            <v>907.35</v>
          </cell>
          <cell r="M129">
            <v>907.35</v>
          </cell>
        </row>
        <row r="130">
          <cell r="K130">
            <v>11.72</v>
          </cell>
          <cell r="M130">
            <v>11.72</v>
          </cell>
        </row>
        <row r="131">
          <cell r="K131">
            <v>111.64</v>
          </cell>
          <cell r="M131">
            <v>111.64</v>
          </cell>
        </row>
        <row r="132">
          <cell r="K132">
            <v>66.819999999999993</v>
          </cell>
          <cell r="M132">
            <v>66.819999999999993</v>
          </cell>
        </row>
        <row r="133">
          <cell r="K133">
            <v>88.18</v>
          </cell>
          <cell r="M133">
            <v>88.18</v>
          </cell>
        </row>
        <row r="134">
          <cell r="K134">
            <v>208.79</v>
          </cell>
          <cell r="M134">
            <v>208.79</v>
          </cell>
        </row>
        <row r="135">
          <cell r="K135">
            <v>148.44</v>
          </cell>
          <cell r="M135">
            <v>148.44</v>
          </cell>
        </row>
        <row r="137">
          <cell r="J137">
            <v>93.526992419999999</v>
          </cell>
          <cell r="K137">
            <v>150.30979764999998</v>
          </cell>
          <cell r="M137">
            <v>243.83679006999998</v>
          </cell>
        </row>
        <row r="138">
          <cell r="J138">
            <v>334.26225498000002</v>
          </cell>
          <cell r="K138">
            <v>509.83747405999998</v>
          </cell>
          <cell r="M138">
            <v>844.09972904000006</v>
          </cell>
        </row>
        <row r="139">
          <cell r="J139">
            <v>391.59532030000003</v>
          </cell>
          <cell r="K139">
            <v>734.1317434</v>
          </cell>
          <cell r="M139">
            <v>1125.7270637000001</v>
          </cell>
        </row>
        <row r="140">
          <cell r="J140">
            <v>437.61373404000005</v>
          </cell>
          <cell r="K140">
            <v>239.93609781000001</v>
          </cell>
          <cell r="M140">
            <v>677.54983185000003</v>
          </cell>
        </row>
        <row r="141">
          <cell r="J141">
            <v>0</v>
          </cell>
          <cell r="K141">
            <v>154.36747369999998</v>
          </cell>
          <cell r="M141">
            <v>154.36747369999998</v>
          </cell>
        </row>
        <row r="142">
          <cell r="J142">
            <v>0</v>
          </cell>
          <cell r="K142">
            <v>25.39</v>
          </cell>
          <cell r="M142">
            <v>25.39</v>
          </cell>
        </row>
        <row r="143">
          <cell r="J143">
            <v>0</v>
          </cell>
          <cell r="K143">
            <v>-235.3</v>
          </cell>
          <cell r="M143">
            <v>-235.3</v>
          </cell>
        </row>
        <row r="144">
          <cell r="K144">
            <v>-548.83000000000004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Gen_Cost (2)"/>
      <sheetName val="Gen_Cost"/>
      <sheetName val="PPC_ac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J59">
            <v>438.64596999999998</v>
          </cell>
        </row>
        <row r="60">
          <cell r="J60">
            <v>9.9099249999999994</v>
          </cell>
        </row>
        <row r="63">
          <cell r="J63">
            <v>-1155.2836242362682</v>
          </cell>
        </row>
        <row r="64">
          <cell r="J64">
            <v>14041.67559620373</v>
          </cell>
        </row>
      </sheetData>
      <sheetData sheetId="23"/>
      <sheetData sheetId="24"/>
      <sheetData sheetId="25">
        <row r="7">
          <cell r="Y7">
            <v>1813.3667118256599</v>
          </cell>
          <cell r="Z7">
            <v>1348.6186501268148</v>
          </cell>
          <cell r="AA7">
            <v>1449.6299259325349</v>
          </cell>
          <cell r="AB7">
            <v>1652.2578759153798</v>
          </cell>
          <cell r="AC7">
            <v>1875.0866060261319</v>
          </cell>
          <cell r="AD7">
            <v>1771.9485156846542</v>
          </cell>
          <cell r="AE7">
            <v>2406.1123206207408</v>
          </cell>
          <cell r="AF7">
            <v>1529.7254635135912</v>
          </cell>
          <cell r="AG7">
            <v>1801.0526236218518</v>
          </cell>
          <cell r="AH7">
            <v>2315.7393715251342</v>
          </cell>
          <cell r="AI7">
            <v>2515.3443842240067</v>
          </cell>
          <cell r="AJ7">
            <v>2865.3293890041123</v>
          </cell>
        </row>
        <row r="9">
          <cell r="Y9">
            <v>65.723993698503961</v>
          </cell>
          <cell r="Z9">
            <v>64.392360172988759</v>
          </cell>
          <cell r="AA9">
            <v>62.171385919630744</v>
          </cell>
          <cell r="AB9">
            <v>63.435557692024943</v>
          </cell>
          <cell r="AC9">
            <v>67.487885021230966</v>
          </cell>
          <cell r="AD9">
            <v>66.393009631580526</v>
          </cell>
          <cell r="AE9">
            <v>59.71111768994033</v>
          </cell>
          <cell r="AF9">
            <v>59.828324823317097</v>
          </cell>
          <cell r="AG9">
            <v>58.539900917172069</v>
          </cell>
          <cell r="AH9">
            <v>69.154194817627882</v>
          </cell>
          <cell r="AI9">
            <v>64.935667301664367</v>
          </cell>
          <cell r="AJ9">
            <v>75.236974489877511</v>
          </cell>
        </row>
        <row r="11">
          <cell r="Y11">
            <v>53.856991341222056</v>
          </cell>
          <cell r="Z11">
            <v>40.053973908766238</v>
          </cell>
          <cell r="AA11">
            <v>43.054008800196243</v>
          </cell>
          <cell r="AB11">
            <v>49.07205891468675</v>
          </cell>
          <cell r="AC11">
            <v>55.69007219897594</v>
          </cell>
          <cell r="AD11">
            <v>52.626870915834161</v>
          </cell>
          <cell r="AE11">
            <v>71.461535922435814</v>
          </cell>
          <cell r="AF11">
            <v>45.432846266353636</v>
          </cell>
          <cell r="AG11">
            <v>53.491262921568932</v>
          </cell>
          <cell r="AH11">
            <v>68.777459334296509</v>
          </cell>
          <cell r="AI11">
            <v>74.705728211452879</v>
          </cell>
          <cell r="AJ11">
            <v>85.100282853421959</v>
          </cell>
        </row>
        <row r="19">
          <cell r="Y19">
            <v>1693.7857267859338</v>
          </cell>
          <cell r="Z19">
            <v>1244.1723160450599</v>
          </cell>
          <cell r="AA19">
            <v>1344.404531212708</v>
          </cell>
          <cell r="AB19">
            <v>1539.7502593086681</v>
          </cell>
          <cell r="AC19">
            <v>1751.9086488059249</v>
          </cell>
          <cell r="AD19">
            <v>1652.9286351372396</v>
          </cell>
          <cell r="AE19">
            <v>2274.9396670083647</v>
          </cell>
          <cell r="AF19">
            <v>1424.4642924239204</v>
          </cell>
          <cell r="AG19">
            <v>1689.0214597831109</v>
          </cell>
          <cell r="AH19">
            <v>2177.8077173732099</v>
          </cell>
          <cell r="AI19">
            <v>2375.7029887108893</v>
          </cell>
          <cell r="AJ19">
            <v>2704.9921316608129</v>
          </cell>
        </row>
        <row r="20">
          <cell r="Y20">
            <v>217.99462374708668</v>
          </cell>
          <cell r="Z20">
            <v>188.19377555482177</v>
          </cell>
          <cell r="AA20">
            <v>211.68101953101498</v>
          </cell>
          <cell r="AB20">
            <v>241.21354046976006</v>
          </cell>
          <cell r="AC20">
            <v>237.00893866371177</v>
          </cell>
          <cell r="AD20">
            <v>222.15774535764552</v>
          </cell>
          <cell r="AE20">
            <v>247.60035463796532</v>
          </cell>
          <cell r="AF20">
            <v>200.33138780186877</v>
          </cell>
          <cell r="AG20">
            <v>273.43911671914515</v>
          </cell>
          <cell r="AH20">
            <v>292.60213613935241</v>
          </cell>
          <cell r="AI20">
            <v>293.35712114909848</v>
          </cell>
          <cell r="AJ20">
            <v>296.92414246574242</v>
          </cell>
        </row>
        <row r="22">
          <cell r="Y22">
            <v>62.839450463758112</v>
          </cell>
          <cell r="Z22">
            <v>46.158792925271655</v>
          </cell>
          <cell r="AA22">
            <v>49.877408107991414</v>
          </cell>
          <cell r="AB22">
            <v>57.124734620351546</v>
          </cell>
          <cell r="AC22">
            <v>64.99581087069987</v>
          </cell>
          <cell r="AD22">
            <v>61.323652363591691</v>
          </cell>
          <cell r="AE22">
            <v>84.400261646010222</v>
          </cell>
          <cell r="AF22">
            <v>52.847625248927443</v>
          </cell>
          <cell r="AG22">
            <v>62.662696157953405</v>
          </cell>
          <cell r="AH22">
            <v>80.796666314546201</v>
          </cell>
          <cell r="AI22">
            <v>88.138580881174221</v>
          </cell>
          <cell r="AJ22">
            <v>100.35520808461615</v>
          </cell>
        </row>
        <row r="27">
          <cell r="Y27">
            <v>1412.9516525750889</v>
          </cell>
          <cell r="Z27">
            <v>1009.8197475649665</v>
          </cell>
          <cell r="AA27">
            <v>1082.8461035737016</v>
          </cell>
          <cell r="AB27">
            <v>1241.4119842185564</v>
          </cell>
          <cell r="AC27">
            <v>1449.9038992715132</v>
          </cell>
          <cell r="AD27">
            <v>1369.4472374160023</v>
          </cell>
          <cell r="AE27">
            <v>1942.9390507243891</v>
          </cell>
          <cell r="AF27">
            <v>1171.2852793731242</v>
          </cell>
          <cell r="AG27">
            <v>1352.9196469060123</v>
          </cell>
          <cell r="AH27">
            <v>1804.4089149193114</v>
          </cell>
          <cell r="AI27">
            <v>1994.2072866806166</v>
          </cell>
          <cell r="AJ27">
            <v>2307.7127811104542</v>
          </cell>
        </row>
        <row r="28">
          <cell r="Y28">
            <v>586.31051162958681</v>
          </cell>
          <cell r="Z28">
            <v>680.60035138614057</v>
          </cell>
          <cell r="AA28">
            <v>713.33621299839569</v>
          </cell>
          <cell r="AB28">
            <v>620.94785815393016</v>
          </cell>
          <cell r="AC28">
            <v>566.59128609718789</v>
          </cell>
          <cell r="AD28">
            <v>607.52309141830915</v>
          </cell>
          <cell r="AE28">
            <v>564.30811135585236</v>
          </cell>
          <cell r="AF28">
            <v>568.84334888812896</v>
          </cell>
          <cell r="AG28">
            <v>501.04863813475083</v>
          </cell>
          <cell r="AH28">
            <v>430.98207092684333</v>
          </cell>
          <cell r="AI28">
            <v>495.82279827494085</v>
          </cell>
          <cell r="AJ28">
            <v>503.43003787035468</v>
          </cell>
        </row>
        <row r="29">
          <cell r="Y29">
            <v>760.93888910076055</v>
          </cell>
          <cell r="Z29">
            <v>282.26277791705496</v>
          </cell>
          <cell r="AA29">
            <v>319.15754675912871</v>
          </cell>
          <cell r="AB29">
            <v>562.73846879846337</v>
          </cell>
          <cell r="AC29">
            <v>815.89208185819996</v>
          </cell>
          <cell r="AD29">
            <v>698.24484945784911</v>
          </cell>
          <cell r="AE29">
            <v>1288.2842735098527</v>
          </cell>
          <cell r="AF29">
            <v>547.97716499414491</v>
          </cell>
          <cell r="AG29">
            <v>788.96024519013201</v>
          </cell>
          <cell r="AH29">
            <v>1289.5218294487202</v>
          </cell>
          <cell r="AI29">
            <v>1405.6538495750272</v>
          </cell>
          <cell r="AJ29">
            <v>1696.9740989184634</v>
          </cell>
        </row>
        <row r="30">
          <cell r="Y30">
            <v>65.702251844741568</v>
          </cell>
          <cell r="Z30">
            <v>46.956618261770984</v>
          </cell>
          <cell r="AA30">
            <v>50.352343816177211</v>
          </cell>
          <cell r="AB30">
            <v>57.725657266162898</v>
          </cell>
          <cell r="AC30">
            <v>67.420531316125334</v>
          </cell>
          <cell r="AD30">
            <v>63.679296539844017</v>
          </cell>
          <cell r="AE30">
            <v>90.346665858683991</v>
          </cell>
          <cell r="AF30">
            <v>54.464765490850368</v>
          </cell>
          <cell r="AG30">
            <v>62.910763581129459</v>
          </cell>
          <cell r="AH30">
            <v>83.905014543747939</v>
          </cell>
          <cell r="AI30">
            <v>92.730638830648559</v>
          </cell>
          <cell r="AJ30">
            <v>107.30864432163617</v>
          </cell>
        </row>
        <row r="37">
          <cell r="Y37">
            <v>124.73508905713119</v>
          </cell>
          <cell r="Z37">
            <v>142.17572472467569</v>
          </cell>
          <cell r="AA37">
            <v>118.22907302460014</v>
          </cell>
          <cell r="AB37">
            <v>259.32468826258423</v>
          </cell>
          <cell r="AC37">
            <v>671.55834391603833</v>
          </cell>
          <cell r="AD37">
            <v>257.31808642352956</v>
          </cell>
          <cell r="AE37">
            <v>201.25038561499687</v>
          </cell>
          <cell r="AF37">
            <v>268.29110821930931</v>
          </cell>
          <cell r="AG37">
            <v>142.34622904145579</v>
          </cell>
          <cell r="AH37">
            <v>241.71903726477908</v>
          </cell>
          <cell r="AI37">
            <v>255.77543891338132</v>
          </cell>
          <cell r="AJ37">
            <v>272.7852273643631</v>
          </cell>
        </row>
        <row r="46">
          <cell r="Y46">
            <v>1986.9815469374521</v>
          </cell>
          <cell r="Z46">
            <v>1528.3928386830944</v>
          </cell>
          <cell r="AA46">
            <v>1607.4010651600727</v>
          </cell>
          <cell r="AB46">
            <v>1959.7934838814474</v>
          </cell>
          <cell r="AC46">
            <v>2610.8724112591449</v>
          </cell>
          <cell r="AD46">
            <v>2080.4455629569238</v>
          </cell>
          <cell r="AE46">
            <v>2673.1214950130584</v>
          </cell>
          <cell r="AF46">
            <v>1843.3633091376873</v>
          </cell>
          <cell r="AG46">
            <v>1992.4121926012992</v>
          </cell>
          <cell r="AH46">
            <v>2621.9585901065338</v>
          </cell>
          <cell r="AI46">
            <v>2841.0086355724707</v>
          </cell>
          <cell r="AJ46">
            <v>3217.2591925040751</v>
          </cell>
        </row>
        <row r="47">
          <cell r="Y47">
            <v>48.879746054661013</v>
          </cell>
          <cell r="Z47">
            <v>37.598463831603887</v>
          </cell>
          <cell r="AA47">
            <v>39.542066202937541</v>
          </cell>
          <cell r="AB47">
            <v>48.210919703483299</v>
          </cell>
          <cell r="AC47">
            <v>64.227461316974555</v>
          </cell>
          <cell r="AD47">
            <v>51.178960848740005</v>
          </cell>
          <cell r="AE47">
            <v>65.758788777320817</v>
          </cell>
          <cell r="AF47">
            <v>45.346737404786822</v>
          </cell>
          <cell r="AG47">
            <v>49.013339937991653</v>
          </cell>
          <cell r="AH47">
            <v>64.500181316620328</v>
          </cell>
          <cell r="AI47">
            <v>69.888812435082329</v>
          </cell>
          <cell r="AJ47">
            <v>79.144576135599749</v>
          </cell>
        </row>
        <row r="48">
          <cell r="Y48">
            <v>372.5712371172711</v>
          </cell>
          <cell r="Z48">
            <v>320.7640258483454</v>
          </cell>
          <cell r="AA48">
            <v>309.14155182955926</v>
          </cell>
          <cell r="AB48">
            <v>352.35917817809838</v>
          </cell>
          <cell r="AC48">
            <v>417.08048250899884</v>
          </cell>
          <cell r="AD48">
            <v>357.55306393685584</v>
          </cell>
          <cell r="AE48">
            <v>431.85728840167582</v>
          </cell>
          <cell r="AF48">
            <v>330.88832255532316</v>
          </cell>
          <cell r="AG48">
            <v>345.07951262460591</v>
          </cell>
          <cell r="AH48">
            <v>406.69716370792986</v>
          </cell>
          <cell r="AI48">
            <v>425.13746304628563</v>
          </cell>
          <cell r="AJ48">
            <v>488.37895524504955</v>
          </cell>
        </row>
        <row r="49">
          <cell r="Y49">
            <v>42.680004177538883</v>
          </cell>
          <cell r="Z49">
            <v>36.745214335755129</v>
          </cell>
          <cell r="AA49">
            <v>35.413798514412498</v>
          </cell>
          <cell r="AB49">
            <v>40.364606009298036</v>
          </cell>
          <cell r="AC49">
            <v>47.778773459774442</v>
          </cell>
          <cell r="AD49">
            <v>40.95959307162903</v>
          </cell>
          <cell r="AE49">
            <v>49.471534667295202</v>
          </cell>
          <cell r="AF49">
            <v>37.905006028457493</v>
          </cell>
          <cell r="AG49">
            <v>39.530681848543935</v>
          </cell>
          <cell r="AH49">
            <v>46.589309417313075</v>
          </cell>
          <cell r="AI49">
            <v>48.701743159879108</v>
          </cell>
          <cell r="AJ49">
            <v>55.946390310103006</v>
          </cell>
        </row>
        <row r="52">
          <cell r="Y52">
            <v>14.699893941836274</v>
          </cell>
          <cell r="Z52">
            <v>12.65582710251716</v>
          </cell>
          <cell r="AA52">
            <v>12.197259402176602</v>
          </cell>
          <cell r="AB52">
            <v>13.902421960233832</v>
          </cell>
          <cell r="AC52">
            <v>16.456017661294574</v>
          </cell>
          <cell r="AD52">
            <v>14.107348058100365</v>
          </cell>
          <cell r="AE52">
            <v>17.039040336641573</v>
          </cell>
          <cell r="AF52">
            <v>13.055283831865834</v>
          </cell>
          <cell r="AG52">
            <v>13.615200884349504</v>
          </cell>
          <cell r="AH52">
            <v>16.046341148633601</v>
          </cell>
          <cell r="AI52">
            <v>16.773907899698234</v>
          </cell>
          <cell r="AJ52">
            <v>19.269117232652402</v>
          </cell>
        </row>
      </sheetData>
      <sheetData sheetId="26"/>
      <sheetData sheetId="27"/>
      <sheetData sheetId="28"/>
      <sheetData sheetId="29">
        <row r="233">
          <cell r="BN233">
            <v>8.3174559999999982</v>
          </cell>
        </row>
        <row r="234">
          <cell r="BN234">
            <v>5.5722711599999997</v>
          </cell>
        </row>
        <row r="235">
          <cell r="BN235">
            <v>4.2722199475013358</v>
          </cell>
        </row>
        <row r="236">
          <cell r="BN236">
            <v>5.24</v>
          </cell>
        </row>
        <row r="237">
          <cell r="BN237">
            <v>5.8797566658037788</v>
          </cell>
        </row>
        <row r="238">
          <cell r="BN238">
            <v>2.8228463661719436</v>
          </cell>
        </row>
        <row r="239">
          <cell r="BN239">
            <v>2.5291604019941443</v>
          </cell>
        </row>
        <row r="240">
          <cell r="BN240">
            <v>4.1048995934835109</v>
          </cell>
        </row>
        <row r="241">
          <cell r="BN241">
            <v>2.4443412027924154</v>
          </cell>
        </row>
        <row r="242">
          <cell r="BN242">
            <v>10.395399780941949</v>
          </cell>
        </row>
        <row r="243">
          <cell r="BN243">
            <v>4.7369868875508159</v>
          </cell>
        </row>
        <row r="359">
          <cell r="BN359">
            <v>9.74</v>
          </cell>
        </row>
        <row r="360">
          <cell r="BM360">
            <v>0</v>
          </cell>
        </row>
      </sheetData>
      <sheetData sheetId="30"/>
      <sheetData sheetId="31"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174.06140389856273</v>
          </cell>
          <cell r="O27">
            <v>264.85317080440018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96.667630350943483</v>
          </cell>
          <cell r="O28">
            <v>147.09020977169345</v>
          </cell>
        </row>
        <row r="29">
          <cell r="D29">
            <v>37.868782471465693</v>
          </cell>
          <cell r="E29">
            <v>327.08290506224171</v>
          </cell>
          <cell r="F29">
            <v>323.56565744042473</v>
          </cell>
          <cell r="G29">
            <v>0.4</v>
          </cell>
          <cell r="H29">
            <v>0.11273740028718748</v>
          </cell>
          <cell r="I29">
            <v>2.3230715968243203</v>
          </cell>
          <cell r="J29">
            <v>5.6707461558289651E-2</v>
          </cell>
          <cell r="K29">
            <v>4.4938784530813791E-2</v>
          </cell>
          <cell r="L29">
            <v>60.503460943290065</v>
          </cell>
          <cell r="M29">
            <v>8</v>
          </cell>
          <cell r="N29">
            <v>0</v>
          </cell>
          <cell r="O29">
            <v>0</v>
          </cell>
        </row>
        <row r="30">
          <cell r="D30">
            <v>21.031000461913205</v>
          </cell>
          <cell r="E30">
            <v>181.65043285009725</v>
          </cell>
          <cell r="F30">
            <v>179.6970762452253</v>
          </cell>
          <cell r="G30">
            <v>0.22214604314527581</v>
          </cell>
          <cell r="H30">
            <v>6.2610418470709445E-2</v>
          </cell>
          <cell r="I30">
            <v>1.2901529079442506</v>
          </cell>
          <cell r="J30">
            <v>3.1493345504967206E-2</v>
          </cell>
          <cell r="K30">
            <v>2.4957432918196035E-2</v>
          </cell>
          <cell r="L30">
            <v>33.601511112866561</v>
          </cell>
          <cell r="M30">
            <v>4.4429208629055159</v>
          </cell>
          <cell r="N30">
            <v>0</v>
          </cell>
          <cell r="O30">
            <v>0</v>
          </cell>
        </row>
        <row r="31">
          <cell r="D31">
            <v>-317.56928060339396</v>
          </cell>
          <cell r="E31">
            <v>-242.66250810219753</v>
          </cell>
          <cell r="F31">
            <v>-89.68017267230789</v>
          </cell>
          <cell r="G31">
            <v>-232.03156461098843</v>
          </cell>
          <cell r="H31">
            <v>-1.5884561881371155</v>
          </cell>
          <cell r="I31">
            <v>-158.64954819159902</v>
          </cell>
          <cell r="J31">
            <v>-70.93096491381084</v>
          </cell>
          <cell r="K31">
            <v>-190.58268638179106</v>
          </cell>
          <cell r="L31">
            <v>-157.78446080142749</v>
          </cell>
          <cell r="M31">
            <v>28.375365293045434</v>
          </cell>
          <cell r="N31">
            <v>0</v>
          </cell>
          <cell r="O31">
            <v>0</v>
          </cell>
        </row>
        <row r="32">
          <cell r="D32">
            <v>-141.65698319472114</v>
          </cell>
          <cell r="E32">
            <v>-111.13907305178888</v>
          </cell>
          <cell r="F32">
            <v>-44.895720919969008</v>
          </cell>
          <cell r="G32">
            <v>-99.670071587903649</v>
          </cell>
          <cell r="H32">
            <v>0</v>
          </cell>
          <cell r="I32">
            <v>-75.913436128780305</v>
          </cell>
          <cell r="J32">
            <v>-37.033177285370741</v>
          </cell>
          <cell r="K32">
            <v>-92.222692902545447</v>
          </cell>
          <cell r="L32">
            <v>-74.288354412370879</v>
          </cell>
          <cell r="M32">
            <v>21.266684128901133</v>
          </cell>
          <cell r="N32">
            <v>0</v>
          </cell>
          <cell r="O3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>
        <row r="4">
          <cell r="F4">
            <v>30.663008124231723</v>
          </cell>
          <cell r="G4">
            <v>27.048389378740367</v>
          </cell>
          <cell r="H4">
            <v>26.175860689103587</v>
          </cell>
          <cell r="I4">
            <v>0</v>
          </cell>
          <cell r="J4">
            <v>13.985246781053263</v>
          </cell>
          <cell r="K4">
            <v>26.175860689103587</v>
          </cell>
          <cell r="L4">
            <v>32.581014478937263</v>
          </cell>
          <cell r="M4">
            <v>38.682230981812125</v>
          </cell>
          <cell r="N4">
            <v>27.970493562106526</v>
          </cell>
          <cell r="O4">
            <v>28.892597745472671</v>
          </cell>
          <cell r="P4">
            <v>32.759486256362976</v>
          </cell>
          <cell r="Q4">
            <v>37.191535395768</v>
          </cell>
          <cell r="U4">
            <v>5.3350225406926031</v>
          </cell>
          <cell r="V4">
            <v>4.7061190617815765</v>
          </cell>
          <cell r="W4">
            <v>4.5543087694660427</v>
          </cell>
          <cell r="X4">
            <v>0</v>
          </cell>
          <cell r="Y4">
            <v>2.4332774694438841</v>
          </cell>
          <cell r="Z4">
            <v>4.5543087694660427</v>
          </cell>
          <cell r="AA4">
            <v>5.6687343244187174</v>
          </cell>
          <cell r="AB4">
            <v>6.7302781702346817</v>
          </cell>
          <cell r="AC4">
            <v>4.8665549388877682</v>
          </cell>
          <cell r="AD4">
            <v>5.0269908159939574</v>
          </cell>
          <cell r="AE4">
            <v>5.6997864296650782</v>
          </cell>
          <cell r="AF4">
            <v>6.4709137099496674</v>
          </cell>
          <cell r="AJ4">
            <v>13.50949975795719</v>
          </cell>
          <cell r="AK4">
            <v>11.916972016729698</v>
          </cell>
          <cell r="AL4">
            <v>11.53255356457713</v>
          </cell>
          <cell r="AM4">
            <v>0</v>
          </cell>
          <cell r="AN4">
            <v>6.1616162131954706</v>
          </cell>
          <cell r="AO4">
            <v>11.53255356457713</v>
          </cell>
          <cell r="AP4">
            <v>14.354534474697136</v>
          </cell>
          <cell r="AQ4">
            <v>17.042606777808707</v>
          </cell>
          <cell r="AR4">
            <v>12.323232426390941</v>
          </cell>
          <cell r="AS4">
            <v>12.729492836052179</v>
          </cell>
          <cell r="AT4">
            <v>14.433165521728347</v>
          </cell>
          <cell r="AU4">
            <v>16.385836523003331</v>
          </cell>
        </row>
        <row r="5">
          <cell r="F5">
            <v>27.819309268294461</v>
          </cell>
          <cell r="G5">
            <v>27.048389378740367</v>
          </cell>
          <cell r="H5">
            <v>26.175860689103587</v>
          </cell>
          <cell r="I5">
            <v>0</v>
          </cell>
          <cell r="J5">
            <v>13.985246781053263</v>
          </cell>
          <cell r="K5">
            <v>26.175860689103587</v>
          </cell>
          <cell r="L5">
            <v>32.581014478937263</v>
          </cell>
          <cell r="M5">
            <v>38.668885108903012</v>
          </cell>
          <cell r="N5">
            <v>27.970493562106526</v>
          </cell>
          <cell r="O5">
            <v>28.072683340942802</v>
          </cell>
          <cell r="P5">
            <v>32.759486256362976</v>
          </cell>
          <cell r="Q5">
            <v>37.191535395768</v>
          </cell>
          <cell r="U5">
            <v>4.8961383605781066</v>
          </cell>
          <cell r="V5">
            <v>4.7604581246751883</v>
          </cell>
          <cell r="W5">
            <v>4.6068949593630864</v>
          </cell>
          <cell r="X5">
            <v>0</v>
          </cell>
          <cell r="Y5">
            <v>2.4613732349172857</v>
          </cell>
          <cell r="Z5">
            <v>4.6068949593630864</v>
          </cell>
          <cell r="AA5">
            <v>5.7341881956314769</v>
          </cell>
          <cell r="AB5">
            <v>6.8056402808772845</v>
          </cell>
          <cell r="AC5">
            <v>4.9227464698345713</v>
          </cell>
          <cell r="AD5">
            <v>4.9407316502498713</v>
          </cell>
          <cell r="AE5">
            <v>5.7655988430816816</v>
          </cell>
          <cell r="AF5">
            <v>6.5456299214283833</v>
          </cell>
          <cell r="AJ5">
            <v>12.256623691449278</v>
          </cell>
          <cell r="AK5">
            <v>11.916972016729698</v>
          </cell>
          <cell r="AL5">
            <v>11.53255356457713</v>
          </cell>
          <cell r="AM5">
            <v>0</v>
          </cell>
          <cell r="AN5">
            <v>6.1616162131954706</v>
          </cell>
          <cell r="AO5">
            <v>11.53255356457713</v>
          </cell>
          <cell r="AP5">
            <v>14.354534474697136</v>
          </cell>
          <cell r="AQ5">
            <v>17.036726856761661</v>
          </cell>
          <cell r="AR5">
            <v>12.323232426390941</v>
          </cell>
          <cell r="AS5">
            <v>12.36825517128476</v>
          </cell>
          <cell r="AT5">
            <v>14.433165521728347</v>
          </cell>
          <cell r="AU5">
            <v>16.385836523003331</v>
          </cell>
        </row>
        <row r="6">
          <cell r="F6">
            <v>66.833493575483004</v>
          </cell>
          <cell r="G6">
            <v>77.786851370846932</v>
          </cell>
          <cell r="H6">
            <v>53.22599993915577</v>
          </cell>
          <cell r="I6">
            <v>56.737731134056986</v>
          </cell>
          <cell r="J6">
            <v>62.080640252365924</v>
          </cell>
          <cell r="K6">
            <v>52.369820295521436</v>
          </cell>
          <cell r="L6">
            <v>72.53886242480371</v>
          </cell>
          <cell r="M6">
            <v>41.345961770288596</v>
          </cell>
          <cell r="N6">
            <v>57.82215288840942</v>
          </cell>
          <cell r="O6">
            <v>59.62940385767763</v>
          </cell>
          <cell r="P6">
            <v>67.184709102032542</v>
          </cell>
          <cell r="Q6">
            <v>79.362168881627383</v>
          </cell>
          <cell r="U6">
            <v>11.656884820206477</v>
          </cell>
          <cell r="V6">
            <v>13.567334557071746</v>
          </cell>
          <cell r="W6">
            <v>9.2835091738891169</v>
          </cell>
          <cell r="X6">
            <v>9.8960141301391715</v>
          </cell>
          <cell r="Y6">
            <v>10.82790730023982</v>
          </cell>
          <cell r="Z6">
            <v>9.134177050767665</v>
          </cell>
          <cell r="AA6">
            <v>12.651997060721204</v>
          </cell>
          <cell r="AB6">
            <v>7.2114308014225541</v>
          </cell>
          <cell r="AC6">
            <v>10.085155514357485</v>
          </cell>
          <cell r="AD6">
            <v>10.400370465169125</v>
          </cell>
          <cell r="AE6">
            <v>11.718142712335553</v>
          </cell>
          <cell r="AF6">
            <v>13.8420964136801</v>
          </cell>
          <cell r="AJ6">
            <v>26.290056249181429</v>
          </cell>
          <cell r="AK6">
            <v>30.598740071497183</v>
          </cell>
          <cell r="AL6">
            <v>20.93732434829133</v>
          </cell>
          <cell r="AM6">
            <v>22.318721694244612</v>
          </cell>
          <cell r="AN6">
            <v>24.420443057889358</v>
          </cell>
          <cell r="AO6">
            <v>20.600531973894071</v>
          </cell>
          <cell r="AP6">
            <v>28.534357122089745</v>
          </cell>
          <cell r="AQ6">
            <v>16.26411552748964</v>
          </cell>
          <cell r="AR6">
            <v>22.745296864784851</v>
          </cell>
          <cell r="AS6">
            <v>23.456208820700894</v>
          </cell>
          <cell r="AT6">
            <v>26.428212665292534</v>
          </cell>
          <cell r="AU6">
            <v>31.218417178784165</v>
          </cell>
        </row>
        <row r="7">
          <cell r="F7">
            <v>115.37243121050642</v>
          </cell>
          <cell r="G7">
            <v>0</v>
          </cell>
          <cell r="H7">
            <v>43.309151321971385</v>
          </cell>
          <cell r="I7">
            <v>92.461980202806217</v>
          </cell>
          <cell r="J7">
            <v>114.32686589811698</v>
          </cell>
          <cell r="K7">
            <v>89.473851082754067</v>
          </cell>
          <cell r="L7">
            <v>125.85260992397383</v>
          </cell>
          <cell r="M7">
            <v>134.29743636287157</v>
          </cell>
          <cell r="N7">
            <v>106.89391195387532</v>
          </cell>
          <cell r="O7">
            <v>110.58821778357805</v>
          </cell>
          <cell r="P7">
            <v>110.16071310614262</v>
          </cell>
          <cell r="Q7">
            <v>132.99733897303349</v>
          </cell>
          <cell r="U7">
            <v>37.574647996584829</v>
          </cell>
          <cell r="V7">
            <v>0</v>
          </cell>
          <cell r="W7">
            <v>14.104982437136234</v>
          </cell>
          <cell r="X7">
            <v>30.11314161221609</v>
          </cell>
          <cell r="Y7">
            <v>37.234126884580263</v>
          </cell>
          <cell r="Z7">
            <v>29.139963716281454</v>
          </cell>
          <cell r="AA7">
            <v>40.987846643507154</v>
          </cell>
          <cell r="AB7">
            <v>43.73816903425989</v>
          </cell>
          <cell r="AC7">
            <v>34.81335248380406</v>
          </cell>
          <cell r="AD7">
            <v>36.01651895681993</v>
          </cell>
          <cell r="AE7">
            <v>35.877288660613203</v>
          </cell>
          <cell r="AF7">
            <v>43.314751574196904</v>
          </cell>
          <cell r="AJ7">
            <v>43.852719589417127</v>
          </cell>
          <cell r="AK7">
            <v>0</v>
          </cell>
          <cell r="AL7">
            <v>16.46168021815156</v>
          </cell>
          <cell r="AM7">
            <v>35.144524978569194</v>
          </cell>
          <cell r="AN7">
            <v>43.455303309153628</v>
          </cell>
          <cell r="AO7">
            <v>34.008745945192231</v>
          </cell>
          <cell r="AP7">
            <v>47.836204496050634</v>
          </cell>
          <cell r="AQ7">
            <v>51.046058027962289</v>
          </cell>
          <cell r="AR7">
            <v>40.63005951721906</v>
          </cell>
          <cell r="AS7">
            <v>42.034254227581975</v>
          </cell>
          <cell r="AT7">
            <v>41.871760965144489</v>
          </cell>
          <cell r="AU7">
            <v>50.551894858500447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</row>
        <row r="9">
          <cell r="F9">
            <v>83.361172533114029</v>
          </cell>
          <cell r="G9">
            <v>81.759904258465241</v>
          </cell>
          <cell r="H9">
            <v>66.936084844403069</v>
          </cell>
          <cell r="I9">
            <v>65.107251060077033</v>
          </cell>
          <cell r="J9">
            <v>74.646985840157782</v>
          </cell>
          <cell r="K9">
            <v>61.893960908449799</v>
          </cell>
          <cell r="L9">
            <v>0</v>
          </cell>
          <cell r="M9">
            <v>42.238320657417134</v>
          </cell>
          <cell r="N9">
            <v>72.53886242480371</v>
          </cell>
          <cell r="O9">
            <v>74.383070791535999</v>
          </cell>
          <cell r="P9">
            <v>75.513392048565493</v>
          </cell>
          <cell r="Q9">
            <v>90.985686366690175</v>
          </cell>
          <cell r="U9">
            <v>13.669730117324871</v>
          </cell>
          <cell r="V9">
            <v>13.40715097532458</v>
          </cell>
          <cell r="W9">
            <v>10.976311718382798</v>
          </cell>
          <cell r="X9">
            <v>10.67641593355261</v>
          </cell>
          <cell r="Y9">
            <v>12.240760530346275</v>
          </cell>
          <cell r="Z9">
            <v>10.149494252551138</v>
          </cell>
          <cell r="AA9">
            <v>0</v>
          </cell>
          <cell r="AB9">
            <v>6.9263234483243608</v>
          </cell>
          <cell r="AC9">
            <v>11.895066278859398</v>
          </cell>
          <cell r="AD9">
            <v>12.197483218152431</v>
          </cell>
          <cell r="AE9">
            <v>12.38283553578365</v>
          </cell>
          <cell r="AF9">
            <v>14.92001299139786</v>
          </cell>
          <cell r="AJ9">
            <v>29.501875653805115</v>
          </cell>
          <cell r="AK9">
            <v>28.935179959735954</v>
          </cell>
          <cell r="AL9">
            <v>23.688966839420249</v>
          </cell>
          <cell r="AM9">
            <v>23.041734737745671</v>
          </cell>
          <cell r="AN9">
            <v>26.417887696011991</v>
          </cell>
          <cell r="AO9">
            <v>21.904537603729278</v>
          </cell>
          <cell r="AP9">
            <v>0</v>
          </cell>
          <cell r="AQ9">
            <v>14.948322414319076</v>
          </cell>
          <cell r="AR9">
            <v>25.671813798863468</v>
          </cell>
          <cell r="AS9">
            <v>26.324487031037961</v>
          </cell>
          <cell r="AT9">
            <v>26.724512560435237</v>
          </cell>
          <cell r="AU9">
            <v>32.200223724059612</v>
          </cell>
        </row>
        <row r="10">
          <cell r="F10">
            <v>105.65529223601814</v>
          </cell>
          <cell r="G10">
            <v>100.61387561394454</v>
          </cell>
          <cell r="H10">
            <v>97.469568728842859</v>
          </cell>
          <cell r="I10">
            <v>111.98758919550119</v>
          </cell>
          <cell r="J10">
            <v>118.02933547086707</v>
          </cell>
          <cell r="K10">
            <v>106.68115061557583</v>
          </cell>
          <cell r="L10">
            <v>118.02933547086712</v>
          </cell>
          <cell r="M10">
            <v>0</v>
          </cell>
          <cell r="N10">
            <v>52.977690168478205</v>
          </cell>
          <cell r="O10">
            <v>111.39018535063082</v>
          </cell>
          <cell r="P10">
            <v>106.60714171562191</v>
          </cell>
          <cell r="Q10">
            <v>118.02933547086712</v>
          </cell>
          <cell r="U10">
            <v>18.181129204614667</v>
          </cell>
          <cell r="V10">
            <v>17.313603829970297</v>
          </cell>
          <cell r="W10">
            <v>16.772532497648477</v>
          </cell>
          <cell r="X10">
            <v>19.270788858625849</v>
          </cell>
          <cell r="Y10">
            <v>20.310450642992954</v>
          </cell>
          <cell r="Z10">
            <v>18.357658589462808</v>
          </cell>
          <cell r="AA10">
            <v>20.310450642992961</v>
          </cell>
          <cell r="AB10">
            <v>0</v>
          </cell>
          <cell r="AC10">
            <v>9.1163841349614021</v>
          </cell>
          <cell r="AD10">
            <v>19.167987794324603</v>
          </cell>
          <cell r="AE10">
            <v>18.344923161412996</v>
          </cell>
          <cell r="AF10">
            <v>20.310450642992961</v>
          </cell>
          <cell r="AJ10">
            <v>35.114335012958129</v>
          </cell>
          <cell r="AK10">
            <v>33.438829806726353</v>
          </cell>
          <cell r="AL10">
            <v>32.393825405996743</v>
          </cell>
          <cell r="AM10">
            <v>37.218861839121431</v>
          </cell>
          <cell r="AN10">
            <v>39.226824699160417</v>
          </cell>
          <cell r="AO10">
            <v>35.455277090286067</v>
          </cell>
          <cell r="AP10">
            <v>39.226824699160431</v>
          </cell>
          <cell r="AQ10">
            <v>0</v>
          </cell>
          <cell r="AR10">
            <v>17.607034360693095</v>
          </cell>
          <cell r="AS10">
            <v>37.020315809832645</v>
          </cell>
          <cell r="AT10">
            <v>35.430680373435223</v>
          </cell>
          <cell r="AU10">
            <v>39.226824699160431</v>
          </cell>
        </row>
        <row r="11">
          <cell r="F11">
            <v>47.544881506208142</v>
          </cell>
          <cell r="G11">
            <v>45.146220817606661</v>
          </cell>
          <cell r="H11">
            <v>43.689891113812891</v>
          </cell>
          <cell r="I11">
            <v>50.125583407783864</v>
          </cell>
          <cell r="J11">
            <v>26.556600480945079</v>
          </cell>
          <cell r="K11">
            <v>0</v>
          </cell>
          <cell r="L11">
            <v>53.113200961890172</v>
          </cell>
          <cell r="M11">
            <v>48.508629104306948</v>
          </cell>
          <cell r="N11">
            <v>47.137965853677528</v>
          </cell>
          <cell r="O11">
            <v>49.862598348591575</v>
          </cell>
          <cell r="P11">
            <v>47.973213772029837</v>
          </cell>
          <cell r="Q11">
            <v>53.113200961890172</v>
          </cell>
          <cell r="U11">
            <v>9.7791119283506713</v>
          </cell>
          <cell r="V11">
            <v>9.2857513265600105</v>
          </cell>
          <cell r="W11">
            <v>8.9862109611871048</v>
          </cell>
          <cell r="X11">
            <v>10.309915075812951</v>
          </cell>
          <cell r="Y11">
            <v>5.4622066626823553</v>
          </cell>
          <cell r="Z11">
            <v>0</v>
          </cell>
          <cell r="AA11">
            <v>10.924413325364714</v>
          </cell>
          <cell r="AB11">
            <v>9.9773371701415634</v>
          </cell>
          <cell r="AC11">
            <v>9.6954168262611837</v>
          </cell>
          <cell r="AD11">
            <v>10.255823862461426</v>
          </cell>
          <cell r="AE11">
            <v>9.8672120358132904</v>
          </cell>
          <cell r="AF11">
            <v>10.924413325364714</v>
          </cell>
          <cell r="AJ11">
            <v>16.671530696807121</v>
          </cell>
          <cell r="AK11">
            <v>15.830444463454693</v>
          </cell>
          <cell r="AL11">
            <v>15.319784964633573</v>
          </cell>
          <cell r="AM11">
            <v>17.576449367512197</v>
          </cell>
          <cell r="AN11">
            <v>9.3120261549733438</v>
          </cell>
          <cell r="AO11">
            <v>0</v>
          </cell>
          <cell r="AP11">
            <v>18.624052309946691</v>
          </cell>
          <cell r="AQ11">
            <v>17.009467129850506</v>
          </cell>
          <cell r="AR11">
            <v>16.528846425077688</v>
          </cell>
          <cell r="AS11">
            <v>17.484234110091617</v>
          </cell>
          <cell r="AT11">
            <v>16.821724667048628</v>
          </cell>
          <cell r="AU11">
            <v>18.624052309946691</v>
          </cell>
        </row>
        <row r="12">
          <cell r="F12">
            <v>46.933993410900101</v>
          </cell>
          <cell r="G12">
            <v>45.146220817606661</v>
          </cell>
          <cell r="H12">
            <v>43.689891113812891</v>
          </cell>
          <cell r="I12">
            <v>25.062791703891939</v>
          </cell>
          <cell r="J12">
            <v>53.1132009618902</v>
          </cell>
          <cell r="K12">
            <v>47.209406973368928</v>
          </cell>
          <cell r="L12">
            <v>53.113200961890172</v>
          </cell>
          <cell r="M12">
            <v>48.508629104306948</v>
          </cell>
          <cell r="N12">
            <v>47.137965853677528</v>
          </cell>
          <cell r="O12">
            <v>49.129710889748424</v>
          </cell>
          <cell r="P12">
            <v>47.973213772029837</v>
          </cell>
          <cell r="Q12">
            <v>53.113200961890172</v>
          </cell>
          <cell r="U12">
            <v>8.8372574408945326</v>
          </cell>
          <cell r="V12">
            <v>8.5006356129926992</v>
          </cell>
          <cell r="W12">
            <v>8.2264215609606772</v>
          </cell>
          <cell r="X12">
            <v>4.7191028586834483</v>
          </cell>
          <cell r="Y12">
            <v>10.000747779991414</v>
          </cell>
          <cell r="Z12">
            <v>8.8891153881384941</v>
          </cell>
          <cell r="AA12">
            <v>10.000747779991409</v>
          </cell>
          <cell r="AB12">
            <v>9.1337474684195712</v>
          </cell>
          <cell r="AC12">
            <v>8.8756636547423753</v>
          </cell>
          <cell r="AD12">
            <v>9.2506916964920549</v>
          </cell>
          <cell r="AE12">
            <v>9.0329334787019171</v>
          </cell>
          <cell r="AF12">
            <v>10.000747779991409</v>
          </cell>
          <cell r="AJ12">
            <v>16.457323839820589</v>
          </cell>
          <cell r="AK12">
            <v>15.830444463454697</v>
          </cell>
          <cell r="AL12">
            <v>15.319784964633575</v>
          </cell>
          <cell r="AM12">
            <v>8.788224683756102</v>
          </cell>
          <cell r="AN12">
            <v>18.624052309946705</v>
          </cell>
          <cell r="AO12">
            <v>16.553897130478944</v>
          </cell>
          <cell r="AP12">
            <v>18.624052309946695</v>
          </cell>
          <cell r="AQ12">
            <v>17.00946712985051</v>
          </cell>
          <cell r="AR12">
            <v>16.528846425077692</v>
          </cell>
          <cell r="AS12">
            <v>17.227248386700698</v>
          </cell>
          <cell r="AT12">
            <v>16.821724667048631</v>
          </cell>
          <cell r="AU12">
            <v>18.624052309946695</v>
          </cell>
        </row>
        <row r="13">
          <cell r="F13">
            <v>45.617386310010517</v>
          </cell>
          <cell r="G13">
            <v>45.146220817606661</v>
          </cell>
          <cell r="H13">
            <v>43.689891113812891</v>
          </cell>
          <cell r="I13">
            <v>49.967521340824391</v>
          </cell>
          <cell r="J13">
            <v>26.180658992544188</v>
          </cell>
          <cell r="K13">
            <v>46.030207213212194</v>
          </cell>
          <cell r="L13">
            <v>53.113200961890172</v>
          </cell>
          <cell r="M13">
            <v>48.508629104306934</v>
          </cell>
          <cell r="N13">
            <v>47.137965853677528</v>
          </cell>
          <cell r="O13">
            <v>49.106195046091926</v>
          </cell>
          <cell r="P13">
            <v>47.973213772029837</v>
          </cell>
          <cell r="Q13">
            <v>53.113200961890172</v>
          </cell>
          <cell r="U13">
            <v>8.6596507853013343</v>
          </cell>
          <cell r="V13">
            <v>8.5702083828240454</v>
          </cell>
          <cell r="W13">
            <v>8.2937500478942354</v>
          </cell>
          <cell r="X13">
            <v>9.4854466776777357</v>
          </cell>
          <cell r="Y13">
            <v>4.9699332325565546</v>
          </cell>
          <cell r="Z13">
            <v>8.7380175035149712</v>
          </cell>
          <cell r="AA13">
            <v>10.08259809744005</v>
          </cell>
          <cell r="AB13">
            <v>9.2085018914119772</v>
          </cell>
          <cell r="AC13">
            <v>8.9483058114780434</v>
          </cell>
          <cell r="AD13">
            <v>9.321939174773215</v>
          </cell>
          <cell r="AE13">
            <v>9.1068627976877856</v>
          </cell>
          <cell r="AF13">
            <v>10.08259809744005</v>
          </cell>
          <cell r="AJ13">
            <v>15.995657830720353</v>
          </cell>
          <cell r="AK13">
            <v>15.8304444634547</v>
          </cell>
          <cell r="AL13">
            <v>15.319784964633579</v>
          </cell>
          <cell r="AM13">
            <v>17.521025176351447</v>
          </cell>
          <cell r="AN13">
            <v>9.1802029204731106</v>
          </cell>
          <cell r="AO13">
            <v>16.140412768412475</v>
          </cell>
          <cell r="AP13">
            <v>18.624052309946698</v>
          </cell>
          <cell r="AQ13">
            <v>17.00946712985051</v>
          </cell>
          <cell r="AR13">
            <v>16.528846425077695</v>
          </cell>
          <cell r="AS13">
            <v>17.219002596681655</v>
          </cell>
          <cell r="AT13">
            <v>16.821724667048635</v>
          </cell>
          <cell r="AU13">
            <v>18.624052309946698</v>
          </cell>
        </row>
        <row r="14">
          <cell r="F14">
            <v>45.617386310010517</v>
          </cell>
          <cell r="G14">
            <v>0</v>
          </cell>
          <cell r="H14">
            <v>21.844945556906453</v>
          </cell>
          <cell r="I14">
            <v>48.235136754425085</v>
          </cell>
          <cell r="J14">
            <v>51.708759385811675</v>
          </cell>
          <cell r="K14">
            <v>44.247002777679043</v>
          </cell>
          <cell r="L14">
            <v>53.113200961890172</v>
          </cell>
          <cell r="M14">
            <v>48.308022422969159</v>
          </cell>
          <cell r="N14">
            <v>47.137965853677528</v>
          </cell>
          <cell r="O14">
            <v>48.133838371712969</v>
          </cell>
          <cell r="P14">
            <v>47.973213772029837</v>
          </cell>
          <cell r="Q14">
            <v>53.113200961890172</v>
          </cell>
          <cell r="U14">
            <v>9.4441644595220797</v>
          </cell>
          <cell r="V14">
            <v>0</v>
          </cell>
          <cell r="W14">
            <v>4.5225576285035327</v>
          </cell>
          <cell r="X14">
            <v>9.9861171602539276</v>
          </cell>
          <cell r="Y14">
            <v>10.705261023038846</v>
          </cell>
          <cell r="Z14">
            <v>9.1604540477942784</v>
          </cell>
          <cell r="AA14">
            <v>10.996022469302702</v>
          </cell>
          <cell r="AB14">
            <v>10.001206675374204</v>
          </cell>
          <cell r="AC14">
            <v>9.7589699415061482</v>
          </cell>
          <cell r="AD14">
            <v>9.9651453628055737</v>
          </cell>
          <cell r="AE14">
            <v>9.9318912625959896</v>
          </cell>
          <cell r="AF14">
            <v>10.996022469302702</v>
          </cell>
          <cell r="AJ14">
            <v>15.995657830720351</v>
          </cell>
          <cell r="AK14">
            <v>0</v>
          </cell>
          <cell r="AL14">
            <v>7.6598924823167902</v>
          </cell>
          <cell r="AM14">
            <v>16.913567509072152</v>
          </cell>
          <cell r="AN14">
            <v>18.131587293614551</v>
          </cell>
          <cell r="AO14">
            <v>15.515135208686264</v>
          </cell>
          <cell r="AP14">
            <v>18.624052309946698</v>
          </cell>
          <cell r="AQ14">
            <v>16.939124743037098</v>
          </cell>
          <cell r="AR14">
            <v>16.528846425077695</v>
          </cell>
          <cell r="AS14">
            <v>16.878047405889195</v>
          </cell>
          <cell r="AT14">
            <v>16.821724667048631</v>
          </cell>
          <cell r="AU14">
            <v>18.624052309946698</v>
          </cell>
        </row>
        <row r="15">
          <cell r="F15">
            <v>135.16262610373485</v>
          </cell>
          <cell r="G15">
            <v>133.76658020031601</v>
          </cell>
          <cell r="H15">
            <v>129.45152922611226</v>
          </cell>
          <cell r="I15">
            <v>142.28615494013263</v>
          </cell>
          <cell r="J15">
            <v>144.86487114657996</v>
          </cell>
          <cell r="K15">
            <v>129.45152922611226</v>
          </cell>
          <cell r="L15">
            <v>157.37244729448946</v>
          </cell>
          <cell r="M15">
            <v>70.436861490678695</v>
          </cell>
          <cell r="N15">
            <v>135.60244489065622</v>
          </cell>
          <cell r="O15">
            <v>139.12088865923283</v>
          </cell>
          <cell r="P15">
            <v>142.14285562082915</v>
          </cell>
          <cell r="Q15">
            <v>157.37244729448946</v>
          </cell>
          <cell r="U15">
            <v>35.538464760941359</v>
          </cell>
          <cell r="V15">
            <v>35.171400805664042</v>
          </cell>
          <cell r="W15">
            <v>34.036839489352289</v>
          </cell>
          <cell r="X15">
            <v>37.411462392191716</v>
          </cell>
          <cell r="Y15">
            <v>38.089487210686748</v>
          </cell>
          <cell r="Z15">
            <v>34.036839489352289</v>
          </cell>
          <cell r="AA15">
            <v>41.378118594898879</v>
          </cell>
          <cell r="AB15">
            <v>18.520045016265207</v>
          </cell>
          <cell r="AC15">
            <v>35.65410682051639</v>
          </cell>
          <cell r="AD15">
            <v>36.57921528790402</v>
          </cell>
          <cell r="AE15">
            <v>37.373784537328007</v>
          </cell>
          <cell r="AF15">
            <v>41.378118594898879</v>
          </cell>
          <cell r="AJ15">
            <v>47.714917599017838</v>
          </cell>
          <cell r="AK15">
            <v>47.222087464192306</v>
          </cell>
          <cell r="AL15">
            <v>45.698794320186103</v>
          </cell>
          <cell r="AM15">
            <v>50.229655594579427</v>
          </cell>
          <cell r="AN15">
            <v>51.139990313937815</v>
          </cell>
          <cell r="AO15">
            <v>45.698794320186103</v>
          </cell>
          <cell r="AP15">
            <v>55.555397016696837</v>
          </cell>
          <cell r="AQ15">
            <v>24.865520438924779</v>
          </cell>
          <cell r="AR15">
            <v>47.870181800235315</v>
          </cell>
          <cell r="AS15">
            <v>49.112257804038059</v>
          </cell>
          <cell r="AT15">
            <v>50.179068273145518</v>
          </cell>
          <cell r="AU15">
            <v>55.555397016696837</v>
          </cell>
          <cell r="AW15">
            <v>0.74075203652273558</v>
          </cell>
        </row>
        <row r="16">
          <cell r="F16">
            <v>135.16262610373485</v>
          </cell>
          <cell r="G16">
            <v>133.76658020031601</v>
          </cell>
          <cell r="H16">
            <v>129.45152922611226</v>
          </cell>
          <cell r="I16">
            <v>137.1616181744302</v>
          </cell>
          <cell r="J16">
            <v>135.80272465914902</v>
          </cell>
          <cell r="K16">
            <v>125.8357346792672</v>
          </cell>
          <cell r="L16">
            <v>154.18654997887234</v>
          </cell>
          <cell r="M16">
            <v>140.59384085818596</v>
          </cell>
          <cell r="N16">
            <v>66.883290100158035</v>
          </cell>
          <cell r="O16">
            <v>131.44833451258</v>
          </cell>
          <cell r="P16">
            <v>134.86231653358396</v>
          </cell>
          <cell r="Q16">
            <v>157.37244729448935</v>
          </cell>
          <cell r="U16">
            <v>36.313305297234457</v>
          </cell>
          <cell r="V16">
            <v>35.938238294164435</v>
          </cell>
          <cell r="W16">
            <v>34.778940284675258</v>
          </cell>
          <cell r="X16">
            <v>36.850362111254924</v>
          </cell>
          <cell r="Y16">
            <v>36.48527661011228</v>
          </cell>
          <cell r="Z16">
            <v>33.807507166981253</v>
          </cell>
          <cell r="AA16">
            <v>41.42434505388303</v>
          </cell>
          <cell r="AB16">
            <v>37.772476113890981</v>
          </cell>
          <cell r="AC16">
            <v>17.969119147082225</v>
          </cell>
          <cell r="AD16">
            <v>35.31540958892645</v>
          </cell>
          <cell r="AE16">
            <v>36.232622985718841</v>
          </cell>
          <cell r="AF16">
            <v>42.280280346075784</v>
          </cell>
          <cell r="AJ16">
            <v>47.714917599017852</v>
          </cell>
          <cell r="AK16">
            <v>47.22208746419232</v>
          </cell>
          <cell r="AL16">
            <v>45.69879432018611</v>
          </cell>
          <cell r="AM16">
            <v>48.420598930343232</v>
          </cell>
          <cell r="AN16">
            <v>47.940884278619038</v>
          </cell>
          <cell r="AO16">
            <v>44.42235168340811</v>
          </cell>
          <cell r="AP16">
            <v>54.430716087688168</v>
          </cell>
          <cell r="AQ16">
            <v>49.632237289686714</v>
          </cell>
          <cell r="AR16">
            <v>23.611043732096171</v>
          </cell>
          <cell r="AS16">
            <v>46.40370367606063</v>
          </cell>
          <cell r="AT16">
            <v>47.608902742640694</v>
          </cell>
          <cell r="AU16">
            <v>55.555397016696816</v>
          </cell>
        </row>
        <row r="17">
          <cell r="F17">
            <v>135.16262610373485</v>
          </cell>
          <cell r="G17">
            <v>0</v>
          </cell>
          <cell r="H17">
            <v>63.943595760915343</v>
          </cell>
          <cell r="I17">
            <v>129.03201367524139</v>
          </cell>
          <cell r="J17">
            <v>128.46224735559434</v>
          </cell>
          <cell r="K17">
            <v>120.80347881406391</v>
          </cell>
          <cell r="L17">
            <v>149.29157390004178</v>
          </cell>
          <cell r="M17">
            <v>138.01817454254615</v>
          </cell>
          <cell r="N17">
            <v>133.76658020031601</v>
          </cell>
          <cell r="O17">
            <v>125.47352341203901</v>
          </cell>
          <cell r="P17">
            <v>127.37706906648583</v>
          </cell>
          <cell r="Q17">
            <v>157.37244729448935</v>
          </cell>
          <cell r="U17">
            <v>40.794116385120716</v>
          </cell>
          <cell r="V17">
            <v>0</v>
          </cell>
          <cell r="W17">
            <v>19.299140322650281</v>
          </cell>
          <cell r="X17">
            <v>38.943805214575043</v>
          </cell>
          <cell r="Y17">
            <v>38.771841157453473</v>
          </cell>
          <cell r="Z17">
            <v>36.460309454820624</v>
          </cell>
          <cell r="AA17">
            <v>45.058445641045957</v>
          </cell>
          <cell r="AB17">
            <v>41.655963914383833</v>
          </cell>
          <cell r="AC17">
            <v>40.372768704147646</v>
          </cell>
          <cell r="AD17">
            <v>37.869799254961734</v>
          </cell>
          <cell r="AE17">
            <v>38.444318004784606</v>
          </cell>
          <cell r="AF17">
            <v>47.497374946056034</v>
          </cell>
          <cell r="AJ17">
            <v>47.714917599017852</v>
          </cell>
          <cell r="AK17">
            <v>0</v>
          </cell>
          <cell r="AL17">
            <v>22.573277026856132</v>
          </cell>
          <cell r="AM17">
            <v>45.55069753841785</v>
          </cell>
          <cell r="AN17">
            <v>45.349559444431804</v>
          </cell>
          <cell r="AO17">
            <v>42.645871891123917</v>
          </cell>
          <cell r="AP17">
            <v>52.702698609903244</v>
          </cell>
          <cell r="AQ17">
            <v>48.722979238433723</v>
          </cell>
          <cell r="AR17">
            <v>47.222087464192327</v>
          </cell>
          <cell r="AS17">
            <v>44.294484378166764</v>
          </cell>
          <cell r="AT17">
            <v>44.966471351682586</v>
          </cell>
          <cell r="AU17">
            <v>55.55539701669683</v>
          </cell>
        </row>
        <row r="18">
          <cell r="F18">
            <v>0</v>
          </cell>
          <cell r="G18">
            <v>132.67851959018998</v>
          </cell>
          <cell r="H18">
            <v>119.75277340648972</v>
          </cell>
          <cell r="I18">
            <v>116.42090944081076</v>
          </cell>
          <cell r="J18">
            <v>124.91438004000099</v>
          </cell>
          <cell r="K18">
            <v>108.00117801030302</v>
          </cell>
          <cell r="L18">
            <v>145.62203558062555</v>
          </cell>
          <cell r="M18">
            <v>0</v>
          </cell>
          <cell r="N18">
            <v>66.489746274954371</v>
          </cell>
          <cell r="O18">
            <v>120.22794313628475</v>
          </cell>
          <cell r="P18">
            <v>123.99682841362608</v>
          </cell>
          <cell r="Q18">
            <v>157.37244729448952</v>
          </cell>
          <cell r="U18">
            <v>0</v>
          </cell>
          <cell r="V18">
            <v>42.542778140318035</v>
          </cell>
          <cell r="W18">
            <v>38.398195024002646</v>
          </cell>
          <cell r="X18">
            <v>37.329847638733199</v>
          </cell>
          <cell r="Y18">
            <v>40.05324127063939</v>
          </cell>
          <cell r="Z18">
            <v>34.63009814382221</v>
          </cell>
          <cell r="AA18">
            <v>46.693059066255302</v>
          </cell>
          <cell r="AB18">
            <v>0</v>
          </cell>
          <cell r="AC18">
            <v>21.319641891682423</v>
          </cell>
          <cell r="AD18">
            <v>38.550556087844051</v>
          </cell>
          <cell r="AE18">
            <v>39.759032416080821</v>
          </cell>
          <cell r="AF18">
            <v>50.460776403955165</v>
          </cell>
          <cell r="AJ18">
            <v>0</v>
          </cell>
          <cell r="AK18">
            <v>46.837981858586112</v>
          </cell>
          <cell r="AL18">
            <v>42.274953365874438</v>
          </cell>
          <cell r="AM18">
            <v>41.098743498129679</v>
          </cell>
          <cell r="AN18">
            <v>44.09709638200313</v>
          </cell>
          <cell r="AO18">
            <v>38.126421910472715</v>
          </cell>
          <cell r="AP18">
            <v>51.40728342314145</v>
          </cell>
          <cell r="AQ18">
            <v>0</v>
          </cell>
          <cell r="AR18">
            <v>23.472115451901441</v>
          </cell>
          <cell r="AS18">
            <v>42.442697106554029</v>
          </cell>
          <cell r="AT18">
            <v>43.77318361478801</v>
          </cell>
          <cell r="AU18">
            <v>55.555397016696887</v>
          </cell>
        </row>
        <row r="19">
          <cell r="F19">
            <v>0</v>
          </cell>
          <cell r="G19">
            <v>0</v>
          </cell>
          <cell r="H19">
            <v>57.516465734381768</v>
          </cell>
          <cell r="I19">
            <v>109.86513083929123</v>
          </cell>
          <cell r="J19">
            <v>124.91438004000105</v>
          </cell>
          <cell r="K19">
            <v>100.89604483799926</v>
          </cell>
          <cell r="L19">
            <v>142.32218212558564</v>
          </cell>
          <cell r="M19">
            <v>137.42308614244757</v>
          </cell>
          <cell r="N19">
            <v>122.81855973139659</v>
          </cell>
          <cell r="O19">
            <v>119.0129132664577</v>
          </cell>
          <cell r="P19">
            <v>120.82142727770486</v>
          </cell>
          <cell r="Q19">
            <v>153.69764757989361</v>
          </cell>
          <cell r="U19">
            <v>0</v>
          </cell>
          <cell r="V19">
            <v>0</v>
          </cell>
          <cell r="W19">
            <v>17.135012232606883</v>
          </cell>
          <cell r="X19">
            <v>32.730459648929369</v>
          </cell>
          <cell r="Y19">
            <v>37.213855244489494</v>
          </cell>
          <cell r="Z19">
            <v>30.058435274949584</v>
          </cell>
          <cell r="AA19">
            <v>42.39989889078722</v>
          </cell>
          <cell r="AB19">
            <v>40.940385192788817</v>
          </cell>
          <cell r="AC19">
            <v>36.589479143372138</v>
          </cell>
          <cell r="AD19">
            <v>35.455720351049045</v>
          </cell>
          <cell r="AE19">
            <v>35.994503624845308</v>
          </cell>
          <cell r="AF19">
            <v>45.78881956284873</v>
          </cell>
          <cell r="AJ19">
            <v>0</v>
          </cell>
          <cell r="AK19">
            <v>0</v>
          </cell>
          <cell r="AL19">
            <v>20.30438074646824</v>
          </cell>
          <cell r="AM19">
            <v>38.784431881182876</v>
          </cell>
          <cell r="AN19">
            <v>44.097096382003137</v>
          </cell>
          <cell r="AO19">
            <v>35.6181779260274</v>
          </cell>
          <cell r="AP19">
            <v>50.242373860232959</v>
          </cell>
          <cell r="AQ19">
            <v>48.512901979702129</v>
          </cell>
          <cell r="AR19">
            <v>43.357232884155295</v>
          </cell>
          <cell r="AS19">
            <v>42.013768993877008</v>
          </cell>
          <cell r="AT19">
            <v>42.652208032173732</v>
          </cell>
          <cell r="AU19">
            <v>54.258124459708633</v>
          </cell>
        </row>
        <row r="20">
          <cell r="F20">
            <v>85.853516643947387</v>
          </cell>
          <cell r="G20">
            <v>0</v>
          </cell>
          <cell r="H20">
            <v>32.481863491478549</v>
          </cell>
          <cell r="I20">
            <v>69.342234589134421</v>
          </cell>
          <cell r="J20">
            <v>84.761520895521585</v>
          </cell>
          <cell r="K20">
            <v>66.686427228305547</v>
          </cell>
          <cell r="L20">
            <v>93.166760120000703</v>
          </cell>
          <cell r="M20">
            <v>0</v>
          </cell>
          <cell r="N20">
            <v>72.22167396617732</v>
          </cell>
          <cell r="O20">
            <v>76.28298175988229</v>
          </cell>
          <cell r="P20">
            <v>80.682900741044676</v>
          </cell>
          <cell r="Q20">
            <v>98.111885110158283</v>
          </cell>
          <cell r="U20">
            <v>22.279064098963513</v>
          </cell>
          <cell r="V20">
            <v>0</v>
          </cell>
          <cell r="W20">
            <v>8.4290725303848255</v>
          </cell>
          <cell r="X20">
            <v>17.994371687576102</v>
          </cell>
          <cell r="Y20">
            <v>21.995690228841568</v>
          </cell>
          <cell r="Z20">
            <v>17.305187310053263</v>
          </cell>
          <cell r="AA20">
            <v>24.176857300027514</v>
          </cell>
          <cell r="AB20">
            <v>0</v>
          </cell>
          <cell r="AC20">
            <v>18.74158877265215</v>
          </cell>
          <cell r="AD20">
            <v>19.795501765369984</v>
          </cell>
          <cell r="AE20">
            <v>20.937284663071171</v>
          </cell>
          <cell r="AF20">
            <v>25.460121643059807</v>
          </cell>
          <cell r="AJ20">
            <v>33.643658532001957</v>
          </cell>
          <cell r="AK20">
            <v>0</v>
          </cell>
          <cell r="AL20">
            <v>12.728759013128293</v>
          </cell>
          <cell r="AM20">
            <v>27.17333609102992</v>
          </cell>
          <cell r="AN20">
            <v>33.215735093166032</v>
          </cell>
          <cell r="AO20">
            <v>26.132597406497503</v>
          </cell>
          <cell r="AP20">
            <v>36.509519779015591</v>
          </cell>
          <cell r="AQ20">
            <v>0</v>
          </cell>
          <cell r="AR20">
            <v>28.301710081423256</v>
          </cell>
          <cell r="AS20">
            <v>29.893226165399547</v>
          </cell>
          <cell r="AT20">
            <v>31.617434765783504</v>
          </cell>
          <cell r="AU20">
            <v>38.447379788372118</v>
          </cell>
        </row>
        <row r="21">
          <cell r="F21">
            <v>83.854213841517151</v>
          </cell>
          <cell r="G21">
            <v>95.898835070079514</v>
          </cell>
          <cell r="H21">
            <v>0</v>
          </cell>
          <cell r="I21">
            <v>34.671117294567196</v>
          </cell>
          <cell r="J21">
            <v>80.529517524934192</v>
          </cell>
          <cell r="K21">
            <v>64.963726982957098</v>
          </cell>
          <cell r="L21">
            <v>89.274087627025182</v>
          </cell>
          <cell r="M21">
            <v>0</v>
          </cell>
          <cell r="N21">
            <v>71.55528462921319</v>
          </cell>
          <cell r="O21">
            <v>71.55528462921319</v>
          </cell>
          <cell r="P21">
            <v>80.621650922439073</v>
          </cell>
          <cell r="Q21">
            <v>97.248007792842145</v>
          </cell>
          <cell r="U21">
            <v>21.461319592144161</v>
          </cell>
          <cell r="V21">
            <v>24.54397285082295</v>
          </cell>
          <cell r="W21">
            <v>0</v>
          </cell>
          <cell r="X21">
            <v>8.8735901845282932</v>
          </cell>
          <cell r="Y21">
            <v>20.610409817569611</v>
          </cell>
          <cell r="Z21">
            <v>16.626562253783291</v>
          </cell>
          <cell r="AA21">
            <v>22.848460895259947</v>
          </cell>
          <cell r="AB21">
            <v>0</v>
          </cell>
          <cell r="AC21">
            <v>18.313579742537126</v>
          </cell>
          <cell r="AD21">
            <v>18.313579742537126</v>
          </cell>
          <cell r="AE21">
            <v>20.633990079054136</v>
          </cell>
          <cell r="AF21">
            <v>24.889274841763282</v>
          </cell>
          <cell r="AJ21">
            <v>32.860186131378065</v>
          </cell>
          <cell r="AK21">
            <v>37.580145657807343</v>
          </cell>
          <cell r="AL21">
            <v>0</v>
          </cell>
          <cell r="AM21">
            <v>13.586668045514958</v>
          </cell>
          <cell r="AN21">
            <v>31.557328054386211</v>
          </cell>
          <cell r="AO21">
            <v>25.457518026256594</v>
          </cell>
          <cell r="AP21">
            <v>34.984087283644222</v>
          </cell>
          <cell r="AQ21">
            <v>0</v>
          </cell>
          <cell r="AR21">
            <v>28.04057022159472</v>
          </cell>
          <cell r="AS21">
            <v>28.04057022159472</v>
          </cell>
          <cell r="AT21">
            <v>31.593432627456899</v>
          </cell>
          <cell r="AU21">
            <v>38.108849759394282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47.958224701461262</v>
          </cell>
          <cell r="G23">
            <v>46.749669536666175</v>
          </cell>
          <cell r="H23">
            <v>45.383736424434986</v>
          </cell>
          <cell r="I23">
            <v>53.079069588346542</v>
          </cell>
          <cell r="J23">
            <v>53.574953720551321</v>
          </cell>
          <cell r="K23">
            <v>0</v>
          </cell>
          <cell r="L23">
            <v>53.574953720551321</v>
          </cell>
          <cell r="M23">
            <v>24.592575169550493</v>
          </cell>
          <cell r="N23">
            <v>49.422071071251182</v>
          </cell>
          <cell r="O23">
            <v>50.887371175213872</v>
          </cell>
          <cell r="P23">
            <v>48.390280779852787</v>
          </cell>
          <cell r="Q23">
            <v>53.574953720551321</v>
          </cell>
          <cell r="U23">
            <v>8.4162777775079363</v>
          </cell>
          <cell r="V23">
            <v>8.2041861907222522</v>
          </cell>
          <cell r="W23">
            <v>7.9644760561291479</v>
          </cell>
          <cell r="X23">
            <v>9.3149443418322946</v>
          </cell>
          <cell r="Y23">
            <v>9.4019679676665255</v>
          </cell>
          <cell r="Z23">
            <v>0</v>
          </cell>
          <cell r="AA23">
            <v>9.4019679676665255</v>
          </cell>
          <cell r="AB23">
            <v>4.3157966163179262</v>
          </cell>
          <cell r="AC23">
            <v>8.6731708912218224</v>
          </cell>
          <cell r="AD23">
            <v>8.9303191234412171</v>
          </cell>
          <cell r="AE23">
            <v>8.4921000998278249</v>
          </cell>
          <cell r="AF23">
            <v>9.4019679676665255</v>
          </cell>
          <cell r="AJ23">
            <v>13.57300079505421</v>
          </cell>
          <cell r="AK23">
            <v>13.230958938527133</v>
          </cell>
          <cell r="AL23">
            <v>12.844376421477875</v>
          </cell>
          <cell r="AM23">
            <v>15.022287797517532</v>
          </cell>
          <cell r="AN23">
            <v>15.162631518799298</v>
          </cell>
          <cell r="AO23">
            <v>0</v>
          </cell>
          <cell r="AP23">
            <v>15.162631518799298</v>
          </cell>
          <cell r="AQ23">
            <v>6.9601209053630528</v>
          </cell>
          <cell r="AR23">
            <v>13.987294444676952</v>
          </cell>
          <cell r="AS23">
            <v>14.40199952602398</v>
          </cell>
          <cell r="AT23">
            <v>13.695280081496136</v>
          </cell>
          <cell r="AU23">
            <v>15.162631518799298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2.4510345476366293</v>
          </cell>
          <cell r="H25">
            <v>3.2345278208625716</v>
          </cell>
          <cell r="I25">
            <v>3.481609807178458</v>
          </cell>
          <cell r="J25">
            <v>3.8994029840398614</v>
          </cell>
          <cell r="K25">
            <v>3.2345278208625716</v>
          </cell>
          <cell r="L25">
            <v>4.7349893377626682</v>
          </cell>
          <cell r="M25">
            <v>5.5256516939735612</v>
          </cell>
          <cell r="N25">
            <v>3.6208741994655931</v>
          </cell>
          <cell r="O25">
            <v>3.7601385917527264</v>
          </cell>
          <cell r="P25">
            <v>4.4025517561740148</v>
          </cell>
          <cell r="Q25">
            <v>5.0135181223369365</v>
          </cell>
          <cell r="U25">
            <v>0</v>
          </cell>
          <cell r="V25">
            <v>0.3119002801272755</v>
          </cell>
          <cell r="W25">
            <v>0.41160175990961434</v>
          </cell>
          <cell r="X25">
            <v>0.44304356101382042</v>
          </cell>
          <cell r="Y25">
            <v>0.49620878833547738</v>
          </cell>
          <cell r="Z25">
            <v>0.41160175990961434</v>
          </cell>
          <cell r="AA25">
            <v>0.60253924297879136</v>
          </cell>
          <cell r="AB25">
            <v>0.70315300651225798</v>
          </cell>
          <cell r="AC25">
            <v>0.46076530345437278</v>
          </cell>
          <cell r="AD25">
            <v>0.47848704589492497</v>
          </cell>
          <cell r="AE25">
            <v>0.5602357287658587</v>
          </cell>
          <cell r="AF25">
            <v>0.63798272785989596</v>
          </cell>
          <cell r="AJ25">
            <v>0</v>
          </cell>
          <cell r="AK25">
            <v>0.99977761114038777</v>
          </cell>
          <cell r="AL25">
            <v>1.3193647152086263</v>
          </cell>
          <cell r="AM25">
            <v>1.4201495198426168</v>
          </cell>
          <cell r="AN25">
            <v>1.5905674622237262</v>
          </cell>
          <cell r="AO25">
            <v>1.3193647152086263</v>
          </cell>
          <cell r="AP25">
            <v>1.9314033469859446</v>
          </cell>
          <cell r="AQ25">
            <v>2.2539147218147373</v>
          </cell>
          <cell r="AR25">
            <v>1.4769555006363202</v>
          </cell>
          <cell r="AS25">
            <v>1.5337614814300227</v>
          </cell>
          <cell r="AT25">
            <v>1.7958019734783914</v>
          </cell>
          <cell r="AU25">
            <v>2.0450153085733507</v>
          </cell>
          <cell r="AW25">
            <v>0</v>
          </cell>
        </row>
        <row r="26">
          <cell r="F26">
            <v>4.3127037611500647</v>
          </cell>
          <cell r="G26">
            <v>4.734989337762709</v>
          </cell>
          <cell r="H26">
            <v>3.2345278208625716</v>
          </cell>
          <cell r="I26">
            <v>3.481609807178458</v>
          </cell>
          <cell r="J26">
            <v>3.8994029840398614</v>
          </cell>
          <cell r="K26">
            <v>3.2345278208625716</v>
          </cell>
          <cell r="L26">
            <v>4.7349893377626682</v>
          </cell>
          <cell r="M26">
            <v>5.5256516939735612</v>
          </cell>
          <cell r="N26">
            <v>3.6208741994655931</v>
          </cell>
          <cell r="O26">
            <v>0</v>
          </cell>
          <cell r="P26">
            <v>2.2012758780870492</v>
          </cell>
          <cell r="Q26">
            <v>5.0135181223369365</v>
          </cell>
          <cell r="U26">
            <v>0.54087801864305152</v>
          </cell>
          <cell r="V26">
            <v>0.59383899130185447</v>
          </cell>
          <cell r="W26">
            <v>0.40565851398229152</v>
          </cell>
          <cell r="X26">
            <v>0.43664631713371599</v>
          </cell>
          <cell r="Y26">
            <v>0.4890438751897605</v>
          </cell>
          <cell r="Z26">
            <v>0.40565851398229152</v>
          </cell>
          <cell r="AA26">
            <v>0.59383899130184947</v>
          </cell>
          <cell r="AB26">
            <v>0.69299996138641484</v>
          </cell>
          <cell r="AC26">
            <v>0.45411216981906427</v>
          </cell>
          <cell r="AD26">
            <v>0</v>
          </cell>
          <cell r="AE26">
            <v>0.27607315534906218</v>
          </cell>
          <cell r="AF26">
            <v>0.6287706966725457</v>
          </cell>
          <cell r="AJ26">
            <v>1.7591529536114894</v>
          </cell>
          <cell r="AK26">
            <v>1.9314033469859613</v>
          </cell>
          <cell r="AL26">
            <v>1.3193647152086263</v>
          </cell>
          <cell r="AM26">
            <v>1.4201495198426168</v>
          </cell>
          <cell r="AN26">
            <v>1.5905674622237262</v>
          </cell>
          <cell r="AO26">
            <v>1.3193647152086263</v>
          </cell>
          <cell r="AP26">
            <v>1.9314033469859446</v>
          </cell>
          <cell r="AQ26">
            <v>2.2539147218147373</v>
          </cell>
          <cell r="AR26">
            <v>1.4769555006363202</v>
          </cell>
          <cell r="AS26">
            <v>0</v>
          </cell>
          <cell r="AT26">
            <v>0.8979009867392127</v>
          </cell>
          <cell r="AU26">
            <v>2.0450153085733507</v>
          </cell>
        </row>
        <row r="27">
          <cell r="F27">
            <v>4.3127037611500647</v>
          </cell>
          <cell r="G27">
            <v>4.734989337762709</v>
          </cell>
          <cell r="H27">
            <v>3.2345278208625716</v>
          </cell>
          <cell r="I27">
            <v>3.481609807178458</v>
          </cell>
          <cell r="J27">
            <v>3.8994029840398614</v>
          </cell>
          <cell r="K27">
            <v>3.2345278208625716</v>
          </cell>
          <cell r="L27">
            <v>4.7349893377626682</v>
          </cell>
          <cell r="M27">
            <v>5.5256516939735612</v>
          </cell>
          <cell r="N27">
            <v>3.6208741994655931</v>
          </cell>
          <cell r="O27">
            <v>3.6208741994655931</v>
          </cell>
          <cell r="P27">
            <v>4.4025517561740148</v>
          </cell>
          <cell r="Q27">
            <v>5.0135181223369365</v>
          </cell>
          <cell r="U27">
            <v>0.47766421107145901</v>
          </cell>
          <cell r="V27">
            <v>0.52443549840554304</v>
          </cell>
          <cell r="W27">
            <v>0.3582481583035968</v>
          </cell>
          <cell r="X27">
            <v>0.38561433706289883</v>
          </cell>
          <cell r="Y27">
            <v>0.4318880575104454</v>
          </cell>
          <cell r="Z27">
            <v>0.3582481583035968</v>
          </cell>
          <cell r="AA27">
            <v>0.5244354984055386</v>
          </cell>
          <cell r="AB27">
            <v>0.61200727043531133</v>
          </cell>
          <cell r="AC27">
            <v>0.40103891054541441</v>
          </cell>
          <cell r="AD27">
            <v>0.40103891054541441</v>
          </cell>
          <cell r="AE27">
            <v>0.48761554880211333</v>
          </cell>
          <cell r="AF27">
            <v>0.55528464537056954</v>
          </cell>
          <cell r="AJ27">
            <v>1.7591529536114883</v>
          </cell>
          <cell r="AK27">
            <v>1.9314033469859606</v>
          </cell>
          <cell r="AL27">
            <v>1.3193647152086259</v>
          </cell>
          <cell r="AM27">
            <v>1.4201495198426162</v>
          </cell>
          <cell r="AN27">
            <v>1.5905674622237256</v>
          </cell>
          <cell r="AO27">
            <v>1.3193647152086259</v>
          </cell>
          <cell r="AP27">
            <v>1.931403346985944</v>
          </cell>
          <cell r="AQ27">
            <v>2.2539147218147364</v>
          </cell>
          <cell r="AR27">
            <v>1.4769555006363195</v>
          </cell>
          <cell r="AS27">
            <v>1.4769555006363195</v>
          </cell>
          <cell r="AT27">
            <v>1.7958019734783908</v>
          </cell>
          <cell r="AU27">
            <v>2.0450153085733498</v>
          </cell>
        </row>
        <row r="28">
          <cell r="F28">
            <v>10.781759402875256</v>
          </cell>
          <cell r="G28">
            <v>11.837473344406753</v>
          </cell>
          <cell r="H28">
            <v>8.0863195521564286</v>
          </cell>
          <cell r="I28">
            <v>8.7040245179461593</v>
          </cell>
          <cell r="J28">
            <v>9.4234543414117908</v>
          </cell>
          <cell r="K28">
            <v>8.0863195521564286</v>
          </cell>
          <cell r="L28">
            <v>11.837473344406796</v>
          </cell>
          <cell r="M28">
            <v>13.814129234933866</v>
          </cell>
          <cell r="N28">
            <v>9.0521854986640093</v>
          </cell>
          <cell r="O28">
            <v>9.0521854986640093</v>
          </cell>
          <cell r="P28">
            <v>10.964732814615132</v>
          </cell>
          <cell r="Q28">
            <v>12.533795305842492</v>
          </cell>
          <cell r="U28">
            <v>1.1976870213180242</v>
          </cell>
          <cell r="V28">
            <v>1.3149605421554098</v>
          </cell>
          <cell r="W28">
            <v>0.89826526598851664</v>
          </cell>
          <cell r="X28">
            <v>0.96688275158486192</v>
          </cell>
          <cell r="Y28">
            <v>1.0468002984449896</v>
          </cell>
          <cell r="Z28">
            <v>0.89826526598851664</v>
          </cell>
          <cell r="AA28">
            <v>1.3149605421554145</v>
          </cell>
          <cell r="AB28">
            <v>1.5345364960637122</v>
          </cell>
          <cell r="AC28">
            <v>1.0055580616482569</v>
          </cell>
          <cell r="AD28">
            <v>1.0055580616482569</v>
          </cell>
          <cell r="AE28">
            <v>1.2180125426266044</v>
          </cell>
          <cell r="AF28">
            <v>1.3923111622822038</v>
          </cell>
          <cell r="AJ28">
            <v>4.3978823840287617</v>
          </cell>
          <cell r="AK28">
            <v>4.8285083674648961</v>
          </cell>
          <cell r="AL28">
            <v>3.2984117880215655</v>
          </cell>
          <cell r="AM28">
            <v>3.5503737996065481</v>
          </cell>
          <cell r="AN28">
            <v>3.8438294063343945</v>
          </cell>
          <cell r="AO28">
            <v>3.2984117880215655</v>
          </cell>
          <cell r="AP28">
            <v>4.828508367464913</v>
          </cell>
          <cell r="AQ28">
            <v>5.6347868045368283</v>
          </cell>
          <cell r="AR28">
            <v>3.6923887515908111</v>
          </cell>
          <cell r="AS28">
            <v>3.6923887515908111</v>
          </cell>
          <cell r="AT28">
            <v>4.4725172848986379</v>
          </cell>
          <cell r="AU28">
            <v>5.1125382714334382</v>
          </cell>
        </row>
        <row r="29">
          <cell r="F29">
            <v>10.781759402875256</v>
          </cell>
          <cell r="G29">
            <v>11.837473344406753</v>
          </cell>
          <cell r="H29">
            <v>8.0863195521564286</v>
          </cell>
          <cell r="I29">
            <v>8.7040245179461593</v>
          </cell>
          <cell r="J29">
            <v>9.4003464793818559</v>
          </cell>
          <cell r="K29">
            <v>8.0863195521564286</v>
          </cell>
          <cell r="L29">
            <v>11.837473344406796</v>
          </cell>
          <cell r="M29">
            <v>13.814129234933866</v>
          </cell>
          <cell r="N29">
            <v>0</v>
          </cell>
          <cell r="O29">
            <v>4.5260927493320047</v>
          </cell>
          <cell r="P29">
            <v>10.6919114078513</v>
          </cell>
          <cell r="Q29">
            <v>12.533795305842492</v>
          </cell>
          <cell r="U29">
            <v>1.3483398932317068</v>
          </cell>
          <cell r="V29">
            <v>1.48036484111064</v>
          </cell>
          <cell r="W29">
            <v>1.0112549199237784</v>
          </cell>
          <cell r="X29">
            <v>1.0885035596401784</v>
          </cell>
          <cell r="Y29">
            <v>1.1755838444113933</v>
          </cell>
          <cell r="Z29">
            <v>1.0112549199237784</v>
          </cell>
          <cell r="AA29">
            <v>1.4803648411106454</v>
          </cell>
          <cell r="AB29">
            <v>1.727560488203117</v>
          </cell>
          <cell r="AC29">
            <v>0</v>
          </cell>
          <cell r="AD29">
            <v>0.56602185101289304</v>
          </cell>
          <cell r="AE29">
            <v>1.3371037274547766</v>
          </cell>
          <cell r="AF29">
            <v>1.56744512588186</v>
          </cell>
          <cell r="AJ29">
            <v>4.3978823840287617</v>
          </cell>
          <cell r="AK29">
            <v>4.8285083674648961</v>
          </cell>
          <cell r="AL29">
            <v>3.2984117880215655</v>
          </cell>
          <cell r="AM29">
            <v>3.5503737996065481</v>
          </cell>
          <cell r="AN29">
            <v>3.8344037035750729</v>
          </cell>
          <cell r="AO29">
            <v>3.2984117880215655</v>
          </cell>
          <cell r="AP29">
            <v>4.828508367464913</v>
          </cell>
          <cell r="AQ29">
            <v>5.6347868045368283</v>
          </cell>
          <cell r="AR29">
            <v>0</v>
          </cell>
          <cell r="AS29">
            <v>1.8461943757954056</v>
          </cell>
          <cell r="AT29">
            <v>4.3612333641618575</v>
          </cell>
          <cell r="AU29">
            <v>5.1125382714334382</v>
          </cell>
        </row>
        <row r="30">
          <cell r="F30">
            <v>10.781759402875256</v>
          </cell>
          <cell r="G30">
            <v>11.837473344406753</v>
          </cell>
          <cell r="H30">
            <v>8.0863195521564286</v>
          </cell>
          <cell r="I30">
            <v>8.7040245179461593</v>
          </cell>
          <cell r="J30">
            <v>9.4003464793818559</v>
          </cell>
          <cell r="K30">
            <v>8.0863195521564286</v>
          </cell>
          <cell r="L30">
            <v>11.837473344406796</v>
          </cell>
          <cell r="M30">
            <v>13.814129234933866</v>
          </cell>
          <cell r="N30">
            <v>9.0521854986640093</v>
          </cell>
          <cell r="O30">
            <v>9.0521854986640093</v>
          </cell>
          <cell r="P30">
            <v>10.6919114078513</v>
          </cell>
          <cell r="Q30">
            <v>12.533795305842492</v>
          </cell>
          <cell r="U30">
            <v>1.2005481497215404</v>
          </cell>
          <cell r="V30">
            <v>1.3181018227151036</v>
          </cell>
          <cell r="W30">
            <v>0.90041111229115389</v>
          </cell>
          <cell r="X30">
            <v>0.9691925167022839</v>
          </cell>
          <cell r="Y30">
            <v>1.0467279180384672</v>
          </cell>
          <cell r="Z30">
            <v>0.90041111229115389</v>
          </cell>
          <cell r="AA30">
            <v>1.3181018227151085</v>
          </cell>
          <cell r="AB30">
            <v>1.5382023168307175</v>
          </cell>
          <cell r="AC30">
            <v>1.0079602173703759</v>
          </cell>
          <cell r="AD30">
            <v>1.0079602173703759</v>
          </cell>
          <cell r="AE30">
            <v>1.1905435818071948</v>
          </cell>
          <cell r="AF30">
            <v>1.3956372240512915</v>
          </cell>
          <cell r="AJ30">
            <v>4.3978823840287609</v>
          </cell>
          <cell r="AK30">
            <v>4.8285083674648943</v>
          </cell>
          <cell r="AL30">
            <v>3.2984117880215651</v>
          </cell>
          <cell r="AM30">
            <v>3.5503737996065476</v>
          </cell>
          <cell r="AN30">
            <v>3.8344037035750724</v>
          </cell>
          <cell r="AO30">
            <v>3.2984117880215651</v>
          </cell>
          <cell r="AP30">
            <v>4.8285083674649121</v>
          </cell>
          <cell r="AQ30">
            <v>5.6347868045368266</v>
          </cell>
          <cell r="AR30">
            <v>3.6923887515908107</v>
          </cell>
          <cell r="AS30">
            <v>3.6923887515908107</v>
          </cell>
          <cell r="AT30">
            <v>4.3612333641618566</v>
          </cell>
          <cell r="AU30">
            <v>5.1125382714334373</v>
          </cell>
        </row>
        <row r="31">
          <cell r="F31">
            <v>11.288457197537436</v>
          </cell>
          <cell r="G31">
            <v>12.020502002739352</v>
          </cell>
          <cell r="H31">
            <v>8.4663428981530728</v>
          </cell>
          <cell r="I31">
            <v>0</v>
          </cell>
          <cell r="J31">
            <v>4.9210618095514622</v>
          </cell>
          <cell r="K31">
            <v>8.4663428981530728</v>
          </cell>
          <cell r="L31">
            <v>12.328821696248699</v>
          </cell>
          <cell r="M31">
            <v>14.463335784344849</v>
          </cell>
          <cell r="N31">
            <v>9.4776005220991379</v>
          </cell>
          <cell r="O31">
            <v>9.4776005220991379</v>
          </cell>
          <cell r="P31">
            <v>11.194386720891295</v>
          </cell>
          <cell r="Q31">
            <v>13.122831492137273</v>
          </cell>
          <cell r="U31">
            <v>1.5684517990721509</v>
          </cell>
          <cell r="V31">
            <v>1.6701642803818946</v>
          </cell>
          <cell r="W31">
            <v>1.1763388493041125</v>
          </cell>
          <cell r="X31">
            <v>0</v>
          </cell>
          <cell r="Y31">
            <v>0.68374695615801384</v>
          </cell>
          <cell r="Z31">
            <v>1.1763388493041125</v>
          </cell>
          <cell r="AA31">
            <v>1.7130031351086152</v>
          </cell>
          <cell r="AB31">
            <v>2.0095788675611947</v>
          </cell>
          <cell r="AC31">
            <v>1.3168459896376599</v>
          </cell>
          <cell r="AD31">
            <v>1.3168459896376599</v>
          </cell>
          <cell r="AE31">
            <v>1.5553813674132169</v>
          </cell>
          <cell r="AF31">
            <v>1.823325216421376</v>
          </cell>
          <cell r="AJ31">
            <v>4.6046176769294593</v>
          </cell>
          <cell r="AK31">
            <v>4.903222383609168</v>
          </cell>
          <cell r="AL31">
            <v>3.4534632576970923</v>
          </cell>
          <cell r="AM31">
            <v>0</v>
          </cell>
          <cell r="AN31">
            <v>2.0073255185364305</v>
          </cell>
          <cell r="AO31">
            <v>3.4534632576970923</v>
          </cell>
          <cell r="AP31">
            <v>5.0289875157291108</v>
          </cell>
          <cell r="AQ31">
            <v>5.8996663985658726</v>
          </cell>
          <cell r="AR31">
            <v>3.865960257922024</v>
          </cell>
          <cell r="AS31">
            <v>3.865960257922024</v>
          </cell>
          <cell r="AT31">
            <v>4.5662458629550482</v>
          </cell>
          <cell r="AU31">
            <v>5.352868049430497</v>
          </cell>
        </row>
        <row r="32">
          <cell r="F32">
            <v>4.570729498779821</v>
          </cell>
          <cell r="G32">
            <v>4.7230871487391504</v>
          </cell>
          <cell r="H32">
            <v>4.570729498779821</v>
          </cell>
          <cell r="I32">
            <v>4.7230871487391504</v>
          </cell>
          <cell r="J32">
            <v>4.7230871487391504</v>
          </cell>
          <cell r="K32">
            <v>4.570729498779821</v>
          </cell>
          <cell r="L32">
            <v>4.7230871487391504</v>
          </cell>
          <cell r="M32">
            <v>4.570729498779821</v>
          </cell>
          <cell r="N32">
            <v>4.7230871487391504</v>
          </cell>
          <cell r="O32">
            <v>4.7230871487391504</v>
          </cell>
          <cell r="P32">
            <v>4.2660141988611677</v>
          </cell>
          <cell r="Q32">
            <v>4.7230871487391504</v>
          </cell>
          <cell r="AJ32">
            <v>1.2786207594857313</v>
          </cell>
          <cell r="AK32">
            <v>1.3212414514685895</v>
          </cell>
          <cell r="AL32">
            <v>1.2786207594857313</v>
          </cell>
          <cell r="AM32">
            <v>1.3212414514685895</v>
          </cell>
          <cell r="AN32">
            <v>1.3212414514685895</v>
          </cell>
          <cell r="AO32">
            <v>1.2786207594857313</v>
          </cell>
          <cell r="AP32">
            <v>1.3212414514685895</v>
          </cell>
          <cell r="AQ32">
            <v>1.2786207594857313</v>
          </cell>
          <cell r="AR32">
            <v>1.3212414514685895</v>
          </cell>
          <cell r="AS32">
            <v>1.3212414514685895</v>
          </cell>
          <cell r="AT32">
            <v>1.1933793755200162</v>
          </cell>
          <cell r="AU32">
            <v>1.3212414514685895</v>
          </cell>
        </row>
        <row r="33">
          <cell r="F33">
            <v>0.96432607694384442</v>
          </cell>
          <cell r="G33">
            <v>0.91567539198091108</v>
          </cell>
          <cell r="H33">
            <v>0.88613747611055915</v>
          </cell>
          <cell r="I33">
            <v>1.0166690013905715</v>
          </cell>
          <cell r="J33">
            <v>1.077265167036368</v>
          </cell>
          <cell r="K33">
            <v>0</v>
          </cell>
          <cell r="L33">
            <v>1.077265167036368</v>
          </cell>
          <cell r="M33">
            <v>0.98387322715215575</v>
          </cell>
          <cell r="N33">
            <v>0.95607283574477497</v>
          </cell>
          <cell r="O33">
            <v>1.0166690013905715</v>
          </cell>
          <cell r="P33">
            <v>0.97301369925865488</v>
          </cell>
          <cell r="Q33">
            <v>1.077265167036368</v>
          </cell>
          <cell r="U33">
            <v>8.2053953522524328E-2</v>
          </cell>
          <cell r="V33">
            <v>7.7914294606072604E-2</v>
          </cell>
          <cell r="W33">
            <v>7.5400930263941221E-2</v>
          </cell>
          <cell r="X33">
            <v>8.650778298174247E-2</v>
          </cell>
          <cell r="Y33">
            <v>9.1663876007144401E-2</v>
          </cell>
          <cell r="Z33">
            <v>0</v>
          </cell>
          <cell r="AA33">
            <v>9.1663876007144401E-2</v>
          </cell>
          <cell r="AB33">
            <v>8.3717209337169252E-2</v>
          </cell>
          <cell r="AC33">
            <v>8.1351689956340525E-2</v>
          </cell>
          <cell r="AD33">
            <v>8.650778298174247E-2</v>
          </cell>
          <cell r="AE33">
            <v>8.2793178329033643E-2</v>
          </cell>
          <cell r="AF33">
            <v>9.1663876007144401E-2</v>
          </cell>
          <cell r="AJ33">
            <v>0.33051932866282696</v>
          </cell>
          <cell r="AK33">
            <v>0.3138444796492067</v>
          </cell>
          <cell r="AL33">
            <v>0.30372046417665161</v>
          </cell>
          <cell r="AM33">
            <v>0.3484596796105166</v>
          </cell>
          <cell r="AN33">
            <v>0.36922879958730259</v>
          </cell>
          <cell r="AO33">
            <v>0</v>
          </cell>
          <cell r="AP33">
            <v>0.36922879958730259</v>
          </cell>
          <cell r="AQ33">
            <v>0.33721904478436737</v>
          </cell>
          <cell r="AR33">
            <v>0.32769055963373056</v>
          </cell>
          <cell r="AS33">
            <v>0.3484596796105166</v>
          </cell>
          <cell r="AT33">
            <v>0.33349698027240238</v>
          </cell>
          <cell r="AU33">
            <v>0.36922879958730259</v>
          </cell>
        </row>
        <row r="34">
          <cell r="F34">
            <v>1.2708173107011804</v>
          </cell>
          <cell r="G34">
            <v>1.2067040049360758</v>
          </cell>
          <cell r="H34">
            <v>1.1677780692929765</v>
          </cell>
          <cell r="I34">
            <v>1.3397963584216721</v>
          </cell>
          <cell r="J34">
            <v>1.4196517705130303</v>
          </cell>
          <cell r="K34">
            <v>0</v>
          </cell>
          <cell r="L34">
            <v>1.4196517705130303</v>
          </cell>
          <cell r="M34">
            <v>1.2965771210532311</v>
          </cell>
          <cell r="N34">
            <v>1.2599409463303144</v>
          </cell>
          <cell r="O34">
            <v>1.3397963584216614</v>
          </cell>
          <cell r="P34">
            <v>1.2822661153020918</v>
          </cell>
          <cell r="Q34">
            <v>1.4196517705130303</v>
          </cell>
          <cell r="U34">
            <v>0.11118711617384411</v>
          </cell>
          <cell r="V34">
            <v>0.10557767607858712</v>
          </cell>
          <cell r="W34">
            <v>0.10217194459218107</v>
          </cell>
          <cell r="X34">
            <v>0.11722227270490185</v>
          </cell>
          <cell r="Y34">
            <v>0.12420903068069071</v>
          </cell>
          <cell r="Z34">
            <v>0</v>
          </cell>
          <cell r="AA34">
            <v>0.12420903068069071</v>
          </cell>
          <cell r="AB34">
            <v>0.11344090906925985</v>
          </cell>
          <cell r="AC34">
            <v>0.11023551472911301</v>
          </cell>
          <cell r="AD34">
            <v>0.1172222727049009</v>
          </cell>
          <cell r="AE34">
            <v>0.11218880190514</v>
          </cell>
          <cell r="AF34">
            <v>0.12420903068069071</v>
          </cell>
          <cell r="AJ34">
            <v>0.43565214537684149</v>
          </cell>
          <cell r="AK34">
            <v>0.4136732984028747</v>
          </cell>
          <cell r="AL34">
            <v>0.40032899845439485</v>
          </cell>
          <cell r="AM34">
            <v>0.4592990298443681</v>
          </cell>
          <cell r="AN34">
            <v>0.48667446870926429</v>
          </cell>
          <cell r="AO34">
            <v>0</v>
          </cell>
          <cell r="AP34">
            <v>0.48667446870926429</v>
          </cell>
          <cell r="AQ34">
            <v>0.44448293210745299</v>
          </cell>
          <cell r="AR34">
            <v>0.43192359097947203</v>
          </cell>
          <cell r="AS34">
            <v>0.45929902984436444</v>
          </cell>
          <cell r="AT34">
            <v>0.43957693947933552</v>
          </cell>
          <cell r="AU34">
            <v>0.48667446870926429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F36">
            <v>7.0203420432184593</v>
          </cell>
          <cell r="G36">
            <v>7.2543534446590776</v>
          </cell>
          <cell r="H36">
            <v>7.0203420432184593</v>
          </cell>
          <cell r="I36">
            <v>7.2543534446590776</v>
          </cell>
          <cell r="J36">
            <v>7.2543534446590776</v>
          </cell>
          <cell r="K36">
            <v>7.0203420432184593</v>
          </cell>
          <cell r="L36">
            <v>7.2543534446590776</v>
          </cell>
          <cell r="M36">
            <v>7.0203420432184593</v>
          </cell>
          <cell r="N36">
            <v>7.2543534446590776</v>
          </cell>
          <cell r="O36">
            <v>7.2543534446590776</v>
          </cell>
          <cell r="P36">
            <v>6.5523192403372317</v>
          </cell>
          <cell r="Q36">
            <v>7.2543534446590776</v>
          </cell>
          <cell r="AJ36">
            <v>2.6536869890275225</v>
          </cell>
          <cell r="AK36">
            <v>2.7421432219951081</v>
          </cell>
          <cell r="AL36">
            <v>2.6536869890275225</v>
          </cell>
          <cell r="AM36">
            <v>2.7421432219951081</v>
          </cell>
          <cell r="AN36">
            <v>2.7421432219951081</v>
          </cell>
          <cell r="AO36">
            <v>2.6536869890275225</v>
          </cell>
          <cell r="AP36">
            <v>2.7421432219951081</v>
          </cell>
          <cell r="AQ36">
            <v>2.6536869890275225</v>
          </cell>
          <cell r="AR36">
            <v>2.7421432219951081</v>
          </cell>
          <cell r="AS36">
            <v>2.7421432219951081</v>
          </cell>
          <cell r="AT36">
            <v>2.4767745230923555</v>
          </cell>
          <cell r="AU36">
            <v>2.7421432219951081</v>
          </cell>
        </row>
        <row r="37">
          <cell r="F37">
            <v>7.0203420432184593</v>
          </cell>
          <cell r="G37">
            <v>7.2543534446590776</v>
          </cell>
          <cell r="H37">
            <v>7.0203420432184593</v>
          </cell>
          <cell r="I37">
            <v>7.2543534446590776</v>
          </cell>
          <cell r="J37">
            <v>7.2543534446590776</v>
          </cell>
          <cell r="K37">
            <v>7.0203420432184593</v>
          </cell>
          <cell r="L37">
            <v>7.2543534446590776</v>
          </cell>
          <cell r="M37">
            <v>7.0203420432184593</v>
          </cell>
          <cell r="N37">
            <v>7.2543534446590776</v>
          </cell>
          <cell r="O37">
            <v>7.2543534446590776</v>
          </cell>
          <cell r="P37">
            <v>6.5523192403372317</v>
          </cell>
          <cell r="Q37">
            <v>7.2543534446590776</v>
          </cell>
          <cell r="AJ37">
            <v>2.6536869890275225</v>
          </cell>
          <cell r="AK37">
            <v>2.7421432219951081</v>
          </cell>
          <cell r="AL37">
            <v>2.6536869890275225</v>
          </cell>
          <cell r="AM37">
            <v>2.7421432219951081</v>
          </cell>
          <cell r="AN37">
            <v>2.7421432219951081</v>
          </cell>
          <cell r="AO37">
            <v>2.6536869890275225</v>
          </cell>
          <cell r="AP37">
            <v>2.7421432219951081</v>
          </cell>
          <cell r="AQ37">
            <v>2.6536869890275225</v>
          </cell>
          <cell r="AR37">
            <v>2.7421432219951081</v>
          </cell>
          <cell r="AS37">
            <v>2.7421432219951081</v>
          </cell>
          <cell r="AT37">
            <v>2.4767745230923555</v>
          </cell>
          <cell r="AU37">
            <v>2.7421432219951081</v>
          </cell>
        </row>
        <row r="38">
          <cell r="F38">
            <v>7.4662224840709612</v>
          </cell>
          <cell r="G38">
            <v>7.7150965668733278</v>
          </cell>
          <cell r="H38">
            <v>7.4662224840709612</v>
          </cell>
          <cell r="I38">
            <v>7.7150965668733278</v>
          </cell>
          <cell r="J38">
            <v>7.7150965668733278</v>
          </cell>
          <cell r="K38">
            <v>7.4662224840709612</v>
          </cell>
          <cell r="L38">
            <v>7.7150965668733278</v>
          </cell>
          <cell r="M38">
            <v>7.4662224840709612</v>
          </cell>
          <cell r="N38">
            <v>7.7150965668733278</v>
          </cell>
          <cell r="O38">
            <v>7.7150965668733278</v>
          </cell>
          <cell r="P38">
            <v>6.9684743184662317</v>
          </cell>
          <cell r="Q38">
            <v>7.7150965668733278</v>
          </cell>
          <cell r="AJ38">
            <v>2.0249411181548576</v>
          </cell>
          <cell r="AK38">
            <v>2.0924391554266863</v>
          </cell>
          <cell r="AL38">
            <v>2.0249411181548576</v>
          </cell>
          <cell r="AM38">
            <v>2.0924391554266863</v>
          </cell>
          <cell r="AN38">
            <v>2.0924391554266863</v>
          </cell>
          <cell r="AO38">
            <v>2.0249411181548576</v>
          </cell>
          <cell r="AP38">
            <v>2.0924391554266863</v>
          </cell>
          <cell r="AQ38">
            <v>2.0249411181548576</v>
          </cell>
          <cell r="AR38">
            <v>2.0924391554266863</v>
          </cell>
          <cell r="AS38">
            <v>2.0924391554266863</v>
          </cell>
          <cell r="AT38">
            <v>1.8899450436112009</v>
          </cell>
          <cell r="AU38">
            <v>2.0924391554266863</v>
          </cell>
        </row>
        <row r="39">
          <cell r="F39">
            <v>7.4662224840709612</v>
          </cell>
          <cell r="G39">
            <v>7.7150965668733278</v>
          </cell>
          <cell r="H39">
            <v>7.4662224840709612</v>
          </cell>
          <cell r="I39">
            <v>7.7150965668733278</v>
          </cell>
          <cell r="J39">
            <v>7.7150965668733278</v>
          </cell>
          <cell r="K39">
            <v>7.4662224840709612</v>
          </cell>
          <cell r="L39">
            <v>7.7150965668733278</v>
          </cell>
          <cell r="M39">
            <v>7.4662224840709612</v>
          </cell>
          <cell r="N39">
            <v>7.7150965668733278</v>
          </cell>
          <cell r="O39">
            <v>7.7150965668733278</v>
          </cell>
          <cell r="P39">
            <v>6.9684743184662317</v>
          </cell>
          <cell r="Q39">
            <v>7.7150965668733278</v>
          </cell>
          <cell r="AJ39">
            <v>2.0249411181548576</v>
          </cell>
          <cell r="AK39">
            <v>2.0924391554266863</v>
          </cell>
          <cell r="AL39">
            <v>2.0249411181548576</v>
          </cell>
          <cell r="AM39">
            <v>2.0924391554266863</v>
          </cell>
          <cell r="AN39">
            <v>2.0924391554266863</v>
          </cell>
          <cell r="AO39">
            <v>2.0249411181548576</v>
          </cell>
          <cell r="AP39">
            <v>2.0924391554266863</v>
          </cell>
          <cell r="AQ39">
            <v>2.0249411181548576</v>
          </cell>
          <cell r="AR39">
            <v>2.0924391554266863</v>
          </cell>
          <cell r="AS39">
            <v>2.0924391554266863</v>
          </cell>
          <cell r="AT39">
            <v>1.8899450436112009</v>
          </cell>
          <cell r="AU39">
            <v>2.0924391554266863</v>
          </cell>
        </row>
        <row r="40">
          <cell r="F40">
            <v>66.961747503745642</v>
          </cell>
          <cell r="G40">
            <v>55.783138094717486</v>
          </cell>
          <cell r="H40">
            <v>51.846729406985133</v>
          </cell>
          <cell r="I40">
            <v>53.574953720551321</v>
          </cell>
          <cell r="J40">
            <v>55.807243458907607</v>
          </cell>
          <cell r="K40">
            <v>51.846729406985133</v>
          </cell>
          <cell r="L40">
            <v>68.745568751027463</v>
          </cell>
          <cell r="M40">
            <v>43.695812800742559</v>
          </cell>
          <cell r="N40">
            <v>57.797528255187785</v>
          </cell>
          <cell r="O40">
            <v>58.039533197263921</v>
          </cell>
          <cell r="P40">
            <v>68.552897771458134</v>
          </cell>
          <cell r="Q40">
            <v>78.130140842470666</v>
          </cell>
          <cell r="U40">
            <v>10.956040990121156</v>
          </cell>
          <cell r="V40">
            <v>9.1270370070483473</v>
          </cell>
          <cell r="W40">
            <v>8.4829759342059408</v>
          </cell>
          <cell r="X40">
            <v>8.7657417986794748</v>
          </cell>
          <cell r="Y40">
            <v>9.1309810402911165</v>
          </cell>
          <cell r="Z40">
            <v>8.4829759342059408</v>
          </cell>
          <cell r="AA40">
            <v>11.247903425508992</v>
          </cell>
          <cell r="AB40">
            <v>7.1493521896933361</v>
          </cell>
          <cell r="AC40">
            <v>9.4566243011519653</v>
          </cell>
          <cell r="AD40">
            <v>9.4962202819027617</v>
          </cell>
          <cell r="AE40">
            <v>11.216379290783413</v>
          </cell>
          <cell r="AF40">
            <v>12.783373456407565</v>
          </cell>
          <cell r="AJ40">
            <v>29.10117272910432</v>
          </cell>
          <cell r="AK40">
            <v>24.243016312784359</v>
          </cell>
          <cell r="AL40">
            <v>22.532276772308087</v>
          </cell>
          <cell r="AM40">
            <v>23.283352664718361</v>
          </cell>
          <cell r="AN40">
            <v>24.253492359081619</v>
          </cell>
          <cell r="AO40">
            <v>22.532276772308087</v>
          </cell>
          <cell r="AP40">
            <v>29.876410714524145</v>
          </cell>
          <cell r="AQ40">
            <v>18.989937438264846</v>
          </cell>
          <cell r="AR40">
            <v>25.118458161137784</v>
          </cell>
          <cell r="AS40">
            <v>25.223632053444888</v>
          </cell>
          <cell r="AT40">
            <v>29.792677065607364</v>
          </cell>
          <cell r="AU40">
            <v>33.954889302714278</v>
          </cell>
        </row>
        <row r="41">
          <cell r="F41">
            <v>32.640205888356419</v>
          </cell>
          <cell r="G41">
            <v>32.103980132836071</v>
          </cell>
          <cell r="H41">
            <v>24.667844535073279</v>
          </cell>
          <cell r="I41">
            <v>12.74505300978786</v>
          </cell>
          <cell r="J41">
            <v>27.911559102022181</v>
          </cell>
          <cell r="K41">
            <v>24.667844535073279</v>
          </cell>
          <cell r="L41">
            <v>34.037009919702896</v>
          </cell>
          <cell r="M41">
            <v>42.140901080750211</v>
          </cell>
          <cell r="N41">
            <v>27.614281521207033</v>
          </cell>
          <cell r="O41">
            <v>27.614281521207033</v>
          </cell>
          <cell r="P41">
            <v>32.616372218596865</v>
          </cell>
          <cell r="Q41">
            <v>37.173071278547894</v>
          </cell>
          <cell r="U41">
            <v>7.1742427257702115</v>
          </cell>
          <cell r="V41">
            <v>7.0563815290893173</v>
          </cell>
          <cell r="W41">
            <v>5.4219359038819883</v>
          </cell>
          <cell r="X41">
            <v>2.8013335503390269</v>
          </cell>
          <cell r="Y41">
            <v>6.1348969592137337</v>
          </cell>
          <cell r="Z41">
            <v>5.4219359038819883</v>
          </cell>
          <cell r="AA41">
            <v>7.4812570624900898</v>
          </cell>
          <cell r="AB41">
            <v>9.2624738357984029</v>
          </cell>
          <cell r="AC41">
            <v>6.0695560257345589</v>
          </cell>
          <cell r="AD41">
            <v>6.0695560257345589</v>
          </cell>
          <cell r="AE41">
            <v>7.1690041395772894</v>
          </cell>
          <cell r="AF41">
            <v>8.1705561884888223</v>
          </cell>
          <cell r="AJ41">
            <v>13.90641037167515</v>
          </cell>
          <cell r="AK41">
            <v>13.677950556389868</v>
          </cell>
          <cell r="AL41">
            <v>10.509773445141921</v>
          </cell>
          <cell r="AM41">
            <v>5.4300496133233249</v>
          </cell>
          <cell r="AN41">
            <v>11.891763070172541</v>
          </cell>
          <cell r="AO41">
            <v>10.509773445141921</v>
          </cell>
          <cell r="AP41">
            <v>14.501520896870812</v>
          </cell>
          <cell r="AQ41">
            <v>17.95419630211746</v>
          </cell>
          <cell r="AR41">
            <v>11.765107495533872</v>
          </cell>
          <cell r="AS41">
            <v>11.765107495533872</v>
          </cell>
          <cell r="AT41">
            <v>13.896255999687639</v>
          </cell>
          <cell r="AU41">
            <v>15.837644705526353</v>
          </cell>
          <cell r="AW41">
            <v>0</v>
          </cell>
        </row>
        <row r="42">
          <cell r="F42">
            <v>9.6379212009060176</v>
          </cell>
          <cell r="G42">
            <v>9.5554344879252895</v>
          </cell>
          <cell r="H42">
            <v>9.2471946657341526</v>
          </cell>
          <cell r="I42">
            <v>0</v>
          </cell>
          <cell r="J42">
            <v>10.766686746958072</v>
          </cell>
          <cell r="K42">
            <v>10.050812839124116</v>
          </cell>
          <cell r="L42">
            <v>10.766686746958072</v>
          </cell>
          <cell r="M42">
            <v>10.028647736077883</v>
          </cell>
          <cell r="N42">
            <v>9.9591852409362183</v>
          </cell>
          <cell r="O42">
            <v>10.362935993947147</v>
          </cell>
          <cell r="P42">
            <v>9.7247493198330979</v>
          </cell>
          <cell r="Q42">
            <v>10.766686746958072</v>
          </cell>
          <cell r="U42">
            <v>0.81732628904039095</v>
          </cell>
          <cell r="V42">
            <v>0.81033115413418932</v>
          </cell>
          <cell r="W42">
            <v>0.78419143948469949</v>
          </cell>
          <cell r="X42">
            <v>0</v>
          </cell>
          <cell r="Y42">
            <v>0.91304918775683297</v>
          </cell>
          <cell r="Z42">
            <v>0.8523408096414602</v>
          </cell>
          <cell r="AA42">
            <v>0.91304918775683297</v>
          </cell>
          <cell r="AB42">
            <v>0.85046113859608252</v>
          </cell>
          <cell r="AC42">
            <v>0.84457049867507072</v>
          </cell>
          <cell r="AD42">
            <v>0.87880984321595201</v>
          </cell>
          <cell r="AE42">
            <v>0.82468958894165567</v>
          </cell>
          <cell r="AF42">
            <v>0.91304918775683297</v>
          </cell>
          <cell r="AJ42">
            <v>1.7700836834535463</v>
          </cell>
          <cell r="AK42">
            <v>1.75493431859516</v>
          </cell>
          <cell r="AL42">
            <v>1.6983235341243486</v>
          </cell>
          <cell r="AM42">
            <v>0</v>
          </cell>
          <cell r="AN42">
            <v>1.9773907815156728</v>
          </cell>
          <cell r="AO42">
            <v>1.8459146366860293</v>
          </cell>
          <cell r="AP42">
            <v>1.9773907815156728</v>
          </cell>
          <cell r="AQ42">
            <v>1.8418438327827438</v>
          </cell>
          <cell r="AR42">
            <v>1.829086472901998</v>
          </cell>
          <cell r="AS42">
            <v>1.9032386272088355</v>
          </cell>
          <cell r="AT42">
            <v>1.7860303833044788</v>
          </cell>
          <cell r="AU42">
            <v>1.9773907815156728</v>
          </cell>
        </row>
        <row r="43">
          <cell r="F43">
            <v>9.6379212009060176</v>
          </cell>
          <cell r="G43">
            <v>9.5554344879252895</v>
          </cell>
          <cell r="H43">
            <v>9.2471946657341526</v>
          </cell>
          <cell r="I43">
            <v>10.766686746958072</v>
          </cell>
          <cell r="J43">
            <v>0</v>
          </cell>
          <cell r="K43">
            <v>10.028647736077883</v>
          </cell>
          <cell r="L43">
            <v>10.766686746958072</v>
          </cell>
          <cell r="M43">
            <v>10.028647736077883</v>
          </cell>
          <cell r="N43">
            <v>9.9591852409362183</v>
          </cell>
          <cell r="O43">
            <v>10.362935993947147</v>
          </cell>
          <cell r="P43">
            <v>9.7247493198330979</v>
          </cell>
          <cell r="Q43">
            <v>10.766686746958072</v>
          </cell>
          <cell r="U43">
            <v>0.81748972589299718</v>
          </cell>
          <cell r="V43">
            <v>0.81049319220292182</v>
          </cell>
          <cell r="W43">
            <v>0.78434825051895674</v>
          </cell>
          <cell r="X43">
            <v>0.91323176586244714</v>
          </cell>
          <cell r="Y43">
            <v>0</v>
          </cell>
          <cell r="Z43">
            <v>0.8506312012670374</v>
          </cell>
          <cell r="AA43">
            <v>0.91323176586244714</v>
          </cell>
          <cell r="AB43">
            <v>0.8506312012670374</v>
          </cell>
          <cell r="AC43">
            <v>0.84473938342276378</v>
          </cell>
          <cell r="AD43">
            <v>0.87898557464260563</v>
          </cell>
          <cell r="AE43">
            <v>0.82485449819833934</v>
          </cell>
          <cell r="AF43">
            <v>0.91323176586244714</v>
          </cell>
          <cell r="AJ43">
            <v>1.7700836834535465</v>
          </cell>
          <cell r="AK43">
            <v>1.75493431859516</v>
          </cell>
          <cell r="AL43">
            <v>1.698323534124349</v>
          </cell>
          <cell r="AM43">
            <v>1.9773907815156733</v>
          </cell>
          <cell r="AN43">
            <v>0</v>
          </cell>
          <cell r="AO43">
            <v>1.8418438327827442</v>
          </cell>
          <cell r="AP43">
            <v>1.9773907815156733</v>
          </cell>
          <cell r="AQ43">
            <v>1.8418438327827442</v>
          </cell>
          <cell r="AR43">
            <v>1.829086472901998</v>
          </cell>
          <cell r="AS43">
            <v>1.903238627208836</v>
          </cell>
          <cell r="AT43">
            <v>1.7860303833044793</v>
          </cell>
          <cell r="AU43">
            <v>1.9773907815156733</v>
          </cell>
        </row>
        <row r="44">
          <cell r="F44">
            <v>9.6379212009060176</v>
          </cell>
          <cell r="G44">
            <v>9.5554344879252895</v>
          </cell>
          <cell r="H44">
            <v>9.2471946657341526</v>
          </cell>
          <cell r="I44">
            <v>10.766686746958072</v>
          </cell>
          <cell r="J44">
            <v>10.766686746958072</v>
          </cell>
          <cell r="K44">
            <v>9.8568604968537166</v>
          </cell>
          <cell r="L44">
            <v>10.766686746958072</v>
          </cell>
          <cell r="M44">
            <v>10.028647736077883</v>
          </cell>
          <cell r="N44">
            <v>0</v>
          </cell>
          <cell r="O44">
            <v>5.1814679969735717</v>
          </cell>
          <cell r="P44">
            <v>9.7247493198330979</v>
          </cell>
          <cell r="Q44">
            <v>10.766686746958072</v>
          </cell>
          <cell r="U44">
            <v>0.85244872052674237</v>
          </cell>
          <cell r="V44">
            <v>0.84515298823394569</v>
          </cell>
          <cell r="W44">
            <v>0.81788998861349604</v>
          </cell>
          <cell r="X44">
            <v>0.95228505716500922</v>
          </cell>
          <cell r="Y44">
            <v>0.95228505716500922</v>
          </cell>
          <cell r="Z44">
            <v>0.87181332403544265</v>
          </cell>
          <cell r="AA44">
            <v>0.95228505716500922</v>
          </cell>
          <cell r="AB44">
            <v>0.88700745243998858</v>
          </cell>
          <cell r="AC44">
            <v>0</v>
          </cell>
          <cell r="AD44">
            <v>0.45828718376066069</v>
          </cell>
          <cell r="AE44">
            <v>0.86012843872968592</v>
          </cell>
          <cell r="AF44">
            <v>0.95228505716500922</v>
          </cell>
          <cell r="AJ44">
            <v>1.7700836834535463</v>
          </cell>
          <cell r="AK44">
            <v>1.7549343185951596</v>
          </cell>
          <cell r="AL44">
            <v>1.6983235341243481</v>
          </cell>
          <cell r="AM44">
            <v>1.9773907815156728</v>
          </cell>
          <cell r="AN44">
            <v>1.9773907815156728</v>
          </cell>
          <cell r="AO44">
            <v>1.810293690087279</v>
          </cell>
          <cell r="AP44">
            <v>1.9773907815156728</v>
          </cell>
          <cell r="AQ44">
            <v>1.8418438327827438</v>
          </cell>
          <cell r="AR44">
            <v>0</v>
          </cell>
          <cell r="AS44">
            <v>0.95161931360441743</v>
          </cell>
          <cell r="AT44">
            <v>1.7860303833044788</v>
          </cell>
          <cell r="AU44">
            <v>1.9773907815156728</v>
          </cell>
        </row>
        <row r="45">
          <cell r="F45">
            <v>9.6379212009060176</v>
          </cell>
          <cell r="G45">
            <v>9.5554344879252895</v>
          </cell>
          <cell r="H45">
            <v>9.2471946657341491</v>
          </cell>
          <cell r="I45">
            <v>10.766686746958072</v>
          </cell>
          <cell r="J45">
            <v>10.766686746958072</v>
          </cell>
          <cell r="K45">
            <v>9.8332844684919465</v>
          </cell>
          <cell r="L45">
            <v>10.766686746958072</v>
          </cell>
          <cell r="M45">
            <v>0</v>
          </cell>
          <cell r="N45">
            <v>4.9795926204681074</v>
          </cell>
          <cell r="O45">
            <v>10.362935993947143</v>
          </cell>
          <cell r="P45">
            <v>9.7247493198330979</v>
          </cell>
          <cell r="Q45">
            <v>10.766686746958072</v>
          </cell>
          <cell r="U45">
            <v>0.85157681279069775</v>
          </cell>
          <cell r="V45">
            <v>0.84428854277131771</v>
          </cell>
          <cell r="W45">
            <v>0.81705342848837181</v>
          </cell>
          <cell r="X45">
            <v>0.95131103410852691</v>
          </cell>
          <cell r="Y45">
            <v>0.95131103410852691</v>
          </cell>
          <cell r="Z45">
            <v>0.8688385049418601</v>
          </cell>
          <cell r="AA45">
            <v>0.95131103410852691</v>
          </cell>
          <cell r="AB45">
            <v>0</v>
          </cell>
          <cell r="AC45">
            <v>0.43998135327519361</v>
          </cell>
          <cell r="AD45">
            <v>0.91563687032945718</v>
          </cell>
          <cell r="AE45">
            <v>0.85924867596899213</v>
          </cell>
          <cell r="AF45">
            <v>0.95131103410852691</v>
          </cell>
          <cell r="AJ45">
            <v>1.7700836834535458</v>
          </cell>
          <cell r="AK45">
            <v>1.7549343185951596</v>
          </cell>
          <cell r="AL45">
            <v>1.6983235341243474</v>
          </cell>
          <cell r="AM45">
            <v>1.9773907815156726</v>
          </cell>
          <cell r="AN45">
            <v>1.9773907815156726</v>
          </cell>
          <cell r="AO45">
            <v>1.805963758118144</v>
          </cell>
          <cell r="AP45">
            <v>1.9773907815156726</v>
          </cell>
          <cell r="AQ45">
            <v>0</v>
          </cell>
          <cell r="AR45">
            <v>0.91454323645099844</v>
          </cell>
          <cell r="AS45">
            <v>1.9032386272088346</v>
          </cell>
          <cell r="AT45">
            <v>1.7860303833044786</v>
          </cell>
          <cell r="AU45">
            <v>1.9773907815156726</v>
          </cell>
        </row>
        <row r="46">
          <cell r="F46">
            <v>13.23828162256661</v>
          </cell>
          <cell r="G46">
            <v>14.906659048395113</v>
          </cell>
          <cell r="H46">
            <v>9.9287112169249667</v>
          </cell>
          <cell r="I46">
            <v>10.687154434884519</v>
          </cell>
          <cell r="J46">
            <v>11.969612967070667</v>
          </cell>
          <cell r="K46">
            <v>9.9287112169249667</v>
          </cell>
          <cell r="L46">
            <v>14.534530031442969</v>
          </cell>
          <cell r="M46">
            <v>16.961548328913459</v>
          </cell>
          <cell r="N46">
            <v>11.114640612279899</v>
          </cell>
          <cell r="O46">
            <v>11.406640578770784</v>
          </cell>
          <cell r="P46">
            <v>13.514079156370123</v>
          </cell>
          <cell r="Q46">
            <v>15.389502386233737</v>
          </cell>
          <cell r="U46">
            <v>2.0760946701835126</v>
          </cell>
          <cell r="V46">
            <v>2.3377381055152275</v>
          </cell>
          <cell r="W46">
            <v>1.5570710026376355</v>
          </cell>
          <cell r="X46">
            <v>1.6760139264502338</v>
          </cell>
          <cell r="Y46">
            <v>1.8771355976242625</v>
          </cell>
          <cell r="Z46">
            <v>1.5570710026376355</v>
          </cell>
          <cell r="AA46">
            <v>2.2793789399723217</v>
          </cell>
          <cell r="AB46">
            <v>2.6599962961726233</v>
          </cell>
          <cell r="AC46">
            <v>1.7430544835082429</v>
          </cell>
          <cell r="AD46">
            <v>1.7888474037232125</v>
          </cell>
          <cell r="AE46">
            <v>2.1193466424790084</v>
          </cell>
          <cell r="AF46">
            <v>2.4134600540883411</v>
          </cell>
          <cell r="AJ46">
            <v>5.3996303082124681</v>
          </cell>
          <cell r="AK46">
            <v>6.0801280926593977</v>
          </cell>
          <cell r="AL46">
            <v>4.0497227311593544</v>
          </cell>
          <cell r="AM46">
            <v>4.3590765509006975</v>
          </cell>
          <cell r="AN46">
            <v>4.8821657370087825</v>
          </cell>
          <cell r="AO46">
            <v>4.0497227311593544</v>
          </cell>
          <cell r="AP46">
            <v>5.9283441092249571</v>
          </cell>
          <cell r="AQ46">
            <v>6.9182763323972214</v>
          </cell>
          <cell r="AR46">
            <v>4.533439612936724</v>
          </cell>
          <cell r="AS46">
            <v>4.6525405592690259</v>
          </cell>
          <cell r="AT46">
            <v>5.5121226063002444</v>
          </cell>
          <cell r="AU46">
            <v>6.2770702332970156</v>
          </cell>
        </row>
        <row r="47">
          <cell r="F47">
            <v>18.523332037777365</v>
          </cell>
          <cell r="G47">
            <v>0</v>
          </cell>
          <cell r="H47">
            <v>6.9462495141664995</v>
          </cell>
          <cell r="I47">
            <v>14.385894733152483</v>
          </cell>
          <cell r="J47">
            <v>16.150030120437123</v>
          </cell>
          <cell r="K47">
            <v>13.892499028332999</v>
          </cell>
          <cell r="L47">
            <v>19.738925702756504</v>
          </cell>
          <cell r="M47">
            <v>23.733019173402205</v>
          </cell>
          <cell r="N47">
            <v>15.551880856717226</v>
          </cell>
          <cell r="O47">
            <v>15.551880856717226</v>
          </cell>
          <cell r="P47">
            <v>18.368970937462556</v>
          </cell>
          <cell r="Q47">
            <v>21.129967099538959</v>
          </cell>
          <cell r="U47">
            <v>3.6329770162777377</v>
          </cell>
          <cell r="V47">
            <v>0</v>
          </cell>
          <cell r="W47">
            <v>1.3623663811041493</v>
          </cell>
          <cell r="X47">
            <v>2.8215023526839023</v>
          </cell>
          <cell r="Y47">
            <v>3.1675018360671494</v>
          </cell>
          <cell r="Z47">
            <v>2.7247327622082986</v>
          </cell>
          <cell r="AA47">
            <v>3.8713911329709645</v>
          </cell>
          <cell r="AB47">
            <v>4.654751802105844</v>
          </cell>
          <cell r="AC47">
            <v>3.0501869532498471</v>
          </cell>
          <cell r="AD47">
            <v>3.0501869532498471</v>
          </cell>
          <cell r="AE47">
            <v>3.6027022078087576</v>
          </cell>
          <cell r="AF47">
            <v>4.1442157745038672</v>
          </cell>
          <cell r="AJ47">
            <v>7.8497445142327766</v>
          </cell>
          <cell r="AK47">
            <v>0</v>
          </cell>
          <cell r="AL47">
            <v>2.9436541928372861</v>
          </cell>
          <cell r="AM47">
            <v>6.0963976693603534</v>
          </cell>
          <cell r="AN47">
            <v>6.8439959983466947</v>
          </cell>
          <cell r="AO47">
            <v>5.8873083856745723</v>
          </cell>
          <cell r="AP47">
            <v>8.3648839979793017</v>
          </cell>
          <cell r="AQ47">
            <v>10.057485158860725</v>
          </cell>
          <cell r="AR47">
            <v>6.5905146650745934</v>
          </cell>
          <cell r="AS47">
            <v>6.5905146650745934</v>
          </cell>
          <cell r="AT47">
            <v>7.7843299766141714</v>
          </cell>
          <cell r="AU47">
            <v>8.9543740287790747</v>
          </cell>
        </row>
        <row r="48">
          <cell r="F48">
            <v>11.269028396128373</v>
          </cell>
          <cell r="G48">
            <v>11.644662675999321</v>
          </cell>
          <cell r="H48">
            <v>11.269028396128373</v>
          </cell>
          <cell r="I48">
            <v>11.644662675999321</v>
          </cell>
          <cell r="J48">
            <v>11.644662675999321</v>
          </cell>
          <cell r="K48">
            <v>11.269028396128373</v>
          </cell>
          <cell r="L48">
            <v>11.644662675999321</v>
          </cell>
          <cell r="M48">
            <v>11.269028396128373</v>
          </cell>
          <cell r="N48">
            <v>11.644662675999321</v>
          </cell>
          <cell r="O48">
            <v>11.644662675999321</v>
          </cell>
          <cell r="P48">
            <v>10.517759836386485</v>
          </cell>
          <cell r="Q48">
            <v>11.644662675999321</v>
          </cell>
          <cell r="AJ48">
            <v>5.1382043592673661</v>
          </cell>
          <cell r="AK48">
            <v>5.309477837909613</v>
          </cell>
          <cell r="AL48">
            <v>5.1382043592673661</v>
          </cell>
          <cell r="AM48">
            <v>5.309477837909613</v>
          </cell>
          <cell r="AN48">
            <v>5.309477837909613</v>
          </cell>
          <cell r="AO48">
            <v>5.1382043592673661</v>
          </cell>
          <cell r="AP48">
            <v>5.309477837909613</v>
          </cell>
          <cell r="AQ48">
            <v>5.1382043592673661</v>
          </cell>
          <cell r="AR48">
            <v>5.309477837909613</v>
          </cell>
          <cell r="AS48">
            <v>5.309477837909613</v>
          </cell>
          <cell r="AT48">
            <v>4.7956574019828766</v>
          </cell>
          <cell r="AU48">
            <v>5.309477837909613</v>
          </cell>
        </row>
        <row r="49">
          <cell r="F49">
            <v>9.3161841360358615</v>
          </cell>
          <cell r="G49">
            <v>9.2416546629475746</v>
          </cell>
          <cell r="H49">
            <v>0</v>
          </cell>
          <cell r="I49">
            <v>4.6208273314737873</v>
          </cell>
          <cell r="J49">
            <v>9.6267236072370572</v>
          </cell>
          <cell r="K49">
            <v>8.9435367705944273</v>
          </cell>
          <cell r="L49">
            <v>11.552068328684459</v>
          </cell>
          <cell r="M49">
            <v>13.903931865099146</v>
          </cell>
          <cell r="N49">
            <v>9.6267236072370572</v>
          </cell>
          <cell r="O49">
            <v>9.6267236072370572</v>
          </cell>
          <cell r="P49">
            <v>11.725973175857785</v>
          </cell>
          <cell r="Q49">
            <v>13.477413050131865</v>
          </cell>
          <cell r="U49">
            <v>2.7750112893951551</v>
          </cell>
          <cell r="V49">
            <v>2.7528111990799937</v>
          </cell>
          <cell r="W49">
            <v>0</v>
          </cell>
          <cell r="X49">
            <v>1.3764055995399969</v>
          </cell>
          <cell r="Y49">
            <v>2.8675116657083271</v>
          </cell>
          <cell r="Z49">
            <v>2.6640108378193488</v>
          </cell>
          <cell r="AA49">
            <v>3.4410139988499902</v>
          </cell>
          <cell r="AB49">
            <v>4.1415634694666839</v>
          </cell>
          <cell r="AC49">
            <v>2.8675116657083271</v>
          </cell>
          <cell r="AD49">
            <v>2.8675116657083271</v>
          </cell>
          <cell r="AE49">
            <v>3.4928150267321909</v>
          </cell>
          <cell r="AF49">
            <v>4.0145163319916533</v>
          </cell>
          <cell r="AJ49">
            <v>5.431544885549048</v>
          </cell>
          <cell r="AK49">
            <v>5.3880925264646553</v>
          </cell>
          <cell r="AL49">
            <v>0</v>
          </cell>
          <cell r="AM49">
            <v>2.6940462632323277</v>
          </cell>
          <cell r="AN49">
            <v>5.6125963817340168</v>
          </cell>
          <cell r="AO49">
            <v>5.2142830901270862</v>
          </cell>
          <cell r="AP49">
            <v>6.7351156580808134</v>
          </cell>
          <cell r="AQ49">
            <v>8.1063049965687153</v>
          </cell>
          <cell r="AR49">
            <v>5.6125963817340168</v>
          </cell>
          <cell r="AS49">
            <v>5.6125963817340168</v>
          </cell>
          <cell r="AT49">
            <v>6.83650609535038</v>
          </cell>
          <cell r="AU49">
            <v>7.8576349344276135</v>
          </cell>
        </row>
        <row r="50">
          <cell r="F50">
            <v>9.3161841360358615</v>
          </cell>
          <cell r="G50">
            <v>9.2416546629475746</v>
          </cell>
          <cell r="H50">
            <v>8.9435367705944273</v>
          </cell>
          <cell r="I50">
            <v>0</v>
          </cell>
          <cell r="J50">
            <v>4.8133618036185286</v>
          </cell>
          <cell r="K50">
            <v>8.9435367705944273</v>
          </cell>
          <cell r="L50">
            <v>11.552068328684459</v>
          </cell>
          <cell r="M50">
            <v>13.508498790608634</v>
          </cell>
          <cell r="N50">
            <v>9.6267236072370572</v>
          </cell>
          <cell r="O50">
            <v>9.6267236072370572</v>
          </cell>
          <cell r="P50">
            <v>11.477538855596173</v>
          </cell>
          <cell r="Q50">
            <v>13.477413050131865</v>
          </cell>
          <cell r="U50">
            <v>2.8034957166643339</v>
          </cell>
          <cell r="V50">
            <v>2.7810677509310189</v>
          </cell>
          <cell r="W50">
            <v>2.6913558879977604</v>
          </cell>
          <cell r="X50">
            <v>0</v>
          </cell>
          <cell r="Y50">
            <v>1.448472786943239</v>
          </cell>
          <cell r="Z50">
            <v>2.6913558879977604</v>
          </cell>
          <cell r="AA50">
            <v>3.4763346886637714</v>
          </cell>
          <cell r="AB50">
            <v>4.0650783566576401</v>
          </cell>
          <cell r="AC50">
            <v>2.896945573886478</v>
          </cell>
          <cell r="AD50">
            <v>2.896945573886478</v>
          </cell>
          <cell r="AE50">
            <v>3.4539067229304563</v>
          </cell>
          <cell r="AF50">
            <v>4.0557238034410652</v>
          </cell>
          <cell r="AJ50">
            <v>5.4315448855490471</v>
          </cell>
          <cell r="AK50">
            <v>5.3880925264646553</v>
          </cell>
          <cell r="AL50">
            <v>5.2142830901270854</v>
          </cell>
          <cell r="AM50">
            <v>0</v>
          </cell>
          <cell r="AN50">
            <v>2.8062981908670079</v>
          </cell>
          <cell r="AO50">
            <v>5.2142830901270854</v>
          </cell>
          <cell r="AP50">
            <v>6.7351156580808134</v>
          </cell>
          <cell r="AQ50">
            <v>7.8757586202881145</v>
          </cell>
          <cell r="AR50">
            <v>5.6125963817340159</v>
          </cell>
          <cell r="AS50">
            <v>5.6125963817340159</v>
          </cell>
          <cell r="AT50">
            <v>6.6916632989964215</v>
          </cell>
          <cell r="AU50">
            <v>7.8576349344276126</v>
          </cell>
        </row>
        <row r="51">
          <cell r="F51">
            <v>9.3161841360358615</v>
          </cell>
          <cell r="G51">
            <v>9.2416546629475746</v>
          </cell>
          <cell r="H51">
            <v>8.9435367705944273</v>
          </cell>
          <cell r="I51">
            <v>9.2416546629475746</v>
          </cell>
          <cell r="J51">
            <v>9.6267236072370572</v>
          </cell>
          <cell r="K51">
            <v>8.9435367705944273</v>
          </cell>
          <cell r="L51">
            <v>11.552068328684459</v>
          </cell>
          <cell r="M51">
            <v>6.7076525779458116</v>
          </cell>
          <cell r="N51">
            <v>0</v>
          </cell>
          <cell r="O51">
            <v>9.6267236072370572</v>
          </cell>
          <cell r="P51">
            <v>11.477538855596173</v>
          </cell>
          <cell r="Q51">
            <v>13.477413050131865</v>
          </cell>
          <cell r="U51">
            <v>2.8649950686229482</v>
          </cell>
          <cell r="V51">
            <v>2.8420751080739644</v>
          </cell>
          <cell r="W51">
            <v>2.7503952658780304</v>
          </cell>
          <cell r="X51">
            <v>2.8420751080739644</v>
          </cell>
          <cell r="Y51">
            <v>2.960494904243713</v>
          </cell>
          <cell r="Z51">
            <v>2.7503952658780304</v>
          </cell>
          <cell r="AA51">
            <v>3.5525938850924534</v>
          </cell>
          <cell r="AB51">
            <v>2.0627964494085198</v>
          </cell>
          <cell r="AC51">
            <v>0</v>
          </cell>
          <cell r="AD51">
            <v>2.960494904243713</v>
          </cell>
          <cell r="AE51">
            <v>3.5296739245434692</v>
          </cell>
          <cell r="AF51">
            <v>4.1446928659411935</v>
          </cell>
          <cell r="AJ51">
            <v>5.431544885549048</v>
          </cell>
          <cell r="AK51">
            <v>5.3880925264646553</v>
          </cell>
          <cell r="AL51">
            <v>5.2142830901270862</v>
          </cell>
          <cell r="AM51">
            <v>5.3880925264646553</v>
          </cell>
          <cell r="AN51">
            <v>5.6125963817340168</v>
          </cell>
          <cell r="AO51">
            <v>5.2142830901270862</v>
          </cell>
          <cell r="AP51">
            <v>6.7351156580808134</v>
          </cell>
          <cell r="AQ51">
            <v>3.9107123175953094</v>
          </cell>
          <cell r="AR51">
            <v>0</v>
          </cell>
          <cell r="AS51">
            <v>5.6125963817340168</v>
          </cell>
          <cell r="AT51">
            <v>6.6916632989964215</v>
          </cell>
          <cell r="AU51">
            <v>7.8576349344276135</v>
          </cell>
        </row>
        <row r="52">
          <cell r="F52">
            <v>11.017309738431809</v>
          </cell>
          <cell r="G52">
            <v>10.923017447877662</v>
          </cell>
          <cell r="H52">
            <v>10.570662046333222</v>
          </cell>
          <cell r="I52">
            <v>12.307625293383282</v>
          </cell>
          <cell r="J52">
            <v>0</v>
          </cell>
          <cell r="K52">
            <v>11.240633584481103</v>
          </cell>
          <cell r="L52">
            <v>12.307625293383282</v>
          </cell>
          <cell r="M52">
            <v>11.4639574305304</v>
          </cell>
          <cell r="N52">
            <v>11.384553396379538</v>
          </cell>
          <cell r="O52">
            <v>11.84608934488141</v>
          </cell>
          <cell r="P52">
            <v>11.116564781120385</v>
          </cell>
          <cell r="Q52">
            <v>12.307625293383282</v>
          </cell>
          <cell r="U52">
            <v>2.1972084471299098</v>
          </cell>
          <cell r="V52">
            <v>2.1784035099697885</v>
          </cell>
          <cell r="W52">
            <v>2.1081324290030214</v>
          </cell>
          <cell r="X52">
            <v>2.4545391661631424</v>
          </cell>
          <cell r="Y52">
            <v>0</v>
          </cell>
          <cell r="Z52">
            <v>2.2417464561933538</v>
          </cell>
          <cell r="AA52">
            <v>2.4545391661631424</v>
          </cell>
          <cell r="AB52">
            <v>2.2862844652567986</v>
          </cell>
          <cell r="AC52">
            <v>2.2704487287009067</v>
          </cell>
          <cell r="AD52">
            <v>2.3624939474320246</v>
          </cell>
          <cell r="AE52">
            <v>2.217003117824774</v>
          </cell>
          <cell r="AF52">
            <v>2.4545391661631424</v>
          </cell>
          <cell r="AJ52">
            <v>3.0468754971583984</v>
          </cell>
          <cell r="AK52">
            <v>3.0207986347953311</v>
          </cell>
          <cell r="AL52">
            <v>2.9233535175438687</v>
          </cell>
          <cell r="AM52">
            <v>3.4037167716003731</v>
          </cell>
          <cell r="AN52">
            <v>0</v>
          </cell>
          <cell r="AO52">
            <v>3.1086364869656635</v>
          </cell>
          <cell r="AP52">
            <v>3.4037167716003731</v>
          </cell>
          <cell r="AQ52">
            <v>3.170397476772929</v>
          </cell>
          <cell r="AR52">
            <v>3.1484380137303458</v>
          </cell>
          <cell r="AS52">
            <v>3.2760773926653592</v>
          </cell>
          <cell r="AT52">
            <v>3.0743248259616278</v>
          </cell>
          <cell r="AU52">
            <v>3.4037167716003731</v>
          </cell>
        </row>
        <row r="53">
          <cell r="F53">
            <v>4.5905958329101413</v>
          </cell>
          <cell r="G53">
            <v>4.5538710662468613</v>
          </cell>
          <cell r="H53">
            <v>4.4069719995937362</v>
          </cell>
          <cell r="I53">
            <v>4.5538710662468613</v>
          </cell>
          <cell r="J53">
            <v>4.743615694007147</v>
          </cell>
          <cell r="K53">
            <v>4.4069719995937362</v>
          </cell>
          <cell r="L53">
            <v>5.6923388328085682</v>
          </cell>
          <cell r="M53">
            <v>6.9777056660233967</v>
          </cell>
          <cell r="N53">
            <v>4.743615694007147</v>
          </cell>
          <cell r="O53">
            <v>4.743615694007147</v>
          </cell>
          <cell r="P53">
            <v>5.8269963105739304</v>
          </cell>
          <cell r="Q53">
            <v>6.6410619716099912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J53">
            <v>2.0881553197699119</v>
          </cell>
          <cell r="AK53">
            <v>2.071450077211753</v>
          </cell>
          <cell r="AL53">
            <v>2.0046291069791158</v>
          </cell>
          <cell r="AM53">
            <v>2.071450077211753</v>
          </cell>
          <cell r="AN53">
            <v>2.1577604970955759</v>
          </cell>
          <cell r="AO53">
            <v>2.0046291069791158</v>
          </cell>
          <cell r="AP53">
            <v>2.5893125965146875</v>
          </cell>
          <cell r="AQ53">
            <v>3.1739960860502583</v>
          </cell>
          <cell r="AR53">
            <v>2.1577604970955759</v>
          </cell>
          <cell r="AS53">
            <v>2.1577604970955759</v>
          </cell>
          <cell r="AT53">
            <v>2.650565152561271</v>
          </cell>
          <cell r="AU53">
            <v>3.0208646959337999</v>
          </cell>
        </row>
        <row r="54">
          <cell r="F54">
            <v>20.050440620661519</v>
          </cell>
          <cell r="G54">
            <v>19.890037095696229</v>
          </cell>
          <cell r="H54">
            <v>19.248422995835057</v>
          </cell>
          <cell r="I54">
            <v>19.890037095696229</v>
          </cell>
          <cell r="J54">
            <v>20.718788641350237</v>
          </cell>
          <cell r="K54">
            <v>19.248422995835057</v>
          </cell>
          <cell r="L54">
            <v>24.862546369620297</v>
          </cell>
          <cell r="M54">
            <v>27.957805059926912</v>
          </cell>
          <cell r="N54">
            <v>20.001753531833927</v>
          </cell>
          <cell r="O54">
            <v>20.718788641350237</v>
          </cell>
          <cell r="P54">
            <v>24.702142844655008</v>
          </cell>
          <cell r="Q54">
            <v>29.00630409789035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J54">
            <v>12.05376633690128</v>
          </cell>
          <cell r="AK54">
            <v>11.957336206206071</v>
          </cell>
          <cell r="AL54">
            <v>11.571615683425227</v>
          </cell>
          <cell r="AM54">
            <v>11.957336206206071</v>
          </cell>
          <cell r="AN54">
            <v>12.455558548131323</v>
          </cell>
          <cell r="AO54">
            <v>11.571615683425227</v>
          </cell>
          <cell r="AP54">
            <v>14.946670257757594</v>
          </cell>
          <cell r="AQ54">
            <v>16.807453554797583</v>
          </cell>
          <cell r="AR54">
            <v>12.024497015420783</v>
          </cell>
          <cell r="AS54">
            <v>12.455558548131323</v>
          </cell>
          <cell r="AT54">
            <v>14.850240127062387</v>
          </cell>
          <cell r="AU54">
            <v>17.437781967383863</v>
          </cell>
        </row>
        <row r="55">
          <cell r="F55">
            <v>112.17476191077378</v>
          </cell>
          <cell r="G55">
            <v>110.51035070021703</v>
          </cell>
          <cell r="H55">
            <v>84.463954506835506</v>
          </cell>
          <cell r="I55">
            <v>43.51908701275066</v>
          </cell>
          <cell r="J55">
            <v>0</v>
          </cell>
          <cell r="K55">
            <v>84.230490992420641</v>
          </cell>
          <cell r="L55">
            <v>116.25878515340025</v>
          </cell>
          <cell r="M55">
            <v>116.12358952353139</v>
          </cell>
          <cell r="N55">
            <v>99.477590946289325</v>
          </cell>
          <cell r="O55">
            <v>100.07126399257771</v>
          </cell>
          <cell r="P55">
            <v>101.61249167139803</v>
          </cell>
          <cell r="Q55">
            <v>121.57015564912626</v>
          </cell>
          <cell r="U55">
            <v>31.634945679224323</v>
          </cell>
          <cell r="V55">
            <v>31.165557045480341</v>
          </cell>
          <cell r="W55">
            <v>23.820087220702924</v>
          </cell>
          <cell r="X55">
            <v>12.27302764192965</v>
          </cell>
          <cell r="Y55">
            <v>0</v>
          </cell>
          <cell r="Z55">
            <v>23.754247048896097</v>
          </cell>
          <cell r="AA55">
            <v>32.786700773083538</v>
          </cell>
          <cell r="AB55">
            <v>32.748573601390746</v>
          </cell>
          <cell r="AC55">
            <v>28.054155250974606</v>
          </cell>
          <cell r="AD55">
            <v>28.221579850328702</v>
          </cell>
          <cell r="AE55">
            <v>28.656228902114343</v>
          </cell>
          <cell r="AF55">
            <v>34.284585985874784</v>
          </cell>
          <cell r="AJ55">
            <v>41.084674090907541</v>
          </cell>
          <cell r="AK55">
            <v>40.475073580292069</v>
          </cell>
          <cell r="AL55">
            <v>30.935425974898255</v>
          </cell>
          <cell r="AM55">
            <v>15.939124596269668</v>
          </cell>
          <cell r="AN55">
            <v>0</v>
          </cell>
          <cell r="AO55">
            <v>30.849918573425164</v>
          </cell>
          <cell r="AP55">
            <v>42.58047190714418</v>
          </cell>
          <cell r="AQ55">
            <v>42.530955703168679</v>
          </cell>
          <cell r="AR55">
            <v>36.434259665536914</v>
          </cell>
          <cell r="AS55">
            <v>36.651695951630536</v>
          </cell>
          <cell r="AT55">
            <v>37.216179760694338</v>
          </cell>
          <cell r="AU55">
            <v>44.525792958652531</v>
          </cell>
        </row>
        <row r="56">
          <cell r="F56">
            <v>106.5233706131387</v>
          </cell>
          <cell r="G56">
            <v>109.85400605160362</v>
          </cell>
          <cell r="H56">
            <v>77.763800904100805</v>
          </cell>
          <cell r="I56">
            <v>84.38295074824822</v>
          </cell>
          <cell r="J56">
            <v>99.912084657899328</v>
          </cell>
          <cell r="K56">
            <v>79.43654610119637</v>
          </cell>
          <cell r="L56">
            <v>0</v>
          </cell>
          <cell r="M56">
            <v>116.12358952353139</v>
          </cell>
          <cell r="N56">
            <v>48.589271907440065</v>
          </cell>
          <cell r="O56">
            <v>97.932339113991446</v>
          </cell>
          <cell r="P56">
            <v>96.435027344743673</v>
          </cell>
          <cell r="Q56">
            <v>116.46585457328553</v>
          </cell>
          <cell r="U56">
            <v>31.686330538486828</v>
          </cell>
          <cell r="V56">
            <v>32.677057876524898</v>
          </cell>
          <cell r="W56">
            <v>23.131538977724581</v>
          </cell>
          <cell r="X56">
            <v>25.100464375392757</v>
          </cell>
          <cell r="Y56">
            <v>29.719744324997901</v>
          </cell>
          <cell r="Z56">
            <v>23.62911201654935</v>
          </cell>
          <cell r="AA56">
            <v>0</v>
          </cell>
          <cell r="AB56">
            <v>34.542001626301762</v>
          </cell>
          <cell r="AC56">
            <v>14.453314060770628</v>
          </cell>
          <cell r="AD56">
            <v>29.130851283731101</v>
          </cell>
          <cell r="AE56">
            <v>28.685462489080066</v>
          </cell>
          <cell r="AF56">
            <v>34.643811430440117</v>
          </cell>
          <cell r="AJ56">
            <v>39.014818397269309</v>
          </cell>
          <cell r="AK56">
            <v>40.234683446894302</v>
          </cell>
          <cell r="AL56">
            <v>28.481454845934913</v>
          </cell>
          <cell r="AM56">
            <v>30.905757866270175</v>
          </cell>
          <cell r="AN56">
            <v>36.59339557304385</v>
          </cell>
          <cell r="AO56">
            <v>29.094107728714967</v>
          </cell>
          <cell r="AP56">
            <v>0</v>
          </cell>
          <cell r="AQ56">
            <v>42.530955703168679</v>
          </cell>
          <cell r="AR56">
            <v>17.796109986126329</v>
          </cell>
          <cell r="AS56">
            <v>35.868301986314606</v>
          </cell>
          <cell r="AT56">
            <v>35.319902640471057</v>
          </cell>
          <cell r="AU56">
            <v>42.656312314427112</v>
          </cell>
        </row>
        <row r="57">
          <cell r="F57">
            <v>0.12796403251583061</v>
          </cell>
          <cell r="G57">
            <v>0.13712221150728354</v>
          </cell>
          <cell r="H57">
            <v>0.14206525116460067</v>
          </cell>
          <cell r="I57">
            <v>0.31058673461459441</v>
          </cell>
          <cell r="J57">
            <v>0.7292009549336127</v>
          </cell>
          <cell r="K57">
            <v>0.36829487779381465</v>
          </cell>
          <cell r="L57">
            <v>0.40595411689535166</v>
          </cell>
          <cell r="M57">
            <v>0.13923387115078323</v>
          </cell>
          <cell r="N57">
            <v>0.23885640075474146</v>
          </cell>
          <cell r="O57">
            <v>0.45577087028531116</v>
          </cell>
          <cell r="P57">
            <v>0.40933319447467575</v>
          </cell>
          <cell r="Q57">
            <v>0.19013641544474624</v>
          </cell>
          <cell r="U57">
            <v>0.13102430104483589</v>
          </cell>
          <cell r="V57">
            <v>0.1404014985088981</v>
          </cell>
          <cell r="W57">
            <v>0.14546275129535399</v>
          </cell>
          <cell r="X57">
            <v>0.31801443746812846</v>
          </cell>
          <cell r="Y57">
            <v>0.74663984529858973</v>
          </cell>
          <cell r="Z57">
            <v>0.37710267481104937</v>
          </cell>
          <cell r="AA57">
            <v>0.41566253717353635</v>
          </cell>
          <cell r="AB57">
            <v>0.14256365863619719</v>
          </cell>
          <cell r="AC57">
            <v>0.24456866780205244</v>
          </cell>
          <cell r="AD57">
            <v>0.46667066160439868</v>
          </cell>
          <cell r="AE57">
            <v>0.41912242562267882</v>
          </cell>
          <cell r="AF57">
            <v>0.19468354073427982</v>
          </cell>
        </row>
        <row r="58">
          <cell r="F58">
            <v>0.12796403251583061</v>
          </cell>
          <cell r="G58">
            <v>0.13712221150728354</v>
          </cell>
          <cell r="H58">
            <v>0.14206525116460067</v>
          </cell>
          <cell r="I58">
            <v>0.31058673461459441</v>
          </cell>
          <cell r="J58">
            <v>0.7292009549336127</v>
          </cell>
          <cell r="K58">
            <v>0.36829487779381465</v>
          </cell>
          <cell r="L58">
            <v>0.40595411689535166</v>
          </cell>
          <cell r="M58">
            <v>0.13923387115078323</v>
          </cell>
          <cell r="N58">
            <v>0.23885640075474146</v>
          </cell>
          <cell r="O58">
            <v>0.45577087028531116</v>
          </cell>
          <cell r="P58">
            <v>0.40933319447467575</v>
          </cell>
          <cell r="Q58">
            <v>0.19013641544474624</v>
          </cell>
          <cell r="U58">
            <v>0.13102430104483589</v>
          </cell>
          <cell r="V58">
            <v>0.1404014985088981</v>
          </cell>
          <cell r="W58">
            <v>0.14546275129535399</v>
          </cell>
          <cell r="X58">
            <v>0.31801443746812846</v>
          </cell>
          <cell r="Y58">
            <v>0.74663984529858973</v>
          </cell>
          <cell r="Z58">
            <v>0.37710267481104937</v>
          </cell>
          <cell r="AA58">
            <v>0.41566253717353635</v>
          </cell>
          <cell r="AB58">
            <v>0.14256365863619719</v>
          </cell>
          <cell r="AC58">
            <v>0.24456866780205244</v>
          </cell>
          <cell r="AD58">
            <v>0.46667066160439868</v>
          </cell>
          <cell r="AE58">
            <v>0.41912242562267882</v>
          </cell>
          <cell r="AF58">
            <v>0.19468354073427982</v>
          </cell>
        </row>
        <row r="59">
          <cell r="F59">
            <v>2.8152087153482732</v>
          </cell>
          <cell r="G59">
            <v>3.0166886531602382</v>
          </cell>
          <cell r="H59">
            <v>3.1254355256212145</v>
          </cell>
          <cell r="I59">
            <v>6.8329081615210754</v>
          </cell>
          <cell r="J59">
            <v>16.042421008539478</v>
          </cell>
          <cell r="K59">
            <v>8.1024873114639213</v>
          </cell>
          <cell r="L59">
            <v>8.9309905716977376</v>
          </cell>
          <cell r="M59">
            <v>3.0631451653172315</v>
          </cell>
          <cell r="N59">
            <v>5.254840816604311</v>
          </cell>
          <cell r="O59">
            <v>10.026959146276848</v>
          </cell>
          <cell r="P59">
            <v>9.0053302784428624</v>
          </cell>
          <cell r="Q59">
            <v>4.183001139784416</v>
          </cell>
          <cell r="U59">
            <v>0.40979845265119241</v>
          </cell>
          <cell r="V59">
            <v>0.43912706559042425</v>
          </cell>
          <cell r="W59">
            <v>0.45495690435946612</v>
          </cell>
          <cell r="X59">
            <v>0.99463857739323402</v>
          </cell>
          <cell r="Y59">
            <v>2.335229807380431</v>
          </cell>
          <cell r="Z59">
            <v>1.1794460370775974</v>
          </cell>
          <cell r="AA59">
            <v>1.3000478781451019</v>
          </cell>
          <cell r="AB59">
            <v>0.44588955062171687</v>
          </cell>
          <cell r="AC59">
            <v>0.76492574913983657</v>
          </cell>
          <cell r="AD59">
            <v>1.459583554334315</v>
          </cell>
          <cell r="AE59">
            <v>1.310869206108676</v>
          </cell>
          <cell r="AF59">
            <v>0.60890241820303659</v>
          </cell>
        </row>
        <row r="60">
          <cell r="F60">
            <v>2.5797548955191445</v>
          </cell>
          <cell r="G60">
            <v>2.7643837839868359</v>
          </cell>
          <cell r="H60">
            <v>2.8640354634783494</v>
          </cell>
          <cell r="I60">
            <v>6.2614285698302226</v>
          </cell>
          <cell r="J60">
            <v>14.700691251461627</v>
          </cell>
          <cell r="K60">
            <v>7.424824736323302</v>
          </cell>
          <cell r="L60">
            <v>8.1840349966102899</v>
          </cell>
          <cell r="M60">
            <v>2.8069548423997901</v>
          </cell>
          <cell r="N60">
            <v>4.8153450392155861</v>
          </cell>
          <cell r="O60">
            <v>9.1883407449518728</v>
          </cell>
          <cell r="P60">
            <v>8.2521572006094601</v>
          </cell>
          <cell r="Q60">
            <v>3.8331501353660844</v>
          </cell>
          <cell r="U60">
            <v>0.37552440024763789</v>
          </cell>
          <cell r="V60">
            <v>0.402400074650134</v>
          </cell>
          <cell r="W60">
            <v>0.41690596326758333</v>
          </cell>
          <cell r="X60">
            <v>0.91145062364761775</v>
          </cell>
          <cell r="Y60">
            <v>2.1399196780358847</v>
          </cell>
          <cell r="Z60">
            <v>1.0808014594311068</v>
          </cell>
          <cell r="AA60">
            <v>1.1913166010638745</v>
          </cell>
          <cell r="AB60">
            <v>0.40859697002426393</v>
          </cell>
          <cell r="AC60">
            <v>0.7009501410299589</v>
          </cell>
          <cell r="AD60">
            <v>1.3375092934263531</v>
          </cell>
          <cell r="AE60">
            <v>1.2012328725068591</v>
          </cell>
          <cell r="AF60">
            <v>0.55797603413514618</v>
          </cell>
        </row>
        <row r="61">
          <cell r="F61">
            <v>2.5797548955191445</v>
          </cell>
          <cell r="G61">
            <v>2.7643837839868359</v>
          </cell>
          <cell r="H61">
            <v>2.8640354634783494</v>
          </cell>
          <cell r="I61">
            <v>6.2614285698302226</v>
          </cell>
          <cell r="J61">
            <v>14.700691251461627</v>
          </cell>
          <cell r="K61">
            <v>7.424824736323302</v>
          </cell>
          <cell r="L61">
            <v>8.1840349966102899</v>
          </cell>
          <cell r="M61">
            <v>2.8069548423997901</v>
          </cell>
          <cell r="N61">
            <v>4.8153450392155861</v>
          </cell>
          <cell r="O61">
            <v>9.1883407449518728</v>
          </cell>
          <cell r="P61">
            <v>8.2521572006094601</v>
          </cell>
          <cell r="Q61">
            <v>3.8331501353660844</v>
          </cell>
          <cell r="U61">
            <v>0.37552440024763789</v>
          </cell>
          <cell r="V61">
            <v>0.402400074650134</v>
          </cell>
          <cell r="W61">
            <v>0.41690596326758333</v>
          </cell>
          <cell r="X61">
            <v>0.91145062364761775</v>
          </cell>
          <cell r="Y61">
            <v>2.1399196780358847</v>
          </cell>
          <cell r="Z61">
            <v>1.0808014594311068</v>
          </cell>
          <cell r="AA61">
            <v>1.1913166010638745</v>
          </cell>
          <cell r="AB61">
            <v>0.40859697002426393</v>
          </cell>
          <cell r="AC61">
            <v>0.7009501410299589</v>
          </cell>
          <cell r="AD61">
            <v>1.3375092934263531</v>
          </cell>
          <cell r="AE61">
            <v>1.2012328725068591</v>
          </cell>
          <cell r="AF61">
            <v>0.55797603413514618</v>
          </cell>
        </row>
        <row r="62">
          <cell r="F62">
            <v>2.5797548955191445</v>
          </cell>
          <cell r="G62">
            <v>2.7643837839868359</v>
          </cell>
          <cell r="H62">
            <v>2.8640354634783494</v>
          </cell>
          <cell r="I62">
            <v>6.2614285698302226</v>
          </cell>
          <cell r="J62">
            <v>14.700691251461627</v>
          </cell>
          <cell r="K62">
            <v>7.424824736323302</v>
          </cell>
          <cell r="L62">
            <v>8.1840349966102899</v>
          </cell>
          <cell r="M62">
            <v>2.8069548423997901</v>
          </cell>
          <cell r="N62">
            <v>4.8153450392155861</v>
          </cell>
          <cell r="O62">
            <v>9.1883407449518728</v>
          </cell>
          <cell r="P62">
            <v>8.2521572006094601</v>
          </cell>
          <cell r="Q62">
            <v>3.8331501353660844</v>
          </cell>
          <cell r="U62">
            <v>0.37552440024763789</v>
          </cell>
          <cell r="V62">
            <v>0.402400074650134</v>
          </cell>
          <cell r="W62">
            <v>0.41690596326758333</v>
          </cell>
          <cell r="X62">
            <v>0.91145062364761775</v>
          </cell>
          <cell r="Y62">
            <v>2.1399196780358847</v>
          </cell>
          <cell r="Z62">
            <v>1.0808014594311068</v>
          </cell>
          <cell r="AA62">
            <v>1.1913166010638745</v>
          </cell>
          <cell r="AB62">
            <v>0.40859697002426393</v>
          </cell>
          <cell r="AC62">
            <v>0.7009501410299589</v>
          </cell>
          <cell r="AD62">
            <v>1.3375092934263531</v>
          </cell>
          <cell r="AE62">
            <v>1.2012328725068591</v>
          </cell>
          <cell r="AF62">
            <v>0.55797603413514618</v>
          </cell>
        </row>
        <row r="63">
          <cell r="F63">
            <v>2.5797548955191445</v>
          </cell>
          <cell r="G63">
            <v>2.7643837839868359</v>
          </cell>
          <cell r="H63">
            <v>2.8640354634783494</v>
          </cell>
          <cell r="I63">
            <v>6.2614285698302226</v>
          </cell>
          <cell r="J63">
            <v>14.700691251461627</v>
          </cell>
          <cell r="K63">
            <v>7.424824736323302</v>
          </cell>
          <cell r="L63">
            <v>8.1840349966102899</v>
          </cell>
          <cell r="M63">
            <v>2.8069548423997901</v>
          </cell>
          <cell r="N63">
            <v>4.8153450392155861</v>
          </cell>
          <cell r="O63">
            <v>9.1883407449518728</v>
          </cell>
          <cell r="P63">
            <v>8.2521572006094601</v>
          </cell>
          <cell r="Q63">
            <v>3.8331501353660844</v>
          </cell>
          <cell r="U63">
            <v>0.37552440024763789</v>
          </cell>
          <cell r="V63">
            <v>0.402400074650134</v>
          </cell>
          <cell r="W63">
            <v>0.41690596326758333</v>
          </cell>
          <cell r="X63">
            <v>0.91145062364761775</v>
          </cell>
          <cell r="Y63">
            <v>2.1399196780358847</v>
          </cell>
          <cell r="Z63">
            <v>1.0808014594311068</v>
          </cell>
          <cell r="AA63">
            <v>1.1913166010638745</v>
          </cell>
          <cell r="AB63">
            <v>0.40859697002426393</v>
          </cell>
          <cell r="AC63">
            <v>0.7009501410299589</v>
          </cell>
          <cell r="AD63">
            <v>1.3375092934263531</v>
          </cell>
          <cell r="AE63">
            <v>1.2012328725068591</v>
          </cell>
          <cell r="AF63">
            <v>0.55797603413514618</v>
          </cell>
        </row>
        <row r="64">
          <cell r="F64">
            <v>2.5797548955191445</v>
          </cell>
          <cell r="G64">
            <v>2.7643837839868359</v>
          </cell>
          <cell r="H64">
            <v>2.8640354634783494</v>
          </cell>
          <cell r="I64">
            <v>6.2614285698302226</v>
          </cell>
          <cell r="J64">
            <v>14.700691251461627</v>
          </cell>
          <cell r="K64">
            <v>7.424824736323302</v>
          </cell>
          <cell r="L64">
            <v>8.1840349966102899</v>
          </cell>
          <cell r="M64">
            <v>2.8069548423997901</v>
          </cell>
          <cell r="N64">
            <v>4.8153450392155861</v>
          </cell>
          <cell r="O64">
            <v>9.1883407449518728</v>
          </cell>
          <cell r="P64">
            <v>8.2521572006094601</v>
          </cell>
          <cell r="Q64">
            <v>3.8331501353660844</v>
          </cell>
          <cell r="U64">
            <v>0.37552440024763789</v>
          </cell>
          <cell r="V64">
            <v>0.402400074650134</v>
          </cell>
          <cell r="W64">
            <v>0.41690596326758333</v>
          </cell>
          <cell r="X64">
            <v>0.91145062364761775</v>
          </cell>
          <cell r="Y64">
            <v>2.1399196780358847</v>
          </cell>
          <cell r="Z64">
            <v>1.0808014594311068</v>
          </cell>
          <cell r="AA64">
            <v>1.1913166010638745</v>
          </cell>
          <cell r="AB64">
            <v>0.40859697002426393</v>
          </cell>
          <cell r="AC64">
            <v>0.7009501410299589</v>
          </cell>
          <cell r="AD64">
            <v>1.3375092934263531</v>
          </cell>
          <cell r="AE64">
            <v>1.2012328725068591</v>
          </cell>
          <cell r="AF64">
            <v>0.55797603413514618</v>
          </cell>
        </row>
        <row r="65">
          <cell r="F65">
            <v>2.5797548955191445</v>
          </cell>
          <cell r="G65">
            <v>2.7643837839868359</v>
          </cell>
          <cell r="H65">
            <v>2.8640354634783494</v>
          </cell>
          <cell r="I65">
            <v>6.2614285698302226</v>
          </cell>
          <cell r="J65">
            <v>14.700691251461627</v>
          </cell>
          <cell r="K65">
            <v>7.424824736323302</v>
          </cell>
          <cell r="L65">
            <v>8.1840349966102899</v>
          </cell>
          <cell r="M65">
            <v>2.8069548423997901</v>
          </cell>
          <cell r="N65">
            <v>4.8153450392155861</v>
          </cell>
          <cell r="O65">
            <v>9.1883407449518728</v>
          </cell>
          <cell r="P65">
            <v>8.2521572006094601</v>
          </cell>
          <cell r="Q65">
            <v>3.8331501353660844</v>
          </cell>
          <cell r="U65">
            <v>0.37552440024763789</v>
          </cell>
          <cell r="V65">
            <v>0.402400074650134</v>
          </cell>
          <cell r="W65">
            <v>0.41690596326758333</v>
          </cell>
          <cell r="X65">
            <v>0.91145062364761775</v>
          </cell>
          <cell r="Y65">
            <v>2.1399196780358847</v>
          </cell>
          <cell r="Z65">
            <v>1.0808014594311068</v>
          </cell>
          <cell r="AA65">
            <v>1.1913166010638745</v>
          </cell>
          <cell r="AB65">
            <v>0.40859697002426393</v>
          </cell>
          <cell r="AC65">
            <v>0.7009501410299589</v>
          </cell>
          <cell r="AD65">
            <v>1.3375092934263531</v>
          </cell>
          <cell r="AE65">
            <v>1.2012328725068591</v>
          </cell>
          <cell r="AF65">
            <v>0.55797603413514618</v>
          </cell>
        </row>
        <row r="66">
          <cell r="F66">
            <v>2.5797548955191445</v>
          </cell>
          <cell r="G66">
            <v>2.7643837839868359</v>
          </cell>
          <cell r="H66">
            <v>2.8640354634783494</v>
          </cell>
          <cell r="I66">
            <v>6.2614285698302226</v>
          </cell>
          <cell r="J66">
            <v>14.700691251461627</v>
          </cell>
          <cell r="K66">
            <v>7.424824736323302</v>
          </cell>
          <cell r="L66">
            <v>8.1840349966102899</v>
          </cell>
          <cell r="M66">
            <v>2.8069548423997901</v>
          </cell>
          <cell r="N66">
            <v>4.8153450392155861</v>
          </cell>
          <cell r="O66">
            <v>9.1883407449518728</v>
          </cell>
          <cell r="P66">
            <v>8.2521572006094601</v>
          </cell>
          <cell r="Q66">
            <v>3.8331501353660844</v>
          </cell>
          <cell r="U66">
            <v>0.37552440024763789</v>
          </cell>
          <cell r="V66">
            <v>0.402400074650134</v>
          </cell>
          <cell r="W66">
            <v>0.41690596326758333</v>
          </cell>
          <cell r="X66">
            <v>0.91145062364761775</v>
          </cell>
          <cell r="Y66">
            <v>2.1399196780358847</v>
          </cell>
          <cell r="Z66">
            <v>1.0808014594311068</v>
          </cell>
          <cell r="AA66">
            <v>1.1913166010638745</v>
          </cell>
          <cell r="AB66">
            <v>0.40859697002426393</v>
          </cell>
          <cell r="AC66">
            <v>0.7009501410299589</v>
          </cell>
          <cell r="AD66">
            <v>1.3375092934263531</v>
          </cell>
          <cell r="AE66">
            <v>1.2012328725068591</v>
          </cell>
          <cell r="AF66">
            <v>0.55797603413514618</v>
          </cell>
        </row>
        <row r="67">
          <cell r="F67">
            <v>3.8389209754749185</v>
          </cell>
          <cell r="G67">
            <v>4.1136663452185065</v>
          </cell>
          <cell r="H67">
            <v>4.2619575349380199</v>
          </cell>
          <cell r="I67">
            <v>9.3176020384378333</v>
          </cell>
          <cell r="J67">
            <v>21.876028648008372</v>
          </cell>
          <cell r="K67">
            <v>11.048846333814438</v>
          </cell>
          <cell r="L67">
            <v>12.17862350686055</v>
          </cell>
          <cell r="M67">
            <v>4.1770161345234964</v>
          </cell>
          <cell r="N67">
            <v>7.1656920226422436</v>
          </cell>
          <cell r="O67">
            <v>13.673126108559337</v>
          </cell>
          <cell r="P67">
            <v>12.279995834240268</v>
          </cell>
          <cell r="Q67">
            <v>5.704092463342386</v>
          </cell>
          <cell r="U67">
            <v>0.6539528116317761</v>
          </cell>
          <cell r="V67">
            <v>0.70075515744052352</v>
          </cell>
          <cell r="W67">
            <v>0.72601627666564639</v>
          </cell>
          <cell r="X67">
            <v>1.5872356033451773</v>
          </cell>
          <cell r="Y67">
            <v>3.7265394450930449</v>
          </cell>
          <cell r="Z67">
            <v>1.8821497424524414</v>
          </cell>
          <cell r="AA67">
            <v>2.0746051129981984</v>
          </cell>
          <cell r="AB67">
            <v>0.7115466723211219</v>
          </cell>
          <cell r="AC67">
            <v>1.2206618670796077</v>
          </cell>
          <cell r="AD67">
            <v>2.3291907594899235</v>
          </cell>
          <cell r="AE67">
            <v>2.0918736941789873</v>
          </cell>
          <cell r="AF67">
            <v>0.97168119063688396</v>
          </cell>
        </row>
        <row r="68">
          <cell r="F68">
            <v>3.8389209754749185</v>
          </cell>
          <cell r="G68">
            <v>4.1136663452185065</v>
          </cell>
          <cell r="H68">
            <v>4.2619575349380199</v>
          </cell>
          <cell r="I68">
            <v>9.3176020384378333</v>
          </cell>
          <cell r="J68">
            <v>21.876028648008372</v>
          </cell>
          <cell r="K68">
            <v>11.048846333814438</v>
          </cell>
          <cell r="L68">
            <v>12.17862350686055</v>
          </cell>
          <cell r="M68">
            <v>4.1770161345234964</v>
          </cell>
          <cell r="N68">
            <v>7.1656920226422436</v>
          </cell>
          <cell r="O68">
            <v>13.673126108559337</v>
          </cell>
          <cell r="P68">
            <v>12.279995834240268</v>
          </cell>
          <cell r="Q68">
            <v>5.704092463342386</v>
          </cell>
          <cell r="U68">
            <v>0.6539528116317761</v>
          </cell>
          <cell r="V68">
            <v>0.70075515744052352</v>
          </cell>
          <cell r="W68">
            <v>0.72601627666564639</v>
          </cell>
          <cell r="X68">
            <v>1.5872356033451773</v>
          </cell>
          <cell r="Y68">
            <v>3.7265394450930449</v>
          </cell>
          <cell r="Z68">
            <v>1.8821497424524414</v>
          </cell>
          <cell r="AA68">
            <v>2.0746051129981984</v>
          </cell>
          <cell r="AB68">
            <v>0.7115466723211219</v>
          </cell>
          <cell r="AC68">
            <v>1.2206618670796077</v>
          </cell>
          <cell r="AD68">
            <v>2.3291907594899235</v>
          </cell>
          <cell r="AE68">
            <v>2.0918736941789873</v>
          </cell>
          <cell r="AF68">
            <v>0.97168119063688396</v>
          </cell>
        </row>
        <row r="69">
          <cell r="F69">
            <v>3.8389209754749185</v>
          </cell>
          <cell r="G69">
            <v>4.1136663452185065</v>
          </cell>
          <cell r="H69">
            <v>4.2619575349380199</v>
          </cell>
          <cell r="I69">
            <v>9.3176020384378333</v>
          </cell>
          <cell r="J69">
            <v>21.876028648008372</v>
          </cell>
          <cell r="K69">
            <v>11.048846333814438</v>
          </cell>
          <cell r="L69">
            <v>12.17862350686055</v>
          </cell>
          <cell r="M69">
            <v>4.1770161345234964</v>
          </cell>
          <cell r="N69">
            <v>7.1656920226422436</v>
          </cell>
          <cell r="O69">
            <v>13.673126108559337</v>
          </cell>
          <cell r="P69">
            <v>12.279995834240268</v>
          </cell>
          <cell r="Q69">
            <v>5.704092463342386</v>
          </cell>
          <cell r="U69">
            <v>0.6539528116317761</v>
          </cell>
          <cell r="V69">
            <v>0.70075515744052352</v>
          </cell>
          <cell r="W69">
            <v>0.72601627666564639</v>
          </cell>
          <cell r="X69">
            <v>1.5872356033451773</v>
          </cell>
          <cell r="Y69">
            <v>3.7265394450930449</v>
          </cell>
          <cell r="Z69">
            <v>1.8821497424524414</v>
          </cell>
          <cell r="AA69">
            <v>2.0746051129981984</v>
          </cell>
          <cell r="AB69">
            <v>0.7115466723211219</v>
          </cell>
          <cell r="AC69">
            <v>1.2206618670796077</v>
          </cell>
          <cell r="AD69">
            <v>2.3291907594899235</v>
          </cell>
          <cell r="AE69">
            <v>2.0918736941789873</v>
          </cell>
          <cell r="AF69">
            <v>0.97168119063688396</v>
          </cell>
        </row>
        <row r="70">
          <cell r="F70">
            <v>3.8389209754749185</v>
          </cell>
          <cell r="G70">
            <v>4.1136663452185065</v>
          </cell>
          <cell r="H70">
            <v>4.2619575349380199</v>
          </cell>
          <cell r="I70">
            <v>9.3176020384378333</v>
          </cell>
          <cell r="J70">
            <v>21.876028648008372</v>
          </cell>
          <cell r="K70">
            <v>11.048846333814438</v>
          </cell>
          <cell r="L70">
            <v>12.17862350686055</v>
          </cell>
          <cell r="M70">
            <v>4.1770161345234964</v>
          </cell>
          <cell r="N70">
            <v>7.1656920226422436</v>
          </cell>
          <cell r="O70">
            <v>13.673126108559337</v>
          </cell>
          <cell r="P70">
            <v>12.279995834240268</v>
          </cell>
          <cell r="Q70">
            <v>5.704092463342386</v>
          </cell>
          <cell r="U70">
            <v>0.6539528116317761</v>
          </cell>
          <cell r="V70">
            <v>0.70075515744052352</v>
          </cell>
          <cell r="W70">
            <v>0.72601627666564639</v>
          </cell>
          <cell r="X70">
            <v>1.5872356033451773</v>
          </cell>
          <cell r="Y70">
            <v>3.7265394450930449</v>
          </cell>
          <cell r="Z70">
            <v>1.8821497424524414</v>
          </cell>
          <cell r="AA70">
            <v>2.0746051129981984</v>
          </cell>
          <cell r="AB70">
            <v>0.7115466723211219</v>
          </cell>
          <cell r="AC70">
            <v>1.2206618670796077</v>
          </cell>
          <cell r="AD70">
            <v>2.3291907594899235</v>
          </cell>
          <cell r="AE70">
            <v>2.0918736941789873</v>
          </cell>
          <cell r="AF70">
            <v>0.97168119063688396</v>
          </cell>
        </row>
        <row r="71">
          <cell r="F71">
            <v>3.8389209754749185</v>
          </cell>
          <cell r="G71">
            <v>4.1136663452185065</v>
          </cell>
          <cell r="H71">
            <v>4.2619575349380199</v>
          </cell>
          <cell r="I71">
            <v>9.3176020384378333</v>
          </cell>
          <cell r="J71">
            <v>21.876028648008372</v>
          </cell>
          <cell r="K71">
            <v>11.048846333814438</v>
          </cell>
          <cell r="L71">
            <v>12.17862350686055</v>
          </cell>
          <cell r="M71">
            <v>4.1770161345234964</v>
          </cell>
          <cell r="N71">
            <v>7.1656920226422436</v>
          </cell>
          <cell r="O71">
            <v>13.673126108559337</v>
          </cell>
          <cell r="P71">
            <v>12.279995834240268</v>
          </cell>
          <cell r="Q71">
            <v>5.704092463342386</v>
          </cell>
          <cell r="U71">
            <v>0.6539528116317761</v>
          </cell>
          <cell r="V71">
            <v>0.70075515744052352</v>
          </cell>
          <cell r="W71">
            <v>0.72601627666564639</v>
          </cell>
          <cell r="X71">
            <v>1.5872356033451773</v>
          </cell>
          <cell r="Y71">
            <v>3.7265394450930449</v>
          </cell>
          <cell r="Z71">
            <v>1.8821497424524414</v>
          </cell>
          <cell r="AA71">
            <v>2.0746051129981984</v>
          </cell>
          <cell r="AB71">
            <v>0.7115466723211219</v>
          </cell>
          <cell r="AC71">
            <v>1.2206618670796077</v>
          </cell>
          <cell r="AD71">
            <v>2.3291907594899235</v>
          </cell>
          <cell r="AE71">
            <v>2.0918736941789873</v>
          </cell>
          <cell r="AF71">
            <v>0.97168119063688396</v>
          </cell>
        </row>
        <row r="72">
          <cell r="F72">
            <v>3.8389209754749185</v>
          </cell>
          <cell r="G72">
            <v>4.1136663452185065</v>
          </cell>
          <cell r="H72">
            <v>4.2619575349380199</v>
          </cell>
          <cell r="I72">
            <v>9.3176020384378333</v>
          </cell>
          <cell r="J72">
            <v>21.876028648008372</v>
          </cell>
          <cell r="K72">
            <v>11.048846333814438</v>
          </cell>
          <cell r="L72">
            <v>12.17862350686055</v>
          </cell>
          <cell r="M72">
            <v>4.1770161345234964</v>
          </cell>
          <cell r="N72">
            <v>7.1656920226422436</v>
          </cell>
          <cell r="O72">
            <v>13.673126108559337</v>
          </cell>
          <cell r="P72">
            <v>12.279995834240268</v>
          </cell>
          <cell r="Q72">
            <v>5.704092463342386</v>
          </cell>
          <cell r="U72">
            <v>0.6539528116317761</v>
          </cell>
          <cell r="V72">
            <v>0.70075515744052352</v>
          </cell>
          <cell r="W72">
            <v>0.72601627666564639</v>
          </cell>
          <cell r="X72">
            <v>1.5872356033451773</v>
          </cell>
          <cell r="Y72">
            <v>3.7265394450930449</v>
          </cell>
          <cell r="Z72">
            <v>1.8821497424524414</v>
          </cell>
          <cell r="AA72">
            <v>2.0746051129981984</v>
          </cell>
          <cell r="AB72">
            <v>0.7115466723211219</v>
          </cell>
          <cell r="AC72">
            <v>1.2206618670796077</v>
          </cell>
          <cell r="AD72">
            <v>2.3291907594899235</v>
          </cell>
          <cell r="AE72">
            <v>2.0918736941789873</v>
          </cell>
          <cell r="AF72">
            <v>0.97168119063688396</v>
          </cell>
        </row>
        <row r="73">
          <cell r="F73">
            <v>0.76778419509498352</v>
          </cell>
          <cell r="G73">
            <v>0.82273326904370103</v>
          </cell>
          <cell r="H73">
            <v>0.85239150698760424</v>
          </cell>
          <cell r="I73">
            <v>1.8635204076875667</v>
          </cell>
          <cell r="J73">
            <v>4.3752057296016762</v>
          </cell>
          <cell r="K73">
            <v>2.2097692667628879</v>
          </cell>
          <cell r="L73">
            <v>2.4357247013721102</v>
          </cell>
          <cell r="M73">
            <v>0.83540322690469937</v>
          </cell>
          <cell r="N73">
            <v>1.4331384045284485</v>
          </cell>
          <cell r="O73">
            <v>2.7346252217118669</v>
          </cell>
          <cell r="P73">
            <v>2.4559991668480539</v>
          </cell>
          <cell r="Q73">
            <v>1.1408184926684775</v>
          </cell>
          <cell r="U73">
            <v>0.11176321435941612</v>
          </cell>
          <cell r="V73">
            <v>0.1197619269792066</v>
          </cell>
          <cell r="W73">
            <v>0.12407915573439994</v>
          </cell>
          <cell r="X73">
            <v>0.27126506656179128</v>
          </cell>
          <cell r="Y73">
            <v>0.63688085655829973</v>
          </cell>
          <cell r="Z73">
            <v>0.32166710102116303</v>
          </cell>
          <cell r="AA73">
            <v>0.35455851222139156</v>
          </cell>
          <cell r="AB73">
            <v>0.12160624107865008</v>
          </cell>
          <cell r="AC73">
            <v>0.20861611340177372</v>
          </cell>
          <cell r="AD73">
            <v>0.3980682420911768</v>
          </cell>
          <cell r="AE73">
            <v>0.35750978348418455</v>
          </cell>
          <cell r="AF73">
            <v>0.16606429587355556</v>
          </cell>
        </row>
        <row r="74">
          <cell r="F74">
            <v>0.76778419509498352</v>
          </cell>
          <cell r="G74">
            <v>0.82273326904370103</v>
          </cell>
          <cell r="H74">
            <v>0.85239150698760424</v>
          </cell>
          <cell r="I74">
            <v>1.8635204076875667</v>
          </cell>
          <cell r="J74">
            <v>4.3752057296016762</v>
          </cell>
          <cell r="K74">
            <v>2.2097692667628879</v>
          </cell>
          <cell r="L74">
            <v>2.4357247013721102</v>
          </cell>
          <cell r="M74">
            <v>0.83540322690469937</v>
          </cell>
          <cell r="N74">
            <v>1.4331384045284485</v>
          </cell>
          <cell r="O74">
            <v>2.7346252217118669</v>
          </cell>
          <cell r="P74">
            <v>2.4559991668480539</v>
          </cell>
          <cell r="Q74">
            <v>1.1408184926684775</v>
          </cell>
          <cell r="U74">
            <v>0.11176321435941612</v>
          </cell>
          <cell r="V74">
            <v>0.1197619269792066</v>
          </cell>
          <cell r="W74">
            <v>0.12407915573439994</v>
          </cell>
          <cell r="X74">
            <v>0.27126506656179128</v>
          </cell>
          <cell r="Y74">
            <v>0.63688085655829973</v>
          </cell>
          <cell r="Z74">
            <v>0.32166710102116303</v>
          </cell>
          <cell r="AA74">
            <v>0.35455851222139156</v>
          </cell>
          <cell r="AB74">
            <v>0.12160624107865008</v>
          </cell>
          <cell r="AC74">
            <v>0.20861611340177372</v>
          </cell>
          <cell r="AD74">
            <v>0.3980682420911768</v>
          </cell>
          <cell r="AE74">
            <v>0.35750978348418455</v>
          </cell>
          <cell r="AF74">
            <v>0.16606429587355556</v>
          </cell>
        </row>
        <row r="75">
          <cell r="F75">
            <v>0.23033525852849512</v>
          </cell>
          <cell r="G75">
            <v>0.2468199807131104</v>
          </cell>
          <cell r="H75">
            <v>0.25571745209628127</v>
          </cell>
          <cell r="I75">
            <v>0.55905612230626978</v>
          </cell>
          <cell r="J75">
            <v>1.3125617188805028</v>
          </cell>
          <cell r="K75">
            <v>0.66293078002886618</v>
          </cell>
          <cell r="L75">
            <v>0.73071741041163318</v>
          </cell>
          <cell r="M75">
            <v>0.25062096807140977</v>
          </cell>
          <cell r="N75">
            <v>0.42994152135853447</v>
          </cell>
          <cell r="O75">
            <v>0.82038756651356026</v>
          </cell>
          <cell r="P75">
            <v>0.73679975005441611</v>
          </cell>
          <cell r="Q75">
            <v>0.34224554780054317</v>
          </cell>
          <cell r="U75">
            <v>2.6295605829083239E-2</v>
          </cell>
          <cell r="V75">
            <v>2.8177539839264149E-2</v>
          </cell>
          <cell r="W75">
            <v>2.9193295750287489E-2</v>
          </cell>
          <cell r="X75">
            <v>6.3823139897979497E-2</v>
          </cell>
          <cell r="Y75">
            <v>0.14984508149782813</v>
          </cell>
          <cell r="Z75">
            <v>7.5681711063133622E-2</v>
          </cell>
          <cell r="AA75">
            <v>8.3420389563396674E-2</v>
          </cell>
          <cell r="AB75">
            <v>2.8611469346946548E-2</v>
          </cell>
          <cell r="AC75">
            <v>4.9083118439731906E-2</v>
          </cell>
          <cell r="AD75">
            <v>9.3657341971605315E-2</v>
          </cell>
          <cell r="AE75">
            <v>8.4114763524148511E-2</v>
          </cell>
          <cell r="AF75">
            <v>3.9071543276594803E-2</v>
          </cell>
        </row>
        <row r="76">
          <cell r="F76">
            <v>0.23033525852849512</v>
          </cell>
          <cell r="G76">
            <v>0.2468199807131104</v>
          </cell>
          <cell r="H76">
            <v>0.25571745209628127</v>
          </cell>
          <cell r="I76">
            <v>0.55905612230626978</v>
          </cell>
          <cell r="J76">
            <v>1.3125617188805028</v>
          </cell>
          <cell r="K76">
            <v>0.66293078002886618</v>
          </cell>
          <cell r="L76">
            <v>0.73071741041163318</v>
          </cell>
          <cell r="M76">
            <v>0.25062096807140977</v>
          </cell>
          <cell r="N76">
            <v>0.42994152135853447</v>
          </cell>
          <cell r="O76">
            <v>0.82038756651356026</v>
          </cell>
          <cell r="P76">
            <v>0.73679975005441611</v>
          </cell>
          <cell r="Q76">
            <v>0.34224554780054317</v>
          </cell>
          <cell r="U76">
            <v>2.6295605829083239E-2</v>
          </cell>
          <cell r="V76">
            <v>2.8177539839264149E-2</v>
          </cell>
          <cell r="W76">
            <v>2.9193295750287489E-2</v>
          </cell>
          <cell r="X76">
            <v>6.3823139897979497E-2</v>
          </cell>
          <cell r="Y76">
            <v>0.14984508149782813</v>
          </cell>
          <cell r="Z76">
            <v>7.5681711063133622E-2</v>
          </cell>
          <cell r="AA76">
            <v>8.3420389563396674E-2</v>
          </cell>
          <cell r="AB76">
            <v>2.8611469346946548E-2</v>
          </cell>
          <cell r="AC76">
            <v>4.9083118439731906E-2</v>
          </cell>
          <cell r="AD76">
            <v>9.3657341971605315E-2</v>
          </cell>
          <cell r="AE76">
            <v>8.4114763524148511E-2</v>
          </cell>
          <cell r="AF76">
            <v>3.9071543276594803E-2</v>
          </cell>
        </row>
        <row r="77">
          <cell r="F77">
            <v>0.23033525852849512</v>
          </cell>
          <cell r="G77">
            <v>0.2468199807131104</v>
          </cell>
          <cell r="H77">
            <v>0.25571745209628127</v>
          </cell>
          <cell r="I77">
            <v>0.55905612230626978</v>
          </cell>
          <cell r="J77">
            <v>1.3125617188805028</v>
          </cell>
          <cell r="K77">
            <v>0.66293078002886618</v>
          </cell>
          <cell r="L77">
            <v>0.73071741041163318</v>
          </cell>
          <cell r="M77">
            <v>0.25062096807140977</v>
          </cell>
          <cell r="N77">
            <v>0.42994152135853447</v>
          </cell>
          <cell r="O77">
            <v>0.82038756651356026</v>
          </cell>
          <cell r="P77">
            <v>0.73679975005441611</v>
          </cell>
          <cell r="Q77">
            <v>0.34224554780054317</v>
          </cell>
          <cell r="U77">
            <v>2.6295605829083239E-2</v>
          </cell>
          <cell r="V77">
            <v>2.8177539839264149E-2</v>
          </cell>
          <cell r="W77">
            <v>2.9193295750287489E-2</v>
          </cell>
          <cell r="X77">
            <v>6.3823139897979497E-2</v>
          </cell>
          <cell r="Y77">
            <v>0.14984508149782813</v>
          </cell>
          <cell r="Z77">
            <v>7.5681711063133622E-2</v>
          </cell>
          <cell r="AA77">
            <v>8.3420389563396674E-2</v>
          </cell>
          <cell r="AB77">
            <v>2.8611469346946548E-2</v>
          </cell>
          <cell r="AC77">
            <v>4.9083118439731906E-2</v>
          </cell>
          <cell r="AD77">
            <v>9.3657341971605315E-2</v>
          </cell>
          <cell r="AE77">
            <v>8.4114763524148511E-2</v>
          </cell>
          <cell r="AF77">
            <v>3.9071543276594803E-2</v>
          </cell>
        </row>
        <row r="78">
          <cell r="F78">
            <v>0.23033525852849512</v>
          </cell>
          <cell r="G78">
            <v>0.2468199807131104</v>
          </cell>
          <cell r="H78">
            <v>0.25571745209628127</v>
          </cell>
          <cell r="I78">
            <v>0.55905612230626978</v>
          </cell>
          <cell r="J78">
            <v>1.3125617188805028</v>
          </cell>
          <cell r="K78">
            <v>0.66293078002886618</v>
          </cell>
          <cell r="L78">
            <v>0.73071741041163318</v>
          </cell>
          <cell r="M78">
            <v>0.25062096807140977</v>
          </cell>
          <cell r="N78">
            <v>0.42994152135853447</v>
          </cell>
          <cell r="O78">
            <v>0.82038756651356026</v>
          </cell>
          <cell r="P78">
            <v>0.73679975005441611</v>
          </cell>
          <cell r="Q78">
            <v>0.34224554780054317</v>
          </cell>
          <cell r="U78">
            <v>2.6295605829083239E-2</v>
          </cell>
          <cell r="V78">
            <v>2.8177539839264149E-2</v>
          </cell>
          <cell r="W78">
            <v>2.9193295750287489E-2</v>
          </cell>
          <cell r="X78">
            <v>6.3823139897979497E-2</v>
          </cell>
          <cell r="Y78">
            <v>0.14984508149782813</v>
          </cell>
          <cell r="Z78">
            <v>7.5681711063133622E-2</v>
          </cell>
          <cell r="AA78">
            <v>8.3420389563396674E-2</v>
          </cell>
          <cell r="AB78">
            <v>2.8611469346946548E-2</v>
          </cell>
          <cell r="AC78">
            <v>4.9083118439731906E-2</v>
          </cell>
          <cell r="AD78">
            <v>9.3657341971605315E-2</v>
          </cell>
          <cell r="AE78">
            <v>8.4114763524148511E-2</v>
          </cell>
          <cell r="AF78">
            <v>3.9071543276594803E-2</v>
          </cell>
        </row>
        <row r="79">
          <cell r="F79">
            <v>0.19194604877374588</v>
          </cell>
          <cell r="G79">
            <v>0.20568331726092526</v>
          </cell>
          <cell r="H79">
            <v>0.21309787674690106</v>
          </cell>
          <cell r="I79">
            <v>0.46588010192189167</v>
          </cell>
          <cell r="J79">
            <v>1.093801432400419</v>
          </cell>
          <cell r="K79">
            <v>0.55244231669072197</v>
          </cell>
          <cell r="L79">
            <v>0.60893117534302754</v>
          </cell>
          <cell r="M79">
            <v>0.20885080672617484</v>
          </cell>
          <cell r="N79">
            <v>0.35828460113211213</v>
          </cell>
          <cell r="O79">
            <v>0.68365630542796674</v>
          </cell>
          <cell r="P79">
            <v>0.61399979171201347</v>
          </cell>
          <cell r="Q79">
            <v>0.28520462316711936</v>
          </cell>
          <cell r="U79">
            <v>0.19653645156725391</v>
          </cell>
          <cell r="V79">
            <v>0.21060224776334718</v>
          </cell>
          <cell r="W79">
            <v>0.21819412694303114</v>
          </cell>
          <cell r="X79">
            <v>0.477021656202193</v>
          </cell>
          <cell r="Y79">
            <v>1.1199597679478852</v>
          </cell>
          <cell r="Z79">
            <v>0.5656540122165743</v>
          </cell>
          <cell r="AA79">
            <v>0.62349380576030489</v>
          </cell>
          <cell r="AB79">
            <v>0.21384548795429587</v>
          </cell>
          <cell r="AC79">
            <v>0.36685300170307877</v>
          </cell>
          <cell r="AD79">
            <v>0.70000599240659844</v>
          </cell>
          <cell r="AE79">
            <v>0.62868363843401842</v>
          </cell>
          <cell r="AF79">
            <v>0.29202531110141988</v>
          </cell>
        </row>
        <row r="80">
          <cell r="F80">
            <v>0.19194604877374588</v>
          </cell>
          <cell r="G80">
            <v>0.20568331726092526</v>
          </cell>
          <cell r="H80">
            <v>0.21309787674690106</v>
          </cell>
          <cell r="I80">
            <v>0.46588010192189167</v>
          </cell>
          <cell r="J80">
            <v>1.093801432400419</v>
          </cell>
          <cell r="K80">
            <v>0.55244231669072197</v>
          </cell>
          <cell r="L80">
            <v>0.60893117534302754</v>
          </cell>
          <cell r="M80">
            <v>0.20885080672617484</v>
          </cell>
          <cell r="N80">
            <v>0.35828460113211213</v>
          </cell>
          <cell r="O80">
            <v>0.68365630542796674</v>
          </cell>
          <cell r="P80">
            <v>0.61399979171201347</v>
          </cell>
          <cell r="Q80">
            <v>0.28520462316711936</v>
          </cell>
          <cell r="U80">
            <v>0.19653645156725391</v>
          </cell>
          <cell r="V80">
            <v>0.21060224776334718</v>
          </cell>
          <cell r="W80">
            <v>0.21819412694303114</v>
          </cell>
          <cell r="X80">
            <v>0.477021656202193</v>
          </cell>
          <cell r="Y80">
            <v>1.1199597679478852</v>
          </cell>
          <cell r="Z80">
            <v>0.5656540122165743</v>
          </cell>
          <cell r="AA80">
            <v>0.62349380576030489</v>
          </cell>
          <cell r="AB80">
            <v>0.21384548795429587</v>
          </cell>
          <cell r="AC80">
            <v>0.36685300170307877</v>
          </cell>
          <cell r="AD80">
            <v>0.70000599240659844</v>
          </cell>
          <cell r="AE80">
            <v>0.62868363843401842</v>
          </cell>
          <cell r="AF80">
            <v>0.29202531110141988</v>
          </cell>
        </row>
        <row r="81">
          <cell r="F81">
            <v>0.49905972681173938</v>
          </cell>
          <cell r="G81">
            <v>0.53477662487840583</v>
          </cell>
          <cell r="H81">
            <v>0.55405447954194265</v>
          </cell>
          <cell r="I81">
            <v>1.2112882649969183</v>
          </cell>
          <cell r="J81">
            <v>2.8438837242410884</v>
          </cell>
          <cell r="K81">
            <v>1.4363500233958768</v>
          </cell>
          <cell r="L81">
            <v>1.5832210558918716</v>
          </cell>
          <cell r="M81">
            <v>0.54301209748805457</v>
          </cell>
          <cell r="N81">
            <v>0.93153996294349151</v>
          </cell>
          <cell r="O81">
            <v>1.7775063941127138</v>
          </cell>
          <cell r="P81">
            <v>1.5963994584512351</v>
          </cell>
          <cell r="Q81">
            <v>0.74153202023451037</v>
          </cell>
          <cell r="U81">
            <v>7.9230550896780202E-2</v>
          </cell>
          <cell r="V81">
            <v>8.4900953371900456E-2</v>
          </cell>
          <cell r="W81">
            <v>8.7961498960016538E-2</v>
          </cell>
          <cell r="X81">
            <v>0.19230370910436967</v>
          </cell>
          <cell r="Y81">
            <v>0.45149400372874993</v>
          </cell>
          <cell r="Z81">
            <v>0.22803443660199085</v>
          </cell>
          <cell r="AA81">
            <v>0.25135163129886184</v>
          </cell>
          <cell r="AB81">
            <v>8.6208414176093859E-2</v>
          </cell>
          <cell r="AC81">
            <v>0.14789096471056479</v>
          </cell>
          <cell r="AD81">
            <v>0.28219630489483694</v>
          </cell>
          <cell r="AE81">
            <v>0.2534438299649181</v>
          </cell>
          <cell r="AF81">
            <v>0.11772536895758305</v>
          </cell>
        </row>
        <row r="82">
          <cell r="F82">
            <v>0.49905972681173938</v>
          </cell>
          <cell r="G82">
            <v>0.53477662487840583</v>
          </cell>
          <cell r="H82">
            <v>0.55405447954194265</v>
          </cell>
          <cell r="I82">
            <v>1.2112882649969183</v>
          </cell>
          <cell r="J82">
            <v>2.8438837242410884</v>
          </cell>
          <cell r="K82">
            <v>1.4363500233958768</v>
          </cell>
          <cell r="L82">
            <v>1.5832210558918716</v>
          </cell>
          <cell r="M82">
            <v>0.54301209748805457</v>
          </cell>
          <cell r="N82">
            <v>0.93153996294349151</v>
          </cell>
          <cell r="O82">
            <v>1.7775063941127138</v>
          </cell>
          <cell r="P82">
            <v>1.5963994584512351</v>
          </cell>
          <cell r="Q82">
            <v>0.74153202023451037</v>
          </cell>
          <cell r="U82">
            <v>7.9230550896780202E-2</v>
          </cell>
          <cell r="V82">
            <v>8.4900953371900456E-2</v>
          </cell>
          <cell r="W82">
            <v>8.7961498960016538E-2</v>
          </cell>
          <cell r="X82">
            <v>0.19230370910436967</v>
          </cell>
          <cell r="Y82">
            <v>0.45149400372874993</v>
          </cell>
          <cell r="Z82">
            <v>0.22803443660199085</v>
          </cell>
          <cell r="AA82">
            <v>0.25135163129886184</v>
          </cell>
          <cell r="AB82">
            <v>8.6208414176093859E-2</v>
          </cell>
          <cell r="AC82">
            <v>0.14789096471056479</v>
          </cell>
          <cell r="AD82">
            <v>0.28219630489483694</v>
          </cell>
          <cell r="AE82">
            <v>0.2534438299649181</v>
          </cell>
          <cell r="AF82">
            <v>0.11772536895758305</v>
          </cell>
        </row>
        <row r="83">
          <cell r="F83">
            <v>0.49905972681173938</v>
          </cell>
          <cell r="G83">
            <v>0.53477662487840583</v>
          </cell>
          <cell r="H83">
            <v>0.55405447954194265</v>
          </cell>
          <cell r="I83">
            <v>1.2112882649969183</v>
          </cell>
          <cell r="J83">
            <v>2.8438837242410884</v>
          </cell>
          <cell r="K83">
            <v>1.4363500233958768</v>
          </cell>
          <cell r="L83">
            <v>1.5832210558918716</v>
          </cell>
          <cell r="M83">
            <v>0.54301209748805457</v>
          </cell>
          <cell r="N83">
            <v>0.93153996294349151</v>
          </cell>
          <cell r="O83">
            <v>1.7775063941127138</v>
          </cell>
          <cell r="P83">
            <v>1.5963994584512351</v>
          </cell>
          <cell r="Q83">
            <v>0.74153202023451037</v>
          </cell>
          <cell r="U83">
            <v>7.9230550896780202E-2</v>
          </cell>
          <cell r="V83">
            <v>8.4900953371900456E-2</v>
          </cell>
          <cell r="W83">
            <v>8.7961498960016538E-2</v>
          </cell>
          <cell r="X83">
            <v>0.19230370910436967</v>
          </cell>
          <cell r="Y83">
            <v>0.45149400372874993</v>
          </cell>
          <cell r="Z83">
            <v>0.22803443660199085</v>
          </cell>
          <cell r="AA83">
            <v>0.25135163129886184</v>
          </cell>
          <cell r="AB83">
            <v>8.6208414176093859E-2</v>
          </cell>
          <cell r="AC83">
            <v>0.14789096471056479</v>
          </cell>
          <cell r="AD83">
            <v>0.28219630489483694</v>
          </cell>
          <cell r="AE83">
            <v>0.2534438299649181</v>
          </cell>
          <cell r="AF83">
            <v>0.11772536895758305</v>
          </cell>
        </row>
        <row r="84">
          <cell r="F84">
            <v>0.49905972681173938</v>
          </cell>
          <cell r="G84">
            <v>0.53477662487840583</v>
          </cell>
          <cell r="H84">
            <v>0.55405447954194265</v>
          </cell>
          <cell r="I84">
            <v>1.2112882649969183</v>
          </cell>
          <cell r="J84">
            <v>2.8438837242410884</v>
          </cell>
          <cell r="K84">
            <v>1.4363500233958768</v>
          </cell>
          <cell r="L84">
            <v>1.5832210558918716</v>
          </cell>
          <cell r="M84">
            <v>0.54301209748805457</v>
          </cell>
          <cell r="N84">
            <v>0.93153996294349151</v>
          </cell>
          <cell r="O84">
            <v>1.7775063941127138</v>
          </cell>
          <cell r="P84">
            <v>1.5963994584512351</v>
          </cell>
          <cell r="Q84">
            <v>0.74153202023451037</v>
          </cell>
          <cell r="U84">
            <v>7.9230550896780202E-2</v>
          </cell>
          <cell r="V84">
            <v>8.4900953371900456E-2</v>
          </cell>
          <cell r="W84">
            <v>8.7961498960016538E-2</v>
          </cell>
          <cell r="X84">
            <v>0.19230370910436967</v>
          </cell>
          <cell r="Y84">
            <v>0.45149400372874993</v>
          </cell>
          <cell r="Z84">
            <v>0.22803443660199085</v>
          </cell>
          <cell r="AA84">
            <v>0.25135163129886184</v>
          </cell>
          <cell r="AB84">
            <v>8.6208414176093859E-2</v>
          </cell>
          <cell r="AC84">
            <v>0.14789096471056479</v>
          </cell>
          <cell r="AD84">
            <v>0.28219630489483694</v>
          </cell>
          <cell r="AE84">
            <v>0.2534438299649181</v>
          </cell>
          <cell r="AF84">
            <v>0.11772536895758305</v>
          </cell>
        </row>
        <row r="85">
          <cell r="F85">
            <v>0.49905972681173938</v>
          </cell>
          <cell r="G85">
            <v>0.53477662487840583</v>
          </cell>
          <cell r="H85">
            <v>0.55405447954194265</v>
          </cell>
          <cell r="I85">
            <v>1.2112882649969183</v>
          </cell>
          <cell r="J85">
            <v>2.8438837242410884</v>
          </cell>
          <cell r="K85">
            <v>1.4363500233958768</v>
          </cell>
          <cell r="L85">
            <v>1.5832210558918716</v>
          </cell>
          <cell r="M85">
            <v>0.54301209748805457</v>
          </cell>
          <cell r="N85">
            <v>0.93153996294349151</v>
          </cell>
          <cell r="O85">
            <v>1.7775063941127138</v>
          </cell>
          <cell r="P85">
            <v>1.5963994584512351</v>
          </cell>
          <cell r="Q85">
            <v>0.74153202023451037</v>
          </cell>
          <cell r="U85">
            <v>7.9230550896780202E-2</v>
          </cell>
          <cell r="V85">
            <v>8.4900953371900456E-2</v>
          </cell>
          <cell r="W85">
            <v>8.7961498960016538E-2</v>
          </cell>
          <cell r="X85">
            <v>0.19230370910436967</v>
          </cell>
          <cell r="Y85">
            <v>0.45149400372874993</v>
          </cell>
          <cell r="Z85">
            <v>0.22803443660199085</v>
          </cell>
          <cell r="AA85">
            <v>0.25135163129886184</v>
          </cell>
          <cell r="AB85">
            <v>8.6208414176093859E-2</v>
          </cell>
          <cell r="AC85">
            <v>0.14789096471056479</v>
          </cell>
          <cell r="AD85">
            <v>0.28219630489483694</v>
          </cell>
          <cell r="AE85">
            <v>0.2534438299649181</v>
          </cell>
          <cell r="AF85">
            <v>0.11772536895758305</v>
          </cell>
        </row>
        <row r="86">
          <cell r="F86">
            <v>0.49905972681173938</v>
          </cell>
          <cell r="G86">
            <v>0.53477662487840583</v>
          </cell>
          <cell r="H86">
            <v>0.55405447954194265</v>
          </cell>
          <cell r="I86">
            <v>1.2112882649969183</v>
          </cell>
          <cell r="J86">
            <v>2.8438837242410884</v>
          </cell>
          <cell r="K86">
            <v>1.4363500233958768</v>
          </cell>
          <cell r="L86">
            <v>1.5832210558918716</v>
          </cell>
          <cell r="M86">
            <v>0.54301209748805457</v>
          </cell>
          <cell r="N86">
            <v>0.93153996294349151</v>
          </cell>
          <cell r="O86">
            <v>1.7775063941127138</v>
          </cell>
          <cell r="P86">
            <v>1.5963994584512351</v>
          </cell>
          <cell r="Q86">
            <v>0.74153202023451037</v>
          </cell>
          <cell r="U86">
            <v>7.9230550896780202E-2</v>
          </cell>
          <cell r="V86">
            <v>8.4900953371900456E-2</v>
          </cell>
          <cell r="W86">
            <v>8.7961498960016538E-2</v>
          </cell>
          <cell r="X86">
            <v>0.19230370910436967</v>
          </cell>
          <cell r="Y86">
            <v>0.45149400372874993</v>
          </cell>
          <cell r="Z86">
            <v>0.22803443660199085</v>
          </cell>
          <cell r="AA86">
            <v>0.25135163129886184</v>
          </cell>
          <cell r="AB86">
            <v>8.6208414176093859E-2</v>
          </cell>
          <cell r="AC86">
            <v>0.14789096471056479</v>
          </cell>
          <cell r="AD86">
            <v>0.28219630489483694</v>
          </cell>
          <cell r="AE86">
            <v>0.2534438299649181</v>
          </cell>
          <cell r="AF86">
            <v>0.11772536895758305</v>
          </cell>
        </row>
        <row r="87">
          <cell r="F87">
            <v>1.0237122601266448</v>
          </cell>
          <cell r="G87">
            <v>1.0969776920582683</v>
          </cell>
          <cell r="H87">
            <v>1.1365220093168054</v>
          </cell>
          <cell r="I87">
            <v>2.4846938769167553</v>
          </cell>
          <cell r="J87">
            <v>5.8336076394689016</v>
          </cell>
          <cell r="K87">
            <v>2.9463590223505172</v>
          </cell>
          <cell r="L87">
            <v>3.2476329351628133</v>
          </cell>
          <cell r="M87">
            <v>1.1138709692062658</v>
          </cell>
          <cell r="N87">
            <v>1.9108512060379317</v>
          </cell>
          <cell r="O87">
            <v>3.6461669622824893</v>
          </cell>
          <cell r="P87">
            <v>3.274665555797406</v>
          </cell>
          <cell r="Q87">
            <v>1.5210913235579699</v>
          </cell>
          <cell r="U87">
            <v>0.37052742880340228</v>
          </cell>
          <cell r="V87">
            <v>0.3970454780357488</v>
          </cell>
          <cell r="W87">
            <v>0.41135834188264575</v>
          </cell>
          <cell r="X87">
            <v>0.8993222699742095</v>
          </cell>
          <cell r="Y87">
            <v>2.1114445176546908</v>
          </cell>
          <cell r="Z87">
            <v>1.0664196136013713</v>
          </cell>
          <cell r="AA87">
            <v>1.1754641690178225</v>
          </cell>
          <cell r="AB87">
            <v>0.40315991349726843</v>
          </cell>
          <cell r="AC87">
            <v>0.69162284342626179</v>
          </cell>
          <cell r="AD87">
            <v>1.3197115265136201</v>
          </cell>
          <cell r="AE87">
            <v>1.1852484881157637</v>
          </cell>
          <cell r="AF87">
            <v>0.55055124281052781</v>
          </cell>
        </row>
        <row r="88">
          <cell r="F88">
            <v>1.0237122601266448</v>
          </cell>
          <cell r="G88">
            <v>1.0969776920582683</v>
          </cell>
          <cell r="H88">
            <v>1.1365220093168054</v>
          </cell>
          <cell r="I88">
            <v>2.4846938769167553</v>
          </cell>
          <cell r="J88">
            <v>5.8336076394689016</v>
          </cell>
          <cell r="K88">
            <v>2.9463590223505172</v>
          </cell>
          <cell r="L88">
            <v>3.2476329351628133</v>
          </cell>
          <cell r="M88">
            <v>1.1138709692062658</v>
          </cell>
          <cell r="N88">
            <v>1.9108512060379317</v>
          </cell>
          <cell r="O88">
            <v>3.6461669622824893</v>
          </cell>
          <cell r="P88">
            <v>3.274665555797406</v>
          </cell>
          <cell r="Q88">
            <v>1.5210913235579699</v>
          </cell>
          <cell r="U88">
            <v>0.37052742880340228</v>
          </cell>
          <cell r="V88">
            <v>0.3970454780357488</v>
          </cell>
          <cell r="W88">
            <v>0.41135834188264575</v>
          </cell>
          <cell r="X88">
            <v>0.8993222699742095</v>
          </cell>
          <cell r="Y88">
            <v>2.1114445176546908</v>
          </cell>
          <cell r="Z88">
            <v>1.0664196136013713</v>
          </cell>
          <cell r="AA88">
            <v>1.1754641690178225</v>
          </cell>
          <cell r="AB88">
            <v>0.40315991349726843</v>
          </cell>
          <cell r="AC88">
            <v>0.69162284342626179</v>
          </cell>
          <cell r="AD88">
            <v>1.3197115265136201</v>
          </cell>
          <cell r="AE88">
            <v>1.1852484881157637</v>
          </cell>
          <cell r="AF88">
            <v>0.55055124281052781</v>
          </cell>
        </row>
        <row r="89">
          <cell r="F89">
            <v>1.0237122601266448</v>
          </cell>
          <cell r="G89">
            <v>1.0969776920582683</v>
          </cell>
          <cell r="H89">
            <v>1.1365220093168054</v>
          </cell>
          <cell r="I89">
            <v>2.4846938769167553</v>
          </cell>
          <cell r="J89">
            <v>5.8336076394689016</v>
          </cell>
          <cell r="K89">
            <v>2.9463590223505172</v>
          </cell>
          <cell r="L89">
            <v>3.2476329351628133</v>
          </cell>
          <cell r="M89">
            <v>1.1138709692062658</v>
          </cell>
          <cell r="N89">
            <v>1.9108512060379317</v>
          </cell>
          <cell r="O89">
            <v>3.6461669622824893</v>
          </cell>
          <cell r="P89">
            <v>3.274665555797406</v>
          </cell>
          <cell r="Q89">
            <v>1.5210913235579699</v>
          </cell>
          <cell r="U89">
            <v>0.37052742880340228</v>
          </cell>
          <cell r="V89">
            <v>0.3970454780357488</v>
          </cell>
          <cell r="W89">
            <v>0.41135834188264575</v>
          </cell>
          <cell r="X89">
            <v>0.8993222699742095</v>
          </cell>
          <cell r="Y89">
            <v>2.1114445176546908</v>
          </cell>
          <cell r="Z89">
            <v>1.0664196136013713</v>
          </cell>
          <cell r="AA89">
            <v>1.1754641690178225</v>
          </cell>
          <cell r="AB89">
            <v>0.40315991349726843</v>
          </cell>
          <cell r="AC89">
            <v>0.69162284342626179</v>
          </cell>
          <cell r="AD89">
            <v>1.3197115265136201</v>
          </cell>
          <cell r="AE89">
            <v>1.1852484881157637</v>
          </cell>
          <cell r="AF89">
            <v>0.55055124281052781</v>
          </cell>
        </row>
        <row r="90">
          <cell r="F90">
            <v>1.0237122601266448</v>
          </cell>
          <cell r="G90">
            <v>1.0969776920582683</v>
          </cell>
          <cell r="H90">
            <v>1.1365220093168054</v>
          </cell>
          <cell r="I90">
            <v>2.4846938769167553</v>
          </cell>
          <cell r="J90">
            <v>5.8336076394689016</v>
          </cell>
          <cell r="K90">
            <v>2.9463590223505172</v>
          </cell>
          <cell r="L90">
            <v>3.2476329351628133</v>
          </cell>
          <cell r="M90">
            <v>1.1138709692062658</v>
          </cell>
          <cell r="N90">
            <v>1.9108512060379317</v>
          </cell>
          <cell r="O90">
            <v>3.6461669622824893</v>
          </cell>
          <cell r="P90">
            <v>3.274665555797406</v>
          </cell>
          <cell r="Q90">
            <v>1.5210913235579699</v>
          </cell>
          <cell r="U90">
            <v>0.37052742880340228</v>
          </cell>
          <cell r="V90">
            <v>0.3970454780357488</v>
          </cell>
          <cell r="W90">
            <v>0.41135834188264575</v>
          </cell>
          <cell r="X90">
            <v>0.8993222699742095</v>
          </cell>
          <cell r="Y90">
            <v>2.1114445176546908</v>
          </cell>
          <cell r="Z90">
            <v>1.0664196136013713</v>
          </cell>
          <cell r="AA90">
            <v>1.1754641690178225</v>
          </cell>
          <cell r="AB90">
            <v>0.40315991349726843</v>
          </cell>
          <cell r="AC90">
            <v>0.69162284342626179</v>
          </cell>
          <cell r="AD90">
            <v>1.3197115265136201</v>
          </cell>
          <cell r="AE90">
            <v>1.1852484881157637</v>
          </cell>
          <cell r="AF90">
            <v>0.55055124281052781</v>
          </cell>
        </row>
        <row r="91">
          <cell r="F91">
            <v>1.0237122601266448</v>
          </cell>
          <cell r="G91">
            <v>1.0969776920582683</v>
          </cell>
          <cell r="H91">
            <v>1.1365220093168054</v>
          </cell>
          <cell r="I91">
            <v>2.4846938769167553</v>
          </cell>
          <cell r="J91">
            <v>5.8336076394689016</v>
          </cell>
          <cell r="K91">
            <v>2.9463590223505172</v>
          </cell>
          <cell r="L91">
            <v>3.2476329351628133</v>
          </cell>
          <cell r="M91">
            <v>1.1138709692062658</v>
          </cell>
          <cell r="N91">
            <v>1.9108512060379317</v>
          </cell>
          <cell r="O91">
            <v>3.6461669622824893</v>
          </cell>
          <cell r="P91">
            <v>3.274665555797406</v>
          </cell>
          <cell r="Q91">
            <v>1.5210913235579699</v>
          </cell>
          <cell r="U91">
            <v>0.37052742880340228</v>
          </cell>
          <cell r="V91">
            <v>0.3970454780357488</v>
          </cell>
          <cell r="W91">
            <v>0.41135834188264575</v>
          </cell>
          <cell r="X91">
            <v>0.8993222699742095</v>
          </cell>
          <cell r="Y91">
            <v>2.1114445176546908</v>
          </cell>
          <cell r="Z91">
            <v>1.0664196136013713</v>
          </cell>
          <cell r="AA91">
            <v>1.1754641690178225</v>
          </cell>
          <cell r="AB91">
            <v>0.40315991349726843</v>
          </cell>
          <cell r="AC91">
            <v>0.69162284342626179</v>
          </cell>
          <cell r="AD91">
            <v>1.3197115265136201</v>
          </cell>
          <cell r="AE91">
            <v>1.1852484881157637</v>
          </cell>
          <cell r="AF91">
            <v>0.55055124281052781</v>
          </cell>
        </row>
        <row r="92">
          <cell r="F92">
            <v>1.0237122601266448</v>
          </cell>
          <cell r="G92">
            <v>1.0969776920582683</v>
          </cell>
          <cell r="H92">
            <v>1.1365220093168054</v>
          </cell>
          <cell r="I92">
            <v>2.4846938769167553</v>
          </cell>
          <cell r="J92">
            <v>5.8336076394689016</v>
          </cell>
          <cell r="K92">
            <v>2.9463590223505172</v>
          </cell>
          <cell r="L92">
            <v>3.2476329351628133</v>
          </cell>
          <cell r="M92">
            <v>1.1138709692062658</v>
          </cell>
          <cell r="N92">
            <v>1.9108512060379317</v>
          </cell>
          <cell r="O92">
            <v>3.6461669622824893</v>
          </cell>
          <cell r="P92">
            <v>3.274665555797406</v>
          </cell>
          <cell r="Q92">
            <v>1.5210913235579699</v>
          </cell>
          <cell r="U92">
            <v>0.37052742880340228</v>
          </cell>
          <cell r="V92">
            <v>0.3970454780357488</v>
          </cell>
          <cell r="W92">
            <v>0.41135834188264575</v>
          </cell>
          <cell r="X92">
            <v>0.8993222699742095</v>
          </cell>
          <cell r="Y92">
            <v>2.1114445176546908</v>
          </cell>
          <cell r="Z92">
            <v>1.0664196136013713</v>
          </cell>
          <cell r="AA92">
            <v>1.1754641690178225</v>
          </cell>
          <cell r="AB92">
            <v>0.40315991349726843</v>
          </cell>
          <cell r="AC92">
            <v>0.69162284342626179</v>
          </cell>
          <cell r="AD92">
            <v>1.3197115265136201</v>
          </cell>
          <cell r="AE92">
            <v>1.1852484881157637</v>
          </cell>
          <cell r="AF92">
            <v>0.55055124281052781</v>
          </cell>
        </row>
        <row r="93">
          <cell r="F93">
            <v>0.76778419509498352</v>
          </cell>
          <cell r="G93">
            <v>0.82273326904370103</v>
          </cell>
          <cell r="H93">
            <v>0.85239150698760424</v>
          </cell>
          <cell r="I93">
            <v>1.8635204076875667</v>
          </cell>
          <cell r="J93">
            <v>4.3752057296016762</v>
          </cell>
          <cell r="K93">
            <v>2.2097692667628879</v>
          </cell>
          <cell r="L93">
            <v>2.4357247013721102</v>
          </cell>
          <cell r="M93">
            <v>0.83540322690469937</v>
          </cell>
          <cell r="N93">
            <v>1.4331384045284485</v>
          </cell>
          <cell r="O93">
            <v>2.7346252217118669</v>
          </cell>
          <cell r="P93">
            <v>2.4559991668480539</v>
          </cell>
          <cell r="Q93">
            <v>1.1408184926684775</v>
          </cell>
          <cell r="U93">
            <v>0.24148131353041444</v>
          </cell>
          <cell r="V93">
            <v>0.25876374085724241</v>
          </cell>
          <cell r="W93">
            <v>0.26809176597347362</v>
          </cell>
          <cell r="X93">
            <v>0.5861091680631122</v>
          </cell>
          <cell r="Y93">
            <v>1.3760773317550556</v>
          </cell>
          <cell r="Z93">
            <v>0.69501037992977754</v>
          </cell>
          <cell r="AA93">
            <v>0.76607724415719303</v>
          </cell>
          <cell r="AB93">
            <v>0.2627486601694593</v>
          </cell>
          <cell r="AC93">
            <v>0.45074663767153833</v>
          </cell>
          <cell r="AD93">
            <v>0.86008659043924252</v>
          </cell>
          <cell r="AE93">
            <v>0.77245391169676414</v>
          </cell>
          <cell r="AF93">
            <v>0.35880700575672919</v>
          </cell>
        </row>
        <row r="94">
          <cell r="F94">
            <v>0.76778419509498352</v>
          </cell>
          <cell r="G94">
            <v>0.82273326904370103</v>
          </cell>
          <cell r="H94">
            <v>0.85239150698760424</v>
          </cell>
          <cell r="I94">
            <v>1.8635204076875667</v>
          </cell>
          <cell r="J94">
            <v>4.3752057296016762</v>
          </cell>
          <cell r="K94">
            <v>2.2097692667628879</v>
          </cell>
          <cell r="L94">
            <v>2.4357247013721102</v>
          </cell>
          <cell r="M94">
            <v>0.83540322690469937</v>
          </cell>
          <cell r="N94">
            <v>1.4331384045284485</v>
          </cell>
          <cell r="O94">
            <v>2.7346252217118669</v>
          </cell>
          <cell r="P94">
            <v>2.4559991668480539</v>
          </cell>
          <cell r="Q94">
            <v>1.1408184926684775</v>
          </cell>
          <cell r="U94">
            <v>0.24148131353041444</v>
          </cell>
          <cell r="V94">
            <v>0.25876374085724241</v>
          </cell>
          <cell r="W94">
            <v>0.26809176597347362</v>
          </cell>
          <cell r="X94">
            <v>0.5861091680631122</v>
          </cell>
          <cell r="Y94">
            <v>1.3760773317550556</v>
          </cell>
          <cell r="Z94">
            <v>0.69501037992977754</v>
          </cell>
          <cell r="AA94">
            <v>0.76607724415719303</v>
          </cell>
          <cell r="AB94">
            <v>0.2627486601694593</v>
          </cell>
          <cell r="AC94">
            <v>0.45074663767153833</v>
          </cell>
          <cell r="AD94">
            <v>0.86008659043924252</v>
          </cell>
          <cell r="AE94">
            <v>0.77245391169676414</v>
          </cell>
          <cell r="AF94">
            <v>0.35880700575672919</v>
          </cell>
        </row>
        <row r="95">
          <cell r="F95">
            <v>0.76778419509498352</v>
          </cell>
          <cell r="G95">
            <v>0.82273326904370103</v>
          </cell>
          <cell r="H95">
            <v>0.85239150698760424</v>
          </cell>
          <cell r="I95">
            <v>1.8635204076875667</v>
          </cell>
          <cell r="J95">
            <v>4.3752057296016762</v>
          </cell>
          <cell r="K95">
            <v>2.2097692667628879</v>
          </cell>
          <cell r="L95">
            <v>2.4357247013721102</v>
          </cell>
          <cell r="M95">
            <v>0.83540322690469937</v>
          </cell>
          <cell r="N95">
            <v>1.4331384045284485</v>
          </cell>
          <cell r="O95">
            <v>2.7346252217118669</v>
          </cell>
          <cell r="P95">
            <v>2.4559991668480539</v>
          </cell>
          <cell r="Q95">
            <v>1.1408184926684775</v>
          </cell>
          <cell r="U95">
            <v>0.24148131353041444</v>
          </cell>
          <cell r="V95">
            <v>0.25876374085724241</v>
          </cell>
          <cell r="W95">
            <v>0.26809176597347362</v>
          </cell>
          <cell r="X95">
            <v>0.5861091680631122</v>
          </cell>
          <cell r="Y95">
            <v>1.3760773317550556</v>
          </cell>
          <cell r="Z95">
            <v>0.69501037992977754</v>
          </cell>
          <cell r="AA95">
            <v>0.76607724415719303</v>
          </cell>
          <cell r="AB95">
            <v>0.2627486601694593</v>
          </cell>
          <cell r="AC95">
            <v>0.45074663767153833</v>
          </cell>
          <cell r="AD95">
            <v>0.86008659043924252</v>
          </cell>
          <cell r="AE95">
            <v>0.77245391169676414</v>
          </cell>
          <cell r="AF95">
            <v>0.35880700575672919</v>
          </cell>
        </row>
        <row r="96">
          <cell r="F96">
            <v>0.76778419509498352</v>
          </cell>
          <cell r="G96">
            <v>0.82273326904370103</v>
          </cell>
          <cell r="H96">
            <v>0.85239150698760424</v>
          </cell>
          <cell r="I96">
            <v>1.8635204076875667</v>
          </cell>
          <cell r="J96">
            <v>4.3752057296016762</v>
          </cell>
          <cell r="K96">
            <v>2.2097692667628879</v>
          </cell>
          <cell r="L96">
            <v>2.4357247013721102</v>
          </cell>
          <cell r="M96">
            <v>0.83540322690469937</v>
          </cell>
          <cell r="N96">
            <v>1.4331384045284485</v>
          </cell>
          <cell r="O96">
            <v>2.7346252217118669</v>
          </cell>
          <cell r="P96">
            <v>2.4559991668480539</v>
          </cell>
          <cell r="Q96">
            <v>1.1408184926684775</v>
          </cell>
          <cell r="U96">
            <v>0.24148131353041444</v>
          </cell>
          <cell r="V96">
            <v>0.25876374085724241</v>
          </cell>
          <cell r="W96">
            <v>0.26809176597347362</v>
          </cell>
          <cell r="X96">
            <v>0.5861091680631122</v>
          </cell>
          <cell r="Y96">
            <v>1.3760773317550556</v>
          </cell>
          <cell r="Z96">
            <v>0.69501037992977754</v>
          </cell>
          <cell r="AA96">
            <v>0.76607724415719303</v>
          </cell>
          <cell r="AB96">
            <v>0.2627486601694593</v>
          </cell>
          <cell r="AC96">
            <v>0.45074663767153833</v>
          </cell>
          <cell r="AD96">
            <v>0.86008659043924252</v>
          </cell>
          <cell r="AE96">
            <v>0.77245391169676414</v>
          </cell>
          <cell r="AF96">
            <v>0.35880700575672919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F102">
            <v>3.6338317202520916</v>
          </cell>
          <cell r="G102">
            <v>2.5550989601681908</v>
          </cell>
          <cell r="H102">
            <v>2.1244255065858435</v>
          </cell>
          <cell r="I102">
            <v>2.9997284386024252</v>
          </cell>
          <cell r="J102">
            <v>2.9997284386024252</v>
          </cell>
          <cell r="K102">
            <v>2.1383746666935837</v>
          </cell>
          <cell r="L102">
            <v>2.9997284386024252</v>
          </cell>
          <cell r="M102">
            <v>2.8185941554022009</v>
          </cell>
          <cell r="N102">
            <v>4.6000147117895205</v>
          </cell>
          <cell r="O102">
            <v>4.6768792520091909</v>
          </cell>
          <cell r="P102">
            <v>4.9329914149125536</v>
          </cell>
          <cell r="Q102">
            <v>4.9538556606248836</v>
          </cell>
        </row>
        <row r="103">
          <cell r="F103">
            <v>1.0190928297479489E-2</v>
          </cell>
          <cell r="G103">
            <v>1.0920276565133009E-2</v>
          </cell>
          <cell r="H103">
            <v>1.1313935327903597E-2</v>
          </cell>
          <cell r="I103">
            <v>2.4734818685977687E-2</v>
          </cell>
          <cell r="J103">
            <v>5.8072838907000622E-2</v>
          </cell>
          <cell r="K103">
            <v>2.9330637821697401E-2</v>
          </cell>
          <cell r="L103">
            <v>3.2329782174028758E-2</v>
          </cell>
          <cell r="M103">
            <v>1.1088447039230287E-2</v>
          </cell>
          <cell r="N103">
            <v>1.9022286228628046E-2</v>
          </cell>
          <cell r="O103">
            <v>3.6297138874416345E-2</v>
          </cell>
          <cell r="P103">
            <v>3.2598888552168657E-2</v>
          </cell>
          <cell r="Q103">
            <v>1.5142275047462808E-2</v>
          </cell>
        </row>
        <row r="104">
          <cell r="F104">
            <v>3.3763735277352158E-2</v>
          </cell>
          <cell r="G104">
            <v>2.895362148585872E-2</v>
          </cell>
          <cell r="H104">
            <v>6.8870905269359392E-2</v>
          </cell>
          <cell r="I104">
            <v>0.10017699096317065</v>
          </cell>
          <cell r="J104">
            <v>5.466456138143129E-2</v>
          </cell>
          <cell r="K104">
            <v>4.0198718051361319E-2</v>
          </cell>
          <cell r="L104">
            <v>2.4377679382060913E-2</v>
          </cell>
          <cell r="M104">
            <v>3.3850337490599798E-2</v>
          </cell>
          <cell r="N104">
            <v>3.8706833534804648E-2</v>
          </cell>
          <cell r="O104">
            <v>3.7434810799783828E-2</v>
          </cell>
          <cell r="P104">
            <v>2.5667006053591492E-2</v>
          </cell>
          <cell r="Q104">
            <v>3.3334800310625808E-2</v>
          </cell>
        </row>
        <row r="107">
          <cell r="F107">
            <v>4.9571324403708168</v>
          </cell>
          <cell r="G107">
            <v>5.1115934315189868</v>
          </cell>
          <cell r="H107">
            <v>4.7857331343116822</v>
          </cell>
          <cell r="I107">
            <v>3.7482502463348988</v>
          </cell>
          <cell r="J107">
            <v>4.6100834984424468</v>
          </cell>
          <cell r="K107">
            <v>4.0636399849273168</v>
          </cell>
          <cell r="L107">
            <v>4.9819297481247968</v>
          </cell>
          <cell r="M107">
            <v>3.8414231953622182</v>
          </cell>
          <cell r="N107">
            <v>4.2110459199555557</v>
          </cell>
          <cell r="O107">
            <v>4.4895917488698256</v>
          </cell>
          <cell r="P107">
            <v>4.6082787410191148</v>
          </cell>
          <cell r="Q107">
            <v>4.9413711630410306</v>
          </cell>
        </row>
        <row r="108">
          <cell r="F108">
            <v>24.859523264184002</v>
          </cell>
          <cell r="G108">
            <v>25.634129682117351</v>
          </cell>
          <cell r="H108">
            <v>23.999972891524738</v>
          </cell>
          <cell r="I108">
            <v>18.797100000776972</v>
          </cell>
          <cell r="J108">
            <v>23.11910754008175</v>
          </cell>
          <cell r="K108">
            <v>20.378747987417537</v>
          </cell>
          <cell r="L108">
            <v>24.983879281783786</v>
          </cell>
          <cell r="M108">
            <v>19.264353018887583</v>
          </cell>
          <cell r="N108">
            <v>21.117974004715389</v>
          </cell>
          <cell r="O108">
            <v>22.514853470279505</v>
          </cell>
          <cell r="P108">
            <v>23.110056862156306</v>
          </cell>
          <cell r="Q108">
            <v>24.780482035173836</v>
          </cell>
        </row>
        <row r="109">
          <cell r="F109">
            <v>24.859523264184006</v>
          </cell>
          <cell r="G109">
            <v>25.634129682117354</v>
          </cell>
          <cell r="H109">
            <v>23.999972891524738</v>
          </cell>
          <cell r="I109">
            <v>18.797100000776975</v>
          </cell>
          <cell r="J109">
            <v>23.119107540081746</v>
          </cell>
          <cell r="K109">
            <v>20.378747987417537</v>
          </cell>
          <cell r="L109">
            <v>24.983879281783786</v>
          </cell>
          <cell r="M109">
            <v>19.264353018887586</v>
          </cell>
          <cell r="N109">
            <v>21.117974004715386</v>
          </cell>
          <cell r="O109">
            <v>22.514853470279505</v>
          </cell>
          <cell r="P109">
            <v>23.110056862156309</v>
          </cell>
          <cell r="Q109">
            <v>24.780482035173836</v>
          </cell>
        </row>
        <row r="110">
          <cell r="F110">
            <v>96.019908607910722</v>
          </cell>
          <cell r="G110">
            <v>99.011825897178284</v>
          </cell>
          <cell r="H110">
            <v>92.699895293514317</v>
          </cell>
          <cell r="I110">
            <v>72.603798753001072</v>
          </cell>
          <cell r="J110">
            <v>89.297552873565763</v>
          </cell>
          <cell r="K110">
            <v>78.712914101400244</v>
          </cell>
          <cell r="L110">
            <v>96.500233725889899</v>
          </cell>
          <cell r="M110">
            <v>74.408563535453311</v>
          </cell>
          <cell r="N110">
            <v>81.5681745932132</v>
          </cell>
          <cell r="O110">
            <v>86.963621528954604</v>
          </cell>
          <cell r="P110">
            <v>89.262594630078766</v>
          </cell>
          <cell r="Q110">
            <v>95.714611860858966</v>
          </cell>
        </row>
        <row r="112">
          <cell r="F112">
            <v>105.15578340749835</v>
          </cell>
          <cell r="G112">
            <v>108.43236855535642</v>
          </cell>
          <cell r="H112">
            <v>101.51988533114967</v>
          </cell>
          <cell r="I112">
            <v>79.511733003286608</v>
          </cell>
          <cell r="J112">
            <v>97.793824894545807</v>
          </cell>
          <cell r="K112">
            <v>86.202103986776194</v>
          </cell>
          <cell r="L112">
            <v>105.68180936194544</v>
          </cell>
          <cell r="M112">
            <v>81.488213269894487</v>
          </cell>
          <cell r="N112">
            <v>89.329030039946105</v>
          </cell>
          <cell r="O112">
            <v>95.237830179282312</v>
          </cell>
          <cell r="P112">
            <v>97.75554052692118</v>
          </cell>
          <cell r="Q112">
            <v>104.82143900878533</v>
          </cell>
        </row>
        <row r="113">
          <cell r="F113">
            <v>62.14880816046</v>
          </cell>
          <cell r="G113">
            <v>64.085324205293375</v>
          </cell>
          <cell r="H113">
            <v>59.999932228811851</v>
          </cell>
          <cell r="I113">
            <v>46.992750001942433</v>
          </cell>
          <cell r="J113">
            <v>57.797768850204378</v>
          </cell>
          <cell r="K113">
            <v>50.946869968543844</v>
          </cell>
          <cell r="L113">
            <v>62.459698204459471</v>
          </cell>
          <cell r="M113">
            <v>48.160882547218968</v>
          </cell>
          <cell r="N113">
            <v>52.794935011788475</v>
          </cell>
          <cell r="O113">
            <v>56.287133675698769</v>
          </cell>
          <cell r="P113">
            <v>57.775142155390775</v>
          </cell>
          <cell r="Q113">
            <v>61.951205087934596</v>
          </cell>
        </row>
        <row r="114">
          <cell r="F114">
            <v>186.12987707139467</v>
          </cell>
          <cell r="G114">
            <v>191.92956179649838</v>
          </cell>
          <cell r="H114">
            <v>179.69419431515126</v>
          </cell>
          <cell r="I114">
            <v>140.73889813824528</v>
          </cell>
          <cell r="J114">
            <v>173.09892063117235</v>
          </cell>
          <cell r="K114">
            <v>152.58111820799888</v>
          </cell>
          <cell r="L114">
            <v>187.06096372269354</v>
          </cell>
          <cell r="M114">
            <v>144.23734603275764</v>
          </cell>
          <cell r="N114">
            <v>158.11590044277565</v>
          </cell>
          <cell r="O114">
            <v>168.57470934453755</v>
          </cell>
          <cell r="P114">
            <v>173.03115579305489</v>
          </cell>
          <cell r="Q114">
            <v>185.53807432108087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23"/>
      <sheetName val="Intra &amp; Inter State 22-23"/>
      <sheetName val="STOA 22-23"/>
      <sheetName val="NCEs NP 22-23"/>
      <sheetName val="NCEs SP 22-23"/>
      <sheetName val="March-23 Prov-NCE"/>
      <sheetName val="Sheet2 "/>
      <sheetName val="Hydel Break up 22-23"/>
      <sheetName val="Sheet1"/>
    </sheetNames>
    <sheetDataSet>
      <sheetData sheetId="0">
        <row r="5">
          <cell r="G5">
            <v>95391070</v>
          </cell>
        </row>
        <row r="187">
          <cell r="H187">
            <v>0</v>
          </cell>
          <cell r="I187">
            <v>97506582.514499992</v>
          </cell>
          <cell r="M187">
            <v>0</v>
          </cell>
          <cell r="N187">
            <v>101228503.84799999</v>
          </cell>
          <cell r="R187">
            <v>0</v>
          </cell>
          <cell r="S187">
            <v>108331156.485</v>
          </cell>
          <cell r="W187">
            <v>0</v>
          </cell>
          <cell r="X187">
            <v>102260036.9235</v>
          </cell>
          <cell r="AB187">
            <v>0</v>
          </cell>
          <cell r="AC187">
            <v>99853850.295000002</v>
          </cell>
          <cell r="AG187">
            <v>0</v>
          </cell>
          <cell r="AH187">
            <v>78640911.630999997</v>
          </cell>
          <cell r="AL187">
            <v>0</v>
          </cell>
          <cell r="AM187">
            <v>94946059.921499997</v>
          </cell>
          <cell r="AQ187">
            <v>0</v>
          </cell>
          <cell r="AR187">
            <v>89659198.86649999</v>
          </cell>
          <cell r="AV187">
            <v>0</v>
          </cell>
          <cell r="AW187">
            <v>72268164.875</v>
          </cell>
          <cell r="BA187">
            <v>0</v>
          </cell>
          <cell r="BB187">
            <v>99749819.053499997</v>
          </cell>
          <cell r="BF187">
            <v>0</v>
          </cell>
          <cell r="BG187">
            <v>88339257.229000002</v>
          </cell>
          <cell r="BL187">
            <v>98665065.704999998</v>
          </cell>
          <cell r="BP187">
            <v>0</v>
          </cell>
          <cell r="BQ187">
            <v>0</v>
          </cell>
          <cell r="BU187">
            <v>0</v>
          </cell>
          <cell r="BV187">
            <v>95608803.015999988</v>
          </cell>
        </row>
        <row r="188">
          <cell r="H188">
            <v>0</v>
          </cell>
          <cell r="I188">
            <v>4359947.3374999994</v>
          </cell>
          <cell r="M188">
            <v>0</v>
          </cell>
          <cell r="N188">
            <v>3346892.6645</v>
          </cell>
          <cell r="R188">
            <v>0</v>
          </cell>
          <cell r="S188">
            <v>3983237.9569999999</v>
          </cell>
          <cell r="W188">
            <v>0</v>
          </cell>
          <cell r="X188">
            <v>5533926.8234999999</v>
          </cell>
          <cell r="AB188">
            <v>0</v>
          </cell>
          <cell r="AC188">
            <v>4000805.7654999997</v>
          </cell>
          <cell r="AG188">
            <v>0</v>
          </cell>
          <cell r="AH188">
            <v>4919601.0014999993</v>
          </cell>
          <cell r="AL188">
            <v>0</v>
          </cell>
          <cell r="AM188">
            <v>4721720.8559999997</v>
          </cell>
          <cell r="AQ188">
            <v>0</v>
          </cell>
          <cell r="AR188">
            <v>5225926.9435000001</v>
          </cell>
          <cell r="AV188">
            <v>0</v>
          </cell>
          <cell r="AW188">
            <v>5447676.9029999999</v>
          </cell>
          <cell r="BA188">
            <v>0</v>
          </cell>
          <cell r="BB188">
            <v>5423642.7579999994</v>
          </cell>
          <cell r="BF188">
            <v>0</v>
          </cell>
          <cell r="BG188">
            <v>3711181.8019999997</v>
          </cell>
          <cell r="BK188">
            <v>0</v>
          </cell>
          <cell r="BL188">
            <v>5096522.4654999999</v>
          </cell>
          <cell r="BP188">
            <v>0</v>
          </cell>
          <cell r="BQ188">
            <v>0</v>
          </cell>
          <cell r="BU188">
            <v>0</v>
          </cell>
          <cell r="BV188">
            <v>0</v>
          </cell>
        </row>
        <row r="189">
          <cell r="H189">
            <v>0</v>
          </cell>
          <cell r="I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51638116.219499998</v>
          </cell>
          <cell r="W189">
            <v>0</v>
          </cell>
          <cell r="X189">
            <v>41079317.897</v>
          </cell>
          <cell r="AB189">
            <v>0</v>
          </cell>
          <cell r="AC189">
            <v>43119319.102499999</v>
          </cell>
          <cell r="AG189">
            <v>0</v>
          </cell>
          <cell r="AH189">
            <v>44465164.370999999</v>
          </cell>
          <cell r="AL189">
            <v>0</v>
          </cell>
          <cell r="AM189">
            <v>46102113.759999998</v>
          </cell>
          <cell r="AQ189">
            <v>0</v>
          </cell>
          <cell r="AR189">
            <v>46278845.566</v>
          </cell>
          <cell r="AV189">
            <v>0</v>
          </cell>
          <cell r="AW189">
            <v>48184349.799499996</v>
          </cell>
          <cell r="BA189">
            <v>0</v>
          </cell>
          <cell r="BB189">
            <v>42125454.343999997</v>
          </cell>
          <cell r="BF189">
            <v>0</v>
          </cell>
          <cell r="BG189">
            <v>44789516.658</v>
          </cell>
          <cell r="BK189">
            <v>0</v>
          </cell>
          <cell r="BL189">
            <v>49825168.623999998</v>
          </cell>
          <cell r="BP189">
            <v>0</v>
          </cell>
          <cell r="BQ189">
            <v>0</v>
          </cell>
          <cell r="BU189">
            <v>0</v>
          </cell>
          <cell r="BV189">
            <v>0</v>
          </cell>
        </row>
        <row r="190">
          <cell r="H190">
            <v>1801408.7967918324</v>
          </cell>
          <cell r="I190">
            <v>5108244.8132964997</v>
          </cell>
          <cell r="M190">
            <v>1029612.3465</v>
          </cell>
          <cell r="N190">
            <v>8658579.4804999996</v>
          </cell>
          <cell r="R190">
            <v>904496.66823271022</v>
          </cell>
          <cell r="S190">
            <v>5825739.5109999999</v>
          </cell>
          <cell r="W190">
            <v>626030.72450000001</v>
          </cell>
          <cell r="X190">
            <v>6344197.6314999992</v>
          </cell>
          <cell r="AB190">
            <v>453860.72349999996</v>
          </cell>
          <cell r="AC190">
            <v>3836558.4035</v>
          </cell>
          <cell r="AG190">
            <v>394417.6655</v>
          </cell>
          <cell r="AH190">
            <v>2339091.2824999997</v>
          </cell>
          <cell r="AL190">
            <v>266408.2840857883</v>
          </cell>
          <cell r="AM190">
            <v>1944015.115</v>
          </cell>
          <cell r="AQ190">
            <v>1014763.2883749999</v>
          </cell>
          <cell r="AR190">
            <v>2932738.787</v>
          </cell>
          <cell r="AV190">
            <v>923941.03449999995</v>
          </cell>
          <cell r="AW190">
            <v>3612296.9479999999</v>
          </cell>
          <cell r="BA190">
            <v>1336856.2096599997</v>
          </cell>
          <cell r="BB190">
            <v>5149522.9575675</v>
          </cell>
          <cell r="BF190">
            <v>1341712.0640750004</v>
          </cell>
          <cell r="BG190">
            <v>4205007.3535000002</v>
          </cell>
          <cell r="BK190">
            <v>4496704.8914999999</v>
          </cell>
          <cell r="BL190">
            <v>3284303.9718959997</v>
          </cell>
          <cell r="BP190">
            <v>-180714.9185</v>
          </cell>
          <cell r="BQ190">
            <v>148840184.55599999</v>
          </cell>
          <cell r="BU190">
            <v>82485522.842500001</v>
          </cell>
          <cell r="BV190">
            <v>100481525.26646563</v>
          </cell>
        </row>
        <row r="191">
          <cell r="H191">
            <v>2360130.3948950032</v>
          </cell>
          <cell r="I191">
            <v>6319863.9187439997</v>
          </cell>
          <cell r="M191">
            <v>1439238.2864999999</v>
          </cell>
          <cell r="N191">
            <v>16217081.010499999</v>
          </cell>
          <cell r="R191">
            <v>1020213.0845</v>
          </cell>
          <cell r="S191">
            <v>7205161.9024999999</v>
          </cell>
          <cell r="W191">
            <v>1262458.7715</v>
          </cell>
          <cell r="X191">
            <v>13130353.768999999</v>
          </cell>
          <cell r="AB191">
            <v>1229756.0189999999</v>
          </cell>
          <cell r="AC191">
            <v>10622692.748</v>
          </cell>
          <cell r="AG191">
            <v>1116087.8540000001</v>
          </cell>
          <cell r="AH191">
            <v>7953836.5629999992</v>
          </cell>
          <cell r="AL191">
            <v>553311.71096896648</v>
          </cell>
          <cell r="AM191">
            <v>2999908.3308024998</v>
          </cell>
          <cell r="AQ191">
            <v>1076091.8606749333</v>
          </cell>
          <cell r="AR191">
            <v>2455816.1852174997</v>
          </cell>
          <cell r="AV191">
            <v>580934.52850000001</v>
          </cell>
          <cell r="AW191">
            <v>2664083.5179999997</v>
          </cell>
          <cell r="BA191">
            <v>549506.82258500007</v>
          </cell>
          <cell r="BB191">
            <v>2043776.8677824999</v>
          </cell>
          <cell r="BF191">
            <v>1526376.3721784269</v>
          </cell>
          <cell r="BG191">
            <v>4597209.4955000002</v>
          </cell>
          <cell r="BK191">
            <v>10053831.042966472</v>
          </cell>
          <cell r="BL191">
            <v>4260208.1389999995</v>
          </cell>
          <cell r="BP191">
            <v>0</v>
          </cell>
          <cell r="BQ191">
            <v>0</v>
          </cell>
          <cell r="BU191">
            <v>-3229217.2379999999</v>
          </cell>
          <cell r="BV191">
            <v>0</v>
          </cell>
        </row>
        <row r="192">
          <cell r="AL192">
            <v>937644.84636185982</v>
          </cell>
          <cell r="AM192">
            <v>2349450.29055</v>
          </cell>
          <cell r="AQ192">
            <v>1254992.87255</v>
          </cell>
          <cell r="AR192">
            <v>3372798.0789919998</v>
          </cell>
          <cell r="AV192">
            <v>1160787.3584999999</v>
          </cell>
          <cell r="AW192">
            <v>3200253.1629999997</v>
          </cell>
          <cell r="BA192">
            <v>1228371.8689999999</v>
          </cell>
          <cell r="BB192">
            <v>2874838.6144999997</v>
          </cell>
          <cell r="BF192">
            <v>1529321.0597099997</v>
          </cell>
          <cell r="BG192">
            <v>3353504.7785</v>
          </cell>
          <cell r="BK192">
            <v>1187505.8695275004</v>
          </cell>
          <cell r="BL192">
            <v>2466616.8504999997</v>
          </cell>
        </row>
        <row r="193">
          <cell r="AL193">
            <v>1619797.6633931405</v>
          </cell>
          <cell r="AM193">
            <v>1970944.784</v>
          </cell>
          <cell r="AQ193">
            <v>852797.3516488414</v>
          </cell>
          <cell r="AR193">
            <v>826392.91599999997</v>
          </cell>
          <cell r="AV193">
            <v>1422515.3984999999</v>
          </cell>
          <cell r="AW193">
            <v>1639150.7764999999</v>
          </cell>
          <cell r="BA193">
            <v>605852.98190250003</v>
          </cell>
          <cell r="BB193">
            <v>726209.90599999996</v>
          </cell>
          <cell r="BF193">
            <v>1687112.1629999999</v>
          </cell>
          <cell r="BG193">
            <v>1854613.1609999998</v>
          </cell>
          <cell r="BK193">
            <v>519118.2470115347</v>
          </cell>
          <cell r="BL193">
            <v>912545.946</v>
          </cell>
        </row>
        <row r="194">
          <cell r="H194">
            <v>19002057.647275001</v>
          </cell>
          <cell r="I194">
            <v>22796800.137429502</v>
          </cell>
          <cell r="M194">
            <v>20585742.603</v>
          </cell>
          <cell r="N194">
            <v>28928465.827</v>
          </cell>
          <cell r="R194">
            <v>19351521.895283338</v>
          </cell>
          <cell r="S194">
            <v>23580193.805216495</v>
          </cell>
          <cell r="W194">
            <v>20915548.441</v>
          </cell>
          <cell r="X194">
            <v>29809027.895</v>
          </cell>
          <cell r="AB194">
            <v>19704899.876499999</v>
          </cell>
          <cell r="AC194">
            <v>26017261.763499998</v>
          </cell>
          <cell r="AG194">
            <v>19225824.062999997</v>
          </cell>
          <cell r="AH194">
            <v>23832891.356999997</v>
          </cell>
          <cell r="AL194">
            <v>18917673.384275008</v>
          </cell>
          <cell r="AM194">
            <v>23346353.77344</v>
          </cell>
          <cell r="AQ194">
            <v>19207136.744654175</v>
          </cell>
          <cell r="AR194">
            <v>22642888.937052995</v>
          </cell>
          <cell r="AV194">
            <v>17220567.673</v>
          </cell>
          <cell r="AW194">
            <v>9768163.8909999989</v>
          </cell>
          <cell r="BA194">
            <v>19631041.80450071</v>
          </cell>
          <cell r="BB194">
            <v>24154639.467377499</v>
          </cell>
          <cell r="BF194">
            <v>20959693.006981082</v>
          </cell>
          <cell r="BG194">
            <v>23962852.734499998</v>
          </cell>
          <cell r="BK194">
            <v>21972557.723697919</v>
          </cell>
          <cell r="BL194">
            <v>28486088.687777501</v>
          </cell>
          <cell r="BP194">
            <v>0</v>
          </cell>
          <cell r="BQ194">
            <v>0</v>
          </cell>
          <cell r="BU194">
            <v>0</v>
          </cell>
          <cell r="BV194">
            <v>0</v>
          </cell>
        </row>
        <row r="195">
          <cell r="H195">
            <v>44415494.000999995</v>
          </cell>
          <cell r="I195">
            <v>170383097.91045851</v>
          </cell>
          <cell r="M195">
            <v>43409490.835999995</v>
          </cell>
          <cell r="N195">
            <v>209868321.99926397</v>
          </cell>
          <cell r="R195">
            <v>41660821.988499999</v>
          </cell>
          <cell r="S195">
            <v>327385473.56899196</v>
          </cell>
          <cell r="W195">
            <v>43185407.258499995</v>
          </cell>
          <cell r="X195">
            <v>273273719.00525397</v>
          </cell>
          <cell r="AB195">
            <v>42482606.273999996</v>
          </cell>
          <cell r="AC195">
            <v>175767202.293834</v>
          </cell>
          <cell r="AG195">
            <v>42091153.339999996</v>
          </cell>
          <cell r="AH195">
            <v>163237354.04729998</v>
          </cell>
          <cell r="AL195">
            <v>49430141.048999995</v>
          </cell>
          <cell r="AM195">
            <v>90958510.216799498</v>
          </cell>
          <cell r="AQ195">
            <v>46856002.248499997</v>
          </cell>
          <cell r="AR195">
            <v>82401074.071042001</v>
          </cell>
          <cell r="AV195">
            <v>51875958.247999996</v>
          </cell>
          <cell r="AW195">
            <v>108750321.57449999</v>
          </cell>
          <cell r="BA195">
            <v>33801974.339000002</v>
          </cell>
          <cell r="BB195">
            <v>171670317.38466901</v>
          </cell>
          <cell r="BF195">
            <v>54201468.662999995</v>
          </cell>
          <cell r="BG195">
            <v>237109007.36472148</v>
          </cell>
          <cell r="BK195">
            <v>69569908.460500002</v>
          </cell>
          <cell r="BL195">
            <v>284860042.55069244</v>
          </cell>
          <cell r="BP195">
            <v>0</v>
          </cell>
          <cell r="BQ195">
            <v>-46353.416499999999</v>
          </cell>
          <cell r="BU195">
            <v>0</v>
          </cell>
          <cell r="BV195">
            <v>17064010.896663282</v>
          </cell>
        </row>
        <row r="196">
          <cell r="H196">
            <v>13418508.177499998</v>
          </cell>
          <cell r="I196">
            <v>48716966.606218502</v>
          </cell>
          <cell r="M196">
            <v>15622139.7675</v>
          </cell>
          <cell r="N196">
            <v>54248670.910959996</v>
          </cell>
          <cell r="R196">
            <v>6714751.6674999995</v>
          </cell>
          <cell r="S196">
            <v>23689368.455938</v>
          </cell>
          <cell r="W196">
            <v>-93838.301999999996</v>
          </cell>
          <cell r="X196">
            <v>0</v>
          </cell>
          <cell r="AB196">
            <v>7771016.2639999995</v>
          </cell>
          <cell r="AC196">
            <v>35458171.237275995</v>
          </cell>
          <cell r="AG196">
            <v>14830282.2775</v>
          </cell>
          <cell r="AH196">
            <v>57041608.404000007</v>
          </cell>
          <cell r="AL196">
            <v>17232014.298999999</v>
          </cell>
          <cell r="AM196">
            <v>34015820.552263997</v>
          </cell>
          <cell r="AQ196">
            <v>14701837.280499998</v>
          </cell>
          <cell r="AR196">
            <v>31271585.444830999</v>
          </cell>
          <cell r="AV196">
            <v>17463449.48</v>
          </cell>
          <cell r="AW196">
            <v>40761009.73480799</v>
          </cell>
          <cell r="BA196">
            <v>12598166.942</v>
          </cell>
          <cell r="BB196">
            <v>53006690.713807493</v>
          </cell>
          <cell r="BF196">
            <v>17092167.439999998</v>
          </cell>
          <cell r="BG196">
            <v>60747487.775907993</v>
          </cell>
          <cell r="BK196">
            <v>15902107.075999999</v>
          </cell>
          <cell r="BL196">
            <v>65225571.919805497</v>
          </cell>
          <cell r="BP196">
            <v>0</v>
          </cell>
          <cell r="BQ196">
            <v>-624121.76371999993</v>
          </cell>
          <cell r="BU196">
            <v>0</v>
          </cell>
          <cell r="BV196">
            <v>0</v>
          </cell>
        </row>
        <row r="197">
          <cell r="H197">
            <v>90359144.378999993</v>
          </cell>
          <cell r="I197">
            <v>411922532.01960045</v>
          </cell>
          <cell r="M197">
            <v>238488459.53399998</v>
          </cell>
          <cell r="N197">
            <v>377818879.41921151</v>
          </cell>
          <cell r="R197">
            <v>87926870.056999996</v>
          </cell>
          <cell r="S197">
            <v>397928506.83753198</v>
          </cell>
          <cell r="W197">
            <v>85776346.53549999</v>
          </cell>
          <cell r="X197">
            <v>389933248.47993445</v>
          </cell>
          <cell r="AB197">
            <v>87113167.145999998</v>
          </cell>
          <cell r="AC197">
            <v>333338772.59324002</v>
          </cell>
          <cell r="AG197">
            <v>87388581.189999998</v>
          </cell>
          <cell r="AH197">
            <v>352269131.36180997</v>
          </cell>
          <cell r="AL197">
            <v>354878751.64599997</v>
          </cell>
          <cell r="AM197">
            <v>140699145.11374849</v>
          </cell>
          <cell r="AQ197">
            <v>99805346.733999997</v>
          </cell>
          <cell r="AR197">
            <v>56916747.371869996</v>
          </cell>
          <cell r="AV197">
            <v>88920428.53549999</v>
          </cell>
          <cell r="AW197">
            <v>355100053.37650001</v>
          </cell>
          <cell r="BA197">
            <v>119979016.98549999</v>
          </cell>
          <cell r="BB197">
            <v>450066154.2588945</v>
          </cell>
          <cell r="BF197">
            <v>411580570.662</v>
          </cell>
          <cell r="BG197">
            <v>493891481.07481796</v>
          </cell>
          <cell r="BK197">
            <v>213754483.28749999</v>
          </cell>
          <cell r="BL197">
            <v>528103623.63905001</v>
          </cell>
          <cell r="BP197">
            <v>0</v>
          </cell>
          <cell r="BQ197">
            <v>0</v>
          </cell>
          <cell r="BU197">
            <v>0</v>
          </cell>
          <cell r="BV197">
            <v>0</v>
          </cell>
        </row>
        <row r="198">
          <cell r="H198">
            <v>63042554.210999995</v>
          </cell>
          <cell r="I198">
            <v>185834511.58748749</v>
          </cell>
          <cell r="M198">
            <v>179354699.2755</v>
          </cell>
          <cell r="N198">
            <v>141941839.97316748</v>
          </cell>
          <cell r="R198">
            <v>35812438.078000002</v>
          </cell>
          <cell r="S198">
            <v>92117395.037858993</v>
          </cell>
          <cell r="W198">
            <v>58172023.977499999</v>
          </cell>
          <cell r="X198">
            <v>151673844.8258</v>
          </cell>
          <cell r="AB198">
            <v>75331393.372500002</v>
          </cell>
          <cell r="AC198">
            <v>161137136.48569995</v>
          </cell>
          <cell r="AG198">
            <v>65695041.791499995</v>
          </cell>
          <cell r="AH198">
            <v>133632105.76656398</v>
          </cell>
          <cell r="AL198">
            <v>204629893.19149998</v>
          </cell>
          <cell r="AM198">
            <v>129549338.08567448</v>
          </cell>
          <cell r="AQ198">
            <v>77784957.688500002</v>
          </cell>
          <cell r="AR198">
            <v>127097953.17539999</v>
          </cell>
          <cell r="AV198">
            <v>64411298.621499993</v>
          </cell>
          <cell r="AW198">
            <v>172802749.61377046</v>
          </cell>
          <cell r="BA198">
            <v>82138053.777999997</v>
          </cell>
          <cell r="BB198">
            <v>195880501.95604998</v>
          </cell>
          <cell r="BF198">
            <v>78517400.09799999</v>
          </cell>
          <cell r="BG198">
            <v>223354610.13631198</v>
          </cell>
          <cell r="BK198">
            <v>83942310.678499997</v>
          </cell>
          <cell r="BL198">
            <v>263463773.92157498</v>
          </cell>
          <cell r="BP198">
            <v>0</v>
          </cell>
          <cell r="BQ198">
            <v>0</v>
          </cell>
          <cell r="BU198">
            <v>0</v>
          </cell>
          <cell r="BV198">
            <v>0</v>
          </cell>
        </row>
        <row r="199">
          <cell r="H199">
            <v>30084845.109499998</v>
          </cell>
          <cell r="I199">
            <v>76427836.189932987</v>
          </cell>
          <cell r="M199">
            <v>39022885.947499998</v>
          </cell>
          <cell r="N199">
            <v>78319200.139341488</v>
          </cell>
          <cell r="R199">
            <v>32337642.885499999</v>
          </cell>
          <cell r="S199">
            <v>87663110.810447991</v>
          </cell>
          <cell r="W199">
            <v>36656316.342500001</v>
          </cell>
          <cell r="X199">
            <v>129584453.66901749</v>
          </cell>
          <cell r="AB199">
            <v>32720375.6745</v>
          </cell>
          <cell r="AC199">
            <v>109022710.624643</v>
          </cell>
          <cell r="AG199">
            <v>31740890.467499997</v>
          </cell>
          <cell r="AH199">
            <v>97316699.19932349</v>
          </cell>
          <cell r="AL199">
            <v>153592477.75149998</v>
          </cell>
          <cell r="AM199">
            <v>77230500.830105498</v>
          </cell>
          <cell r="AQ199">
            <v>21089374.709999997</v>
          </cell>
          <cell r="AR199">
            <v>49140055.872584</v>
          </cell>
          <cell r="AV199">
            <v>32176215.066499997</v>
          </cell>
          <cell r="AW199">
            <v>58862563.221255995</v>
          </cell>
          <cell r="BA199">
            <v>26678085.601499997</v>
          </cell>
          <cell r="BB199">
            <v>63873669.091112994</v>
          </cell>
          <cell r="BF199">
            <v>31695475.327999998</v>
          </cell>
          <cell r="BG199">
            <v>63123045.496169999</v>
          </cell>
          <cell r="BK199">
            <v>38861444.581500001</v>
          </cell>
          <cell r="BL199">
            <v>98633958.46161598</v>
          </cell>
          <cell r="BP199">
            <v>0</v>
          </cell>
          <cell r="BQ199">
            <v>6154793.1959999995</v>
          </cell>
          <cell r="BU199">
            <v>0</v>
          </cell>
          <cell r="BV199">
            <v>0</v>
          </cell>
        </row>
        <row r="200">
          <cell r="H200">
            <v>69857585.189999998</v>
          </cell>
          <cell r="I200">
            <v>194570548.94190148</v>
          </cell>
          <cell r="M200">
            <v>78007181.792999998</v>
          </cell>
          <cell r="N200">
            <v>186555711.66269249</v>
          </cell>
          <cell r="R200">
            <v>78077673.312999994</v>
          </cell>
          <cell r="S200">
            <v>245254232.62912399</v>
          </cell>
          <cell r="W200">
            <v>78424737.734499991</v>
          </cell>
          <cell r="X200">
            <v>200572676.95936799</v>
          </cell>
          <cell r="AB200">
            <v>78396287.561999992</v>
          </cell>
          <cell r="AC200">
            <v>186393855.15182248</v>
          </cell>
          <cell r="AG200">
            <v>100704348.91949999</v>
          </cell>
          <cell r="AH200">
            <v>193260716.41977748</v>
          </cell>
          <cell r="AL200">
            <v>146759384.204</v>
          </cell>
          <cell r="AM200">
            <v>12532897.577576499</v>
          </cell>
          <cell r="AQ200">
            <v>69093059.656000003</v>
          </cell>
          <cell r="AR200">
            <v>1905225.3419999999</v>
          </cell>
          <cell r="AV200">
            <v>69221004.591999993</v>
          </cell>
          <cell r="AW200">
            <v>97130363.853459984</v>
          </cell>
          <cell r="BA200">
            <v>74048891.814499989</v>
          </cell>
          <cell r="BB200">
            <v>156744709.47650498</v>
          </cell>
          <cell r="BF200">
            <v>89043158.75999999</v>
          </cell>
          <cell r="BG200">
            <v>232074043.66082996</v>
          </cell>
          <cell r="BK200">
            <v>90353982.677499995</v>
          </cell>
          <cell r="BL200">
            <v>149375887.76600999</v>
          </cell>
          <cell r="BP200">
            <v>0</v>
          </cell>
          <cell r="BQ200">
            <v>0</v>
          </cell>
          <cell r="BU200">
            <v>0</v>
          </cell>
          <cell r="BV200">
            <v>0</v>
          </cell>
        </row>
        <row r="201">
          <cell r="BV201">
            <v>5244529.3305000002</v>
          </cell>
        </row>
        <row r="202">
          <cell r="H202">
            <v>42460189.670249999</v>
          </cell>
          <cell r="I202">
            <v>75770495.817499995</v>
          </cell>
          <cell r="M202">
            <v>35311064.491499998</v>
          </cell>
          <cell r="N202">
            <v>106845324.47</v>
          </cell>
          <cell r="R202">
            <v>34310075.777999997</v>
          </cell>
          <cell r="S202">
            <v>91422857.763999999</v>
          </cell>
          <cell r="W202">
            <v>32820540.130999997</v>
          </cell>
          <cell r="X202">
            <v>52351260.927499995</v>
          </cell>
          <cell r="AB202">
            <v>30773154.338</v>
          </cell>
          <cell r="AC202">
            <v>53205995.640000001</v>
          </cell>
          <cell r="AG202">
            <v>35144187.538999997</v>
          </cell>
          <cell r="AH202">
            <v>63584838.853999995</v>
          </cell>
          <cell r="AL202">
            <v>32066583.318499997</v>
          </cell>
          <cell r="AM202">
            <v>35182041.685499996</v>
          </cell>
          <cell r="AQ202">
            <v>30797949.765499998</v>
          </cell>
          <cell r="AR202">
            <v>45463959.648499995</v>
          </cell>
          <cell r="AV202">
            <v>31865427.743999999</v>
          </cell>
          <cell r="AW202">
            <v>45947082.637084998</v>
          </cell>
          <cell r="BA202">
            <v>32294544.577499997</v>
          </cell>
          <cell r="BB202">
            <v>41271272.408</v>
          </cell>
          <cell r="BF202">
            <v>35626398.732024997</v>
          </cell>
          <cell r="BG202">
            <v>62576291.675782502</v>
          </cell>
          <cell r="BK202">
            <v>66833307.556999996</v>
          </cell>
          <cell r="BL202">
            <v>64674819.871999994</v>
          </cell>
          <cell r="BP202">
            <v>203794000</v>
          </cell>
          <cell r="BQ202">
            <v>0</v>
          </cell>
          <cell r="BU202">
            <v>0</v>
          </cell>
          <cell r="BV202">
            <v>1262898.1654999999</v>
          </cell>
        </row>
        <row r="203">
          <cell r="H203">
            <v>23263164.026000001</v>
          </cell>
          <cell r="I203">
            <v>66695845.2645</v>
          </cell>
          <cell r="M203">
            <v>45124029.46123682</v>
          </cell>
          <cell r="N203">
            <v>190471229.16946501</v>
          </cell>
          <cell r="R203">
            <v>41256610.136500001</v>
          </cell>
          <cell r="S203">
            <v>109150685.19499999</v>
          </cell>
          <cell r="W203">
            <v>37388921.905000001</v>
          </cell>
          <cell r="X203">
            <v>93601735.156499997</v>
          </cell>
          <cell r="AB203">
            <v>40313152.881499998</v>
          </cell>
          <cell r="AC203">
            <v>105450898.18699999</v>
          </cell>
          <cell r="AG203">
            <v>40538841.778499998</v>
          </cell>
          <cell r="AH203">
            <v>64885448.333499998</v>
          </cell>
          <cell r="AL203">
            <v>39172333.601882666</v>
          </cell>
          <cell r="AM203">
            <v>58831777.307999998</v>
          </cell>
          <cell r="AQ203">
            <v>38635692.661499999</v>
          </cell>
          <cell r="AR203">
            <v>50827283.799999997</v>
          </cell>
          <cell r="AV203">
            <v>41411433.203999996</v>
          </cell>
          <cell r="AW203">
            <v>97880245.586999997</v>
          </cell>
          <cell r="BA203">
            <v>40377139.4855</v>
          </cell>
          <cell r="BB203">
            <v>99205416.955499992</v>
          </cell>
          <cell r="BF203">
            <v>73304581.643999994</v>
          </cell>
          <cell r="BG203">
            <v>105909810.17449999</v>
          </cell>
          <cell r="BK203">
            <v>44145917.535999998</v>
          </cell>
          <cell r="BL203">
            <v>89682837.497999996</v>
          </cell>
          <cell r="BP203">
            <v>0</v>
          </cell>
          <cell r="BQ203">
            <v>-434422523.11799997</v>
          </cell>
          <cell r="BU203">
            <v>-57592.125499999995</v>
          </cell>
          <cell r="BV203">
            <v>629798472.38950002</v>
          </cell>
        </row>
        <row r="206">
          <cell r="H206">
            <v>274530488.9285</v>
          </cell>
          <cell r="I206">
            <v>279367751.264</v>
          </cell>
          <cell r="M206">
            <v>280635081.949</v>
          </cell>
          <cell r="N206">
            <v>326798599.84249997</v>
          </cell>
          <cell r="R206">
            <v>171800730.984</v>
          </cell>
          <cell r="S206">
            <v>181644475.94399998</v>
          </cell>
          <cell r="W206">
            <v>280635081.949</v>
          </cell>
          <cell r="X206">
            <v>299915930.98100001</v>
          </cell>
          <cell r="AB206">
            <v>281767905.94349998</v>
          </cell>
          <cell r="AC206">
            <v>310298955.21149999</v>
          </cell>
          <cell r="AG206">
            <v>267282474.62549999</v>
          </cell>
          <cell r="AH206">
            <v>221709205.70649999</v>
          </cell>
          <cell r="AL206">
            <v>280679929.58700001</v>
          </cell>
          <cell r="AM206">
            <v>173879309.039</v>
          </cell>
          <cell r="AQ206">
            <v>271582337.48399997</v>
          </cell>
          <cell r="AR206">
            <v>268374931.21049997</v>
          </cell>
          <cell r="AV206">
            <v>280635081.949</v>
          </cell>
          <cell r="AW206">
            <v>260133241.21799999</v>
          </cell>
          <cell r="BA206">
            <v>277953052.19</v>
          </cell>
          <cell r="BB206">
            <v>285910640.68299997</v>
          </cell>
          <cell r="BF206">
            <v>267487091.5174</v>
          </cell>
          <cell r="BG206">
            <v>323720080.31599998</v>
          </cell>
          <cell r="BK206">
            <v>365007500.15899998</v>
          </cell>
          <cell r="BL206">
            <v>349154631.42149997</v>
          </cell>
          <cell r="BP206">
            <v>0</v>
          </cell>
          <cell r="BQ206">
            <v>186371338.18099999</v>
          </cell>
          <cell r="BU206">
            <v>0</v>
          </cell>
          <cell r="BV206">
            <v>415038401.47649997</v>
          </cell>
        </row>
        <row r="207">
          <cell r="H207">
            <v>76995985.120499998</v>
          </cell>
          <cell r="I207">
            <v>117893097.0455</v>
          </cell>
          <cell r="M207">
            <v>80211001.568499997</v>
          </cell>
          <cell r="N207">
            <v>126348611.4135</v>
          </cell>
          <cell r="R207">
            <v>71882320.398999989</v>
          </cell>
          <cell r="S207">
            <v>78065356.144999996</v>
          </cell>
          <cell r="W207">
            <v>84260731.146499991</v>
          </cell>
          <cell r="X207">
            <v>128778760.03449999</v>
          </cell>
          <cell r="AB207">
            <v>81240878.964999989</v>
          </cell>
          <cell r="AC207">
            <v>133850770.676</v>
          </cell>
          <cell r="AG207">
            <v>74646810.157999992</v>
          </cell>
          <cell r="AH207">
            <v>117201668.47299999</v>
          </cell>
          <cell r="AL207">
            <v>81494737.081499994</v>
          </cell>
          <cell r="AM207">
            <v>135655185.27830499</v>
          </cell>
          <cell r="AQ207">
            <v>77828222.683499992</v>
          </cell>
          <cell r="AR207">
            <v>222474608.85049999</v>
          </cell>
          <cell r="AV207">
            <v>80878829.205499992</v>
          </cell>
          <cell r="AW207">
            <v>143661626.7595</v>
          </cell>
          <cell r="BA207">
            <v>80251188.155000001</v>
          </cell>
          <cell r="BB207">
            <v>139383112.50049999</v>
          </cell>
          <cell r="BF207">
            <v>74061897.817999989</v>
          </cell>
          <cell r="BG207">
            <v>145657374.039</v>
          </cell>
          <cell r="BK207">
            <v>82036715.738999993</v>
          </cell>
          <cell r="BL207">
            <v>232343499.12755996</v>
          </cell>
          <cell r="BP207">
            <v>0</v>
          </cell>
          <cell r="BQ207">
            <v>-1261776321.349</v>
          </cell>
          <cell r="BU207">
            <v>16469906.315499999</v>
          </cell>
          <cell r="BV207">
            <v>779166090.83700001</v>
          </cell>
        </row>
        <row r="209">
          <cell r="I209">
            <v>4052133353.6217756</v>
          </cell>
          <cell r="N209">
            <v>612487942.49015772</v>
          </cell>
          <cell r="S209">
            <v>825285289.99537957</v>
          </cell>
          <cell r="X209">
            <v>747655318.97010159</v>
          </cell>
          <cell r="AC209">
            <v>628044549.78485799</v>
          </cell>
          <cell r="AH209">
            <v>662480019.02326083</v>
          </cell>
          <cell r="AM209">
            <v>123062525.02050173</v>
          </cell>
          <cell r="AR209">
            <v>380330487.9394449</v>
          </cell>
          <cell r="AW209">
            <v>1555797067.1796367</v>
          </cell>
          <cell r="BB209">
            <v>2224275856.8916063</v>
          </cell>
          <cell r="BG209">
            <v>3063913925.3281465</v>
          </cell>
          <cell r="BL209">
            <v>3206395644.1081691</v>
          </cell>
          <cell r="BQ209">
            <v>10142342.338499999</v>
          </cell>
          <cell r="BV209">
            <v>0</v>
          </cell>
        </row>
        <row r="212">
          <cell r="I212">
            <v>12273657.171124998</v>
          </cell>
          <cell r="N212">
            <v>10282043.508349998</v>
          </cell>
          <cell r="S212">
            <v>12366133.074894998</v>
          </cell>
          <cell r="X212">
            <v>4518484.0176050002</v>
          </cell>
          <cell r="AC212">
            <v>7826072.8240149999</v>
          </cell>
          <cell r="AH212">
            <v>8948630.3467824999</v>
          </cell>
          <cell r="AM212">
            <v>7366704.3777124994</v>
          </cell>
          <cell r="AR212">
            <v>8953014.6463249996</v>
          </cell>
          <cell r="AW212">
            <v>7060589.2388124997</v>
          </cell>
          <cell r="BB212">
            <v>17232677.059469998</v>
          </cell>
          <cell r="BG212">
            <v>15757898.071219999</v>
          </cell>
          <cell r="BL212">
            <v>18311414.730094999</v>
          </cell>
          <cell r="BQ212">
            <v>0</v>
          </cell>
          <cell r="BV212">
            <v>0</v>
          </cell>
        </row>
        <row r="213">
          <cell r="I213">
            <v>39890412.326399997</v>
          </cell>
          <cell r="N213">
            <v>34667308.536469996</v>
          </cell>
          <cell r="S213">
            <v>42742501.325384997</v>
          </cell>
          <cell r="X213">
            <v>38406337.212995</v>
          </cell>
          <cell r="AC213">
            <v>35963048.496754996</v>
          </cell>
          <cell r="AH213">
            <v>40031664.268459998</v>
          </cell>
          <cell r="AM213">
            <v>31299128.189794999</v>
          </cell>
          <cell r="AR213">
            <v>41655440.534044996</v>
          </cell>
          <cell r="AW213">
            <v>24476279.823149998</v>
          </cell>
          <cell r="BB213">
            <v>43278493.593034998</v>
          </cell>
          <cell r="BG213">
            <v>29511088.715164997</v>
          </cell>
          <cell r="BL213">
            <v>42050704.621994995</v>
          </cell>
          <cell r="BQ213">
            <v>0</v>
          </cell>
          <cell r="BV213">
            <v>148195555.1154424</v>
          </cell>
        </row>
        <row r="214">
          <cell r="I214">
            <v>87833108.030499995</v>
          </cell>
          <cell r="N214">
            <v>114247555.46499999</v>
          </cell>
          <cell r="S214">
            <v>92051756.32949999</v>
          </cell>
          <cell r="X214">
            <v>101386528.425</v>
          </cell>
          <cell r="AC214">
            <v>37343745.015999995</v>
          </cell>
          <cell r="AH214">
            <v>102804540.91849999</v>
          </cell>
          <cell r="AM214">
            <v>94003275.00999999</v>
          </cell>
          <cell r="AR214">
            <v>85910851.164499998</v>
          </cell>
          <cell r="AW214">
            <v>108211576.23249999</v>
          </cell>
          <cell r="BB214">
            <v>84635393.280799985</v>
          </cell>
          <cell r="BG214">
            <v>113470165.28749999</v>
          </cell>
          <cell r="BL214">
            <v>136513273.0235</v>
          </cell>
          <cell r="BQ214">
            <v>0</v>
          </cell>
          <cell r="BV214">
            <v>0</v>
          </cell>
        </row>
        <row r="215">
          <cell r="I215">
            <v>130197602.1345</v>
          </cell>
          <cell r="N215">
            <v>165344744.39199999</v>
          </cell>
          <cell r="S215">
            <v>225773730.37549999</v>
          </cell>
          <cell r="X215">
            <v>130182287.51905802</v>
          </cell>
          <cell r="AC215">
            <v>175787247.0205</v>
          </cell>
          <cell r="AH215">
            <v>130564032.4610495</v>
          </cell>
          <cell r="AM215">
            <v>120536435.98349999</v>
          </cell>
          <cell r="AR215">
            <v>174032844.847</v>
          </cell>
          <cell r="AW215">
            <v>135371660.26549998</v>
          </cell>
          <cell r="BB215">
            <v>147221393.74249998</v>
          </cell>
          <cell r="BG215">
            <v>247797029.37549999</v>
          </cell>
          <cell r="BL215">
            <v>267925570.15249997</v>
          </cell>
          <cell r="BP215">
            <v>153736703.82549998</v>
          </cell>
          <cell r="BQ215">
            <v>99445526.045000002</v>
          </cell>
          <cell r="BV215">
            <v>5758498.7110922998</v>
          </cell>
        </row>
        <row r="216">
          <cell r="H216">
            <v>17712.996999999999</v>
          </cell>
          <cell r="I216">
            <v>36806289.289499998</v>
          </cell>
          <cell r="M216">
            <v>0</v>
          </cell>
          <cell r="N216">
            <v>38467078.747999996</v>
          </cell>
          <cell r="R216">
            <v>57686.659999999996</v>
          </cell>
          <cell r="S216">
            <v>45730932.733499996</v>
          </cell>
          <cell r="W216">
            <v>29765.998499999998</v>
          </cell>
          <cell r="X216">
            <v>45736590.372999996</v>
          </cell>
          <cell r="AB216">
            <v>32779.095734999995</v>
          </cell>
          <cell r="AC216">
            <v>82417502.310024992</v>
          </cell>
          <cell r="AG216">
            <v>108083284.9645</v>
          </cell>
          <cell r="AH216">
            <v>43517.381499999996</v>
          </cell>
          <cell r="AL216">
            <v>46097.495999999999</v>
          </cell>
          <cell r="AM216">
            <v>124746201.57349999</v>
          </cell>
          <cell r="AQ216">
            <v>45490.826000000001</v>
          </cell>
          <cell r="AR216">
            <v>113600202.94049999</v>
          </cell>
          <cell r="AV216">
            <v>0</v>
          </cell>
          <cell r="AW216">
            <v>158870754.426</v>
          </cell>
          <cell r="BB216">
            <v>214828807.80199999</v>
          </cell>
          <cell r="BG216">
            <v>220473491.3635</v>
          </cell>
          <cell r="BK216">
            <v>95286.947499999995</v>
          </cell>
          <cell r="BL216">
            <v>10543957.2895</v>
          </cell>
          <cell r="BP216">
            <v>0</v>
          </cell>
          <cell r="BQ216">
            <v>740710.20250000001</v>
          </cell>
          <cell r="BU216">
            <v>0</v>
          </cell>
          <cell r="BV216">
            <v>0</v>
          </cell>
        </row>
        <row r="217">
          <cell r="BK217">
            <v>35624.192499999997</v>
          </cell>
          <cell r="BL217">
            <v>231371561.34299999</v>
          </cell>
        </row>
        <row r="218">
          <cell r="I218">
            <v>37773540.951774992</v>
          </cell>
          <cell r="N218">
            <v>42998203.6215</v>
          </cell>
          <cell r="S218">
            <v>38439410.767499998</v>
          </cell>
          <cell r="X218">
            <v>35234281.862499997</v>
          </cell>
          <cell r="AC218">
            <v>38573859.441500001</v>
          </cell>
          <cell r="AH218">
            <v>46119432.539299987</v>
          </cell>
          <cell r="AM218">
            <v>47367033.962499999</v>
          </cell>
          <cell r="AR218">
            <v>39600695.831</v>
          </cell>
          <cell r="AW218">
            <v>40045928.8825</v>
          </cell>
          <cell r="BB218">
            <v>43782768.702500001</v>
          </cell>
          <cell r="BG218">
            <v>41590670.630725004</v>
          </cell>
          <cell r="BL218">
            <v>47057000.854499996</v>
          </cell>
          <cell r="BQ218">
            <v>0</v>
          </cell>
          <cell r="BV218">
            <v>0</v>
          </cell>
        </row>
        <row r="219">
          <cell r="H219">
            <v>91395620.931499988</v>
          </cell>
          <cell r="I219">
            <v>280428630.06597984</v>
          </cell>
          <cell r="M219">
            <v>91395620.931499988</v>
          </cell>
          <cell r="N219">
            <v>290905116.02590382</v>
          </cell>
          <cell r="R219">
            <v>91395620.931499988</v>
          </cell>
          <cell r="S219">
            <v>268969344.61082906</v>
          </cell>
          <cell r="W219">
            <v>77594882.087499991</v>
          </cell>
          <cell r="X219">
            <v>145203155.91188794</v>
          </cell>
          <cell r="AB219">
            <v>80005441.451999992</v>
          </cell>
          <cell r="AC219">
            <v>246511070.08569697</v>
          </cell>
          <cell r="AG219">
            <v>98010378.952500001</v>
          </cell>
          <cell r="AH219">
            <v>289989762.45577651</v>
          </cell>
          <cell r="AL219">
            <v>95017172.247499987</v>
          </cell>
          <cell r="AM219">
            <v>291464393.69846898</v>
          </cell>
          <cell r="AQ219">
            <v>92366699.341499999</v>
          </cell>
          <cell r="AR219">
            <v>283606799.09396756</v>
          </cell>
          <cell r="AV219">
            <v>102603008.97299999</v>
          </cell>
          <cell r="AW219">
            <v>317798119.32330704</v>
          </cell>
          <cell r="BA219">
            <v>94171762.877499998</v>
          </cell>
          <cell r="BB219">
            <v>233753406.36849999</v>
          </cell>
          <cell r="BF219">
            <v>91395620.931499988</v>
          </cell>
          <cell r="BG219">
            <v>214319180.85299999</v>
          </cell>
          <cell r="BK219">
            <v>91395620.931499988</v>
          </cell>
          <cell r="BL219">
            <v>231080641.57949999</v>
          </cell>
          <cell r="BQ219">
            <v>0</v>
          </cell>
          <cell r="BR219">
            <v>0</v>
          </cell>
          <cell r="BU219">
            <v>0</v>
          </cell>
          <cell r="BV219">
            <v>0</v>
          </cell>
        </row>
        <row r="220">
          <cell r="H220">
            <v>128055962.5</v>
          </cell>
          <cell r="I220">
            <v>304506912.15324593</v>
          </cell>
          <cell r="M220">
            <v>128055962.5</v>
          </cell>
          <cell r="N220">
            <v>278575836.07864493</v>
          </cell>
          <cell r="R220">
            <v>128055962.5</v>
          </cell>
          <cell r="S220">
            <v>283876792.02975661</v>
          </cell>
          <cell r="W220">
            <v>128055962.5</v>
          </cell>
          <cell r="X220">
            <v>328719815.51846611</v>
          </cell>
          <cell r="AB220">
            <v>128055962.5</v>
          </cell>
          <cell r="AC220">
            <v>322199149.40010184</v>
          </cell>
          <cell r="AG220">
            <v>128055962.5</v>
          </cell>
          <cell r="AH220">
            <v>322984025.04535598</v>
          </cell>
          <cell r="AL220">
            <v>128055962.5</v>
          </cell>
          <cell r="AM220">
            <v>276655235.9819234</v>
          </cell>
          <cell r="AQ220">
            <v>128055962.5</v>
          </cell>
          <cell r="AR220">
            <v>322410018.47896004</v>
          </cell>
          <cell r="AV220">
            <v>128055962.5</v>
          </cell>
          <cell r="AW220">
            <v>323448478.07017875</v>
          </cell>
          <cell r="BA220">
            <v>128055962.5</v>
          </cell>
          <cell r="BB220">
            <v>230402944.65849999</v>
          </cell>
          <cell r="BF220">
            <v>128055962.5</v>
          </cell>
          <cell r="BG220">
            <v>221101964.67099997</v>
          </cell>
          <cell r="BK220">
            <v>128055962.5</v>
          </cell>
          <cell r="BL220">
            <v>255215752.66499999</v>
          </cell>
          <cell r="BQ220">
            <v>0</v>
          </cell>
          <cell r="BR220">
            <v>0</v>
          </cell>
          <cell r="BU220">
            <v>0</v>
          </cell>
          <cell r="BV220">
            <v>0</v>
          </cell>
        </row>
        <row r="221">
          <cell r="H221">
            <v>240499010.44499999</v>
          </cell>
          <cell r="I221">
            <v>359178271.03337425</v>
          </cell>
          <cell r="M221">
            <v>274064134.04249996</v>
          </cell>
          <cell r="N221">
            <v>427165391.71419466</v>
          </cell>
          <cell r="R221">
            <v>266377230.51249999</v>
          </cell>
          <cell r="S221">
            <v>409011488.20433009</v>
          </cell>
          <cell r="W221">
            <v>16782561.651499998</v>
          </cell>
          <cell r="X221">
            <v>16979436.344549265</v>
          </cell>
          <cell r="AB221">
            <v>-2541884.2769999998</v>
          </cell>
          <cell r="AC221">
            <v>-1347197.9519908989</v>
          </cell>
          <cell r="AG221">
            <v>17548189.498999998</v>
          </cell>
          <cell r="AH221">
            <v>24622649.985725246</v>
          </cell>
          <cell r="AL221">
            <v>216488921.972</v>
          </cell>
          <cell r="AM221">
            <v>349841169.23696429</v>
          </cell>
          <cell r="AQ221">
            <v>191866331.22099999</v>
          </cell>
          <cell r="AR221">
            <v>310572840.83837557</v>
          </cell>
          <cell r="AV221">
            <v>244970276.72099999</v>
          </cell>
          <cell r="AW221">
            <v>427835344.29701012</v>
          </cell>
          <cell r="BA221">
            <v>254770312.87449998</v>
          </cell>
          <cell r="BB221">
            <v>330230762.037</v>
          </cell>
          <cell r="BF221">
            <v>260680959.6805</v>
          </cell>
          <cell r="BG221">
            <v>316422836.21499997</v>
          </cell>
          <cell r="BK221">
            <v>255842191.86099997</v>
          </cell>
          <cell r="BL221">
            <v>331153738.58399999</v>
          </cell>
          <cell r="BQ221">
            <v>0</v>
          </cell>
          <cell r="BR221">
            <v>0</v>
          </cell>
          <cell r="BU221">
            <v>0</v>
          </cell>
          <cell r="BV221">
            <v>0</v>
          </cell>
        </row>
        <row r="222">
          <cell r="H222">
            <v>10419766.0505</v>
          </cell>
          <cell r="I222">
            <v>13809836.549482604</v>
          </cell>
          <cell r="M222">
            <v>25701101.2885</v>
          </cell>
          <cell r="N222">
            <v>36772265.919266596</v>
          </cell>
          <cell r="R222">
            <v>24685803.998</v>
          </cell>
          <cell r="S222">
            <v>33667315.053744026</v>
          </cell>
          <cell r="W222">
            <v>19320291.7115</v>
          </cell>
          <cell r="X222">
            <v>28270879.183287878</v>
          </cell>
          <cell r="AB222">
            <v>24478298.119999997</v>
          </cell>
          <cell r="AC222">
            <v>36368148.021240681</v>
          </cell>
          <cell r="AG222">
            <v>22366183.2885</v>
          </cell>
          <cell r="AH222">
            <v>33360969.25349113</v>
          </cell>
          <cell r="AL222">
            <v>30525616.191499997</v>
          </cell>
          <cell r="AM222">
            <v>8498277.3445377722</v>
          </cell>
          <cell r="AQ222">
            <v>23211029.279999997</v>
          </cell>
          <cell r="AR222">
            <v>24299921.341984559</v>
          </cell>
          <cell r="AV222">
            <v>8948696.7314999998</v>
          </cell>
          <cell r="AW222">
            <v>14002861.261360234</v>
          </cell>
          <cell r="BA222">
            <v>16478200.318999998</v>
          </cell>
          <cell r="BB222">
            <v>16438847.167499999</v>
          </cell>
          <cell r="BF222">
            <v>19676016.199999999</v>
          </cell>
          <cell r="BG222">
            <v>17585214.039000001</v>
          </cell>
          <cell r="BK222">
            <v>22484758.117999997</v>
          </cell>
          <cell r="BL222">
            <v>15893488.239</v>
          </cell>
          <cell r="BQ222">
            <v>0</v>
          </cell>
          <cell r="BR222">
            <v>0</v>
          </cell>
          <cell r="BU222">
            <v>0</v>
          </cell>
          <cell r="BV222">
            <v>0</v>
          </cell>
        </row>
        <row r="223">
          <cell r="H223">
            <v>120261529.0685</v>
          </cell>
          <cell r="I223">
            <v>278057041.78548729</v>
          </cell>
          <cell r="M223">
            <v>117766102.461</v>
          </cell>
          <cell r="N223">
            <v>231916702.29703981</v>
          </cell>
          <cell r="R223">
            <v>1307844.1664999998</v>
          </cell>
          <cell r="S223">
            <v>-3448301.4290693789</v>
          </cell>
          <cell r="W223">
            <v>27103942.0255</v>
          </cell>
          <cell r="X223">
            <v>63744830.599415451</v>
          </cell>
          <cell r="AB223">
            <v>128394215.18699999</v>
          </cell>
          <cell r="AC223">
            <v>294910845.54729915</v>
          </cell>
          <cell r="AG223">
            <v>136151083.671</v>
          </cell>
          <cell r="AH223">
            <v>291582886.77963084</v>
          </cell>
          <cell r="AL223">
            <v>135324285.8175</v>
          </cell>
          <cell r="AM223">
            <v>282349636.96522784</v>
          </cell>
          <cell r="AQ223">
            <v>139082458.33399999</v>
          </cell>
          <cell r="AR223">
            <v>323426973.47155255</v>
          </cell>
          <cell r="AV223">
            <v>148568086.58199999</v>
          </cell>
          <cell r="AW223">
            <v>346058661.92489111</v>
          </cell>
          <cell r="BA223">
            <v>149289655.757</v>
          </cell>
          <cell r="BB223">
            <v>293085907.59599996</v>
          </cell>
          <cell r="BF223">
            <v>133309905.22849999</v>
          </cell>
          <cell r="BG223">
            <v>249468587.81549999</v>
          </cell>
          <cell r="BK223">
            <v>151739984.40149999</v>
          </cell>
          <cell r="BL223">
            <v>300794321.40599996</v>
          </cell>
          <cell r="BQ223">
            <v>0</v>
          </cell>
          <cell r="BR223">
            <v>0</v>
          </cell>
          <cell r="BU223">
            <v>0</v>
          </cell>
          <cell r="BV223">
            <v>0</v>
          </cell>
        </row>
        <row r="224">
          <cell r="H224">
            <v>176726995.93149999</v>
          </cell>
          <cell r="I224">
            <v>313006562.90952224</v>
          </cell>
          <cell r="M224">
            <v>176726995.93149999</v>
          </cell>
          <cell r="N224">
            <v>373629727.95691192</v>
          </cell>
          <cell r="R224">
            <v>176726995.93149999</v>
          </cell>
          <cell r="S224">
            <v>364668227.59804368</v>
          </cell>
          <cell r="W224">
            <v>176726995.93149999</v>
          </cell>
          <cell r="X224">
            <v>363043211.08583188</v>
          </cell>
          <cell r="AB224">
            <v>176726995.93149999</v>
          </cell>
          <cell r="AC224">
            <v>305124153.52669519</v>
          </cell>
          <cell r="AG224">
            <v>176726995.93149999</v>
          </cell>
          <cell r="AH224">
            <v>355219591.82477826</v>
          </cell>
          <cell r="AL224">
            <v>176726995.93149999</v>
          </cell>
          <cell r="AM224">
            <v>362357273.3296321</v>
          </cell>
          <cell r="AQ224">
            <v>176726995.93149999</v>
          </cell>
          <cell r="AR224">
            <v>238680782.74336898</v>
          </cell>
          <cell r="AV224">
            <v>176726995.93149999</v>
          </cell>
          <cell r="AW224">
            <v>394752245.28063577</v>
          </cell>
          <cell r="BA224">
            <v>176726995.93149999</v>
          </cell>
          <cell r="BB224">
            <v>301847924.60600001</v>
          </cell>
          <cell r="BF224">
            <v>176726995.93149999</v>
          </cell>
          <cell r="BG224">
            <v>310434014.08950001</v>
          </cell>
          <cell r="BK224">
            <v>176726995.93149999</v>
          </cell>
          <cell r="BL224">
            <v>329179073.676</v>
          </cell>
          <cell r="BQ224">
            <v>0</v>
          </cell>
          <cell r="BR224">
            <v>0</v>
          </cell>
          <cell r="BU224">
            <v>0</v>
          </cell>
          <cell r="BV224">
            <v>0</v>
          </cell>
        </row>
        <row r="225">
          <cell r="H225">
            <v>393081692.16599995</v>
          </cell>
          <cell r="I225">
            <v>401932602.07583827</v>
          </cell>
          <cell r="M225">
            <v>336687869.79049999</v>
          </cell>
          <cell r="N225">
            <v>391821225.82233268</v>
          </cell>
          <cell r="R225">
            <v>306760059.14899999</v>
          </cell>
          <cell r="S225">
            <v>337795578.99611539</v>
          </cell>
          <cell r="W225">
            <v>210164700.2755</v>
          </cell>
          <cell r="X225">
            <v>268952909.58690232</v>
          </cell>
          <cell r="AB225">
            <v>308323452.45099998</v>
          </cell>
          <cell r="AC225">
            <v>367433355.49427408</v>
          </cell>
          <cell r="AG225">
            <v>349865040.2245</v>
          </cell>
          <cell r="AH225">
            <v>408998985.95329481</v>
          </cell>
          <cell r="AL225">
            <v>389396551.23199999</v>
          </cell>
          <cell r="AM225">
            <v>458748805.95470315</v>
          </cell>
          <cell r="AQ225">
            <v>355001903.29999995</v>
          </cell>
          <cell r="AR225">
            <v>400849925.76577157</v>
          </cell>
          <cell r="AV225">
            <v>372366733.85949999</v>
          </cell>
          <cell r="AW225">
            <v>427912009.56055403</v>
          </cell>
          <cell r="BA225">
            <v>492077976.42549998</v>
          </cell>
          <cell r="BB225">
            <v>444506272.9145</v>
          </cell>
          <cell r="BF225">
            <v>463769394.2245</v>
          </cell>
          <cell r="BG225">
            <v>391246690.34899998</v>
          </cell>
          <cell r="BK225">
            <v>399781948.24899995</v>
          </cell>
          <cell r="BL225">
            <v>365937375.95749998</v>
          </cell>
          <cell r="BQ225">
            <v>0</v>
          </cell>
          <cell r="BR225">
            <v>0</v>
          </cell>
          <cell r="BU225">
            <v>0</v>
          </cell>
          <cell r="BV225">
            <v>0</v>
          </cell>
        </row>
        <row r="226">
          <cell r="H226">
            <v>320867566.86299998</v>
          </cell>
          <cell r="M226">
            <v>320867566.86299998</v>
          </cell>
          <cell r="R226">
            <v>320867566.86299998</v>
          </cell>
          <cell r="W226">
            <v>320867566.86299998</v>
          </cell>
          <cell r="AB226">
            <v>320867566.86299998</v>
          </cell>
          <cell r="AG226">
            <v>320867566.86299998</v>
          </cell>
          <cell r="AL226">
            <v>320867566.86299998</v>
          </cell>
          <cell r="AQ226">
            <v>320867566.86299998</v>
          </cell>
          <cell r="AV226">
            <v>320867566.86299998</v>
          </cell>
          <cell r="BA226">
            <v>320867566.86299998</v>
          </cell>
          <cell r="BF226">
            <v>320867566.86299998</v>
          </cell>
          <cell r="BK226">
            <v>320867566.86299998</v>
          </cell>
          <cell r="BP226">
            <v>0</v>
          </cell>
          <cell r="BU226">
            <v>0</v>
          </cell>
        </row>
        <row r="227">
          <cell r="H227">
            <v>326598045.93149996</v>
          </cell>
          <cell r="M227">
            <v>326598045.93149996</v>
          </cell>
          <cell r="R227">
            <v>326598045.93149996</v>
          </cell>
          <cell r="W227">
            <v>326598045.93149996</v>
          </cell>
          <cell r="AB227">
            <v>326598045.93149996</v>
          </cell>
          <cell r="AG227">
            <v>326598045.83333331</v>
          </cell>
          <cell r="AL227">
            <v>326598045.83333331</v>
          </cell>
          <cell r="AQ227">
            <v>326598045.83333331</v>
          </cell>
          <cell r="AV227">
            <v>326598045.83333331</v>
          </cell>
          <cell r="BA227">
            <v>326598045.83333331</v>
          </cell>
          <cell r="BF227">
            <v>326598045.83333331</v>
          </cell>
          <cell r="BK227">
            <v>326598045.83333331</v>
          </cell>
          <cell r="BP227">
            <v>0</v>
          </cell>
          <cell r="BU227">
            <v>0</v>
          </cell>
        </row>
        <row r="228">
          <cell r="BK228">
            <v>70231510.367499992</v>
          </cell>
        </row>
        <row r="229">
          <cell r="BU229">
            <v>2227133891.8544998</v>
          </cell>
          <cell r="BV229">
            <v>1137970003.862</v>
          </cell>
        </row>
        <row r="231">
          <cell r="H231">
            <v>347549266.66666663</v>
          </cell>
          <cell r="I231">
            <v>681267792.39999998</v>
          </cell>
          <cell r="M231">
            <v>347549266.56849998</v>
          </cell>
          <cell r="N231">
            <v>614832333.72799993</v>
          </cell>
          <cell r="R231">
            <v>347549266.56849998</v>
          </cell>
          <cell r="S231">
            <v>680767463.40499997</v>
          </cell>
          <cell r="W231">
            <v>347549266.66666663</v>
          </cell>
          <cell r="X231">
            <v>732244602.09599996</v>
          </cell>
          <cell r="AB231">
            <v>347549266.66666663</v>
          </cell>
          <cell r="AC231">
            <v>692372151.67799997</v>
          </cell>
          <cell r="AG231">
            <v>347549266.66666663</v>
          </cell>
          <cell r="AH231">
            <v>758119048.14599991</v>
          </cell>
          <cell r="AL231">
            <v>347549266.66666663</v>
          </cell>
          <cell r="AM231">
            <v>768733803.52999997</v>
          </cell>
          <cell r="AQ231">
            <v>347549266.66666663</v>
          </cell>
          <cell r="AR231">
            <v>797536801.755</v>
          </cell>
          <cell r="AV231">
            <v>347549266.66666663</v>
          </cell>
          <cell r="AW231">
            <v>788307203.85549998</v>
          </cell>
          <cell r="BA231">
            <v>347549266.66666663</v>
          </cell>
          <cell r="BB231">
            <v>830090618.24249995</v>
          </cell>
          <cell r="BF231">
            <v>347549266.66666663</v>
          </cell>
          <cell r="BG231">
            <v>360361965.86399996</v>
          </cell>
          <cell r="BK231">
            <v>391731040.06849998</v>
          </cell>
          <cell r="BL231">
            <v>892753675.63049996</v>
          </cell>
          <cell r="BP231">
            <v>-93945500</v>
          </cell>
          <cell r="BQ231">
            <v>319732067.04149997</v>
          </cell>
          <cell r="BU231">
            <v>0</v>
          </cell>
          <cell r="BV231">
            <v>0</v>
          </cell>
        </row>
        <row r="232">
          <cell r="H232">
            <v>0</v>
          </cell>
          <cell r="I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W232">
            <v>0</v>
          </cell>
          <cell r="X232">
            <v>0</v>
          </cell>
          <cell r="AB232">
            <v>0</v>
          </cell>
          <cell r="AC232">
            <v>0</v>
          </cell>
          <cell r="AG232">
            <v>0</v>
          </cell>
          <cell r="AH232">
            <v>0</v>
          </cell>
          <cell r="AL232">
            <v>0</v>
          </cell>
          <cell r="AM232">
            <v>0</v>
          </cell>
          <cell r="AQ232">
            <v>0</v>
          </cell>
          <cell r="AR232">
            <v>0</v>
          </cell>
          <cell r="AV232">
            <v>0</v>
          </cell>
          <cell r="AW232">
            <v>0</v>
          </cell>
          <cell r="BA232">
            <v>0</v>
          </cell>
          <cell r="BB232">
            <v>0</v>
          </cell>
          <cell r="BF232">
            <v>0</v>
          </cell>
          <cell r="BG232">
            <v>0</v>
          </cell>
          <cell r="BK232">
            <v>0</v>
          </cell>
          <cell r="BL232">
            <v>0</v>
          </cell>
          <cell r="BP232">
            <v>0</v>
          </cell>
          <cell r="BQ232">
            <v>0</v>
          </cell>
          <cell r="BU232">
            <v>0</v>
          </cell>
          <cell r="BV232">
            <v>2165118019.1259999</v>
          </cell>
        </row>
        <row r="233">
          <cell r="H233">
            <v>350434210.06699997</v>
          </cell>
          <cell r="I233">
            <v>0</v>
          </cell>
          <cell r="M233">
            <v>301798592.61649996</v>
          </cell>
          <cell r="N233">
            <v>0</v>
          </cell>
          <cell r="R233">
            <v>303311906.48799998</v>
          </cell>
          <cell r="S233">
            <v>0</v>
          </cell>
          <cell r="W233">
            <v>337149054.43449998</v>
          </cell>
          <cell r="X233">
            <v>0</v>
          </cell>
          <cell r="AB233">
            <v>302649540.35350001</v>
          </cell>
          <cell r="AC233">
            <v>0</v>
          </cell>
          <cell r="AG233">
            <v>316718869.97099996</v>
          </cell>
          <cell r="AH233">
            <v>0</v>
          </cell>
          <cell r="AL233">
            <v>307880796.56900001</v>
          </cell>
          <cell r="AM233">
            <v>0</v>
          </cell>
          <cell r="AQ233">
            <v>358295032.33899999</v>
          </cell>
          <cell r="AR233">
            <v>0</v>
          </cell>
          <cell r="AV233">
            <v>318978221.55000001</v>
          </cell>
          <cell r="AW233">
            <v>0</v>
          </cell>
          <cell r="BA233">
            <v>359835434.02599996</v>
          </cell>
          <cell r="BB233">
            <v>0</v>
          </cell>
          <cell r="BF233">
            <v>459241496.77649999</v>
          </cell>
          <cell r="BG233">
            <v>0</v>
          </cell>
          <cell r="BK233">
            <v>446951437.20699996</v>
          </cell>
          <cell r="BL233">
            <v>0</v>
          </cell>
          <cell r="BP233">
            <v>2966398280.7665</v>
          </cell>
          <cell r="BQ233">
            <v>0</v>
          </cell>
          <cell r="BV233">
            <v>19483549.259</v>
          </cell>
        </row>
        <row r="234">
          <cell r="H234">
            <v>175915.74649999998</v>
          </cell>
          <cell r="I234">
            <v>0</v>
          </cell>
          <cell r="M234">
            <v>175915.74649999998</v>
          </cell>
          <cell r="N234">
            <v>0</v>
          </cell>
          <cell r="R234">
            <v>175915.74649999998</v>
          </cell>
          <cell r="S234">
            <v>0</v>
          </cell>
          <cell r="W234">
            <v>175915.74649999998</v>
          </cell>
          <cell r="X234">
            <v>0</v>
          </cell>
          <cell r="AB234">
            <v>4484383.3059999999</v>
          </cell>
          <cell r="AC234">
            <v>0</v>
          </cell>
          <cell r="AG234">
            <v>175915.74649999998</v>
          </cell>
          <cell r="AH234">
            <v>0</v>
          </cell>
          <cell r="AL234">
            <v>175915.74649999998</v>
          </cell>
          <cell r="AM234">
            <v>0</v>
          </cell>
          <cell r="AQ234">
            <v>175915.74649999998</v>
          </cell>
          <cell r="AR234">
            <v>0</v>
          </cell>
          <cell r="AV234">
            <v>175915.74649999998</v>
          </cell>
          <cell r="AW234">
            <v>0</v>
          </cell>
          <cell r="BA234">
            <v>175915.74649999998</v>
          </cell>
          <cell r="BB234">
            <v>0</v>
          </cell>
          <cell r="BF234">
            <v>7548634.0129999993</v>
          </cell>
          <cell r="BG234">
            <v>0</v>
          </cell>
          <cell r="BK234">
            <v>175915.74649999998</v>
          </cell>
          <cell r="BL234">
            <v>0</v>
          </cell>
          <cell r="BP234">
            <v>0</v>
          </cell>
          <cell r="BQ234">
            <v>0</v>
          </cell>
          <cell r="BU234">
            <v>0</v>
          </cell>
          <cell r="BV234">
            <v>0</v>
          </cell>
        </row>
        <row r="235">
          <cell r="H235">
            <v>0</v>
          </cell>
          <cell r="I235">
            <v>5567889.4469999997</v>
          </cell>
          <cell r="M235">
            <v>0</v>
          </cell>
          <cell r="N235">
            <v>32869019.038142856</v>
          </cell>
          <cell r="R235">
            <v>0</v>
          </cell>
          <cell r="S235">
            <v>41092839.780357145</v>
          </cell>
          <cell r="W235">
            <v>0</v>
          </cell>
          <cell r="X235">
            <v>18297997.689999998</v>
          </cell>
          <cell r="AB235">
            <v>0</v>
          </cell>
          <cell r="AC235">
            <v>52285543.42078571</v>
          </cell>
          <cell r="AG235">
            <v>0</v>
          </cell>
          <cell r="AH235">
            <v>42455663.268357143</v>
          </cell>
          <cell r="AL235">
            <v>0</v>
          </cell>
          <cell r="AM235">
            <v>27620111.670642857</v>
          </cell>
          <cell r="AQ235">
            <v>0</v>
          </cell>
          <cell r="AR235">
            <v>6876423.7532142848</v>
          </cell>
          <cell r="AV235">
            <v>0</v>
          </cell>
          <cell r="AW235">
            <v>159034.712</v>
          </cell>
          <cell r="BA235">
            <v>0</v>
          </cell>
          <cell r="BB235">
            <v>25386758.173</v>
          </cell>
          <cell r="BF235">
            <v>0</v>
          </cell>
          <cell r="BG235">
            <v>107753466.37885714</v>
          </cell>
          <cell r="BK235">
            <v>0</v>
          </cell>
          <cell r="BL235">
            <v>45278447.409142852</v>
          </cell>
          <cell r="BP235">
            <v>0</v>
          </cell>
          <cell r="BQ235">
            <v>-83896892.299499989</v>
          </cell>
          <cell r="BU235">
            <v>0</v>
          </cell>
          <cell r="BV235">
            <v>362775.11299999995</v>
          </cell>
        </row>
        <row r="236">
          <cell r="H236">
            <v>2845437.2490714281</v>
          </cell>
          <cell r="I236">
            <v>0</v>
          </cell>
          <cell r="M236">
            <v>13713356.865499999</v>
          </cell>
          <cell r="N236">
            <v>0</v>
          </cell>
          <cell r="R236">
            <v>13738670.402642855</v>
          </cell>
          <cell r="S236">
            <v>0</v>
          </cell>
          <cell r="W236">
            <v>13420171.092785712</v>
          </cell>
          <cell r="X236">
            <v>0</v>
          </cell>
          <cell r="AB236">
            <v>8755637.5930714272</v>
          </cell>
          <cell r="AC236">
            <v>0</v>
          </cell>
          <cell r="AG236">
            <v>5502226.8014285713</v>
          </cell>
          <cell r="AH236">
            <v>0</v>
          </cell>
          <cell r="AL236">
            <v>7658162.1390714282</v>
          </cell>
          <cell r="AM236">
            <v>0</v>
          </cell>
          <cell r="AQ236">
            <v>8263229.3859285712</v>
          </cell>
          <cell r="AR236">
            <v>0</v>
          </cell>
          <cell r="AV236">
            <v>6587244.5688571418</v>
          </cell>
          <cell r="AW236">
            <v>0</v>
          </cell>
          <cell r="BA236">
            <v>7904297.49792857</v>
          </cell>
          <cell r="BB236">
            <v>0</v>
          </cell>
          <cell r="BF236">
            <v>4571035.5134999994</v>
          </cell>
          <cell r="BG236">
            <v>0</v>
          </cell>
          <cell r="BK236">
            <v>2899300.7942142859</v>
          </cell>
          <cell r="BL236">
            <v>0</v>
          </cell>
          <cell r="BP236">
            <v>0</v>
          </cell>
          <cell r="BQ236">
            <v>0</v>
          </cell>
          <cell r="BU236">
            <v>0</v>
          </cell>
          <cell r="BV236">
            <v>0</v>
          </cell>
        </row>
        <row r="237">
          <cell r="H237">
            <v>0</v>
          </cell>
          <cell r="I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W237">
            <v>0</v>
          </cell>
          <cell r="X237">
            <v>0</v>
          </cell>
          <cell r="AB237">
            <v>0</v>
          </cell>
          <cell r="AC237">
            <v>0</v>
          </cell>
          <cell r="AG237">
            <v>0</v>
          </cell>
          <cell r="AH237">
            <v>0</v>
          </cell>
          <cell r="AL237">
            <v>0</v>
          </cell>
          <cell r="AM237">
            <v>0</v>
          </cell>
          <cell r="AQ237">
            <v>0</v>
          </cell>
          <cell r="AR237">
            <v>0</v>
          </cell>
          <cell r="AV237">
            <v>0</v>
          </cell>
          <cell r="AW237">
            <v>0</v>
          </cell>
          <cell r="BA237">
            <v>0</v>
          </cell>
          <cell r="BB237">
            <v>0</v>
          </cell>
          <cell r="BF237">
            <v>0</v>
          </cell>
          <cell r="BG237">
            <v>-20309847.640499998</v>
          </cell>
          <cell r="BK237">
            <v>0</v>
          </cell>
          <cell r="BL237">
            <v>-8332972.3289999999</v>
          </cell>
          <cell r="BP237">
            <v>0</v>
          </cell>
          <cell r="BQ237">
            <v>0</v>
          </cell>
          <cell r="BU237">
            <v>0</v>
          </cell>
          <cell r="BV237">
            <v>0</v>
          </cell>
        </row>
        <row r="238">
          <cell r="H238">
            <v>760482.049</v>
          </cell>
          <cell r="I238">
            <v>0</v>
          </cell>
          <cell r="M238">
            <v>764569.59450981254</v>
          </cell>
          <cell r="N238">
            <v>0</v>
          </cell>
          <cell r="R238">
            <v>927704.15549999999</v>
          </cell>
          <cell r="S238">
            <v>0</v>
          </cell>
          <cell r="W238">
            <v>810722.571</v>
          </cell>
          <cell r="X238">
            <v>0</v>
          </cell>
          <cell r="AB238">
            <v>822382.12049999996</v>
          </cell>
          <cell r="AC238">
            <v>0</v>
          </cell>
          <cell r="AG238">
            <v>834165.36</v>
          </cell>
          <cell r="AH238">
            <v>0</v>
          </cell>
          <cell r="AL238">
            <v>834933.41599999997</v>
          </cell>
          <cell r="AM238">
            <v>0</v>
          </cell>
          <cell r="AQ238">
            <v>834533.77949999995</v>
          </cell>
          <cell r="AR238">
            <v>0</v>
          </cell>
          <cell r="AV238">
            <v>794117.42765805125</v>
          </cell>
          <cell r="AW238">
            <v>0</v>
          </cell>
          <cell r="BA238">
            <v>838366.5841060566</v>
          </cell>
          <cell r="BB238">
            <v>0</v>
          </cell>
          <cell r="BF238">
            <v>838366.5841060566</v>
          </cell>
          <cell r="BG238">
            <v>0</v>
          </cell>
          <cell r="BK238">
            <v>2987572.3309999998</v>
          </cell>
          <cell r="BL238">
            <v>0</v>
          </cell>
          <cell r="BP238">
            <v>0</v>
          </cell>
          <cell r="BQ238">
            <v>0</v>
          </cell>
          <cell r="BU238">
            <v>0</v>
          </cell>
          <cell r="BV238">
            <v>0</v>
          </cell>
        </row>
        <row r="239">
          <cell r="H239">
            <v>837859947</v>
          </cell>
          <cell r="I239">
            <v>0</v>
          </cell>
          <cell r="M239">
            <v>837859947</v>
          </cell>
          <cell r="N239">
            <v>0</v>
          </cell>
          <cell r="R239">
            <v>837859947</v>
          </cell>
          <cell r="S239">
            <v>0</v>
          </cell>
          <cell r="W239">
            <v>837859947</v>
          </cell>
          <cell r="X239">
            <v>0</v>
          </cell>
          <cell r="AB239">
            <v>837859947</v>
          </cell>
          <cell r="AC239">
            <v>0</v>
          </cell>
          <cell r="AG239">
            <v>837859947</v>
          </cell>
          <cell r="AH239">
            <v>0</v>
          </cell>
          <cell r="AL239">
            <v>837859947</v>
          </cell>
          <cell r="AM239">
            <v>0</v>
          </cell>
          <cell r="AQ239">
            <v>837859947</v>
          </cell>
          <cell r="AR239">
            <v>0</v>
          </cell>
          <cell r="AV239">
            <v>837859947</v>
          </cell>
          <cell r="AW239">
            <v>0</v>
          </cell>
          <cell r="BA239">
            <v>837859947</v>
          </cell>
          <cell r="BB239">
            <v>0</v>
          </cell>
          <cell r="BF239">
            <v>837859947</v>
          </cell>
          <cell r="BG239">
            <v>0</v>
          </cell>
          <cell r="BK239">
            <v>837859947</v>
          </cell>
          <cell r="BL239">
            <v>0</v>
          </cell>
          <cell r="BP239">
            <v>0</v>
          </cell>
          <cell r="BQ239">
            <v>0</v>
          </cell>
          <cell r="BU239">
            <v>0</v>
          </cell>
          <cell r="BV239">
            <v>5167335</v>
          </cell>
        </row>
        <row r="241">
          <cell r="H241">
            <v>19007908</v>
          </cell>
          <cell r="M241">
            <v>9439326</v>
          </cell>
          <cell r="R241">
            <v>9439326</v>
          </cell>
          <cell r="W241">
            <v>9439326</v>
          </cell>
          <cell r="AB241">
            <v>9439326</v>
          </cell>
          <cell r="AG241">
            <v>18955620</v>
          </cell>
          <cell r="AL241">
            <v>9439326</v>
          </cell>
          <cell r="AQ241">
            <v>9439326</v>
          </cell>
          <cell r="AV241">
            <v>9439326</v>
          </cell>
          <cell r="BA241">
            <v>9439326</v>
          </cell>
          <cell r="BF241">
            <v>9439326</v>
          </cell>
          <cell r="BK241">
            <v>9439326</v>
          </cell>
          <cell r="BP241">
            <v>0</v>
          </cell>
          <cell r="BU241">
            <v>0</v>
          </cell>
        </row>
        <row r="243">
          <cell r="BP243">
            <v>-26582839.884</v>
          </cell>
        </row>
        <row r="245">
          <cell r="H245">
            <v>10757496.106367933</v>
          </cell>
          <cell r="M245">
            <v>3747040.1634558169</v>
          </cell>
          <cell r="R245">
            <v>3670683.5560555044</v>
          </cell>
          <cell r="W245">
            <v>4941251.323572495</v>
          </cell>
          <cell r="AB245">
            <v>6949571.5628696512</v>
          </cell>
          <cell r="AG245">
            <v>8361574.8740619263</v>
          </cell>
          <cell r="AL245">
            <v>6438142.4335756237</v>
          </cell>
          <cell r="AQ245">
            <v>3446922.661321824</v>
          </cell>
          <cell r="AV245">
            <v>6523480.2726343963</v>
          </cell>
          <cell r="BA245">
            <v>8145593.1890957402</v>
          </cell>
          <cell r="BF245">
            <v>11042024.315404996</v>
          </cell>
          <cell r="BK245">
            <v>15183354.327011997</v>
          </cell>
          <cell r="BP245">
            <v>131468473.56354998</v>
          </cell>
          <cell r="BU245">
            <v>0</v>
          </cell>
        </row>
        <row r="246">
          <cell r="H246">
            <v>129608.272</v>
          </cell>
          <cell r="M246">
            <v>129392.69799999999</v>
          </cell>
          <cell r="R246">
            <v>147246.46599999999</v>
          </cell>
          <cell r="W246">
            <v>129178.302</v>
          </cell>
          <cell r="AB246">
            <v>128931.21649999999</v>
          </cell>
          <cell r="AG246">
            <v>128868.19349999999</v>
          </cell>
          <cell r="AL246">
            <v>128823.72399999999</v>
          </cell>
          <cell r="AQ246">
            <v>128823.72399999999</v>
          </cell>
          <cell r="AV246">
            <v>128698.26699999999</v>
          </cell>
          <cell r="BA246">
            <v>127614.80149999999</v>
          </cell>
          <cell r="BF246">
            <v>128416.72499999999</v>
          </cell>
          <cell r="BK246">
            <v>475060.30599999998</v>
          </cell>
          <cell r="BP246">
            <v>0</v>
          </cell>
          <cell r="BU246">
            <v>0</v>
          </cell>
        </row>
      </sheetData>
      <sheetData sheetId="1"/>
      <sheetData sheetId="2"/>
      <sheetData sheetId="3">
        <row r="39">
          <cell r="F39">
            <v>881402032.25048351</v>
          </cell>
          <cell r="H39">
            <v>860568257.14300013</v>
          </cell>
          <cell r="J39">
            <v>812635923.12</v>
          </cell>
          <cell r="L39">
            <v>479271350.55000013</v>
          </cell>
          <cell r="N39">
            <v>652933284.26499975</v>
          </cell>
          <cell r="P39">
            <v>660125524.6079998</v>
          </cell>
          <cell r="R39">
            <v>691015610.93099976</v>
          </cell>
          <cell r="T39">
            <v>813360674.78400028</v>
          </cell>
          <cell r="V39">
            <v>711391228.12099946</v>
          </cell>
          <cell r="X39">
            <v>782916338.9040004</v>
          </cell>
          <cell r="Z39">
            <v>967526106.66799986</v>
          </cell>
          <cell r="AB39">
            <v>939694793.87015033</v>
          </cell>
          <cell r="AD39">
            <v>20270498</v>
          </cell>
        </row>
        <row r="43">
          <cell r="F43">
            <v>0</v>
          </cell>
          <cell r="H43">
            <v>0</v>
          </cell>
          <cell r="J43">
            <v>0</v>
          </cell>
          <cell r="L43">
            <v>117027.16033232672</v>
          </cell>
          <cell r="N43">
            <v>308263.87634408695</v>
          </cell>
          <cell r="P43">
            <v>870986.69354838715</v>
          </cell>
          <cell r="R43">
            <v>674874.9722222212</v>
          </cell>
          <cell r="T43">
            <v>298154.96774193493</v>
          </cell>
          <cell r="V43">
            <v>-73728</v>
          </cell>
          <cell r="X43">
            <v>-58894</v>
          </cell>
          <cell r="Z43">
            <v>-71681</v>
          </cell>
          <cell r="AB43">
            <v>0</v>
          </cell>
          <cell r="AD43">
            <v>15718</v>
          </cell>
        </row>
        <row r="47">
          <cell r="F47">
            <v>43913263.118210182</v>
          </cell>
          <cell r="H47">
            <v>24688052.658888929</v>
          </cell>
          <cell r="J47">
            <v>29591051.467096787</v>
          </cell>
          <cell r="L47">
            <v>16528262.153333267</v>
          </cell>
          <cell r="N47">
            <v>0</v>
          </cell>
          <cell r="P47">
            <v>9473840.0700000096</v>
          </cell>
          <cell r="R47">
            <v>3946856.7972222734</v>
          </cell>
          <cell r="T47">
            <v>3510728.316696337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</row>
        <row r="52">
          <cell r="F52">
            <v>124599972.15000001</v>
          </cell>
          <cell r="H52">
            <v>0</v>
          </cell>
          <cell r="J52">
            <v>-451789.03500000434</v>
          </cell>
          <cell r="L52">
            <v>-464898.53100000008</v>
          </cell>
          <cell r="N52">
            <v>-495465.97699999873</v>
          </cell>
          <cell r="P52">
            <v>-526572.82499999809</v>
          </cell>
          <cell r="R52">
            <v>-547175.46000000136</v>
          </cell>
          <cell r="T52">
            <v>22516918.322680127</v>
          </cell>
          <cell r="V52">
            <v>90037749.934959933</v>
          </cell>
          <cell r="X52">
            <v>71280089.889360055</v>
          </cell>
          <cell r="Z52">
            <v>87229747.843119994</v>
          </cell>
          <cell r="AB52">
            <v>70185800.909679919</v>
          </cell>
          <cell r="AD52">
            <v>32014269.954900004</v>
          </cell>
        </row>
        <row r="55">
          <cell r="F55">
            <v>0</v>
          </cell>
          <cell r="H55">
            <v>0</v>
          </cell>
          <cell r="AD55">
            <v>-2228549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 refreshError="1"/>
      <sheetData sheetId="1">
        <row r="27">
          <cell r="E27">
            <v>8657.3668749999997</v>
          </cell>
        </row>
        <row r="48">
          <cell r="E48">
            <v>3613.8831249999994</v>
          </cell>
          <cell r="F48">
            <v>3478.0151283867563</v>
          </cell>
        </row>
        <row r="49">
          <cell r="E49">
            <v>391.91765500000002</v>
          </cell>
          <cell r="F49">
            <v>391.91765504908324</v>
          </cell>
        </row>
        <row r="50">
          <cell r="E50">
            <v>2314.0632000000001</v>
          </cell>
          <cell r="F50">
            <v>2607.0025576453636</v>
          </cell>
        </row>
        <row r="52">
          <cell r="E52">
            <v>1295.06</v>
          </cell>
          <cell r="F52">
            <v>1288.9300555358736</v>
          </cell>
        </row>
        <row r="53">
          <cell r="E53">
            <v>2648.7094399999996</v>
          </cell>
          <cell r="F53">
            <v>2458.6341933650765</v>
          </cell>
        </row>
        <row r="54">
          <cell r="E54">
            <v>210.83549499999998</v>
          </cell>
          <cell r="F54">
            <v>1233.6286895073231</v>
          </cell>
        </row>
        <row r="55">
          <cell r="E55">
            <v>-476.83672999999999</v>
          </cell>
          <cell r="F55">
            <v>-498.90623300831419</v>
          </cell>
        </row>
        <row r="56">
          <cell r="E56">
            <v>-60.119999999999976</v>
          </cell>
          <cell r="F56">
            <v>0</v>
          </cell>
        </row>
        <row r="57">
          <cell r="E57">
            <v>385.04108000000002</v>
          </cell>
          <cell r="F57">
            <v>385.04108023559996</v>
          </cell>
        </row>
        <row r="59">
          <cell r="E59">
            <v>1483.99</v>
          </cell>
          <cell r="F59">
            <v>1736.681000018038</v>
          </cell>
        </row>
        <row r="60">
          <cell r="E60">
            <v>0</v>
          </cell>
          <cell r="F60">
            <v>402.06638647339776</v>
          </cell>
        </row>
        <row r="63">
          <cell r="G63">
            <v>-409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6">
          <cell r="P176">
            <v>1005.9486699</v>
          </cell>
        </row>
        <row r="177">
          <cell r="P177">
            <v>13.235678800000001</v>
          </cell>
        </row>
        <row r="178">
          <cell r="P178">
            <v>717.49665131803806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  <sheetName val="ACoS"/>
      <sheetName val="FY26_Discussion"/>
      <sheetName val="FY26_Discussion 01.15.25"/>
      <sheetName val="Sheet4"/>
      <sheetName val="Agriculture data"/>
    </sheetNames>
    <sheetDataSet>
      <sheetData sheetId="0"/>
      <sheetData sheetId="1">
        <row r="4">
          <cell r="D4">
            <v>2670</v>
          </cell>
        </row>
      </sheetData>
      <sheetData sheetId="2">
        <row r="4">
          <cell r="D4">
            <v>1126.2939468</v>
          </cell>
        </row>
        <row r="5">
          <cell r="D5">
            <v>715.66519036669627</v>
          </cell>
        </row>
        <row r="6">
          <cell r="D6">
            <v>13.689398799999999</v>
          </cell>
        </row>
      </sheetData>
      <sheetData sheetId="3"/>
      <sheetData sheetId="4"/>
      <sheetData sheetId="5"/>
      <sheetData sheetId="6"/>
      <sheetData sheetId="7">
        <row r="37">
          <cell r="D37">
            <v>68.471810774945084</v>
          </cell>
        </row>
      </sheetData>
      <sheetData sheetId="8">
        <row r="34">
          <cell r="H34">
            <v>-8260.7284143427769</v>
          </cell>
        </row>
      </sheetData>
      <sheetData sheetId="9">
        <row r="3">
          <cell r="C3">
            <v>32.599163284459543</v>
          </cell>
        </row>
      </sheetData>
      <sheetData sheetId="10">
        <row r="3">
          <cell r="C3">
            <v>24.328347644950714</v>
          </cell>
        </row>
      </sheetData>
      <sheetData sheetId="11"/>
      <sheetData sheetId="12"/>
      <sheetData sheetId="13"/>
      <sheetData sheetId="14"/>
      <sheetData sheetId="15">
        <row r="4">
          <cell r="D4">
            <v>1467.793266729567</v>
          </cell>
        </row>
      </sheetData>
      <sheetData sheetId="16"/>
      <sheetData sheetId="1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ed ARR_Revenue"/>
      <sheetName val="Sheet9"/>
      <sheetName val="Approved sales"/>
      <sheetName val="Actual_sales"/>
      <sheetName val="Sheet2"/>
      <sheetName val="Summary"/>
      <sheetName val="Sheet1"/>
      <sheetName val="Energy balance"/>
      <sheetName val="Actual_Apprvd_FY 24_25"/>
      <sheetName val="Actual_FY24_Projected_25_Sales"/>
      <sheetName val="Sales revision_TSNPDCL"/>
      <sheetName val="LT-Consumer impact"/>
      <sheetName val="HT-Consumer impact"/>
      <sheetName val="Revenue impact"/>
      <sheetName val="ARR summary with actuals_V2"/>
      <sheetName val="ARR summary - 5 year"/>
      <sheetName val="ARR summary with actuals"/>
      <sheetName val="Revenue gap_Ways"/>
      <sheetName val="Sheet5"/>
      <sheetName val="Sheet6"/>
      <sheetName val="FY 24_filed vs approved"/>
      <sheetName val="TRANSMISSION projections"/>
      <sheetName val="SLDC projections"/>
      <sheetName val="PP Cost actuals FY 24"/>
      <sheetName val="Revenue actuals FY 24"/>
      <sheetName val="RevenActual_Apprvd_FY 24_25"/>
      <sheetName val="Agri and LIS sales comparison"/>
      <sheetName val="Sheet4"/>
      <sheetName val="SPDCL load factor"/>
      <sheetName val="Energy charges"/>
      <sheetName val="ED"/>
      <sheetName val="EC with ED"/>
      <sheetName val="Sales_scenarios"/>
      <sheetName val="SPDCL_Resource plan"/>
      <sheetName val="NPDCL_Resource plan"/>
      <sheetName val="Actual_FY24_Projected_25_Sa (2)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E5">
            <v>22590.84</v>
          </cell>
          <cell r="G5">
            <v>22276.22</v>
          </cell>
          <cell r="H5">
            <v>22131.05</v>
          </cell>
          <cell r="I5">
            <v>21606.63</v>
          </cell>
        </row>
        <row r="6">
          <cell r="E6">
            <v>109.55</v>
          </cell>
          <cell r="G6">
            <v>166.83</v>
          </cell>
          <cell r="H6">
            <v>188.64</v>
          </cell>
          <cell r="I6">
            <v>211.85</v>
          </cell>
        </row>
        <row r="11">
          <cell r="E11">
            <v>874.57076000000006</v>
          </cell>
          <cell r="G11">
            <v>1313.3875400000002</v>
          </cell>
          <cell r="H11">
            <v>1475.3949349999998</v>
          </cell>
          <cell r="I11">
            <v>1617.6207650000001</v>
          </cell>
        </row>
        <row r="18">
          <cell r="E18">
            <v>677.78521398480007</v>
          </cell>
          <cell r="G18">
            <v>747.25819841824193</v>
          </cell>
          <cell r="H18">
            <v>784.62110833915415</v>
          </cell>
          <cell r="I18">
            <v>823.85216375611185</v>
          </cell>
        </row>
      </sheetData>
      <sheetData sheetId="22">
        <row r="6">
          <cell r="D6">
            <v>23598.52</v>
          </cell>
          <cell r="F6">
            <v>23283.9</v>
          </cell>
          <cell r="G6">
            <v>23130.720000000001</v>
          </cell>
          <cell r="H6">
            <v>22600.31</v>
          </cell>
        </row>
        <row r="7">
          <cell r="D7">
            <v>2.9518</v>
          </cell>
          <cell r="F7">
            <v>3.9462199999999998</v>
          </cell>
          <cell r="G7">
            <v>4.1099700000000006</v>
          </cell>
          <cell r="H7">
            <v>4.3550300000000002</v>
          </cell>
        </row>
        <row r="11">
          <cell r="D11">
            <v>24.617255</v>
          </cell>
          <cell r="F11">
            <v>32.47157</v>
          </cell>
          <cell r="G11">
            <v>33.596559999999997</v>
          </cell>
          <cell r="H11">
            <v>34.783394999999999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Inflation rate"/>
      <sheetName val="4th CP GFA - Actuals "/>
      <sheetName val="GFA Projections"/>
      <sheetName val="O&amp;M Projections New Method Back"/>
      <sheetName val="tables for presenattion"/>
    </sheetNames>
    <sheetDataSet>
      <sheetData sheetId="0"/>
      <sheetData sheetId="1">
        <row r="5">
          <cell r="J5">
            <v>2711.5530192691463</v>
          </cell>
          <cell r="K5">
            <v>2868.5519390848299</v>
          </cell>
          <cell r="L5">
            <v>3486.5266523454998</v>
          </cell>
          <cell r="M5">
            <v>3735.504086704469</v>
          </cell>
          <cell r="N5">
            <v>4002.303586964149</v>
          </cell>
        </row>
        <row r="6">
          <cell r="I6">
            <v>275.82</v>
          </cell>
          <cell r="J6">
            <v>303.68622975179994</v>
          </cell>
          <cell r="K6">
            <v>318.65796087856364</v>
          </cell>
          <cell r="L6">
            <v>334.36779834987681</v>
          </cell>
          <cell r="M6">
            <v>350.85213080852571</v>
          </cell>
          <cell r="N6">
            <v>368.14914085738599</v>
          </cell>
        </row>
        <row r="7">
          <cell r="I7">
            <v>116.96979999999999</v>
          </cell>
          <cell r="J7">
            <v>130.36097092491684</v>
          </cell>
          <cell r="K7">
            <v>149.22810912741539</v>
          </cell>
          <cell r="L7">
            <v>194.90220786213172</v>
          </cell>
          <cell r="M7">
            <v>219.19779902049754</v>
          </cell>
          <cell r="N7">
            <v>246.11992468043087</v>
          </cell>
        </row>
        <row r="12">
          <cell r="I12">
            <v>9602.5944019660001</v>
          </cell>
          <cell r="J12">
            <v>10199.121173671781</v>
          </cell>
          <cell r="K12">
            <v>11851.401658837272</v>
          </cell>
          <cell r="L12">
            <v>15248.668530913019</v>
          </cell>
          <cell r="M12">
            <v>17149.495722150201</v>
          </cell>
          <cell r="N12">
            <v>19255.816501370446</v>
          </cell>
        </row>
        <row r="13">
          <cell r="J13">
            <v>1.2E-2</v>
          </cell>
          <cell r="K13">
            <v>1.2E-2</v>
          </cell>
        </row>
        <row r="15">
          <cell r="J15">
            <v>130.36097092491684</v>
          </cell>
          <cell r="K15">
            <v>149.22810912741539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5.1"/>
      <sheetName val="F15.2"/>
      <sheetName val="F15.3"/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)"/>
      <sheetName val="F27"/>
      <sheetName val="F28"/>
      <sheetName val="F29"/>
    </sheetNames>
    <sheetDataSet>
      <sheetData sheetId="0" refreshError="1">
        <row r="5">
          <cell r="C5">
            <v>753.61011496100002</v>
          </cell>
          <cell r="D5">
            <v>780.53873324099993</v>
          </cell>
          <cell r="E5">
            <v>797.66544691800004</v>
          </cell>
          <cell r="F5">
            <v>811.87</v>
          </cell>
        </row>
        <row r="6">
          <cell r="C6">
            <v>66.304229739999997</v>
          </cell>
          <cell r="D6">
            <v>123.69982584</v>
          </cell>
          <cell r="E6">
            <v>173.48435764999999</v>
          </cell>
          <cell r="F6">
            <v>229.15321714999999</v>
          </cell>
        </row>
        <row r="7">
          <cell r="C7">
            <v>27.994442069999998</v>
          </cell>
          <cell r="D7">
            <v>54.034532529999993</v>
          </cell>
          <cell r="E7">
            <v>59.282168599999999</v>
          </cell>
          <cell r="F7">
            <v>67.180000000000007</v>
          </cell>
        </row>
        <row r="8">
          <cell r="C8">
            <v>10.526063799999999</v>
          </cell>
          <cell r="D8">
            <v>11.172685550000001</v>
          </cell>
          <cell r="E8">
            <v>11.3708048</v>
          </cell>
          <cell r="F8">
            <v>11.4303855</v>
          </cell>
        </row>
        <row r="10">
          <cell r="C10">
            <v>111.67412640000001</v>
          </cell>
          <cell r="D10">
            <v>208.65295399999999</v>
          </cell>
          <cell r="E10">
            <v>97.2138597</v>
          </cell>
          <cell r="F10">
            <v>101.6690399</v>
          </cell>
        </row>
        <row r="11">
          <cell r="C11">
            <v>91.45</v>
          </cell>
          <cell r="D11">
            <v>70.264622320000001</v>
          </cell>
          <cell r="E11">
            <v>65.929320300000001</v>
          </cell>
          <cell r="F11">
            <v>59.89</v>
          </cell>
        </row>
        <row r="12">
          <cell r="C12">
            <v>16.8267621</v>
          </cell>
          <cell r="D12">
            <v>9.6869517799999993</v>
          </cell>
          <cell r="E12">
            <v>16.691386600000001</v>
          </cell>
          <cell r="F12">
            <v>24.13</v>
          </cell>
        </row>
        <row r="16">
          <cell r="C16">
            <v>3.0786844100000001</v>
          </cell>
          <cell r="D16">
            <v>3.8089866049999999</v>
          </cell>
          <cell r="E16">
            <v>4.1670583900000002</v>
          </cell>
          <cell r="F16">
            <v>2.1314493199999998</v>
          </cell>
        </row>
        <row r="23">
          <cell r="C23">
            <v>61.6</v>
          </cell>
          <cell r="D23">
            <v>73.62</v>
          </cell>
          <cell r="E23">
            <v>78.004760304000001</v>
          </cell>
          <cell r="F23">
            <v>84.490938579999991</v>
          </cell>
        </row>
        <row r="24">
          <cell r="C24">
            <v>185.8</v>
          </cell>
          <cell r="D24">
            <v>363.35</v>
          </cell>
          <cell r="E24">
            <v>328.87</v>
          </cell>
          <cell r="F24">
            <v>310.39999999999998</v>
          </cell>
        </row>
        <row r="26">
          <cell r="C26">
            <v>4.8319463999999996</v>
          </cell>
          <cell r="D26">
            <v>-0.2392301</v>
          </cell>
          <cell r="E26">
            <v>6.6808347000000001</v>
          </cell>
          <cell r="F26">
            <v>27.640720900000002</v>
          </cell>
        </row>
      </sheetData>
      <sheetData sheetId="1" refreshError="1">
        <row r="5">
          <cell r="C5">
            <v>3.9417773999999999</v>
          </cell>
          <cell r="D5">
            <v>1.888782296</v>
          </cell>
          <cell r="E5">
            <v>1.1096717199999999</v>
          </cell>
          <cell r="F5">
            <v>1.2597</v>
          </cell>
        </row>
        <row r="6">
          <cell r="C6">
            <v>8.3035411000000003E-2</v>
          </cell>
          <cell r="D6">
            <v>7.6063656000000007E-2</v>
          </cell>
          <cell r="E6">
            <v>6.0987411999999998E-2</v>
          </cell>
          <cell r="F6">
            <v>5.3899999999999997E-2</v>
          </cell>
        </row>
        <row r="7">
          <cell r="C7">
            <v>1.774659414</v>
          </cell>
          <cell r="D7">
            <v>2.8063642940000002</v>
          </cell>
          <cell r="E7">
            <v>3.928783353</v>
          </cell>
          <cell r="F7">
            <v>4.0922999999999998</v>
          </cell>
        </row>
        <row r="8">
          <cell r="C8">
            <v>0.65598690000000004</v>
          </cell>
          <cell r="D8">
            <v>0.91303449999999997</v>
          </cell>
          <cell r="E8">
            <v>1.0695046499999998</v>
          </cell>
          <cell r="F8">
            <v>2.9282999999999997</v>
          </cell>
        </row>
        <row r="9">
          <cell r="C9">
            <v>18.51937023</v>
          </cell>
          <cell r="D9">
            <v>15.339109591999998</v>
          </cell>
          <cell r="E9">
            <v>16.915769744999999</v>
          </cell>
          <cell r="F9">
            <v>23.045900000000003</v>
          </cell>
        </row>
        <row r="10">
          <cell r="C10">
            <v>13.870033299999999</v>
          </cell>
          <cell r="D10">
            <v>15.590052999999999</v>
          </cell>
          <cell r="E10">
            <v>13.86033645</v>
          </cell>
          <cell r="F10">
            <v>14.048399999999999</v>
          </cell>
        </row>
        <row r="11">
          <cell r="C11">
            <v>4.7346574459999999</v>
          </cell>
          <cell r="D11">
            <v>4.7779978729999995</v>
          </cell>
          <cell r="E11">
            <v>4.8152312319999995</v>
          </cell>
          <cell r="F11">
            <v>5.6592999999999991</v>
          </cell>
        </row>
        <row r="17">
          <cell r="C17">
            <v>2.7903187600000003</v>
          </cell>
          <cell r="D17">
            <v>3.1301399059999997</v>
          </cell>
          <cell r="E17">
            <v>2.7478870180000001</v>
          </cell>
          <cell r="F17">
            <v>4.0925000000000002</v>
          </cell>
        </row>
        <row r="18">
          <cell r="C18">
            <v>0.24400609500000001</v>
          </cell>
          <cell r="D18">
            <v>0.42872860599999996</v>
          </cell>
          <cell r="E18">
            <v>0.26313373799999995</v>
          </cell>
          <cell r="F18">
            <v>0.38670000000000004</v>
          </cell>
        </row>
        <row r="21">
          <cell r="C21">
            <v>5.9445481999999998</v>
          </cell>
          <cell r="D21">
            <v>0.52205000000000001</v>
          </cell>
          <cell r="E21">
            <v>3.3362695000000002</v>
          </cell>
          <cell r="F21">
            <v>4.0152999999999999</v>
          </cell>
        </row>
        <row r="22">
          <cell r="C22">
            <v>1.23270671</v>
          </cell>
          <cell r="D22">
            <v>1.091170561</v>
          </cell>
          <cell r="E22">
            <v>1.2066203090000001</v>
          </cell>
          <cell r="F22">
            <v>1.3433999999999999</v>
          </cell>
        </row>
        <row r="23">
          <cell r="C23">
            <v>9.7631454409999989</v>
          </cell>
          <cell r="D23">
            <v>9.4112574129999995</v>
          </cell>
          <cell r="E23">
            <v>13.435125765</v>
          </cell>
          <cell r="F23">
            <v>16.794499999999999</v>
          </cell>
        </row>
        <row r="28">
          <cell r="C28">
            <v>4.4738199999999999E-2</v>
          </cell>
          <cell r="D28">
            <v>0.64913564899999998</v>
          </cell>
          <cell r="E28">
            <v>0.42413494699999993</v>
          </cell>
          <cell r="F28">
            <v>0</v>
          </cell>
        </row>
        <row r="29">
          <cell r="C29">
            <v>5.4717254840000003</v>
          </cell>
          <cell r="D29">
            <v>37.382921317000005</v>
          </cell>
          <cell r="E29">
            <v>47.103105279000005</v>
          </cell>
          <cell r="F29">
            <v>31.876899999999999</v>
          </cell>
        </row>
        <row r="30">
          <cell r="C30">
            <v>10.992361149000001</v>
          </cell>
          <cell r="D30">
            <v>11.111675071000001</v>
          </cell>
          <cell r="E30">
            <v>10.752211881000001</v>
          </cell>
          <cell r="F30">
            <v>11.663000000000002</v>
          </cell>
        </row>
        <row r="32">
          <cell r="C32">
            <v>164.88914510499998</v>
          </cell>
          <cell r="D32">
            <v>24.912896694000001</v>
          </cell>
          <cell r="E32">
            <v>27.8447</v>
          </cell>
          <cell r="F32">
            <v>115.8216</v>
          </cell>
        </row>
        <row r="34">
          <cell r="C34">
            <v>8.7597875999999992</v>
          </cell>
          <cell r="D34">
            <v>6.7969881870000002</v>
          </cell>
          <cell r="E34">
            <v>7.0951034370000006</v>
          </cell>
          <cell r="F34">
            <v>7.6054999999999993</v>
          </cell>
        </row>
      </sheetData>
      <sheetData sheetId="2" refreshError="1">
        <row r="5">
          <cell r="C5">
            <v>44.100935</v>
          </cell>
          <cell r="D5">
            <v>48.156790527999995</v>
          </cell>
          <cell r="E5">
            <v>68.438390117000012</v>
          </cell>
          <cell r="F5">
            <v>85.452899999999985</v>
          </cell>
        </row>
        <row r="6">
          <cell r="C6">
            <v>6.4623041000000006E-2</v>
          </cell>
          <cell r="D6">
            <v>8.5066089999999997E-2</v>
          </cell>
          <cell r="E6">
            <v>7.3218352E-2</v>
          </cell>
          <cell r="F6">
            <v>6.7900000000000002E-2</v>
          </cell>
        </row>
        <row r="8">
          <cell r="C8">
            <v>13.196883868</v>
          </cell>
          <cell r="D8">
            <v>13.138698749</v>
          </cell>
          <cell r="E8">
            <v>11.943195470999999</v>
          </cell>
          <cell r="F8">
            <v>1.9706999999999999</v>
          </cell>
        </row>
        <row r="9">
          <cell r="C9">
            <v>0</v>
          </cell>
          <cell r="D9">
            <v>1.8584376E-2</v>
          </cell>
          <cell r="E9">
            <v>1.89718E-2</v>
          </cell>
          <cell r="F9">
            <v>2.2799999999999997E-2</v>
          </cell>
        </row>
        <row r="10">
          <cell r="C10">
            <v>10.435190993000001</v>
          </cell>
          <cell r="D10">
            <v>12.726864665000001</v>
          </cell>
          <cell r="E10">
            <v>19.52243378</v>
          </cell>
          <cell r="F10">
            <v>24.451999999999998</v>
          </cell>
        </row>
        <row r="11">
          <cell r="C11">
            <v>1.09679711</v>
          </cell>
          <cell r="D11">
            <v>6.1953229299999997</v>
          </cell>
          <cell r="E11">
            <v>3.1687452680000003</v>
          </cell>
          <cell r="F11">
            <v>4.4757999999999996</v>
          </cell>
        </row>
        <row r="13">
          <cell r="C13">
            <v>7030.47</v>
          </cell>
          <cell r="D13">
            <v>7887.88</v>
          </cell>
          <cell r="E13">
            <v>8606.74</v>
          </cell>
          <cell r="F13">
            <v>9054.74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Sheet"/>
      <sheetName val="Dist ARR"/>
      <sheetName val="Int on Working cap"/>
      <sheetName val="RoE"/>
      <sheetName val="True Up and True Down"/>
      <sheetName val="GFA &amp; Dep-MYT 5th Control"/>
      <sheetName val="Interest cost"/>
      <sheetName val="Employee Cost"/>
      <sheetName val="Employee Cost (Abridged)"/>
      <sheetName val="Capex Summary 5th MYT"/>
      <sheetName val="Investment for 5th MYT"/>
      <sheetName val="Voltage wise FA from SAP"/>
      <sheetName val="NTI Proj"/>
      <sheetName val="Loan Portfolio"/>
      <sheetName val="Open Access"/>
      <sheetName val="Claim vs Approved Depreciation"/>
      <sheetName val="Int cost 5th MYT (2)"/>
      <sheetName val="Existing Loans Details"/>
      <sheetName val="Working for O&amp;M"/>
      <sheetName val="For Wheeling"/>
      <sheetName val="Sheet3 (2)"/>
      <sheetName val="Status"/>
      <sheetName val="Existing loans Repayment &amp;Int"/>
      <sheetName val="Load for Wheeling 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NTI"/>
      <sheetName val="Form 10"/>
      <sheetName val="Sheet1"/>
      <sheetName val="Sheet2"/>
      <sheetName val="Sheet3"/>
    </sheetNames>
    <sheetDataSet>
      <sheetData sheetId="0"/>
      <sheetData sheetId="1"/>
      <sheetData sheetId="2">
        <row r="105">
          <cell r="G105">
            <v>3336.4380090908089</v>
          </cell>
        </row>
      </sheetData>
      <sheetData sheetId="3">
        <row r="4">
          <cell r="D4">
            <v>231.81748333333331</v>
          </cell>
          <cell r="G4">
            <v>334.64972154645903</v>
          </cell>
          <cell r="H4">
            <v>358.79616804445766</v>
          </cell>
          <cell r="I4">
            <v>384.7143877084971</v>
          </cell>
        </row>
        <row r="5">
          <cell r="D5">
            <v>96.025944019660002</v>
          </cell>
          <cell r="G5">
            <v>134.94350348111254</v>
          </cell>
          <cell r="H5">
            <v>152.48668530913019</v>
          </cell>
          <cell r="I5">
            <v>171.49495722150201</v>
          </cell>
        </row>
        <row r="6">
          <cell r="D6">
            <v>432.35978588208201</v>
          </cell>
          <cell r="G6">
            <v>644.56259599173904</v>
          </cell>
          <cell r="H6">
            <v>704.41962714563556</v>
          </cell>
          <cell r="I6">
            <v>770.43112741579159</v>
          </cell>
        </row>
        <row r="9">
          <cell r="D9">
            <v>760.20321323507528</v>
          </cell>
          <cell r="G9">
            <v>1114.1558210193107</v>
          </cell>
          <cell r="H9">
            <v>1215.7024804992234</v>
          </cell>
          <cell r="I9">
            <v>1326.6404723457908</v>
          </cell>
        </row>
        <row r="10">
          <cell r="D10">
            <v>0.105</v>
          </cell>
          <cell r="G10">
            <v>0.105</v>
          </cell>
          <cell r="H10">
            <v>0.105</v>
          </cell>
          <cell r="I10">
            <v>0.105</v>
          </cell>
        </row>
        <row r="11">
          <cell r="D11">
            <v>79.821337389682895</v>
          </cell>
          <cell r="G11">
            <v>116.98636120702761</v>
          </cell>
          <cell r="H11">
            <v>127.64876045241846</v>
          </cell>
          <cell r="I11">
            <v>139.29724959630803</v>
          </cell>
        </row>
        <row r="42">
          <cell r="E42">
            <v>262.13335166215523</v>
          </cell>
          <cell r="F42">
            <v>278.03650075756741</v>
          </cell>
        </row>
        <row r="43">
          <cell r="E43">
            <v>101.99121173671782</v>
          </cell>
          <cell r="F43">
            <v>118.51401658837273</v>
          </cell>
        </row>
        <row r="44">
          <cell r="E44">
            <v>487.03743642666876</v>
          </cell>
          <cell r="F44">
            <v>539.16849715887599</v>
          </cell>
        </row>
        <row r="47">
          <cell r="E47">
            <v>852</v>
          </cell>
          <cell r="F47">
            <v>935.71901450481619</v>
          </cell>
        </row>
        <row r="48">
          <cell r="E48">
            <v>0.105</v>
          </cell>
          <cell r="F48">
            <v>0.105</v>
          </cell>
        </row>
        <row r="49">
          <cell r="E49">
            <v>89.46</v>
          </cell>
          <cell r="F49">
            <v>98.250496523005694</v>
          </cell>
        </row>
      </sheetData>
      <sheetData sheetId="4">
        <row r="4">
          <cell r="D4">
            <v>949.31729896500042</v>
          </cell>
          <cell r="E4">
            <v>1005.8700303067644</v>
          </cell>
          <cell r="F4">
            <v>1301.8826104467148</v>
          </cell>
          <cell r="G4">
            <v>1602.1613774134621</v>
          </cell>
          <cell r="H4">
            <v>1924.7574195299017</v>
          </cell>
          <cell r="I4">
            <v>2281.2846119891924</v>
          </cell>
        </row>
        <row r="5">
          <cell r="D5">
            <v>475.64497170578318</v>
          </cell>
          <cell r="E5">
            <v>1481.441385165487</v>
          </cell>
          <cell r="F5">
            <v>1460.8138892739828</v>
          </cell>
          <cell r="G5">
            <v>1561.5686828017656</v>
          </cell>
          <cell r="H5">
            <v>1695.9161912371869</v>
          </cell>
          <cell r="I5">
            <v>1888.9951792202432</v>
          </cell>
        </row>
        <row r="6">
          <cell r="D6">
            <v>118.91124292644579</v>
          </cell>
          <cell r="E6">
            <v>370.36034629137174</v>
          </cell>
          <cell r="F6">
            <v>365.2034723184957</v>
          </cell>
          <cell r="G6">
            <v>390.3921707004414</v>
          </cell>
          <cell r="H6">
            <v>423.97904780929673</v>
          </cell>
          <cell r="I6">
            <v>472.24879480506081</v>
          </cell>
        </row>
        <row r="9">
          <cell r="D9">
            <v>1005.8700303067644</v>
          </cell>
          <cell r="E9">
            <v>1301.8826104467148</v>
          </cell>
          <cell r="F9">
            <v>1602.1613774134621</v>
          </cell>
          <cell r="G9">
            <v>1924.7574195299017</v>
          </cell>
          <cell r="H9">
            <v>2281.2846119891924</v>
          </cell>
          <cell r="I9">
            <v>2653.653119421775</v>
          </cell>
        </row>
        <row r="11">
          <cell r="D11">
            <v>0.14000000000000001</v>
          </cell>
          <cell r="E11">
            <v>0.11</v>
          </cell>
          <cell r="F11">
            <v>0.16</v>
          </cell>
          <cell r="G11">
            <v>0.14000000000000001</v>
          </cell>
          <cell r="H11">
            <v>0.14000000000000001</v>
          </cell>
          <cell r="I11">
            <v>0.14000000000000001</v>
          </cell>
        </row>
        <row r="15">
          <cell r="D15">
            <v>132.90442185510008</v>
          </cell>
          <cell r="E15">
            <v>110.64570333374408</v>
          </cell>
          <cell r="F15">
            <v>208.30121767147438</v>
          </cell>
          <cell r="G15">
            <v>224.3025928378847</v>
          </cell>
          <cell r="H15">
            <v>269.46603873418627</v>
          </cell>
          <cell r="I15">
            <v>319.37984567848696</v>
          </cell>
        </row>
        <row r="16">
          <cell r="D16">
            <v>3.9586911939234826</v>
          </cell>
          <cell r="E16">
            <v>16.28069190769726</v>
          </cell>
          <cell r="F16">
            <v>24.022301357339789</v>
          </cell>
          <cell r="G16">
            <v>22.581722948150762</v>
          </cell>
          <cell r="H16">
            <v>24.956903472150337</v>
          </cell>
          <cell r="I16">
            <v>26.065795520280812</v>
          </cell>
        </row>
      </sheetData>
      <sheetData sheetId="5"/>
      <sheetData sheetId="6">
        <row r="31">
          <cell r="L31">
            <v>267.96846854958397</v>
          </cell>
          <cell r="M31">
            <v>742.22833278392261</v>
          </cell>
          <cell r="N31">
            <v>738.03635486696669</v>
          </cell>
          <cell r="O31">
            <v>788.06514492184465</v>
          </cell>
          <cell r="P31">
            <v>853.87911418745466</v>
          </cell>
          <cell r="Q31">
            <v>946.18981117615272</v>
          </cell>
        </row>
        <row r="32">
          <cell r="L32">
            <v>291.0791651895899</v>
          </cell>
          <cell r="M32">
            <v>806.24113969897428</v>
          </cell>
          <cell r="N32">
            <v>801.68762846250229</v>
          </cell>
          <cell r="O32">
            <v>856.03110597476245</v>
          </cell>
          <cell r="P32">
            <v>927.52114110963259</v>
          </cell>
          <cell r="Q32">
            <v>1027.7930901302598</v>
          </cell>
        </row>
        <row r="33">
          <cell r="L33">
            <v>6.4206895834463467</v>
          </cell>
          <cell r="M33">
            <v>17.784248089482467</v>
          </cell>
          <cell r="N33">
            <v>17.683805716202063</v>
          </cell>
          <cell r="O33">
            <v>18.882526345223912</v>
          </cell>
          <cell r="P33">
            <v>20.459469592301389</v>
          </cell>
          <cell r="Q33">
            <v>22.671290758441071</v>
          </cell>
        </row>
        <row r="34">
          <cell r="L34">
            <v>1.7449266919820097</v>
          </cell>
          <cell r="M34">
            <v>4.8331583056396994</v>
          </cell>
          <cell r="N34">
            <v>4.8058614591148556</v>
          </cell>
          <cell r="O34">
            <v>5.1316332620692302</v>
          </cell>
          <cell r="P34">
            <v>5.5601932053283631</v>
          </cell>
          <cell r="Q34">
            <v>6.1612915360494558</v>
          </cell>
        </row>
        <row r="35">
          <cell r="L35">
            <v>7.6802274041529364</v>
          </cell>
          <cell r="M35">
            <v>21.272959510648658</v>
          </cell>
          <cell r="N35">
            <v>21.152813495523556</v>
          </cell>
          <cell r="O35">
            <v>22.586685497165387</v>
          </cell>
          <cell r="P35">
            <v>24.472975526233814</v>
          </cell>
          <cell r="Q35">
            <v>27.118686600176353</v>
          </cell>
        </row>
        <row r="36">
          <cell r="L36">
            <v>5.1981079519686135</v>
          </cell>
          <cell r="M36">
            <v>14.397899199497086</v>
          </cell>
          <cell r="N36">
            <v>14.316582342097599</v>
          </cell>
          <cell r="O36">
            <v>15.287051191732084</v>
          </cell>
          <cell r="P36">
            <v>16.563724222861055</v>
          </cell>
          <cell r="Q36">
            <v>18.354386275997086</v>
          </cell>
        </row>
        <row r="37">
          <cell r="L37">
            <v>16.435186335059537</v>
          </cell>
          <cell r="M37">
            <v>45.522747577322328</v>
          </cell>
          <cell r="N37">
            <v>45.265642931576011</v>
          </cell>
          <cell r="O37">
            <v>48.334035608968009</v>
          </cell>
          <cell r="P37">
            <v>52.370573393375409</v>
          </cell>
          <cell r="Q37">
            <v>58.032222743167267</v>
          </cell>
        </row>
        <row r="107">
          <cell r="D107">
            <v>0</v>
          </cell>
          <cell r="E107">
            <v>1.5895540527272697E-2</v>
          </cell>
          <cell r="F107">
            <v>1.5895540527272697E-2</v>
          </cell>
          <cell r="G107">
            <v>1.5895540527272697E-2</v>
          </cell>
          <cell r="H107">
            <v>1.5895540527272725E-2</v>
          </cell>
          <cell r="I107">
            <v>1.5895540527272684E-2</v>
          </cell>
        </row>
        <row r="108">
          <cell r="D108">
            <v>11.306287254531147</v>
          </cell>
          <cell r="E108">
            <v>11.342877923644831</v>
          </cell>
          <cell r="F108">
            <v>10.23654572541105</v>
          </cell>
          <cell r="G108">
            <v>10.422149788716524</v>
          </cell>
          <cell r="H108">
            <v>10.800710371051292</v>
          </cell>
          <cell r="I108">
            <v>11.148343188820114</v>
          </cell>
        </row>
        <row r="109">
          <cell r="D109">
            <v>3.5483729281294676</v>
          </cell>
          <cell r="E109">
            <v>9.0458702418991681</v>
          </cell>
          <cell r="F109">
            <v>10.370454629066565</v>
          </cell>
          <cell r="G109">
            <v>17.431315204807351</v>
          </cell>
          <cell r="H109">
            <v>24.799373602183103</v>
          </cell>
          <cell r="I109">
            <v>33.078251812423815</v>
          </cell>
        </row>
        <row r="113">
          <cell r="D113">
            <v>1.4735165914999989E-2</v>
          </cell>
          <cell r="E113">
            <v>2.7989252740274317E-2</v>
          </cell>
          <cell r="F113">
            <v>2.627546970227004E-2</v>
          </cell>
          <cell r="G113">
            <v>3.6382629322670071E-2</v>
          </cell>
          <cell r="H113">
            <v>3.4604289936735644E-2</v>
          </cell>
          <cell r="I113">
            <v>4.8365327756221682E-2</v>
          </cell>
        </row>
        <row r="114">
          <cell r="D114">
            <v>66.806795378813021</v>
          </cell>
          <cell r="E114">
            <v>91.293048568460392</v>
          </cell>
          <cell r="F114">
            <v>90.714423337234578</v>
          </cell>
          <cell r="G114">
            <v>108.83758466143078</v>
          </cell>
          <cell r="H114">
            <v>116.09499467240755</v>
          </cell>
          <cell r="I114">
            <v>135.19324689359996</v>
          </cell>
        </row>
        <row r="115">
          <cell r="D115">
            <v>110.14870640701109</v>
          </cell>
          <cell r="E115">
            <v>125.41079736457057</v>
          </cell>
          <cell r="F115">
            <v>145.2029222646145</v>
          </cell>
          <cell r="G115">
            <v>164.96117662543452</v>
          </cell>
          <cell r="H115">
            <v>187.03842251922646</v>
          </cell>
          <cell r="I115">
            <v>210.89803878784255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13.263001839255107</v>
          </cell>
          <cell r="E119">
            <v>42.96057658514821</v>
          </cell>
          <cell r="F119">
            <v>37.145307335007331</v>
          </cell>
          <cell r="G119">
            <v>35.844085182818546</v>
          </cell>
          <cell r="H119">
            <v>33.973992376914794</v>
          </cell>
          <cell r="I119">
            <v>36.066859418213774</v>
          </cell>
        </row>
        <row r="122">
          <cell r="D122">
            <v>18.997854062876048</v>
          </cell>
          <cell r="E122">
            <v>13.689764202476013</v>
          </cell>
          <cell r="F122">
            <v>18.224619086051494</v>
          </cell>
          <cell r="G122">
            <v>22.307355425749666</v>
          </cell>
          <cell r="H122">
            <v>26.73437659047655</v>
          </cell>
          <cell r="I122">
            <v>31.569543015838459</v>
          </cell>
        </row>
        <row r="123">
          <cell r="D123">
            <v>61.75886061170911</v>
          </cell>
          <cell r="E123">
            <v>45.176825052863343</v>
          </cell>
          <cell r="F123">
            <v>58.460407931500647</v>
          </cell>
          <cell r="G123">
            <v>70.290227247986792</v>
          </cell>
          <cell r="H123">
            <v>84.043376370620749</v>
          </cell>
          <cell r="I123">
            <v>98.493101566491077</v>
          </cell>
        </row>
        <row r="124">
          <cell r="D124">
            <v>75.031709074205565</v>
          </cell>
          <cell r="E124">
            <v>66.611765174359221</v>
          </cell>
          <cell r="F124">
            <v>83.364628223145019</v>
          </cell>
          <cell r="G124">
            <v>98.098720064456899</v>
          </cell>
          <cell r="H124">
            <v>114.36439152351269</v>
          </cell>
          <cell r="I124">
            <v>132.28692657278401</v>
          </cell>
        </row>
        <row r="126">
          <cell r="D126">
            <v>-7.6104599999959888E-4</v>
          </cell>
          <cell r="E126">
            <v>1.0336502999996888E-3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D127">
            <v>0.10526232499999999</v>
          </cell>
          <cell r="E127">
            <v>0.14765451232999771</v>
          </cell>
          <cell r="F127">
            <v>0.14615513867000285</v>
          </cell>
          <cell r="G127">
            <v>0.13990812320999702</v>
          </cell>
          <cell r="H127">
            <v>0.14114734381000016</v>
          </cell>
          <cell r="I127">
            <v>0.10244127958000249</v>
          </cell>
        </row>
        <row r="128">
          <cell r="D128">
            <v>8.1133707841392013</v>
          </cell>
          <cell r="E128">
            <v>8.4531031284137441</v>
          </cell>
          <cell r="F128">
            <v>5.8576038344544479</v>
          </cell>
          <cell r="G128">
            <v>3.9506010485142973</v>
          </cell>
          <cell r="H128">
            <v>3.8956900604473117</v>
          </cell>
          <cell r="I128">
            <v>2.8404998736158493</v>
          </cell>
        </row>
      </sheetData>
      <sheetData sheetId="7">
        <row r="4">
          <cell r="D4">
            <v>2847.9518968950015</v>
          </cell>
          <cell r="E4">
            <v>2873.006537839563</v>
          </cell>
          <cell r="F4">
            <v>3614.519035206798</v>
          </cell>
          <cell r="G4">
            <v>4289.319036857949</v>
          </cell>
          <cell r="H4">
            <v>4968.8378245666991</v>
          </cell>
          <cell r="I4">
            <v>5679.3091059434782</v>
          </cell>
        </row>
        <row r="5">
          <cell r="D5">
            <v>356.73372877933741</v>
          </cell>
          <cell r="E5">
            <v>1111.0810388741152</v>
          </cell>
          <cell r="F5">
            <v>1095.6104169554872</v>
          </cell>
          <cell r="G5">
            <v>1171.1765121013241</v>
          </cell>
          <cell r="H5">
            <v>1271.9371434278901</v>
          </cell>
          <cell r="I5">
            <v>1416.7463844151825</v>
          </cell>
        </row>
        <row r="6">
          <cell r="D6">
            <v>369.09419478558482</v>
          </cell>
          <cell r="E6">
            <v>414.17720119773298</v>
          </cell>
          <cell r="F6">
            <v>459.76523851538525</v>
          </cell>
          <cell r="G6">
            <v>532.33540154297532</v>
          </cell>
          <cell r="H6">
            <v>601.93697526111441</v>
          </cell>
          <cell r="I6">
            <v>691.74151327749337</v>
          </cell>
        </row>
        <row r="8">
          <cell r="D8">
            <v>2873.006537839563</v>
          </cell>
          <cell r="E8">
            <v>3614.519035206798</v>
          </cell>
          <cell r="F8">
            <v>4289.319036857949</v>
          </cell>
          <cell r="G8">
            <v>4968.8378245666991</v>
          </cell>
          <cell r="H8">
            <v>5679.3091059434782</v>
          </cell>
          <cell r="I8">
            <v>6464.2421495046547</v>
          </cell>
        </row>
        <row r="12">
          <cell r="D12">
            <v>0.10742306996877957</v>
          </cell>
          <cell r="E12">
            <v>0.10752367764146818</v>
          </cell>
          <cell r="F12">
            <v>0.10752367764146818</v>
          </cell>
          <cell r="G12">
            <v>0.10690721302570755</v>
          </cell>
          <cell r="H12">
            <v>0.10638550843611919</v>
          </cell>
          <cell r="I12">
            <v>0.10573238784547417</v>
          </cell>
        </row>
        <row r="13">
          <cell r="D13">
            <v>307.28145911148539</v>
          </cell>
          <cell r="E13">
            <v>348.78130420350908</v>
          </cell>
          <cell r="F13">
            <v>424.92486849552665</v>
          </cell>
          <cell r="G13">
            <v>494.88187390487042</v>
          </cell>
          <cell r="H13">
            <v>566.40426255241357</v>
          </cell>
          <cell r="I13">
            <v>641.9833355812184</v>
          </cell>
        </row>
      </sheetData>
      <sheetData sheetId="8">
        <row r="29">
          <cell r="F29">
            <v>50.599899999999998</v>
          </cell>
          <cell r="I29">
            <v>0</v>
          </cell>
          <cell r="J29">
            <v>0</v>
          </cell>
          <cell r="K29">
            <v>0</v>
          </cell>
        </row>
      </sheetData>
      <sheetData sheetId="9">
        <row r="9">
          <cell r="E9">
            <v>1758.7078999999999</v>
          </cell>
          <cell r="F9">
            <v>1881.8174529999999</v>
          </cell>
          <cell r="G9">
            <v>2013.54467471</v>
          </cell>
          <cell r="H9">
            <v>2557.2017368817001</v>
          </cell>
          <cell r="I9">
            <v>2736.2058584634192</v>
          </cell>
          <cell r="J9">
            <v>2927.7402685558586</v>
          </cell>
        </row>
        <row r="10">
          <cell r="E10">
            <v>153.02420000000001</v>
          </cell>
          <cell r="F10">
            <v>163.73589400000003</v>
          </cell>
          <cell r="G10">
            <v>175.19740658000003</v>
          </cell>
          <cell r="H10">
            <v>222.50070635660003</v>
          </cell>
          <cell r="I10">
            <v>238.07575580156205</v>
          </cell>
          <cell r="J10">
            <v>254.74105870767141</v>
          </cell>
        </row>
        <row r="11">
          <cell r="E11">
            <v>103.34829999999999</v>
          </cell>
          <cell r="F11">
            <v>110.58268099999999</v>
          </cell>
          <cell r="G11">
            <v>118.32346867</v>
          </cell>
          <cell r="H11">
            <v>150.27080521089999</v>
          </cell>
          <cell r="I11">
            <v>160.78976157566299</v>
          </cell>
          <cell r="J11">
            <v>172.04504488595941</v>
          </cell>
        </row>
        <row r="12">
          <cell r="E12">
            <v>8.235199999999999</v>
          </cell>
          <cell r="F12">
            <v>8.8116639999999986</v>
          </cell>
          <cell r="G12">
            <v>9.4284804799999993</v>
          </cell>
          <cell r="H12">
            <v>11.974170209599999</v>
          </cell>
          <cell r="I12">
            <v>12.812362124271999</v>
          </cell>
          <cell r="J12">
            <v>13.70922747297104</v>
          </cell>
        </row>
        <row r="13">
          <cell r="E13">
            <v>329.57769999999994</v>
          </cell>
          <cell r="F13">
            <v>355.94391599999994</v>
          </cell>
          <cell r="G13">
            <v>384.41942927999997</v>
          </cell>
          <cell r="H13">
            <v>492.05686947839996</v>
          </cell>
          <cell r="I13">
            <v>531.42141903667198</v>
          </cell>
          <cell r="J13">
            <v>573.93513255960579</v>
          </cell>
        </row>
        <row r="14">
          <cell r="E14">
            <v>1.7628999999999999</v>
          </cell>
          <cell r="F14">
            <v>1.8863030000000001</v>
          </cell>
          <cell r="G14">
            <v>2.01834421</v>
          </cell>
          <cell r="H14">
            <v>2.5632971467000001</v>
          </cell>
          <cell r="I14">
            <v>2.7427279469690005</v>
          </cell>
          <cell r="J14">
            <v>2.9347189032568308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34.359200000000001</v>
          </cell>
          <cell r="F16">
            <v>36.764344000000001</v>
          </cell>
          <cell r="G16">
            <v>39.337848080000001</v>
          </cell>
          <cell r="H16">
            <v>49.959067061600003</v>
          </cell>
          <cell r="I16">
            <v>53.456201755912005</v>
          </cell>
          <cell r="J16">
            <v>57.198135878825852</v>
          </cell>
        </row>
      </sheetData>
      <sheetData sheetId="10"/>
      <sheetData sheetId="11">
        <row r="133">
          <cell r="B133">
            <v>550.80240000000003</v>
          </cell>
          <cell r="F133">
            <v>2063.8743717057832</v>
          </cell>
          <cell r="I133">
            <v>596.52677170578318</v>
          </cell>
          <cell r="J133">
            <v>2018.15</v>
          </cell>
        </row>
        <row r="160">
          <cell r="B160">
            <v>2018.15</v>
          </cell>
          <cell r="F160">
            <v>1426.9719457161941</v>
          </cell>
          <cell r="I160">
            <v>1652.2804851654869</v>
          </cell>
          <cell r="J160">
            <v>1792.8414605507073</v>
          </cell>
        </row>
        <row r="187">
          <cell r="B187">
            <v>1792.8414605507073</v>
          </cell>
          <cell r="F187">
            <v>1632.8230291781974</v>
          </cell>
          <cell r="I187">
            <v>1642.9486892739828</v>
          </cell>
          <cell r="J187">
            <v>1782.7158004549219</v>
          </cell>
        </row>
        <row r="214">
          <cell r="B214">
            <v>1782.7158004549219</v>
          </cell>
          <cell r="F214">
            <v>1875.1619785312446</v>
          </cell>
          <cell r="I214">
            <v>1754.3181828017655</v>
          </cell>
          <cell r="J214">
            <v>1903.559596184401</v>
          </cell>
        </row>
        <row r="241">
          <cell r="B241">
            <v>1903.559596184401</v>
          </cell>
          <cell r="F241">
            <v>2059.7998517663641</v>
          </cell>
          <cell r="I241">
            <v>1900.827191237187</v>
          </cell>
          <cell r="J241">
            <v>2062.5322567135781</v>
          </cell>
        </row>
        <row r="268">
          <cell r="B268">
            <v>2062.5322567135781</v>
          </cell>
          <cell r="F268">
            <v>2329.2958901176221</v>
          </cell>
          <cell r="I268">
            <v>2106.3207792202434</v>
          </cell>
          <cell r="J268">
            <v>2285.5073676109564</v>
          </cell>
        </row>
      </sheetData>
      <sheetData sheetId="12">
        <row r="31">
          <cell r="N31">
            <v>1.7491999999999999</v>
          </cell>
          <cell r="S31">
            <v>0</v>
          </cell>
        </row>
        <row r="32">
          <cell r="N32">
            <v>341.94459999999998</v>
          </cell>
          <cell r="S32">
            <v>78.059200000000004</v>
          </cell>
        </row>
        <row r="33">
          <cell r="N33">
            <v>34.928000000000004</v>
          </cell>
          <cell r="S33">
            <v>26.656500000000001</v>
          </cell>
        </row>
        <row r="36">
          <cell r="N36">
            <v>4414.5418</v>
          </cell>
          <cell r="S36">
            <v>2354.5956999999999</v>
          </cell>
        </row>
        <row r="40">
          <cell r="N40">
            <v>3985.8580999999999</v>
          </cell>
          <cell r="S40">
            <v>1981.7214000000001</v>
          </cell>
        </row>
        <row r="44">
          <cell r="N44">
            <v>713.13520000000005</v>
          </cell>
          <cell r="S44">
            <v>420.73500000000001</v>
          </cell>
        </row>
        <row r="48">
          <cell r="N48">
            <v>2.7250999999999999</v>
          </cell>
          <cell r="S48">
            <v>2.4511000000000003</v>
          </cell>
        </row>
        <row r="49">
          <cell r="N49">
            <v>5.2044000000000006</v>
          </cell>
          <cell r="S49">
            <v>3.8420999999999998</v>
          </cell>
        </row>
        <row r="50">
          <cell r="N50">
            <v>18.785799999999998</v>
          </cell>
          <cell r="S50">
            <v>8.952300000000001</v>
          </cell>
        </row>
        <row r="51">
          <cell r="N51">
            <v>82.648399999999995</v>
          </cell>
          <cell r="S51">
            <v>63.527200000000001</v>
          </cell>
        </row>
        <row r="52">
          <cell r="N52">
            <v>1.0737000000000001</v>
          </cell>
          <cell r="S52">
            <v>0.80980000000000008</v>
          </cell>
        </row>
      </sheetData>
      <sheetData sheetId="13">
        <row r="6">
          <cell r="I6">
            <v>140.714603377</v>
          </cell>
          <cell r="J6">
            <v>143.52889544454001</v>
          </cell>
          <cell r="K6">
            <v>146.39947335343081</v>
          </cell>
          <cell r="L6">
            <v>149.32746282049942</v>
          </cell>
          <cell r="M6">
            <v>152.31401207690942</v>
          </cell>
          <cell r="N6">
            <v>155.36029231844762</v>
          </cell>
        </row>
        <row r="7">
          <cell r="I7">
            <v>-2.1514000000000002</v>
          </cell>
          <cell r="J7">
            <v>0.83969579748000001</v>
          </cell>
          <cell r="K7">
            <v>0.85648971342960001</v>
          </cell>
          <cell r="L7">
            <v>0.87361950769819208</v>
          </cell>
          <cell r="M7">
            <v>0.89109189785215592</v>
          </cell>
          <cell r="N7">
            <v>0.9089137358091991</v>
          </cell>
        </row>
        <row r="8">
          <cell r="I8">
            <v>6.5406405000000003</v>
          </cell>
          <cell r="J8">
            <v>6.6714533100000004</v>
          </cell>
          <cell r="K8">
            <v>6.8048823762000001</v>
          </cell>
          <cell r="L8">
            <v>6.9409800237240002</v>
          </cell>
          <cell r="M8">
            <v>7.07979962419848</v>
          </cell>
          <cell r="N8">
            <v>7.2213956166824493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I10">
            <v>3.8972269000000002</v>
          </cell>
          <cell r="J10">
            <v>3.9751714380000003</v>
          </cell>
          <cell r="K10">
            <v>4.0546748667600001</v>
          </cell>
          <cell r="L10">
            <v>4.1357683640951999</v>
          </cell>
          <cell r="M10">
            <v>4.2184837313771038</v>
          </cell>
          <cell r="N10">
            <v>4.3028534060046457</v>
          </cell>
        </row>
        <row r="11">
          <cell r="I11">
            <v>5.7372583879999999</v>
          </cell>
          <cell r="J11">
            <v>5.8520035557599996</v>
          </cell>
          <cell r="K11">
            <v>5.9690436268751998</v>
          </cell>
          <cell r="L11">
            <v>6.0884244994127039</v>
          </cell>
          <cell r="M11">
            <v>6.2101929894009578</v>
          </cell>
          <cell r="N11">
            <v>6.3343968491889768</v>
          </cell>
        </row>
        <row r="12">
          <cell r="I12">
            <v>10.742023833000047</v>
          </cell>
          <cell r="J12">
            <v>10.956864309660048</v>
          </cell>
          <cell r="K12">
            <v>11.176001595853249</v>
          </cell>
          <cell r="L12">
            <v>11.399521627770314</v>
          </cell>
          <cell r="M12">
            <v>11.627512060325721</v>
          </cell>
          <cell r="N12">
            <v>11.860062301532235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J14">
            <v>171.82408385544005</v>
          </cell>
          <cell r="K14">
            <v>175.26056553254884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Sales &amp; Revenue"/>
      <sheetName val="FSA Approved"/>
      <sheetName val="Tables for DB Trueup 1st &amp; 2nd"/>
      <sheetName val="Other Expenses"/>
      <sheetName val="RRB"/>
      <sheetName val="Distribution Cost"/>
      <sheetName val="Capex Loans interest"/>
      <sheetName val="Capex loans"/>
      <sheetName val="Assets &amp; Depreciation (2)"/>
      <sheetName val="Assets &amp; Depreciation"/>
      <sheetName val="O&amp;M Cost"/>
      <sheetName val="Tables for DB Trueup 3rd cp"/>
      <sheetName val="PP Cost"/>
      <sheetName val="Interest &amp; Finance Charges"/>
      <sheetName val="Debt &amp; Equity"/>
      <sheetName val="CC&amp;Grants"/>
      <sheetName val="Addl. Subsidy"/>
      <sheetName val="Check with Annual Accounts"/>
      <sheetName val="Rev. from Sales of Power -12-13"/>
      <sheetName val="Sheet1"/>
      <sheetName val="Avg. Realisation for JAICA"/>
      <sheetName val="ISD"/>
      <sheetName val="Sheet2"/>
      <sheetName val="Sheet3"/>
      <sheetName val="Tables for DB Trueup 4th CP"/>
      <sheetName val="RRB (R)"/>
      <sheetName val="DB ARR (R)"/>
      <sheetName val="Tables for DB Trueup 4th CP (2"/>
      <sheetName val="Sheet4"/>
      <sheetName val="Sheet5"/>
      <sheetName val="Sheet6"/>
      <sheetName val="Sheet7"/>
      <sheetName val="Sheet8"/>
      <sheetName val="Sheet9"/>
    </sheetNames>
    <sheetDataSet>
      <sheetData sheetId="0">
        <row r="36">
          <cell r="T36">
            <v>503.38513469899999</v>
          </cell>
        </row>
        <row r="38">
          <cell r="T38">
            <v>547.85033098500026</v>
          </cell>
        </row>
        <row r="39">
          <cell r="T39">
            <v>595.2675962860003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as per Comp 13"/>
      <sheetName val="BS20072022"/>
      <sheetName val="BSSAP20062023"/>
      <sheetName val="BSGLINRS21062023"/>
      <sheetName val="BSSAPINLAKHS200623"/>
      <sheetName val="BSSAP22062023"/>
      <sheetName val="BSGL29062023"/>
      <sheetName val="BSSAP1290623"/>
      <sheetName val="BSSAP04072023"/>
      <sheetName val="BSSAP06072023 4 pm"/>
      <sheetName val="BS "/>
      <sheetName val="P &amp; L"/>
      <sheetName val="Cash Flow"/>
      <sheetName val="Notes 1-12"/>
      <sheetName val="Loans Note 5.2"/>
      <sheetName val="Loans Note 5.3"/>
      <sheetName val="Loans Note 5.4 "/>
      <sheetName val="Loans Note 5.4 (2)"/>
      <sheetName val="Note No.5.5 "/>
      <sheetName val="Loan Note.9.2 and 3"/>
      <sheetName val="Notes 14 - 26"/>
      <sheetName val="Actuiry&lt;1.2.99"/>
      <sheetName val="Actuiry&gt;1.2.99"/>
      <sheetName val="Notes 27-30"/>
      <sheetName val="Other Disclosures"/>
      <sheetName val="Ave Rea 2022-23"/>
      <sheetName val="Genral Notes"/>
      <sheetName val="Sheet5"/>
      <sheetName val="Analasis"/>
      <sheetName val="Def.Tax2022.23 as per Auditors "/>
      <sheetName val="Dep. I.T.Act2022-23"/>
      <sheetName val="Income statement20-21"/>
      <sheetName val="Sheet1"/>
      <sheetName val="Sheet2"/>
      <sheetName val="Sheet3"/>
      <sheetName val="Sheet4"/>
      <sheetName val="General Notes"/>
      <sheetName val="Loans Shedule"/>
      <sheetName val="Repayment Shedule"/>
      <sheetName val="Sheet11"/>
      <sheetName val="Realted Party Disclosures"/>
      <sheetName val="Payment to Auditors"/>
      <sheetName val="MAT112-13"/>
      <sheetName val="Weoghted avg cal"/>
      <sheetName val="Cash loss"/>
      <sheetName val="Sheet6"/>
    </sheetNames>
    <sheetDataSet>
      <sheetData sheetId="0">
        <row r="8">
          <cell r="D8">
            <v>174.8894933</v>
          </cell>
          <cell r="E8">
            <v>3.2230000000000002E-2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D9">
            <v>32656.351383500001</v>
          </cell>
          <cell r="E9">
            <v>1538.4848101</v>
          </cell>
          <cell r="F9">
            <v>0.37856230000000002</v>
          </cell>
          <cell r="H9">
            <v>6709.8704776000004</v>
          </cell>
          <cell r="I9">
            <v>1096.1439117</v>
          </cell>
          <cell r="J9">
            <v>9.2948199999999995E-2</v>
          </cell>
        </row>
        <row r="11">
          <cell r="D11">
            <v>420541.22374630003</v>
          </cell>
          <cell r="E11">
            <v>21159.163456900002</v>
          </cell>
          <cell r="F11">
            <v>246.20462149999997</v>
          </cell>
          <cell r="H11">
            <v>219062.24179969999</v>
          </cell>
          <cell r="I11">
            <v>16576.78</v>
          </cell>
          <cell r="J11">
            <v>179.4557945</v>
          </cell>
        </row>
        <row r="12">
          <cell r="D12">
            <v>370219.65184499993</v>
          </cell>
          <cell r="E12">
            <v>28401.312289099998</v>
          </cell>
          <cell r="F12">
            <v>35.153765800000002</v>
          </cell>
          <cell r="H12">
            <v>184227.99597259998</v>
          </cell>
          <cell r="I12">
            <v>13947.77</v>
          </cell>
          <cell r="J12">
            <v>3.6279699999999999</v>
          </cell>
        </row>
        <row r="13">
          <cell r="D13">
            <v>68093.775130099995</v>
          </cell>
          <cell r="E13">
            <v>4329.8792101999998</v>
          </cell>
          <cell r="F13">
            <v>1110.1317194000001</v>
          </cell>
          <cell r="H13">
            <v>40818.498488600002</v>
          </cell>
          <cell r="I13">
            <v>2145.1806036000003</v>
          </cell>
          <cell r="J13">
            <v>890.17618000000004</v>
          </cell>
        </row>
        <row r="15">
          <cell r="D15">
            <v>1686.5991294999999</v>
          </cell>
          <cell r="E15">
            <v>191.98248000000001</v>
          </cell>
          <cell r="F15">
            <v>0</v>
          </cell>
          <cell r="H15">
            <v>796.17495000000008</v>
          </cell>
          <cell r="I15">
            <v>99.059780600000011</v>
          </cell>
          <cell r="J15">
            <v>0</v>
          </cell>
        </row>
        <row r="16">
          <cell r="D16">
            <v>105.16267999999999</v>
          </cell>
          <cell r="E16">
            <v>2.206</v>
          </cell>
          <cell r="F16">
            <v>0</v>
          </cell>
          <cell r="H16">
            <v>79.064389999999989</v>
          </cell>
          <cell r="I16">
            <v>1.92</v>
          </cell>
          <cell r="J16">
            <v>0</v>
          </cell>
        </row>
        <row r="17">
          <cell r="D17">
            <v>512.54625450000003</v>
          </cell>
          <cell r="E17">
            <v>7.8891299999999998</v>
          </cell>
          <cell r="F17">
            <v>0</v>
          </cell>
          <cell r="H17">
            <v>374.44824999999997</v>
          </cell>
          <cell r="I17">
            <v>9.76</v>
          </cell>
          <cell r="J17">
            <v>0</v>
          </cell>
        </row>
        <row r="18">
          <cell r="D18">
            <v>280.30211039999995</v>
          </cell>
          <cell r="E18">
            <v>0</v>
          </cell>
          <cell r="F18">
            <v>7.78775</v>
          </cell>
          <cell r="H18">
            <v>249.74601000000001</v>
          </cell>
          <cell r="I18">
            <v>2.37</v>
          </cell>
          <cell r="J18">
            <v>7.0089800000000002</v>
          </cell>
        </row>
        <row r="19">
          <cell r="D19">
            <v>7778.9663676999999</v>
          </cell>
          <cell r="E19">
            <v>487.35</v>
          </cell>
          <cell r="F19">
            <v>1.4739599999999999</v>
          </cell>
          <cell r="H19">
            <v>5586.2980799999996</v>
          </cell>
          <cell r="I19">
            <v>767.9</v>
          </cell>
          <cell r="J19">
            <v>1.4739599999999999</v>
          </cell>
        </row>
        <row r="22">
          <cell r="D22">
            <v>3424.9367200000002</v>
          </cell>
          <cell r="E22">
            <v>67.863871200000006</v>
          </cell>
          <cell r="F22">
            <v>0</v>
          </cell>
          <cell r="H22">
            <v>2424.02036</v>
          </cell>
          <cell r="I22">
            <v>241.62624399999999</v>
          </cell>
          <cell r="J2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est cost"/>
      <sheetName val="RoE"/>
      <sheetName val="Index"/>
      <sheetName val="Dist ARR"/>
      <sheetName val="Capex Summary 5th MYT"/>
      <sheetName val="CC 5TH MYT"/>
      <sheetName val="Investment for 5th MYT"/>
      <sheetName val="GFA &amp; Dep-MYT 5th Control"/>
      <sheetName val="Voltage wise FA from SAP"/>
      <sheetName val="Int on Working cap"/>
      <sheetName val="NTI Proj"/>
      <sheetName val="Int cost 5th MYT (2)"/>
      <sheetName val="Existing Loans Details"/>
      <sheetName val="Working for O&amp;M"/>
      <sheetName val="For Wheeling"/>
      <sheetName val="Sheet3 (2)"/>
      <sheetName val="Status"/>
      <sheetName val="Existing loans Repayment &amp;Int"/>
      <sheetName val="Load for Wheeling 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NTI"/>
      <sheetName val="Form 10"/>
      <sheetName val="Sheet1"/>
      <sheetName val="Sheet2"/>
      <sheetName val="Sheet3"/>
    </sheetNames>
    <sheetDataSet>
      <sheetData sheetId="0" refreshError="1">
        <row r="5">
          <cell r="D5">
            <v>1457.2456772747546</v>
          </cell>
          <cell r="G5">
            <v>1237.2692931243869</v>
          </cell>
          <cell r="H5">
            <v>1385.1745417187285</v>
          </cell>
          <cell r="I5">
            <v>1586.6924854150175</v>
          </cell>
        </row>
        <row r="15">
          <cell r="G15">
            <v>520.96470242406485</v>
          </cell>
          <cell r="H15">
            <v>585.34886255192305</v>
          </cell>
          <cell r="I15">
            <v>669.90339569037769</v>
          </cell>
        </row>
        <row r="29">
          <cell r="G29">
            <v>480.21141876553202</v>
          </cell>
          <cell r="H29">
            <v>556.47469115506374</v>
          </cell>
          <cell r="I29">
            <v>642.82258771103363</v>
          </cell>
        </row>
      </sheetData>
      <sheetData sheetId="1" refreshError="1">
        <row r="10">
          <cell r="D10">
            <v>0.14000000000000001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F1"/>
      <sheetName val="Int on Working cap"/>
      <sheetName val="Gross Fixed Assets"/>
      <sheetName val="Aggregate Losses"/>
    </sheetNames>
    <sheetDataSet>
      <sheetData sheetId="0"/>
      <sheetData sheetId="1">
        <row r="51">
          <cell r="L51">
            <v>291.94017173940858</v>
          </cell>
          <cell r="N51">
            <v>391.83088416858629</v>
          </cell>
          <cell r="O51">
            <v>421.2683027094476</v>
          </cell>
          <cell r="P51">
            <v>452.76356072975051</v>
          </cell>
        </row>
        <row r="52">
          <cell r="N52">
            <v>64.510271313819672</v>
          </cell>
          <cell r="O52">
            <v>79.033300309158108</v>
          </cell>
          <cell r="P52">
            <v>95.558905976621844</v>
          </cell>
        </row>
        <row r="53">
          <cell r="N53">
            <v>56.084153166087745</v>
          </cell>
          <cell r="O53">
            <v>68.503225759357392</v>
          </cell>
          <cell r="P53">
            <v>80.15005972141455</v>
          </cell>
        </row>
        <row r="54">
          <cell r="N54">
            <v>12.154252237671599</v>
          </cell>
          <cell r="O54">
            <v>25.330347382287684</v>
          </cell>
          <cell r="P54">
            <v>37.290751917263925</v>
          </cell>
        </row>
        <row r="55">
          <cell r="N55">
            <v>22.244890926740194</v>
          </cell>
          <cell r="O55">
            <v>30.025917018560872</v>
          </cell>
          <cell r="P55">
            <v>38.020278342051192</v>
          </cell>
        </row>
      </sheetData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)"/>
      <sheetName val="F27"/>
      <sheetName val="F28"/>
      <sheetName val="F29"/>
    </sheetNames>
    <sheetDataSet>
      <sheetData sheetId="0">
        <row r="7">
          <cell r="C7">
            <v>1504.86</v>
          </cell>
          <cell r="D7">
            <v>1725.96</v>
          </cell>
          <cell r="E7">
            <v>1854.98</v>
          </cell>
          <cell r="F7">
            <v>1725.96</v>
          </cell>
          <cell r="G7">
            <v>1879.7900000000002</v>
          </cell>
          <cell r="H7">
            <v>1673.2700000000002</v>
          </cell>
          <cell r="I7">
            <v>1466.7500000000002</v>
          </cell>
          <cell r="J7">
            <v>1260.2300000000002</v>
          </cell>
          <cell r="K7">
            <v>1053.7100000000003</v>
          </cell>
        </row>
        <row r="8">
          <cell r="C8">
            <v>428.12</v>
          </cell>
          <cell r="D8">
            <v>229.83</v>
          </cell>
          <cell r="E8">
            <v>128.07</v>
          </cell>
          <cell r="F8">
            <v>357.9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C9">
            <v>207.02</v>
          </cell>
          <cell r="D9">
            <v>100.81</v>
          </cell>
          <cell r="E9">
            <v>103.26</v>
          </cell>
          <cell r="F9">
            <v>204.07</v>
          </cell>
          <cell r="G9">
            <v>206.52</v>
          </cell>
          <cell r="H9">
            <v>206.52</v>
          </cell>
          <cell r="I9">
            <v>206.52</v>
          </cell>
          <cell r="J9">
            <v>206.52</v>
          </cell>
          <cell r="K9">
            <v>206.52</v>
          </cell>
        </row>
        <row r="12">
          <cell r="C12">
            <v>11.61</v>
          </cell>
        </row>
        <row r="13">
          <cell r="C13">
            <v>125.79</v>
          </cell>
          <cell r="D13">
            <v>93.87</v>
          </cell>
        </row>
        <row r="17">
          <cell r="C17">
            <v>147.65</v>
          </cell>
          <cell r="D17">
            <v>105.51</v>
          </cell>
          <cell r="E17">
            <v>98.89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>
            <v>42.14</v>
          </cell>
          <cell r="D19">
            <v>6.62</v>
          </cell>
          <cell r="E19">
            <v>6.8</v>
          </cell>
          <cell r="F19">
            <v>13.42</v>
          </cell>
          <cell r="G19">
            <v>13.4</v>
          </cell>
          <cell r="H19">
            <v>13.4</v>
          </cell>
          <cell r="I19">
            <v>13.4</v>
          </cell>
          <cell r="J19">
            <v>13.4</v>
          </cell>
          <cell r="K19">
            <v>13.4</v>
          </cell>
        </row>
        <row r="23">
          <cell r="C23">
            <v>29.04</v>
          </cell>
          <cell r="D23">
            <v>6.69</v>
          </cell>
        </row>
        <row r="27">
          <cell r="C27">
            <v>351.28</v>
          </cell>
          <cell r="D27">
            <v>351.28</v>
          </cell>
          <cell r="E27">
            <v>351.28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F29">
            <v>34.549999999999997</v>
          </cell>
          <cell r="G29">
            <v>11.52</v>
          </cell>
          <cell r="H29">
            <v>11.52</v>
          </cell>
          <cell r="I29">
            <v>11.52</v>
          </cell>
          <cell r="J29">
            <v>11.52</v>
          </cell>
          <cell r="K29">
            <v>11.52</v>
          </cell>
        </row>
        <row r="33">
          <cell r="C33">
            <v>2.85</v>
          </cell>
        </row>
        <row r="37">
          <cell r="C37">
            <v>6.07</v>
          </cell>
          <cell r="D37">
            <v>6.07</v>
          </cell>
          <cell r="E37">
            <v>6.07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3">
          <cell r="C43">
            <v>0.06</v>
          </cell>
          <cell r="D43">
            <v>0.03</v>
          </cell>
        </row>
        <row r="62">
          <cell r="C62">
            <v>54.8</v>
          </cell>
          <cell r="D62">
            <v>247.8</v>
          </cell>
          <cell r="E62">
            <v>247.8</v>
          </cell>
          <cell r="F62">
            <v>247.8</v>
          </cell>
          <cell r="G62">
            <v>218.22000000000003</v>
          </cell>
          <cell r="H62">
            <v>161.22000000000003</v>
          </cell>
          <cell r="I62">
            <v>104.22000000000003</v>
          </cell>
          <cell r="J62">
            <v>47.220000000000027</v>
          </cell>
          <cell r="K62">
            <v>11.720000000000027</v>
          </cell>
        </row>
        <row r="63">
          <cell r="C63">
            <v>200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7</v>
          </cell>
          <cell r="D64">
            <v>7.67</v>
          </cell>
          <cell r="E64">
            <v>21.91</v>
          </cell>
          <cell r="G64">
            <v>57</v>
          </cell>
          <cell r="H64">
            <v>57</v>
          </cell>
          <cell r="I64">
            <v>57</v>
          </cell>
          <cell r="J64">
            <v>35.5</v>
          </cell>
          <cell r="K64">
            <v>7</v>
          </cell>
        </row>
        <row r="68">
          <cell r="C68">
            <v>16.61</v>
          </cell>
          <cell r="D68">
            <v>14.34</v>
          </cell>
        </row>
        <row r="72">
          <cell r="C72">
            <v>1043.4100000000001</v>
          </cell>
          <cell r="D72">
            <v>654.66</v>
          </cell>
          <cell r="E72">
            <v>654.66</v>
          </cell>
          <cell r="F72">
            <v>654.66</v>
          </cell>
          <cell r="G72">
            <v>154.66</v>
          </cell>
          <cell r="H72">
            <v>154.659912109375</v>
          </cell>
          <cell r="I72">
            <v>0</v>
          </cell>
          <cell r="J72">
            <v>0</v>
          </cell>
          <cell r="K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C74">
            <v>388.75</v>
          </cell>
          <cell r="D74">
            <v>200</v>
          </cell>
          <cell r="E74">
            <v>300</v>
          </cell>
          <cell r="F74">
            <v>500</v>
          </cell>
          <cell r="G74">
            <v>154.66</v>
          </cell>
          <cell r="H74">
            <v>154.659912109375</v>
          </cell>
          <cell r="I74">
            <v>0</v>
          </cell>
          <cell r="J74">
            <v>0</v>
          </cell>
          <cell r="K74">
            <v>0</v>
          </cell>
        </row>
        <row r="78">
          <cell r="C78">
            <v>92.52</v>
          </cell>
          <cell r="D78">
            <v>33.75</v>
          </cell>
        </row>
        <row r="82">
          <cell r="C82">
            <v>2727.5</v>
          </cell>
          <cell r="D82">
            <v>2727.5</v>
          </cell>
          <cell r="E82">
            <v>2727.5</v>
          </cell>
          <cell r="F82">
            <v>2727.5</v>
          </cell>
          <cell r="G82">
            <v>2500.21</v>
          </cell>
          <cell r="H82">
            <v>2110.5700000000002</v>
          </cell>
          <cell r="I82">
            <v>1720.9300000000003</v>
          </cell>
          <cell r="J82">
            <v>1331.2900000000004</v>
          </cell>
          <cell r="K82">
            <v>941.65000000000043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C84">
            <v>0</v>
          </cell>
          <cell r="D84">
            <v>64.94</v>
          </cell>
          <cell r="E84">
            <v>162.35</v>
          </cell>
          <cell r="F84">
            <v>227.29</v>
          </cell>
          <cell r="G84">
            <v>389.64</v>
          </cell>
          <cell r="H84">
            <v>389.64</v>
          </cell>
          <cell r="I84">
            <v>389.64</v>
          </cell>
          <cell r="J84">
            <v>389.64</v>
          </cell>
          <cell r="K84">
            <v>389.64</v>
          </cell>
        </row>
        <row r="92">
          <cell r="C92">
            <v>0</v>
          </cell>
          <cell r="D92">
            <v>637.04999999999995</v>
          </cell>
          <cell r="E92">
            <v>1021.6099999999999</v>
          </cell>
          <cell r="F92">
            <v>637.04999999999995</v>
          </cell>
          <cell r="G92">
            <v>1506.6299999999999</v>
          </cell>
          <cell r="H92">
            <v>1779.84</v>
          </cell>
          <cell r="I92">
            <v>1643.03</v>
          </cell>
          <cell r="J92">
            <v>1493.78</v>
          </cell>
          <cell r="K92">
            <v>1344.53</v>
          </cell>
        </row>
        <row r="93">
          <cell r="C93">
            <v>637.04999999999995</v>
          </cell>
          <cell r="D93">
            <v>384.56</v>
          </cell>
          <cell r="E93">
            <v>485.02</v>
          </cell>
          <cell r="F93">
            <v>869.57999999999993</v>
          </cell>
          <cell r="G93">
            <v>273.20999999999998</v>
          </cell>
          <cell r="H93">
            <v>273.2099609375</v>
          </cell>
          <cell r="I93">
            <v>0</v>
          </cell>
          <cell r="J93">
            <v>0</v>
          </cell>
          <cell r="K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136.81</v>
          </cell>
          <cell r="I94">
            <v>149.25</v>
          </cell>
          <cell r="J94">
            <v>149.25</v>
          </cell>
          <cell r="K94">
            <v>149.25</v>
          </cell>
        </row>
        <row r="98">
          <cell r="C98">
            <v>21.65</v>
          </cell>
          <cell r="D98">
            <v>43.45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958.33</v>
          </cell>
          <cell r="H102">
            <v>908.33</v>
          </cell>
          <cell r="I102">
            <v>858.33</v>
          </cell>
          <cell r="J102">
            <v>808.33</v>
          </cell>
          <cell r="K102">
            <v>758.33</v>
          </cell>
        </row>
        <row r="103">
          <cell r="C103">
            <v>0</v>
          </cell>
          <cell r="D103">
            <v>500</v>
          </cell>
          <cell r="E103">
            <v>500</v>
          </cell>
          <cell r="F103">
            <v>1000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C104">
            <v>0</v>
          </cell>
          <cell r="D104">
            <v>12.5</v>
          </cell>
          <cell r="E104">
            <v>29.17</v>
          </cell>
          <cell r="F104">
            <v>41.67</v>
          </cell>
          <cell r="G104">
            <v>50</v>
          </cell>
          <cell r="H104">
            <v>50</v>
          </cell>
          <cell r="I104">
            <v>50</v>
          </cell>
          <cell r="J104">
            <v>50</v>
          </cell>
          <cell r="K104">
            <v>50</v>
          </cell>
        </row>
        <row r="108">
          <cell r="C108">
            <v>0</v>
          </cell>
          <cell r="D108">
            <v>14.08</v>
          </cell>
        </row>
        <row r="112">
          <cell r="C112">
            <v>0</v>
          </cell>
          <cell r="D112">
            <v>490.5</v>
          </cell>
          <cell r="E112">
            <v>490.5</v>
          </cell>
          <cell r="F112">
            <v>490.5</v>
          </cell>
          <cell r="G112">
            <v>4562</v>
          </cell>
          <cell r="H112">
            <v>4562</v>
          </cell>
          <cell r="I112">
            <v>4562</v>
          </cell>
          <cell r="J112">
            <v>4562</v>
          </cell>
          <cell r="K112">
            <v>4062</v>
          </cell>
        </row>
        <row r="113">
          <cell r="C113">
            <v>490.5</v>
          </cell>
          <cell r="D113">
            <v>2009.5</v>
          </cell>
          <cell r="E113">
            <v>2062</v>
          </cell>
          <cell r="F113">
            <v>4071.5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500</v>
          </cell>
          <cell r="K114">
            <v>2000</v>
          </cell>
        </row>
        <row r="118">
          <cell r="C118">
            <v>2.06</v>
          </cell>
          <cell r="D118">
            <v>25</v>
          </cell>
        </row>
        <row r="142">
          <cell r="C142">
            <v>2716.91</v>
          </cell>
          <cell r="D142">
            <v>2716.91</v>
          </cell>
          <cell r="E142">
            <v>2716.91</v>
          </cell>
          <cell r="F142">
            <v>2716.91</v>
          </cell>
          <cell r="G142">
            <v>2485.79</v>
          </cell>
          <cell r="H142">
            <v>2097.71</v>
          </cell>
          <cell r="I142">
            <v>1709.63</v>
          </cell>
          <cell r="J142">
            <v>1321.5500000000002</v>
          </cell>
          <cell r="K142">
            <v>933.47000000000025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C144">
            <v>0</v>
          </cell>
          <cell r="D144">
            <v>92.04</v>
          </cell>
          <cell r="E144">
            <v>139.08000000000001</v>
          </cell>
          <cell r="F144">
            <v>231.12</v>
          </cell>
          <cell r="G144">
            <v>388.08</v>
          </cell>
          <cell r="H144">
            <v>388.08</v>
          </cell>
          <cell r="I144">
            <v>388.08</v>
          </cell>
          <cell r="J144">
            <v>388.08</v>
          </cell>
          <cell r="K144">
            <v>388.08</v>
          </cell>
        </row>
        <row r="148">
          <cell r="C148">
            <v>229.16</v>
          </cell>
          <cell r="D148">
            <v>133.03</v>
          </cell>
        </row>
        <row r="152">
          <cell r="C152">
            <v>0</v>
          </cell>
          <cell r="D152">
            <v>637.04999999999995</v>
          </cell>
          <cell r="E152">
            <v>637.04999999999995</v>
          </cell>
          <cell r="F152">
            <v>637.04999999999995</v>
          </cell>
          <cell r="G152">
            <v>1506.6299999999999</v>
          </cell>
          <cell r="H152">
            <v>1779.84</v>
          </cell>
          <cell r="I152">
            <v>1643.03</v>
          </cell>
          <cell r="J152">
            <v>1493.78</v>
          </cell>
          <cell r="K152">
            <v>1344.53</v>
          </cell>
        </row>
        <row r="153">
          <cell r="C153">
            <v>637.04999999999995</v>
          </cell>
          <cell r="D153">
            <v>384.56</v>
          </cell>
          <cell r="E153">
            <v>485.02</v>
          </cell>
          <cell r="F153">
            <v>869.57999999999993</v>
          </cell>
          <cell r="G153">
            <v>273.20999999999998</v>
          </cell>
          <cell r="H153">
            <v>273.2099609375</v>
          </cell>
          <cell r="I153">
            <v>0</v>
          </cell>
          <cell r="J153">
            <v>0</v>
          </cell>
          <cell r="K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136.81</v>
          </cell>
          <cell r="I154">
            <v>149.25</v>
          </cell>
          <cell r="J154">
            <v>149.25</v>
          </cell>
          <cell r="K154">
            <v>149.25</v>
          </cell>
        </row>
        <row r="158">
          <cell r="C158">
            <v>17.8</v>
          </cell>
          <cell r="D158">
            <v>46.06</v>
          </cell>
        </row>
        <row r="162">
          <cell r="C162">
            <v>0</v>
          </cell>
          <cell r="D162">
            <v>1000</v>
          </cell>
          <cell r="E162">
            <v>1000</v>
          </cell>
          <cell r="K162">
            <v>1000</v>
          </cell>
        </row>
        <row r="163">
          <cell r="C163">
            <v>1000</v>
          </cell>
          <cell r="D163">
            <v>1000</v>
          </cell>
          <cell r="E163">
            <v>607.88</v>
          </cell>
          <cell r="F163">
            <v>607.88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C164">
            <v>0</v>
          </cell>
          <cell r="D164">
            <v>0</v>
          </cell>
          <cell r="E164">
            <v>608.79999999999995</v>
          </cell>
          <cell r="F164">
            <v>608.79999999999995</v>
          </cell>
          <cell r="G164">
            <v>0</v>
          </cell>
          <cell r="H164">
            <v>0</v>
          </cell>
          <cell r="I164">
            <v>0</v>
          </cell>
          <cell r="K164">
            <v>0</v>
          </cell>
        </row>
        <row r="168">
          <cell r="C168">
            <v>1.69</v>
          </cell>
          <cell r="D168">
            <v>50</v>
          </cell>
        </row>
        <row r="172">
          <cell r="C172">
            <v>860.98</v>
          </cell>
          <cell r="D172">
            <v>272.38</v>
          </cell>
          <cell r="E172">
            <v>272.38</v>
          </cell>
          <cell r="F172">
            <v>272.38</v>
          </cell>
          <cell r="G172">
            <v>272.3798828125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C174">
            <v>588.6</v>
          </cell>
          <cell r="D174">
            <v>131.58000000000001</v>
          </cell>
          <cell r="E174">
            <v>140.79999999999998</v>
          </cell>
          <cell r="F174">
            <v>272.38</v>
          </cell>
          <cell r="G174">
            <v>272.3798828125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8">
          <cell r="C178">
            <v>50.82</v>
          </cell>
          <cell r="D178">
            <v>10.36</v>
          </cell>
        </row>
        <row r="182">
          <cell r="C182">
            <v>924.02</v>
          </cell>
          <cell r="D182">
            <v>924.02</v>
          </cell>
          <cell r="E182">
            <v>924.02</v>
          </cell>
          <cell r="F182">
            <v>924.02</v>
          </cell>
          <cell r="G182">
            <v>924.02</v>
          </cell>
          <cell r="H182">
            <v>924.02</v>
          </cell>
          <cell r="I182">
            <v>924.02</v>
          </cell>
          <cell r="J182">
            <v>924.02</v>
          </cell>
          <cell r="K182">
            <v>924.02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924.02</v>
          </cell>
        </row>
        <row r="188">
          <cell r="C188">
            <v>92.06</v>
          </cell>
          <cell r="D188">
            <v>46.03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0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 (2)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/>
      <sheetData sheetId="3">
        <row r="44">
          <cell r="F44" t="e">
            <v>#REF!</v>
          </cell>
          <cell r="I44" t="e">
            <v>#REF!</v>
          </cell>
          <cell r="J44" t="e">
            <v>#REF!</v>
          </cell>
        </row>
        <row r="67">
          <cell r="F67" t="e">
            <v>#REF!</v>
          </cell>
          <cell r="I67" t="e">
            <v>#REF!</v>
          </cell>
          <cell r="J67" t="e">
            <v>#REF!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0">
          <cell r="E90">
            <v>0</v>
          </cell>
          <cell r="F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>
        <row r="15">
          <cell r="L15">
            <v>0</v>
          </cell>
        </row>
      </sheetData>
      <sheetData sheetId="37">
        <row r="23">
          <cell r="F23">
            <v>2205.4014900000002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>
        <row r="366">
          <cell r="K366">
            <v>313.99659485909996</v>
          </cell>
        </row>
      </sheetData>
      <sheetData sheetId="46">
        <row r="79">
          <cell r="E79">
            <v>157.74</v>
          </cell>
        </row>
      </sheetData>
      <sheetData sheetId="47">
        <row r="32">
          <cell r="E32" t="e">
            <v>#REF!</v>
          </cell>
        </row>
      </sheetData>
      <sheetData sheetId="48">
        <row r="40">
          <cell r="E40">
            <v>0</v>
          </cell>
        </row>
      </sheetData>
      <sheetData sheetId="49">
        <row r="50">
          <cell r="D50">
            <v>175.46</v>
          </cell>
        </row>
      </sheetData>
      <sheetData sheetId="50">
        <row r="36">
          <cell r="D36">
            <v>0</v>
          </cell>
        </row>
      </sheetData>
      <sheetData sheetId="51">
        <row r="9">
          <cell r="E9">
            <v>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32">
          <cell r="F32">
            <v>0</v>
          </cell>
        </row>
      </sheetData>
      <sheetData sheetId="6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Write up 17-18"/>
      <sheetName val="LIS-Write up 18-19"/>
      <sheetName val="LIS DETAILS CMD"/>
      <sheetName val="HT-V"/>
      <sheetName val="1.5 Int on CSD"/>
      <sheetName val="1.5 Int on CSD_20k gap"/>
      <sheetName val="1.5 Int on CSD_V1_13k gap"/>
    </sheetNames>
    <sheetDataSet>
      <sheetData sheetId="0"/>
      <sheetData sheetId="1"/>
      <sheetData sheetId="2"/>
      <sheetData sheetId="3"/>
      <sheetData sheetId="4">
        <row r="173">
          <cell r="E173">
            <v>1136.5541324860001</v>
          </cell>
          <cell r="F173">
            <v>1318.6960000000001</v>
          </cell>
          <cell r="G173">
            <v>1416.0936999999999</v>
          </cell>
        </row>
        <row r="174">
          <cell r="E174">
            <v>182.14186751400007</v>
          </cell>
          <cell r="F174">
            <v>97.397699999999759</v>
          </cell>
          <cell r="G174">
            <v>178.17497050921403</v>
          </cell>
        </row>
        <row r="175">
          <cell r="E175">
            <v>1318.6960000000001</v>
          </cell>
          <cell r="F175">
            <v>1416.0936999999999</v>
          </cell>
          <cell r="G175">
            <v>1594.268670509214</v>
          </cell>
        </row>
        <row r="176">
          <cell r="E176">
            <v>1227.6250662430002</v>
          </cell>
          <cell r="F176">
            <v>1367.3948500000001</v>
          </cell>
          <cell r="G176">
            <v>1505.181185254607</v>
          </cell>
        </row>
        <row r="177">
          <cell r="E177">
            <v>6.2792624653642728E-2</v>
          </cell>
          <cell r="F177">
            <v>6.7500000000000004E-2</v>
          </cell>
          <cell r="G177">
            <v>6.7500000000000004E-2</v>
          </cell>
        </row>
        <row r="178">
          <cell r="E178">
            <v>77.085800000000006</v>
          </cell>
          <cell r="F178">
            <v>92.29915237500002</v>
          </cell>
          <cell r="G178">
            <v>101.59973000468598</v>
          </cell>
          <cell r="H178">
            <v>116.64110863270913</v>
          </cell>
          <cell r="I178">
            <v>133.90929505855928</v>
          </cell>
          <cell r="J178">
            <v>153.73395806400785</v>
          </cell>
          <cell r="K178">
            <v>176.49357239682868</v>
          </cell>
        </row>
      </sheetData>
      <sheetData sheetId="5"/>
      <sheetData sheetId="6">
        <row r="173">
          <cell r="E173">
            <v>1136.5541324860001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Tariff Income"/>
      <sheetName val="HT 123 CAGR"/>
      <sheetName val=" HT 11KV 33 KV (2)"/>
      <sheetName val=" HT 11KV 33 KV"/>
      <sheetName val="HT-I"/>
      <sheetName val="HT-II"/>
      <sheetName val="HT-III"/>
      <sheetName val="HT-IV"/>
      <sheetName val="LIS-Write up"/>
      <sheetName val="LIS-Write up 17-18"/>
      <sheetName val="LIS-Write up 18-19"/>
      <sheetName val="Upcoming LIS 19-20"/>
      <sheetName val="LIS DETAILS CMD"/>
      <sheetName val="LIS-Write up 19-20"/>
      <sheetName val="HT-V"/>
      <sheetName val="HT-VI"/>
      <sheetName val="HT-Resco"/>
      <sheetName val="H1&amp;H2 Wise Sales"/>
      <sheetName val="Sale Revenue &amp; Input"/>
      <sheetName val="Non Tariff Income"/>
      <sheetName val="1.3 Distribution Cost"/>
      <sheetName val="1.2 SLDC Cost"/>
      <sheetName val="Open Access"/>
      <sheetName val="1.1 Transco Cost"/>
      <sheetName val="1.5 Int on CSD"/>
      <sheetName val="1.7|Other Costs"/>
      <sheetName val="Losses"/>
      <sheetName val="Financial Performance write up"/>
      <sheetName val="News Paper Tables"/>
      <sheetName val="Energy Balance"/>
      <sheetName val="Tables for Write up sales"/>
      <sheetName val="Affidavit Tables"/>
      <sheetName val="For CGM"/>
      <sheetName val="ARR"/>
      <sheetName val="Supply Margin"/>
      <sheetName val="Approved &amp; Actuals"/>
      <sheetName val="Customer Charges"/>
      <sheetName val="Services"/>
      <sheetName val="Load"/>
      <sheetName val="Input Sheet to Services"/>
      <sheetName val="water grid"/>
      <sheetName val="No of Scs load"/>
      <sheetName val="Working Capital"/>
    </sheetNames>
    <sheetDataSet>
      <sheetData sheetId="0">
        <row r="18">
          <cell r="L18">
            <v>123.5424606</v>
          </cell>
        </row>
        <row r="19">
          <cell r="L19">
            <v>1.0236000000000001</v>
          </cell>
        </row>
        <row r="20">
          <cell r="L20">
            <v>6.1459831999999999</v>
          </cell>
        </row>
        <row r="21">
          <cell r="L21">
            <v>0</v>
          </cell>
        </row>
        <row r="22">
          <cell r="L22">
            <v>5.8211966589999999</v>
          </cell>
        </row>
        <row r="23">
          <cell r="L23">
            <v>4.7151011590000005</v>
          </cell>
        </row>
        <row r="24">
          <cell r="L24">
            <v>9.2565720389999626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6">
          <cell r="AB16">
            <v>72.373813126000059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ARR (R)"/>
      <sheetName val="DB ARR"/>
      <sheetName val="Investment"/>
      <sheetName val="DB T State"/>
      <sheetName val="addtns approved"/>
      <sheetName val="addtns approved (2)"/>
      <sheetName val="PRINT ARR&amp;INVE"/>
      <sheetName val="DB T State (R)"/>
      <sheetName val="Filed Vs App"/>
      <sheetName val="Filed Vs App (R)"/>
      <sheetName val="Table-Invest"/>
      <sheetName val="Voltage Wise Loss &amp; Wheeling Ch"/>
      <sheetName val="Voltage Wise Loss &amp; Wheelin (R)"/>
      <sheetName val="Table-Infra"/>
      <sheetName val="Table-O&amp;M Expen"/>
      <sheetName val="Table-RRB ROCE &amp; DEP"/>
      <sheetName val="Table-RRB ROCE &amp; DEP Revised"/>
      <sheetName val="DSB ARR Tariff &amp;Losses"/>
      <sheetName val="DSB ARR Tariff &amp;Losses revised"/>
      <sheetName val="Filed Vs App (R) (2)"/>
    </sheetNames>
    <sheetDataSet>
      <sheetData sheetId="0">
        <row r="13">
          <cell r="F13">
            <v>175.46</v>
          </cell>
          <cell r="G13">
            <v>188.44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Tariff Income"/>
    </sheetNames>
    <sheetDataSet>
      <sheetData sheetId="0">
        <row r="4">
          <cell r="D4">
            <v>22.469789688999999</v>
          </cell>
          <cell r="E4">
            <v>22.403402181000001</v>
          </cell>
          <cell r="F4">
            <v>0</v>
          </cell>
        </row>
        <row r="5">
          <cell r="D5">
            <v>0.88690040199999998</v>
          </cell>
          <cell r="E5">
            <v>0.15314075199999999</v>
          </cell>
          <cell r="F5">
            <v>0.15620356703999999</v>
          </cell>
        </row>
        <row r="6">
          <cell r="D6">
            <v>11.101792010000031</v>
          </cell>
          <cell r="E6">
            <v>20.265805253000075</v>
          </cell>
          <cell r="F6">
            <v>20.671121358060077</v>
          </cell>
        </row>
        <row r="8">
          <cell r="D8">
            <v>5.4601422990000001</v>
          </cell>
          <cell r="E8">
            <v>4.5486013500000002</v>
          </cell>
          <cell r="F8">
            <v>4.6395733770000005</v>
          </cell>
        </row>
        <row r="9">
          <cell r="D9">
            <v>0.13425337300000001</v>
          </cell>
          <cell r="E9">
            <v>0.161219853</v>
          </cell>
          <cell r="F9">
            <v>0.16444425005999999</v>
          </cell>
        </row>
        <row r="10">
          <cell r="D10">
            <v>0.45796035199999996</v>
          </cell>
          <cell r="E10">
            <v>0.51624581899999999</v>
          </cell>
          <cell r="F10">
            <v>0.52657073537999999</v>
          </cell>
        </row>
        <row r="11">
          <cell r="D11">
            <v>21.585319047999999</v>
          </cell>
          <cell r="E11">
            <v>23.948858315999999</v>
          </cell>
          <cell r="F11">
            <v>24.427835482319999</v>
          </cell>
        </row>
        <row r="12">
          <cell r="D12">
            <v>0.31260166299999997</v>
          </cell>
          <cell r="E12">
            <v>0.37653960200000003</v>
          </cell>
          <cell r="F12">
            <v>0.38407039404000004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All Discoms ARR by TSERC"/>
      <sheetName val="Sheet6"/>
    </sheetNames>
    <sheetDataSet>
      <sheetData sheetId="0">
        <row r="14">
          <cell r="L14">
            <v>29.41</v>
          </cell>
        </row>
      </sheetData>
      <sheetData sheetId="1"/>
      <sheetData sheetId="2"/>
      <sheetData sheetId="3"/>
      <sheetData sheetId="4">
        <row r="5">
          <cell r="B5">
            <v>373.43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All Discoms ARR by TSERC"/>
      <sheetName val="Sheet6"/>
      <sheetName val="P&amp;L (2)"/>
    </sheetNames>
    <sheetDataSet>
      <sheetData sheetId="0">
        <row r="14">
          <cell r="E14">
            <v>33.81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SPDCL&gt;&gt;"/>
      <sheetName val="SPDCL_Switch_Selection"/>
      <sheetName val="SPDCL_Output"/>
      <sheetName val="SPDCL_Output -FC VC"/>
      <sheetName val="FCRT_SPDCL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5">
          <cell r="I45">
            <v>0.47199744323129345</v>
          </cell>
        </row>
        <row r="46">
          <cell r="I46">
            <v>0.52800255676870667</v>
          </cell>
        </row>
      </sheetData>
      <sheetData sheetId="16">
        <row r="9">
          <cell r="H9">
            <v>1024.1837235439539</v>
          </cell>
          <cell r="I9">
            <v>1900.8061091042</v>
          </cell>
          <cell r="K9">
            <v>245.37306409993721</v>
          </cell>
          <cell r="L9">
            <v>0</v>
          </cell>
          <cell r="N9">
            <v>1084.2732557811855</v>
          </cell>
          <cell r="Q9">
            <v>0</v>
          </cell>
          <cell r="R9">
            <v>22.014413836648696</v>
          </cell>
          <cell r="AF9">
            <v>8.5462197845937915</v>
          </cell>
        </row>
        <row r="10">
          <cell r="H10">
            <v>223.04542023558992</v>
          </cell>
          <cell r="I10">
            <v>416.47721265122289</v>
          </cell>
          <cell r="K10">
            <v>58.126939211410516</v>
          </cell>
          <cell r="L10">
            <v>0</v>
          </cell>
          <cell r="N10">
            <v>256.85576311539108</v>
          </cell>
          <cell r="Q10">
            <v>0</v>
          </cell>
          <cell r="R10">
            <v>4.8222235737149406</v>
          </cell>
          <cell r="AF10">
            <v>8.7517921722895586</v>
          </cell>
        </row>
        <row r="11">
          <cell r="H11">
            <v>49.136395106394382</v>
          </cell>
          <cell r="I11">
            <v>92.816984142316528</v>
          </cell>
          <cell r="K11">
            <v>11.291942844553926</v>
          </cell>
          <cell r="L11">
            <v>0</v>
          </cell>
          <cell r="N11">
            <v>49.897700373391075</v>
          </cell>
          <cell r="Q11">
            <v>0</v>
          </cell>
          <cell r="R11">
            <v>1.0738428956314068</v>
          </cell>
          <cell r="AF11">
            <v>8.3662006161522662</v>
          </cell>
        </row>
        <row r="12">
          <cell r="H12">
            <v>1.7991260066680432</v>
          </cell>
          <cell r="I12">
            <v>3.2921051383186266</v>
          </cell>
          <cell r="K12">
            <v>0.56200994773989654</v>
          </cell>
          <cell r="L12">
            <v>0</v>
          </cell>
          <cell r="N12">
            <v>2.4834525258614457</v>
          </cell>
          <cell r="Q12">
            <v>0</v>
          </cell>
          <cell r="R12">
            <v>3.8011784616023371E-2</v>
          </cell>
          <cell r="AF12">
            <v>9.4608742041377987</v>
          </cell>
        </row>
        <row r="13">
          <cell r="H13">
            <v>2665.0631765939929</v>
          </cell>
          <cell r="I13">
            <v>4002.0754488321672</v>
          </cell>
          <cell r="K13">
            <v>619.90469701939753</v>
          </cell>
          <cell r="L13">
            <v>0</v>
          </cell>
          <cell r="N13">
            <v>2739.282270353503</v>
          </cell>
          <cell r="Q13">
            <v>0</v>
          </cell>
          <cell r="R13">
            <v>46.001094454677705</v>
          </cell>
          <cell r="AF13">
            <v>9.6325008463564394</v>
          </cell>
        </row>
        <row r="14">
          <cell r="H14">
            <v>67.5192486218792</v>
          </cell>
          <cell r="I14">
            <v>149.9286616984183</v>
          </cell>
          <cell r="K14">
            <v>30.379808175405465</v>
          </cell>
          <cell r="L14">
            <v>0</v>
          </cell>
          <cell r="N14">
            <v>134.24461907089659</v>
          </cell>
          <cell r="Q14">
            <v>0</v>
          </cell>
          <cell r="R14">
            <v>1.7443656036466311</v>
          </cell>
          <cell r="AF14">
            <v>9.6797418078457476</v>
          </cell>
        </row>
        <row r="15">
          <cell r="H15">
            <v>15.329079240045793</v>
          </cell>
          <cell r="I15">
            <v>34.038713143859447</v>
          </cell>
          <cell r="K15">
            <v>6.8972107409867709</v>
          </cell>
          <cell r="L15">
            <v>0</v>
          </cell>
          <cell r="N15">
            <v>30.477922152420167</v>
          </cell>
          <cell r="Q15">
            <v>0</v>
          </cell>
          <cell r="R15">
            <v>0.39602808247550231</v>
          </cell>
          <cell r="AF15">
            <v>9.6797418078457476</v>
          </cell>
        </row>
        <row r="16">
          <cell r="H16">
            <v>3.0801303052134205E-2</v>
          </cell>
          <cell r="I16">
            <v>6.6489047552519859E-2</v>
          </cell>
          <cell r="K16">
            <v>1.3287236083463896E-2</v>
          </cell>
          <cell r="L16">
            <v>0</v>
          </cell>
          <cell r="N16">
            <v>5.8714654688759436E-2</v>
          </cell>
          <cell r="Q16">
            <v>0</v>
          </cell>
          <cell r="R16">
            <v>7.7449216665904973E-4</v>
          </cell>
          <cell r="AF16">
            <v>9.660058529965065</v>
          </cell>
        </row>
        <row r="17">
          <cell r="H17">
            <v>0</v>
          </cell>
          <cell r="I17">
            <v>0</v>
          </cell>
          <cell r="K17">
            <v>0</v>
          </cell>
          <cell r="L17">
            <v>0</v>
          </cell>
          <cell r="N17">
            <v>0</v>
          </cell>
          <cell r="Q17">
            <v>0</v>
          </cell>
          <cell r="R17">
            <v>0</v>
          </cell>
          <cell r="AF17">
            <v>0</v>
          </cell>
        </row>
        <row r="18">
          <cell r="H18">
            <v>0</v>
          </cell>
          <cell r="I18">
            <v>0</v>
          </cell>
          <cell r="K18">
            <v>0</v>
          </cell>
          <cell r="L18">
            <v>0</v>
          </cell>
          <cell r="N18">
            <v>0</v>
          </cell>
          <cell r="Q18">
            <v>0</v>
          </cell>
          <cell r="R18">
            <v>0</v>
          </cell>
          <cell r="AF18">
            <v>0</v>
          </cell>
        </row>
        <row r="23">
          <cell r="H23">
            <v>222.3996148125577</v>
          </cell>
          <cell r="I23">
            <v>441.77508634554948</v>
          </cell>
          <cell r="K23">
            <v>43.975611547085094</v>
          </cell>
          <cell r="L23">
            <v>0</v>
          </cell>
          <cell r="N23">
            <v>27.779363946952426</v>
          </cell>
          <cell r="Q23">
            <v>0</v>
          </cell>
          <cell r="R23">
            <v>5.3290885894669433</v>
          </cell>
          <cell r="AF23">
            <v>6.1191953656024456</v>
          </cell>
        </row>
        <row r="24">
          <cell r="H24">
            <v>0</v>
          </cell>
          <cell r="I24">
            <v>0</v>
          </cell>
          <cell r="K24">
            <v>0</v>
          </cell>
          <cell r="L24">
            <v>0</v>
          </cell>
          <cell r="N24">
            <v>0</v>
          </cell>
          <cell r="Q24">
            <v>0</v>
          </cell>
          <cell r="R24">
            <v>0</v>
          </cell>
          <cell r="AF24">
            <v>0</v>
          </cell>
        </row>
        <row r="25">
          <cell r="H25">
            <v>44.04683231659908</v>
          </cell>
          <cell r="I25">
            <v>92.177117616192504</v>
          </cell>
          <cell r="K25">
            <v>11.62088963392231</v>
          </cell>
          <cell r="L25">
            <v>0</v>
          </cell>
          <cell r="N25">
            <v>6.7270058950177463</v>
          </cell>
          <cell r="Q25">
            <v>0</v>
          </cell>
          <cell r="R25">
            <v>1.112956603937953</v>
          </cell>
          <cell r="AF25">
            <v>6.1538287312628279</v>
          </cell>
        </row>
        <row r="26">
          <cell r="H26">
            <v>1.5424604034324674</v>
          </cell>
          <cell r="I26">
            <v>3.1350781568988801</v>
          </cell>
          <cell r="K26">
            <v>0.2230039797625662</v>
          </cell>
          <cell r="L26">
            <v>0</v>
          </cell>
          <cell r="N26">
            <v>0.2399952202924456</v>
          </cell>
          <cell r="Q26">
            <v>0</v>
          </cell>
          <cell r="R26">
            <v>3.788281019778271E-2</v>
          </cell>
          <cell r="AF26">
            <v>6.013572457790672</v>
          </cell>
        </row>
        <row r="27">
          <cell r="H27">
            <v>36.469304859731366</v>
          </cell>
          <cell r="I27">
            <v>69.450215371876283</v>
          </cell>
          <cell r="K27">
            <v>2.7838236654442374</v>
          </cell>
          <cell r="L27">
            <v>0</v>
          </cell>
          <cell r="N27">
            <v>4.5153495122621932</v>
          </cell>
          <cell r="Q27">
            <v>0</v>
          </cell>
          <cell r="R27">
            <v>0.83705638476535127</v>
          </cell>
          <cell r="AF27">
            <v>5.9943195030161229</v>
          </cell>
        </row>
        <row r="28">
          <cell r="H28">
            <v>1.9771219759110312</v>
          </cell>
          <cell r="I28">
            <v>3.3724714377231462</v>
          </cell>
          <cell r="K28">
            <v>0.4431232511990626</v>
          </cell>
          <cell r="L28">
            <v>0</v>
          </cell>
          <cell r="N28">
            <v>0.31587672428066266</v>
          </cell>
          <cell r="Q28">
            <v>0</v>
          </cell>
          <cell r="R28">
            <v>4.0731043498409364E-2</v>
          </cell>
          <cell r="AF28">
            <v>6.6417004918670335</v>
          </cell>
        </row>
        <row r="29">
          <cell r="H29">
            <v>2.655022706541073</v>
          </cell>
          <cell r="I29">
            <v>5.325942641840272</v>
          </cell>
          <cell r="K29">
            <v>0.77141908486317823</v>
          </cell>
          <cell r="L29">
            <v>0</v>
          </cell>
          <cell r="N29">
            <v>0.37134019006504965</v>
          </cell>
          <cell r="Q29">
            <v>0</v>
          </cell>
          <cell r="R29">
            <v>6.4278509731867772E-2</v>
          </cell>
          <cell r="AF29">
            <v>6.2882927558190236</v>
          </cell>
        </row>
        <row r="30">
          <cell r="H30">
            <v>143.85454312926743</v>
          </cell>
          <cell r="I30">
            <v>439.25463035803818</v>
          </cell>
          <cell r="K30">
            <v>42.677657068466679</v>
          </cell>
          <cell r="L30">
            <v>0</v>
          </cell>
          <cell r="N30">
            <v>32.338688845198917</v>
          </cell>
          <cell r="Q30">
            <v>0</v>
          </cell>
          <cell r="R30">
            <v>5.4333096762710102</v>
          </cell>
          <cell r="AF30">
            <v>5.3726975165978468</v>
          </cell>
        </row>
        <row r="31">
          <cell r="H31">
            <v>0</v>
          </cell>
          <cell r="I31">
            <v>0.11613590578807513</v>
          </cell>
          <cell r="K31">
            <v>1.8590342545783456E-2</v>
          </cell>
          <cell r="L31">
            <v>0</v>
          </cell>
          <cell r="N31">
            <v>0</v>
          </cell>
          <cell r="Q31">
            <v>0</v>
          </cell>
          <cell r="R31">
            <v>1.4853899534222484E-3</v>
          </cell>
          <cell r="AF31">
            <v>4.0341417230601806</v>
          </cell>
        </row>
        <row r="32">
          <cell r="H32">
            <v>0</v>
          </cell>
          <cell r="I32">
            <v>0</v>
          </cell>
          <cell r="K32">
            <v>0</v>
          </cell>
          <cell r="L32">
            <v>0</v>
          </cell>
          <cell r="N32">
            <v>0</v>
          </cell>
          <cell r="Q32">
            <v>0</v>
          </cell>
          <cell r="R32">
            <v>0</v>
          </cell>
          <cell r="AF32">
            <v>0</v>
          </cell>
        </row>
        <row r="37">
          <cell r="H37">
            <v>43.654809345489689</v>
          </cell>
          <cell r="I37">
            <v>79.40626281838712</v>
          </cell>
          <cell r="K37">
            <v>5.8580413023795055</v>
          </cell>
          <cell r="L37">
            <v>0</v>
          </cell>
          <cell r="N37">
            <v>1.0407058605390245</v>
          </cell>
          <cell r="Q37">
            <v>0</v>
          </cell>
          <cell r="R37">
            <v>1.0022511792800133</v>
          </cell>
          <cell r="AF37">
            <v>5.7483919663678913</v>
          </cell>
        </row>
        <row r="38">
          <cell r="H38">
            <v>5.9862185456796642</v>
          </cell>
          <cell r="I38">
            <v>12.393606457582173</v>
          </cell>
          <cell r="K38">
            <v>0.4687651029863501</v>
          </cell>
          <cell r="L38">
            <v>0</v>
          </cell>
          <cell r="N38">
            <v>0.13984584899033484</v>
          </cell>
          <cell r="Q38">
            <v>0</v>
          </cell>
          <cell r="R38">
            <v>0.15658822228080668</v>
          </cell>
          <cell r="AF38">
            <v>5.3786618618432476</v>
          </cell>
        </row>
        <row r="39">
          <cell r="H39">
            <v>3.0925563076096476</v>
          </cell>
          <cell r="I39">
            <v>5.8143204085671405</v>
          </cell>
          <cell r="K39">
            <v>0.70696588647222591</v>
          </cell>
          <cell r="L39">
            <v>0</v>
          </cell>
          <cell r="N39">
            <v>8.2599796213016344E-2</v>
          </cell>
          <cell r="Q39">
            <v>0</v>
          </cell>
          <cell r="R39">
            <v>7.3417889713350726E-2</v>
          </cell>
          <cell r="AF39">
            <v>5.8541503638239938</v>
          </cell>
        </row>
        <row r="40">
          <cell r="H40">
            <v>0</v>
          </cell>
          <cell r="I40">
            <v>0</v>
          </cell>
          <cell r="K40">
            <v>0</v>
          </cell>
          <cell r="L40">
            <v>0</v>
          </cell>
          <cell r="N40">
            <v>0</v>
          </cell>
          <cell r="Q40">
            <v>0</v>
          </cell>
          <cell r="R40">
            <v>0</v>
          </cell>
          <cell r="AF40">
            <v>0</v>
          </cell>
        </row>
        <row r="41">
          <cell r="H41">
            <v>73.067643785531914</v>
          </cell>
          <cell r="I41">
            <v>144.77808022852375</v>
          </cell>
          <cell r="K41">
            <v>10.32405057585664</v>
          </cell>
          <cell r="L41">
            <v>0</v>
          </cell>
          <cell r="N41">
            <v>1.7503484755793046</v>
          </cell>
          <cell r="Q41">
            <v>0</v>
          </cell>
          <cell r="R41">
            <v>1.8245191805927885</v>
          </cell>
          <cell r="AF41">
            <v>5.5877721157433733</v>
          </cell>
        </row>
        <row r="42">
          <cell r="H42">
            <v>7.24331904665687</v>
          </cell>
          <cell r="I42">
            <v>12.064675148563628</v>
          </cell>
          <cell r="K42">
            <v>1.1675055641899352</v>
          </cell>
          <cell r="L42">
            <v>0</v>
          </cell>
          <cell r="N42">
            <v>0.18574031449399267</v>
          </cell>
          <cell r="Q42">
            <v>0</v>
          </cell>
          <cell r="R42">
            <v>0.15226972986230153</v>
          </cell>
          <cell r="AF42">
            <v>6.0132486396798788</v>
          </cell>
        </row>
        <row r="43">
          <cell r="H43">
            <v>1.7728030640448771</v>
          </cell>
          <cell r="I43">
            <v>2.8988822594690946</v>
          </cell>
          <cell r="K43">
            <v>0.53286973245456892</v>
          </cell>
          <cell r="L43">
            <v>0</v>
          </cell>
          <cell r="N43">
            <v>4.4040914783930844E-2</v>
          </cell>
          <cell r="Q43">
            <v>0</v>
          </cell>
          <cell r="R43">
            <v>3.6559831999442988E-2</v>
          </cell>
          <cell r="AF43">
            <v>6.3596178582593152</v>
          </cell>
        </row>
        <row r="44"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Q44">
            <v>0</v>
          </cell>
          <cell r="R44">
            <v>0</v>
          </cell>
          <cell r="AF44">
            <v>0</v>
          </cell>
        </row>
        <row r="45">
          <cell r="H45">
            <v>0</v>
          </cell>
          <cell r="I45">
            <v>13.665421903403363</v>
          </cell>
          <cell r="K45">
            <v>0</v>
          </cell>
          <cell r="L45">
            <v>0</v>
          </cell>
          <cell r="N45">
            <v>0.15098849443234577</v>
          </cell>
          <cell r="Q45">
            <v>0</v>
          </cell>
          <cell r="R45">
            <v>0.17264719915958138</v>
          </cell>
          <cell r="AF45">
            <v>3.5645633553987501</v>
          </cell>
        </row>
        <row r="50">
          <cell r="H50">
            <v>101.55586078487843</v>
          </cell>
          <cell r="I50">
            <v>219.95389473462055</v>
          </cell>
          <cell r="K50">
            <v>16.772976300359453</v>
          </cell>
          <cell r="L50">
            <v>0</v>
          </cell>
          <cell r="N50">
            <v>0</v>
          </cell>
          <cell r="Q50">
            <v>0</v>
          </cell>
          <cell r="R50">
            <v>2.8502431673741282</v>
          </cell>
          <cell r="AF50">
            <v>5.2652525303244104</v>
          </cell>
        </row>
        <row r="51">
          <cell r="H51">
            <v>0</v>
          </cell>
          <cell r="I51">
            <v>0</v>
          </cell>
          <cell r="K51">
            <v>0</v>
          </cell>
          <cell r="L51">
            <v>0</v>
          </cell>
          <cell r="N51">
            <v>0</v>
          </cell>
          <cell r="Q51">
            <v>0</v>
          </cell>
          <cell r="R51">
            <v>0</v>
          </cell>
          <cell r="AF51">
            <v>0</v>
          </cell>
        </row>
        <row r="52">
          <cell r="H52">
            <v>0.75817564819941341</v>
          </cell>
          <cell r="I52">
            <v>1.5869693777547742</v>
          </cell>
          <cell r="K52">
            <v>1.3902691515919956</v>
          </cell>
          <cell r="L52">
            <v>0</v>
          </cell>
          <cell r="N52">
            <v>0</v>
          </cell>
          <cell r="Q52">
            <v>0</v>
          </cell>
          <cell r="R52">
            <v>2.0564530722280837E-2</v>
          </cell>
          <cell r="AF52">
            <v>8.0349232975294207</v>
          </cell>
        </row>
        <row r="53">
          <cell r="H53">
            <v>0</v>
          </cell>
          <cell r="I53">
            <v>0</v>
          </cell>
          <cell r="K53">
            <v>0</v>
          </cell>
          <cell r="L53">
            <v>0</v>
          </cell>
          <cell r="N53">
            <v>0</v>
          </cell>
          <cell r="Q53">
            <v>0</v>
          </cell>
          <cell r="R53">
            <v>0</v>
          </cell>
          <cell r="AF53">
            <v>0</v>
          </cell>
        </row>
        <row r="54">
          <cell r="H54">
            <v>251.77995002879408</v>
          </cell>
          <cell r="I54">
            <v>527.98847600646968</v>
          </cell>
          <cell r="K54">
            <v>214.88857406425018</v>
          </cell>
          <cell r="L54">
            <v>0</v>
          </cell>
          <cell r="N54">
            <v>0</v>
          </cell>
          <cell r="Q54">
            <v>0</v>
          </cell>
          <cell r="R54">
            <v>6.8418681469483742</v>
          </cell>
          <cell r="AF54">
            <v>6.4395153012058666</v>
          </cell>
        </row>
        <row r="55">
          <cell r="H55">
            <v>114.43888622048397</v>
          </cell>
          <cell r="I55">
            <v>231.1091925244562</v>
          </cell>
          <cell r="K55">
            <v>16.306615120978162</v>
          </cell>
          <cell r="L55">
            <v>0</v>
          </cell>
          <cell r="N55">
            <v>0</v>
          </cell>
          <cell r="Q55">
            <v>0</v>
          </cell>
          <cell r="R55">
            <v>2.9947976038382684</v>
          </cell>
          <cell r="AF55">
            <v>5.3594927200887215</v>
          </cell>
        </row>
        <row r="56"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Q56">
            <v>0</v>
          </cell>
          <cell r="R56">
            <v>0</v>
          </cell>
          <cell r="AF56">
            <v>0</v>
          </cell>
        </row>
        <row r="57">
          <cell r="H57">
            <v>10.77789220968706</v>
          </cell>
          <cell r="I57">
            <v>22.727426901298301</v>
          </cell>
          <cell r="K57">
            <v>2.4039236050582056</v>
          </cell>
          <cell r="L57">
            <v>0</v>
          </cell>
          <cell r="N57">
            <v>0</v>
          </cell>
          <cell r="Q57">
            <v>0</v>
          </cell>
          <cell r="R57">
            <v>0.29451032597199078</v>
          </cell>
          <cell r="AF57">
            <v>5.4079228142469553</v>
          </cell>
        </row>
        <row r="58">
          <cell r="H58">
            <v>0</v>
          </cell>
          <cell r="I58">
            <v>0</v>
          </cell>
          <cell r="K58">
            <v>0</v>
          </cell>
          <cell r="L58">
            <v>0</v>
          </cell>
          <cell r="N58">
            <v>0</v>
          </cell>
          <cell r="Q58">
            <v>0</v>
          </cell>
          <cell r="R58">
            <v>0</v>
          </cell>
          <cell r="AF58">
            <v>0</v>
          </cell>
        </row>
        <row r="59">
          <cell r="H59">
            <v>0</v>
          </cell>
          <cell r="I59">
            <v>0</v>
          </cell>
          <cell r="K59">
            <v>0</v>
          </cell>
          <cell r="L59">
            <v>0</v>
          </cell>
          <cell r="N59">
            <v>0</v>
          </cell>
          <cell r="Q59">
            <v>0</v>
          </cell>
          <cell r="R59">
            <v>0</v>
          </cell>
          <cell r="AF59">
            <v>0</v>
          </cell>
        </row>
        <row r="64">
          <cell r="AF64">
            <v>8.2943815025684504</v>
          </cell>
        </row>
      </sheetData>
      <sheetData sheetId="17"/>
      <sheetData sheetId="18">
        <row r="9">
          <cell r="H9">
            <v>5004.1429709956828</v>
          </cell>
          <cell r="K9">
            <v>0.83292620328817435</v>
          </cell>
          <cell r="M9">
            <v>1</v>
          </cell>
          <cell r="O9">
            <v>0.77696128901025852</v>
          </cell>
        </row>
        <row r="10">
          <cell r="H10">
            <v>1096.1498398291596</v>
          </cell>
          <cell r="K10">
            <v>0.74538389853972342</v>
          </cell>
          <cell r="M10">
            <v>0.80557255014799733</v>
          </cell>
          <cell r="O10">
            <v>0.87295951066414224</v>
          </cell>
        </row>
        <row r="11">
          <cell r="H11">
            <v>244.09749984720008</v>
          </cell>
          <cell r="K11">
            <v>0.87788622992436049</v>
          </cell>
          <cell r="M11">
            <v>0.87989334017014931</v>
          </cell>
          <cell r="O11">
            <v>0.97262110608244523</v>
          </cell>
        </row>
        <row r="12">
          <cell r="H12">
            <v>8.6405391582405286</v>
          </cell>
          <cell r="K12">
            <v>0.62037389168413759</v>
          </cell>
          <cell r="M12">
            <v>0.46852337789733534</v>
          </cell>
          <cell r="O12">
            <v>0.89526091724539114</v>
          </cell>
        </row>
        <row r="13">
          <cell r="H13">
            <v>10456.606075527796</v>
          </cell>
          <cell r="K13">
            <v>0.68887692333221107</v>
          </cell>
          <cell r="M13">
            <v>0.97766005608368145</v>
          </cell>
          <cell r="O13">
            <v>0.85258635942306871</v>
          </cell>
        </row>
        <row r="14">
          <cell r="H14">
            <v>396.51543480131897</v>
          </cell>
          <cell r="K14">
            <v>0.50208333333333333</v>
          </cell>
          <cell r="M14">
            <v>0.42468112395712365</v>
          </cell>
          <cell r="O14">
            <v>0.52148971012163969</v>
          </cell>
        </row>
        <row r="15">
          <cell r="H15">
            <v>90.021981050319653</v>
          </cell>
          <cell r="K15">
            <v>0.50208333333333333</v>
          </cell>
          <cell r="M15">
            <v>0.42468112395712365</v>
          </cell>
          <cell r="O15">
            <v>0.5214897101216398</v>
          </cell>
        </row>
        <row r="16">
          <cell r="H16">
            <v>0.17605145250000001</v>
          </cell>
          <cell r="K16">
            <v>0.55694444444444435</v>
          </cell>
          <cell r="M16">
            <v>3.3635233355320038E-2</v>
          </cell>
          <cell r="O16">
            <v>0.99126203277791802</v>
          </cell>
        </row>
        <row r="17">
          <cell r="H17">
            <v>0</v>
          </cell>
          <cell r="K17">
            <v>0</v>
          </cell>
          <cell r="M17">
            <v>0</v>
          </cell>
          <cell r="O17">
            <v>0</v>
          </cell>
        </row>
        <row r="18">
          <cell r="H18">
            <v>0</v>
          </cell>
          <cell r="K18">
            <v>0</v>
          </cell>
          <cell r="M18">
            <v>0</v>
          </cell>
          <cell r="O18">
            <v>0</v>
          </cell>
        </row>
        <row r="23">
          <cell r="H23">
            <v>1211.3663986092286</v>
          </cell>
          <cell r="K23">
            <v>0.93236402879197822</v>
          </cell>
          <cell r="M23">
            <v>0.93294437183280321</v>
          </cell>
          <cell r="O23">
            <v>1</v>
          </cell>
        </row>
        <row r="24">
          <cell r="H24">
            <v>0</v>
          </cell>
          <cell r="K24">
            <v>0</v>
          </cell>
          <cell r="M24">
            <v>0</v>
          </cell>
          <cell r="O24">
            <v>0</v>
          </cell>
        </row>
        <row r="25">
          <cell r="H25">
            <v>252.98851961016715</v>
          </cell>
          <cell r="K25">
            <v>0.78835658277102461</v>
          </cell>
          <cell r="M25">
            <v>0.75825744488158675</v>
          </cell>
          <cell r="O25">
            <v>0.82778778976448775</v>
          </cell>
        </row>
        <row r="26">
          <cell r="H26">
            <v>8.6112217104417237</v>
          </cell>
          <cell r="K26">
            <v>0.75548370385764474</v>
          </cell>
          <cell r="M26">
            <v>0.62368581294568681</v>
          </cell>
          <cell r="O26">
            <v>0.93606031481501595</v>
          </cell>
        </row>
        <row r="27">
          <cell r="H27">
            <v>190.27305724476437</v>
          </cell>
          <cell r="K27">
            <v>0.90370962866711346</v>
          </cell>
          <cell r="M27">
            <v>0.97454066527449634</v>
          </cell>
          <cell r="O27">
            <v>0.95073959577183542</v>
          </cell>
        </row>
        <row r="28">
          <cell r="H28">
            <v>9.2586596461890274</v>
          </cell>
          <cell r="K28">
            <v>0.62866300366300354</v>
          </cell>
          <cell r="M28">
            <v>1</v>
          </cell>
          <cell r="O28">
            <v>0.49174463860248618</v>
          </cell>
        </row>
        <row r="29">
          <cell r="H29">
            <v>14.611284000000001</v>
          </cell>
          <cell r="K29">
            <v>0.82917051887916815</v>
          </cell>
          <cell r="M29">
            <v>0.79955060282925794</v>
          </cell>
          <cell r="O29">
            <v>0.93706329400711397</v>
          </cell>
        </row>
        <row r="30">
          <cell r="H30">
            <v>1235.0571142844228</v>
          </cell>
          <cell r="K30">
            <v>0.78442138873443512</v>
          </cell>
          <cell r="M30">
            <v>1</v>
          </cell>
          <cell r="O30">
            <v>0.84106136384294561</v>
          </cell>
        </row>
        <row r="31">
          <cell r="H31">
            <v>0.33764713200000002</v>
          </cell>
          <cell r="K31">
            <v>0</v>
          </cell>
          <cell r="M31">
            <v>0</v>
          </cell>
          <cell r="O31">
            <v>0</v>
          </cell>
        </row>
        <row r="32">
          <cell r="H32">
            <v>0</v>
          </cell>
          <cell r="K32">
            <v>0</v>
          </cell>
          <cell r="M32">
            <v>0</v>
          </cell>
          <cell r="O32">
            <v>0</v>
          </cell>
        </row>
        <row r="37">
          <cell r="K37">
            <v>0.84204320805415611</v>
          </cell>
          <cell r="M37">
            <v>0.98965756606202249</v>
          </cell>
          <cell r="O37">
            <v>0.93164973191012834</v>
          </cell>
        </row>
        <row r="38">
          <cell r="K38">
            <v>0.97917789411553391</v>
          </cell>
          <cell r="M38">
            <v>1</v>
          </cell>
          <cell r="O38">
            <v>0.96250363835474062</v>
          </cell>
        </row>
        <row r="39">
          <cell r="K39">
            <v>0.7759462669572218</v>
          </cell>
          <cell r="M39">
            <v>0.96117186995201254</v>
          </cell>
          <cell r="O39">
            <v>0.75526261516276627</v>
          </cell>
        </row>
        <row r="40">
          <cell r="K40">
            <v>0</v>
          </cell>
          <cell r="M40">
            <v>0</v>
          </cell>
          <cell r="O40">
            <v>0</v>
          </cell>
        </row>
        <row r="41">
          <cell r="K41">
            <v>0.91495235429495569</v>
          </cell>
          <cell r="M41">
            <v>1</v>
          </cell>
          <cell r="O41">
            <v>0.91074535985334071</v>
          </cell>
        </row>
        <row r="42">
          <cell r="K42">
            <v>0.71695470328282829</v>
          </cell>
          <cell r="M42">
            <v>1</v>
          </cell>
          <cell r="O42">
            <v>0.78488329859461636</v>
          </cell>
        </row>
        <row r="43">
          <cell r="K43">
            <v>0.72405778110570351</v>
          </cell>
          <cell r="M43">
            <v>0.94057724115775565</v>
          </cell>
          <cell r="O43">
            <v>0.90372078635965936</v>
          </cell>
        </row>
        <row r="44">
          <cell r="K44">
            <v>0</v>
          </cell>
          <cell r="M44">
            <v>1</v>
          </cell>
          <cell r="O44">
            <v>0.88204414115554997</v>
          </cell>
        </row>
        <row r="45">
          <cell r="K45">
            <v>1.0000000000000002</v>
          </cell>
          <cell r="M45">
            <v>1</v>
          </cell>
          <cell r="O45">
            <v>0.99500211682582806</v>
          </cell>
        </row>
        <row r="50">
          <cell r="K50">
            <v>0.77427499087159068</v>
          </cell>
          <cell r="M50">
            <v>0.66218316176657477</v>
          </cell>
          <cell r="O50">
            <v>0.84551705164346003</v>
          </cell>
        </row>
        <row r="51">
          <cell r="K51">
            <v>0</v>
          </cell>
          <cell r="M51">
            <v>0</v>
          </cell>
          <cell r="O51">
            <v>0</v>
          </cell>
        </row>
        <row r="52">
          <cell r="K52">
            <v>0.97931053021055403</v>
          </cell>
          <cell r="M52">
            <v>0.98109002138524914</v>
          </cell>
          <cell r="O52">
            <v>0.99209649166130254</v>
          </cell>
        </row>
        <row r="53">
          <cell r="K53">
            <v>0</v>
          </cell>
          <cell r="M53">
            <v>0</v>
          </cell>
          <cell r="O53">
            <v>0</v>
          </cell>
        </row>
        <row r="54">
          <cell r="K54">
            <v>0.83903513214806924</v>
          </cell>
          <cell r="M54">
            <v>0.83459337667835443</v>
          </cell>
          <cell r="O54">
            <v>0.85282694421000704</v>
          </cell>
        </row>
        <row r="55">
          <cell r="K55">
            <v>0.92480979154073728</v>
          </cell>
          <cell r="M55">
            <v>0.96791306644359698</v>
          </cell>
          <cell r="O55">
            <v>0.96341143811913865</v>
          </cell>
        </row>
        <row r="56">
          <cell r="K56">
            <v>0</v>
          </cell>
          <cell r="M56">
            <v>0</v>
          </cell>
          <cell r="O56">
            <v>0</v>
          </cell>
        </row>
        <row r="57">
          <cell r="K57">
            <v>1.0000000000000002</v>
          </cell>
          <cell r="M57">
            <v>1</v>
          </cell>
          <cell r="O57">
            <v>1</v>
          </cell>
        </row>
        <row r="58">
          <cell r="K58">
            <v>0</v>
          </cell>
          <cell r="M58">
            <v>0</v>
          </cell>
          <cell r="O58">
            <v>0</v>
          </cell>
        </row>
        <row r="59">
          <cell r="K59">
            <v>0</v>
          </cell>
          <cell r="M59">
            <v>0</v>
          </cell>
          <cell r="O59">
            <v>0</v>
          </cell>
        </row>
        <row r="65">
          <cell r="H65">
            <v>23951.373098901837</v>
          </cell>
          <cell r="N65">
            <v>3379.3316677517182</v>
          </cell>
          <cell r="P65">
            <v>2923.1061608816317</v>
          </cell>
          <cell r="R65">
            <v>3146.7389143166743</v>
          </cell>
        </row>
      </sheetData>
      <sheetData sheetId="19">
        <row r="9">
          <cell r="R9">
            <v>0.24025045364011549</v>
          </cell>
          <cell r="S9">
            <v>0.22889995613274342</v>
          </cell>
          <cell r="Y9">
            <v>0.21568111391392616</v>
          </cell>
          <cell r="AE9">
            <v>0.2423828764210593</v>
          </cell>
        </row>
        <row r="10">
          <cell r="R10">
            <v>4.5706107592956256E-2</v>
          </cell>
          <cell r="S10">
            <v>5.602894471810918E-2</v>
          </cell>
          <cell r="Y10">
            <v>5.5868962186264692E-2</v>
          </cell>
          <cell r="AE10">
            <v>4.5016358509240816E-2</v>
          </cell>
        </row>
        <row r="11">
          <cell r="R11">
            <v>1.0684521307029904E-2</v>
          </cell>
          <cell r="S11">
            <v>1.0593698762561615E-2</v>
          </cell>
          <cell r="Y11">
            <v>1.2425051893780436E-2</v>
          </cell>
          <cell r="AE11">
            <v>9.8146259056446864E-3</v>
          </cell>
        </row>
        <row r="12">
          <cell r="R12">
            <v>5.0805639940281865E-4</v>
          </cell>
          <cell r="S12">
            <v>5.5285799012235837E-4</v>
          </cell>
          <cell r="Y12">
            <v>5.6882458140501159E-4</v>
          </cell>
          <cell r="AE12">
            <v>2.5992568333178416E-4</v>
          </cell>
        </row>
        <row r="13">
          <cell r="R13">
            <v>0.60673241465977246</v>
          </cell>
          <cell r="S13">
            <v>0.57832455987761799</v>
          </cell>
          <cell r="Y13">
            <v>0.59792836659429682</v>
          </cell>
          <cell r="AE13">
            <v>0.59867048504764186</v>
          </cell>
        </row>
        <row r="14">
          <cell r="R14">
            <v>1.8884096840650542E-2</v>
          </cell>
          <cell r="S14">
            <v>3.0088935081690103E-2</v>
          </cell>
          <cell r="Y14">
            <v>1.7923244166511292E-2</v>
          </cell>
          <cell r="AE14">
            <v>1.2744506826060193E-2</v>
          </cell>
        </row>
        <row r="15">
          <cell r="R15">
            <v>4.2873080307535847E-3</v>
          </cell>
          <cell r="S15">
            <v>6.8311730288769948E-3</v>
          </cell>
          <cell r="Y15">
            <v>4.0691630264693161E-3</v>
          </cell>
          <cell r="AE15">
            <v>2.8934201579470112E-3</v>
          </cell>
        </row>
        <row r="16">
          <cell r="R16">
            <v>1.1855745395996338E-5</v>
          </cell>
          <cell r="S16">
            <v>4.01447730216289E-5</v>
          </cell>
          <cell r="Y16">
            <v>1.4347956820452832E-5</v>
          </cell>
          <cell r="AE16">
            <v>4.2509425177041566E-7</v>
          </cell>
        </row>
        <row r="17">
          <cell r="R17">
            <v>0</v>
          </cell>
          <cell r="S17">
            <v>0</v>
          </cell>
          <cell r="Y17">
            <v>0</v>
          </cell>
          <cell r="AE17">
            <v>0</v>
          </cell>
        </row>
        <row r="18">
          <cell r="R18">
            <v>0</v>
          </cell>
          <cell r="S18">
            <v>0</v>
          </cell>
          <cell r="Y18">
            <v>0</v>
          </cell>
          <cell r="AE18">
            <v>0</v>
          </cell>
        </row>
        <row r="23">
          <cell r="R23">
            <v>3.0557917461651235E-2</v>
          </cell>
          <cell r="S23">
            <v>3.3391415515300622E-2</v>
          </cell>
          <cell r="Y23">
            <v>3.9584766512119965E-2</v>
          </cell>
          <cell r="AE23">
            <v>3.2461060579414933E-2</v>
          </cell>
        </row>
        <row r="24">
          <cell r="R24">
            <v>0</v>
          </cell>
          <cell r="S24">
            <v>0</v>
          </cell>
          <cell r="Y24">
            <v>0</v>
          </cell>
          <cell r="AE24">
            <v>0</v>
          </cell>
        </row>
        <row r="25">
          <cell r="R25">
            <v>5.9220445465902318E-3</v>
          </cell>
          <cell r="S25">
            <v>8.2475115467296519E-3</v>
          </cell>
          <cell r="Y25">
            <v>7.9091814709833681E-3</v>
          </cell>
          <cell r="AE25">
            <v>6.3680736223152923E-3</v>
          </cell>
        </row>
        <row r="26">
          <cell r="R26">
            <v>2.2314935346987364E-4</v>
          </cell>
          <cell r="S26">
            <v>2.9294391884570741E-4</v>
          </cell>
          <cell r="Y26">
            <v>3.1847647213746383E-4</v>
          </cell>
          <cell r="AE26">
            <v>1.8651692812488108E-4</v>
          </cell>
        </row>
        <row r="27">
          <cell r="R27">
            <v>5.1166475402832845E-3</v>
          </cell>
          <cell r="S27">
            <v>5.4111952368301368E-3</v>
          </cell>
          <cell r="Y27">
            <v>6.1959587981366623E-3</v>
          </cell>
          <cell r="AE27">
            <v>5.5824619805676214E-3</v>
          </cell>
        </row>
        <row r="28">
          <cell r="R28">
            <v>3.5829555350354341E-4</v>
          </cell>
          <cell r="S28">
            <v>3.785079739296234E-4</v>
          </cell>
          <cell r="Y28">
            <v>2.2422912585715599E-4</v>
          </cell>
          <cell r="AE28">
            <v>4.0080327239628411E-4</v>
          </cell>
        </row>
        <row r="29">
          <cell r="R29">
            <v>3.4875453029550185E-4</v>
          </cell>
          <cell r="S29">
            <v>4.5288647039770825E-4</v>
          </cell>
          <cell r="Y29">
            <v>4.928869350830893E-4</v>
          </cell>
          <cell r="AE29">
            <v>3.6966063368564867E-4</v>
          </cell>
        </row>
        <row r="30">
          <cell r="R30">
            <v>2.0992446951652016E-2</v>
          </cell>
          <cell r="S30">
            <v>4.0465268973223285E-2</v>
          </cell>
          <cell r="Y30">
            <v>4.0795426366208115E-2</v>
          </cell>
          <cell r="AE30">
            <v>4.2848799338317957E-2</v>
          </cell>
        </row>
        <row r="31">
          <cell r="R31">
            <v>0</v>
          </cell>
          <cell r="S31">
            <v>0</v>
          </cell>
          <cell r="Y31">
            <v>0</v>
          </cell>
          <cell r="AE31">
            <v>0</v>
          </cell>
        </row>
        <row r="32">
          <cell r="R32">
            <v>0</v>
          </cell>
          <cell r="S32">
            <v>0</v>
          </cell>
          <cell r="Y32">
            <v>0</v>
          </cell>
          <cell r="AE32">
            <v>0</v>
          </cell>
        </row>
        <row r="37">
          <cell r="R37">
            <v>2.7638666474251836E-3</v>
          </cell>
          <cell r="S37">
            <v>0</v>
          </cell>
          <cell r="Y37">
            <v>0</v>
          </cell>
          <cell r="AE37">
            <v>0</v>
          </cell>
        </row>
        <row r="38">
          <cell r="R38">
            <v>3.7268518199816273E-4</v>
          </cell>
          <cell r="S38">
            <v>0</v>
          </cell>
          <cell r="Y38">
            <v>0</v>
          </cell>
          <cell r="AE38">
            <v>0</v>
          </cell>
        </row>
        <row r="39">
          <cell r="R39">
            <v>2.1158820995746753E-4</v>
          </cell>
          <cell r="S39">
            <v>0</v>
          </cell>
          <cell r="Y39">
            <v>0</v>
          </cell>
          <cell r="AE39">
            <v>0</v>
          </cell>
        </row>
        <row r="40">
          <cell r="R40">
            <v>0</v>
          </cell>
          <cell r="S40">
            <v>0</v>
          </cell>
          <cell r="Y40">
            <v>0</v>
          </cell>
          <cell r="AE40">
            <v>0</v>
          </cell>
        </row>
        <row r="41">
          <cell r="R41">
            <v>5.0584444142799841E-3</v>
          </cell>
          <cell r="S41">
            <v>0</v>
          </cell>
          <cell r="Y41">
            <v>0</v>
          </cell>
          <cell r="AE41">
            <v>0</v>
          </cell>
        </row>
        <row r="42">
          <cell r="R42">
            <v>4.9582431115809881E-4</v>
          </cell>
          <cell r="S42">
            <v>0</v>
          </cell>
          <cell r="Y42">
            <v>0</v>
          </cell>
          <cell r="AE42">
            <v>0</v>
          </cell>
        </row>
        <row r="43">
          <cell r="R43">
            <v>1.1046479373140781E-4</v>
          </cell>
          <cell r="S43">
            <v>0</v>
          </cell>
          <cell r="Y43">
            <v>0</v>
          </cell>
          <cell r="AE43">
            <v>0</v>
          </cell>
        </row>
        <row r="44">
          <cell r="R44">
            <v>0</v>
          </cell>
          <cell r="S44">
            <v>0</v>
          </cell>
          <cell r="Y44">
            <v>0</v>
          </cell>
          <cell r="AE44">
            <v>0</v>
          </cell>
        </row>
        <row r="45">
          <cell r="R45">
            <v>4.0305609715728986E-4</v>
          </cell>
          <cell r="S45">
            <v>0</v>
          </cell>
          <cell r="Y45">
            <v>0</v>
          </cell>
          <cell r="AE45">
            <v>0</v>
          </cell>
        </row>
        <row r="50">
          <cell r="R50">
            <v>4.0748563283698269E-11</v>
          </cell>
          <cell r="S50">
            <v>0</v>
          </cell>
          <cell r="Y50">
            <v>0</v>
          </cell>
          <cell r="AE50">
            <v>0</v>
          </cell>
        </row>
        <row r="51">
          <cell r="R51">
            <v>0</v>
          </cell>
          <cell r="S51">
            <v>0</v>
          </cell>
          <cell r="Y51">
            <v>0</v>
          </cell>
          <cell r="AE51">
            <v>0</v>
          </cell>
        </row>
        <row r="52">
          <cell r="R52">
            <v>2.9875023200695821E-13</v>
          </cell>
          <cell r="S52">
            <v>0</v>
          </cell>
          <cell r="Y52">
            <v>0</v>
          </cell>
          <cell r="AE52">
            <v>0</v>
          </cell>
        </row>
        <row r="53">
          <cell r="R53">
            <v>0</v>
          </cell>
          <cell r="S53">
            <v>0</v>
          </cell>
          <cell r="Y53">
            <v>0</v>
          </cell>
          <cell r="AE53">
            <v>0</v>
          </cell>
        </row>
        <row r="54">
          <cell r="R54">
            <v>9.8689398455007613E-11</v>
          </cell>
          <cell r="S54">
            <v>0</v>
          </cell>
          <cell r="Y54">
            <v>0</v>
          </cell>
          <cell r="AE54">
            <v>0</v>
          </cell>
        </row>
        <row r="55">
          <cell r="R55">
            <v>4.6762214900784223E-11</v>
          </cell>
          <cell r="S55">
            <v>0</v>
          </cell>
          <cell r="Y55">
            <v>0</v>
          </cell>
          <cell r="AE55">
            <v>0</v>
          </cell>
        </row>
        <row r="56">
          <cell r="R56">
            <v>0</v>
          </cell>
          <cell r="S56">
            <v>0</v>
          </cell>
          <cell r="Y56">
            <v>0</v>
          </cell>
          <cell r="AE56">
            <v>0</v>
          </cell>
        </row>
        <row r="57">
          <cell r="R57">
            <v>4.2707243383849462E-12</v>
          </cell>
          <cell r="S57">
            <v>0</v>
          </cell>
          <cell r="Y57">
            <v>0</v>
          </cell>
          <cell r="AE57">
            <v>0</v>
          </cell>
        </row>
        <row r="58">
          <cell r="R58">
            <v>0</v>
          </cell>
          <cell r="S58">
            <v>0</v>
          </cell>
          <cell r="Y58">
            <v>0</v>
          </cell>
          <cell r="AE58">
            <v>0</v>
          </cell>
        </row>
        <row r="59">
          <cell r="R59">
            <v>0</v>
          </cell>
          <cell r="S59">
            <v>0</v>
          </cell>
          <cell r="Y59">
            <v>0</v>
          </cell>
          <cell r="AE59">
            <v>0</v>
          </cell>
        </row>
      </sheetData>
      <sheetData sheetId="20">
        <row r="11">
          <cell r="H11">
            <v>5004.1429709956828</v>
          </cell>
          <cell r="I11">
            <v>497.26425971582665</v>
          </cell>
          <cell r="J11">
            <v>97.595237145002869</v>
          </cell>
          <cell r="R11">
            <v>685.83410552712212</v>
          </cell>
          <cell r="S11">
            <v>118.15332141684729</v>
          </cell>
          <cell r="T11">
            <v>13.375745369188042</v>
          </cell>
          <cell r="U11">
            <v>817.36317231315752</v>
          </cell>
          <cell r="V11">
            <v>837.97741676559087</v>
          </cell>
          <cell r="AB11">
            <v>542.432480614317</v>
          </cell>
          <cell r="AC11">
            <v>82.048063717203121</v>
          </cell>
          <cell r="AD11">
            <v>10.578999618424792</v>
          </cell>
          <cell r="AJ11">
            <v>685.83410552712212</v>
          </cell>
          <cell r="AK11">
            <v>118.15332141684729</v>
          </cell>
          <cell r="AL11">
            <v>13.375745369188042</v>
          </cell>
        </row>
        <row r="12">
          <cell r="H12">
            <v>1096.1498398291596</v>
          </cell>
          <cell r="I12">
            <v>109.24471997511142</v>
          </cell>
          <cell r="J12">
            <v>21.378086954077961</v>
          </cell>
          <cell r="R12">
            <v>167.87491720657516</v>
          </cell>
          <cell r="S12">
            <v>22.47791144333495</v>
          </cell>
          <cell r="T12">
            <v>3.2740456158896496</v>
          </cell>
          <cell r="U12">
            <v>193.62687426579978</v>
          </cell>
          <cell r="V12">
            <v>198.51022582099625</v>
          </cell>
          <cell r="AB12">
            <v>140.50900979738628</v>
          </cell>
          <cell r="AC12">
            <v>21.253322027546712</v>
          </cell>
          <cell r="AD12">
            <v>2.7403314037322439</v>
          </cell>
          <cell r="AJ12">
            <v>127.375969904081</v>
          </cell>
          <cell r="AK12">
            <v>21.943927535205358</v>
          </cell>
          <cell r="AL12">
            <v>2.4841992048220907</v>
          </cell>
        </row>
        <row r="13">
          <cell r="H13">
            <v>244.09749984720008</v>
          </cell>
          <cell r="I13">
            <v>24.543016264522759</v>
          </cell>
          <cell r="J13">
            <v>4.7606060662470924</v>
          </cell>
          <cell r="R13">
            <v>31.741027992298136</v>
          </cell>
          <cell r="S13">
            <v>5.2545652299399785</v>
          </cell>
          <cell r="T13">
            <v>0.61904169646818508</v>
          </cell>
          <cell r="U13">
            <v>37.614634918706301</v>
          </cell>
          <cell r="V13">
            <v>38.563291899432329</v>
          </cell>
          <cell r="AB13">
            <v>31.248687463635004</v>
          </cell>
          <cell r="AC13">
            <v>4.7266607213336913</v>
          </cell>
          <cell r="AD13">
            <v>0.60943963455079464</v>
          </cell>
          <cell r="AJ13">
            <v>27.770960054900588</v>
          </cell>
          <cell r="AK13">
            <v>4.7842927946827469</v>
          </cell>
          <cell r="AL13">
            <v>0.54161390831788114</v>
          </cell>
        </row>
        <row r="14">
          <cell r="H14">
            <v>8.6405391582405286</v>
          </cell>
          <cell r="I14">
            <v>0.88814947872569261</v>
          </cell>
          <cell r="J14">
            <v>0.16851546270696977</v>
          </cell>
          <cell r="R14">
            <v>1.5899491110589343</v>
          </cell>
          <cell r="S14">
            <v>0.24985822148101944</v>
          </cell>
          <cell r="T14">
            <v>3.2306199730808637E-2</v>
          </cell>
          <cell r="U14">
            <v>1.8721135322707625</v>
          </cell>
          <cell r="V14">
            <v>1.9193290263181897</v>
          </cell>
          <cell r="AB14">
            <v>1.4305792617941337</v>
          </cell>
          <cell r="AC14">
            <v>0.21638869835239813</v>
          </cell>
          <cell r="AD14">
            <v>2.7900426330493434E-2</v>
          </cell>
          <cell r="AJ14">
            <v>0.73547232858852107</v>
          </cell>
          <cell r="AK14">
            <v>0.12670483682949502</v>
          </cell>
          <cell r="AL14">
            <v>1.4343834046752317E-2</v>
          </cell>
        </row>
        <row r="15">
          <cell r="H15">
            <v>10456.606075527796</v>
          </cell>
          <cell r="I15">
            <v>1127.9480746172367</v>
          </cell>
          <cell r="J15">
            <v>203.9340113957534</v>
          </cell>
          <cell r="R15">
            <v>1732.786296376644</v>
          </cell>
          <cell r="S15">
            <v>298.38632525830974</v>
          </cell>
          <cell r="T15">
            <v>33.794336112431523</v>
          </cell>
          <cell r="U15">
            <v>2064.9669577473855</v>
          </cell>
          <cell r="V15">
            <v>2117.0462966448486</v>
          </cell>
          <cell r="AB15">
            <v>1503.7745365634878</v>
          </cell>
          <cell r="AC15">
            <v>227.46017873512287</v>
          </cell>
          <cell r="AD15">
            <v>29.327945536162215</v>
          </cell>
          <cell r="AJ15">
            <v>1693.9671757376011</v>
          </cell>
          <cell r="AK15">
            <v>291.83128481294045</v>
          </cell>
          <cell r="AL15">
            <v>33.037251171716079</v>
          </cell>
        </row>
        <row r="16">
          <cell r="H16">
            <v>396.51543480131897</v>
          </cell>
          <cell r="I16">
            <v>37.380288122634127</v>
          </cell>
          <cell r="J16">
            <v>7.7331958969567243</v>
          </cell>
          <cell r="R16">
            <v>90.15300058007594</v>
          </cell>
          <cell r="S16">
            <v>9.2870532807505981</v>
          </cell>
          <cell r="T16">
            <v>1.758243823556352</v>
          </cell>
          <cell r="U16">
            <v>101.19829768438289</v>
          </cell>
          <cell r="V16">
            <v>103.75056149721435</v>
          </cell>
          <cell r="AB16">
            <v>45.07650029003797</v>
          </cell>
          <cell r="AC16">
            <v>6.8182487224160955</v>
          </cell>
          <cell r="AD16">
            <v>0.879121911778176</v>
          </cell>
          <cell r="AJ16">
            <v>36.06120023203038</v>
          </cell>
          <cell r="AK16">
            <v>6.2125090416983895</v>
          </cell>
          <cell r="AL16">
            <v>0.70329752942254087</v>
          </cell>
        </row>
        <row r="17">
          <cell r="H17">
            <v>90.021981050319653</v>
          </cell>
          <cell r="I17">
            <v>8.4865488041275725</v>
          </cell>
          <cell r="J17">
            <v>1.7556885644138165</v>
          </cell>
          <cell r="R17">
            <v>20.467681703022716</v>
          </cell>
          <cell r="S17">
            <v>2.1084650459368657</v>
          </cell>
          <cell r="T17">
            <v>0.39917889260815476</v>
          </cell>
          <cell r="U17">
            <v>22.975325641567736</v>
          </cell>
          <cell r="V17">
            <v>23.554773058814572</v>
          </cell>
          <cell r="AB17">
            <v>10.233840851511358</v>
          </cell>
          <cell r="AC17">
            <v>1.5479656109560003</v>
          </cell>
          <cell r="AD17">
            <v>0.19958944630407738</v>
          </cell>
          <cell r="AJ17">
            <v>8.1870726812090862</v>
          </cell>
          <cell r="AK17">
            <v>1.4104428784895604</v>
          </cell>
          <cell r="AL17">
            <v>0.15967155704326191</v>
          </cell>
        </row>
        <row r="18">
          <cell r="H18">
            <v>0.17605145250000001</v>
          </cell>
          <cell r="I18">
            <v>1.6364754305436609E-2</v>
          </cell>
          <cell r="J18">
            <v>3.4335116634449437E-3</v>
          </cell>
          <cell r="R18">
            <v>3.6084744132818647E-2</v>
          </cell>
          <cell r="S18">
            <v>5.8305642099131787E-3</v>
          </cell>
          <cell r="T18">
            <v>2.3458556782324628E-3</v>
          </cell>
          <cell r="U18">
            <v>4.4261164020964291E-2</v>
          </cell>
          <cell r="V18">
            <v>4.5377449273082106E-2</v>
          </cell>
          <cell r="AB18">
            <v>3.6084744132818647E-2</v>
          </cell>
          <cell r="AC18">
            <v>5.4581602165036935E-3</v>
          </cell>
          <cell r="AD18">
            <v>7.0375670346973878E-4</v>
          </cell>
          <cell r="AJ18">
            <v>1.2028248044272884E-3</v>
          </cell>
          <cell r="AK18">
            <v>2.0721883700494049E-4</v>
          </cell>
          <cell r="AL18">
            <v>2.345855678232463E-5</v>
          </cell>
        </row>
        <row r="19">
          <cell r="H19">
            <v>0</v>
          </cell>
          <cell r="I19">
            <v>0</v>
          </cell>
          <cell r="J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B19">
            <v>0</v>
          </cell>
          <cell r="AC19">
            <v>0</v>
          </cell>
          <cell r="AD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AB20">
            <v>0</v>
          </cell>
          <cell r="AC20">
            <v>0</v>
          </cell>
          <cell r="AD20">
            <v>0</v>
          </cell>
          <cell r="AJ20">
            <v>0</v>
          </cell>
          <cell r="AK20">
            <v>0</v>
          </cell>
          <cell r="AL20">
            <v>0</v>
          </cell>
        </row>
        <row r="22">
          <cell r="I22">
            <v>1805.7714217324901</v>
          </cell>
          <cell r="J22">
            <v>337.32877499682229</v>
          </cell>
          <cell r="S22">
            <v>455.92333046081035</v>
          </cell>
          <cell r="T22">
            <v>53.255243565550948</v>
          </cell>
        </row>
        <row r="25">
          <cell r="H25">
            <v>1211.3663986092286</v>
          </cell>
          <cell r="I25">
            <v>73.986866320098414</v>
          </cell>
          <cell r="J25">
            <v>15.936638779973917</v>
          </cell>
          <cell r="R25">
            <v>148.31528371685744</v>
          </cell>
          <cell r="S25">
            <v>15.028148288470524</v>
          </cell>
          <cell r="T25">
            <v>1.951223927672594</v>
          </cell>
          <cell r="U25">
            <v>165.29465593300057</v>
          </cell>
          <cell r="V25">
            <v>169.46345697457508</v>
          </cell>
          <cell r="AB25">
            <v>147.58402995343607</v>
          </cell>
          <cell r="AC25">
            <v>13.640430746949928</v>
          </cell>
          <cell r="AD25">
            <v>1.9416036120541962</v>
          </cell>
          <cell r="AJ25">
            <v>136.16251250675901</v>
          </cell>
          <cell r="AK25">
            <v>14.27100581925786</v>
          </cell>
          <cell r="AL25">
            <v>1.7913430483834187</v>
          </cell>
        </row>
        <row r="26">
          <cell r="H26">
            <v>0</v>
          </cell>
          <cell r="I26">
            <v>0</v>
          </cell>
          <cell r="J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AB26">
            <v>0</v>
          </cell>
          <cell r="AC26">
            <v>0</v>
          </cell>
          <cell r="AD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H27">
            <v>252.98851961016715</v>
          </cell>
          <cell r="I27">
            <v>15.199519181407879</v>
          </cell>
          <cell r="J27">
            <v>3.3282965889894927</v>
          </cell>
          <cell r="R27">
            <v>36.633128489289597</v>
          </cell>
          <cell r="S27">
            <v>2.9124158650135024</v>
          </cell>
          <cell r="T27">
            <v>0.48194248807334572</v>
          </cell>
          <cell r="U27">
            <v>40.02748684237644</v>
          </cell>
          <cell r="V27">
            <v>41.036996967783921</v>
          </cell>
          <cell r="AB27">
            <v>29.487830243065332</v>
          </cell>
          <cell r="AC27">
            <v>2.7254080704751997</v>
          </cell>
          <cell r="AD27">
            <v>0.38793951980875302</v>
          </cell>
          <cell r="AJ27">
            <v>26.711786021937066</v>
          </cell>
          <cell r="AK27">
            <v>2.7996255852205429</v>
          </cell>
          <cell r="AL27">
            <v>0.35141810561058134</v>
          </cell>
        </row>
        <row r="28">
          <cell r="H28">
            <v>8.6112217104417237</v>
          </cell>
          <cell r="I28">
            <v>0.51015616538010522</v>
          </cell>
          <cell r="J28">
            <v>0.1132885392983802</v>
          </cell>
          <cell r="R28">
            <v>1.301174561372529</v>
          </cell>
          <cell r="S28">
            <v>0.10974313215650573</v>
          </cell>
          <cell r="T28">
            <v>1.7118147736384655E-2</v>
          </cell>
          <cell r="U28">
            <v>1.4280358412654193</v>
          </cell>
          <cell r="V28">
            <v>1.4640515083713543</v>
          </cell>
          <cell r="AB28">
            <v>1.187376997386334</v>
          </cell>
          <cell r="AC28">
            <v>0.10974313215650573</v>
          </cell>
          <cell r="AD28">
            <v>1.5621036149526129E-2</v>
          </cell>
          <cell r="AJ28">
            <v>0.78237165099379291</v>
          </cell>
          <cell r="AK28">
            <v>8.1999297593752643E-2</v>
          </cell>
          <cell r="AL28">
            <v>1.0292818430406241E-2</v>
          </cell>
        </row>
        <row r="29">
          <cell r="H29">
            <v>190.27305724476437</v>
          </cell>
          <cell r="I29">
            <v>11.79584143049742</v>
          </cell>
          <cell r="J29">
            <v>2.5032170170416741</v>
          </cell>
          <cell r="R29">
            <v>24.035008531759271</v>
          </cell>
          <cell r="S29">
            <v>2.5163278247515795</v>
          </cell>
          <cell r="T29">
            <v>0.31620263653012359</v>
          </cell>
          <cell r="U29">
            <v>26.867538993040977</v>
          </cell>
          <cell r="V29">
            <v>27.545149675047131</v>
          </cell>
          <cell r="AB29">
            <v>23.100415877771585</v>
          </cell>
          <cell r="AC29">
            <v>2.1350523027857569</v>
          </cell>
          <cell r="AD29">
            <v>0.30390721084379202</v>
          </cell>
          <cell r="AJ29">
            <v>23.416426810452833</v>
          </cell>
          <cell r="AK29">
            <v>2.4542435147971426</v>
          </cell>
          <cell r="AL29">
            <v>0.30806462522349226</v>
          </cell>
        </row>
        <row r="30">
          <cell r="H30">
            <v>9.2586596461890274</v>
          </cell>
          <cell r="I30">
            <v>0.55346473670948171</v>
          </cell>
          <cell r="J30">
            <v>0.12180618063819516</v>
          </cell>
          <cell r="R30">
            <v>1.6812260479565826</v>
          </cell>
          <cell r="S30">
            <v>0.17620699172017187</v>
          </cell>
          <cell r="T30">
            <v>2.2118074485579543E-2</v>
          </cell>
          <cell r="U30">
            <v>1.879551114162334</v>
          </cell>
          <cell r="V30">
            <v>1.9269541871666329</v>
          </cell>
          <cell r="AB30">
            <v>0.8359942710992897</v>
          </cell>
          <cell r="AC30">
            <v>7.726663896747217E-2</v>
          </cell>
          <cell r="AD30">
            <v>1.0998273301895322E-2</v>
          </cell>
          <cell r="AJ30">
            <v>1.6812260479565826</v>
          </cell>
          <cell r="AK30">
            <v>0.17620699172017187</v>
          </cell>
          <cell r="AL30">
            <v>2.2118074485579543E-2</v>
          </cell>
        </row>
        <row r="31">
          <cell r="H31">
            <v>14.611284000000001</v>
          </cell>
          <cell r="I31">
            <v>0.88455412703416203</v>
          </cell>
          <cell r="J31">
            <v>0.19222487555123971</v>
          </cell>
          <cell r="R31">
            <v>2.0115944266508743</v>
          </cell>
          <cell r="S31">
            <v>0.17151479004202652</v>
          </cell>
          <cell r="T31">
            <v>2.6464374268718043E-2</v>
          </cell>
          <cell r="U31">
            <v>2.209573590961619</v>
          </cell>
          <cell r="V31">
            <v>2.2652999702292584</v>
          </cell>
          <cell r="AB31">
            <v>1.837632165107957</v>
          </cell>
          <cell r="AC31">
            <v>0.16984286371927432</v>
          </cell>
          <cell r="AD31">
            <v>2.4175740766303095E-2</v>
          </cell>
          <cell r="AJ31">
            <v>1.5505938425621768</v>
          </cell>
          <cell r="AK31">
            <v>0.16251560978952845</v>
          </cell>
          <cell r="AL31">
            <v>2.0399487712170469E-2</v>
          </cell>
        </row>
        <row r="32">
          <cell r="H32">
            <v>1235.0571142844228</v>
          </cell>
          <cell r="I32">
            <v>42.560238262013769</v>
          </cell>
          <cell r="J32">
            <v>16.248311927411471</v>
          </cell>
          <cell r="R32">
            <v>179.73535280924219</v>
          </cell>
          <cell r="S32">
            <v>10.323923615645183</v>
          </cell>
          <cell r="T32">
            <v>2.3645838261657728</v>
          </cell>
          <cell r="U32">
            <v>192.42386025105316</v>
          </cell>
          <cell r="V32">
            <v>197.27687128465564</v>
          </cell>
          <cell r="AB32">
            <v>1.837632165107957</v>
          </cell>
          <cell r="AC32">
            <v>7.7415512323027915</v>
          </cell>
          <cell r="AD32">
            <v>2.0009855852924834</v>
          </cell>
          <cell r="AJ32">
            <v>179.73535280924219</v>
          </cell>
          <cell r="AK32">
            <v>10.323923615645183</v>
          </cell>
          <cell r="AL32">
            <v>2.3645838261657728</v>
          </cell>
        </row>
        <row r="33">
          <cell r="H33">
            <v>0.33764713200000002</v>
          </cell>
          <cell r="I33">
            <v>0</v>
          </cell>
          <cell r="J33">
            <v>4.4420584754175617E-3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AB33">
            <v>0</v>
          </cell>
          <cell r="AC33">
            <v>0</v>
          </cell>
          <cell r="AD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AB34">
            <v>0</v>
          </cell>
          <cell r="AC34">
            <v>0</v>
          </cell>
          <cell r="AD34">
            <v>0</v>
          </cell>
          <cell r="AJ34">
            <v>0</v>
          </cell>
          <cell r="AK34">
            <v>0</v>
          </cell>
          <cell r="AL34">
            <v>0</v>
          </cell>
        </row>
        <row r="36">
          <cell r="I36">
            <v>145.49064022314124</v>
          </cell>
          <cell r="J36">
            <v>38.448225967379791</v>
          </cell>
          <cell r="S36">
            <v>31.238280507799495</v>
          </cell>
          <cell r="T36">
            <v>5.1796534749325183</v>
          </cell>
        </row>
        <row r="39">
          <cell r="H39">
            <v>227.82383538265128</v>
          </cell>
          <cell r="I39">
            <v>6.074750777164196</v>
          </cell>
          <cell r="J39">
            <v>0</v>
          </cell>
          <cell r="R39">
            <v>30.885929481264355</v>
          </cell>
          <cell r="S39">
            <v>1.3592483152423274</v>
          </cell>
          <cell r="T39">
            <v>0</v>
          </cell>
          <cell r="U39">
            <v>32.245177796506681</v>
          </cell>
          <cell r="V39">
            <v>33.058414800601469</v>
          </cell>
          <cell r="AB39">
            <v>28.891924336914951</v>
          </cell>
          <cell r="AC39">
            <v>1.1275504637508811</v>
          </cell>
          <cell r="AD39">
            <v>0</v>
          </cell>
          <cell r="AJ39">
            <v>30.537449336066775</v>
          </cell>
          <cell r="AK39">
            <v>1.3511450016097442</v>
          </cell>
          <cell r="AL39">
            <v>0</v>
          </cell>
        </row>
        <row r="40">
          <cell r="H40">
            <v>35.5944</v>
          </cell>
          <cell r="I40">
            <v>0.91212889281145271</v>
          </cell>
          <cell r="J40">
            <v>0</v>
          </cell>
          <cell r="R40">
            <v>4.1496930186553485</v>
          </cell>
          <cell r="S40">
            <v>0.18328370010857967</v>
          </cell>
          <cell r="T40">
            <v>0</v>
          </cell>
          <cell r="U40">
            <v>4.3329767187639279</v>
          </cell>
          <cell r="V40">
            <v>4.4422562218207169</v>
          </cell>
          <cell r="AB40">
            <v>4.0071261921425334</v>
          </cell>
          <cell r="AC40">
            <v>0.15638407963313489</v>
          </cell>
          <cell r="AD40">
            <v>0</v>
          </cell>
          <cell r="AJ40">
            <v>4.1424249059311657</v>
          </cell>
          <cell r="AK40">
            <v>0.18328370010857967</v>
          </cell>
          <cell r="AL40">
            <v>0</v>
          </cell>
        </row>
        <row r="41">
          <cell r="H41">
            <v>16.688775793919998</v>
          </cell>
          <cell r="I41">
            <v>0.43784967332344177</v>
          </cell>
          <cell r="J41">
            <v>0</v>
          </cell>
          <cell r="R41">
            <v>2.4552104612483809</v>
          </cell>
          <cell r="S41">
            <v>0.10405745088235585</v>
          </cell>
          <cell r="T41">
            <v>0</v>
          </cell>
          <cell r="U41">
            <v>2.5592679121307369</v>
          </cell>
          <cell r="V41">
            <v>2.6238137298859305</v>
          </cell>
          <cell r="AB41">
            <v>1.8572780001339424</v>
          </cell>
          <cell r="AC41">
            <v>7.2483045640875765E-2</v>
          </cell>
          <cell r="AD41">
            <v>0</v>
          </cell>
          <cell r="AJ41">
            <v>2.3518194794595484</v>
          </cell>
          <cell r="AK41">
            <v>0.10405745088235585</v>
          </cell>
          <cell r="AL41">
            <v>0</v>
          </cell>
        </row>
        <row r="42">
          <cell r="H42">
            <v>0</v>
          </cell>
          <cell r="I42">
            <v>0</v>
          </cell>
          <cell r="J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AB42">
            <v>0</v>
          </cell>
          <cell r="AC42">
            <v>0</v>
          </cell>
          <cell r="AD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H43">
            <v>414.7353139065051</v>
          </cell>
          <cell r="I43">
            <v>11.722084672171171</v>
          </cell>
          <cell r="J43">
            <v>0</v>
          </cell>
          <cell r="R43">
            <v>51.745004746996059</v>
          </cell>
          <cell r="S43">
            <v>2.4877039759723614</v>
          </cell>
          <cell r="T43">
            <v>0</v>
          </cell>
          <cell r="U43">
            <v>54.232708722968418</v>
          </cell>
          <cell r="V43">
            <v>55.600480544359655</v>
          </cell>
          <cell r="AB43">
            <v>47.363238903706865</v>
          </cell>
          <cell r="AC43">
            <v>2.0232597658278464</v>
          </cell>
          <cell r="AD43">
            <v>0</v>
          </cell>
          <cell r="AJ43">
            <v>51.745004746996059</v>
          </cell>
          <cell r="AK43">
            <v>2.4877039759723614</v>
          </cell>
          <cell r="AL43">
            <v>0</v>
          </cell>
        </row>
        <row r="44">
          <cell r="H44">
            <v>34.61275435448276</v>
          </cell>
          <cell r="I44">
            <v>0.92487655229578469</v>
          </cell>
          <cell r="J44">
            <v>0</v>
          </cell>
          <cell r="R44">
            <v>5.5111259441423073</v>
          </cell>
          <cell r="S44">
            <v>0.24384257475869292</v>
          </cell>
          <cell r="T44">
            <v>0</v>
          </cell>
          <cell r="U44">
            <v>5.7549685189010003</v>
          </cell>
          <cell r="V44">
            <v>5.9001112557935196</v>
          </cell>
          <cell r="AB44">
            <v>4.347318097983468</v>
          </cell>
          <cell r="AC44">
            <v>0.16966057643972321</v>
          </cell>
          <cell r="AD44">
            <v>0</v>
          </cell>
          <cell r="AJ44">
            <v>5.5111259441423073</v>
          </cell>
          <cell r="AK44">
            <v>0.24384257475869292</v>
          </cell>
          <cell r="AL44">
            <v>0</v>
          </cell>
        </row>
        <row r="45">
          <cell r="H45">
            <v>8.3104927379999989</v>
          </cell>
          <cell r="I45">
            <v>0.2284365336667972</v>
          </cell>
          <cell r="J45">
            <v>0</v>
          </cell>
          <cell r="R45">
            <v>1.3102357441248764</v>
          </cell>
          <cell r="S45">
            <v>5.4325734171323373E-2</v>
          </cell>
          <cell r="T45">
            <v>0</v>
          </cell>
          <cell r="U45">
            <v>1.3645614782961999</v>
          </cell>
          <cell r="V45">
            <v>1.3989762951570635</v>
          </cell>
          <cell r="AB45">
            <v>1.185638260408022</v>
          </cell>
          <cell r="AC45">
            <v>4.6271302484886763E-2</v>
          </cell>
          <cell r="AD45">
            <v>0</v>
          </cell>
          <cell r="AJ45">
            <v>1.2278248100129412</v>
          </cell>
          <cell r="AK45">
            <v>5.4325734171323373E-2</v>
          </cell>
          <cell r="AL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AB46">
            <v>0</v>
          </cell>
          <cell r="AC46">
            <v>0</v>
          </cell>
          <cell r="AD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H47">
            <v>39.244800000000005</v>
          </cell>
          <cell r="I47">
            <v>1.0079804361457532</v>
          </cell>
          <cell r="J47">
            <v>0</v>
          </cell>
          <cell r="R47">
            <v>4.4799999999999995</v>
          </cell>
          <cell r="S47">
            <v>0.19821988210595248</v>
          </cell>
          <cell r="T47">
            <v>0</v>
          </cell>
          <cell r="U47">
            <v>4.6782198821059522</v>
          </cell>
          <cell r="V47">
            <v>4.7962065635697675</v>
          </cell>
          <cell r="AB47">
            <v>0</v>
          </cell>
          <cell r="AC47">
            <v>0</v>
          </cell>
          <cell r="AD47">
            <v>0</v>
          </cell>
          <cell r="AJ47">
            <v>0</v>
          </cell>
          <cell r="AK47">
            <v>0</v>
          </cell>
          <cell r="AL47">
            <v>0</v>
          </cell>
        </row>
        <row r="49">
          <cell r="I49">
            <v>21.3081075375786</v>
          </cell>
          <cell r="J49">
            <v>0</v>
          </cell>
          <cell r="S49">
            <v>4.6306816332415934</v>
          </cell>
          <cell r="T49">
            <v>0</v>
          </cell>
        </row>
        <row r="52">
          <cell r="H52">
            <v>647.89480280865871</v>
          </cell>
          <cell r="I52">
            <v>1.0428865333111357E-7</v>
          </cell>
          <cell r="J52">
            <v>0</v>
          </cell>
          <cell r="R52">
            <v>95.522385198923516</v>
          </cell>
          <cell r="S52">
            <v>2.0039829361344591E-8</v>
          </cell>
          <cell r="T52">
            <v>0</v>
          </cell>
          <cell r="U52">
            <v>95.52238521896335</v>
          </cell>
          <cell r="V52">
            <v>97.931500121963637</v>
          </cell>
          <cell r="AB52">
            <v>80.765805494273479</v>
          </cell>
          <cell r="AC52">
            <v>2.0039829361344591E-8</v>
          </cell>
          <cell r="AD52">
            <v>0</v>
          </cell>
          <cell r="AJ52">
            <v>63.2533150448469</v>
          </cell>
          <cell r="AK52">
            <v>1.738391326578272E-8</v>
          </cell>
          <cell r="AL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AB53">
            <v>0</v>
          </cell>
          <cell r="AC53">
            <v>0</v>
          </cell>
          <cell r="AD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H54">
            <v>4.6745669736802009</v>
          </cell>
          <cell r="I54">
            <v>7.752683160749E-10</v>
          </cell>
          <cell r="J54">
            <v>0</v>
          </cell>
          <cell r="R54">
            <v>0.54490006019208181</v>
          </cell>
          <cell r="S54">
            <v>1.4692306154206546E-10</v>
          </cell>
          <cell r="T54">
            <v>0</v>
          </cell>
          <cell r="U54">
            <v>0.54490006033900484</v>
          </cell>
          <cell r="V54">
            <v>0.55864267002153456</v>
          </cell>
          <cell r="AB54">
            <v>0.54059343799814985</v>
          </cell>
          <cell r="AC54">
            <v>1.3413350099150137E-10</v>
          </cell>
          <cell r="AD54">
            <v>0</v>
          </cell>
          <cell r="AJ54">
            <v>0.53459601166821957</v>
          </cell>
          <cell r="AK54">
            <v>1.4692306154206546E-10</v>
          </cell>
          <cell r="AL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AB55">
            <v>0</v>
          </cell>
          <cell r="AC55">
            <v>0</v>
          </cell>
          <cell r="AD55">
            <v>0</v>
          </cell>
          <cell r="AJ55">
            <v>0</v>
          </cell>
          <cell r="AK55">
            <v>0</v>
          </cell>
          <cell r="AL55">
            <v>0</v>
          </cell>
        </row>
        <row r="56">
          <cell r="H56">
            <v>1555.2395194385535</v>
          </cell>
          <cell r="I56">
            <v>2.5827955698179857E-7</v>
          </cell>
          <cell r="J56">
            <v>0</v>
          </cell>
          <cell r="R56">
            <v>211.5987175319427</v>
          </cell>
          <cell r="S56">
            <v>4.8534685530944755E-8</v>
          </cell>
          <cell r="T56">
            <v>0</v>
          </cell>
          <cell r="U56">
            <v>211.59871758047737</v>
          </cell>
          <cell r="V56">
            <v>216.93532661521155</v>
          </cell>
          <cell r="AB56">
            <v>180.45708766362279</v>
          </cell>
          <cell r="AC56">
            <v>4.477549900843384E-8</v>
          </cell>
          <cell r="AD56">
            <v>0</v>
          </cell>
          <cell r="AJ56">
            <v>176.59888815334546</v>
          </cell>
          <cell r="AK56">
            <v>4.8534685530944755E-8</v>
          </cell>
          <cell r="AL56">
            <v>0</v>
          </cell>
        </row>
        <row r="57">
          <cell r="H57">
            <v>680.75377750250368</v>
          </cell>
          <cell r="I57">
            <v>1.1376000744249432E-7</v>
          </cell>
          <cell r="J57">
            <v>0</v>
          </cell>
          <cell r="R57">
            <v>84.029839592086248</v>
          </cell>
          <cell r="S57">
            <v>2.299729687758432E-8</v>
          </cell>
          <cell r="T57">
            <v>0</v>
          </cell>
          <cell r="U57">
            <v>84.029839615083546</v>
          </cell>
          <cell r="V57">
            <v>86.149107663608291</v>
          </cell>
          <cell r="AB57">
            <v>80.955308606922458</v>
          </cell>
          <cell r="AC57">
            <v>2.0086849384455713E-8</v>
          </cell>
          <cell r="AD57">
            <v>0</v>
          </cell>
          <cell r="AJ57">
            <v>81.333579710760432</v>
          </cell>
          <cell r="AK57">
            <v>2.235291374507448E-8</v>
          </cell>
          <cell r="AL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B58">
            <v>0</v>
          </cell>
          <cell r="AC58">
            <v>0</v>
          </cell>
          <cell r="AD58">
            <v>0</v>
          </cell>
          <cell r="AJ58">
            <v>0</v>
          </cell>
          <cell r="AK58">
            <v>0</v>
          </cell>
          <cell r="AL58">
            <v>0</v>
          </cell>
        </row>
        <row r="59">
          <cell r="H59">
            <v>66.945765103448267</v>
          </cell>
          <cell r="I59">
            <v>1.110500532878943E-8</v>
          </cell>
          <cell r="J59">
            <v>0</v>
          </cell>
          <cell r="R59">
            <v>7.6422106282475175</v>
          </cell>
          <cell r="S59">
            <v>2.1003093138455331E-9</v>
          </cell>
          <cell r="T59">
            <v>0</v>
          </cell>
          <cell r="U59">
            <v>7.6422106303478268</v>
          </cell>
          <cell r="V59">
            <v>7.8349504104447671</v>
          </cell>
          <cell r="AB59">
            <v>7.6422106282475175</v>
          </cell>
          <cell r="AC59">
            <v>1.8962059004586162E-9</v>
          </cell>
          <cell r="AD59">
            <v>0</v>
          </cell>
          <cell r="AJ59">
            <v>7.6422106282475175</v>
          </cell>
          <cell r="AK59">
            <v>2.1003093138455331E-9</v>
          </cell>
          <cell r="AL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AB60">
            <v>0</v>
          </cell>
          <cell r="AC60">
            <v>0</v>
          </cell>
          <cell r="AD60">
            <v>0</v>
          </cell>
          <cell r="AJ60">
            <v>0</v>
          </cell>
          <cell r="AK60">
            <v>0</v>
          </cell>
          <cell r="A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AB61">
            <v>0</v>
          </cell>
          <cell r="AC61">
            <v>0</v>
          </cell>
          <cell r="AD61">
            <v>0</v>
          </cell>
          <cell r="AJ61">
            <v>0</v>
          </cell>
          <cell r="AK61">
            <v>0</v>
          </cell>
          <cell r="AL61">
            <v>0</v>
          </cell>
        </row>
        <row r="63">
          <cell r="I63">
            <v>4.8820849140027075E-7</v>
          </cell>
          <cell r="J63">
            <v>0</v>
          </cell>
          <cell r="S63">
            <v>9.3819044145261256E-8</v>
          </cell>
          <cell r="T63">
            <v>0</v>
          </cell>
        </row>
        <row r="66">
          <cell r="I66">
            <v>1972.5701699814185</v>
          </cell>
          <cell r="J66">
            <v>375.7770009642021</v>
          </cell>
          <cell r="K66">
            <v>26299.72026984745</v>
          </cell>
          <cell r="S66">
            <v>491.79229269567048</v>
          </cell>
          <cell r="T66">
            <v>58.434897040483463</v>
          </cell>
          <cell r="U66">
            <v>4174.2982739680356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SPDCL&gt;&gt;"/>
      <sheetName val="SPDCL_Output"/>
      <sheetName val="SPDCL_Output -FC VC"/>
      <sheetName val="FCRT_SPDCL"/>
      <sheetName val="SPDCL_Switch_Selection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  <sheetName val="TSNPDCL&gt;&g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K4">
            <v>3.7638542423190775</v>
          </cell>
        </row>
        <row r="8">
          <cell r="K8">
            <v>8.050951433214026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SPDCL"/>
      <sheetName val="TGNPDCL"/>
      <sheetName val="TSSPDCL_Int on CSD _20k GAP"/>
    </sheetNames>
    <sheetDataSet>
      <sheetData sheetId="0">
        <row r="13">
          <cell r="G13">
            <v>325.37984062500004</v>
          </cell>
        </row>
      </sheetData>
      <sheetData sheetId="1">
        <row r="13">
          <cell r="G13">
            <v>99.203014954797041</v>
          </cell>
          <cell r="H13">
            <v>105.36778073914364</v>
          </cell>
        </row>
      </sheetData>
      <sheetData sheetId="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NP"/>
      <sheetName val="Sales_SP"/>
      <sheetName val="NPDCL_Write-up"/>
      <sheetName val="S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AJ10">
            <v>4236623</v>
          </cell>
          <cell r="AK10">
            <v>4555.8551095252424</v>
          </cell>
          <cell r="AQ10">
            <v>4284.0799010317169</v>
          </cell>
          <cell r="AT10">
            <v>54.670261314302905</v>
          </cell>
          <cell r="AU10">
            <v>1616.2074911703376</v>
          </cell>
          <cell r="AW10">
            <v>305.13602400000002</v>
          </cell>
        </row>
        <row r="11">
          <cell r="AJ11">
            <v>3209831</v>
          </cell>
          <cell r="AK11">
            <v>2497.5844243891656</v>
          </cell>
          <cell r="AQ11">
            <v>1844.7571573783707</v>
          </cell>
          <cell r="AT11">
            <v>29.971013092669985</v>
          </cell>
          <cell r="AU11">
            <v>395.83490384870544</v>
          </cell>
          <cell r="AW11">
            <v>189.90199200000001</v>
          </cell>
        </row>
        <row r="12">
          <cell r="AJ12">
            <v>2082334</v>
          </cell>
          <cell r="AK12">
            <v>1275.7957494901088</v>
          </cell>
          <cell r="AQ12">
            <v>1530.7809994659958</v>
          </cell>
          <cell r="AT12">
            <v>15.309548993881304</v>
          </cell>
          <cell r="AU12">
            <v>298.50229489586917</v>
          </cell>
          <cell r="AW12">
            <v>97.508039999999994</v>
          </cell>
        </row>
        <row r="13">
          <cell r="AJ13">
            <v>1127497</v>
          </cell>
          <cell r="AK13">
            <v>1221.7886748990568</v>
          </cell>
          <cell r="AQ13">
            <v>313.97615791237502</v>
          </cell>
          <cell r="AT13">
            <v>14.661464098788681</v>
          </cell>
          <cell r="AU13">
            <v>97.332608952836253</v>
          </cell>
          <cell r="AW13">
            <v>92.393951999999999</v>
          </cell>
        </row>
        <row r="14">
          <cell r="AJ14">
            <v>705233</v>
          </cell>
          <cell r="AK14">
            <v>1371.4274098863536</v>
          </cell>
          <cell r="AQ14">
            <v>1339.266881197949</v>
          </cell>
          <cell r="AT14">
            <v>16.457128918636243</v>
          </cell>
          <cell r="AU14">
            <v>531.50088316616348</v>
          </cell>
          <cell r="AW14">
            <v>74.302812000000003</v>
          </cell>
        </row>
        <row r="15">
          <cell r="AJ15">
            <v>0</v>
          </cell>
          <cell r="AK15">
            <v>0</v>
          </cell>
          <cell r="AQ15">
            <v>795.33728434894351</v>
          </cell>
          <cell r="AT15">
            <v>0</v>
          </cell>
          <cell r="AU15">
            <v>270.41467667864083</v>
          </cell>
          <cell r="AW15">
            <v>0</v>
          </cell>
        </row>
        <row r="16">
          <cell r="AJ16">
            <v>705233</v>
          </cell>
          <cell r="AK16">
            <v>1371.4274098863536</v>
          </cell>
          <cell r="AQ16">
            <v>543.92959684900552</v>
          </cell>
          <cell r="AT16">
            <v>16.457128918636243</v>
          </cell>
          <cell r="AU16">
            <v>261.08620648752265</v>
          </cell>
          <cell r="AW16">
            <v>74.302812000000003</v>
          </cell>
        </row>
        <row r="17">
          <cell r="AJ17">
            <v>321559</v>
          </cell>
          <cell r="AK17">
            <v>686.84327524972286</v>
          </cell>
          <cell r="AQ17">
            <v>1100.0558624553967</v>
          </cell>
          <cell r="AT17">
            <v>8.2421193029966755</v>
          </cell>
          <cell r="AU17">
            <v>688.87170415546859</v>
          </cell>
          <cell r="AW17">
            <v>40.931220000000003</v>
          </cell>
        </row>
        <row r="18">
          <cell r="AJ18">
            <v>0</v>
          </cell>
          <cell r="AK18">
            <v>0</v>
          </cell>
          <cell r="AQ18">
            <v>718.81089337300034</v>
          </cell>
          <cell r="AT18">
            <v>0</v>
          </cell>
          <cell r="AU18">
            <v>366.59355562023018</v>
          </cell>
          <cell r="AW18">
            <v>0</v>
          </cell>
        </row>
        <row r="19">
          <cell r="AJ19">
            <v>227400</v>
          </cell>
          <cell r="AK19">
            <v>403.99030907961992</v>
          </cell>
          <cell r="AQ19">
            <v>209.28074586228914</v>
          </cell>
          <cell r="AT19">
            <v>4.8478837089554396</v>
          </cell>
          <cell r="AU19">
            <v>161.14617431396263</v>
          </cell>
          <cell r="AW19">
            <v>26.620740000000001</v>
          </cell>
        </row>
        <row r="20">
          <cell r="AJ20">
            <v>52930</v>
          </cell>
          <cell r="AK20">
            <v>136.47726351999231</v>
          </cell>
          <cell r="AQ20">
            <v>75.34855383060011</v>
          </cell>
          <cell r="AT20">
            <v>1.6377271622399077</v>
          </cell>
          <cell r="AU20">
            <v>67.813698447540105</v>
          </cell>
          <cell r="AW20">
            <v>7.4355840000000004</v>
          </cell>
        </row>
        <row r="21">
          <cell r="AJ21">
            <v>36199</v>
          </cell>
          <cell r="AK21">
            <v>120.79768892159314</v>
          </cell>
          <cell r="AQ21">
            <v>65.947872315430999</v>
          </cell>
          <cell r="AT21">
            <v>1.4495722670591176</v>
          </cell>
          <cell r="AU21">
            <v>62.650478699659445</v>
          </cell>
          <cell r="AW21">
            <v>5.9327519999999998</v>
          </cell>
        </row>
        <row r="22">
          <cell r="AJ22">
            <v>5030</v>
          </cell>
          <cell r="AK22">
            <v>25.578013728517526</v>
          </cell>
          <cell r="AQ22">
            <v>30.667797074076244</v>
          </cell>
          <cell r="AT22">
            <v>0.3069361647422103</v>
          </cell>
          <cell r="AU22">
            <v>30.66779707407624</v>
          </cell>
          <cell r="AW22">
            <v>0.94214399999999998</v>
          </cell>
        </row>
        <row r="23">
          <cell r="AJ23">
            <v>567411</v>
          </cell>
          <cell r="AK23">
            <v>1152.2661109903875</v>
          </cell>
          <cell r="AQ23">
            <v>1023.4617399733908</v>
          </cell>
          <cell r="AT23">
            <v>91.943428783198655</v>
          </cell>
          <cell r="AU23">
            <v>1031.6339175249939</v>
          </cell>
          <cell r="AW23">
            <v>46.364196</v>
          </cell>
        </row>
        <row r="24">
          <cell r="AJ24">
            <v>333514</v>
          </cell>
          <cell r="AK24">
            <v>391.89317190511298</v>
          </cell>
          <cell r="AQ24">
            <v>69.678439956150896</v>
          </cell>
          <cell r="AT24">
            <v>28.216308377168129</v>
          </cell>
          <cell r="AU24">
            <v>48.77490796930563</v>
          </cell>
          <cell r="AW24">
            <v>18.973050000000001</v>
          </cell>
        </row>
        <row r="25">
          <cell r="AJ25">
            <v>333514</v>
          </cell>
          <cell r="AK25">
            <v>391.89317190511298</v>
          </cell>
          <cell r="AQ25">
            <v>69.678439956150896</v>
          </cell>
          <cell r="AT25">
            <v>28.216308377168129</v>
          </cell>
          <cell r="AU25">
            <v>48.77490796930563</v>
          </cell>
          <cell r="AW25">
            <v>18.973050000000001</v>
          </cell>
        </row>
        <row r="26">
          <cell r="AJ26">
            <v>219350</v>
          </cell>
          <cell r="AK26">
            <v>746.42656550393235</v>
          </cell>
          <cell r="AQ26">
            <v>949.70780484072918</v>
          </cell>
          <cell r="AT26">
            <v>62.699831502330312</v>
          </cell>
          <cell r="AU26">
            <v>979.53345414344199</v>
          </cell>
          <cell r="AW26">
            <v>26.534592</v>
          </cell>
        </row>
        <row r="27">
          <cell r="AJ27">
            <v>92946</v>
          </cell>
          <cell r="AK27">
            <v>133.23463323668503</v>
          </cell>
          <cell r="AQ27">
            <v>183.94967809169142</v>
          </cell>
          <cell r="AT27">
            <v>11.191709191881543</v>
          </cell>
          <cell r="AU27">
            <v>156.35722637793771</v>
          </cell>
          <cell r="AW27">
            <v>9.5175540000000005</v>
          </cell>
        </row>
        <row r="28">
          <cell r="AJ28">
            <v>80597</v>
          </cell>
          <cell r="AK28">
            <v>180.84428745412157</v>
          </cell>
          <cell r="AQ28">
            <v>110.5873326997924</v>
          </cell>
          <cell r="AT28">
            <v>15.190920146146212</v>
          </cell>
          <cell r="AU28">
            <v>109.48145937279449</v>
          </cell>
          <cell r="AW28">
            <v>9.6285419999999995</v>
          </cell>
        </row>
        <row r="29">
          <cell r="AJ29">
            <v>20882</v>
          </cell>
          <cell r="AK29">
            <v>73.421187786548813</v>
          </cell>
          <cell r="AQ29">
            <v>116.55175102433702</v>
          </cell>
          <cell r="AT29">
            <v>6.1673797740701009</v>
          </cell>
          <cell r="AU29">
            <v>121.2138210653105</v>
          </cell>
          <cell r="AW29">
            <v>2.8510559999999998</v>
          </cell>
        </row>
        <row r="30">
          <cell r="AJ30">
            <v>24925</v>
          </cell>
          <cell r="AK30">
            <v>358.92645702657694</v>
          </cell>
          <cell r="AQ30">
            <v>538.61904302490836</v>
          </cell>
          <cell r="AT30">
            <v>30.149822390232455</v>
          </cell>
          <cell r="AU30">
            <v>592.48094732739924</v>
          </cell>
          <cell r="AW30">
            <v>4.5374400000000001</v>
          </cell>
        </row>
        <row r="31">
          <cell r="AJ31">
            <v>546</v>
          </cell>
          <cell r="AK31">
            <v>1.9291671536319845</v>
          </cell>
          <cell r="AQ31">
            <v>1.2279684785827203</v>
          </cell>
          <cell r="AT31">
            <v>0.16205004090508671</v>
          </cell>
          <cell r="AU31">
            <v>1.5963590221575363</v>
          </cell>
          <cell r="AW31">
            <v>9.9360000000000004E-2</v>
          </cell>
        </row>
        <row r="32">
          <cell r="AJ32">
            <v>14001</v>
          </cell>
          <cell r="AK32">
            <v>12.017206427710033</v>
          </cell>
          <cell r="AQ32">
            <v>2.8475266979280032</v>
          </cell>
          <cell r="AT32">
            <v>0.8652388627951223</v>
          </cell>
          <cell r="AU32">
            <v>1.729196390088914</v>
          </cell>
          <cell r="AW32">
            <v>0.75719399999999992</v>
          </cell>
        </row>
        <row r="33">
          <cell r="AJ33">
            <v>11302</v>
          </cell>
          <cell r="AK33">
            <v>9.3739242159833438</v>
          </cell>
          <cell r="AQ33">
            <v>1.5090149894999914</v>
          </cell>
          <cell r="AT33">
            <v>0.67492254355080072</v>
          </cell>
          <cell r="AU33">
            <v>0.79977794443499539</v>
          </cell>
          <cell r="AW33">
            <v>0.57866399999999996</v>
          </cell>
        </row>
        <row r="34">
          <cell r="AJ34">
            <v>1852</v>
          </cell>
          <cell r="AK34">
            <v>1.6301664455222062</v>
          </cell>
          <cell r="AQ34">
            <v>0.82739261852322399</v>
          </cell>
          <cell r="AT34">
            <v>0.11737198407759886</v>
          </cell>
          <cell r="AU34">
            <v>0.54607912822532778</v>
          </cell>
          <cell r="AW34">
            <v>0.115896</v>
          </cell>
        </row>
        <row r="35">
          <cell r="AJ35">
            <v>847</v>
          </cell>
          <cell r="AK35">
            <v>1.0131157662044827</v>
          </cell>
          <cell r="AQ35">
            <v>0.51111908990478794</v>
          </cell>
          <cell r="AT35">
            <v>7.294433516672276E-2</v>
          </cell>
          <cell r="AU35">
            <v>0.38333931742859095</v>
          </cell>
          <cell r="AW35">
            <v>6.2633999999999995E-2</v>
          </cell>
        </row>
        <row r="36">
          <cell r="AJ36">
            <v>24380</v>
          </cell>
          <cell r="AK36">
            <v>410.26609144371065</v>
          </cell>
          <cell r="AQ36">
            <v>243.56444720543399</v>
          </cell>
          <cell r="AT36">
            <v>36.460685846572126</v>
          </cell>
          <cell r="AU36">
            <v>186.26523603939924</v>
          </cell>
          <cell r="AW36">
            <v>8.2560299999999973</v>
          </cell>
        </row>
        <row r="37">
          <cell r="AJ37">
            <v>20650</v>
          </cell>
          <cell r="AK37">
            <v>374.57709825357557</v>
          </cell>
          <cell r="AQ37">
            <v>226.08574903465961</v>
          </cell>
          <cell r="AT37">
            <v>33.711938842821802</v>
          </cell>
          <cell r="AU37">
            <v>174.08602675668789</v>
          </cell>
          <cell r="AW37">
            <v>8.1578392962109465</v>
          </cell>
        </row>
        <row r="38">
          <cell r="AJ38">
            <v>0</v>
          </cell>
          <cell r="AK38">
            <v>0</v>
          </cell>
          <cell r="AQ38">
            <v>0</v>
          </cell>
          <cell r="AT38">
            <v>0</v>
          </cell>
          <cell r="AU38">
            <v>0</v>
          </cell>
          <cell r="AW38">
            <v>0</v>
          </cell>
        </row>
        <row r="39">
          <cell r="AJ39">
            <v>111</v>
          </cell>
          <cell r="AK39">
            <v>1.0102728913431966</v>
          </cell>
          <cell r="AQ39">
            <v>0.69851749509964756</v>
          </cell>
          <cell r="AT39">
            <v>4.3643788906026097E-2</v>
          </cell>
          <cell r="AU39">
            <v>0.43308084696178151</v>
          </cell>
          <cell r="AW39">
            <v>2.5630707096442359E-3</v>
          </cell>
        </row>
        <row r="40">
          <cell r="AJ40">
            <v>3</v>
          </cell>
          <cell r="AK40">
            <v>1.6395154350231089E-2</v>
          </cell>
          <cell r="AQ40">
            <v>1.1522838565841614E-2</v>
          </cell>
          <cell r="AT40">
            <v>7.0827066792998302E-4</v>
          </cell>
          <cell r="AU40">
            <v>7.1441599108218014E-3</v>
          </cell>
          <cell r="AW40">
            <v>4.0180151388812273E-4</v>
          </cell>
        </row>
        <row r="41">
          <cell r="AJ41">
            <v>3608</v>
          </cell>
          <cell r="AK41">
            <v>34.601193235281606</v>
          </cell>
          <cell r="AQ41">
            <v>16.73786484169058</v>
          </cell>
          <cell r="AT41">
            <v>2.6988930723519653</v>
          </cell>
          <cell r="AU41">
            <v>11.716505389183407</v>
          </cell>
          <cell r="AW41">
            <v>9.4561313677165096E-2</v>
          </cell>
        </row>
        <row r="42">
          <cell r="AJ42">
            <v>8</v>
          </cell>
          <cell r="AK42">
            <v>6.1131909160067915E-2</v>
          </cell>
          <cell r="AQ42">
            <v>3.07929954183041E-2</v>
          </cell>
          <cell r="AT42">
            <v>5.5018718244061121E-3</v>
          </cell>
          <cell r="AU42">
            <v>2.2478886655361994E-2</v>
          </cell>
          <cell r="AW42">
            <v>6.6451788835343378E-4</v>
          </cell>
        </row>
        <row r="43">
          <cell r="AJ43">
            <v>6876</v>
          </cell>
          <cell r="AK43">
            <v>23.340955043070291</v>
          </cell>
          <cell r="AQ43">
            <v>8.6217888213980398</v>
          </cell>
          <cell r="AT43">
            <v>0.56018292103368694</v>
          </cell>
          <cell r="AU43">
            <v>3.4487155285592159</v>
          </cell>
          <cell r="AW43">
            <v>0.40293000000000001</v>
          </cell>
        </row>
        <row r="44">
          <cell r="AJ44">
            <v>6575</v>
          </cell>
          <cell r="AK44">
            <v>22.008400815555277</v>
          </cell>
          <cell r="AQ44">
            <v>8.2455053353668166</v>
          </cell>
          <cell r="AT44">
            <v>0.52820161957332656</v>
          </cell>
          <cell r="AU44">
            <v>3.2982021341467265</v>
          </cell>
          <cell r="AW44">
            <v>0.38529000000000002</v>
          </cell>
        </row>
        <row r="45">
          <cell r="AJ45">
            <v>301</v>
          </cell>
          <cell r="AK45">
            <v>1.3325542275150148</v>
          </cell>
          <cell r="AQ45">
            <v>0.37628348603122352</v>
          </cell>
          <cell r="AT45">
            <v>3.1981301460360358E-2</v>
          </cell>
          <cell r="AU45">
            <v>0.1505133944124894</v>
          </cell>
          <cell r="AW45">
            <v>1.7639999999999999E-2</v>
          </cell>
        </row>
        <row r="46">
          <cell r="AJ46">
            <v>1370372</v>
          </cell>
          <cell r="AN46">
            <v>8075004.3951686285</v>
          </cell>
          <cell r="AQ46">
            <v>8281.4532016721751</v>
          </cell>
          <cell r="AT46">
            <v>7.6520855474698113E-2</v>
          </cell>
          <cell r="AU46">
            <v>1.0946261712589835</v>
          </cell>
          <cell r="AW46">
            <v>48.397914</v>
          </cell>
        </row>
        <row r="47">
          <cell r="AJ47">
            <v>1370021</v>
          </cell>
          <cell r="AN47">
            <v>8071816.0261905165</v>
          </cell>
          <cell r="AQ47">
            <v>8278.7166362440275</v>
          </cell>
          <cell r="AT47">
            <v>0</v>
          </cell>
          <cell r="AU47">
            <v>0</v>
          </cell>
          <cell r="AW47">
            <v>48.385511999999999</v>
          </cell>
        </row>
        <row r="48">
          <cell r="AJ48">
            <v>0</v>
          </cell>
          <cell r="AN48">
            <v>0</v>
          </cell>
          <cell r="AQ48">
            <v>0</v>
          </cell>
          <cell r="AT48">
            <v>0</v>
          </cell>
          <cell r="AU48">
            <v>0</v>
          </cell>
          <cell r="AW48">
            <v>0</v>
          </cell>
        </row>
        <row r="49">
          <cell r="AJ49">
            <v>1370021</v>
          </cell>
          <cell r="AN49">
            <v>8071816.0261905165</v>
          </cell>
          <cell r="AQ49">
            <v>8278.7166362440275</v>
          </cell>
          <cell r="AT49">
            <v>0</v>
          </cell>
          <cell r="AU49">
            <v>0</v>
          </cell>
          <cell r="AW49">
            <v>0</v>
          </cell>
        </row>
        <row r="50">
          <cell r="AJ50">
            <v>1370021</v>
          </cell>
          <cell r="AN50">
            <v>8071816.0261905165</v>
          </cell>
          <cell r="AQ50">
            <v>8278.7166362440275</v>
          </cell>
          <cell r="AT50">
            <v>0</v>
          </cell>
          <cell r="AU50">
            <v>0</v>
          </cell>
          <cell r="AW50">
            <v>48.385511999999999</v>
          </cell>
        </row>
        <row r="51">
          <cell r="AJ51">
            <v>0</v>
          </cell>
          <cell r="AN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</row>
        <row r="52">
          <cell r="AJ52">
            <v>351</v>
          </cell>
          <cell r="AN52">
            <v>3188.3689781124212</v>
          </cell>
          <cell r="AQ52">
            <v>2.736565428147459</v>
          </cell>
          <cell r="AT52">
            <v>7.6520855474698113E-2</v>
          </cell>
          <cell r="AU52">
            <v>1.0946261712589835</v>
          </cell>
          <cell r="AW52">
            <v>1.2402E-2</v>
          </cell>
        </row>
        <row r="53">
          <cell r="AJ53">
            <v>351</v>
          </cell>
          <cell r="AN53">
            <v>3188.3689781124212</v>
          </cell>
          <cell r="AQ53">
            <v>2.736565428147459</v>
          </cell>
          <cell r="AT53">
            <v>7.6520855474698113E-2</v>
          </cell>
          <cell r="AU53">
            <v>1.0946261712589835</v>
          </cell>
          <cell r="AW53">
            <v>1.2402E-2</v>
          </cell>
        </row>
        <row r="54">
          <cell r="AJ54">
            <v>53983</v>
          </cell>
          <cell r="AK54">
            <v>46.084745241436693</v>
          </cell>
          <cell r="AQ54">
            <v>135.67555133153809</v>
          </cell>
          <cell r="AT54">
            <v>1.7696542172711687</v>
          </cell>
          <cell r="AU54">
            <v>100.1529195868476</v>
          </cell>
          <cell r="AW54">
            <v>7.2069840000000003</v>
          </cell>
        </row>
        <row r="55">
          <cell r="AJ55">
            <v>39879</v>
          </cell>
          <cell r="AK55">
            <v>30.15256288196527</v>
          </cell>
          <cell r="AQ55">
            <v>83.806468768529356</v>
          </cell>
          <cell r="AT55">
            <v>1.1578584146674662</v>
          </cell>
          <cell r="AU55">
            <v>59.502592825655839</v>
          </cell>
          <cell r="AW55">
            <v>5.3240400000000001</v>
          </cell>
        </row>
        <row r="56">
          <cell r="AJ56">
            <v>7448</v>
          </cell>
          <cell r="AK56">
            <v>7.6787898411882978</v>
          </cell>
          <cell r="AQ56">
            <v>27.27260229690642</v>
          </cell>
          <cell r="AT56">
            <v>0.29486552990163062</v>
          </cell>
          <cell r="AU56">
            <v>20.727177745648881</v>
          </cell>
          <cell r="AW56">
            <v>0.99431999999999998</v>
          </cell>
        </row>
        <row r="57">
          <cell r="AJ57">
            <v>6656</v>
          </cell>
          <cell r="AK57">
            <v>8.2533925182831211</v>
          </cell>
          <cell r="AQ57">
            <v>24.596480266102319</v>
          </cell>
          <cell r="AT57">
            <v>0.3169302727020718</v>
          </cell>
          <cell r="AU57">
            <v>19.923149015542876</v>
          </cell>
          <cell r="AW57">
            <v>0.88862399999999997</v>
          </cell>
        </row>
        <row r="58">
          <cell r="AJ58">
            <v>25008</v>
          </cell>
          <cell r="AK58">
            <v>63.813738706967655</v>
          </cell>
          <cell r="AQ58">
            <v>64.938547990304301</v>
          </cell>
          <cell r="AT58">
            <v>1.7517560220818311</v>
          </cell>
          <cell r="AU58">
            <v>50.644126260891184</v>
          </cell>
          <cell r="AW58">
            <v>2.9642400000000002</v>
          </cell>
        </row>
        <row r="59">
          <cell r="AJ59">
            <v>18480</v>
          </cell>
          <cell r="AK59">
            <v>50.51283068231524</v>
          </cell>
          <cell r="AQ59">
            <v>55.075309896178879</v>
          </cell>
          <cell r="AT59">
            <v>1.2729233331943441</v>
          </cell>
          <cell r="AU59">
            <v>45.712507213828474</v>
          </cell>
          <cell r="AW59">
            <v>2.19042</v>
          </cell>
        </row>
        <row r="60">
          <cell r="AJ60">
            <v>6528</v>
          </cell>
          <cell r="AK60">
            <v>13.300908024652415</v>
          </cell>
          <cell r="AQ60">
            <v>9.8632380941254176</v>
          </cell>
          <cell r="AT60">
            <v>0.47883268888748698</v>
          </cell>
          <cell r="AU60">
            <v>4.9316190470627079</v>
          </cell>
          <cell r="AW60">
            <v>0.77381999999999995</v>
          </cell>
        </row>
        <row r="61">
          <cell r="AJ61">
            <v>4758</v>
          </cell>
          <cell r="AK61">
            <v>5.1203642596944334</v>
          </cell>
          <cell r="AQ61">
            <v>3.678847483251424</v>
          </cell>
          <cell r="AT61">
            <v>0.1843331133489996</v>
          </cell>
          <cell r="AU61">
            <v>1.839423741625712</v>
          </cell>
          <cell r="AW61">
            <v>0.56399999999999995</v>
          </cell>
        </row>
        <row r="62">
          <cell r="AJ62">
            <v>1770</v>
          </cell>
          <cell r="AK62">
            <v>8.1805437649579815</v>
          </cell>
          <cell r="AQ62">
            <v>6.1843906108739919</v>
          </cell>
          <cell r="AT62">
            <v>0.29449957553848738</v>
          </cell>
          <cell r="AU62">
            <v>3.0921953054369959</v>
          </cell>
          <cell r="AW62">
            <v>0.20982000000000001</v>
          </cell>
        </row>
        <row r="63">
          <cell r="AJ63">
            <v>3316</v>
          </cell>
          <cell r="AK63">
            <v>13.471219287369088</v>
          </cell>
          <cell r="AQ63">
            <v>14.863451400000002</v>
          </cell>
          <cell r="AT63">
            <v>0.33947472604170098</v>
          </cell>
          <cell r="AU63">
            <v>17.836141680000004</v>
          </cell>
          <cell r="AW63">
            <v>0.39179999999999998</v>
          </cell>
        </row>
        <row r="64">
          <cell r="AJ64">
            <v>263</v>
          </cell>
          <cell r="AK64">
            <v>9.0112500000000004</v>
          </cell>
          <cell r="AQ64">
            <v>9.1875167639999997</v>
          </cell>
          <cell r="AT64">
            <v>0.54067500000000002</v>
          </cell>
          <cell r="AU64">
            <v>5.5125100583999993</v>
          </cell>
          <cell r="AW64">
            <v>2.1096E-2</v>
          </cell>
        </row>
        <row r="65">
          <cell r="AJ65">
            <v>37724</v>
          </cell>
          <cell r="AN65">
            <v>72662.442596059613</v>
          </cell>
          <cell r="AQ65">
            <v>244.70657744652064</v>
          </cell>
          <cell r="AT65">
            <v>2.7902377956886895</v>
          </cell>
          <cell r="AU65">
            <v>150.49602503261957</v>
          </cell>
          <cell r="AW65">
            <v>5.0363280000000001</v>
          </cell>
        </row>
        <row r="66">
          <cell r="AJ66">
            <v>32283</v>
          </cell>
          <cell r="AN66">
            <v>61663.330067823212</v>
          </cell>
          <cell r="AQ66">
            <v>214.9432295855618</v>
          </cell>
          <cell r="AT66">
            <v>2.3678718746044116</v>
          </cell>
          <cell r="AU66">
            <v>128.96593775133709</v>
          </cell>
          <cell r="AW66">
            <v>4.30992</v>
          </cell>
        </row>
        <row r="67">
          <cell r="AJ67">
            <v>3840</v>
          </cell>
          <cell r="AN67">
            <v>7401.592951255956</v>
          </cell>
          <cell r="AQ67">
            <v>21.80114186092483</v>
          </cell>
          <cell r="AT67">
            <v>0.28422116932822872</v>
          </cell>
          <cell r="AU67">
            <v>15.478810721256627</v>
          </cell>
          <cell r="AW67">
            <v>0.51263999999999998</v>
          </cell>
        </row>
        <row r="68">
          <cell r="AJ68">
            <v>1601</v>
          </cell>
          <cell r="AN68">
            <v>3597.5195769804486</v>
          </cell>
          <cell r="AQ68">
            <v>7.9622060000340147</v>
          </cell>
          <cell r="AT68">
            <v>0.13814475175604923</v>
          </cell>
          <cell r="AU68">
            <v>6.0512765600258511</v>
          </cell>
          <cell r="AW68">
            <v>0.21376800000000001</v>
          </cell>
        </row>
        <row r="69">
          <cell r="AJ69">
            <v>0</v>
          </cell>
          <cell r="AK69">
            <v>0</v>
          </cell>
          <cell r="AQ69">
            <v>0</v>
          </cell>
          <cell r="AT69">
            <v>0</v>
          </cell>
          <cell r="AU69">
            <v>0</v>
          </cell>
          <cell r="AW69">
            <v>0</v>
          </cell>
        </row>
        <row r="84">
          <cell r="AJ84">
            <v>2661</v>
          </cell>
          <cell r="AK84">
            <v>599.61811242746342</v>
          </cell>
          <cell r="AQ84">
            <v>1181.2828205451319</v>
          </cell>
          <cell r="AT84">
            <v>237.55532269848919</v>
          </cell>
          <cell r="AU84">
            <v>910.86730013719148</v>
          </cell>
          <cell r="AW84">
            <v>6.0480000000000009</v>
          </cell>
        </row>
        <row r="85">
          <cell r="AJ85">
            <v>2644</v>
          </cell>
          <cell r="AK85">
            <v>594.08867834567366</v>
          </cell>
          <cell r="AQ85">
            <v>1164.2845627108027</v>
          </cell>
          <cell r="AT85">
            <v>235.03390075719307</v>
          </cell>
          <cell r="AU85">
            <v>897.78873228213274</v>
          </cell>
          <cell r="AW85">
            <v>6.0096000000000007</v>
          </cell>
        </row>
        <row r="86">
          <cell r="AJ86">
            <v>1865</v>
          </cell>
          <cell r="AK86">
            <v>494.44829898891209</v>
          </cell>
          <cell r="AQ86">
            <v>328.96510266626433</v>
          </cell>
          <cell r="AT86">
            <v>225.46842433894395</v>
          </cell>
          <cell r="AU86">
            <v>251.65830353969221</v>
          </cell>
          <cell r="AW86">
            <v>4.2396000000000003</v>
          </cell>
        </row>
        <row r="87">
          <cell r="AJ87">
            <v>779</v>
          </cell>
          <cell r="AK87">
            <v>99.640379356761542</v>
          </cell>
          <cell r="AQ87">
            <v>187.19745400961693</v>
          </cell>
          <cell r="AT87">
            <v>9.5654764182491085</v>
          </cell>
          <cell r="AU87">
            <v>149.75796320769354</v>
          </cell>
          <cell r="AW87">
            <v>1.77</v>
          </cell>
        </row>
        <row r="88">
          <cell r="AJ88">
            <v>0</v>
          </cell>
          <cell r="AK88">
            <v>0</v>
          </cell>
          <cell r="AQ88">
            <v>0</v>
          </cell>
          <cell r="AT88">
            <v>0</v>
          </cell>
          <cell r="AU88">
            <v>0</v>
          </cell>
          <cell r="AW88">
            <v>0</v>
          </cell>
        </row>
        <row r="89">
          <cell r="AJ89">
            <v>0</v>
          </cell>
          <cell r="AK89">
            <v>0</v>
          </cell>
          <cell r="AQ89">
            <v>0</v>
          </cell>
          <cell r="AT89">
            <v>0</v>
          </cell>
          <cell r="AU89">
            <v>0</v>
          </cell>
          <cell r="AW89">
            <v>0</v>
          </cell>
        </row>
        <row r="90">
          <cell r="AJ90">
            <v>0</v>
          </cell>
          <cell r="AK90">
            <v>0</v>
          </cell>
          <cell r="AQ90">
            <v>0</v>
          </cell>
          <cell r="AT90">
            <v>0</v>
          </cell>
          <cell r="AU90">
            <v>0</v>
          </cell>
          <cell r="AW90">
            <v>0</v>
          </cell>
        </row>
        <row r="91">
          <cell r="AJ91">
            <v>0</v>
          </cell>
          <cell r="AK91">
            <v>0</v>
          </cell>
          <cell r="AQ91">
            <v>168.50433604288685</v>
          </cell>
          <cell r="AT91">
            <v>0</v>
          </cell>
          <cell r="AU91">
            <v>145.75625067709714</v>
          </cell>
          <cell r="AW91">
            <v>0</v>
          </cell>
        </row>
        <row r="92">
          <cell r="AJ92">
            <v>0</v>
          </cell>
          <cell r="AK92">
            <v>0</v>
          </cell>
          <cell r="AQ92">
            <v>158.35232156473441</v>
          </cell>
          <cell r="AT92">
            <v>0</v>
          </cell>
          <cell r="AU92">
            <v>136.97475815349529</v>
          </cell>
          <cell r="AW92">
            <v>0</v>
          </cell>
        </row>
        <row r="93">
          <cell r="AJ93">
            <v>0</v>
          </cell>
          <cell r="AK93">
            <v>0</v>
          </cell>
          <cell r="AQ93">
            <v>321.26534842730024</v>
          </cell>
          <cell r="AT93">
            <v>0</v>
          </cell>
          <cell r="AU93">
            <v>213.64145670415468</v>
          </cell>
          <cell r="AW93">
            <v>0</v>
          </cell>
        </row>
        <row r="94">
          <cell r="AJ94">
            <v>17</v>
          </cell>
          <cell r="AK94">
            <v>5.5294340817897405</v>
          </cell>
          <cell r="AQ94">
            <v>16.998257834329365</v>
          </cell>
          <cell r="AT94">
            <v>2.5214219412961216</v>
          </cell>
          <cell r="AU94">
            <v>13.078567855058704</v>
          </cell>
          <cell r="AW94">
            <v>3.8399999999999997E-2</v>
          </cell>
        </row>
        <row r="95">
          <cell r="AJ95">
            <v>17</v>
          </cell>
          <cell r="AK95">
            <v>5.5294340817897405</v>
          </cell>
          <cell r="AQ95">
            <v>5.9511083541356351</v>
          </cell>
          <cell r="AT95">
            <v>2.5214219412961216</v>
          </cell>
          <cell r="AU95">
            <v>4.552597890913761</v>
          </cell>
          <cell r="AW95">
            <v>3.8399999999999997E-2</v>
          </cell>
        </row>
        <row r="96">
          <cell r="AJ96">
            <v>0</v>
          </cell>
          <cell r="AK96">
            <v>0</v>
          </cell>
          <cell r="AQ96">
            <v>3.2149797639242799</v>
          </cell>
          <cell r="AT96">
            <v>0</v>
          </cell>
          <cell r="AU96">
            <v>2.7809574957945022</v>
          </cell>
          <cell r="AW96">
            <v>0</v>
          </cell>
        </row>
        <row r="97">
          <cell r="AJ97">
            <v>0</v>
          </cell>
          <cell r="AK97">
            <v>0</v>
          </cell>
          <cell r="AQ97">
            <v>2.6830980351562941</v>
          </cell>
          <cell r="AT97">
            <v>0</v>
          </cell>
          <cell r="AU97">
            <v>2.3208798004101943</v>
          </cell>
          <cell r="AW97">
            <v>0</v>
          </cell>
        </row>
        <row r="98">
          <cell r="AJ98">
            <v>0</v>
          </cell>
          <cell r="AK98">
            <v>0</v>
          </cell>
          <cell r="AQ98">
            <v>5.1490716811131554</v>
          </cell>
          <cell r="AT98">
            <v>0</v>
          </cell>
          <cell r="AU98">
            <v>3.4241326679402482</v>
          </cell>
          <cell r="AW98">
            <v>0</v>
          </cell>
        </row>
        <row r="99">
          <cell r="AJ99">
            <v>0</v>
          </cell>
          <cell r="AK99">
            <v>0</v>
          </cell>
          <cell r="AQ99">
            <v>0</v>
          </cell>
          <cell r="AT99">
            <v>0</v>
          </cell>
          <cell r="AU99">
            <v>0</v>
          </cell>
          <cell r="AW99">
            <v>0</v>
          </cell>
        </row>
        <row r="100">
          <cell r="AJ100">
            <v>783</v>
          </cell>
          <cell r="AK100">
            <v>123.00756362503697</v>
          </cell>
          <cell r="AQ100">
            <v>217.70021117042339</v>
          </cell>
          <cell r="AT100">
            <v>56.091449013016863</v>
          </cell>
          <cell r="AU100">
            <v>194.29824727527793</v>
          </cell>
          <cell r="AW100">
            <v>1.8468</v>
          </cell>
        </row>
        <row r="101">
          <cell r="AJ101">
            <v>783</v>
          </cell>
          <cell r="AK101">
            <v>123.00756362503697</v>
          </cell>
          <cell r="AQ101">
            <v>95.932255235185806</v>
          </cell>
          <cell r="AT101">
            <v>56.091449013016863</v>
          </cell>
          <cell r="AU101">
            <v>84.420384606963509</v>
          </cell>
          <cell r="AW101">
            <v>1.8468</v>
          </cell>
        </row>
        <row r="102">
          <cell r="AJ102">
            <v>0</v>
          </cell>
          <cell r="AK102">
            <v>0</v>
          </cell>
          <cell r="AQ102">
            <v>48.975402124001917</v>
          </cell>
          <cell r="AT102">
            <v>0</v>
          </cell>
          <cell r="AU102">
            <v>47.995894081521882</v>
          </cell>
          <cell r="AW102">
            <v>0</v>
          </cell>
        </row>
        <row r="103">
          <cell r="AJ103">
            <v>0</v>
          </cell>
          <cell r="AK103">
            <v>0</v>
          </cell>
          <cell r="AQ103">
            <v>25.518883070143715</v>
          </cell>
          <cell r="AT103">
            <v>0</v>
          </cell>
          <cell r="AU103">
            <v>25.008505408740842</v>
          </cell>
          <cell r="AW103">
            <v>0</v>
          </cell>
        </row>
        <row r="104">
          <cell r="AJ104">
            <v>0</v>
          </cell>
          <cell r="AK104">
            <v>0</v>
          </cell>
          <cell r="AQ104">
            <v>47.273670741091927</v>
          </cell>
          <cell r="AT104">
            <v>0</v>
          </cell>
          <cell r="AU104">
            <v>36.873463178051701</v>
          </cell>
          <cell r="AW104">
            <v>0</v>
          </cell>
        </row>
        <row r="105">
          <cell r="AJ105">
            <v>2</v>
          </cell>
          <cell r="AK105">
            <v>0.23200000000000001</v>
          </cell>
          <cell r="AQ105">
            <v>0.27272250000000003</v>
          </cell>
          <cell r="AT105">
            <v>5.7907200000000006E-2</v>
          </cell>
          <cell r="AU105">
            <v>0.13618498379999999</v>
          </cell>
          <cell r="AW105">
            <v>4.7999999999999996E-3</v>
          </cell>
        </row>
        <row r="106">
          <cell r="AJ106">
            <v>2</v>
          </cell>
          <cell r="AK106">
            <v>0.23200000000000001</v>
          </cell>
          <cell r="AQ106">
            <v>6.7935264000000009E-2</v>
          </cell>
          <cell r="AT106">
            <v>5.7907200000000006E-2</v>
          </cell>
          <cell r="AU106">
            <v>3.3967632000000005E-2</v>
          </cell>
          <cell r="AW106">
            <v>4.7999999999999996E-3</v>
          </cell>
        </row>
        <row r="107">
          <cell r="AJ107">
            <v>0</v>
          </cell>
          <cell r="AK107">
            <v>0</v>
          </cell>
          <cell r="AQ107">
            <v>6.5660409000000003E-2</v>
          </cell>
          <cell r="AT107">
            <v>0</v>
          </cell>
          <cell r="AU107">
            <v>3.9396245400000002E-2</v>
          </cell>
          <cell r="AW107">
            <v>0</v>
          </cell>
        </row>
        <row r="108">
          <cell r="AJ108">
            <v>0</v>
          </cell>
          <cell r="AK108">
            <v>0</v>
          </cell>
          <cell r="AQ108">
            <v>3.5851878000000004E-2</v>
          </cell>
          <cell r="AT108">
            <v>0</v>
          </cell>
          <cell r="AU108">
            <v>2.1511126800000002E-2</v>
          </cell>
          <cell r="AW108">
            <v>0</v>
          </cell>
        </row>
        <row r="109">
          <cell r="AJ109">
            <v>0</v>
          </cell>
          <cell r="AK109">
            <v>0</v>
          </cell>
          <cell r="AQ109">
            <v>0.103274949</v>
          </cell>
          <cell r="AT109">
            <v>0</v>
          </cell>
          <cell r="AU109">
            <v>4.1309979600000005E-2</v>
          </cell>
          <cell r="AW109">
            <v>0</v>
          </cell>
        </row>
        <row r="110">
          <cell r="AJ110">
            <v>22</v>
          </cell>
          <cell r="AK110">
            <v>2.9333256618399619</v>
          </cell>
          <cell r="AQ110">
            <v>8.5130279844919272</v>
          </cell>
          <cell r="AT110">
            <v>1.3375965017990226</v>
          </cell>
          <cell r="AU110">
            <v>7.2371985326956922</v>
          </cell>
          <cell r="AW110">
            <v>5.16E-2</v>
          </cell>
        </row>
        <row r="111">
          <cell r="AJ111">
            <v>22</v>
          </cell>
          <cell r="AK111">
            <v>2.9333256618399619</v>
          </cell>
          <cell r="AQ111">
            <v>2.4030953953419729</v>
          </cell>
          <cell r="AT111">
            <v>1.3375965017990226</v>
          </cell>
          <cell r="AU111">
            <v>2.0426310860406769</v>
          </cell>
          <cell r="AW111">
            <v>5.16E-2</v>
          </cell>
        </row>
        <row r="112">
          <cell r="AJ112">
            <v>0</v>
          </cell>
          <cell r="AK112">
            <v>0</v>
          </cell>
          <cell r="AQ112">
            <v>1.7995342669246857</v>
          </cell>
          <cell r="AT112">
            <v>0</v>
          </cell>
          <cell r="AU112">
            <v>1.7095575535784513</v>
          </cell>
          <cell r="AW112">
            <v>0</v>
          </cell>
        </row>
        <row r="113">
          <cell r="AJ113">
            <v>0</v>
          </cell>
          <cell r="AK113">
            <v>0</v>
          </cell>
          <cell r="AQ113">
            <v>1.2610557570380616</v>
          </cell>
          <cell r="AT113">
            <v>0</v>
          </cell>
          <cell r="AU113">
            <v>1.1980029691861585</v>
          </cell>
          <cell r="AW113">
            <v>0</v>
          </cell>
        </row>
        <row r="114">
          <cell r="AJ114">
            <v>0</v>
          </cell>
          <cell r="AK114">
            <v>0</v>
          </cell>
          <cell r="AQ114">
            <v>3.0493425651872079</v>
          </cell>
          <cell r="AT114">
            <v>0</v>
          </cell>
          <cell r="AU114">
            <v>2.2870069238904058</v>
          </cell>
          <cell r="AW114">
            <v>0</v>
          </cell>
        </row>
        <row r="115">
          <cell r="AJ115">
            <v>218</v>
          </cell>
          <cell r="AK115">
            <v>73.379080391330987</v>
          </cell>
          <cell r="AQ115">
            <v>25.663067099999999</v>
          </cell>
          <cell r="AT115">
            <v>11.603067086879214</v>
          </cell>
          <cell r="AU115">
            <v>16.167732272999999</v>
          </cell>
          <cell r="AW115">
            <v>0.50280000000000002</v>
          </cell>
        </row>
        <row r="116">
          <cell r="AJ116">
            <v>218</v>
          </cell>
          <cell r="AK116">
            <v>73.379080391330987</v>
          </cell>
          <cell r="AQ116">
            <v>25.663067099999999</v>
          </cell>
          <cell r="AT116">
            <v>11.603067086879214</v>
          </cell>
          <cell r="AU116">
            <v>16.167732272999999</v>
          </cell>
          <cell r="AW116">
            <v>0.50280000000000002</v>
          </cell>
        </row>
        <row r="117">
          <cell r="AJ117">
            <v>18</v>
          </cell>
          <cell r="AK117">
            <v>5.4848294430175288</v>
          </cell>
          <cell r="AQ117">
            <v>8.8767601200000001</v>
          </cell>
          <cell r="AT117">
            <v>1.3690134289771754</v>
          </cell>
          <cell r="AU117">
            <v>6.4800348876000005</v>
          </cell>
          <cell r="AW117">
            <v>4.4400000000000002E-2</v>
          </cell>
        </row>
        <row r="118">
          <cell r="AJ118">
            <v>0</v>
          </cell>
          <cell r="AK118">
            <v>0</v>
          </cell>
          <cell r="AQ118">
            <v>0</v>
          </cell>
          <cell r="AT118">
            <v>0</v>
          </cell>
          <cell r="AU118">
            <v>0</v>
          </cell>
          <cell r="AW118">
            <v>0</v>
          </cell>
        </row>
        <row r="119">
          <cell r="AJ119">
            <v>0</v>
          </cell>
          <cell r="AK119">
            <v>0</v>
          </cell>
          <cell r="AQ119">
            <v>0</v>
          </cell>
          <cell r="AT119">
            <v>0</v>
          </cell>
          <cell r="AU119">
            <v>0</v>
          </cell>
          <cell r="AW119">
            <v>0</v>
          </cell>
        </row>
        <row r="120">
          <cell r="AJ120">
            <v>47</v>
          </cell>
          <cell r="AK120">
            <v>12.979445</v>
          </cell>
          <cell r="AQ120">
            <v>16.997482980000001</v>
          </cell>
          <cell r="AT120">
            <v>6.2301336000000003</v>
          </cell>
          <cell r="AU120">
            <v>20.057029916400005</v>
          </cell>
          <cell r="AW120">
            <v>0.1104</v>
          </cell>
        </row>
        <row r="121">
          <cell r="AJ121">
            <v>1</v>
          </cell>
          <cell r="AK121">
            <v>570.654</v>
          </cell>
          <cell r="AQ121">
            <v>1163.1169718019062</v>
          </cell>
          <cell r="AT121">
            <v>0</v>
          </cell>
          <cell r="AU121">
            <v>562.9486143521226</v>
          </cell>
          <cell r="AW121">
            <v>0</v>
          </cell>
        </row>
        <row r="122">
          <cell r="AJ122">
            <v>0</v>
          </cell>
          <cell r="AK122">
            <v>0</v>
          </cell>
          <cell r="AQ122">
            <v>0</v>
          </cell>
          <cell r="AT122">
            <v>0</v>
          </cell>
          <cell r="AU122">
            <v>0</v>
          </cell>
          <cell r="AW122">
            <v>0</v>
          </cell>
        </row>
        <row r="123">
          <cell r="AQ123">
            <v>0</v>
          </cell>
          <cell r="AT123">
            <v>0</v>
          </cell>
          <cell r="AU123">
            <v>0</v>
          </cell>
          <cell r="AW123">
            <v>0</v>
          </cell>
        </row>
        <row r="124">
          <cell r="AJ124">
            <v>0</v>
          </cell>
          <cell r="AK124">
            <v>0</v>
          </cell>
          <cell r="AQ124">
            <v>0</v>
          </cell>
          <cell r="AT124">
            <v>0</v>
          </cell>
          <cell r="AU124">
            <v>0</v>
          </cell>
          <cell r="AW124">
            <v>0</v>
          </cell>
        </row>
        <row r="125">
          <cell r="AJ125">
            <v>0</v>
          </cell>
          <cell r="AK125">
            <v>0</v>
          </cell>
          <cell r="AQ125">
            <v>0</v>
          </cell>
          <cell r="AT125">
            <v>0</v>
          </cell>
          <cell r="AU125">
            <v>0</v>
          </cell>
          <cell r="AW125">
            <v>0</v>
          </cell>
        </row>
        <row r="126">
          <cell r="AJ126">
            <v>0</v>
          </cell>
          <cell r="AK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</row>
        <row r="127">
          <cell r="AJ127">
            <v>120</v>
          </cell>
          <cell r="AK127">
            <v>38.394764630380848</v>
          </cell>
          <cell r="AQ127">
            <v>155.68817273588263</v>
          </cell>
          <cell r="AT127">
            <v>0</v>
          </cell>
          <cell r="AU127">
            <v>94.969785368888409</v>
          </cell>
          <cell r="AW127">
            <v>0.2772</v>
          </cell>
        </row>
        <row r="128">
          <cell r="AJ128">
            <v>120</v>
          </cell>
          <cell r="AK128">
            <v>38.394764630380848</v>
          </cell>
          <cell r="AQ128">
            <v>155.68817273588263</v>
          </cell>
          <cell r="AT128">
            <v>0</v>
          </cell>
          <cell r="AU128">
            <v>94.969785368888409</v>
          </cell>
          <cell r="AW128">
            <v>0.2772</v>
          </cell>
        </row>
        <row r="129">
          <cell r="AJ129">
            <v>0</v>
          </cell>
          <cell r="AK129">
            <v>0</v>
          </cell>
          <cell r="AQ129">
            <v>0</v>
          </cell>
          <cell r="AT129">
            <v>0</v>
          </cell>
          <cell r="AU129">
            <v>0</v>
          </cell>
          <cell r="AW129">
            <v>0</v>
          </cell>
        </row>
        <row r="144">
          <cell r="AJ144">
            <v>54</v>
          </cell>
          <cell r="AK144">
            <v>70.57550028786271</v>
          </cell>
          <cell r="AQ144">
            <v>198.83087795755733</v>
          </cell>
          <cell r="AT144">
            <v>32.182428131265397</v>
          </cell>
          <cell r="AU144">
            <v>141.61185147175576</v>
          </cell>
          <cell r="AW144">
            <v>0.21840000000000001</v>
          </cell>
        </row>
        <row r="145">
          <cell r="AJ145">
            <v>54</v>
          </cell>
          <cell r="AK145">
            <v>70.57550028786271</v>
          </cell>
          <cell r="AQ145">
            <v>198.83087795755733</v>
          </cell>
          <cell r="AT145">
            <v>32.182428131265397</v>
          </cell>
          <cell r="AU145">
            <v>141.61185147175576</v>
          </cell>
          <cell r="AW145">
            <v>0.21840000000000001</v>
          </cell>
        </row>
        <row r="146">
          <cell r="AJ146">
            <v>54</v>
          </cell>
          <cell r="AK146">
            <v>70.57550028786271</v>
          </cell>
          <cell r="AQ146">
            <v>33.987701968271061</v>
          </cell>
          <cell r="AT146">
            <v>32.182428131265397</v>
          </cell>
          <cell r="AU146">
            <v>24.301206907313809</v>
          </cell>
          <cell r="AW146">
            <v>0.21840000000000001</v>
          </cell>
        </row>
        <row r="148">
          <cell r="AJ148">
            <v>0</v>
          </cell>
          <cell r="AK148">
            <v>0</v>
          </cell>
          <cell r="AQ148">
            <v>0</v>
          </cell>
          <cell r="AT148">
            <v>0</v>
          </cell>
          <cell r="AU148">
            <v>0</v>
          </cell>
          <cell r="AW148">
            <v>0</v>
          </cell>
        </row>
        <row r="149">
          <cell r="AJ149">
            <v>0</v>
          </cell>
          <cell r="AK149">
            <v>0</v>
          </cell>
          <cell r="AQ149">
            <v>0</v>
          </cell>
          <cell r="AT149">
            <v>0</v>
          </cell>
          <cell r="AU149">
            <v>0</v>
          </cell>
          <cell r="AW149">
            <v>0</v>
          </cell>
        </row>
        <row r="150">
          <cell r="AJ150">
            <v>0</v>
          </cell>
          <cell r="AK150">
            <v>0</v>
          </cell>
          <cell r="AQ150">
            <v>0</v>
          </cell>
          <cell r="AT150">
            <v>0</v>
          </cell>
          <cell r="AU150">
            <v>0</v>
          </cell>
          <cell r="AW150">
            <v>0</v>
          </cell>
        </row>
        <row r="151">
          <cell r="AJ151">
            <v>0</v>
          </cell>
          <cell r="AK151">
            <v>0</v>
          </cell>
          <cell r="AQ151">
            <v>43.868879742669847</v>
          </cell>
          <cell r="AT151">
            <v>0</v>
          </cell>
          <cell r="AU151">
            <v>35.753136990275927</v>
          </cell>
          <cell r="AW151">
            <v>0</v>
          </cell>
        </row>
        <row r="152">
          <cell r="AJ152">
            <v>0</v>
          </cell>
          <cell r="AK152">
            <v>0</v>
          </cell>
          <cell r="AQ152">
            <v>35.79157691248453</v>
          </cell>
          <cell r="AT152">
            <v>0</v>
          </cell>
          <cell r="AU152">
            <v>29.170135183674894</v>
          </cell>
          <cell r="AW152">
            <v>0</v>
          </cell>
        </row>
        <row r="154">
          <cell r="AJ154">
            <v>0</v>
          </cell>
          <cell r="AK154">
            <v>0</v>
          </cell>
          <cell r="AQ154">
            <v>85.182719334131903</v>
          </cell>
          <cell r="AT154">
            <v>0</v>
          </cell>
          <cell r="AU154">
            <v>52.387372390491123</v>
          </cell>
          <cell r="AW154">
            <v>0</v>
          </cell>
        </row>
        <row r="156">
          <cell r="AJ156">
            <v>0</v>
          </cell>
          <cell r="AK156">
            <v>0</v>
          </cell>
          <cell r="AQ156">
            <v>0</v>
          </cell>
          <cell r="AT156">
            <v>0</v>
          </cell>
          <cell r="AU156">
            <v>0</v>
          </cell>
          <cell r="AW156">
            <v>0</v>
          </cell>
        </row>
        <row r="157">
          <cell r="AJ157">
            <v>0</v>
          </cell>
          <cell r="AK157">
            <v>0</v>
          </cell>
          <cell r="AQ157">
            <v>0</v>
          </cell>
          <cell r="AT157">
            <v>0</v>
          </cell>
          <cell r="AU157">
            <v>0</v>
          </cell>
          <cell r="AW157">
            <v>0</v>
          </cell>
        </row>
        <row r="158">
          <cell r="AJ158">
            <v>0</v>
          </cell>
          <cell r="AK158">
            <v>0</v>
          </cell>
          <cell r="AQ158">
            <v>0</v>
          </cell>
          <cell r="AT158">
            <v>0</v>
          </cell>
          <cell r="AU158">
            <v>0</v>
          </cell>
          <cell r="AW158">
            <v>0</v>
          </cell>
        </row>
        <row r="159">
          <cell r="AJ159">
            <v>0</v>
          </cell>
          <cell r="AK159">
            <v>0</v>
          </cell>
          <cell r="AQ159">
            <v>0</v>
          </cell>
          <cell r="AT159">
            <v>0</v>
          </cell>
          <cell r="AU159">
            <v>0</v>
          </cell>
          <cell r="AW159">
            <v>0</v>
          </cell>
        </row>
        <row r="160">
          <cell r="AJ160">
            <v>0</v>
          </cell>
          <cell r="AK160">
            <v>0</v>
          </cell>
          <cell r="AQ160">
            <v>0</v>
          </cell>
          <cell r="AT160">
            <v>0</v>
          </cell>
          <cell r="AU160">
            <v>0</v>
          </cell>
          <cell r="AW160">
            <v>0</v>
          </cell>
        </row>
        <row r="161">
          <cell r="AJ161">
            <v>1</v>
          </cell>
          <cell r="AK161">
            <v>0.1</v>
          </cell>
          <cell r="AQ161">
            <v>2.6019179999999996E-2</v>
          </cell>
          <cell r="AT161">
            <v>4.5600000000000002E-2</v>
          </cell>
          <cell r="AU161">
            <v>1.86037137E-2</v>
          </cell>
          <cell r="AW161">
            <v>4.1999999999999997E-3</v>
          </cell>
        </row>
        <row r="162">
          <cell r="AJ162">
            <v>23</v>
          </cell>
          <cell r="AK162">
            <v>9.3571581758055213</v>
          </cell>
          <cell r="AQ162">
            <v>17.671262952650498</v>
          </cell>
          <cell r="AT162">
            <v>4.2668641281673176</v>
          </cell>
          <cell r="AU162">
            <v>14.193844081629665</v>
          </cell>
          <cell r="AW162">
            <v>9.4500000000000001E-2</v>
          </cell>
        </row>
        <row r="163">
          <cell r="AJ163">
            <v>23</v>
          </cell>
          <cell r="AK163">
            <v>9.3571581758055213</v>
          </cell>
          <cell r="AQ163">
            <v>6.30601425794785</v>
          </cell>
          <cell r="AT163">
            <v>4.2668641281673176</v>
          </cell>
          <cell r="AU163">
            <v>5.0448114063582796</v>
          </cell>
          <cell r="AW163">
            <v>9.4500000000000001E-2</v>
          </cell>
        </row>
        <row r="164">
          <cell r="AJ164">
            <v>0</v>
          </cell>
          <cell r="AK164">
            <v>0</v>
          </cell>
          <cell r="AQ164">
            <v>3.2722609040683328</v>
          </cell>
          <cell r="AT164">
            <v>0</v>
          </cell>
          <cell r="AU164">
            <v>2.9450348136614997</v>
          </cell>
          <cell r="AW164">
            <v>0</v>
          </cell>
        </row>
        <row r="165">
          <cell r="AJ165">
            <v>0</v>
          </cell>
          <cell r="AK165">
            <v>0</v>
          </cell>
          <cell r="AQ165">
            <v>2.6945320408293347</v>
          </cell>
          <cell r="AT165">
            <v>0</v>
          </cell>
          <cell r="AU165">
            <v>2.4250788367464011</v>
          </cell>
          <cell r="AW165">
            <v>0</v>
          </cell>
        </row>
        <row r="166">
          <cell r="AJ166">
            <v>0</v>
          </cell>
          <cell r="AK166">
            <v>0</v>
          </cell>
          <cell r="AQ166">
            <v>5.3984557498049792</v>
          </cell>
          <cell r="AT166">
            <v>0</v>
          </cell>
          <cell r="AU166">
            <v>3.7789190248634852</v>
          </cell>
          <cell r="AW166">
            <v>0</v>
          </cell>
        </row>
        <row r="167">
          <cell r="AJ167">
            <v>0</v>
          </cell>
          <cell r="AK167">
            <v>0</v>
          </cell>
          <cell r="AQ167">
            <v>0</v>
          </cell>
          <cell r="AT167">
            <v>0</v>
          </cell>
          <cell r="AU167">
            <v>0</v>
          </cell>
          <cell r="AW167">
            <v>0</v>
          </cell>
        </row>
        <row r="168">
          <cell r="AJ168">
            <v>0</v>
          </cell>
          <cell r="AK168">
            <v>0</v>
          </cell>
          <cell r="AQ168">
            <v>0</v>
          </cell>
          <cell r="AT168">
            <v>0</v>
          </cell>
          <cell r="AU168">
            <v>0</v>
          </cell>
          <cell r="AW168">
            <v>0</v>
          </cell>
        </row>
        <row r="169">
          <cell r="AJ169">
            <v>0</v>
          </cell>
          <cell r="AK169">
            <v>0</v>
          </cell>
          <cell r="AQ169">
            <v>0</v>
          </cell>
          <cell r="AT169">
            <v>0</v>
          </cell>
          <cell r="AU169">
            <v>0</v>
          </cell>
          <cell r="AW169">
            <v>0</v>
          </cell>
        </row>
        <row r="170">
          <cell r="AJ170">
            <v>0</v>
          </cell>
          <cell r="AK170">
            <v>0</v>
          </cell>
          <cell r="AQ170">
            <v>0</v>
          </cell>
          <cell r="AT170">
            <v>0</v>
          </cell>
          <cell r="AU170">
            <v>0</v>
          </cell>
          <cell r="AW170">
            <v>0</v>
          </cell>
        </row>
        <row r="171">
          <cell r="AJ171">
            <v>0</v>
          </cell>
          <cell r="AK171">
            <v>0</v>
          </cell>
          <cell r="AQ171">
            <v>0</v>
          </cell>
          <cell r="AT171">
            <v>0</v>
          </cell>
          <cell r="AU171">
            <v>0</v>
          </cell>
          <cell r="AW171">
            <v>0</v>
          </cell>
        </row>
        <row r="172">
          <cell r="AJ172">
            <v>0</v>
          </cell>
          <cell r="AK172">
            <v>0</v>
          </cell>
          <cell r="AQ172">
            <v>0</v>
          </cell>
          <cell r="AT172">
            <v>0</v>
          </cell>
          <cell r="AU172">
            <v>0</v>
          </cell>
          <cell r="AW172">
            <v>0</v>
          </cell>
        </row>
        <row r="173">
          <cell r="AJ173">
            <v>0</v>
          </cell>
          <cell r="AK173">
            <v>0</v>
          </cell>
          <cell r="AQ173">
            <v>0</v>
          </cell>
          <cell r="AT173">
            <v>0</v>
          </cell>
          <cell r="AU173">
            <v>0</v>
          </cell>
          <cell r="AW173">
            <v>0</v>
          </cell>
        </row>
        <row r="174">
          <cell r="AJ174">
            <v>0</v>
          </cell>
          <cell r="AK174">
            <v>0</v>
          </cell>
          <cell r="AQ174">
            <v>0</v>
          </cell>
          <cell r="AT174">
            <v>0</v>
          </cell>
          <cell r="AU174">
            <v>0</v>
          </cell>
          <cell r="AW174">
            <v>0</v>
          </cell>
        </row>
        <row r="175">
          <cell r="AJ175">
            <v>0</v>
          </cell>
          <cell r="AK175">
            <v>0</v>
          </cell>
          <cell r="AQ175">
            <v>0</v>
          </cell>
          <cell r="AT175">
            <v>0</v>
          </cell>
          <cell r="AU175">
            <v>0</v>
          </cell>
          <cell r="AW175">
            <v>0</v>
          </cell>
        </row>
        <row r="176">
          <cell r="AJ176">
            <v>0</v>
          </cell>
          <cell r="AK176">
            <v>0</v>
          </cell>
          <cell r="AQ176">
            <v>0</v>
          </cell>
          <cell r="AT176">
            <v>0</v>
          </cell>
          <cell r="AU176">
            <v>0</v>
          </cell>
          <cell r="AW176">
            <v>0</v>
          </cell>
        </row>
        <row r="177">
          <cell r="AJ177">
            <v>0</v>
          </cell>
          <cell r="AK177">
            <v>0</v>
          </cell>
          <cell r="AQ177">
            <v>0</v>
          </cell>
          <cell r="AT177">
            <v>0</v>
          </cell>
          <cell r="AU177">
            <v>0</v>
          </cell>
          <cell r="AW177">
            <v>0</v>
          </cell>
        </row>
        <row r="178">
          <cell r="AJ178">
            <v>30</v>
          </cell>
          <cell r="AK178">
            <v>69.719160798665015</v>
          </cell>
          <cell r="AQ178">
            <v>32.592349999999996</v>
          </cell>
          <cell r="AT178">
            <v>11.024342301288906</v>
          </cell>
          <cell r="AU178">
            <v>20.533180499999997</v>
          </cell>
          <cell r="AW178">
            <v>0.10920000000000001</v>
          </cell>
        </row>
        <row r="179">
          <cell r="AJ179">
            <v>30</v>
          </cell>
          <cell r="AK179">
            <v>69.719160798665015</v>
          </cell>
          <cell r="AQ179">
            <v>32.592349999999996</v>
          </cell>
          <cell r="AT179">
            <v>11.024342301288906</v>
          </cell>
          <cell r="AU179">
            <v>20.533180499999997</v>
          </cell>
          <cell r="AW179">
            <v>0.10920000000000001</v>
          </cell>
        </row>
        <row r="180">
          <cell r="AJ180">
            <v>0</v>
          </cell>
          <cell r="AK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</row>
        <row r="181">
          <cell r="AJ181">
            <v>0</v>
          </cell>
          <cell r="AK181">
            <v>0</v>
          </cell>
          <cell r="AQ181">
            <v>0</v>
          </cell>
          <cell r="AT181">
            <v>0</v>
          </cell>
          <cell r="AU181">
            <v>0</v>
          </cell>
          <cell r="AW181">
            <v>0</v>
          </cell>
        </row>
        <row r="182">
          <cell r="AJ182">
            <v>9</v>
          </cell>
          <cell r="AK182">
            <v>16.725232530122593</v>
          </cell>
          <cell r="AQ182">
            <v>31.910134814482756</v>
          </cell>
          <cell r="AT182">
            <v>4.1746180395185997</v>
          </cell>
          <cell r="AU182">
            <v>23.294398414572409</v>
          </cell>
          <cell r="AW182">
            <v>3.3599999999999998E-2</v>
          </cell>
        </row>
        <row r="183">
          <cell r="AJ183">
            <v>9</v>
          </cell>
          <cell r="AK183">
            <v>6.65</v>
          </cell>
          <cell r="AQ183">
            <v>7.1627470199999994</v>
          </cell>
          <cell r="AT183">
            <v>3.1920000000000002</v>
          </cell>
          <cell r="AU183">
            <v>7.8790217219999992</v>
          </cell>
          <cell r="AW183">
            <v>3.3599999999999998E-2</v>
          </cell>
        </row>
        <row r="184">
          <cell r="AJ184">
            <v>39</v>
          </cell>
          <cell r="AK184">
            <v>70.805489201335007</v>
          </cell>
          <cell r="AQ184">
            <v>360.15071468408308</v>
          </cell>
          <cell r="AT184">
            <v>0</v>
          </cell>
          <cell r="AU184">
            <v>219.69193595729067</v>
          </cell>
          <cell r="AW184">
            <v>0.14069999999999999</v>
          </cell>
        </row>
        <row r="185">
          <cell r="AJ185">
            <v>39</v>
          </cell>
          <cell r="AK185">
            <v>70.805489201335007</v>
          </cell>
          <cell r="AQ185">
            <v>360.15071468408308</v>
          </cell>
          <cell r="AT185">
            <v>0</v>
          </cell>
          <cell r="AU185">
            <v>219.69193595729067</v>
          </cell>
          <cell r="AW185">
            <v>0.14069999999999999</v>
          </cell>
        </row>
        <row r="186">
          <cell r="AJ186">
            <v>0</v>
          </cell>
          <cell r="AK186">
            <v>0</v>
          </cell>
          <cell r="AQ186">
            <v>0</v>
          </cell>
          <cell r="AT186">
            <v>0</v>
          </cell>
          <cell r="AU186">
            <v>0</v>
          </cell>
          <cell r="AW186">
            <v>0</v>
          </cell>
        </row>
        <row r="187">
          <cell r="AQ187">
            <v>0</v>
          </cell>
          <cell r="AT187">
            <v>0</v>
          </cell>
          <cell r="AU187">
            <v>0</v>
          </cell>
          <cell r="AW187">
            <v>0</v>
          </cell>
        </row>
        <row r="191">
          <cell r="AJ191">
            <v>3</v>
          </cell>
          <cell r="AK191">
            <v>18</v>
          </cell>
          <cell r="AQ191">
            <v>84.621599999999987</v>
          </cell>
          <cell r="AT191">
            <v>1.7280000000000002</v>
          </cell>
          <cell r="AU191">
            <v>50.772959999999991</v>
          </cell>
          <cell r="AW191">
            <v>6.3E-3</v>
          </cell>
        </row>
        <row r="201">
          <cell r="AJ201">
            <v>14</v>
          </cell>
          <cell r="AK201">
            <v>180.54106614058745</v>
          </cell>
          <cell r="AQ201">
            <v>381.44015963675173</v>
          </cell>
          <cell r="AT201">
            <v>82.326726160107881</v>
          </cell>
          <cell r="AU201">
            <v>256.48538640107995</v>
          </cell>
          <cell r="AW201">
            <v>8.4000000000000005E-2</v>
          </cell>
        </row>
        <row r="202">
          <cell r="AJ202">
            <v>14</v>
          </cell>
          <cell r="AK202">
            <v>180.54106614058745</v>
          </cell>
          <cell r="AQ202">
            <v>42.631794458751784</v>
          </cell>
          <cell r="AT202">
            <v>82.326726160107881</v>
          </cell>
          <cell r="AU202">
            <v>28.350143315069936</v>
          </cell>
          <cell r="AW202">
            <v>8.4000000000000005E-2</v>
          </cell>
        </row>
        <row r="204">
          <cell r="AJ204">
            <v>0</v>
          </cell>
          <cell r="AK204">
            <v>0</v>
          </cell>
          <cell r="AQ204">
            <v>0</v>
          </cell>
          <cell r="AT204">
            <v>0</v>
          </cell>
          <cell r="AU204">
            <v>0</v>
          </cell>
          <cell r="AW204">
            <v>0</v>
          </cell>
        </row>
        <row r="205">
          <cell r="AJ205">
            <v>0</v>
          </cell>
          <cell r="AK205">
            <v>0</v>
          </cell>
          <cell r="AQ205">
            <v>0</v>
          </cell>
          <cell r="AT205">
            <v>0</v>
          </cell>
          <cell r="AU205">
            <v>0</v>
          </cell>
          <cell r="AW205">
            <v>0</v>
          </cell>
        </row>
        <row r="206">
          <cell r="AJ206">
            <v>0</v>
          </cell>
          <cell r="AK206">
            <v>0</v>
          </cell>
          <cell r="AQ206">
            <v>0</v>
          </cell>
          <cell r="AT206">
            <v>0</v>
          </cell>
          <cell r="AU206">
            <v>0</v>
          </cell>
          <cell r="AW206">
            <v>0</v>
          </cell>
        </row>
        <row r="207">
          <cell r="AJ207">
            <v>0</v>
          </cell>
          <cell r="AK207">
            <v>0</v>
          </cell>
          <cell r="AQ207">
            <v>149.62623827939998</v>
          </cell>
          <cell r="AT207">
            <v>0</v>
          </cell>
          <cell r="AU207">
            <v>114.46407228374099</v>
          </cell>
          <cell r="AW207">
            <v>0</v>
          </cell>
        </row>
        <row r="208">
          <cell r="AJ208">
            <v>0</v>
          </cell>
          <cell r="AK208">
            <v>0</v>
          </cell>
          <cell r="AQ208">
            <v>33.916345522799993</v>
          </cell>
          <cell r="AT208">
            <v>0</v>
          </cell>
          <cell r="AU208">
            <v>25.946004324941999</v>
          </cell>
          <cell r="AW208">
            <v>0</v>
          </cell>
        </row>
        <row r="210">
          <cell r="AJ210">
            <v>0</v>
          </cell>
          <cell r="AK210">
            <v>0</v>
          </cell>
          <cell r="AQ210">
            <v>155.26578137579997</v>
          </cell>
          <cell r="AT210">
            <v>0</v>
          </cell>
          <cell r="AU210">
            <v>87.725166477326994</v>
          </cell>
          <cell r="AW210">
            <v>0</v>
          </cell>
        </row>
        <row r="211">
          <cell r="AJ211">
            <v>0</v>
          </cell>
          <cell r="AK211">
            <v>0</v>
          </cell>
          <cell r="AQ211">
            <v>0</v>
          </cell>
          <cell r="AT211">
            <v>0</v>
          </cell>
          <cell r="AU211">
            <v>0</v>
          </cell>
          <cell r="AW211">
            <v>0</v>
          </cell>
        </row>
        <row r="212">
          <cell r="AJ212">
            <v>2</v>
          </cell>
          <cell r="AK212">
            <v>35</v>
          </cell>
          <cell r="AQ212">
            <v>277.58028848043824</v>
          </cell>
          <cell r="AT212">
            <v>15.96</v>
          </cell>
          <cell r="AU212">
            <v>184.75641315200056</v>
          </cell>
          <cell r="AW212">
            <v>1.2E-2</v>
          </cell>
        </row>
        <row r="213">
          <cell r="AJ213">
            <v>2</v>
          </cell>
          <cell r="AK213">
            <v>35</v>
          </cell>
          <cell r="AQ213">
            <v>73.937568714601255</v>
          </cell>
          <cell r="AT213">
            <v>15.96</v>
          </cell>
          <cell r="AU213">
            <v>49.168483195209838</v>
          </cell>
          <cell r="AW213">
            <v>1.2E-2</v>
          </cell>
        </row>
        <row r="214">
          <cell r="AJ214">
            <v>0</v>
          </cell>
          <cell r="AK214">
            <v>0</v>
          </cell>
          <cell r="AQ214">
            <v>51.090623215478892</v>
          </cell>
          <cell r="AT214">
            <v>0</v>
          </cell>
          <cell r="AU214">
            <v>39.084326759841353</v>
          </cell>
          <cell r="AW214">
            <v>0</v>
          </cell>
        </row>
        <row r="215">
          <cell r="AJ215">
            <v>0</v>
          </cell>
          <cell r="AK215">
            <v>0</v>
          </cell>
          <cell r="AQ215">
            <v>51.558343229985212</v>
          </cell>
          <cell r="AT215">
            <v>0</v>
          </cell>
          <cell r="AU215">
            <v>39.442132570938689</v>
          </cell>
          <cell r="AW215">
            <v>0</v>
          </cell>
        </row>
        <row r="216">
          <cell r="AJ216">
            <v>0</v>
          </cell>
          <cell r="AK216">
            <v>0</v>
          </cell>
          <cell r="AQ216">
            <v>100.99375332037289</v>
          </cell>
          <cell r="AT216">
            <v>0</v>
          </cell>
          <cell r="AU216">
            <v>57.061470626010689</v>
          </cell>
          <cell r="AW216">
            <v>0</v>
          </cell>
        </row>
        <row r="217">
          <cell r="AJ217">
            <v>8</v>
          </cell>
          <cell r="AK217">
            <v>17.527693004466492</v>
          </cell>
          <cell r="AQ217">
            <v>5.7995466559512572</v>
          </cell>
          <cell r="AT217">
            <v>7.9926280100367197</v>
          </cell>
          <cell r="AU217">
            <v>4.4338291034598063</v>
          </cell>
          <cell r="AW217">
            <v>4.4999999999999998E-2</v>
          </cell>
        </row>
        <row r="218">
          <cell r="AJ218">
            <v>8</v>
          </cell>
          <cell r="AK218">
            <v>17.527693004466492</v>
          </cell>
          <cell r="AQ218">
            <v>1.0142931427789015</v>
          </cell>
          <cell r="AT218">
            <v>7.9926280100367197</v>
          </cell>
          <cell r="AU218">
            <v>0.79114865136754309</v>
          </cell>
          <cell r="AW218">
            <v>4.4999999999999998E-2</v>
          </cell>
        </row>
        <row r="219">
          <cell r="AJ219">
            <v>0</v>
          </cell>
          <cell r="AK219">
            <v>0</v>
          </cell>
          <cell r="AQ219">
            <v>1.3129461751676739</v>
          </cell>
          <cell r="AT219">
            <v>0</v>
          </cell>
          <cell r="AU219">
            <v>1.1553926341475531</v>
          </cell>
          <cell r="AW219">
            <v>0</v>
          </cell>
        </row>
        <row r="220">
          <cell r="AJ220">
            <v>0</v>
          </cell>
          <cell r="AK220">
            <v>0</v>
          </cell>
          <cell r="AQ220">
            <v>0.63059414050762741</v>
          </cell>
          <cell r="AT220">
            <v>0</v>
          </cell>
          <cell r="AU220">
            <v>0.55492284364671218</v>
          </cell>
          <cell r="AW220">
            <v>0</v>
          </cell>
        </row>
        <row r="221">
          <cell r="AJ221">
            <v>0</v>
          </cell>
          <cell r="AK221">
            <v>0</v>
          </cell>
          <cell r="AQ221">
            <v>2.8417131974970551</v>
          </cell>
          <cell r="AT221">
            <v>0</v>
          </cell>
          <cell r="AU221">
            <v>1.9323649742979974</v>
          </cell>
          <cell r="AW221">
            <v>0</v>
          </cell>
        </row>
        <row r="222">
          <cell r="AJ222">
            <v>0</v>
          </cell>
          <cell r="AK222">
            <v>0</v>
          </cell>
          <cell r="AQ222">
            <v>0</v>
          </cell>
          <cell r="AT222">
            <v>0</v>
          </cell>
          <cell r="AU222">
            <v>0</v>
          </cell>
          <cell r="AW222">
            <v>0</v>
          </cell>
        </row>
        <row r="223">
          <cell r="AJ223">
            <v>0</v>
          </cell>
          <cell r="AK223">
            <v>0</v>
          </cell>
          <cell r="AQ223">
            <v>0</v>
          </cell>
          <cell r="AT223">
            <v>0</v>
          </cell>
          <cell r="AU223">
            <v>0</v>
          </cell>
          <cell r="AW223">
            <v>0</v>
          </cell>
        </row>
        <row r="224">
          <cell r="AJ224">
            <v>0</v>
          </cell>
          <cell r="AK224">
            <v>0</v>
          </cell>
          <cell r="AQ224">
            <v>0</v>
          </cell>
          <cell r="AT224">
            <v>0</v>
          </cell>
          <cell r="AU224">
            <v>0</v>
          </cell>
          <cell r="AW224">
            <v>0</v>
          </cell>
        </row>
        <row r="225">
          <cell r="AJ225">
            <v>0</v>
          </cell>
          <cell r="AK225">
            <v>0</v>
          </cell>
          <cell r="AQ225">
            <v>0</v>
          </cell>
          <cell r="AT225">
            <v>0</v>
          </cell>
          <cell r="AU225">
            <v>0</v>
          </cell>
          <cell r="AW225">
            <v>0</v>
          </cell>
        </row>
        <row r="226">
          <cell r="AJ226">
            <v>0</v>
          </cell>
          <cell r="AK226">
            <v>0</v>
          </cell>
          <cell r="AQ226">
            <v>0</v>
          </cell>
          <cell r="AT226">
            <v>0</v>
          </cell>
          <cell r="AU226">
            <v>0</v>
          </cell>
          <cell r="AW226">
            <v>0</v>
          </cell>
        </row>
        <row r="227">
          <cell r="AJ227">
            <v>0</v>
          </cell>
          <cell r="AK227">
            <v>0</v>
          </cell>
          <cell r="AQ227">
            <v>0</v>
          </cell>
          <cell r="AT227">
            <v>0</v>
          </cell>
          <cell r="AU227">
            <v>0</v>
          </cell>
          <cell r="AW227">
            <v>0</v>
          </cell>
        </row>
        <row r="228">
          <cell r="AJ228">
            <v>0</v>
          </cell>
          <cell r="AK228">
            <v>0</v>
          </cell>
          <cell r="AQ228">
            <v>0</v>
          </cell>
          <cell r="AT228">
            <v>0</v>
          </cell>
          <cell r="AU228">
            <v>0</v>
          </cell>
          <cell r="AW228">
            <v>0</v>
          </cell>
        </row>
        <row r="229">
          <cell r="AJ229">
            <v>0</v>
          </cell>
          <cell r="AK229">
            <v>0</v>
          </cell>
          <cell r="AQ229">
            <v>0</v>
          </cell>
          <cell r="AT229">
            <v>0</v>
          </cell>
          <cell r="AU229">
            <v>0</v>
          </cell>
          <cell r="AW229">
            <v>0</v>
          </cell>
        </row>
        <row r="230">
          <cell r="AJ230">
            <v>0</v>
          </cell>
          <cell r="AK230">
            <v>0</v>
          </cell>
          <cell r="AQ230">
            <v>0</v>
          </cell>
          <cell r="AT230">
            <v>0</v>
          </cell>
          <cell r="AU230">
            <v>0</v>
          </cell>
          <cell r="AW230">
            <v>0</v>
          </cell>
        </row>
        <row r="231">
          <cell r="AJ231">
            <v>0</v>
          </cell>
          <cell r="AK231">
            <v>0</v>
          </cell>
          <cell r="AQ231">
            <v>0</v>
          </cell>
          <cell r="AT231">
            <v>0</v>
          </cell>
          <cell r="AU231">
            <v>0</v>
          </cell>
          <cell r="AW231">
            <v>0</v>
          </cell>
        </row>
        <row r="232">
          <cell r="AJ232">
            <v>42</v>
          </cell>
          <cell r="AK232">
            <v>2685.9948275000002</v>
          </cell>
          <cell r="AQ232">
            <v>1391.474921627705</v>
          </cell>
          <cell r="AT232">
            <v>424.72293209843752</v>
          </cell>
          <cell r="AU232">
            <v>876.62920062545413</v>
          </cell>
          <cell r="AW232">
            <v>0.222</v>
          </cell>
        </row>
        <row r="233">
          <cell r="AJ233">
            <v>42</v>
          </cell>
          <cell r="AK233">
            <v>2685.9948275000002</v>
          </cell>
          <cell r="AQ233">
            <v>1391.474921627705</v>
          </cell>
          <cell r="AT233">
            <v>424.72293209843752</v>
          </cell>
          <cell r="AU233">
            <v>876.62920062545413</v>
          </cell>
          <cell r="AW233">
            <v>0.222</v>
          </cell>
        </row>
        <row r="234">
          <cell r="AJ234">
            <v>0</v>
          </cell>
          <cell r="AK234">
            <v>0</v>
          </cell>
          <cell r="AQ234">
            <v>0</v>
          </cell>
          <cell r="AT234">
            <v>0</v>
          </cell>
          <cell r="AU234">
            <v>0</v>
          </cell>
          <cell r="AW234">
            <v>0</v>
          </cell>
        </row>
        <row r="235">
          <cell r="AJ235">
            <v>13</v>
          </cell>
          <cell r="AK235">
            <v>178.43344343715765</v>
          </cell>
          <cell r="AQ235">
            <v>660.86056437582442</v>
          </cell>
          <cell r="AT235">
            <v>81.36565020734389</v>
          </cell>
          <cell r="AU235">
            <v>333.73458500979132</v>
          </cell>
          <cell r="AW235">
            <v>7.8E-2</v>
          </cell>
        </row>
        <row r="236">
          <cell r="AJ236">
            <v>13</v>
          </cell>
          <cell r="AK236">
            <v>178.43344343715765</v>
          </cell>
          <cell r="AQ236">
            <v>660.86056437582442</v>
          </cell>
          <cell r="AT236">
            <v>81.36565020734389</v>
          </cell>
          <cell r="AU236">
            <v>333.73458500979132</v>
          </cell>
          <cell r="AW236">
            <v>7.8E-2</v>
          </cell>
        </row>
        <row r="237">
          <cell r="AJ237">
            <v>0</v>
          </cell>
          <cell r="AK237">
            <v>0</v>
          </cell>
          <cell r="AQ237">
            <v>0</v>
          </cell>
          <cell r="AT237">
            <v>0</v>
          </cell>
          <cell r="AU237">
            <v>0</v>
          </cell>
          <cell r="AW237">
            <v>0</v>
          </cell>
        </row>
        <row r="238">
          <cell r="AJ238">
            <v>0</v>
          </cell>
          <cell r="AK238">
            <v>0</v>
          </cell>
          <cell r="AQ238">
            <v>0</v>
          </cell>
          <cell r="AT238">
            <v>0</v>
          </cell>
          <cell r="AU238">
            <v>0</v>
          </cell>
          <cell r="AW238">
            <v>0</v>
          </cell>
        </row>
        <row r="239">
          <cell r="AJ239">
            <v>0</v>
          </cell>
          <cell r="AK239">
            <v>0</v>
          </cell>
          <cell r="AQ239">
            <v>0</v>
          </cell>
          <cell r="AT239">
            <v>0</v>
          </cell>
          <cell r="AU239">
            <v>0</v>
          </cell>
          <cell r="AW239">
            <v>0</v>
          </cell>
        </row>
        <row r="240">
          <cell r="AJ240">
            <v>2</v>
          </cell>
          <cell r="AK240">
            <v>30</v>
          </cell>
          <cell r="AQ240">
            <v>66.75530056551726</v>
          </cell>
          <cell r="AT240">
            <v>7.4879999999999995</v>
          </cell>
          <cell r="AU240">
            <v>48.731369412827597</v>
          </cell>
          <cell r="AW240">
            <v>1.2E-2</v>
          </cell>
        </row>
        <row r="241">
          <cell r="AJ241">
            <v>1</v>
          </cell>
          <cell r="AK241">
            <v>0.5</v>
          </cell>
          <cell r="AQ241">
            <v>1.1619330000000001</v>
          </cell>
          <cell r="AT241">
            <v>0.24</v>
          </cell>
          <cell r="AU241">
            <v>1.2548876400000002</v>
          </cell>
          <cell r="AW241">
            <v>6.0000000000000001E-3</v>
          </cell>
        </row>
        <row r="242">
          <cell r="AJ242">
            <v>1</v>
          </cell>
          <cell r="AK242">
            <v>5.3079999999999998</v>
          </cell>
          <cell r="AQ242">
            <v>28.750592634089028</v>
          </cell>
          <cell r="AT242">
            <v>0</v>
          </cell>
          <cell r="AU242">
            <v>17.537861506794307</v>
          </cell>
          <cell r="AW242">
            <v>6.0000000000000001E-3</v>
          </cell>
        </row>
        <row r="243">
          <cell r="AJ243">
            <v>1</v>
          </cell>
          <cell r="AK243">
            <v>5.3079999999999998</v>
          </cell>
          <cell r="AQ243">
            <v>28.750592634089028</v>
          </cell>
          <cell r="AT243">
            <v>0</v>
          </cell>
          <cell r="AU243">
            <v>17.537861506794307</v>
          </cell>
          <cell r="AW243">
            <v>6.0000000000000001E-3</v>
          </cell>
        </row>
        <row r="244">
          <cell r="AJ244">
            <v>0</v>
          </cell>
          <cell r="AK244">
            <v>0</v>
          </cell>
          <cell r="AQ244">
            <v>0</v>
          </cell>
          <cell r="AT244">
            <v>0</v>
          </cell>
          <cell r="AU244">
            <v>0</v>
          </cell>
          <cell r="AW244">
            <v>0</v>
          </cell>
        </row>
        <row r="245">
          <cell r="AQ245">
            <v>0</v>
          </cell>
          <cell r="AT245">
            <v>0</v>
          </cell>
          <cell r="AU245">
            <v>0</v>
          </cell>
          <cell r="AW245">
            <v>0</v>
          </cell>
        </row>
      </sheetData>
      <sheetData sheetId="4">
        <row r="10">
          <cell r="AJ10">
            <v>8309136</v>
          </cell>
        </row>
        <row r="239">
          <cell r="AQ239">
            <v>0</v>
          </cell>
          <cell r="AT239">
            <v>0</v>
          </cell>
          <cell r="AU239">
            <v>0</v>
          </cell>
          <cell r="AW239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 refreshError="1"/>
      <sheetData sheetId="1">
        <row r="27">
          <cell r="E27">
            <v>8657.3668749999997</v>
          </cell>
        </row>
        <row r="48">
          <cell r="E48">
            <v>3613.8831249999994</v>
          </cell>
          <cell r="F48">
            <v>3478.0151283867563</v>
          </cell>
        </row>
        <row r="49">
          <cell r="E49">
            <v>391.91765500000002</v>
          </cell>
          <cell r="F49">
            <v>391.91765504908324</v>
          </cell>
        </row>
        <row r="50">
          <cell r="E50">
            <v>2314.0632000000001</v>
          </cell>
          <cell r="F50">
            <v>2637.258758253136</v>
          </cell>
        </row>
        <row r="52">
          <cell r="E52">
            <v>1295.06</v>
          </cell>
          <cell r="F52">
            <v>1288.9300555358736</v>
          </cell>
        </row>
        <row r="53">
          <cell r="E53">
            <v>2648.7094399999996</v>
          </cell>
          <cell r="F53">
            <v>2458.6341933650765</v>
          </cell>
        </row>
        <row r="54">
          <cell r="E54">
            <v>210.83549499999998</v>
          </cell>
          <cell r="F54">
            <v>1809.2004322691539</v>
          </cell>
        </row>
        <row r="55">
          <cell r="E55">
            <v>-476.83672999999999</v>
          </cell>
          <cell r="F55">
            <v>-498.90623300831419</v>
          </cell>
        </row>
        <row r="56">
          <cell r="E56">
            <v>-60.119999999999976</v>
          </cell>
          <cell r="F56">
            <v>0</v>
          </cell>
        </row>
        <row r="57">
          <cell r="E57">
            <v>385.04108000000002</v>
          </cell>
          <cell r="F57">
            <v>385.04108023559996</v>
          </cell>
        </row>
        <row r="59">
          <cell r="E59">
            <v>1483.99</v>
          </cell>
          <cell r="F59">
            <v>1736.681000018038</v>
          </cell>
        </row>
        <row r="60">
          <cell r="E60">
            <v>0</v>
          </cell>
          <cell r="F60">
            <v>402.06638647339776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16">
          <cell r="N16">
            <v>1435.0747989613408</v>
          </cell>
        </row>
      </sheetData>
      <sheetData sheetId="2">
        <row r="23">
          <cell r="E23">
            <v>8374.0451300000004</v>
          </cell>
        </row>
        <row r="40">
          <cell r="E40">
            <v>3495.6148700000003</v>
          </cell>
          <cell r="F40">
            <v>4194.7207864265729</v>
          </cell>
        </row>
        <row r="41">
          <cell r="E41">
            <v>360.41498999999993</v>
          </cell>
          <cell r="F41">
            <v>365.87060249999996</v>
          </cell>
        </row>
        <row r="42">
          <cell r="E42">
            <v>2614.2323249999995</v>
          </cell>
          <cell r="F42">
            <v>2523.9028439337171</v>
          </cell>
        </row>
        <row r="43">
          <cell r="E43">
            <v>1587.2500000000002</v>
          </cell>
          <cell r="F43">
            <v>1516.4646084541769</v>
          </cell>
        </row>
        <row r="44">
          <cell r="E44">
            <v>2899.7353499999999</v>
          </cell>
          <cell r="F44">
            <v>2255.6372361016442</v>
          </cell>
        </row>
        <row r="45">
          <cell r="E45">
            <v>155.17204999999998</v>
          </cell>
          <cell r="F45">
            <v>1429.1408316553345</v>
          </cell>
        </row>
        <row r="46">
          <cell r="E46">
            <v>-548.36488999999995</v>
          </cell>
          <cell r="F46">
            <v>-216.53178486795579</v>
          </cell>
        </row>
        <row r="47">
          <cell r="E47">
            <v>-209.91000000000003</v>
          </cell>
          <cell r="F47">
            <v>0</v>
          </cell>
        </row>
        <row r="48">
          <cell r="E48">
            <v>406.10666499999996</v>
          </cell>
          <cell r="F48">
            <v>343.99955999999997</v>
          </cell>
        </row>
        <row r="49">
          <cell r="E49">
            <v>1591.17</v>
          </cell>
          <cell r="F49">
            <v>1855.6485359666963</v>
          </cell>
        </row>
        <row r="50">
          <cell r="E50">
            <v>0</v>
          </cell>
          <cell r="F50">
            <v>38.6856445146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8374.0451300000004</v>
          </cell>
        </row>
        <row r="40">
          <cell r="E40">
            <v>3495.6148700000003</v>
          </cell>
          <cell r="F40">
            <v>4194.7207864265729</v>
          </cell>
        </row>
        <row r="41">
          <cell r="E41">
            <v>360.41498999999993</v>
          </cell>
          <cell r="F41">
            <v>365.87060249999996</v>
          </cell>
        </row>
        <row r="42">
          <cell r="E42">
            <v>2614.2323249999995</v>
          </cell>
          <cell r="F42">
            <v>2523.9028439337171</v>
          </cell>
        </row>
        <row r="43">
          <cell r="E43">
            <v>1587.2500000000002</v>
          </cell>
          <cell r="F43">
            <v>1516.4646084541769</v>
          </cell>
        </row>
        <row r="44">
          <cell r="E44">
            <v>2899.7353499999999</v>
          </cell>
          <cell r="F44">
            <v>2255.6372361016442</v>
          </cell>
        </row>
        <row r="45">
          <cell r="E45">
            <v>155.17204999999998</v>
          </cell>
          <cell r="F45">
            <v>2494.580424719768</v>
          </cell>
        </row>
        <row r="46">
          <cell r="E46">
            <v>-548.36488999999995</v>
          </cell>
          <cell r="F46">
            <v>-216.53178486795579</v>
          </cell>
        </row>
        <row r="47">
          <cell r="E47">
            <v>-209.91000000000003</v>
          </cell>
          <cell r="F47">
            <v>0</v>
          </cell>
        </row>
        <row r="48">
          <cell r="E48">
            <v>406.10666499999996</v>
          </cell>
          <cell r="F48">
            <v>343.99955999999997</v>
          </cell>
        </row>
        <row r="49">
          <cell r="E49">
            <v>1591.17</v>
          </cell>
          <cell r="F49">
            <v>1855.6485359666963</v>
          </cell>
        </row>
        <row r="50">
          <cell r="E50">
            <v>0</v>
          </cell>
          <cell r="F50">
            <v>38.6856445146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Sales_NP"/>
      <sheetName val="Rev_SP-12me"/>
      <sheetName val="Rev_NP-12me"/>
      <sheetName val="NTI"/>
      <sheetName val="Sales_Progress tracker"/>
      <sheetName val="SPDCL_Write-up"/>
      <sheetName val="NPDCL_Write-up"/>
      <sheetName val="NPDCL_Approved"/>
      <sheetName val="SPDCL_Approved"/>
      <sheetName val=" Filed vs approved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Changes tracker"/>
      <sheetName val="Sheet3"/>
    </sheetNames>
    <sheetDataSet>
      <sheetData sheetId="0"/>
      <sheetData sheetId="1"/>
      <sheetData sheetId="2"/>
      <sheetData sheetId="3">
        <row r="10">
          <cell r="CG10">
            <v>884.88479299999995</v>
          </cell>
        </row>
      </sheetData>
      <sheetData sheetId="4">
        <row r="10">
          <cell r="FE10">
            <v>337.61115799999993</v>
          </cell>
          <cell r="FF10">
            <v>369.44492999999994</v>
          </cell>
          <cell r="FG10">
            <v>463.25779699999998</v>
          </cell>
          <cell r="FH10">
            <v>409.38024099999996</v>
          </cell>
          <cell r="FI10">
            <v>335.71168599999999</v>
          </cell>
          <cell r="FJ10">
            <v>375.87584900000002</v>
          </cell>
          <cell r="FK10">
            <v>344.005742</v>
          </cell>
          <cell r="FL10">
            <v>341.45521200000002</v>
          </cell>
          <cell r="FM10">
            <v>291.04520300000001</v>
          </cell>
          <cell r="FN10">
            <v>236.07568600000002</v>
          </cell>
          <cell r="FO10">
            <v>284.42436199999997</v>
          </cell>
          <cell r="FP10">
            <v>291.71708599999999</v>
          </cell>
          <cell r="HP10">
            <v>380.5464125564751</v>
          </cell>
          <cell r="HQ10">
            <v>416.42860260168914</v>
          </cell>
          <cell r="HR10">
            <v>522.17199745858454</v>
          </cell>
          <cell r="HS10">
            <v>461.44263420362199</v>
          </cell>
          <cell r="HT10">
            <v>378.40537770551356</v>
          </cell>
          <cell r="HU10">
            <v>423.67736525926483</v>
          </cell>
          <cell r="HV10">
            <v>387.75421935826046</v>
          </cell>
          <cell r="HW10">
            <v>384.87932906326131</v>
          </cell>
          <cell r="HX10">
            <v>328.0584935330279</v>
          </cell>
          <cell r="HY10">
            <v>266.09830057544747</v>
          </cell>
          <cell r="HZ10">
            <v>320.59565579513287</v>
          </cell>
          <cell r="IA10">
            <v>328.81582236902472</v>
          </cell>
          <cell r="IK10">
            <v>394.04290449496443</v>
          </cell>
          <cell r="IL10">
            <v>431.19769539174655</v>
          </cell>
          <cell r="IM10">
            <v>540.69139462451835</v>
          </cell>
          <cell r="IN10">
            <v>477.80819852668657</v>
          </cell>
          <cell r="IO10">
            <v>391.82593551704088</v>
          </cell>
          <cell r="IP10">
            <v>438.70354329186802</v>
          </cell>
          <cell r="IQ10">
            <v>401.50634399537648</v>
          </cell>
          <cell r="IR10">
            <v>398.5294925928481</v>
          </cell>
          <cell r="IS10">
            <v>339.69344440164076</v>
          </cell>
          <cell r="IT10">
            <v>275.53576588864172</v>
          </cell>
          <cell r="IU10">
            <v>331.96592901591009</v>
          </cell>
          <cell r="IV10">
            <v>340.47763272755145</v>
          </cell>
          <cell r="JF10">
            <v>410.26992394479822</v>
          </cell>
          <cell r="JG10">
            <v>448.95478049600268</v>
          </cell>
          <cell r="JH10">
            <v>562.95752269545767</v>
          </cell>
          <cell r="JI10">
            <v>497.48474349764581</v>
          </cell>
          <cell r="JJ10">
            <v>407.96165831284509</v>
          </cell>
          <cell r="JK10">
            <v>456.76972554893007</v>
          </cell>
          <cell r="JL10">
            <v>418.04071418431585</v>
          </cell>
          <cell r="JM10">
            <v>414.94127352803594</v>
          </cell>
          <cell r="JN10">
            <v>353.68230720416045</v>
          </cell>
          <cell r="JO10">
            <v>286.88256132943349</v>
          </cell>
          <cell r="JP10">
            <v>345.63656621143946</v>
          </cell>
          <cell r="JQ10">
            <v>354.49878906732744</v>
          </cell>
        </row>
        <row r="23">
          <cell r="FE23">
            <v>79.114322999999999</v>
          </cell>
          <cell r="FF23">
            <v>81.664203999999998</v>
          </cell>
          <cell r="FG23">
            <v>97.534172000000012</v>
          </cell>
          <cell r="FH23">
            <v>88.424800000000019</v>
          </cell>
          <cell r="FI23">
            <v>75.685324999999992</v>
          </cell>
          <cell r="FJ23">
            <v>84.373867999999987</v>
          </cell>
          <cell r="FK23">
            <v>78.419490999999994</v>
          </cell>
          <cell r="FL23">
            <v>81.137627000000009</v>
          </cell>
          <cell r="FM23">
            <v>74.032184999999984</v>
          </cell>
          <cell r="FN23">
            <v>66.940488999999999</v>
          </cell>
          <cell r="FO23">
            <v>72.828187999999997</v>
          </cell>
          <cell r="FP23">
            <v>75.904477999999983</v>
          </cell>
          <cell r="HP23">
            <v>99.703199459587239</v>
          </cell>
          <cell r="HQ23">
            <v>102.91666681038809</v>
          </cell>
          <cell r="HR23">
            <v>122.91666838938495</v>
          </cell>
          <cell r="HS23">
            <v>111.4366544168508</v>
          </cell>
          <cell r="HT23">
            <v>95.3818318667618</v>
          </cell>
          <cell r="HU23">
            <v>106.33149942243561</v>
          </cell>
          <cell r="HV23">
            <v>98.827542930403482</v>
          </cell>
          <cell r="HW23">
            <v>102.25305231340465</v>
          </cell>
          <cell r="HX23">
            <v>93.298475264511382</v>
          </cell>
          <cell r="HY23">
            <v>84.361221503333937</v>
          </cell>
          <cell r="HZ23">
            <v>91.781147573547671</v>
          </cell>
          <cell r="IA23">
            <v>95.658017700661532</v>
          </cell>
          <cell r="IK23">
            <v>109.79913469570768</v>
          </cell>
          <cell r="IL23">
            <v>113.33799740425951</v>
          </cell>
          <cell r="IM23">
            <v>135.36319698851909</v>
          </cell>
          <cell r="IN23">
            <v>122.72071803788316</v>
          </cell>
          <cell r="IO23">
            <v>105.04018588597934</v>
          </cell>
          <cell r="IP23">
            <v>117.09861559871858</v>
          </cell>
          <cell r="IQ23">
            <v>108.8348092807144</v>
          </cell>
          <cell r="IR23">
            <v>112.60718537480362</v>
          </cell>
          <cell r="IS23">
            <v>102.74586881862784</v>
          </cell>
          <cell r="IT23">
            <v>92.903629704415707</v>
          </cell>
          <cell r="IU23">
            <v>101.07489668914084</v>
          </cell>
          <cell r="IV23">
            <v>105.34433826766589</v>
          </cell>
          <cell r="JF23">
            <v>119.32994026314435</v>
          </cell>
          <cell r="JG23">
            <v>123.17598401186132</v>
          </cell>
          <cell r="JH23">
            <v>147.11301919849896</v>
          </cell>
          <cell r="JI23">
            <v>133.37314536307778</v>
          </cell>
          <cell r="JJ23">
            <v>114.15790426528285</v>
          </cell>
          <cell r="JK23">
            <v>127.26303210874248</v>
          </cell>
          <cell r="JL23">
            <v>118.28190928836217</v>
          </cell>
          <cell r="JM23">
            <v>122.38173589633432</v>
          </cell>
          <cell r="JN23">
            <v>111.66443544742272</v>
          </cell>
          <cell r="JO23">
            <v>100.96786840425432</v>
          </cell>
          <cell r="JP23">
            <v>109.84841927438401</v>
          </cell>
          <cell r="JQ23">
            <v>114.48845774039113</v>
          </cell>
        </row>
        <row r="36">
          <cell r="FE36">
            <v>21.064056000000004</v>
          </cell>
          <cell r="FF36">
            <v>20.522403999999998</v>
          </cell>
          <cell r="FG36">
            <v>22.623596999999993</v>
          </cell>
          <cell r="FH36">
            <v>19.063603999999991</v>
          </cell>
          <cell r="FI36">
            <v>16.437371000000002</v>
          </cell>
          <cell r="FJ36">
            <v>18.034071000000001</v>
          </cell>
          <cell r="FK36">
            <v>15.926697999999998</v>
          </cell>
          <cell r="FL36">
            <v>18.406926999999996</v>
          </cell>
          <cell r="FM36">
            <v>19.662627000000004</v>
          </cell>
          <cell r="FN36">
            <v>25.262725999999994</v>
          </cell>
          <cell r="FO36">
            <v>23.718239000000004</v>
          </cell>
          <cell r="FP36">
            <v>19.545201000000006</v>
          </cell>
          <cell r="HP36">
            <v>22.215759839750852</v>
          </cell>
          <cell r="HQ36">
            <v>21.644492333211719</v>
          </cell>
          <cell r="HR36">
            <v>23.860570711704703</v>
          </cell>
          <cell r="HS36">
            <v>20.105930602544618</v>
          </cell>
          <cell r="HT36">
            <v>17.336104999572992</v>
          </cell>
          <cell r="HU36">
            <v>19.020106586737882</v>
          </cell>
          <cell r="HV36">
            <v>16.797510308947153</v>
          </cell>
          <cell r="HW36">
            <v>19.413348958995627</v>
          </cell>
          <cell r="HX36">
            <v>20.737705940897651</v>
          </cell>
          <cell r="HY36">
            <v>26.643997419748111</v>
          </cell>
          <cell r="HZ36">
            <v>25.015063644238907</v>
          </cell>
          <cell r="IA36">
            <v>20.613859526183294</v>
          </cell>
          <cell r="IK36">
            <v>22.660075036545869</v>
          </cell>
          <cell r="IL36">
            <v>22.077382179875951</v>
          </cell>
          <cell r="IM36">
            <v>24.337782125938798</v>
          </cell>
          <cell r="IN36">
            <v>20.508049214595509</v>
          </cell>
          <cell r="IO36">
            <v>17.682827099564449</v>
          </cell>
          <cell r="IP36">
            <v>19.400508718472636</v>
          </cell>
          <cell r="IQ36">
            <v>17.133460515126099</v>
          </cell>
          <cell r="IR36">
            <v>19.801615938175541</v>
          </cell>
          <cell r="IS36">
            <v>21.152460059715605</v>
          </cell>
          <cell r="IT36">
            <v>27.176877368143071</v>
          </cell>
          <cell r="IU36">
            <v>25.515364917123691</v>
          </cell>
          <cell r="IV36">
            <v>21.026136716706958</v>
          </cell>
          <cell r="JF36">
            <v>23.113276537276786</v>
          </cell>
          <cell r="JG36">
            <v>22.518929823473471</v>
          </cell>
          <cell r="JH36">
            <v>24.824537768457578</v>
          </cell>
          <cell r="JI36">
            <v>20.918210198887422</v>
          </cell>
          <cell r="JJ36">
            <v>18.036483641555733</v>
          </cell>
          <cell r="JK36">
            <v>19.788518892842088</v>
          </cell>
          <cell r="JL36">
            <v>17.476129725428621</v>
          </cell>
          <cell r="JM36">
            <v>20.197648256939058</v>
          </cell>
          <cell r="JN36">
            <v>21.575509260909914</v>
          </cell>
          <cell r="JO36">
            <v>27.720414915505931</v>
          </cell>
          <cell r="JP36">
            <v>26.025672215466162</v>
          </cell>
          <cell r="JQ36">
            <v>21.446659451041096</v>
          </cell>
        </row>
        <row r="43">
          <cell r="FE43">
            <v>0.69751499999999989</v>
          </cell>
          <cell r="FF43">
            <v>0.69328000000000012</v>
          </cell>
          <cell r="FG43">
            <v>0.80247900000000016</v>
          </cell>
          <cell r="FH43">
            <v>0.74271299999999996</v>
          </cell>
          <cell r="FI43">
            <v>0.71364099999999997</v>
          </cell>
          <cell r="FJ43">
            <v>0.76668500000000017</v>
          </cell>
          <cell r="FK43">
            <v>0.68058399999999997</v>
          </cell>
          <cell r="FL43">
            <v>0.66631600000000002</v>
          </cell>
          <cell r="FM43">
            <v>0.64500900000000017</v>
          </cell>
          <cell r="FN43">
            <v>0.61515299999999995</v>
          </cell>
          <cell r="FO43">
            <v>0.64616599999999991</v>
          </cell>
          <cell r="FP43">
            <v>0.65661599999999998</v>
          </cell>
          <cell r="HP43">
            <v>0.76119390449673952</v>
          </cell>
          <cell r="HQ43">
            <v>0.75657227458835963</v>
          </cell>
          <cell r="HR43">
            <v>0.87574048341130895</v>
          </cell>
          <cell r="HS43">
            <v>0.81051820877040193</v>
          </cell>
          <cell r="HT43">
            <v>0.77879211084916844</v>
          </cell>
          <cell r="HU43">
            <v>0.83667870751035167</v>
          </cell>
          <cell r="HV43">
            <v>0.74271720650883355</v>
          </cell>
          <cell r="HW43">
            <v>0.72714662432872346</v>
          </cell>
          <cell r="HX43">
            <v>0.70389442398448432</v>
          </cell>
          <cell r="HY43">
            <v>0.67131275160087289</v>
          </cell>
          <cell r="HZ43">
            <v>0.70515705109286564</v>
          </cell>
          <cell r="IA43">
            <v>0.7165610729447125</v>
          </cell>
          <cell r="IK43">
            <v>0.7773694024406248</v>
          </cell>
          <cell r="IL43">
            <v>0.77264956212273073</v>
          </cell>
          <cell r="IM43">
            <v>0.89435011533967068</v>
          </cell>
          <cell r="IN43">
            <v>0.82774185644019682</v>
          </cell>
          <cell r="IO43">
            <v>0.79534157362512636</v>
          </cell>
          <cell r="IP43">
            <v>0.85445827015933817</v>
          </cell>
          <cell r="IQ43">
            <v>0.75850007152627585</v>
          </cell>
          <cell r="IR43">
            <v>0.74259861186731113</v>
          </cell>
          <cell r="IS43">
            <v>0.7188522983718274</v>
          </cell>
          <cell r="IT43">
            <v>0.68557825999377475</v>
          </cell>
          <cell r="IU43">
            <v>0.72014175651770762</v>
          </cell>
          <cell r="IV43">
            <v>0.73178811574368063</v>
          </cell>
          <cell r="JF43">
            <v>0.79419151278806732</v>
          </cell>
          <cell r="JG43">
            <v>0.78936953611852279</v>
          </cell>
          <cell r="JH43">
            <v>0.91370366370709699</v>
          </cell>
          <cell r="JI43">
            <v>0.84565401609623292</v>
          </cell>
          <cell r="JJ43">
            <v>0.81255259797651558</v>
          </cell>
          <cell r="JK43">
            <v>0.87294856738839988</v>
          </cell>
          <cell r="JL43">
            <v>0.7749138535219372</v>
          </cell>
          <cell r="JM43">
            <v>0.75866828962085975</v>
          </cell>
          <cell r="JN43">
            <v>0.73440811089642333</v>
          </cell>
          <cell r="JO43">
            <v>0.70041402932713714</v>
          </cell>
          <cell r="JP43">
            <v>0.73572547264534005</v>
          </cell>
          <cell r="JQ43">
            <v>0.74762385663512576</v>
          </cell>
        </row>
        <row r="46">
          <cell r="FE46">
            <v>727.85154749842286</v>
          </cell>
          <cell r="FF46">
            <v>259.20800000000003</v>
          </cell>
          <cell r="FG46">
            <v>305.685</v>
          </cell>
          <cell r="FH46">
            <v>410.39100000000002</v>
          </cell>
          <cell r="FI46">
            <v>996.88799999999992</v>
          </cell>
          <cell r="FJ46">
            <v>623.03300000000002</v>
          </cell>
          <cell r="FK46">
            <v>1124.2699999999998</v>
          </cell>
          <cell r="FL46">
            <v>478.21299999999991</v>
          </cell>
          <cell r="FM46">
            <v>688.51599999999996</v>
          </cell>
          <cell r="FN46">
            <v>1125.3499999999999</v>
          </cell>
          <cell r="FO46">
            <v>1226.6969999999997</v>
          </cell>
          <cell r="FP46">
            <v>1480.9286346352885</v>
          </cell>
          <cell r="HP46">
            <v>912.13320296262577</v>
          </cell>
          <cell r="HQ46">
            <v>287.51259034263484</v>
          </cell>
          <cell r="HR46">
            <v>182.18202117019672</v>
          </cell>
          <cell r="HS46">
            <v>273.69192325032645</v>
          </cell>
          <cell r="HT46">
            <v>780.16311632167753</v>
          </cell>
          <cell r="HU46">
            <v>656.42444021515541</v>
          </cell>
          <cell r="HV46">
            <v>521.21991674792059</v>
          </cell>
          <cell r="HW46">
            <v>398.61736685131291</v>
          </cell>
          <cell r="HX46">
            <v>879.58406776657762</v>
          </cell>
          <cell r="HY46">
            <v>1070.4297118258639</v>
          </cell>
          <cell r="HZ46">
            <v>1236.8407159100661</v>
          </cell>
          <cell r="IA46">
            <v>1463.0828564341236</v>
          </cell>
          <cell r="IK46">
            <v>940.81815084479297</v>
          </cell>
          <cell r="IL46">
            <v>296.55434394030897</v>
          </cell>
          <cell r="IM46">
            <v>187.91131790598183</v>
          </cell>
          <cell r="IN46">
            <v>282.29904173774264</v>
          </cell>
          <cell r="IO46">
            <v>804.69784245442793</v>
          </cell>
          <cell r="IP46">
            <v>677.06780764766847</v>
          </cell>
          <cell r="IQ46">
            <v>537.61134521308327</v>
          </cell>
          <cell r="IR46">
            <v>411.15316574112165</v>
          </cell>
          <cell r="IS46">
            <v>907.24540391783125</v>
          </cell>
          <cell r="IT46">
            <v>1104.0928000628858</v>
          </cell>
          <cell r="IU46">
            <v>1275.7371307748983</v>
          </cell>
          <cell r="IV46">
            <v>1509.0941795038143</v>
          </cell>
          <cell r="JF46">
            <v>965.03829679435614</v>
          </cell>
          <cell r="JG46">
            <v>304.18875180729339</v>
          </cell>
          <cell r="JH46">
            <v>192.74885164315614</v>
          </cell>
          <cell r="JI46">
            <v>289.5664652947504</v>
          </cell>
          <cell r="JJ46">
            <v>825.41374719334499</v>
          </cell>
          <cell r="JK46">
            <v>694.49804228360983</v>
          </cell>
          <cell r="JL46">
            <v>551.45145366922839</v>
          </cell>
          <cell r="JM46">
            <v>421.7377719935979</v>
          </cell>
          <cell r="JN46">
            <v>930.60126293822691</v>
          </cell>
          <cell r="JO46">
            <v>1132.5162405921456</v>
          </cell>
          <cell r="JP46">
            <v>1308.5793325042127</v>
          </cell>
          <cell r="JQ46">
            <v>1547.9438565071746</v>
          </cell>
        </row>
        <row r="54">
          <cell r="FE54">
            <v>31.970800000000004</v>
          </cell>
          <cell r="FF54">
            <v>29.647422000000002</v>
          </cell>
          <cell r="FG54">
            <v>31.611483</v>
          </cell>
          <cell r="FH54">
            <v>29.750737999999998</v>
          </cell>
          <cell r="FI54">
            <v>27.828939000000005</v>
          </cell>
          <cell r="FJ54">
            <v>29.305672000000001</v>
          </cell>
          <cell r="FK54">
            <v>28.820459000000003</v>
          </cell>
          <cell r="FL54">
            <v>32.300114999999998</v>
          </cell>
          <cell r="FM54">
            <v>31.642415</v>
          </cell>
          <cell r="FN54">
            <v>31.586566000000001</v>
          </cell>
          <cell r="FO54">
            <v>32.458660999999999</v>
          </cell>
          <cell r="FP54">
            <v>30.868248000000001</v>
          </cell>
          <cell r="HP54">
            <v>35.960122876899781</v>
          </cell>
          <cell r="HQ54">
            <v>33.346833301115453</v>
          </cell>
          <cell r="HR54">
            <v>35.555970229116213</v>
          </cell>
          <cell r="HS54">
            <v>33.463041092448464</v>
          </cell>
          <cell r="HT54">
            <v>31.301439625337764</v>
          </cell>
          <cell r="HU54">
            <v>32.962439667137552</v>
          </cell>
          <cell r="HV54">
            <v>32.416681691063474</v>
          </cell>
          <cell r="HW54">
            <v>36.330529869067817</v>
          </cell>
          <cell r="HX54">
            <v>35.590761930319438</v>
          </cell>
          <cell r="HY54">
            <v>35.527944080827027</v>
          </cell>
          <cell r="HZ54">
            <v>36.508859270948321</v>
          </cell>
          <cell r="IA54">
            <v>34.719994215803666</v>
          </cell>
          <cell r="IK54">
            <v>37.300266106398112</v>
          </cell>
          <cell r="IL54">
            <v>34.589585808571627</v>
          </cell>
          <cell r="IM54">
            <v>36.881051707116498</v>
          </cell>
          <cell r="IN54">
            <v>34.710124371668215</v>
          </cell>
          <cell r="IO54">
            <v>32.467965460943134</v>
          </cell>
          <cell r="IP54">
            <v>34.190866791785638</v>
          </cell>
          <cell r="IQ54">
            <v>33.624769790200325</v>
          </cell>
          <cell r="IR54">
            <v>37.684477234453347</v>
          </cell>
          <cell r="IS54">
            <v>36.917140007415618</v>
          </cell>
          <cell r="IT54">
            <v>36.851981094852391</v>
          </cell>
          <cell r="IU54">
            <v>37.869452524095927</v>
          </cell>
          <cell r="IV54">
            <v>36.013920972834313</v>
          </cell>
          <cell r="JF54">
            <v>38.746273987173105</v>
          </cell>
          <cell r="JG54">
            <v>35.93050958453788</v>
          </cell>
          <cell r="JH54">
            <v>38.310808032919567</v>
          </cell>
          <cell r="JI54">
            <v>36.055721028832622</v>
          </cell>
          <cell r="JJ54">
            <v>33.726641037019007</v>
          </cell>
          <cell r="JK54">
            <v>35.516333550934831</v>
          </cell>
          <cell r="JL54">
            <v>34.928290841958571</v>
          </cell>
          <cell r="JM54">
            <v>39.145379709209642</v>
          </cell>
          <cell r="JN54">
            <v>38.348295357195823</v>
          </cell>
          <cell r="JO54">
            <v>38.280610449220113</v>
          </cell>
          <cell r="JP54">
            <v>39.33752587870088</v>
          </cell>
          <cell r="JQ54">
            <v>37.410061509627781</v>
          </cell>
        </row>
        <row r="64">
          <cell r="FE64">
            <v>6.1874949999999993</v>
          </cell>
          <cell r="FF64">
            <v>4.6810619999999998</v>
          </cell>
          <cell r="FG64">
            <v>3.297283999999999</v>
          </cell>
          <cell r="FH64">
            <v>4.6932879999999999</v>
          </cell>
          <cell r="FI64">
            <v>5.5355599999999994</v>
          </cell>
          <cell r="FJ64">
            <v>6.3873689999999996</v>
          </cell>
          <cell r="FK64">
            <v>6.2720549999999999</v>
          </cell>
          <cell r="FL64">
            <v>4.6147600000000004</v>
          </cell>
          <cell r="FM64">
            <v>5.71915</v>
          </cell>
          <cell r="FN64">
            <v>4.8563859999999988</v>
          </cell>
          <cell r="FO64">
            <v>4.7530290000000006</v>
          </cell>
          <cell r="FP64">
            <v>5.9142509999999984</v>
          </cell>
          <cell r="HP64">
            <v>7.7674081980389333</v>
          </cell>
          <cell r="HQ64">
            <v>5.8763230280312992</v>
          </cell>
          <cell r="HR64">
            <v>4.1392115505325826</v>
          </cell>
          <cell r="HS64">
            <v>5.8916708113635252</v>
          </cell>
          <cell r="HT64">
            <v>6.9490083021863294</v>
          </cell>
          <cell r="HU64">
            <v>8.0183179678528624</v>
          </cell>
          <cell r="HV64">
            <v>7.8735597241777313</v>
          </cell>
          <cell r="HW64">
            <v>5.7930914943740817</v>
          </cell>
          <cell r="HX64">
            <v>7.1794761201123194</v>
          </cell>
          <cell r="HY64">
            <v>6.0964142078888965</v>
          </cell>
          <cell r="HZ64">
            <v>5.9666660611631688</v>
          </cell>
          <cell r="IA64">
            <v>7.4243941534756726</v>
          </cell>
          <cell r="IK64">
            <v>9.2047388449818683</v>
          </cell>
          <cell r="IL64">
            <v>6.9637152397163167</v>
          </cell>
          <cell r="IM64">
            <v>4.905157598953565</v>
          </cell>
          <cell r="IN64">
            <v>6.9819030745539621</v>
          </cell>
          <cell r="IO64">
            <v>8.2348970238728008</v>
          </cell>
          <cell r="IP64">
            <v>9.5020785554627523</v>
          </cell>
          <cell r="IQ64">
            <v>9.3305333250956579</v>
          </cell>
          <cell r="IR64">
            <v>6.8650820133621986</v>
          </cell>
          <cell r="IS64">
            <v>8.5080120735900504</v>
          </cell>
          <cell r="IT64">
            <v>7.2245334922171445</v>
          </cell>
          <cell r="IU64">
            <v>7.0707759226674671</v>
          </cell>
          <cell r="IV64">
            <v>8.7982512985744403</v>
          </cell>
          <cell r="JF64">
            <v>10.106489205864683</v>
          </cell>
          <cell r="JG64">
            <v>7.6459217461966986</v>
          </cell>
          <cell r="JH64">
            <v>5.3856956902058615</v>
          </cell>
          <cell r="JI64">
            <v>7.6658913683185599</v>
          </cell>
          <cell r="JJ64">
            <v>9.0416359752074662</v>
          </cell>
          <cell r="JK64">
            <v>10.432958063380205</v>
          </cell>
          <cell r="JL64">
            <v>10.244607253192065</v>
          </cell>
          <cell r="JM64">
            <v>7.5376258288137796</v>
          </cell>
          <cell r="JN64">
            <v>9.3415069816979273</v>
          </cell>
          <cell r="JO64">
            <v>7.9322912888838495</v>
          </cell>
          <cell r="JP64">
            <v>7.7634707233964342</v>
          </cell>
          <cell r="JQ64">
            <v>9.6601797483916201</v>
          </cell>
        </row>
        <row r="69">
          <cell r="FE69">
            <v>1.1198210000000002</v>
          </cell>
          <cell r="FF69">
            <v>1.1130349999999998</v>
          </cell>
          <cell r="FG69">
            <v>1.347539</v>
          </cell>
          <cell r="FH69">
            <v>1.2584259999999998</v>
          </cell>
          <cell r="FI69">
            <v>1.135866</v>
          </cell>
          <cell r="FJ69">
            <v>1.2681900000000002</v>
          </cell>
          <cell r="FK69">
            <v>1.2276680000000002</v>
          </cell>
          <cell r="FL69">
            <v>1.263682</v>
          </cell>
          <cell r="FM69">
            <v>1.0292410000000001</v>
          </cell>
          <cell r="FN69">
            <v>1.049382</v>
          </cell>
          <cell r="FO69">
            <v>1.1728370000000001</v>
          </cell>
          <cell r="FP69">
            <v>1.1699809999999999</v>
          </cell>
          <cell r="HP69">
            <v>1.2963327851250004</v>
          </cell>
          <cell r="HQ69">
            <v>1.2884771418749998</v>
          </cell>
          <cell r="HR69">
            <v>1.5599448348750002</v>
          </cell>
          <cell r="HS69">
            <v>1.4567853982499999</v>
          </cell>
          <cell r="HT69">
            <v>1.3149068782500002</v>
          </cell>
          <cell r="HU69">
            <v>1.4680884487500003</v>
          </cell>
          <cell r="HV69">
            <v>1.4211791685000004</v>
          </cell>
          <cell r="HW69">
            <v>1.46286987525</v>
          </cell>
          <cell r="HX69">
            <v>1.1914751126250003</v>
          </cell>
          <cell r="HY69">
            <v>1.2147908377500003</v>
          </cell>
          <cell r="HZ69">
            <v>1.3577054321250004</v>
          </cell>
          <cell r="IA69">
            <v>1.3543992551250001</v>
          </cell>
          <cell r="IK69">
            <v>1.3611494243812505</v>
          </cell>
          <cell r="IL69">
            <v>1.3529009989687499</v>
          </cell>
          <cell r="IM69">
            <v>1.6379420766187502</v>
          </cell>
          <cell r="IN69">
            <v>1.5296246681624999</v>
          </cell>
          <cell r="IO69">
            <v>1.3806522221625002</v>
          </cell>
          <cell r="IP69">
            <v>1.5414928711875004</v>
          </cell>
          <cell r="IQ69">
            <v>1.4922381269250005</v>
          </cell>
          <cell r="IR69">
            <v>1.5360133690125</v>
          </cell>
          <cell r="IS69">
            <v>1.2510488682562504</v>
          </cell>
          <cell r="IT69">
            <v>1.2755303796375004</v>
          </cell>
          <cell r="IU69">
            <v>1.4255907037312505</v>
          </cell>
          <cell r="IV69">
            <v>1.4221192178812503</v>
          </cell>
          <cell r="JF69">
            <v>1.4292068956003132</v>
          </cell>
          <cell r="JG69">
            <v>1.4205460489171875</v>
          </cell>
          <cell r="JH69">
            <v>1.7198391804496878</v>
          </cell>
          <cell r="JI69">
            <v>1.6061059015706249</v>
          </cell>
          <cell r="JJ69">
            <v>1.4496848332706251</v>
          </cell>
          <cell r="JK69">
            <v>1.6185675147468754</v>
          </cell>
          <cell r="JL69">
            <v>1.5668500332712505</v>
          </cell>
          <cell r="JM69">
            <v>1.612814037463125</v>
          </cell>
          <cell r="JN69">
            <v>1.313601311669063</v>
          </cell>
          <cell r="JO69">
            <v>1.3393068986193755</v>
          </cell>
          <cell r="JP69">
            <v>1.496870238917813</v>
          </cell>
          <cell r="JQ69">
            <v>1.4932251787753128</v>
          </cell>
        </row>
        <row r="70">
          <cell r="FE70">
            <v>5.5849999999999997E-3</v>
          </cell>
          <cell r="FF70">
            <v>7.6960000000000006E-3</v>
          </cell>
          <cell r="FG70">
            <v>1.0221000000000001E-2</v>
          </cell>
          <cell r="FH70">
            <v>9.3200000000000002E-3</v>
          </cell>
          <cell r="FI70">
            <v>9.6819999999999996E-3</v>
          </cell>
          <cell r="FJ70">
            <v>1.0625000000000001E-2</v>
          </cell>
          <cell r="FK70">
            <v>9.0099999999999989E-3</v>
          </cell>
          <cell r="FL70">
            <v>1.4904000000000001E-2</v>
          </cell>
          <cell r="FM70">
            <v>1.2573000000000001E-2</v>
          </cell>
          <cell r="FN70">
            <v>1.3364000000000001E-2</v>
          </cell>
          <cell r="FO70">
            <v>1.5465000000000003E-2</v>
          </cell>
          <cell r="FP70">
            <v>1.4304999999999998E-2</v>
          </cell>
          <cell r="HP70">
            <v>0.60590419942499996</v>
          </cell>
          <cell r="HQ70">
            <v>0.66935044385999998</v>
          </cell>
          <cell r="HR70">
            <v>0.69066682492499987</v>
          </cell>
          <cell r="HS70">
            <v>0.75327283205999995</v>
          </cell>
          <cell r="HT70">
            <v>0.79471309490999997</v>
          </cell>
          <cell r="HU70">
            <v>0.81022831942500007</v>
          </cell>
          <cell r="HV70">
            <v>0.87597757610999993</v>
          </cell>
          <cell r="HW70">
            <v>0.89457767279999989</v>
          </cell>
          <cell r="HX70">
            <v>0.96214459918499995</v>
          </cell>
          <cell r="HY70">
            <v>1.0040814831600002</v>
          </cell>
          <cell r="HZ70">
            <v>0.98110697296500005</v>
          </cell>
          <cell r="IA70">
            <v>1.0872132134850001</v>
          </cell>
          <cell r="IK70">
            <v>0.63619940939624997</v>
          </cell>
          <cell r="IL70">
            <v>0.70281796605299995</v>
          </cell>
          <cell r="IM70">
            <v>0.72520016617124994</v>
          </cell>
          <cell r="IN70">
            <v>0.79093647366300002</v>
          </cell>
          <cell r="IO70">
            <v>0.83444874965549998</v>
          </cell>
          <cell r="IP70">
            <v>0.85073973539625014</v>
          </cell>
          <cell r="IQ70">
            <v>0.91977645491549997</v>
          </cell>
          <cell r="IR70">
            <v>0.93930655643999994</v>
          </cell>
          <cell r="IS70">
            <v>1.0102518291442499</v>
          </cell>
          <cell r="IT70">
            <v>1.0542855573180003</v>
          </cell>
          <cell r="IU70">
            <v>1.0301623216132501</v>
          </cell>
          <cell r="IV70">
            <v>1.1415738741592503</v>
          </cell>
          <cell r="JF70">
            <v>0.66800937986606246</v>
          </cell>
          <cell r="JG70">
            <v>0.73795886435564995</v>
          </cell>
          <cell r="JH70">
            <v>0.76146017447981251</v>
          </cell>
          <cell r="JI70">
            <v>0.83048329734615001</v>
          </cell>
          <cell r="JJ70">
            <v>0.87617118713827502</v>
          </cell>
          <cell r="JK70">
            <v>0.89327672216606269</v>
          </cell>
          <cell r="JL70">
            <v>0.96576527766127507</v>
          </cell>
          <cell r="JM70">
            <v>0.98627188426199996</v>
          </cell>
          <cell r="JN70">
            <v>1.0607644206014626</v>
          </cell>
          <cell r="JO70">
            <v>1.1069998351839003</v>
          </cell>
          <cell r="JP70">
            <v>1.0816704376939126</v>
          </cell>
          <cell r="JQ70">
            <v>1.1986525678672129</v>
          </cell>
        </row>
        <row r="89">
          <cell r="FE89">
            <v>85.739670240000024</v>
          </cell>
          <cell r="FF89">
            <v>76.865275039999986</v>
          </cell>
          <cell r="FG89">
            <v>83.143414240000013</v>
          </cell>
          <cell r="FH89">
            <v>82.555034509999999</v>
          </cell>
          <cell r="FI89">
            <v>86.001242780000013</v>
          </cell>
          <cell r="FJ89">
            <v>82.233624880000008</v>
          </cell>
          <cell r="FK89">
            <v>86.029680110000001</v>
          </cell>
          <cell r="FL89">
            <v>90.210195560000003</v>
          </cell>
          <cell r="FM89">
            <v>101.46957083999999</v>
          </cell>
          <cell r="FN89">
            <v>107.12371061999998</v>
          </cell>
          <cell r="FO89">
            <v>96.801977619999988</v>
          </cell>
          <cell r="FP89">
            <v>83.81168765000001</v>
          </cell>
          <cell r="HP89">
            <v>116.28673524571019</v>
          </cell>
          <cell r="HQ89">
            <v>104.25059792211736</v>
          </cell>
          <cell r="HR89">
            <v>112.76549317355166</v>
          </cell>
          <cell r="HS89">
            <v>111.96748732987473</v>
          </cell>
          <cell r="HT89">
            <v>116.64150004269835</v>
          </cell>
          <cell r="HU89">
            <v>111.5315668691987</v>
          </cell>
          <cell r="HV89">
            <v>116.68006893683508</v>
          </cell>
          <cell r="HW89">
            <v>122.3500055246942</v>
          </cell>
          <cell r="HX89">
            <v>137.62083626794816</v>
          </cell>
          <cell r="HY89">
            <v>145.28941551252237</v>
          </cell>
          <cell r="HZ89">
            <v>131.2902873459675</v>
          </cell>
          <cell r="IA89">
            <v>113.67185697088014</v>
          </cell>
          <cell r="IK89">
            <v>127.07217044367792</v>
          </cell>
          <cell r="IL89">
            <v>113.91969789179653</v>
          </cell>
          <cell r="IM89">
            <v>123.22433799897712</v>
          </cell>
          <cell r="IN89">
            <v>122.35231820782462</v>
          </cell>
          <cell r="IO89">
            <v>127.45983918899994</v>
          </cell>
          <cell r="IP89">
            <v>121.87596672231884</v>
          </cell>
          <cell r="IQ89">
            <v>127.50198529516767</v>
          </cell>
          <cell r="IR89">
            <v>133.6978007248029</v>
          </cell>
          <cell r="IS89">
            <v>150.38498007439182</v>
          </cell>
          <cell r="IT89">
            <v>158.76480952586257</v>
          </cell>
          <cell r="IU89">
            <v>143.46728142272514</v>
          </cell>
          <cell r="IV89">
            <v>124.21476579536115</v>
          </cell>
          <cell r="JF89">
            <v>138.91407200362946</v>
          </cell>
          <cell r="JG89">
            <v>124.53591577383864</v>
          </cell>
          <cell r="JH89">
            <v>134.70765866060736</v>
          </cell>
          <cell r="JI89">
            <v>133.75437502947241</v>
          </cell>
          <cell r="JJ89">
            <v>139.33786773965252</v>
          </cell>
          <cell r="JK89">
            <v>133.23363217660744</v>
          </cell>
          <cell r="JL89">
            <v>139.38394145670964</v>
          </cell>
          <cell r="JM89">
            <v>146.15714716893146</v>
          </cell>
          <cell r="JN89">
            <v>164.39941080236579</v>
          </cell>
          <cell r="JO89">
            <v>173.56015959366539</v>
          </cell>
          <cell r="JP89">
            <v>156.83704930935139</v>
          </cell>
          <cell r="JQ89">
            <v>135.79038478184151</v>
          </cell>
        </row>
        <row r="104"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</row>
        <row r="105">
          <cell r="FE105">
            <v>17.046831500000003</v>
          </cell>
          <cell r="FF105">
            <v>18.408123860000003</v>
          </cell>
          <cell r="FG105">
            <v>20.34227284</v>
          </cell>
          <cell r="FH105">
            <v>16.383497050000003</v>
          </cell>
          <cell r="FI105">
            <v>17.707839999999997</v>
          </cell>
          <cell r="FJ105">
            <v>17.318968999999999</v>
          </cell>
          <cell r="FK105">
            <v>18.158021259999998</v>
          </cell>
          <cell r="FL105">
            <v>16.235536750000001</v>
          </cell>
          <cell r="FM105">
            <v>13.913398800000001</v>
          </cell>
          <cell r="FN105">
            <v>14.525394</v>
          </cell>
          <cell r="FO105">
            <v>15.7582805</v>
          </cell>
          <cell r="FP105">
            <v>18.481182830000002</v>
          </cell>
          <cell r="HP105">
            <v>23.895053981808747</v>
          </cell>
          <cell r="HQ105">
            <v>25.803218230820292</v>
          </cell>
          <cell r="HR105">
            <v>28.514372751586233</v>
          </cell>
          <cell r="HS105">
            <v>22.965238227441525</v>
          </cell>
          <cell r="HT105">
            <v>24.821609382437565</v>
          </cell>
          <cell r="HU105">
            <v>24.27651726153756</v>
          </cell>
          <cell r="HV105">
            <v>25.452641929999182</v>
          </cell>
          <cell r="HW105">
            <v>22.757837845988551</v>
          </cell>
          <cell r="HX105">
            <v>19.502827572175686</v>
          </cell>
          <cell r="HY105">
            <v>20.360679563063723</v>
          </cell>
          <cell r="HZ105">
            <v>22.088853474499594</v>
          </cell>
          <cell r="IA105">
            <v>25.905627175966799</v>
          </cell>
          <cell r="IK105">
            <v>27.91072658900563</v>
          </cell>
          <cell r="IL105">
            <v>30.139566527246483</v>
          </cell>
          <cell r="IM105">
            <v>33.306342908134866</v>
          </cell>
          <cell r="IN105">
            <v>26.824651064001557</v>
          </cell>
          <cell r="IO105">
            <v>28.992993842982337</v>
          </cell>
          <cell r="IP105">
            <v>28.35629650955746</v>
          </cell>
          <cell r="IQ105">
            <v>29.730074283025054</v>
          </cell>
          <cell r="IR105">
            <v>26.582396104226351</v>
          </cell>
          <cell r="IS105">
            <v>22.780366535012625</v>
          </cell>
          <cell r="IT105">
            <v>23.782384458459791</v>
          </cell>
          <cell r="IU105">
            <v>25.800985863464359</v>
          </cell>
          <cell r="IV105">
            <v>30.259185761855825</v>
          </cell>
          <cell r="JF105">
            <v>31.360270845058878</v>
          </cell>
          <cell r="JG105">
            <v>33.864577707534139</v>
          </cell>
          <cell r="JH105">
            <v>37.422742511796699</v>
          </cell>
          <cell r="JI105">
            <v>30.139965006237265</v>
          </cell>
          <cell r="JJ105">
            <v>32.576297740783517</v>
          </cell>
          <cell r="JK105">
            <v>31.860909670936703</v>
          </cell>
          <cell r="JL105">
            <v>33.404475472403021</v>
          </cell>
          <cell r="JM105">
            <v>29.86776925641032</v>
          </cell>
          <cell r="JN105">
            <v>25.595839012271412</v>
          </cell>
          <cell r="JO105">
            <v>26.721698397217871</v>
          </cell>
          <cell r="JP105">
            <v>28.989782912584655</v>
          </cell>
          <cell r="JQ105">
            <v>33.998980930025134</v>
          </cell>
        </row>
        <row r="110">
          <cell r="FE110">
            <v>6.1190000000000003E-3</v>
          </cell>
          <cell r="FF110">
            <v>2.8101999999999999E-2</v>
          </cell>
          <cell r="FG110">
            <v>2.2585999999999995E-2</v>
          </cell>
          <cell r="FH110">
            <v>2.1766000000000001E-2</v>
          </cell>
          <cell r="FI110">
            <v>2.4339E-2</v>
          </cell>
          <cell r="FJ110">
            <v>2.2033000000000004E-2</v>
          </cell>
          <cell r="FK110">
            <v>2.1436999999999998E-2</v>
          </cell>
          <cell r="FL110">
            <v>1.7954000000000001E-2</v>
          </cell>
          <cell r="FM110">
            <v>1.9971000000000003E-2</v>
          </cell>
          <cell r="FN110">
            <v>2.6127999999999998E-2</v>
          </cell>
          <cell r="FO110">
            <v>2.5822000000000001E-2</v>
          </cell>
          <cell r="FP110">
            <v>3.1118E-2</v>
          </cell>
          <cell r="HP110">
            <v>6.4935317520000008E-3</v>
          </cell>
          <cell r="HQ110">
            <v>2.9822067216E-2</v>
          </cell>
          <cell r="HR110">
            <v>2.3968443887999999E-2</v>
          </cell>
          <cell r="HS110">
            <v>2.3098253328000001E-2</v>
          </cell>
          <cell r="HT110">
            <v>2.5828741512E-2</v>
          </cell>
          <cell r="HU110">
            <v>2.3381595864000005E-2</v>
          </cell>
          <cell r="HV110">
            <v>2.2749115896E-2</v>
          </cell>
          <cell r="HW110">
            <v>1.9052928432000002E-2</v>
          </cell>
          <cell r="HX110">
            <v>2.1193384968000002E-2</v>
          </cell>
          <cell r="HY110">
            <v>2.7727242623999997E-2</v>
          </cell>
          <cell r="HZ110">
            <v>2.7402512976000003E-2</v>
          </cell>
          <cell r="IA110">
            <v>3.3022670544000002E-2</v>
          </cell>
          <cell r="IK110">
            <v>6.6234023870400021E-3</v>
          </cell>
          <cell r="IL110">
            <v>3.0418508560319999E-2</v>
          </cell>
          <cell r="IM110">
            <v>2.444781276576E-2</v>
          </cell>
          <cell r="IN110">
            <v>2.356021839456E-2</v>
          </cell>
          <cell r="IO110">
            <v>2.6345316342240001E-2</v>
          </cell>
          <cell r="IP110">
            <v>2.3849227781280007E-2</v>
          </cell>
          <cell r="IQ110">
            <v>2.3204098213920003E-2</v>
          </cell>
          <cell r="IR110">
            <v>1.9433987000640002E-2</v>
          </cell>
          <cell r="IS110">
            <v>2.1617252667360004E-2</v>
          </cell>
          <cell r="IT110">
            <v>2.8281787476479997E-2</v>
          </cell>
          <cell r="IU110">
            <v>2.7950563235520004E-2</v>
          </cell>
          <cell r="IV110">
            <v>3.3683123954880004E-2</v>
          </cell>
          <cell r="JF110">
            <v>6.7558704347808023E-3</v>
          </cell>
          <cell r="JG110">
            <v>3.1026878731526399E-2</v>
          </cell>
          <cell r="JH110">
            <v>2.4936769021075202E-2</v>
          </cell>
          <cell r="JI110">
            <v>2.40314227624512E-2</v>
          </cell>
          <cell r="JJ110">
            <v>2.6872222669084799E-2</v>
          </cell>
          <cell r="JK110">
            <v>2.4326212336905607E-2</v>
          </cell>
          <cell r="JL110">
            <v>2.3668180178198404E-2</v>
          </cell>
          <cell r="JM110">
            <v>1.9822666740652802E-2</v>
          </cell>
          <cell r="JN110">
            <v>2.2049597720707203E-2</v>
          </cell>
          <cell r="JO110">
            <v>2.88474232260096E-2</v>
          </cell>
          <cell r="JP110">
            <v>2.8509574500230402E-2</v>
          </cell>
          <cell r="JQ110">
            <v>3.4356786433977604E-2</v>
          </cell>
        </row>
        <row r="115">
          <cell r="FE115">
            <v>0.72348499999999993</v>
          </cell>
          <cell r="FF115">
            <v>0.78592300000000004</v>
          </cell>
          <cell r="FG115">
            <v>0.86079450000000013</v>
          </cell>
          <cell r="FH115">
            <v>0.72595949999999998</v>
          </cell>
          <cell r="FI115">
            <v>0.69113500000000005</v>
          </cell>
          <cell r="FJ115">
            <v>0.71928000000000003</v>
          </cell>
          <cell r="FK115">
            <v>0.72035899999999997</v>
          </cell>
          <cell r="FL115">
            <v>0.63071600000000005</v>
          </cell>
          <cell r="FM115">
            <v>0.57216800000000001</v>
          </cell>
          <cell r="FN115">
            <v>0.60181099999999987</v>
          </cell>
          <cell r="FO115">
            <v>0.61883999999999995</v>
          </cell>
          <cell r="FP115">
            <v>0.67726500000000001</v>
          </cell>
          <cell r="HP115">
            <v>0.81065157341612537</v>
          </cell>
          <cell r="HQ115">
            <v>0.88061219864119011</v>
          </cell>
          <cell r="HR115">
            <v>0.96450433086096732</v>
          </cell>
          <cell r="HS115">
            <v>0.81342420494050827</v>
          </cell>
          <cell r="HT115">
            <v>0.77440399620303646</v>
          </cell>
          <cell r="HU115">
            <v>0.8059399486191845</v>
          </cell>
          <cell r="HV115">
            <v>0.80714894818063487</v>
          </cell>
          <cell r="HW115">
            <v>0.70670562316941599</v>
          </cell>
          <cell r="HX115">
            <v>0.6411036710620921</v>
          </cell>
          <cell r="HY115">
            <v>0.67431810479710264</v>
          </cell>
          <cell r="HZ115">
            <v>0.69339878462281179</v>
          </cell>
          <cell r="IA115">
            <v>0.75886291750301971</v>
          </cell>
          <cell r="IK115">
            <v>0.85511268038948085</v>
          </cell>
          <cell r="IL115">
            <v>0.92891037562595202</v>
          </cell>
          <cell r="IM115">
            <v>1.0174036671935465</v>
          </cell>
          <cell r="IN115">
            <v>0.85803738004133789</v>
          </cell>
          <cell r="IO115">
            <v>0.81687706360323131</v>
          </cell>
          <cell r="IP115">
            <v>0.85014264117507032</v>
          </cell>
          <cell r="IQ115">
            <v>0.85141794969168139</v>
          </cell>
          <cell r="IR115">
            <v>0.74546569635103954</v>
          </cell>
          <cell r="IS115">
            <v>0.67626573061374939</v>
          </cell>
          <cell r="IT115">
            <v>0.71130184772023441</v>
          </cell>
          <cell r="IU115">
            <v>0.73142902911909191</v>
          </cell>
          <cell r="IV115">
            <v>0.80048361677710211</v>
          </cell>
          <cell r="JF115">
            <v>0.88852520539151048</v>
          </cell>
          <cell r="JG115">
            <v>0.96520645901008595</v>
          </cell>
          <cell r="JH115">
            <v>1.0571575221495713</v>
          </cell>
          <cell r="JI115">
            <v>0.89156418425180628</v>
          </cell>
          <cell r="JJ115">
            <v>0.8487955767269002</v>
          </cell>
          <cell r="JK115">
            <v>0.88336096772428663</v>
          </cell>
          <cell r="JL115">
            <v>0.88468610742534115</v>
          </cell>
          <cell r="JM115">
            <v>0.77459389405960311</v>
          </cell>
          <cell r="JN115">
            <v>0.70269002082759102</v>
          </cell>
          <cell r="JO115">
            <v>0.73909513311522734</v>
          </cell>
          <cell r="JP115">
            <v>0.7600087605195438</v>
          </cell>
          <cell r="JQ115">
            <v>0.8317615751943459</v>
          </cell>
        </row>
        <row r="121">
          <cell r="FE121">
            <v>2.8694959999999998</v>
          </cell>
          <cell r="FF121">
            <v>0.30124899999999999</v>
          </cell>
          <cell r="FG121">
            <v>0.413267</v>
          </cell>
          <cell r="FH121">
            <v>0.96440700000000001</v>
          </cell>
          <cell r="FI121">
            <v>1.9552339999999999</v>
          </cell>
          <cell r="FJ121">
            <v>1.343798</v>
          </cell>
          <cell r="FK121">
            <v>2.7922435999999999</v>
          </cell>
          <cell r="FL121">
            <v>1.195738</v>
          </cell>
          <cell r="FM121">
            <v>1.4618586999999998</v>
          </cell>
          <cell r="FN121">
            <v>3.7515427999999997</v>
          </cell>
          <cell r="FO121">
            <v>4.0852820000000003</v>
          </cell>
          <cell r="FP121">
            <v>4.5289510000000002</v>
          </cell>
          <cell r="HP121">
            <v>2.9854236383999999</v>
          </cell>
          <cell r="HQ121">
            <v>0.31341945960000001</v>
          </cell>
          <cell r="HR121">
            <v>0.4299629868</v>
          </cell>
          <cell r="HS121">
            <v>1.0033690427999999</v>
          </cell>
          <cell r="HT121">
            <v>2.0342254536</v>
          </cell>
          <cell r="HU121">
            <v>1.3980874392</v>
          </cell>
          <cell r="HV121">
            <v>2.9050502414400001</v>
          </cell>
          <cell r="HW121">
            <v>1.2440458152</v>
          </cell>
          <cell r="HX121">
            <v>1.5209177914799998</v>
          </cell>
          <cell r="HY121">
            <v>3.9031051291200001</v>
          </cell>
          <cell r="HZ121">
            <v>4.2503273928</v>
          </cell>
          <cell r="IA121">
            <v>4.7119206203999999</v>
          </cell>
          <cell r="IK121">
            <v>3.0345411264771065</v>
          </cell>
          <cell r="IL121">
            <v>0.31857597285728989</v>
          </cell>
          <cell r="IM121">
            <v>0.43703692485224388</v>
          </cell>
          <cell r="IN121">
            <v>1.0198769066631934</v>
          </cell>
          <cell r="IO121">
            <v>2.0676934154591393</v>
          </cell>
          <cell r="IP121">
            <v>1.4210893817860986</v>
          </cell>
          <cell r="IQ121">
            <v>2.9528453914354618</v>
          </cell>
          <cell r="IR121">
            <v>1.2645133979944501</v>
          </cell>
          <cell r="IS121">
            <v>1.5459405924414455</v>
          </cell>
          <cell r="IT121">
            <v>3.9673207121874641</v>
          </cell>
          <cell r="IU121">
            <v>4.3202556275585149</v>
          </cell>
          <cell r="IV121">
            <v>4.7894431876885761</v>
          </cell>
          <cell r="JF121">
            <v>3.0952319490066489</v>
          </cell>
          <cell r="JG121">
            <v>0.3249474923144357</v>
          </cell>
          <cell r="JH121">
            <v>0.44577766334928876</v>
          </cell>
          <cell r="JI121">
            <v>1.0402744447964574</v>
          </cell>
          <cell r="JJ121">
            <v>2.1090472837683221</v>
          </cell>
          <cell r="JK121">
            <v>1.4495111694218206</v>
          </cell>
          <cell r="JL121">
            <v>3.0119022992641709</v>
          </cell>
          <cell r="JM121">
            <v>1.289803665954339</v>
          </cell>
          <cell r="JN121">
            <v>1.5768594042902744</v>
          </cell>
          <cell r="JO121">
            <v>4.0466671264312133</v>
          </cell>
          <cell r="JP121">
            <v>4.4066607401096851</v>
          </cell>
          <cell r="JQ121">
            <v>4.8852320514423475</v>
          </cell>
        </row>
        <row r="122">
          <cell r="FE122">
            <v>13.275296000000001</v>
          </cell>
          <cell r="FF122">
            <v>13.138759</v>
          </cell>
          <cell r="FG122">
            <v>13.034138</v>
          </cell>
          <cell r="FH122">
            <v>12.020168999999999</v>
          </cell>
          <cell r="FI122">
            <v>12.351711999999999</v>
          </cell>
          <cell r="FJ122">
            <v>12.598532000000001</v>
          </cell>
          <cell r="FK122">
            <v>13.023673</v>
          </cell>
          <cell r="FL122">
            <v>12.731928</v>
          </cell>
          <cell r="FM122">
            <v>12.847969000000001</v>
          </cell>
          <cell r="FN122">
            <v>13.610018999999999</v>
          </cell>
          <cell r="FO122">
            <v>12.640878000000001</v>
          </cell>
          <cell r="FP122">
            <v>13.548292</v>
          </cell>
          <cell r="HP122">
            <v>15.178871392507007</v>
          </cell>
          <cell r="HQ122">
            <v>15.022756036335757</v>
          </cell>
          <cell r="HR122">
            <v>14.903133189210127</v>
          </cell>
          <cell r="HS122">
            <v>13.743768829501015</v>
          </cell>
          <cell r="HT122">
            <v>14.122852546962829</v>
          </cell>
          <cell r="HU122">
            <v>14.405064637533059</v>
          </cell>
          <cell r="HV122">
            <v>14.891167588659858</v>
          </cell>
          <cell r="HW122">
            <v>14.557588598450755</v>
          </cell>
          <cell r="HX122">
            <v>14.690268985785089</v>
          </cell>
          <cell r="HY122">
            <v>15.561591097522555</v>
          </cell>
          <cell r="HZ122">
            <v>14.453482728398008</v>
          </cell>
          <cell r="IA122">
            <v>15.491012920249123</v>
          </cell>
          <cell r="IK122">
            <v>15.858544025464845</v>
          </cell>
          <cell r="IL122">
            <v>15.69543820653584</v>
          </cell>
          <cell r="IM122">
            <v>15.570458941705272</v>
          </cell>
          <cell r="IN122">
            <v>14.359181089448226</v>
          </cell>
          <cell r="IO122">
            <v>14.755239246029795</v>
          </cell>
          <cell r="IP122">
            <v>15.050088101856835</v>
          </cell>
          <cell r="IQ122">
            <v>15.55795755090943</v>
          </cell>
          <cell r="IR122">
            <v>15.209441711661158</v>
          </cell>
          <cell r="IS122">
            <v>15.348063201325795</v>
          </cell>
          <cell r="IT122">
            <v>16.25840098020511</v>
          </cell>
          <cell r="IU122">
            <v>15.100674236079554</v>
          </cell>
          <cell r="IV122">
            <v>16.184662485254801</v>
          </cell>
          <cell r="JF122">
            <v>16.450991494671932</v>
          </cell>
          <cell r="JG122">
            <v>16.281792327609438</v>
          </cell>
          <cell r="JH122">
            <v>16.15214405602558</v>
          </cell>
          <cell r="JI122">
            <v>14.89561498165609</v>
          </cell>
          <cell r="JJ122">
            <v>15.306469178287035</v>
          </cell>
          <cell r="JK122">
            <v>15.612333071695888</v>
          </cell>
          <cell r="JL122">
            <v>16.139175635133743</v>
          </cell>
          <cell r="JM122">
            <v>15.77763985366318</v>
          </cell>
          <cell r="JN122">
            <v>15.921439999741523</v>
          </cell>
          <cell r="JO122">
            <v>16.865786405916928</v>
          </cell>
          <cell r="JP122">
            <v>15.664809015421239</v>
          </cell>
          <cell r="JQ122">
            <v>16.789293169759208</v>
          </cell>
        </row>
        <row r="123"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</row>
        <row r="126">
          <cell r="FE126">
            <v>0.77688599999999997</v>
          </cell>
          <cell r="FF126">
            <v>0.83904000000000001</v>
          </cell>
          <cell r="FG126">
            <v>0.93410400000000005</v>
          </cell>
          <cell r="FH126">
            <v>0.71230000000000004</v>
          </cell>
          <cell r="FI126">
            <v>0.764567</v>
          </cell>
          <cell r="FJ126">
            <v>0.71884599999999998</v>
          </cell>
          <cell r="FK126">
            <v>0.73038000000000003</v>
          </cell>
          <cell r="FL126">
            <v>0.66359299999999999</v>
          </cell>
          <cell r="FM126">
            <v>0.55238299999999996</v>
          </cell>
          <cell r="FN126">
            <v>0.62448300000000001</v>
          </cell>
          <cell r="FO126">
            <v>0.637571</v>
          </cell>
          <cell r="FP126">
            <v>0.74855300000000002</v>
          </cell>
          <cell r="HP126">
            <v>0.82443763828799999</v>
          </cell>
          <cell r="HQ126">
            <v>0.89039596032000012</v>
          </cell>
          <cell r="HR126">
            <v>0.99127863763200008</v>
          </cell>
          <cell r="HS126">
            <v>0.75589845840000003</v>
          </cell>
          <cell r="HT126">
            <v>0.81136461693600004</v>
          </cell>
          <cell r="HU126">
            <v>0.76284512596800003</v>
          </cell>
          <cell r="HV126">
            <v>0.77508509904000011</v>
          </cell>
          <cell r="HW126">
            <v>0.70421020034399995</v>
          </cell>
          <cell r="HX126">
            <v>0.58619325866400007</v>
          </cell>
          <cell r="HY126">
            <v>0.66270635546400003</v>
          </cell>
          <cell r="HZ126">
            <v>0.6765954457679999</v>
          </cell>
          <cell r="IA126">
            <v>0.79437043202400004</v>
          </cell>
          <cell r="IK126">
            <v>0.84092639105375999</v>
          </cell>
          <cell r="IL126">
            <v>0.90820387952640014</v>
          </cell>
          <cell r="IM126">
            <v>1.0111042103846402</v>
          </cell>
          <cell r="IN126">
            <v>0.77101642756800004</v>
          </cell>
          <cell r="IO126">
            <v>0.82759190927472004</v>
          </cell>
          <cell r="IP126">
            <v>0.77810202848735999</v>
          </cell>
          <cell r="IQ126">
            <v>0.79058680102080015</v>
          </cell>
          <cell r="IR126">
            <v>0.71829440435087999</v>
          </cell>
          <cell r="IS126">
            <v>0.59791712383728013</v>
          </cell>
          <cell r="IT126">
            <v>0.67596048257328001</v>
          </cell>
          <cell r="IU126">
            <v>0.69012735468335995</v>
          </cell>
          <cell r="IV126">
            <v>0.81025784066448003</v>
          </cell>
          <cell r="JF126">
            <v>0.85774491887483517</v>
          </cell>
          <cell r="JG126">
            <v>0.92636795711692821</v>
          </cell>
          <cell r="JH126">
            <v>1.0313262945923329</v>
          </cell>
          <cell r="JI126">
            <v>0.78643675611936004</v>
          </cell>
          <cell r="JJ126">
            <v>0.84414374746021448</v>
          </cell>
          <cell r="JK126">
            <v>0.79366406905710718</v>
          </cell>
          <cell r="JL126">
            <v>0.80639853704121611</v>
          </cell>
          <cell r="JM126">
            <v>0.73266029243789765</v>
          </cell>
          <cell r="JN126">
            <v>0.60987546631402578</v>
          </cell>
          <cell r="JO126">
            <v>0.68947969222474559</v>
          </cell>
          <cell r="JP126">
            <v>0.70392990177702719</v>
          </cell>
          <cell r="JQ126">
            <v>0.82646299747776963</v>
          </cell>
        </row>
        <row r="127">
          <cell r="FE127">
            <v>1.5610999999999999</v>
          </cell>
          <cell r="FF127">
            <v>1.462845</v>
          </cell>
          <cell r="FG127">
            <v>1.394908</v>
          </cell>
          <cell r="FH127">
            <v>1.353515</v>
          </cell>
          <cell r="FI127">
            <v>1.490027</v>
          </cell>
          <cell r="FJ127">
            <v>1.473875</v>
          </cell>
          <cell r="FK127">
            <v>1.4299949999999999</v>
          </cell>
          <cell r="FL127">
            <v>1.3612569999999999</v>
          </cell>
          <cell r="FM127">
            <v>1.364538</v>
          </cell>
          <cell r="FN127">
            <v>1.374131</v>
          </cell>
          <cell r="FO127">
            <v>1.2489410000000001</v>
          </cell>
          <cell r="FP127">
            <v>1.1490670000000001</v>
          </cell>
          <cell r="HP127">
            <v>1.6566518088000002</v>
          </cell>
          <cell r="HQ127">
            <v>1.55238281676</v>
          </cell>
          <cell r="HR127">
            <v>1.4802875288640003</v>
          </cell>
          <cell r="HS127">
            <v>1.4363609461200002</v>
          </cell>
          <cell r="HT127">
            <v>1.581228572616</v>
          </cell>
          <cell r="HU127">
            <v>1.5640879410000001</v>
          </cell>
          <cell r="HV127">
            <v>1.51752213396</v>
          </cell>
          <cell r="HW127">
            <v>1.4445768184560002</v>
          </cell>
          <cell r="HX127">
            <v>1.4480586419040002</v>
          </cell>
          <cell r="HY127">
            <v>1.458238810248</v>
          </cell>
          <cell r="HZ127">
            <v>1.3253861807280003</v>
          </cell>
          <cell r="IA127">
            <v>1.2193990929360001</v>
          </cell>
          <cell r="IK127">
            <v>1.6897848449760002</v>
          </cell>
          <cell r="IL127">
            <v>1.5834304730952</v>
          </cell>
          <cell r="IM127">
            <v>1.5098932794412803</v>
          </cell>
          <cell r="IN127">
            <v>1.4650881650424001</v>
          </cell>
          <cell r="IO127">
            <v>1.61285314406832</v>
          </cell>
          <cell r="IP127">
            <v>1.5953696998200002</v>
          </cell>
          <cell r="IQ127">
            <v>1.5478725766392001</v>
          </cell>
          <cell r="IR127">
            <v>1.4734683548251202</v>
          </cell>
          <cell r="IS127">
            <v>1.4770198147420803</v>
          </cell>
          <cell r="IT127">
            <v>1.48740358645296</v>
          </cell>
          <cell r="IU127">
            <v>1.3518939043425604</v>
          </cell>
          <cell r="IV127">
            <v>1.2437870747947202</v>
          </cell>
          <cell r="JF127">
            <v>1.7235805418755203</v>
          </cell>
          <cell r="JG127">
            <v>1.6150990825571041</v>
          </cell>
          <cell r="JH127">
            <v>1.5400911450301058</v>
          </cell>
          <cell r="JI127">
            <v>1.4943899283432482</v>
          </cell>
          <cell r="JJ127">
            <v>1.6451102069496866</v>
          </cell>
          <cell r="JK127">
            <v>1.6272770938164003</v>
          </cell>
          <cell r="JL127">
            <v>1.578830028171984</v>
          </cell>
          <cell r="JM127">
            <v>1.5029377219216227</v>
          </cell>
          <cell r="JN127">
            <v>1.5065602110369221</v>
          </cell>
          <cell r="JO127">
            <v>1.5171516581820192</v>
          </cell>
          <cell r="JP127">
            <v>1.3789317824294116</v>
          </cell>
          <cell r="JQ127">
            <v>1.2686628162906146</v>
          </cell>
        </row>
        <row r="128">
          <cell r="FE128">
            <v>80.023948000000004</v>
          </cell>
          <cell r="FF128">
            <v>39.971445000000003</v>
          </cell>
          <cell r="FG128">
            <v>67.803726999999995</v>
          </cell>
          <cell r="FH128">
            <v>95.462288999999998</v>
          </cell>
          <cell r="FI128">
            <v>103.812484</v>
          </cell>
          <cell r="FJ128">
            <v>92.310203000000001</v>
          </cell>
          <cell r="FK128">
            <v>94.214755999999994</v>
          </cell>
          <cell r="FL128">
            <v>52.971626540000003</v>
          </cell>
          <cell r="FM128">
            <v>107.46443259999999</v>
          </cell>
          <cell r="FN128">
            <v>115.04643153999999</v>
          </cell>
          <cell r="FO128">
            <v>125.28935593999999</v>
          </cell>
          <cell r="FP128">
            <v>137.0658675</v>
          </cell>
          <cell r="HP128">
            <v>93.747086015663257</v>
          </cell>
          <cell r="HQ128">
            <v>46.826063775125832</v>
          </cell>
          <cell r="HR128">
            <v>79.431245097424437</v>
          </cell>
          <cell r="HS128">
            <v>111.83291554342088</v>
          </cell>
          <cell r="HT128">
            <v>121.61506786752967</v>
          </cell>
          <cell r="HU128">
            <v>108.14028496524985</v>
          </cell>
          <cell r="HV128">
            <v>110.37144574117644</v>
          </cell>
          <cell r="HW128">
            <v>62.055619020883228</v>
          </cell>
          <cell r="HX128">
            <v>125.89328142841246</v>
          </cell>
          <cell r="HY128">
            <v>134.77550137085828</v>
          </cell>
          <cell r="HZ128">
            <v>146.77496326667398</v>
          </cell>
          <cell r="IA128">
            <v>160.57100394914286</v>
          </cell>
          <cell r="IK128">
            <v>100.40545726120394</v>
          </cell>
          <cell r="IL128">
            <v>50.15187719326299</v>
          </cell>
          <cell r="IM128">
            <v>85.072836114619562</v>
          </cell>
          <cell r="IN128">
            <v>119.77582983341684</v>
          </cell>
          <cell r="IO128">
            <v>130.25275790493887</v>
          </cell>
          <cell r="IP128">
            <v>115.82093078049033</v>
          </cell>
          <cell r="IQ128">
            <v>118.21055938070883</v>
          </cell>
          <cell r="IR128">
            <v>66.463109076028402</v>
          </cell>
          <cell r="IS128">
            <v>134.83483087486297</v>
          </cell>
          <cell r="IT128">
            <v>144.34790901647955</v>
          </cell>
          <cell r="IU128">
            <v>157.19963070451655</v>
          </cell>
          <cell r="IV128">
            <v>171.97553288974308</v>
          </cell>
          <cell r="JF128">
            <v>106.54759388785189</v>
          </cell>
          <cell r="JG128">
            <v>53.219834754598807</v>
          </cell>
          <cell r="JH128">
            <v>90.277025178497524</v>
          </cell>
          <cell r="JI128">
            <v>127.10291674158277</v>
          </cell>
          <cell r="JJ128">
            <v>138.22075343897208</v>
          </cell>
          <cell r="JK128">
            <v>122.90608332582099</v>
          </cell>
          <cell r="JL128">
            <v>125.44189347582621</v>
          </cell>
          <cell r="JM128">
            <v>70.528879082082724</v>
          </cell>
          <cell r="JN128">
            <v>143.0831270915705</v>
          </cell>
          <cell r="JO128">
            <v>153.17815194484621</v>
          </cell>
          <cell r="JP128">
            <v>166.8160563031162</v>
          </cell>
          <cell r="JQ128">
            <v>182.49584969584498</v>
          </cell>
        </row>
        <row r="143">
          <cell r="FE143">
            <v>17.536552</v>
          </cell>
          <cell r="FF143">
            <v>17.226063999999997</v>
          </cell>
          <cell r="FG143">
            <v>14.994312000000001</v>
          </cell>
          <cell r="FH143">
            <v>15.336771000000002</v>
          </cell>
          <cell r="FI143">
            <v>15.405141999999998</v>
          </cell>
          <cell r="FJ143">
            <v>15.820698</v>
          </cell>
          <cell r="FK143">
            <v>14.220012999999998</v>
          </cell>
          <cell r="FL143">
            <v>15.975750000000001</v>
          </cell>
          <cell r="FM143">
            <v>16.345948</v>
          </cell>
          <cell r="FN143">
            <v>17.395820000000001</v>
          </cell>
          <cell r="FO143">
            <v>17.587019999999995</v>
          </cell>
          <cell r="FP143">
            <v>18.278010689655172</v>
          </cell>
          <cell r="HP143">
            <v>19.058753588854518</v>
          </cell>
          <cell r="HQ143">
            <v>18.721314719212621</v>
          </cell>
          <cell r="HR143">
            <v>16.295842970864761</v>
          </cell>
          <cell r="HS143">
            <v>16.668027975949318</v>
          </cell>
          <cell r="HT143">
            <v>16.742333691327318</v>
          </cell>
          <cell r="HU143">
            <v>17.193960636371589</v>
          </cell>
          <cell r="HV143">
            <v>15.454333542723102</v>
          </cell>
          <cell r="HW143">
            <v>17.362471405276398</v>
          </cell>
          <cell r="HX143">
            <v>17.764803201235303</v>
          </cell>
          <cell r="HY143">
            <v>18.905805819528673</v>
          </cell>
          <cell r="HZ143">
            <v>19.113602294353882</v>
          </cell>
          <cell r="IA143">
            <v>19.864572113639376</v>
          </cell>
          <cell r="IK143">
            <v>19.476915747760884</v>
          </cell>
          <cell r="IL143">
            <v>19.132073237289561</v>
          </cell>
          <cell r="IM143">
            <v>16.653384970981755</v>
          </cell>
          <cell r="IN143">
            <v>17.033735970999459</v>
          </cell>
          <cell r="IO143">
            <v>17.109672004866894</v>
          </cell>
          <cell r="IP143">
            <v>17.571207955632843</v>
          </cell>
          <cell r="IQ143">
            <v>15.793412247348535</v>
          </cell>
          <cell r="IR143">
            <v>17.743415966678683</v>
          </cell>
          <cell r="IS143">
            <v>18.154575198892033</v>
          </cell>
          <cell r="IT143">
            <v>19.320612199206192</v>
          </cell>
          <cell r="IU143">
            <v>19.532967871573931</v>
          </cell>
          <cell r="IV143">
            <v>20.300414485075891</v>
          </cell>
          <cell r="JF143">
            <v>20.989211470061697</v>
          </cell>
          <cell r="JG143">
            <v>20.617593475206341</v>
          </cell>
          <cell r="JH143">
            <v>17.946446109593481</v>
          </cell>
          <cell r="JI143">
            <v>18.356329669989268</v>
          </cell>
          <cell r="JJ143">
            <v>18.438161798529674</v>
          </cell>
          <cell r="JK143">
            <v>18.935533959354274</v>
          </cell>
          <cell r="JL143">
            <v>17.019700335848597</v>
          </cell>
          <cell r="JM143">
            <v>19.121113155130963</v>
          </cell>
          <cell r="JN143">
            <v>19.564197069676638</v>
          </cell>
          <cell r="JO143">
            <v>20.820771647421264</v>
          </cell>
          <cell r="JP143">
            <v>21.049615791530993</v>
          </cell>
          <cell r="JQ143">
            <v>21.876651214972057</v>
          </cell>
        </row>
        <row r="159">
          <cell r="FE159">
            <v>3.8089999999999999E-3</v>
          </cell>
          <cell r="FF159">
            <v>2.5000000000000001E-3</v>
          </cell>
          <cell r="FG159">
            <v>2.0999999999999999E-3</v>
          </cell>
          <cell r="FH159">
            <v>2.5000000000000001E-3</v>
          </cell>
          <cell r="FI159">
            <v>2.2000000000000001E-3</v>
          </cell>
          <cell r="FJ159">
            <v>2.5999999999999999E-3</v>
          </cell>
          <cell r="FK159">
            <v>2.3999999999999998E-3</v>
          </cell>
          <cell r="FL159">
            <v>2.5000000000000001E-3</v>
          </cell>
          <cell r="FM159">
            <v>1.8E-3</v>
          </cell>
          <cell r="FN159">
            <v>2.0999999999999999E-3</v>
          </cell>
          <cell r="FO159">
            <v>2.0000000000000001E-4</v>
          </cell>
          <cell r="FP159">
            <v>8.0000000000000004E-4</v>
          </cell>
          <cell r="HP159">
            <v>4.2834109500000002E-3</v>
          </cell>
          <cell r="HQ159">
            <v>2.8113750000000005E-3</v>
          </cell>
          <cell r="HR159">
            <v>2.361555E-3</v>
          </cell>
          <cell r="HS159">
            <v>2.8113750000000005E-3</v>
          </cell>
          <cell r="HT159">
            <v>2.4740100000000009E-3</v>
          </cell>
          <cell r="HU159">
            <v>2.9238300000000001E-3</v>
          </cell>
          <cell r="HV159">
            <v>2.6989199999999996E-3</v>
          </cell>
          <cell r="HW159">
            <v>2.8113750000000005E-3</v>
          </cell>
          <cell r="HX159">
            <v>2.0241900000000004E-3</v>
          </cell>
          <cell r="HY159">
            <v>2.361555E-3</v>
          </cell>
          <cell r="HZ159">
            <v>2.2491000000000004E-4</v>
          </cell>
          <cell r="IA159">
            <v>8.9964000000000016E-4</v>
          </cell>
          <cell r="IK159">
            <v>4.4975814975E-3</v>
          </cell>
          <cell r="IL159">
            <v>2.9519437500000007E-3</v>
          </cell>
          <cell r="IM159">
            <v>2.4796327499999999E-3</v>
          </cell>
          <cell r="IN159">
            <v>2.9519437500000007E-3</v>
          </cell>
          <cell r="IO159">
            <v>2.5977105000000011E-3</v>
          </cell>
          <cell r="IP159">
            <v>3.0700215000000002E-3</v>
          </cell>
          <cell r="IQ159">
            <v>2.8338659999999996E-3</v>
          </cell>
          <cell r="IR159">
            <v>2.9519437500000007E-3</v>
          </cell>
          <cell r="IS159">
            <v>2.1253995000000006E-3</v>
          </cell>
          <cell r="IT159">
            <v>2.4796327499999999E-3</v>
          </cell>
          <cell r="IU159">
            <v>2.3615550000000005E-4</v>
          </cell>
          <cell r="IV159">
            <v>9.4462200000000021E-4</v>
          </cell>
          <cell r="JF159">
            <v>4.7224605723750002E-3</v>
          </cell>
          <cell r="JG159">
            <v>3.0995409375000008E-3</v>
          </cell>
          <cell r="JH159">
            <v>2.6036143875000002E-3</v>
          </cell>
          <cell r="JI159">
            <v>3.0995409375000008E-3</v>
          </cell>
          <cell r="JJ159">
            <v>2.7275960250000013E-3</v>
          </cell>
          <cell r="JK159">
            <v>3.2235225750000002E-3</v>
          </cell>
          <cell r="JL159">
            <v>2.9755592999999997E-3</v>
          </cell>
          <cell r="JM159">
            <v>3.0995409375000008E-3</v>
          </cell>
          <cell r="JN159">
            <v>2.2316694750000006E-3</v>
          </cell>
          <cell r="JO159">
            <v>2.6036143875000002E-3</v>
          </cell>
          <cell r="JP159">
            <v>2.4796327500000006E-4</v>
          </cell>
          <cell r="JQ159">
            <v>9.9185310000000026E-4</v>
          </cell>
        </row>
        <row r="160">
          <cell r="FE160">
            <v>1.3505850000000001</v>
          </cell>
          <cell r="FF160">
            <v>1.2136980000000002</v>
          </cell>
          <cell r="FG160">
            <v>1.3289810000000002</v>
          </cell>
          <cell r="FH160">
            <v>1.415751</v>
          </cell>
          <cell r="FI160">
            <v>1.7655989999999999</v>
          </cell>
          <cell r="FJ160">
            <v>1.5897550000000003</v>
          </cell>
          <cell r="FK160">
            <v>1.6683060000000001</v>
          </cell>
          <cell r="FL160">
            <v>1.4183939999999999</v>
          </cell>
          <cell r="FM160">
            <v>1.1224308000000001</v>
          </cell>
          <cell r="FN160">
            <v>1.044789</v>
          </cell>
          <cell r="FO160">
            <v>1.1721890000000001</v>
          </cell>
          <cell r="FP160">
            <v>1.2964910000000001</v>
          </cell>
          <cell r="HP160">
            <v>1.8028574603108507</v>
          </cell>
          <cell r="HQ160">
            <v>1.620130901693976</v>
          </cell>
          <cell r="HR160">
            <v>1.774018895857258</v>
          </cell>
          <cell r="HS160">
            <v>1.8898456981919294</v>
          </cell>
          <cell r="HT160">
            <v>2.3568478319153381</v>
          </cell>
          <cell r="HU160">
            <v>2.1221186832494632</v>
          </cell>
          <cell r="HV160">
            <v>2.2269741765097004</v>
          </cell>
          <cell r="HW160">
            <v>1.8933737636358676</v>
          </cell>
          <cell r="HX160">
            <v>1.4983009151313516</v>
          </cell>
          <cell r="HY160">
            <v>1.3946590870628011</v>
          </cell>
          <cell r="HZ160">
            <v>1.5647217195099279</v>
          </cell>
          <cell r="IA160">
            <v>1.7306489199686619</v>
          </cell>
          <cell r="IK160">
            <v>2.1014069208443908</v>
          </cell>
          <cell r="IL160">
            <v>1.8884212226664712</v>
          </cell>
          <cell r="IM160">
            <v>2.0677927498607644</v>
          </cell>
          <cell r="IN160">
            <v>2.2028002307091872</v>
          </cell>
          <cell r="IO160">
            <v>2.7471369503111136</v>
          </cell>
          <cell r="IP160">
            <v>2.4735371409033675</v>
          </cell>
          <cell r="IQ160">
            <v>2.5957564866233689</v>
          </cell>
          <cell r="IR160">
            <v>2.2069125364817168</v>
          </cell>
          <cell r="IS160">
            <v>1.7464164427184565</v>
          </cell>
          <cell r="IT160">
            <v>1.6256117426315932</v>
          </cell>
          <cell r="IU160">
            <v>1.8238363947013081</v>
          </cell>
          <cell r="IV160">
            <v>2.0172407958125302</v>
          </cell>
          <cell r="JF160">
            <v>2.779923382981242</v>
          </cell>
          <cell r="JG160">
            <v>2.4981674238034386</v>
          </cell>
          <cell r="JH160">
            <v>2.7354556413982047</v>
          </cell>
          <cell r="JI160">
            <v>2.914055249672606</v>
          </cell>
          <cell r="JJ160">
            <v>3.6341510864316549</v>
          </cell>
          <cell r="JK160">
            <v>3.2722095223265057</v>
          </cell>
          <cell r="JL160">
            <v>3.4338918760151369</v>
          </cell>
          <cell r="JM160">
            <v>2.9194953645126338</v>
          </cell>
          <cell r="JN160">
            <v>2.3103111812276471</v>
          </cell>
          <cell r="JO160">
            <v>2.1505002435104705</v>
          </cell>
          <cell r="JP160">
            <v>2.4127290102980554</v>
          </cell>
          <cell r="JQ160">
            <v>2.6685811309356566</v>
          </cell>
        </row>
        <row r="166"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</row>
        <row r="171"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</row>
        <row r="177">
          <cell r="FE177">
            <v>3.3807849999999999</v>
          </cell>
          <cell r="FF177">
            <v>3.3518249999999998</v>
          </cell>
          <cell r="FG177">
            <v>0.1234</v>
          </cell>
          <cell r="FH177">
            <v>0.45871499999999998</v>
          </cell>
          <cell r="FI177">
            <v>0.404395</v>
          </cell>
          <cell r="FJ177">
            <v>3.3472</v>
          </cell>
          <cell r="FK177">
            <v>2.06528</v>
          </cell>
          <cell r="FL177">
            <v>1.0924499999999999</v>
          </cell>
          <cell r="FM177">
            <v>0.46172000000000002</v>
          </cell>
          <cell r="FN177">
            <v>7.4367049999999999</v>
          </cell>
          <cell r="FO177">
            <v>6.0677500000000002</v>
          </cell>
          <cell r="FP177">
            <v>4.4021249999999998</v>
          </cell>
          <cell r="HP177">
            <v>3.4697178261688615</v>
          </cell>
          <cell r="HQ177">
            <v>3.4399960224321995</v>
          </cell>
          <cell r="HR177">
            <v>0.12664608360165983</v>
          </cell>
          <cell r="HS177">
            <v>0.47078167130741805</v>
          </cell>
          <cell r="HT177">
            <v>0.41503276319362414</v>
          </cell>
          <cell r="HU177">
            <v>3.4352493600605811</v>
          </cell>
          <cell r="HV177">
            <v>2.1196079703471309</v>
          </cell>
          <cell r="HW177">
            <v>1.1211873098106424</v>
          </cell>
          <cell r="HX177">
            <v>0.47386571896724783</v>
          </cell>
          <cell r="HY177">
            <v>7.6323303334755401</v>
          </cell>
          <cell r="HZ177">
            <v>6.2273644552185692</v>
          </cell>
          <cell r="IA177">
            <v>4.5179245605750138</v>
          </cell>
          <cell r="IK177">
            <v>3.8139609494147271</v>
          </cell>
          <cell r="IL177">
            <v>3.781290339158514</v>
          </cell>
          <cell r="IM177">
            <v>0.13921109480720523</v>
          </cell>
          <cell r="IN177">
            <v>0.51748960579000924</v>
          </cell>
          <cell r="IO177">
            <v>0.45620964898346639</v>
          </cell>
          <cell r="IP177">
            <v>3.7760727434252614</v>
          </cell>
          <cell r="IQ177">
            <v>2.3299018629126804</v>
          </cell>
          <cell r="IR177">
            <v>1.2324243154143546</v>
          </cell>
          <cell r="IS177">
            <v>0.52087963285561434</v>
          </cell>
          <cell r="IT177">
            <v>8.3895611410714519</v>
          </cell>
          <cell r="IU177">
            <v>6.8452035698251175</v>
          </cell>
          <cell r="IV177">
            <v>4.9661640253498236</v>
          </cell>
          <cell r="JF177">
            <v>4.4165750665522658</v>
          </cell>
          <cell r="JG177">
            <v>4.3787424288875352</v>
          </cell>
          <cell r="JH177">
            <v>0.16120675027029213</v>
          </cell>
          <cell r="JI177">
            <v>0.59925408792736667</v>
          </cell>
          <cell r="JJ177">
            <v>0.52829176479379891</v>
          </cell>
          <cell r="JK177">
            <v>4.3727004416914239</v>
          </cell>
          <cell r="JL177">
            <v>2.6980314197587427</v>
          </cell>
          <cell r="JM177">
            <v>1.4271500351116746</v>
          </cell>
          <cell r="JN177">
            <v>0.60317974663532659</v>
          </cell>
          <cell r="JO177">
            <v>9.7151300305415944</v>
          </cell>
          <cell r="JP177">
            <v>7.9267606073951784</v>
          </cell>
          <cell r="JQ177">
            <v>5.7508287320389764</v>
          </cell>
        </row>
        <row r="178">
          <cell r="FE178">
            <v>28.867612000000001</v>
          </cell>
          <cell r="FF178">
            <v>29.581188000000001</v>
          </cell>
          <cell r="FG178">
            <v>29.633278000000001</v>
          </cell>
          <cell r="FH178">
            <v>28.537329</v>
          </cell>
          <cell r="FI178">
            <v>29.241343000000001</v>
          </cell>
          <cell r="FJ178">
            <v>26.658668500000001</v>
          </cell>
          <cell r="FK178">
            <v>29.788055</v>
          </cell>
          <cell r="FL178">
            <v>29.806920000000002</v>
          </cell>
          <cell r="FM178">
            <v>29.513055000000001</v>
          </cell>
          <cell r="FN178">
            <v>30.772010000000002</v>
          </cell>
          <cell r="FO178">
            <v>27.696558</v>
          </cell>
          <cell r="FP178">
            <v>36.922083000000001</v>
          </cell>
          <cell r="HP178">
            <v>34.302599160631814</v>
          </cell>
          <cell r="HQ178">
            <v>35.150522137379838</v>
          </cell>
          <cell r="HR178">
            <v>35.212419269372504</v>
          </cell>
          <cell r="HS178">
            <v>33.91013284375839</v>
          </cell>
          <cell r="HT178">
            <v>34.746693555654929</v>
          </cell>
          <cell r="HU178">
            <v>31.677771604788845</v>
          </cell>
          <cell r="HV178">
            <v>35.396336574007378</v>
          </cell>
          <cell r="HW178">
            <v>35.418753341045999</v>
          </cell>
          <cell r="HX178">
            <v>35.069561544289861</v>
          </cell>
          <cell r="HY178">
            <v>36.565543571700829</v>
          </cell>
          <cell r="HZ178">
            <v>32.91106750371975</v>
          </cell>
          <cell r="IA178">
            <v>43.873508252936823</v>
          </cell>
          <cell r="IK178">
            <v>36.151842746867345</v>
          </cell>
          <cell r="IL178">
            <v>37.045477015609023</v>
          </cell>
          <cell r="IM178">
            <v>37.110711004782914</v>
          </cell>
          <cell r="IN178">
            <v>35.738218679938505</v>
          </cell>
          <cell r="IO178">
            <v>36.619878147288738</v>
          </cell>
          <cell r="IP178">
            <v>33.385511467067865</v>
          </cell>
          <cell r="IQ178">
            <v>37.30454324019027</v>
          </cell>
          <cell r="IR178">
            <v>37.328168488909128</v>
          </cell>
          <cell r="IS178">
            <v>36.960151859448814</v>
          </cell>
          <cell r="IT178">
            <v>38.53678186214465</v>
          </cell>
          <cell r="IU178">
            <v>34.6852940051117</v>
          </cell>
          <cell r="IV178">
            <v>46.238716888074563</v>
          </cell>
          <cell r="JF178">
            <v>37.882023104219023</v>
          </cell>
          <cell r="JG178">
            <v>38.818425551314967</v>
          </cell>
          <cell r="JH178">
            <v>38.886781554696832</v>
          </cell>
          <cell r="JI178">
            <v>37.448603525317559</v>
          </cell>
          <cell r="JJ178">
            <v>38.372458072541406</v>
          </cell>
          <cell r="JK178">
            <v>34.983298793288334</v>
          </cell>
          <cell r="JL178">
            <v>39.089890349771466</v>
          </cell>
          <cell r="JM178">
            <v>39.114646272286322</v>
          </cell>
          <cell r="JN178">
            <v>38.729016843723919</v>
          </cell>
          <cell r="JO178">
            <v>40.381102315746062</v>
          </cell>
          <cell r="JP178">
            <v>36.345287239669915</v>
          </cell>
          <cell r="JQ178">
            <v>48.451641973776439</v>
          </cell>
        </row>
        <row r="179"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</row>
        <row r="182">
          <cell r="FE182">
            <v>3.0141620000000002</v>
          </cell>
          <cell r="FF182">
            <v>3.743404</v>
          </cell>
          <cell r="FG182">
            <v>3.9980290000000003</v>
          </cell>
          <cell r="FH182">
            <v>3.2130929999999998</v>
          </cell>
          <cell r="FI182">
            <v>3.1807370000000001</v>
          </cell>
          <cell r="FJ182">
            <v>3.2625140000000004</v>
          </cell>
          <cell r="FK182">
            <v>1.7436400000000001</v>
          </cell>
          <cell r="FL182">
            <v>1.2835639999999999</v>
          </cell>
          <cell r="FM182">
            <v>0.63641499999999995</v>
          </cell>
          <cell r="FN182">
            <v>1.765506</v>
          </cell>
          <cell r="FO182">
            <v>2.2222189999999999</v>
          </cell>
          <cell r="FP182">
            <v>3.2211628965517245</v>
          </cell>
          <cell r="HP182">
            <v>3.1986528276960002</v>
          </cell>
          <cell r="HQ182">
            <v>3.9725302720319999</v>
          </cell>
          <cell r="HR182">
            <v>4.242740359032001</v>
          </cell>
          <cell r="HS182">
            <v>3.409759996344</v>
          </cell>
          <cell r="HT182">
            <v>3.3754235502960004</v>
          </cell>
          <cell r="HU182">
            <v>3.4622059569120007</v>
          </cell>
          <cell r="HV182">
            <v>1.8503647171200002</v>
          </cell>
          <cell r="HW182">
            <v>1.3621283853120001</v>
          </cell>
          <cell r="HX182">
            <v>0.67536868931999994</v>
          </cell>
          <cell r="HY182">
            <v>1.8735690912480003</v>
          </cell>
          <cell r="HZ182">
            <v>2.358236580552</v>
          </cell>
          <cell r="IA182">
            <v>3.4183238351238625</v>
          </cell>
          <cell r="IK182">
            <v>3.2626258842499203</v>
          </cell>
          <cell r="IL182">
            <v>4.0519808774726398</v>
          </cell>
          <cell r="IM182">
            <v>4.3275951662126415</v>
          </cell>
          <cell r="IN182">
            <v>3.4779551962708801</v>
          </cell>
          <cell r="IO182">
            <v>3.4429320213019206</v>
          </cell>
          <cell r="IP182">
            <v>3.5314500760502407</v>
          </cell>
          <cell r="IQ182">
            <v>1.8873720114624002</v>
          </cell>
          <cell r="IR182">
            <v>1.3893709530182401</v>
          </cell>
          <cell r="IS182">
            <v>0.68887606310639993</v>
          </cell>
          <cell r="IT182">
            <v>1.9110404730729604</v>
          </cell>
          <cell r="IU182">
            <v>2.4054013121630402</v>
          </cell>
          <cell r="IV182">
            <v>3.4866903118263397</v>
          </cell>
          <cell r="JF182">
            <v>3.4494464882793676</v>
          </cell>
          <cell r="JG182">
            <v>4.2840005885585901</v>
          </cell>
          <cell r="JH182">
            <v>4.5753967749872357</v>
          </cell>
          <cell r="JI182">
            <v>3.6771057313326283</v>
          </cell>
          <cell r="JJ182">
            <v>3.640077100962142</v>
          </cell>
          <cell r="JK182">
            <v>3.7336637713109897</v>
          </cell>
          <cell r="JL182">
            <v>1.9954444634440474</v>
          </cell>
          <cell r="JM182">
            <v>1.468927460528604</v>
          </cell>
          <cell r="JN182">
            <v>0.7283216651388722</v>
          </cell>
          <cell r="JO182">
            <v>2.0204682003608814</v>
          </cell>
          <cell r="JP182">
            <v>2.5431365420099148</v>
          </cell>
          <cell r="JQ182">
            <v>3.6863410266887255</v>
          </cell>
        </row>
        <row r="183">
          <cell r="FE183">
            <v>0.52256899999999995</v>
          </cell>
          <cell r="FF183">
            <v>0.41805799999999999</v>
          </cell>
          <cell r="FG183">
            <v>0.48759999999999998</v>
          </cell>
          <cell r="FH183">
            <v>0.41524499999999998</v>
          </cell>
          <cell r="FI183">
            <v>0.44621899999999998</v>
          </cell>
          <cell r="FJ183">
            <v>0.59886499999999998</v>
          </cell>
          <cell r="FK183">
            <v>0.64257799999999998</v>
          </cell>
          <cell r="FL183">
            <v>0.65287700000000004</v>
          </cell>
          <cell r="FM183">
            <v>0.77142100000000002</v>
          </cell>
          <cell r="FN183">
            <v>0.721055</v>
          </cell>
          <cell r="FO183">
            <v>0.67944899999999997</v>
          </cell>
          <cell r="FP183">
            <v>0.66636499999999999</v>
          </cell>
          <cell r="HP183">
            <v>0.5545544033519999</v>
          </cell>
          <cell r="HQ183">
            <v>0.44364649406400003</v>
          </cell>
          <cell r="HR183">
            <v>0.51744502079999988</v>
          </cell>
          <cell r="HS183">
            <v>0.44066131595999997</v>
          </cell>
          <cell r="HT183">
            <v>0.473531172552</v>
          </cell>
          <cell r="HU183">
            <v>0.63552032891999999</v>
          </cell>
          <cell r="HV183">
            <v>0.68190891422399991</v>
          </cell>
          <cell r="HW183">
            <v>0.69283829541600017</v>
          </cell>
          <cell r="HX183">
            <v>0.81863813656800011</v>
          </cell>
          <cell r="HY183">
            <v>0.76518933443999992</v>
          </cell>
          <cell r="HZ183">
            <v>0.7210367143919999</v>
          </cell>
          <cell r="IA183">
            <v>0.70715186892000004</v>
          </cell>
          <cell r="IK183">
            <v>0.56564549141903986</v>
          </cell>
          <cell r="IL183">
            <v>0.45251942394528005</v>
          </cell>
          <cell r="IM183">
            <v>0.52779392121599988</v>
          </cell>
          <cell r="IN183">
            <v>0.44947454227919997</v>
          </cell>
          <cell r="IO183">
            <v>0.48300179600304</v>
          </cell>
          <cell r="IP183">
            <v>0.64823073549840005</v>
          </cell>
          <cell r="IQ183">
            <v>0.6955470925084799</v>
          </cell>
          <cell r="IR183">
            <v>0.70669506132432014</v>
          </cell>
          <cell r="IS183">
            <v>0.83501089929936012</v>
          </cell>
          <cell r="IT183">
            <v>0.78049312112879998</v>
          </cell>
          <cell r="IU183">
            <v>0.73545744867983986</v>
          </cell>
          <cell r="IV183">
            <v>0.7212949062984001</v>
          </cell>
          <cell r="JF183">
            <v>0.65505785067725042</v>
          </cell>
          <cell r="JG183">
            <v>0.52404979043615296</v>
          </cell>
          <cell r="JH183">
            <v>0.61122303081550433</v>
          </cell>
          <cell r="JI183">
            <v>0.52052360014557864</v>
          </cell>
          <cell r="JJ183">
            <v>0.5593505528865127</v>
          </cell>
          <cell r="JK183">
            <v>0.75069745764833296</v>
          </cell>
          <cell r="JL183">
            <v>0.80549317615948568</v>
          </cell>
          <cell r="JM183">
            <v>0.81840331970823255</v>
          </cell>
          <cell r="JN183">
            <v>0.96700221832388711</v>
          </cell>
          <cell r="JO183">
            <v>0.90386674012443313</v>
          </cell>
          <cell r="JP183">
            <v>0.85171221711354317</v>
          </cell>
          <cell r="JQ183">
            <v>0.83531098221774758</v>
          </cell>
        </row>
        <row r="184"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</row>
        <row r="188"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HP188">
            <v>6.9551999999999996</v>
          </cell>
          <cell r="HQ188">
            <v>7.1870399999999997</v>
          </cell>
          <cell r="HR188">
            <v>6.9551999999999996</v>
          </cell>
          <cell r="HS188">
            <v>7.1870399999999997</v>
          </cell>
          <cell r="HT188">
            <v>7.1870399999999997</v>
          </cell>
          <cell r="HU188">
            <v>6.9551999999999996</v>
          </cell>
          <cell r="HV188">
            <v>7.1870399999999997</v>
          </cell>
          <cell r="HW188">
            <v>6.9551999999999996</v>
          </cell>
          <cell r="HX188">
            <v>7.1870399999999997</v>
          </cell>
          <cell r="HY188">
            <v>7.1870399999999997</v>
          </cell>
          <cell r="HZ188">
            <v>6.4915200000000004</v>
          </cell>
          <cell r="IA188">
            <v>7.1870399999999997</v>
          </cell>
          <cell r="IK188">
            <v>6.9551999999999996</v>
          </cell>
          <cell r="IL188">
            <v>7.1870399999999997</v>
          </cell>
          <cell r="IM188">
            <v>6.9551999999999996</v>
          </cell>
          <cell r="IN188">
            <v>7.1870399999999997</v>
          </cell>
          <cell r="IO188">
            <v>7.1870399999999997</v>
          </cell>
          <cell r="IP188">
            <v>6.9551999999999996</v>
          </cell>
          <cell r="IQ188">
            <v>7.1870399999999997</v>
          </cell>
          <cell r="IR188">
            <v>6.9551999999999996</v>
          </cell>
          <cell r="IS188">
            <v>7.1870399999999997</v>
          </cell>
          <cell r="IT188">
            <v>7.1870399999999997</v>
          </cell>
          <cell r="IU188">
            <v>6.4915200000000004</v>
          </cell>
          <cell r="IV188">
            <v>7.1870399999999997</v>
          </cell>
          <cell r="JF188">
            <v>6.9551999999999996</v>
          </cell>
          <cell r="JG188">
            <v>7.1870399999999997</v>
          </cell>
          <cell r="JH188">
            <v>6.9551999999999996</v>
          </cell>
          <cell r="JI188">
            <v>7.1870399999999997</v>
          </cell>
          <cell r="JJ188">
            <v>7.1870399999999997</v>
          </cell>
          <cell r="JK188">
            <v>6.9551999999999996</v>
          </cell>
          <cell r="JL188">
            <v>7.1870399999999997</v>
          </cell>
          <cell r="JM188">
            <v>6.9551999999999996</v>
          </cell>
          <cell r="JN188">
            <v>7.1870399999999997</v>
          </cell>
          <cell r="JO188">
            <v>7.1870399999999997</v>
          </cell>
          <cell r="JP188">
            <v>6.4915200000000004</v>
          </cell>
          <cell r="JQ188">
            <v>7.1870399999999997</v>
          </cell>
        </row>
        <row r="198">
          <cell r="FE198">
            <v>50.060616019999998</v>
          </cell>
          <cell r="FF198">
            <v>46.879794380000007</v>
          </cell>
          <cell r="FG198">
            <v>52.76143106</v>
          </cell>
          <cell r="FH198">
            <v>51.902225390000005</v>
          </cell>
          <cell r="FI198">
            <v>55.301880720000021</v>
          </cell>
          <cell r="FJ198">
            <v>61.64216639</v>
          </cell>
          <cell r="FK198">
            <v>57.797519720000011</v>
          </cell>
          <cell r="FL198">
            <v>59.026331719999995</v>
          </cell>
          <cell r="FM198">
            <v>52.049582389999998</v>
          </cell>
          <cell r="FN198">
            <v>55.736774050000001</v>
          </cell>
          <cell r="FO198">
            <v>52.402986720000001</v>
          </cell>
          <cell r="FP198">
            <v>52.981075370344826</v>
          </cell>
          <cell r="HP198">
            <v>52.899396624148395</v>
          </cell>
          <cell r="HQ198">
            <v>49.558970271897309</v>
          </cell>
          <cell r="HR198">
            <v>55.772550204127953</v>
          </cell>
          <cell r="HS198">
            <v>54.864534893964326</v>
          </cell>
          <cell r="HT198">
            <v>58.469698402307912</v>
          </cell>
          <cell r="HU198">
            <v>65.200109272055911</v>
          </cell>
          <cell r="HV198">
            <v>61.116453297066357</v>
          </cell>
          <cell r="HW198">
            <v>62.427382271058022</v>
          </cell>
          <cell r="HX198">
            <v>55.010775932689398</v>
          </cell>
          <cell r="HY198">
            <v>58.934971158044789</v>
          </cell>
          <cell r="HZ198">
            <v>55.394168597176865</v>
          </cell>
          <cell r="IA198">
            <v>55.995863296587252</v>
          </cell>
          <cell r="IK198">
            <v>53.957384556631354</v>
          </cell>
          <cell r="IL198">
            <v>50.550149677335263</v>
          </cell>
          <cell r="IM198">
            <v>56.888001208210525</v>
          </cell>
          <cell r="IN198">
            <v>55.961825591843613</v>
          </cell>
          <cell r="IO198">
            <v>59.639092370354064</v>
          </cell>
          <cell r="IP198">
            <v>66.504111457497032</v>
          </cell>
          <cell r="IQ198">
            <v>62.338782363007681</v>
          </cell>
          <cell r="IR198">
            <v>63.675929916479184</v>
          </cell>
          <cell r="IS198">
            <v>56.110991451343182</v>
          </cell>
          <cell r="IT198">
            <v>60.113670581205689</v>
          </cell>
          <cell r="IU198">
            <v>56.502051969120409</v>
          </cell>
          <cell r="IV198">
            <v>57.115780562518999</v>
          </cell>
          <cell r="JF198">
            <v>54.790710119047361</v>
          </cell>
          <cell r="JG198">
            <v>51.353608541789825</v>
          </cell>
          <cell r="JH198">
            <v>57.787605230407195</v>
          </cell>
          <cell r="JI198">
            <v>56.847030549868862</v>
          </cell>
          <cell r="JJ198">
            <v>60.595030290043027</v>
          </cell>
          <cell r="JK198">
            <v>67.599585098722514</v>
          </cell>
          <cell r="JL198">
            <v>63.346928012692302</v>
          </cell>
          <cell r="JM198">
            <v>64.718350235314688</v>
          </cell>
          <cell r="JN198">
            <v>56.988122577422786</v>
          </cell>
          <cell r="JO198">
            <v>61.0832025354308</v>
          </cell>
          <cell r="JP198">
            <v>57.396121508033055</v>
          </cell>
          <cell r="JQ198">
            <v>58.009275961006594</v>
          </cell>
        </row>
        <row r="208"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K208">
            <v>0</v>
          </cell>
          <cell r="IL208">
            <v>0</v>
          </cell>
          <cell r="IM208">
            <v>0</v>
          </cell>
          <cell r="IN208">
            <v>0</v>
          </cell>
          <cell r="IO208">
            <v>0</v>
          </cell>
          <cell r="IP208">
            <v>0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JF208">
            <v>0</v>
          </cell>
          <cell r="JG208">
            <v>0</v>
          </cell>
          <cell r="JH208">
            <v>0</v>
          </cell>
          <cell r="JI208">
            <v>0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</row>
        <row r="214">
          <cell r="FE214">
            <v>1.1470670000000003</v>
          </cell>
          <cell r="FF214">
            <v>0.67890000000000006</v>
          </cell>
          <cell r="FG214">
            <v>0.6421</v>
          </cell>
          <cell r="FH214">
            <v>0.65960000000000019</v>
          </cell>
          <cell r="FI214">
            <v>0.14149999999999999</v>
          </cell>
          <cell r="FJ214">
            <v>0.29430000000000001</v>
          </cell>
          <cell r="FK214">
            <v>0.25009999999999999</v>
          </cell>
          <cell r="FL214">
            <v>0.33629999999999999</v>
          </cell>
          <cell r="FM214">
            <v>0.36739999999999995</v>
          </cell>
          <cell r="FN214">
            <v>0.62139999999999995</v>
          </cell>
          <cell r="FO214">
            <v>0.26619999999999999</v>
          </cell>
          <cell r="FP214">
            <v>0.23020000000000002</v>
          </cell>
          <cell r="HP214">
            <v>1.2886465634177915</v>
          </cell>
          <cell r="HQ214">
            <v>0.76269490091192449</v>
          </cell>
          <cell r="HR214">
            <v>0.72135277047510205</v>
          </cell>
          <cell r="HS214">
            <v>0.74101275098174324</v>
          </cell>
          <cell r="HT214">
            <v>0.15896498523941271</v>
          </cell>
          <cell r="HU214">
            <v>0.3306247007488281</v>
          </cell>
          <cell r="HV214">
            <v>0.2809692071263401</v>
          </cell>
          <cell r="HW214">
            <v>0.37780865396476682</v>
          </cell>
          <cell r="HX214">
            <v>0.41274724789371192</v>
          </cell>
          <cell r="HY214">
            <v>0.6980978221043892</v>
          </cell>
          <cell r="HZ214">
            <v>0.29905638919244998</v>
          </cell>
          <cell r="IA214">
            <v>0.25861300072164534</v>
          </cell>
          <cell r="IK214">
            <v>1.3896176535796867</v>
          </cell>
          <cell r="IL214">
            <v>0.82245537969033133</v>
          </cell>
          <cell r="IM214">
            <v>0.77787391265158612</v>
          </cell>
          <cell r="IN214">
            <v>0.79907433855316334</v>
          </cell>
          <cell r="IO214">
            <v>0.17142058657561032</v>
          </cell>
          <cell r="IP214">
            <v>0.35653059101909634</v>
          </cell>
          <cell r="IQ214">
            <v>0.30298437245625542</v>
          </cell>
          <cell r="IR214">
            <v>0.40741161318288177</v>
          </cell>
          <cell r="IS214">
            <v>0.44508779864225612</v>
          </cell>
          <cell r="IT214">
            <v>0.75279683744229176</v>
          </cell>
          <cell r="IU214">
            <v>0.32248876428570655</v>
          </cell>
          <cell r="IV214">
            <v>0.27887645957389051</v>
          </cell>
          <cell r="JF214">
            <v>1.4174100066512807</v>
          </cell>
          <cell r="JG214">
            <v>0.83890448728413791</v>
          </cell>
          <cell r="JH214">
            <v>0.79343139090461778</v>
          </cell>
          <cell r="JI214">
            <v>0.8150558253242266</v>
          </cell>
          <cell r="JJ214">
            <v>0.17484899830712253</v>
          </cell>
          <cell r="JK214">
            <v>0.36366120283947823</v>
          </cell>
          <cell r="JL214">
            <v>0.30904405990538053</v>
          </cell>
          <cell r="JM214">
            <v>0.41555984544653934</v>
          </cell>
          <cell r="JN214">
            <v>0.45398955461510127</v>
          </cell>
          <cell r="JO214">
            <v>0.76785277419113762</v>
          </cell>
          <cell r="JP214">
            <v>0.32893853957142066</v>
          </cell>
          <cell r="JQ214">
            <v>0.28445398876536832</v>
          </cell>
        </row>
        <row r="219"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  <cell r="IO219">
            <v>0</v>
          </cell>
          <cell r="IP219">
            <v>0</v>
          </cell>
          <cell r="IQ219">
            <v>0</v>
          </cell>
          <cell r="IR219">
            <v>0</v>
          </cell>
          <cell r="IS219">
            <v>0</v>
          </cell>
          <cell r="IT219">
            <v>0</v>
          </cell>
          <cell r="IU219">
            <v>0</v>
          </cell>
          <cell r="IV219">
            <v>0</v>
          </cell>
          <cell r="JF219">
            <v>0</v>
          </cell>
          <cell r="JG219">
            <v>0</v>
          </cell>
          <cell r="JH219">
            <v>0</v>
          </cell>
          <cell r="JI219">
            <v>0</v>
          </cell>
          <cell r="JJ219">
            <v>0</v>
          </cell>
          <cell r="JK219">
            <v>0</v>
          </cell>
          <cell r="JL219">
            <v>0</v>
          </cell>
          <cell r="JM219">
            <v>0</v>
          </cell>
          <cell r="JN219">
            <v>0</v>
          </cell>
          <cell r="JO219">
            <v>0</v>
          </cell>
          <cell r="JP219">
            <v>0</v>
          </cell>
          <cell r="JQ219">
            <v>0</v>
          </cell>
        </row>
        <row r="224"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K224">
            <v>0</v>
          </cell>
          <cell r="IL224">
            <v>0</v>
          </cell>
          <cell r="IM224">
            <v>0</v>
          </cell>
          <cell r="IN224">
            <v>0</v>
          </cell>
          <cell r="IO224">
            <v>0</v>
          </cell>
          <cell r="IP224">
            <v>0</v>
          </cell>
          <cell r="IQ224">
            <v>0</v>
          </cell>
          <cell r="IR224">
            <v>0</v>
          </cell>
          <cell r="IS224">
            <v>0</v>
          </cell>
          <cell r="IT224">
            <v>0</v>
          </cell>
          <cell r="IU224">
            <v>0</v>
          </cell>
          <cell r="IV224">
            <v>0</v>
          </cell>
          <cell r="JF224">
            <v>0</v>
          </cell>
          <cell r="JG224">
            <v>0</v>
          </cell>
          <cell r="JH224">
            <v>0</v>
          </cell>
          <cell r="JI224">
            <v>0</v>
          </cell>
          <cell r="JJ224">
            <v>0</v>
          </cell>
          <cell r="JK224">
            <v>0</v>
          </cell>
          <cell r="JL224">
            <v>0</v>
          </cell>
          <cell r="JM224">
            <v>0</v>
          </cell>
          <cell r="JN224">
            <v>0</v>
          </cell>
          <cell r="JO224">
            <v>0</v>
          </cell>
          <cell r="JP224">
            <v>0</v>
          </cell>
          <cell r="JQ224">
            <v>0</v>
          </cell>
        </row>
        <row r="230">
          <cell r="FE230">
            <v>245.62884000000003</v>
          </cell>
          <cell r="FF230">
            <v>61.091186999999998</v>
          </cell>
          <cell r="FG230">
            <v>14.910439</v>
          </cell>
          <cell r="FH230">
            <v>268.40174139999999</v>
          </cell>
          <cell r="FI230">
            <v>10.977345</v>
          </cell>
          <cell r="FJ230">
            <v>56.271777450000002</v>
          </cell>
          <cell r="FK230">
            <v>74.385187999999999</v>
          </cell>
          <cell r="FL230">
            <v>138.6304978</v>
          </cell>
          <cell r="FM230">
            <v>24.626479</v>
          </cell>
          <cell r="FN230">
            <v>115.738292</v>
          </cell>
          <cell r="FO230">
            <v>135.818702</v>
          </cell>
          <cell r="FP230">
            <v>145.34598400000002</v>
          </cell>
          <cell r="HP230">
            <v>255.55224513600004</v>
          </cell>
          <cell r="HQ230">
            <v>63.559270954799999</v>
          </cell>
          <cell r="HR230">
            <v>15.5128207356</v>
          </cell>
          <cell r="HS230">
            <v>279.24517175256</v>
          </cell>
          <cell r="HT230">
            <v>11.420829738</v>
          </cell>
          <cell r="HU230">
            <v>58.545157258980005</v>
          </cell>
          <cell r="HV230">
            <v>77.390349595200007</v>
          </cell>
          <cell r="HW230">
            <v>144.23116991111999</v>
          </cell>
          <cell r="HX230">
            <v>25.621388751599998</v>
          </cell>
          <cell r="HY230">
            <v>120.41411899680001</v>
          </cell>
          <cell r="HZ230">
            <v>141.30577756080001</v>
          </cell>
          <cell r="IA230">
            <v>151.21796175360004</v>
          </cell>
          <cell r="IK230">
            <v>260.66329003872005</v>
          </cell>
          <cell r="IL230">
            <v>64.830456373895998</v>
          </cell>
          <cell r="IM230">
            <v>15.823077150312001</v>
          </cell>
          <cell r="IN230">
            <v>284.83007518761121</v>
          </cell>
          <cell r="IO230">
            <v>11.649246332760001</v>
          </cell>
          <cell r="IP230">
            <v>59.716060404159606</v>
          </cell>
          <cell r="IQ230">
            <v>78.938156587104004</v>
          </cell>
          <cell r="IR230">
            <v>147.11579330934239</v>
          </cell>
          <cell r="IS230">
            <v>26.133816526632</v>
          </cell>
          <cell r="IT230">
            <v>122.82240137673601</v>
          </cell>
          <cell r="IU230">
            <v>144.131893112016</v>
          </cell>
          <cell r="IV230">
            <v>154.24232098867205</v>
          </cell>
          <cell r="JF230">
            <v>265.87655583949447</v>
          </cell>
          <cell r="JG230">
            <v>66.12706550137392</v>
          </cell>
          <cell r="JH230">
            <v>16.13953869331824</v>
          </cell>
          <cell r="JI230">
            <v>290.52667669136343</v>
          </cell>
          <cell r="JJ230">
            <v>11.882231259415201</v>
          </cell>
          <cell r="JK230">
            <v>60.910381612242801</v>
          </cell>
          <cell r="JL230">
            <v>80.516919718846083</v>
          </cell>
          <cell r="JM230">
            <v>150.05810917552924</v>
          </cell>
          <cell r="JN230">
            <v>26.65649285716464</v>
          </cell>
          <cell r="JO230">
            <v>125.27884940427073</v>
          </cell>
          <cell r="JP230">
            <v>147.01453097425633</v>
          </cell>
          <cell r="JQ230">
            <v>157.32716740844549</v>
          </cell>
        </row>
        <row r="231"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  <cell r="IO231">
            <v>0</v>
          </cell>
          <cell r="IP231">
            <v>0</v>
          </cell>
          <cell r="IQ231">
            <v>0</v>
          </cell>
          <cell r="IR231">
            <v>0</v>
          </cell>
          <cell r="IS231">
            <v>0</v>
          </cell>
          <cell r="IT231">
            <v>0</v>
          </cell>
          <cell r="IU231">
            <v>0</v>
          </cell>
          <cell r="IV231">
            <v>0</v>
          </cell>
          <cell r="JF231">
            <v>0</v>
          </cell>
          <cell r="JG231">
            <v>0</v>
          </cell>
          <cell r="JH231">
            <v>0</v>
          </cell>
          <cell r="JI231">
            <v>0</v>
          </cell>
          <cell r="JJ231">
            <v>0</v>
          </cell>
          <cell r="JK231">
            <v>0</v>
          </cell>
          <cell r="JL231">
            <v>0</v>
          </cell>
          <cell r="JM231">
            <v>0</v>
          </cell>
          <cell r="JN231">
            <v>0</v>
          </cell>
          <cell r="JO231">
            <v>0</v>
          </cell>
          <cell r="JP231">
            <v>0</v>
          </cell>
          <cell r="JQ231">
            <v>0</v>
          </cell>
        </row>
        <row r="232">
          <cell r="FE232">
            <v>2.275318</v>
          </cell>
          <cell r="FF232">
            <v>2.3300640000000001</v>
          </cell>
          <cell r="FG232">
            <v>2.2835519999999998</v>
          </cell>
          <cell r="FH232">
            <v>2.2257359999999999</v>
          </cell>
          <cell r="FI232">
            <v>2.3238720000000002</v>
          </cell>
          <cell r="FJ232">
            <v>2.3504040000000002</v>
          </cell>
          <cell r="FK232">
            <v>2.2852440000000001</v>
          </cell>
          <cell r="FL232">
            <v>2.2156199999999999</v>
          </cell>
          <cell r="FM232">
            <v>2.3844959999999999</v>
          </cell>
          <cell r="FN232">
            <v>2.4319799999999998</v>
          </cell>
          <cell r="FO232">
            <v>2.2608359999999998</v>
          </cell>
          <cell r="FP232">
            <v>2.5938720000000002</v>
          </cell>
          <cell r="HP232">
            <v>2.572356411472223</v>
          </cell>
          <cell r="HQ232">
            <v>2.6342493970252137</v>
          </cell>
          <cell r="HR232">
            <v>2.5816653444178868</v>
          </cell>
          <cell r="HS232">
            <v>2.5163015762388112</v>
          </cell>
          <cell r="HT232">
            <v>2.6272490432725353</v>
          </cell>
          <cell r="HU232">
            <v>2.6572447451081387</v>
          </cell>
          <cell r="HV232">
            <v>2.5835782317805376</v>
          </cell>
          <cell r="HW232">
            <v>2.5048649517940293</v>
          </cell>
          <cell r="HX232">
            <v>2.695787390478988</v>
          </cell>
          <cell r="HY232">
            <v>2.7494703358265604</v>
          </cell>
          <cell r="HZ232">
            <v>2.5559838140810274</v>
          </cell>
          <cell r="IA232">
            <v>2.9324970266741968</v>
          </cell>
          <cell r="IK232">
            <v>2.6707168648497586</v>
          </cell>
          <cell r="IL232">
            <v>2.7349764828385696</v>
          </cell>
          <cell r="IM232">
            <v>2.6803817480288008</v>
          </cell>
          <cell r="IN232">
            <v>2.6125186333968444</v>
          </cell>
          <cell r="IO232">
            <v>2.7277084531270521</v>
          </cell>
          <cell r="IP232">
            <v>2.7588511153211694</v>
          </cell>
          <cell r="IQ232">
            <v>2.6823677794034597</v>
          </cell>
          <cell r="IR232">
            <v>2.6006447011355873</v>
          </cell>
          <cell r="IS232">
            <v>2.7988675347212078</v>
          </cell>
          <cell r="IT232">
            <v>2.8546031811717376</v>
          </cell>
          <cell r="IU232">
            <v>2.6537182204243401</v>
          </cell>
          <cell r="IV232">
            <v>3.0446283533385552</v>
          </cell>
          <cell r="JF232">
            <v>2.7730891851888999</v>
          </cell>
          <cell r="JG232">
            <v>2.8398119643926649</v>
          </cell>
          <cell r="JH232">
            <v>2.783124536885166</v>
          </cell>
          <cell r="JI232">
            <v>2.7126601339617582</v>
          </cell>
          <cell r="JJ232">
            <v>2.8322653409164342</v>
          </cell>
          <cell r="JK232">
            <v>2.8646017449977244</v>
          </cell>
          <cell r="JL232">
            <v>2.785186695625764</v>
          </cell>
          <cell r="JM232">
            <v>2.700331057236057</v>
          </cell>
          <cell r="JN232">
            <v>2.9061520498348759</v>
          </cell>
          <cell r="JO232">
            <v>2.964024121725271</v>
          </cell>
          <cell r="JP232">
            <v>2.7554389588996928</v>
          </cell>
          <cell r="JQ232">
            <v>3.1613332250543897</v>
          </cell>
        </row>
        <row r="233"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4">
          <cell r="HP234">
            <v>71.693248037113193</v>
          </cell>
          <cell r="HQ234">
            <v>69.737507614841562</v>
          </cell>
          <cell r="HR234">
            <v>68.326173804728569</v>
          </cell>
          <cell r="HS234">
            <v>68.880677200744245</v>
          </cell>
          <cell r="HT234">
            <v>69.728294465527256</v>
          </cell>
          <cell r="HU234">
            <v>66.214966124258609</v>
          </cell>
          <cell r="HV234">
            <v>69.91394504273589</v>
          </cell>
          <cell r="HW234">
            <v>70.964229419448202</v>
          </cell>
          <cell r="HX234">
            <v>69.732234139733762</v>
          </cell>
          <cell r="HY234">
            <v>72.269404585533636</v>
          </cell>
          <cell r="HZ234">
            <v>68.520207549859506</v>
          </cell>
          <cell r="IA234">
            <v>73.953755327119239</v>
          </cell>
        </row>
        <row r="235">
          <cell r="FE235">
            <v>52.380434100000002</v>
          </cell>
          <cell r="FF235">
            <v>50.951533399999995</v>
          </cell>
          <cell r="FG235">
            <v>49.920386399999998</v>
          </cell>
          <cell r="FH235">
            <v>50.325516999999998</v>
          </cell>
          <cell r="FI235">
            <v>50.944802100000004</v>
          </cell>
          <cell r="FJ235">
            <v>48.377898399999999</v>
          </cell>
          <cell r="FK235">
            <v>51.080441899999997</v>
          </cell>
          <cell r="FL235">
            <v>51.8477994</v>
          </cell>
          <cell r="FM235">
            <v>50.947680499999997</v>
          </cell>
          <cell r="FN235">
            <v>52.801384899999995</v>
          </cell>
          <cell r="FO235">
            <v>50.062151100000001</v>
          </cell>
          <cell r="FP235">
            <v>54.032003200000005</v>
          </cell>
          <cell r="IK235">
            <v>80.11331726127321</v>
          </cell>
          <cell r="IL235">
            <v>77.927883385421538</v>
          </cell>
          <cell r="IM235">
            <v>76.350794379318586</v>
          </cell>
          <cell r="IN235">
            <v>76.970421857550022</v>
          </cell>
          <cell r="IO235">
            <v>77.917588190627043</v>
          </cell>
          <cell r="IP235">
            <v>73.991634272325371</v>
          </cell>
          <cell r="IQ235">
            <v>78.125042644133657</v>
          </cell>
          <cell r="IR235">
            <v>79.298678485580751</v>
          </cell>
          <cell r="IS235">
            <v>77.92199056293201</v>
          </cell>
          <cell r="IT235">
            <v>80.757140963218944</v>
          </cell>
          <cell r="IU235">
            <v>76.567616568418188</v>
          </cell>
          <cell r="IV235">
            <v>82.639311586456074</v>
          </cell>
          <cell r="JF235">
            <v>88.495990278751634</v>
          </cell>
          <cell r="JG235">
            <v>86.081883091035493</v>
          </cell>
          <cell r="JH235">
            <v>84.339775060511087</v>
          </cell>
          <cell r="JI235">
            <v>85.024237384186748</v>
          </cell>
          <cell r="JJ235">
            <v>86.070510656469082</v>
          </cell>
          <cell r="JK235">
            <v>81.73376376261902</v>
          </cell>
          <cell r="JL235">
            <v>86.299672148321079</v>
          </cell>
          <cell r="JM235">
            <v>87.596111611397745</v>
          </cell>
          <cell r="JN235">
            <v>86.075373671883028</v>
          </cell>
          <cell r="JO235">
            <v>89.207180602862238</v>
          </cell>
          <cell r="JP235">
            <v>84.579284482848436</v>
          </cell>
          <cell r="JQ235">
            <v>91.286292526710412</v>
          </cell>
        </row>
        <row r="239">
          <cell r="FE239">
            <v>6.0300630000000002</v>
          </cell>
          <cell r="FF239">
            <v>7.4215529999999994</v>
          </cell>
          <cell r="FG239">
            <v>6.9074059999999999</v>
          </cell>
          <cell r="FH239">
            <v>6.6595540000000009</v>
          </cell>
          <cell r="FI239">
            <v>6.5525560000000009</v>
          </cell>
          <cell r="FJ239">
            <v>6.0851669999999993</v>
          </cell>
          <cell r="FK239">
            <v>5.3285729999999996</v>
          </cell>
          <cell r="FL239">
            <v>4.6946779999999997</v>
          </cell>
          <cell r="FM239">
            <v>2.9676140000000002</v>
          </cell>
          <cell r="FN239">
            <v>3.2173480000000003</v>
          </cell>
          <cell r="FO239">
            <v>3.8677219999999997</v>
          </cell>
          <cell r="FP239">
            <v>5.7141391034482751</v>
          </cell>
          <cell r="HP239">
            <v>6.3991510961040001</v>
          </cell>
          <cell r="HQ239">
            <v>7.8758114160239998</v>
          </cell>
          <cell r="HR239">
            <v>7.3301945064480005</v>
          </cell>
          <cell r="HS239">
            <v>7.0671719812320015</v>
          </cell>
          <cell r="HT239">
            <v>6.9536248476480012</v>
          </cell>
          <cell r="HU239">
            <v>6.4576279017359992</v>
          </cell>
          <cell r="HV239">
            <v>5.6547242961839999</v>
          </cell>
          <cell r="HW239">
            <v>4.9820298510239995</v>
          </cell>
          <cell r="HX239">
            <v>3.1492557177120006</v>
          </cell>
          <cell r="HY239">
            <v>3.414275436384</v>
          </cell>
          <cell r="HZ239">
            <v>4.1044575281759998</v>
          </cell>
          <cell r="IA239">
            <v>6.0638901296921377</v>
          </cell>
          <cell r="IK239">
            <v>6.5271341180260807</v>
          </cell>
          <cell r="IL239">
            <v>8.0333276443444799</v>
          </cell>
          <cell r="IM239">
            <v>7.4767983965769611</v>
          </cell>
          <cell r="IN239">
            <v>7.2085154208566413</v>
          </cell>
          <cell r="IO239">
            <v>7.0926973446009614</v>
          </cell>
          <cell r="IP239">
            <v>6.5867804597707194</v>
          </cell>
          <cell r="IQ239">
            <v>5.7678187821076801</v>
          </cell>
          <cell r="IR239">
            <v>5.0816704480444796</v>
          </cell>
          <cell r="IS239">
            <v>3.2122408320662408</v>
          </cell>
          <cell r="IT239">
            <v>3.4825609451116799</v>
          </cell>
          <cell r="IU239">
            <v>4.1865466787395196</v>
          </cell>
          <cell r="IV239">
            <v>6.1851679322859807</v>
          </cell>
          <cell r="JF239">
            <v>6.6576768003866027</v>
          </cell>
          <cell r="JG239">
            <v>8.193994197231369</v>
          </cell>
          <cell r="JH239">
            <v>7.6263343645085007</v>
          </cell>
          <cell r="JI239">
            <v>7.352685729273774</v>
          </cell>
          <cell r="JJ239">
            <v>7.2345512914929806</v>
          </cell>
          <cell r="JK239">
            <v>6.7185160689661343</v>
          </cell>
          <cell r="JL239">
            <v>5.8831751577498341</v>
          </cell>
          <cell r="JM239">
            <v>5.1833038570053693</v>
          </cell>
          <cell r="JN239">
            <v>3.2764856487075655</v>
          </cell>
          <cell r="JO239">
            <v>3.5522121640139135</v>
          </cell>
          <cell r="JP239">
            <v>4.2702776123143105</v>
          </cell>
          <cell r="JQ239">
            <v>6.3088712909317008</v>
          </cell>
        </row>
        <row r="240">
          <cell r="FE240">
            <v>0.12095</v>
          </cell>
          <cell r="FF240">
            <v>0.1176</v>
          </cell>
          <cell r="FG240">
            <v>0.12</v>
          </cell>
          <cell r="FH240">
            <v>8.6900000000000005E-2</v>
          </cell>
          <cell r="FI240">
            <v>0.1118</v>
          </cell>
          <cell r="FJ240">
            <v>0.1172</v>
          </cell>
          <cell r="FK240">
            <v>0.11700000000000001</v>
          </cell>
          <cell r="FL240">
            <v>7.6799999999999993E-2</v>
          </cell>
          <cell r="FM240">
            <v>4.6300000000000001E-2</v>
          </cell>
          <cell r="FN240">
            <v>8.6E-3</v>
          </cell>
          <cell r="FO240">
            <v>0.1103</v>
          </cell>
          <cell r="FP240">
            <v>0.1057</v>
          </cell>
          <cell r="HP240">
            <v>0.12835310759999999</v>
          </cell>
          <cell r="HQ240">
            <v>0.12479806080000001</v>
          </cell>
          <cell r="HR240">
            <v>0.12734496000000001</v>
          </cell>
          <cell r="HS240">
            <v>9.2218975200000011E-2</v>
          </cell>
          <cell r="HT240">
            <v>0.1186430544</v>
          </cell>
          <cell r="HU240">
            <v>0.12437357759999999</v>
          </cell>
          <cell r="HV240">
            <v>0.12416133600000002</v>
          </cell>
          <cell r="HW240">
            <v>8.1500774400000003E-2</v>
          </cell>
          <cell r="HX240">
            <v>4.9133930400000012E-2</v>
          </cell>
          <cell r="HY240">
            <v>9.1263888000000012E-3</v>
          </cell>
          <cell r="HZ240">
            <v>0.11705124240000001</v>
          </cell>
          <cell r="IA240">
            <v>0.1121696856</v>
          </cell>
          <cell r="IK240">
            <v>0.13092016975199999</v>
          </cell>
          <cell r="IL240">
            <v>0.12729402201600001</v>
          </cell>
          <cell r="IM240">
            <v>0.12989185920000001</v>
          </cell>
          <cell r="IN240">
            <v>9.4063354704000013E-2</v>
          </cell>
          <cell r="IO240">
            <v>0.121015915488</v>
          </cell>
          <cell r="IP240">
            <v>0.126861049152</v>
          </cell>
          <cell r="IQ240">
            <v>0.12664456272000002</v>
          </cell>
          <cell r="IR240">
            <v>8.3130789888000003E-2</v>
          </cell>
          <cell r="IS240">
            <v>5.011660900800001E-2</v>
          </cell>
          <cell r="IT240">
            <v>9.3089165760000016E-3</v>
          </cell>
          <cell r="IU240">
            <v>0.11939226724800001</v>
          </cell>
          <cell r="IV240">
            <v>0.114413079312</v>
          </cell>
          <cell r="JF240">
            <v>0.13758540933593064</v>
          </cell>
          <cell r="JG240">
            <v>0.1337746518222856</v>
          </cell>
          <cell r="JH240">
            <v>0.13650474675743429</v>
          </cell>
          <cell r="JI240">
            <v>9.8852187443508668E-2</v>
          </cell>
          <cell r="JJ240">
            <v>0.12717692239567627</v>
          </cell>
          <cell r="JK240">
            <v>0.13331963599976082</v>
          </cell>
          <cell r="JL240">
            <v>0.13309212808849843</v>
          </cell>
          <cell r="JM240">
            <v>8.7363037924757941E-2</v>
          </cell>
          <cell r="JN240">
            <v>5.2668081457243401E-2</v>
          </cell>
          <cell r="JO240">
            <v>9.7828401842827914E-3</v>
          </cell>
          <cell r="JP240">
            <v>0.12547061306120835</v>
          </cell>
          <cell r="JQ240">
            <v>0.12023793110217336</v>
          </cell>
        </row>
      </sheetData>
      <sheetData sheetId="5">
        <row r="2">
          <cell r="BG2">
            <v>78.239999999999995</v>
          </cell>
        </row>
        <row r="239">
          <cell r="AQ239">
            <v>0</v>
          </cell>
          <cell r="AT239">
            <v>0</v>
          </cell>
          <cell r="AU239">
            <v>0</v>
          </cell>
          <cell r="AW239">
            <v>0</v>
          </cell>
          <cell r="BN239">
            <v>0</v>
          </cell>
          <cell r="BO239">
            <v>0</v>
          </cell>
          <cell r="BQ239">
            <v>0</v>
          </cell>
        </row>
      </sheetData>
      <sheetData sheetId="6">
        <row r="10">
          <cell r="H10">
            <v>4029439</v>
          </cell>
          <cell r="I10">
            <v>4563.9986213445618</v>
          </cell>
          <cell r="AQ10">
            <v>4284.0799010317169</v>
          </cell>
          <cell r="AT10">
            <v>54.670261314302905</v>
          </cell>
          <cell r="AU10">
            <v>1616.2074911703376</v>
          </cell>
          <cell r="AW10">
            <v>305.13602400000002</v>
          </cell>
          <cell r="BN10">
            <v>61.458732502385374</v>
          </cell>
          <cell r="BO10">
            <v>1616.2074911703376</v>
          </cell>
          <cell r="BQ10">
            <v>305.13602400000002</v>
          </cell>
        </row>
        <row r="11">
          <cell r="AQ11">
            <v>1844.7571573783707</v>
          </cell>
          <cell r="AT11">
            <v>29.971013092669985</v>
          </cell>
          <cell r="AU11">
            <v>395.83490384870544</v>
          </cell>
          <cell r="AW11">
            <v>189.90199200000001</v>
          </cell>
          <cell r="BN11">
            <v>29.971013092669985</v>
          </cell>
          <cell r="BO11">
            <v>395.83490384870544</v>
          </cell>
          <cell r="BQ11">
            <v>189.90199200000001</v>
          </cell>
        </row>
        <row r="12">
          <cell r="AQ12">
            <v>1530.7809994659958</v>
          </cell>
          <cell r="AT12">
            <v>15.309548993881304</v>
          </cell>
          <cell r="AU12">
            <v>298.50229489586917</v>
          </cell>
          <cell r="AW12">
            <v>97.508039999999994</v>
          </cell>
          <cell r="BN12">
            <v>15.309548993881304</v>
          </cell>
          <cell r="BO12">
            <v>298.50229489586917</v>
          </cell>
          <cell r="BQ12">
            <v>97.508039999999994</v>
          </cell>
        </row>
        <row r="13">
          <cell r="AQ13">
            <v>313.97615791237502</v>
          </cell>
          <cell r="AT13">
            <v>14.661464098788681</v>
          </cell>
          <cell r="AU13">
            <v>97.332608952836253</v>
          </cell>
          <cell r="AW13">
            <v>92.393951999999999</v>
          </cell>
          <cell r="BN13">
            <v>14.661464098788681</v>
          </cell>
          <cell r="BO13">
            <v>97.332608952836253</v>
          </cell>
          <cell r="BQ13">
            <v>92.393951999999999</v>
          </cell>
        </row>
        <row r="14">
          <cell r="AQ14">
            <v>1339.266881197949</v>
          </cell>
          <cell r="AT14">
            <v>16.457128918636243</v>
          </cell>
          <cell r="AU14">
            <v>531.50088316616348</v>
          </cell>
          <cell r="AW14">
            <v>74.302812000000003</v>
          </cell>
          <cell r="BN14">
            <v>16.457128918636243</v>
          </cell>
          <cell r="BO14">
            <v>531.50088316616348</v>
          </cell>
          <cell r="BQ14">
            <v>74.302812000000003</v>
          </cell>
        </row>
        <row r="15">
          <cell r="AQ15">
            <v>795.33728434894351</v>
          </cell>
          <cell r="AT15">
            <v>0</v>
          </cell>
          <cell r="AU15">
            <v>270.41467667864083</v>
          </cell>
          <cell r="AW15">
            <v>0</v>
          </cell>
          <cell r="BN15">
            <v>0</v>
          </cell>
          <cell r="BO15">
            <v>270.41467667864083</v>
          </cell>
          <cell r="BQ15">
            <v>0</v>
          </cell>
        </row>
        <row r="16">
          <cell r="AQ16">
            <v>543.92959684900552</v>
          </cell>
          <cell r="AT16">
            <v>16.457128918636243</v>
          </cell>
          <cell r="AU16">
            <v>261.08620648752265</v>
          </cell>
          <cell r="AW16">
            <v>74.302812000000003</v>
          </cell>
          <cell r="BN16">
            <v>16.457128918636243</v>
          </cell>
          <cell r="BO16">
            <v>261.08620648752265</v>
          </cell>
          <cell r="BQ16">
            <v>74.302812000000003</v>
          </cell>
        </row>
        <row r="17">
          <cell r="AQ17">
            <v>1100.0558624553967</v>
          </cell>
          <cell r="AT17">
            <v>8.2421193029966755</v>
          </cell>
          <cell r="AU17">
            <v>688.87170415546859</v>
          </cell>
          <cell r="AW17">
            <v>40.931220000000003</v>
          </cell>
          <cell r="BN17">
            <v>15.030590491079145</v>
          </cell>
          <cell r="BO17">
            <v>688.87170415546859</v>
          </cell>
          <cell r="BQ17">
            <v>40.931220000000003</v>
          </cell>
        </row>
        <row r="18">
          <cell r="AQ18">
            <v>718.81089337300034</v>
          </cell>
          <cell r="AT18">
            <v>0</v>
          </cell>
          <cell r="AU18">
            <v>366.59355562023018</v>
          </cell>
          <cell r="AW18">
            <v>0</v>
          </cell>
          <cell r="BN18">
            <v>0</v>
          </cell>
          <cell r="BO18">
            <v>366.59355562023018</v>
          </cell>
          <cell r="BQ18">
            <v>0</v>
          </cell>
        </row>
        <row r="19">
          <cell r="AQ19">
            <v>209.28074586228914</v>
          </cell>
          <cell r="AT19">
            <v>4.8478837089554396</v>
          </cell>
          <cell r="AU19">
            <v>161.14617431396263</v>
          </cell>
          <cell r="AW19">
            <v>26.620740000000001</v>
          </cell>
          <cell r="BN19">
            <v>4.8478837089554396</v>
          </cell>
          <cell r="BO19">
            <v>161.14617431396263</v>
          </cell>
          <cell r="BQ19">
            <v>26.620740000000001</v>
          </cell>
        </row>
        <row r="20">
          <cell r="AQ20">
            <v>75.34855383060011</v>
          </cell>
          <cell r="AT20">
            <v>1.6377271622399077</v>
          </cell>
          <cell r="AU20">
            <v>67.813698447540105</v>
          </cell>
          <cell r="AW20">
            <v>7.4355840000000004</v>
          </cell>
          <cell r="BN20">
            <v>4.9131814867197221</v>
          </cell>
          <cell r="BO20">
            <v>67.813698447540105</v>
          </cell>
          <cell r="BQ20">
            <v>7.4355840000000004</v>
          </cell>
        </row>
        <row r="21">
          <cell r="AQ21">
            <v>65.947872315430999</v>
          </cell>
          <cell r="AT21">
            <v>1.4495722670591176</v>
          </cell>
          <cell r="AU21">
            <v>62.650478699659445</v>
          </cell>
          <cell r="AW21">
            <v>5.9327519999999998</v>
          </cell>
          <cell r="BN21">
            <v>4.3487168011773525</v>
          </cell>
          <cell r="BO21">
            <v>62.650478699659445</v>
          </cell>
          <cell r="BQ21">
            <v>5.9327519999999998</v>
          </cell>
        </row>
        <row r="22">
          <cell r="AQ22">
            <v>30.667797074076244</v>
          </cell>
          <cell r="AT22">
            <v>0.3069361647422103</v>
          </cell>
          <cell r="AU22">
            <v>30.66779707407624</v>
          </cell>
          <cell r="AW22">
            <v>0.94214399999999998</v>
          </cell>
          <cell r="BN22">
            <v>0.92080849422663091</v>
          </cell>
          <cell r="BO22">
            <v>30.66779707407624</v>
          </cell>
          <cell r="BQ22">
            <v>0.94214399999999998</v>
          </cell>
        </row>
        <row r="23">
          <cell r="H23">
            <v>508557</v>
          </cell>
          <cell r="I23">
            <v>1140.8178227833744</v>
          </cell>
          <cell r="AQ23">
            <v>1023.4617399733908</v>
          </cell>
          <cell r="AT23">
            <v>91.943428783198655</v>
          </cell>
          <cell r="AU23">
            <v>1031.6339175249939</v>
          </cell>
          <cell r="AW23">
            <v>46.364196</v>
          </cell>
          <cell r="BN23">
            <v>143.14833765506114</v>
          </cell>
          <cell r="BO23">
            <v>1031.6339175249939</v>
          </cell>
          <cell r="BQ23">
            <v>46.364196</v>
          </cell>
        </row>
        <row r="24">
          <cell r="AQ24">
            <v>69.678439956150896</v>
          </cell>
          <cell r="AT24">
            <v>28.216308377168129</v>
          </cell>
          <cell r="AU24">
            <v>48.77490796930563</v>
          </cell>
          <cell r="AW24">
            <v>18.973050000000001</v>
          </cell>
          <cell r="BN24">
            <v>43.500142081467537</v>
          </cell>
          <cell r="BO24">
            <v>48.77490796930563</v>
          </cell>
          <cell r="BQ24">
            <v>18.973050000000001</v>
          </cell>
        </row>
        <row r="25">
          <cell r="AQ25">
            <v>69.678439956150896</v>
          </cell>
          <cell r="AT25">
            <v>28.216308377168129</v>
          </cell>
          <cell r="AU25">
            <v>48.77490796930563</v>
          </cell>
          <cell r="AW25">
            <v>18.973050000000001</v>
          </cell>
          <cell r="BN25">
            <v>43.500142081467537</v>
          </cell>
          <cell r="BO25">
            <v>48.77490796930563</v>
          </cell>
          <cell r="BQ25">
            <v>18.973050000000001</v>
          </cell>
        </row>
        <row r="26">
          <cell r="AQ26">
            <v>949.70780484072918</v>
          </cell>
          <cell r="AT26">
            <v>62.699831502330312</v>
          </cell>
          <cell r="AU26">
            <v>979.53345414344199</v>
          </cell>
          <cell r="AW26">
            <v>26.534592</v>
          </cell>
          <cell r="BN26">
            <v>98.52830664651907</v>
          </cell>
          <cell r="BO26">
            <v>979.53345414344199</v>
          </cell>
          <cell r="BQ26">
            <v>26.534592</v>
          </cell>
        </row>
        <row r="27">
          <cell r="AQ27">
            <v>183.94967809169142</v>
          </cell>
          <cell r="AT27">
            <v>11.191709191881543</v>
          </cell>
          <cell r="AU27">
            <v>156.35722637793771</v>
          </cell>
          <cell r="AW27">
            <v>9.5175540000000005</v>
          </cell>
          <cell r="BN27">
            <v>17.586971587242424</v>
          </cell>
          <cell r="BO27">
            <v>156.35722637793771</v>
          </cell>
          <cell r="BQ27">
            <v>9.5175540000000005</v>
          </cell>
        </row>
        <row r="28">
          <cell r="AQ28">
            <v>110.5873326997924</v>
          </cell>
          <cell r="AT28">
            <v>15.190920146146212</v>
          </cell>
          <cell r="AU28">
            <v>109.48145937279449</v>
          </cell>
          <cell r="AW28">
            <v>9.6285419999999995</v>
          </cell>
          <cell r="BN28">
            <v>23.87144594394405</v>
          </cell>
          <cell r="BO28">
            <v>109.48145937279449</v>
          </cell>
          <cell r="BQ28">
            <v>9.6285419999999995</v>
          </cell>
        </row>
        <row r="29">
          <cell r="AQ29">
            <v>116.55175102433702</v>
          </cell>
          <cell r="AT29">
            <v>6.1673797740701009</v>
          </cell>
          <cell r="AU29">
            <v>121.2138210653105</v>
          </cell>
          <cell r="AW29">
            <v>2.8510559999999998</v>
          </cell>
          <cell r="BN29">
            <v>9.6915967878244444</v>
          </cell>
          <cell r="BO29">
            <v>121.2138210653105</v>
          </cell>
          <cell r="BQ29">
            <v>2.8510559999999998</v>
          </cell>
        </row>
        <row r="30">
          <cell r="AQ30">
            <v>538.61904302490836</v>
          </cell>
          <cell r="AT30">
            <v>30.149822390232455</v>
          </cell>
          <cell r="AU30">
            <v>592.48094732739924</v>
          </cell>
          <cell r="AW30">
            <v>4.5374400000000001</v>
          </cell>
          <cell r="BN30">
            <v>47.378292327508149</v>
          </cell>
          <cell r="BO30">
            <v>592.48094732739924</v>
          </cell>
          <cell r="BQ30">
            <v>4.5374400000000001</v>
          </cell>
        </row>
        <row r="31">
          <cell r="AQ31">
            <v>1.2279684785827203</v>
          </cell>
          <cell r="AT31">
            <v>0.16205004090508671</v>
          </cell>
          <cell r="AU31">
            <v>1.5963590221575363</v>
          </cell>
          <cell r="AW31">
            <v>9.9360000000000004E-2</v>
          </cell>
          <cell r="BN31">
            <v>0.25465006427942199</v>
          </cell>
          <cell r="BO31">
            <v>1.5963590221575363</v>
          </cell>
          <cell r="BQ31">
            <v>9.9360000000000004E-2</v>
          </cell>
        </row>
        <row r="32">
          <cell r="AQ32">
            <v>2.8475266979280032</v>
          </cell>
          <cell r="AT32">
            <v>0.8652388627951223</v>
          </cell>
          <cell r="AU32">
            <v>1.729196390088914</v>
          </cell>
          <cell r="AW32">
            <v>0.75719399999999992</v>
          </cell>
          <cell r="BN32">
            <v>0.8652388627951223</v>
          </cell>
          <cell r="BO32">
            <v>1.729196390088914</v>
          </cell>
          <cell r="BQ32">
            <v>0.75719399999999992</v>
          </cell>
        </row>
        <row r="33">
          <cell r="AQ33">
            <v>1.5090149894999914</v>
          </cell>
          <cell r="AT33">
            <v>0.67492254355080072</v>
          </cell>
          <cell r="AU33">
            <v>0.79977794443499539</v>
          </cell>
          <cell r="AW33">
            <v>0.57866399999999996</v>
          </cell>
          <cell r="BN33">
            <v>0.67492254355080072</v>
          </cell>
          <cell r="BO33">
            <v>0.79977794443499539</v>
          </cell>
          <cell r="BQ33">
            <v>0.57866399999999996</v>
          </cell>
        </row>
        <row r="34">
          <cell r="AQ34">
            <v>0.82739261852322399</v>
          </cell>
          <cell r="AT34">
            <v>0.11737198407759886</v>
          </cell>
          <cell r="AU34">
            <v>0.54607912822532778</v>
          </cell>
          <cell r="AW34">
            <v>0.115896</v>
          </cell>
          <cell r="BN34">
            <v>0.11737198407759886</v>
          </cell>
          <cell r="BO34">
            <v>0.54607912822532778</v>
          </cell>
          <cell r="BQ34">
            <v>0.115896</v>
          </cell>
        </row>
        <row r="35">
          <cell r="AQ35">
            <v>0.51111908990478794</v>
          </cell>
          <cell r="AT35">
            <v>7.294433516672276E-2</v>
          </cell>
          <cell r="AU35">
            <v>0.38333931742859095</v>
          </cell>
          <cell r="AW35">
            <v>6.2633999999999995E-2</v>
          </cell>
          <cell r="BN35">
            <v>7.294433516672276E-2</v>
          </cell>
          <cell r="BO35">
            <v>0.38333931742859095</v>
          </cell>
          <cell r="BQ35">
            <v>6.2633999999999995E-2</v>
          </cell>
        </row>
        <row r="36">
          <cell r="H36">
            <v>22274</v>
          </cell>
          <cell r="I36">
            <v>404.52731610233889</v>
          </cell>
          <cell r="AQ36">
            <v>243.56444720543399</v>
          </cell>
          <cell r="AT36">
            <v>36.460685846572126</v>
          </cell>
          <cell r="AU36">
            <v>186.26523603939924</v>
          </cell>
          <cell r="AW36">
            <v>8.2560299999999973</v>
          </cell>
          <cell r="BN36">
            <v>54.085455314790771</v>
          </cell>
          <cell r="BO36">
            <v>186.26523603939924</v>
          </cell>
          <cell r="BQ36">
            <v>8.2560299999999973</v>
          </cell>
        </row>
        <row r="37">
          <cell r="AQ37">
            <v>226.08574903465961</v>
          </cell>
          <cell r="AT37">
            <v>33.711938842821802</v>
          </cell>
          <cell r="AU37">
            <v>174.08602675668789</v>
          </cell>
          <cell r="AW37">
            <v>8.1578392962109465</v>
          </cell>
          <cell r="BN37">
            <v>50.567908264232699</v>
          </cell>
          <cell r="BO37">
            <v>174.08602675668789</v>
          </cell>
          <cell r="BQ37">
            <v>8.1578392962109465</v>
          </cell>
        </row>
        <row r="38">
          <cell r="AQ38">
            <v>0</v>
          </cell>
          <cell r="AT38">
            <v>0</v>
          </cell>
          <cell r="AU38">
            <v>0</v>
          </cell>
          <cell r="AW38">
            <v>0</v>
          </cell>
          <cell r="BN38">
            <v>0</v>
          </cell>
          <cell r="BO38">
            <v>0</v>
          </cell>
          <cell r="BQ38">
            <v>0</v>
          </cell>
        </row>
        <row r="39">
          <cell r="AQ39">
            <v>0.69851749509964756</v>
          </cell>
          <cell r="AT39">
            <v>4.3643788906026097E-2</v>
          </cell>
          <cell r="AU39">
            <v>0.43308084696178151</v>
          </cell>
          <cell r="AW39">
            <v>2.5630707096442359E-3</v>
          </cell>
          <cell r="BN39">
            <v>8.2438267933604856E-2</v>
          </cell>
          <cell r="BO39">
            <v>0.43308084696178151</v>
          </cell>
          <cell r="BQ39">
            <v>2.5630707096442359E-3</v>
          </cell>
        </row>
        <row r="40">
          <cell r="AQ40">
            <v>1.1522838565841614E-2</v>
          </cell>
          <cell r="AT40">
            <v>7.0827066792998302E-4</v>
          </cell>
          <cell r="AU40">
            <v>7.1441599108218014E-3</v>
          </cell>
          <cell r="AW40">
            <v>4.0180151388812273E-4</v>
          </cell>
          <cell r="BN40">
            <v>1.3378445949788569E-3</v>
          </cell>
          <cell r="BO40">
            <v>7.1441599108218014E-3</v>
          </cell>
          <cell r="BQ40">
            <v>4.0180151388812273E-4</v>
          </cell>
        </row>
        <row r="41">
          <cell r="AQ41">
            <v>16.73786484169058</v>
          </cell>
          <cell r="AT41">
            <v>2.6988930723519653</v>
          </cell>
          <cell r="AU41">
            <v>11.716505389183407</v>
          </cell>
          <cell r="AW41">
            <v>9.4561313677165096E-2</v>
          </cell>
          <cell r="BN41">
            <v>3.425518130292879</v>
          </cell>
          <cell r="BO41">
            <v>11.716505389183407</v>
          </cell>
          <cell r="BQ41">
            <v>9.4561313677165096E-2</v>
          </cell>
        </row>
        <row r="42">
          <cell r="AQ42">
            <v>3.07929954183041E-2</v>
          </cell>
          <cell r="AT42">
            <v>5.5018718244061121E-3</v>
          </cell>
          <cell r="AU42">
            <v>2.2478886655361994E-2</v>
          </cell>
          <cell r="AW42">
            <v>6.6451788835343378E-4</v>
          </cell>
          <cell r="BN42">
            <v>8.2528077366091687E-3</v>
          </cell>
          <cell r="BO42">
            <v>2.2478886655361994E-2</v>
          </cell>
          <cell r="BQ42">
            <v>6.6451788835343378E-4</v>
          </cell>
        </row>
        <row r="43">
          <cell r="H43">
            <v>6555</v>
          </cell>
          <cell r="I43">
            <v>17.526725208681214</v>
          </cell>
          <cell r="AQ43">
            <v>8.6217888213980398</v>
          </cell>
          <cell r="AT43">
            <v>0.56018292103368694</v>
          </cell>
          <cell r="AU43">
            <v>3.4487155285592159</v>
          </cell>
          <cell r="AW43">
            <v>0.40293000000000001</v>
          </cell>
          <cell r="BN43">
            <v>0.56018292103368694</v>
          </cell>
          <cell r="BO43">
            <v>3.4487155285592159</v>
          </cell>
          <cell r="BQ43">
            <v>0.40293000000000001</v>
          </cell>
        </row>
        <row r="44">
          <cell r="AQ44">
            <v>8.2455053353668166</v>
          </cell>
          <cell r="AT44">
            <v>0.52820161957332656</v>
          </cell>
          <cell r="AU44">
            <v>3.2982021341467265</v>
          </cell>
          <cell r="AW44">
            <v>0.38529000000000002</v>
          </cell>
          <cell r="BN44">
            <v>0.52820161957332656</v>
          </cell>
          <cell r="BO44">
            <v>3.2982021341467265</v>
          </cell>
          <cell r="BQ44">
            <v>0.38529000000000002</v>
          </cell>
        </row>
        <row r="45">
          <cell r="AQ45">
            <v>0.37628348603122352</v>
          </cell>
          <cell r="AT45">
            <v>3.1981301460360358E-2</v>
          </cell>
          <cell r="AU45">
            <v>0.1505133944124894</v>
          </cell>
          <cell r="AW45">
            <v>1.7639999999999999E-2</v>
          </cell>
          <cell r="BN45">
            <v>3.1981301460360358E-2</v>
          </cell>
          <cell r="BO45">
            <v>0.1505133944124894</v>
          </cell>
          <cell r="BQ45">
            <v>1.7639999999999999E-2</v>
          </cell>
        </row>
        <row r="46">
          <cell r="H46">
            <v>1318401</v>
          </cell>
          <cell r="J46">
            <v>6692512.4603570029</v>
          </cell>
          <cell r="AQ46">
            <v>8281.4532016721751</v>
          </cell>
          <cell r="AT46">
            <v>7.6520855474698113E-2</v>
          </cell>
          <cell r="AU46">
            <v>1.0946261712589835</v>
          </cell>
          <cell r="AW46">
            <v>48.397914</v>
          </cell>
          <cell r="BN46">
            <v>7.6520855474698113E-2</v>
          </cell>
          <cell r="BO46">
            <v>1.0946261712589835</v>
          </cell>
          <cell r="BQ46">
            <v>48.397914</v>
          </cell>
        </row>
        <row r="47">
          <cell r="AQ47">
            <v>8278.7166362440275</v>
          </cell>
          <cell r="AT47">
            <v>0</v>
          </cell>
          <cell r="AU47">
            <v>0</v>
          </cell>
          <cell r="AW47">
            <v>48.385511999999999</v>
          </cell>
          <cell r="BN47">
            <v>0</v>
          </cell>
          <cell r="BO47">
            <v>0</v>
          </cell>
          <cell r="BQ47">
            <v>48.385511999999999</v>
          </cell>
        </row>
        <row r="48">
          <cell r="AQ48">
            <v>0</v>
          </cell>
          <cell r="AT48">
            <v>0</v>
          </cell>
          <cell r="AU48">
            <v>0</v>
          </cell>
          <cell r="AW48">
            <v>0</v>
          </cell>
          <cell r="BN48">
            <v>0</v>
          </cell>
          <cell r="BO48">
            <v>0</v>
          </cell>
          <cell r="BQ48">
            <v>0</v>
          </cell>
        </row>
        <row r="49">
          <cell r="AQ49">
            <v>8278.7166362440275</v>
          </cell>
          <cell r="AT49">
            <v>0</v>
          </cell>
          <cell r="AU49">
            <v>0</v>
          </cell>
          <cell r="AW49">
            <v>0</v>
          </cell>
          <cell r="BN49">
            <v>0</v>
          </cell>
          <cell r="BO49">
            <v>0</v>
          </cell>
          <cell r="BQ49">
            <v>0</v>
          </cell>
        </row>
        <row r="50">
          <cell r="AQ50">
            <v>8278.7166362440275</v>
          </cell>
          <cell r="AT50">
            <v>0</v>
          </cell>
          <cell r="AU50">
            <v>0</v>
          </cell>
          <cell r="AW50">
            <v>48.385511999999999</v>
          </cell>
          <cell r="BN50">
            <v>0</v>
          </cell>
          <cell r="BO50">
            <v>0</v>
          </cell>
          <cell r="BQ50">
            <v>48.385511999999999</v>
          </cell>
        </row>
        <row r="51">
          <cell r="AQ51">
            <v>0</v>
          </cell>
          <cell r="AT51">
            <v>0</v>
          </cell>
          <cell r="AU51">
            <v>0</v>
          </cell>
          <cell r="AW51">
            <v>0</v>
          </cell>
          <cell r="BN51">
            <v>0</v>
          </cell>
          <cell r="BO51">
            <v>0</v>
          </cell>
          <cell r="BQ51">
            <v>0</v>
          </cell>
        </row>
        <row r="52">
          <cell r="AQ52">
            <v>2.736565428147459</v>
          </cell>
          <cell r="AT52">
            <v>7.6520855474698113E-2</v>
          </cell>
          <cell r="AU52">
            <v>1.0946261712589835</v>
          </cell>
          <cell r="AW52">
            <v>1.2402E-2</v>
          </cell>
          <cell r="BN52">
            <v>7.6520855474698113E-2</v>
          </cell>
          <cell r="BO52">
            <v>1.0946261712589835</v>
          </cell>
          <cell r="BQ52">
            <v>1.2402E-2</v>
          </cell>
        </row>
        <row r="53">
          <cell r="AQ53">
            <v>2.736565428147459</v>
          </cell>
          <cell r="AT53">
            <v>7.6520855474698113E-2</v>
          </cell>
          <cell r="AU53">
            <v>1.0946261712589835</v>
          </cell>
          <cell r="AW53">
            <v>1.2402E-2</v>
          </cell>
          <cell r="BN53">
            <v>7.6520855474698113E-2</v>
          </cell>
          <cell r="BO53">
            <v>1.0946261712589835</v>
          </cell>
          <cell r="BQ53">
            <v>1.2402E-2</v>
          </cell>
        </row>
        <row r="54">
          <cell r="H54">
            <v>46114</v>
          </cell>
          <cell r="I54">
            <v>87.118516525103729</v>
          </cell>
          <cell r="AQ54">
            <v>135.67555133153809</v>
          </cell>
          <cell r="AT54">
            <v>1.7696542172711687</v>
          </cell>
          <cell r="AU54">
            <v>100.1529195868476</v>
          </cell>
          <cell r="AW54">
            <v>7.2069840000000003</v>
          </cell>
          <cell r="BN54">
            <v>1.7696542172711687</v>
          </cell>
          <cell r="BO54">
            <v>100.1529195868476</v>
          </cell>
          <cell r="BQ54">
            <v>7.2069840000000003</v>
          </cell>
        </row>
        <row r="55">
          <cell r="AQ55">
            <v>83.806468768529356</v>
          </cell>
          <cell r="AT55">
            <v>1.1578584146674662</v>
          </cell>
          <cell r="AU55">
            <v>59.502592825655839</v>
          </cell>
          <cell r="AW55">
            <v>5.3240400000000001</v>
          </cell>
          <cell r="BN55">
            <v>1.1578584146674662</v>
          </cell>
          <cell r="BO55">
            <v>59.502592825655839</v>
          </cell>
          <cell r="BQ55">
            <v>5.3240400000000001</v>
          </cell>
        </row>
        <row r="56">
          <cell r="AQ56">
            <v>27.27260229690642</v>
          </cell>
          <cell r="AT56">
            <v>0.29486552990163062</v>
          </cell>
          <cell r="AU56">
            <v>20.727177745648881</v>
          </cell>
          <cell r="AW56">
            <v>0.99431999999999998</v>
          </cell>
          <cell r="BN56">
            <v>0.29486552990163062</v>
          </cell>
          <cell r="BO56">
            <v>20.727177745648881</v>
          </cell>
          <cell r="BQ56">
            <v>0.99431999999999998</v>
          </cell>
        </row>
        <row r="57">
          <cell r="AQ57">
            <v>24.596480266102319</v>
          </cell>
          <cell r="AT57">
            <v>0.3169302727020718</v>
          </cell>
          <cell r="AU57">
            <v>19.923149015542876</v>
          </cell>
          <cell r="AW57">
            <v>0.88862399999999997</v>
          </cell>
          <cell r="BN57">
            <v>0.3169302727020718</v>
          </cell>
          <cell r="BO57">
            <v>19.923149015542876</v>
          </cell>
          <cell r="BQ57">
            <v>0.88862399999999997</v>
          </cell>
        </row>
        <row r="58">
          <cell r="H58">
            <v>24396</v>
          </cell>
          <cell r="I58">
            <v>58.612073034183993</v>
          </cell>
          <cell r="AQ58">
            <v>64.938547990304301</v>
          </cell>
          <cell r="AT58">
            <v>1.7517560220818311</v>
          </cell>
          <cell r="AU58">
            <v>50.644126260891184</v>
          </cell>
          <cell r="AW58">
            <v>2.9642400000000002</v>
          </cell>
          <cell r="BN58">
            <v>4.7047023334589753</v>
          </cell>
          <cell r="BO58">
            <v>50.644126260891184</v>
          </cell>
          <cell r="BQ58">
            <v>2.9642400000000002</v>
          </cell>
        </row>
        <row r="59">
          <cell r="AQ59">
            <v>55.075309896178879</v>
          </cell>
          <cell r="AT59">
            <v>1.2729233331943441</v>
          </cell>
          <cell r="AU59">
            <v>45.712507213828474</v>
          </cell>
          <cell r="AW59">
            <v>2.19042</v>
          </cell>
          <cell r="BN59">
            <v>3.6672315075360866</v>
          </cell>
          <cell r="BO59">
            <v>45.712507213828474</v>
          </cell>
          <cell r="BQ59">
            <v>2.19042</v>
          </cell>
        </row>
        <row r="60">
          <cell r="AQ60">
            <v>9.8632380941254176</v>
          </cell>
          <cell r="AT60">
            <v>0.47883268888748698</v>
          </cell>
          <cell r="AU60">
            <v>4.9316190470627079</v>
          </cell>
          <cell r="AW60">
            <v>0.77381999999999995</v>
          </cell>
          <cell r="BN60">
            <v>1.0374708259228884</v>
          </cell>
          <cell r="BO60">
            <v>4.9316190470627079</v>
          </cell>
          <cell r="BQ60">
            <v>0.77381999999999995</v>
          </cell>
        </row>
        <row r="61">
          <cell r="AQ61">
            <v>3.678847483251424</v>
          </cell>
          <cell r="AT61">
            <v>0.1843331133489996</v>
          </cell>
          <cell r="AU61">
            <v>1.839423741625712</v>
          </cell>
          <cell r="AW61">
            <v>0.56399999999999995</v>
          </cell>
          <cell r="BN61">
            <v>0.39938841225616589</v>
          </cell>
          <cell r="BO61">
            <v>1.839423741625712</v>
          </cell>
          <cell r="BQ61">
            <v>0.56399999999999995</v>
          </cell>
        </row>
        <row r="62">
          <cell r="AQ62">
            <v>6.1843906108739919</v>
          </cell>
          <cell r="AT62">
            <v>0.29449957553848738</v>
          </cell>
          <cell r="AU62">
            <v>3.0921953054369959</v>
          </cell>
          <cell r="AW62">
            <v>0.20982000000000001</v>
          </cell>
          <cell r="BN62">
            <v>0.63808241366672258</v>
          </cell>
          <cell r="BO62">
            <v>3.0921953054369959</v>
          </cell>
          <cell r="BQ62">
            <v>0.20982000000000001</v>
          </cell>
        </row>
        <row r="63">
          <cell r="H63">
            <v>3214</v>
          </cell>
          <cell r="I63">
            <v>12.203504367607362</v>
          </cell>
          <cell r="AQ63">
            <v>14.863451400000002</v>
          </cell>
          <cell r="AT63">
            <v>0.33947472604170098</v>
          </cell>
          <cell r="AU63">
            <v>17.836141680000004</v>
          </cell>
          <cell r="AW63">
            <v>0.39179999999999998</v>
          </cell>
          <cell r="BN63">
            <v>0.97801052026299573</v>
          </cell>
          <cell r="BO63">
            <v>17.836141680000004</v>
          </cell>
          <cell r="BQ63">
            <v>0.39179999999999998</v>
          </cell>
        </row>
        <row r="64">
          <cell r="H64">
            <v>30</v>
          </cell>
          <cell r="I64">
            <v>0.97999999999999987</v>
          </cell>
          <cell r="AQ64">
            <v>9.1875167639999997</v>
          </cell>
          <cell r="AT64">
            <v>0.54067500000000002</v>
          </cell>
          <cell r="AU64">
            <v>5.5125100583999993</v>
          </cell>
          <cell r="AW64">
            <v>2.1096E-2</v>
          </cell>
          <cell r="BN64">
            <v>0.27033750000000001</v>
          </cell>
          <cell r="BO64">
            <v>5.5125100583999993</v>
          </cell>
          <cell r="BQ64">
            <v>2.1096E-2</v>
          </cell>
        </row>
        <row r="65">
          <cell r="H65">
            <v>32225</v>
          </cell>
          <cell r="J65">
            <v>137360.94607652159</v>
          </cell>
          <cell r="AQ65">
            <v>244.70657744652064</v>
          </cell>
          <cell r="AT65">
            <v>2.7902377956886895</v>
          </cell>
          <cell r="AU65">
            <v>150.49602503261957</v>
          </cell>
          <cell r="AW65">
            <v>5.0363280000000001</v>
          </cell>
          <cell r="BN65">
            <v>2.7902377956886895</v>
          </cell>
          <cell r="BO65">
            <v>150.49602503261957</v>
          </cell>
          <cell r="BQ65">
            <v>5.0363280000000001</v>
          </cell>
        </row>
        <row r="66">
          <cell r="AQ66">
            <v>214.9432295855618</v>
          </cell>
          <cell r="AT66">
            <v>2.3678718746044116</v>
          </cell>
          <cell r="AU66">
            <v>128.96593775133709</v>
          </cell>
          <cell r="AW66">
            <v>4.30992</v>
          </cell>
          <cell r="BN66">
            <v>2.3678718746044116</v>
          </cell>
          <cell r="BO66">
            <v>128.96593775133709</v>
          </cell>
          <cell r="BQ66">
            <v>4.30992</v>
          </cell>
        </row>
        <row r="67">
          <cell r="AQ67">
            <v>21.80114186092483</v>
          </cell>
          <cell r="AT67">
            <v>0.28422116932822872</v>
          </cell>
          <cell r="AU67">
            <v>15.478810721256627</v>
          </cell>
          <cell r="AW67">
            <v>0.51263999999999998</v>
          </cell>
          <cell r="BN67">
            <v>0.28422116932822872</v>
          </cell>
          <cell r="BO67">
            <v>15.478810721256627</v>
          </cell>
          <cell r="BQ67">
            <v>0.51263999999999998</v>
          </cell>
        </row>
        <row r="68">
          <cell r="AQ68">
            <v>7.9622060000340147</v>
          </cell>
          <cell r="AT68">
            <v>0.13814475175604923</v>
          </cell>
          <cell r="AU68">
            <v>6.0512765600258511</v>
          </cell>
          <cell r="AW68">
            <v>0.21376800000000001</v>
          </cell>
          <cell r="BN68">
            <v>0.13814475175604923</v>
          </cell>
          <cell r="BO68">
            <v>6.0512765600258511</v>
          </cell>
          <cell r="BQ68">
            <v>0.21376800000000001</v>
          </cell>
        </row>
        <row r="69">
          <cell r="AQ69">
            <v>0</v>
          </cell>
          <cell r="AT69">
            <v>0</v>
          </cell>
          <cell r="AU69">
            <v>0</v>
          </cell>
          <cell r="AW69">
            <v>0</v>
          </cell>
          <cell r="BN69">
            <v>0</v>
          </cell>
          <cell r="BO69">
            <v>0</v>
          </cell>
          <cell r="BQ69">
            <v>0</v>
          </cell>
        </row>
        <row r="84">
          <cell r="H84">
            <v>2379</v>
          </cell>
          <cell r="I84">
            <v>526.0479499999999</v>
          </cell>
          <cell r="AQ84">
            <v>1181.2828205451319</v>
          </cell>
          <cell r="AT84">
            <v>237.55532269848919</v>
          </cell>
          <cell r="AU84">
            <v>910.86730013719148</v>
          </cell>
          <cell r="AW84">
            <v>6.0480000000000009</v>
          </cell>
          <cell r="BN84">
            <v>243.5550554953376</v>
          </cell>
          <cell r="BO84">
            <v>910.86730013719159</v>
          </cell>
          <cell r="BQ84">
            <v>6.0480000000000009</v>
          </cell>
        </row>
        <row r="85">
          <cell r="AQ85">
            <v>1164.2845627108027</v>
          </cell>
          <cell r="AT85">
            <v>235.03390075719307</v>
          </cell>
          <cell r="AU85">
            <v>897.78873228213274</v>
          </cell>
          <cell r="AW85">
            <v>6.0096000000000007</v>
          </cell>
          <cell r="BN85">
            <v>240.96728034506</v>
          </cell>
          <cell r="BO85">
            <v>897.78873228213286</v>
          </cell>
          <cell r="BQ85">
            <v>6.0096000000000007</v>
          </cell>
        </row>
        <row r="86">
          <cell r="AQ86">
            <v>328.96510266626433</v>
          </cell>
          <cell r="AT86">
            <v>225.46842433894395</v>
          </cell>
          <cell r="AU86">
            <v>251.65830353969221</v>
          </cell>
          <cell r="AW86">
            <v>4.2396000000000003</v>
          </cell>
          <cell r="BN86">
            <v>231.40180392681089</v>
          </cell>
          <cell r="BO86">
            <v>251.65830353969224</v>
          </cell>
          <cell r="BQ86">
            <v>4.2396000000000003</v>
          </cell>
        </row>
        <row r="87">
          <cell r="AQ87">
            <v>187.19745400961693</v>
          </cell>
          <cell r="AT87">
            <v>9.5654764182491085</v>
          </cell>
          <cell r="AU87">
            <v>149.75796320769354</v>
          </cell>
          <cell r="AW87">
            <v>1.77</v>
          </cell>
          <cell r="BN87">
            <v>9.5654764182491085</v>
          </cell>
          <cell r="BO87">
            <v>149.75796320769359</v>
          </cell>
          <cell r="BQ87">
            <v>1.77</v>
          </cell>
        </row>
        <row r="88">
          <cell r="AQ88">
            <v>0</v>
          </cell>
          <cell r="AT88">
            <v>0</v>
          </cell>
          <cell r="AU88">
            <v>0</v>
          </cell>
          <cell r="AW88">
            <v>0</v>
          </cell>
          <cell r="BN88">
            <v>0</v>
          </cell>
          <cell r="BO88">
            <v>0</v>
          </cell>
          <cell r="BQ88">
            <v>0</v>
          </cell>
        </row>
        <row r="89">
          <cell r="AQ89">
            <v>0</v>
          </cell>
          <cell r="AT89">
            <v>0</v>
          </cell>
          <cell r="AU89">
            <v>0</v>
          </cell>
          <cell r="AW89">
            <v>0</v>
          </cell>
          <cell r="BN89">
            <v>0</v>
          </cell>
          <cell r="BO89">
            <v>0</v>
          </cell>
          <cell r="BQ89">
            <v>0</v>
          </cell>
        </row>
        <row r="90">
          <cell r="AQ90">
            <v>0</v>
          </cell>
          <cell r="AT90">
            <v>0</v>
          </cell>
          <cell r="AU90">
            <v>0</v>
          </cell>
          <cell r="AW90">
            <v>0</v>
          </cell>
          <cell r="BN90">
            <v>0</v>
          </cell>
          <cell r="BO90">
            <v>0</v>
          </cell>
          <cell r="BQ90">
            <v>0</v>
          </cell>
        </row>
        <row r="91">
          <cell r="AQ91">
            <v>168.50433604288685</v>
          </cell>
          <cell r="AT91">
            <v>0</v>
          </cell>
          <cell r="AU91">
            <v>145.75625067709714</v>
          </cell>
          <cell r="AW91">
            <v>0</v>
          </cell>
          <cell r="BN91">
            <v>0</v>
          </cell>
          <cell r="BO91">
            <v>145.75625067709714</v>
          </cell>
          <cell r="BQ91">
            <v>0</v>
          </cell>
        </row>
        <row r="92">
          <cell r="AQ92">
            <v>158.35232156473441</v>
          </cell>
          <cell r="AT92">
            <v>0</v>
          </cell>
          <cell r="AU92">
            <v>136.97475815349529</v>
          </cell>
          <cell r="AW92">
            <v>0</v>
          </cell>
          <cell r="BN92">
            <v>0</v>
          </cell>
          <cell r="BO92">
            <v>136.97475815349529</v>
          </cell>
          <cell r="BQ92">
            <v>0</v>
          </cell>
        </row>
        <row r="93">
          <cell r="AQ93">
            <v>321.26534842730024</v>
          </cell>
          <cell r="AT93">
            <v>0</v>
          </cell>
          <cell r="AU93">
            <v>213.64145670415468</v>
          </cell>
          <cell r="AW93">
            <v>0</v>
          </cell>
          <cell r="BN93">
            <v>0</v>
          </cell>
          <cell r="BO93">
            <v>213.64145670415462</v>
          </cell>
          <cell r="BQ93">
            <v>0</v>
          </cell>
        </row>
        <row r="94">
          <cell r="AQ94">
            <v>16.998257834329365</v>
          </cell>
          <cell r="AT94">
            <v>2.5214219412961216</v>
          </cell>
          <cell r="AU94">
            <v>13.078567855058704</v>
          </cell>
          <cell r="AW94">
            <v>3.8399999999999997E-2</v>
          </cell>
          <cell r="BN94">
            <v>2.587775150277599</v>
          </cell>
          <cell r="BO94">
            <v>13.078567855058708</v>
          </cell>
          <cell r="BQ94">
            <v>3.8399999999999997E-2</v>
          </cell>
        </row>
        <row r="95">
          <cell r="AQ95">
            <v>5.9511083541356351</v>
          </cell>
          <cell r="AT95">
            <v>2.5214219412961216</v>
          </cell>
          <cell r="AU95">
            <v>4.552597890913761</v>
          </cell>
          <cell r="AW95">
            <v>3.8399999999999997E-2</v>
          </cell>
          <cell r="BN95">
            <v>2.587775150277599</v>
          </cell>
          <cell r="BO95">
            <v>4.552597890913761</v>
          </cell>
          <cell r="BQ95">
            <v>3.8399999999999997E-2</v>
          </cell>
        </row>
        <row r="96">
          <cell r="AQ96">
            <v>3.2149797639242799</v>
          </cell>
          <cell r="AT96">
            <v>0</v>
          </cell>
          <cell r="AU96">
            <v>2.7809574957945022</v>
          </cell>
          <cell r="AW96">
            <v>0</v>
          </cell>
          <cell r="BN96">
            <v>0</v>
          </cell>
          <cell r="BO96">
            <v>2.7809574957945022</v>
          </cell>
          <cell r="BQ96">
            <v>0</v>
          </cell>
        </row>
        <row r="97">
          <cell r="AQ97">
            <v>2.6830980351562941</v>
          </cell>
          <cell r="AT97">
            <v>0</v>
          </cell>
          <cell r="AU97">
            <v>2.3208798004101943</v>
          </cell>
          <cell r="AW97">
            <v>0</v>
          </cell>
          <cell r="BN97">
            <v>0</v>
          </cell>
          <cell r="BO97">
            <v>2.3208798004101947</v>
          </cell>
          <cell r="BQ97">
            <v>0</v>
          </cell>
        </row>
        <row r="98">
          <cell r="AQ98">
            <v>5.1490716811131554</v>
          </cell>
          <cell r="AT98">
            <v>0</v>
          </cell>
          <cell r="AU98">
            <v>3.4241326679402482</v>
          </cell>
          <cell r="AW98">
            <v>0</v>
          </cell>
          <cell r="BN98">
            <v>0</v>
          </cell>
          <cell r="BO98">
            <v>3.4241326679402491</v>
          </cell>
          <cell r="BQ98">
            <v>0</v>
          </cell>
        </row>
        <row r="99">
          <cell r="H99">
            <v>0</v>
          </cell>
          <cell r="I99">
            <v>0</v>
          </cell>
          <cell r="AQ99">
            <v>0</v>
          </cell>
          <cell r="AT99">
            <v>0</v>
          </cell>
          <cell r="AU99">
            <v>0</v>
          </cell>
          <cell r="AW99">
            <v>0</v>
          </cell>
          <cell r="BN99">
            <v>0</v>
          </cell>
          <cell r="BO99">
            <v>0</v>
          </cell>
          <cell r="BQ99">
            <v>0</v>
          </cell>
        </row>
        <row r="100">
          <cell r="H100">
            <v>756</v>
          </cell>
          <cell r="I100">
            <v>126.12403</v>
          </cell>
          <cell r="AQ100">
            <v>217.70021117042339</v>
          </cell>
          <cell r="AT100">
            <v>56.091449013016863</v>
          </cell>
          <cell r="AU100">
            <v>194.29824727527793</v>
          </cell>
          <cell r="AW100">
            <v>1.8468</v>
          </cell>
          <cell r="BN100">
            <v>57.5675397765173</v>
          </cell>
          <cell r="BO100">
            <v>194.29824727527796</v>
          </cell>
          <cell r="BQ100">
            <v>1.8468</v>
          </cell>
        </row>
        <row r="101">
          <cell r="AQ101">
            <v>95.932255235185806</v>
          </cell>
          <cell r="AT101">
            <v>56.091449013016863</v>
          </cell>
          <cell r="AU101">
            <v>84.420384606963509</v>
          </cell>
          <cell r="AW101">
            <v>1.8468</v>
          </cell>
          <cell r="BN101">
            <v>57.5675397765173</v>
          </cell>
          <cell r="BO101">
            <v>84.420384606963523</v>
          </cell>
          <cell r="BQ101">
            <v>1.8468</v>
          </cell>
        </row>
        <row r="102">
          <cell r="AQ102">
            <v>48.975402124001917</v>
          </cell>
          <cell r="AT102">
            <v>0</v>
          </cell>
          <cell r="AU102">
            <v>47.995894081521882</v>
          </cell>
          <cell r="AW102">
            <v>0</v>
          </cell>
          <cell r="BN102">
            <v>0</v>
          </cell>
          <cell r="BO102">
            <v>47.99589408152189</v>
          </cell>
          <cell r="BQ102">
            <v>0</v>
          </cell>
        </row>
        <row r="103">
          <cell r="AQ103">
            <v>25.518883070143715</v>
          </cell>
          <cell r="AT103">
            <v>0</v>
          </cell>
          <cell r="AU103">
            <v>25.008505408740842</v>
          </cell>
          <cell r="AW103">
            <v>0</v>
          </cell>
          <cell r="BN103">
            <v>0</v>
          </cell>
          <cell r="BO103">
            <v>25.008505408740838</v>
          </cell>
          <cell r="BQ103">
            <v>0</v>
          </cell>
        </row>
        <row r="104">
          <cell r="AQ104">
            <v>47.273670741091927</v>
          </cell>
          <cell r="AT104">
            <v>0</v>
          </cell>
          <cell r="AU104">
            <v>36.873463178051701</v>
          </cell>
          <cell r="AW104">
            <v>0</v>
          </cell>
          <cell r="BN104">
            <v>0</v>
          </cell>
          <cell r="BO104">
            <v>36.873463178051708</v>
          </cell>
          <cell r="BQ104">
            <v>0</v>
          </cell>
        </row>
        <row r="105">
          <cell r="H105">
            <v>2</v>
          </cell>
          <cell r="I105">
            <v>0.23200000000000001</v>
          </cell>
          <cell r="AQ105">
            <v>0.27272250000000003</v>
          </cell>
          <cell r="AT105">
            <v>5.7907200000000006E-2</v>
          </cell>
          <cell r="AU105">
            <v>0.13618498379999999</v>
          </cell>
          <cell r="AW105">
            <v>4.7999999999999996E-3</v>
          </cell>
          <cell r="BN105">
            <v>6.2361599999999996E-2</v>
          </cell>
          <cell r="BO105">
            <v>0.13618498379999999</v>
          </cell>
          <cell r="BQ105">
            <v>4.7999999999999996E-3</v>
          </cell>
        </row>
        <row r="106">
          <cell r="AQ106">
            <v>6.7935264000000009E-2</v>
          </cell>
          <cell r="AT106">
            <v>5.7907200000000006E-2</v>
          </cell>
          <cell r="AU106">
            <v>3.3967632000000005E-2</v>
          </cell>
          <cell r="AW106">
            <v>4.7999999999999996E-3</v>
          </cell>
          <cell r="BN106">
            <v>6.2361599999999996E-2</v>
          </cell>
          <cell r="BO106">
            <v>3.3967632000000005E-2</v>
          </cell>
          <cell r="BQ106">
            <v>4.7999999999999996E-3</v>
          </cell>
        </row>
        <row r="107">
          <cell r="AQ107">
            <v>6.5660409000000003E-2</v>
          </cell>
          <cell r="AT107">
            <v>0</v>
          </cell>
          <cell r="AU107">
            <v>3.9396245400000002E-2</v>
          </cell>
          <cell r="AW107">
            <v>0</v>
          </cell>
          <cell r="BN107">
            <v>0</v>
          </cell>
          <cell r="BO107">
            <v>3.9396245400000002E-2</v>
          </cell>
          <cell r="BQ107">
            <v>0</v>
          </cell>
        </row>
        <row r="108">
          <cell r="AQ108">
            <v>3.5851878000000004E-2</v>
          </cell>
          <cell r="AT108">
            <v>0</v>
          </cell>
          <cell r="AU108">
            <v>2.1511126800000002E-2</v>
          </cell>
          <cell r="AW108">
            <v>0</v>
          </cell>
          <cell r="BN108">
            <v>0</v>
          </cell>
          <cell r="BO108">
            <v>2.1511126800000002E-2</v>
          </cell>
          <cell r="BQ108">
            <v>0</v>
          </cell>
        </row>
        <row r="109">
          <cell r="AQ109">
            <v>0.103274949</v>
          </cell>
          <cell r="AT109">
            <v>0</v>
          </cell>
          <cell r="AU109">
            <v>4.1309979600000005E-2</v>
          </cell>
          <cell r="AW109">
            <v>0</v>
          </cell>
          <cell r="BN109">
            <v>0</v>
          </cell>
          <cell r="BO109">
            <v>4.1309979599999998E-2</v>
          </cell>
          <cell r="BQ109">
            <v>0</v>
          </cell>
        </row>
        <row r="110">
          <cell r="H110">
            <v>21</v>
          </cell>
          <cell r="I110">
            <v>2.7829999999999999</v>
          </cell>
          <cell r="AQ110">
            <v>8.5130279844919272</v>
          </cell>
          <cell r="AT110">
            <v>1.3375965017990226</v>
          </cell>
          <cell r="AU110">
            <v>7.2371985326956922</v>
          </cell>
          <cell r="AW110">
            <v>5.16E-2</v>
          </cell>
          <cell r="BN110">
            <v>1.3727964097411023</v>
          </cell>
          <cell r="BO110">
            <v>7.3543839243802758</v>
          </cell>
          <cell r="BQ110">
            <v>5.16E-2</v>
          </cell>
        </row>
        <row r="111">
          <cell r="AQ111">
            <v>2.4030953953419729</v>
          </cell>
          <cell r="AT111">
            <v>1.3375965017990226</v>
          </cell>
          <cell r="AU111">
            <v>2.0426310860406769</v>
          </cell>
          <cell r="AW111">
            <v>5.16E-2</v>
          </cell>
          <cell r="BN111">
            <v>1.3727964097411023</v>
          </cell>
          <cell r="BO111">
            <v>2.0734391040135698</v>
          </cell>
          <cell r="BQ111">
            <v>5.16E-2</v>
          </cell>
        </row>
        <row r="112">
          <cell r="AQ112">
            <v>1.7995342669246857</v>
          </cell>
          <cell r="AT112">
            <v>0</v>
          </cell>
          <cell r="AU112">
            <v>1.7095575535784513</v>
          </cell>
          <cell r="AW112">
            <v>0</v>
          </cell>
          <cell r="BN112">
            <v>0</v>
          </cell>
          <cell r="BO112">
            <v>1.7352613342711898</v>
          </cell>
          <cell r="BQ112">
            <v>0</v>
          </cell>
        </row>
        <row r="113">
          <cell r="AQ113">
            <v>1.2610557570380616</v>
          </cell>
          <cell r="AT113">
            <v>0</v>
          </cell>
          <cell r="AU113">
            <v>1.1980029691861585</v>
          </cell>
          <cell r="AW113">
            <v>0</v>
          </cell>
          <cell r="BN113">
            <v>0</v>
          </cell>
          <cell r="BO113">
            <v>1.2166355605164378</v>
          </cell>
          <cell r="BQ113">
            <v>0</v>
          </cell>
        </row>
        <row r="114">
          <cell r="AQ114">
            <v>3.0493425651872079</v>
          </cell>
          <cell r="AT114">
            <v>0</v>
          </cell>
          <cell r="AU114">
            <v>2.2870069238904058</v>
          </cell>
          <cell r="AW114">
            <v>0</v>
          </cell>
          <cell r="BN114">
            <v>0</v>
          </cell>
          <cell r="BO114">
            <v>2.3290479255790784</v>
          </cell>
          <cell r="BQ114">
            <v>0</v>
          </cell>
        </row>
        <row r="115">
          <cell r="H115">
            <v>201</v>
          </cell>
          <cell r="I115">
            <v>66.396100000000004</v>
          </cell>
          <cell r="AQ115">
            <v>25.663067099999999</v>
          </cell>
          <cell r="AT115">
            <v>11.603067086879214</v>
          </cell>
          <cell r="AU115">
            <v>16.167732272999999</v>
          </cell>
          <cell r="AW115">
            <v>0.50280000000000002</v>
          </cell>
          <cell r="BN115">
            <v>12.130479227191906</v>
          </cell>
          <cell r="BO115">
            <v>16.167732272999999</v>
          </cell>
          <cell r="BQ115">
            <v>0.50280000000000002</v>
          </cell>
        </row>
        <row r="116">
          <cell r="AQ116">
            <v>25.663067099999999</v>
          </cell>
          <cell r="AT116">
            <v>11.603067086879214</v>
          </cell>
          <cell r="AU116">
            <v>16.167732272999999</v>
          </cell>
          <cell r="AW116">
            <v>0.50280000000000002</v>
          </cell>
          <cell r="BN116">
            <v>12.130479227191906</v>
          </cell>
          <cell r="BO116">
            <v>16.167732272999999</v>
          </cell>
          <cell r="BQ116">
            <v>0.50280000000000002</v>
          </cell>
        </row>
        <row r="117">
          <cell r="H117">
            <v>19</v>
          </cell>
          <cell r="I117">
            <v>5.28</v>
          </cell>
          <cell r="AQ117">
            <v>8.8767601200000001</v>
          </cell>
          <cell r="AT117">
            <v>1.3690134289771754</v>
          </cell>
          <cell r="AU117">
            <v>6.4800348876000005</v>
          </cell>
          <cell r="AW117">
            <v>4.4400000000000002E-2</v>
          </cell>
          <cell r="BN117">
            <v>1.4743221542831118</v>
          </cell>
          <cell r="BO117">
            <v>6.4800348876000005</v>
          </cell>
          <cell r="BQ117">
            <v>4.4400000000000002E-2</v>
          </cell>
        </row>
        <row r="118">
          <cell r="AQ118">
            <v>0</v>
          </cell>
          <cell r="AT118">
            <v>0</v>
          </cell>
          <cell r="AU118">
            <v>0</v>
          </cell>
          <cell r="AW118">
            <v>0</v>
          </cell>
          <cell r="BN118">
            <v>0</v>
          </cell>
          <cell r="BO118">
            <v>0</v>
          </cell>
          <cell r="BQ118">
            <v>0</v>
          </cell>
        </row>
        <row r="119">
          <cell r="AQ119">
            <v>0</v>
          </cell>
          <cell r="AT119">
            <v>0</v>
          </cell>
          <cell r="AU119">
            <v>0</v>
          </cell>
          <cell r="AW119">
            <v>0</v>
          </cell>
          <cell r="BN119">
            <v>0</v>
          </cell>
          <cell r="BO119">
            <v>0</v>
          </cell>
          <cell r="BQ119">
            <v>0</v>
          </cell>
        </row>
        <row r="120">
          <cell r="H120">
            <v>45</v>
          </cell>
          <cell r="I120">
            <v>11.557</v>
          </cell>
          <cell r="AQ120">
            <v>16.997482980000001</v>
          </cell>
          <cell r="AT120">
            <v>6.2301336000000003</v>
          </cell>
          <cell r="AU120">
            <v>20.057029916400005</v>
          </cell>
          <cell r="AW120">
            <v>0.1104</v>
          </cell>
          <cell r="BN120">
            <v>6.2301336000000003</v>
          </cell>
          <cell r="BO120">
            <v>20.057029916400005</v>
          </cell>
          <cell r="BQ120">
            <v>0.1104</v>
          </cell>
        </row>
        <row r="121">
          <cell r="H121">
            <v>1</v>
          </cell>
          <cell r="I121">
            <v>522.6</v>
          </cell>
          <cell r="AQ121">
            <v>1163.1169718019062</v>
          </cell>
          <cell r="AT121">
            <v>0</v>
          </cell>
          <cell r="AU121">
            <v>562.9486143521226</v>
          </cell>
          <cell r="AW121">
            <v>0</v>
          </cell>
          <cell r="BN121">
            <v>0</v>
          </cell>
          <cell r="BO121">
            <v>562.9486143521226</v>
          </cell>
          <cell r="BQ121">
            <v>0</v>
          </cell>
        </row>
        <row r="122">
          <cell r="AQ122">
            <v>0</v>
          </cell>
          <cell r="AT122">
            <v>0</v>
          </cell>
          <cell r="AU122">
            <v>0</v>
          </cell>
          <cell r="AW122">
            <v>0</v>
          </cell>
          <cell r="BN122">
            <v>0</v>
          </cell>
          <cell r="BO122">
            <v>0</v>
          </cell>
          <cell r="BQ122">
            <v>0</v>
          </cell>
        </row>
        <row r="123">
          <cell r="AQ123">
            <v>0</v>
          </cell>
          <cell r="AT123">
            <v>0</v>
          </cell>
          <cell r="AU123">
            <v>0</v>
          </cell>
          <cell r="AW123">
            <v>0</v>
          </cell>
          <cell r="BN123">
            <v>0</v>
          </cell>
          <cell r="BO123">
            <v>0</v>
          </cell>
          <cell r="BQ123">
            <v>0</v>
          </cell>
        </row>
        <row r="124">
          <cell r="AQ124">
            <v>0</v>
          </cell>
          <cell r="AT124">
            <v>0</v>
          </cell>
          <cell r="AU124">
            <v>0</v>
          </cell>
          <cell r="AW124">
            <v>0</v>
          </cell>
          <cell r="BN124">
            <v>0</v>
          </cell>
          <cell r="BO124">
            <v>0</v>
          </cell>
          <cell r="BQ124">
            <v>0</v>
          </cell>
        </row>
        <row r="125">
          <cell r="AQ125">
            <v>0</v>
          </cell>
          <cell r="AT125">
            <v>0</v>
          </cell>
          <cell r="AU125">
            <v>0</v>
          </cell>
          <cell r="AW125">
            <v>0</v>
          </cell>
          <cell r="BN125">
            <v>0</v>
          </cell>
          <cell r="BO125">
            <v>0</v>
          </cell>
          <cell r="BQ125">
            <v>0</v>
          </cell>
        </row>
        <row r="126">
          <cell r="AQ126">
            <v>0</v>
          </cell>
          <cell r="AT126">
            <v>0</v>
          </cell>
          <cell r="AU126">
            <v>0</v>
          </cell>
          <cell r="AW126">
            <v>0</v>
          </cell>
          <cell r="BN126">
            <v>0</v>
          </cell>
          <cell r="BO126">
            <v>0</v>
          </cell>
          <cell r="BQ126">
            <v>0</v>
          </cell>
        </row>
        <row r="127">
          <cell r="H127">
            <v>111</v>
          </cell>
          <cell r="I127">
            <v>34.741</v>
          </cell>
          <cell r="AQ127">
            <v>155.68817273588263</v>
          </cell>
          <cell r="AT127">
            <v>0</v>
          </cell>
          <cell r="AU127">
            <v>94.969785368888409</v>
          </cell>
          <cell r="AW127">
            <v>0.2772</v>
          </cell>
          <cell r="BN127">
            <v>0</v>
          </cell>
          <cell r="BO127">
            <v>94.969785368888424</v>
          </cell>
          <cell r="BQ127">
            <v>0.2772</v>
          </cell>
        </row>
        <row r="128">
          <cell r="AQ128">
            <v>155.68817273588263</v>
          </cell>
          <cell r="AT128">
            <v>0</v>
          </cell>
          <cell r="AU128">
            <v>94.969785368888409</v>
          </cell>
          <cell r="AW128">
            <v>0.2772</v>
          </cell>
          <cell r="BN128">
            <v>0</v>
          </cell>
          <cell r="BO128">
            <v>94.969785368888424</v>
          </cell>
          <cell r="BQ128">
            <v>0.2772</v>
          </cell>
        </row>
        <row r="129">
          <cell r="AQ129">
            <v>0</v>
          </cell>
          <cell r="AT129">
            <v>0</v>
          </cell>
          <cell r="AU129">
            <v>0</v>
          </cell>
          <cell r="AW129">
            <v>0</v>
          </cell>
          <cell r="BN129">
            <v>0</v>
          </cell>
          <cell r="BO129">
            <v>0</v>
          </cell>
          <cell r="BQ129">
            <v>0</v>
          </cell>
        </row>
        <row r="144">
          <cell r="H144">
            <v>50</v>
          </cell>
          <cell r="I144">
            <v>72.085999999999999</v>
          </cell>
          <cell r="AQ144">
            <v>198.83087795755733</v>
          </cell>
          <cell r="AT144">
            <v>32.182428131265397</v>
          </cell>
          <cell r="AU144">
            <v>141.61185147175576</v>
          </cell>
          <cell r="AW144">
            <v>0.21840000000000001</v>
          </cell>
          <cell r="BN144">
            <v>33.029334134719754</v>
          </cell>
          <cell r="BO144">
            <v>146.6709016485047</v>
          </cell>
          <cell r="BQ144">
            <v>0.21840000000000001</v>
          </cell>
        </row>
        <row r="145">
          <cell r="AQ145">
            <v>198.83087795755733</v>
          </cell>
          <cell r="AT145">
            <v>32.182428131265397</v>
          </cell>
          <cell r="AU145">
            <v>141.61185147175576</v>
          </cell>
          <cell r="AW145">
            <v>0.21840000000000001</v>
          </cell>
          <cell r="BN145">
            <v>33.029334134719754</v>
          </cell>
          <cell r="BO145">
            <v>146.6709016485047</v>
          </cell>
          <cell r="BQ145">
            <v>0.21840000000000001</v>
          </cell>
        </row>
        <row r="146">
          <cell r="AQ146">
            <v>33.987701968271061</v>
          </cell>
          <cell r="AT146">
            <v>32.182428131265397</v>
          </cell>
          <cell r="AU146">
            <v>24.301206907313809</v>
          </cell>
          <cell r="AW146">
            <v>0.21840000000000001</v>
          </cell>
          <cell r="BN146">
            <v>33.029334134719754</v>
          </cell>
          <cell r="BO146">
            <v>25.130226763833882</v>
          </cell>
          <cell r="BQ146">
            <v>0.21840000000000001</v>
          </cell>
        </row>
        <row r="148">
          <cell r="AQ148">
            <v>0</v>
          </cell>
          <cell r="AT148">
            <v>0</v>
          </cell>
          <cell r="AU148">
            <v>0</v>
          </cell>
          <cell r="AW148">
            <v>0</v>
          </cell>
          <cell r="BN148">
            <v>0</v>
          </cell>
          <cell r="BO148">
            <v>0</v>
          </cell>
          <cell r="BQ148">
            <v>0</v>
          </cell>
        </row>
        <row r="149">
          <cell r="AQ149">
            <v>0</v>
          </cell>
          <cell r="AT149">
            <v>0</v>
          </cell>
          <cell r="AU149">
            <v>0</v>
          </cell>
          <cell r="AW149">
            <v>0</v>
          </cell>
          <cell r="BN149">
            <v>0</v>
          </cell>
          <cell r="BO149">
            <v>0</v>
          </cell>
          <cell r="BQ149">
            <v>0</v>
          </cell>
        </row>
        <row r="150">
          <cell r="AQ150">
            <v>0</v>
          </cell>
          <cell r="AT150">
            <v>0</v>
          </cell>
          <cell r="AU150">
            <v>0</v>
          </cell>
          <cell r="AW150">
            <v>0</v>
          </cell>
          <cell r="BN150">
            <v>0</v>
          </cell>
          <cell r="BO150">
            <v>0</v>
          </cell>
          <cell r="BQ150">
            <v>0</v>
          </cell>
        </row>
        <row r="151">
          <cell r="AQ151">
            <v>43.868879742669847</v>
          </cell>
          <cell r="AT151">
            <v>0</v>
          </cell>
          <cell r="AU151">
            <v>35.753136990275927</v>
          </cell>
          <cell r="AW151">
            <v>0</v>
          </cell>
          <cell r="BN151">
            <v>0</v>
          </cell>
          <cell r="BO151">
            <v>36.886226968966355</v>
          </cell>
          <cell r="BQ151">
            <v>0</v>
          </cell>
        </row>
        <row r="152">
          <cell r="AQ152">
            <v>35.79157691248453</v>
          </cell>
          <cell r="AT152">
            <v>0</v>
          </cell>
          <cell r="AU152">
            <v>29.170135183674894</v>
          </cell>
          <cell r="AW152">
            <v>0</v>
          </cell>
          <cell r="BN152">
            <v>0</v>
          </cell>
          <cell r="BO152">
            <v>30.085813043107791</v>
          </cell>
          <cell r="BQ152">
            <v>0</v>
          </cell>
        </row>
        <row r="154">
          <cell r="AQ154">
            <v>85.182719334131903</v>
          </cell>
          <cell r="AT154">
            <v>0</v>
          </cell>
          <cell r="AU154">
            <v>52.387372390491123</v>
          </cell>
          <cell r="AW154">
            <v>0</v>
          </cell>
          <cell r="BN154">
            <v>0</v>
          </cell>
          <cell r="BO154">
            <v>54.568634872596661</v>
          </cell>
          <cell r="BQ154">
            <v>0</v>
          </cell>
        </row>
        <row r="156">
          <cell r="AQ156">
            <v>0</v>
          </cell>
          <cell r="AT156">
            <v>0</v>
          </cell>
          <cell r="AU156">
            <v>0</v>
          </cell>
          <cell r="AW156">
            <v>0</v>
          </cell>
          <cell r="BN156">
            <v>0</v>
          </cell>
          <cell r="BO156">
            <v>0</v>
          </cell>
          <cell r="BQ156">
            <v>0</v>
          </cell>
        </row>
        <row r="157">
          <cell r="AQ157">
            <v>0</v>
          </cell>
          <cell r="AT157">
            <v>0</v>
          </cell>
          <cell r="AU157">
            <v>0</v>
          </cell>
          <cell r="AW157">
            <v>0</v>
          </cell>
          <cell r="BN157">
            <v>0</v>
          </cell>
          <cell r="BO157">
            <v>0</v>
          </cell>
          <cell r="BQ157">
            <v>0</v>
          </cell>
        </row>
        <row r="158">
          <cell r="AQ158">
            <v>0</v>
          </cell>
          <cell r="AT158">
            <v>0</v>
          </cell>
          <cell r="AU158">
            <v>0</v>
          </cell>
          <cell r="AW158">
            <v>0</v>
          </cell>
          <cell r="BN158">
            <v>0</v>
          </cell>
          <cell r="BO158">
            <v>0</v>
          </cell>
          <cell r="BQ158">
            <v>0</v>
          </cell>
        </row>
        <row r="159">
          <cell r="AQ159">
            <v>0</v>
          </cell>
          <cell r="AT159">
            <v>0</v>
          </cell>
          <cell r="AU159">
            <v>0</v>
          </cell>
          <cell r="AW159">
            <v>0</v>
          </cell>
          <cell r="BN159">
            <v>0</v>
          </cell>
          <cell r="BO159">
            <v>0</v>
          </cell>
          <cell r="BQ159">
            <v>0</v>
          </cell>
        </row>
        <row r="160">
          <cell r="AQ160">
            <v>0</v>
          </cell>
          <cell r="AT160">
            <v>0</v>
          </cell>
          <cell r="AU160">
            <v>0</v>
          </cell>
          <cell r="AW160">
            <v>0</v>
          </cell>
          <cell r="BN160">
            <v>0</v>
          </cell>
          <cell r="BO160">
            <v>0</v>
          </cell>
          <cell r="BQ160">
            <v>0</v>
          </cell>
        </row>
        <row r="161">
          <cell r="H161">
            <v>1</v>
          </cell>
          <cell r="I161">
            <v>0.1</v>
          </cell>
          <cell r="AQ161">
            <v>2.6019179999999996E-2</v>
          </cell>
          <cell r="AT161">
            <v>4.5600000000000002E-2</v>
          </cell>
          <cell r="AU161">
            <v>1.86037137E-2</v>
          </cell>
          <cell r="AW161">
            <v>4.1999999999999997E-3</v>
          </cell>
          <cell r="BN161">
            <v>4.6800000000000008E-2</v>
          </cell>
          <cell r="BO161">
            <v>1.9103513699999998E-2</v>
          </cell>
          <cell r="BQ161">
            <v>4.1999999999999997E-3</v>
          </cell>
        </row>
        <row r="162">
          <cell r="H162">
            <v>22</v>
          </cell>
          <cell r="I162">
            <v>8.8226499999999994</v>
          </cell>
          <cell r="AQ162">
            <v>17.671262952650498</v>
          </cell>
          <cell r="AT162">
            <v>4.2668641281673176</v>
          </cell>
          <cell r="AU162">
            <v>14.193844081629665</v>
          </cell>
          <cell r="AW162">
            <v>9.4500000000000001E-2</v>
          </cell>
          <cell r="BN162">
            <v>4.3791500262769842</v>
          </cell>
          <cell r="BO162">
            <v>14.860071464665319</v>
          </cell>
          <cell r="BQ162">
            <v>9.4500000000000001E-2</v>
          </cell>
        </row>
        <row r="163">
          <cell r="AQ163">
            <v>6.30601425794785</v>
          </cell>
          <cell r="AT163">
            <v>4.2668641281673176</v>
          </cell>
          <cell r="AU163">
            <v>5.0448114063582796</v>
          </cell>
          <cell r="AW163">
            <v>9.4500000000000001E-2</v>
          </cell>
          <cell r="BN163">
            <v>4.3791500262769842</v>
          </cell>
          <cell r="BO163">
            <v>5.2786298400900407</v>
          </cell>
          <cell r="BQ163">
            <v>9.4500000000000001E-2</v>
          </cell>
        </row>
        <row r="164">
          <cell r="AQ164">
            <v>3.2722609040683328</v>
          </cell>
          <cell r="AT164">
            <v>0</v>
          </cell>
          <cell r="AU164">
            <v>2.9450348136614997</v>
          </cell>
          <cell r="AW164">
            <v>0</v>
          </cell>
          <cell r="BN164">
            <v>0</v>
          </cell>
          <cell r="BO164">
            <v>3.0703523006694562</v>
          </cell>
          <cell r="BQ164">
            <v>0</v>
          </cell>
        </row>
        <row r="165">
          <cell r="AQ165">
            <v>2.6945320408293347</v>
          </cell>
          <cell r="AT165">
            <v>0</v>
          </cell>
          <cell r="AU165">
            <v>2.4250788367464011</v>
          </cell>
          <cell r="AW165">
            <v>0</v>
          </cell>
          <cell r="BN165">
            <v>0</v>
          </cell>
          <cell r="BO165">
            <v>2.5267389067606718</v>
          </cell>
          <cell r="BQ165">
            <v>0</v>
          </cell>
        </row>
        <row r="166">
          <cell r="AQ166">
            <v>5.3984557498049792</v>
          </cell>
          <cell r="AT166">
            <v>0</v>
          </cell>
          <cell r="AU166">
            <v>3.7789190248634852</v>
          </cell>
          <cell r="AW166">
            <v>0</v>
          </cell>
          <cell r="BN166">
            <v>0</v>
          </cell>
          <cell r="BO166">
            <v>3.9843504171451518</v>
          </cell>
          <cell r="BQ166">
            <v>0</v>
          </cell>
        </row>
        <row r="167">
          <cell r="AQ167">
            <v>0</v>
          </cell>
          <cell r="AT167">
            <v>0</v>
          </cell>
          <cell r="AU167">
            <v>0</v>
          </cell>
          <cell r="AW167">
            <v>0</v>
          </cell>
          <cell r="BN167">
            <v>0</v>
          </cell>
          <cell r="BO167">
            <v>0</v>
          </cell>
          <cell r="BQ167">
            <v>0</v>
          </cell>
        </row>
        <row r="168">
          <cell r="H168">
            <v>0</v>
          </cell>
          <cell r="I168">
            <v>0</v>
          </cell>
          <cell r="AQ168">
            <v>0</v>
          </cell>
          <cell r="AT168">
            <v>0</v>
          </cell>
          <cell r="AU168">
            <v>0</v>
          </cell>
          <cell r="AW168">
            <v>0</v>
          </cell>
          <cell r="BN168">
            <v>0</v>
          </cell>
          <cell r="BO168">
            <v>0</v>
          </cell>
          <cell r="BQ168">
            <v>0</v>
          </cell>
        </row>
        <row r="169">
          <cell r="AQ169">
            <v>0</v>
          </cell>
          <cell r="AT169">
            <v>0</v>
          </cell>
          <cell r="AU169">
            <v>0</v>
          </cell>
          <cell r="AW169">
            <v>0</v>
          </cell>
          <cell r="BN169">
            <v>0</v>
          </cell>
          <cell r="BO169">
            <v>0</v>
          </cell>
          <cell r="BQ169">
            <v>0</v>
          </cell>
        </row>
        <row r="170">
          <cell r="AQ170">
            <v>0</v>
          </cell>
          <cell r="AT170">
            <v>0</v>
          </cell>
          <cell r="AU170">
            <v>0</v>
          </cell>
          <cell r="AW170">
            <v>0</v>
          </cell>
          <cell r="BN170">
            <v>0</v>
          </cell>
          <cell r="BO170">
            <v>0</v>
          </cell>
          <cell r="BQ170">
            <v>0</v>
          </cell>
        </row>
        <row r="171">
          <cell r="AQ171">
            <v>0</v>
          </cell>
          <cell r="AT171">
            <v>0</v>
          </cell>
          <cell r="AU171">
            <v>0</v>
          </cell>
          <cell r="AW171">
            <v>0</v>
          </cell>
          <cell r="BN171">
            <v>0</v>
          </cell>
          <cell r="BO171">
            <v>0</v>
          </cell>
          <cell r="BQ171">
            <v>0</v>
          </cell>
        </row>
        <row r="172">
          <cell r="AQ172">
            <v>0</v>
          </cell>
          <cell r="AT172">
            <v>0</v>
          </cell>
          <cell r="AU172">
            <v>0</v>
          </cell>
          <cell r="AW172">
            <v>0</v>
          </cell>
          <cell r="BN172">
            <v>0</v>
          </cell>
          <cell r="BO172">
            <v>0</v>
          </cell>
          <cell r="BQ172">
            <v>0</v>
          </cell>
        </row>
        <row r="173">
          <cell r="H173">
            <v>0</v>
          </cell>
          <cell r="I173">
            <v>0</v>
          </cell>
          <cell r="AQ173">
            <v>0</v>
          </cell>
          <cell r="AT173">
            <v>0</v>
          </cell>
          <cell r="AU173">
            <v>0</v>
          </cell>
          <cell r="AW173">
            <v>0</v>
          </cell>
          <cell r="BN173">
            <v>0</v>
          </cell>
          <cell r="BO173">
            <v>0</v>
          </cell>
          <cell r="BQ173">
            <v>0</v>
          </cell>
        </row>
        <row r="174">
          <cell r="AQ174">
            <v>0</v>
          </cell>
          <cell r="AT174">
            <v>0</v>
          </cell>
          <cell r="AU174">
            <v>0</v>
          </cell>
          <cell r="AW174">
            <v>0</v>
          </cell>
          <cell r="BN174">
            <v>0</v>
          </cell>
          <cell r="BO174">
            <v>0</v>
          </cell>
          <cell r="BQ174">
            <v>0</v>
          </cell>
        </row>
        <row r="175">
          <cell r="AQ175">
            <v>0</v>
          </cell>
          <cell r="AT175">
            <v>0</v>
          </cell>
          <cell r="AU175">
            <v>0</v>
          </cell>
          <cell r="AW175">
            <v>0</v>
          </cell>
          <cell r="BN175">
            <v>0</v>
          </cell>
          <cell r="BO175">
            <v>0</v>
          </cell>
          <cell r="BQ175">
            <v>0</v>
          </cell>
        </row>
        <row r="176">
          <cell r="AQ176">
            <v>0</v>
          </cell>
          <cell r="AT176">
            <v>0</v>
          </cell>
          <cell r="AU176">
            <v>0</v>
          </cell>
          <cell r="AW176">
            <v>0</v>
          </cell>
          <cell r="BN176">
            <v>0</v>
          </cell>
          <cell r="BO176">
            <v>0</v>
          </cell>
          <cell r="BQ176">
            <v>0</v>
          </cell>
        </row>
        <row r="177">
          <cell r="AQ177">
            <v>0</v>
          </cell>
          <cell r="AT177">
            <v>0</v>
          </cell>
          <cell r="AU177">
            <v>0</v>
          </cell>
          <cell r="AW177">
            <v>0</v>
          </cell>
          <cell r="BN177">
            <v>0</v>
          </cell>
          <cell r="BO177">
            <v>0</v>
          </cell>
          <cell r="BQ177">
            <v>0</v>
          </cell>
        </row>
        <row r="178">
          <cell r="H178">
            <v>22</v>
          </cell>
          <cell r="I178">
            <v>63.921999999999997</v>
          </cell>
          <cell r="AQ178">
            <v>32.592349999999996</v>
          </cell>
          <cell r="AT178">
            <v>11.024342301288906</v>
          </cell>
          <cell r="AU178">
            <v>20.533180499999997</v>
          </cell>
          <cell r="AW178">
            <v>0.10920000000000001</v>
          </cell>
          <cell r="BN178">
            <v>11.52544876952931</v>
          </cell>
          <cell r="BO178">
            <v>20.533180499999997</v>
          </cell>
          <cell r="BQ178">
            <v>0.10920000000000001</v>
          </cell>
        </row>
        <row r="179">
          <cell r="AQ179">
            <v>32.592349999999996</v>
          </cell>
          <cell r="AT179">
            <v>11.024342301288906</v>
          </cell>
          <cell r="AU179">
            <v>20.533180499999997</v>
          </cell>
          <cell r="AW179">
            <v>0.10920000000000001</v>
          </cell>
          <cell r="BN179">
            <v>11.52544876952931</v>
          </cell>
          <cell r="BO179">
            <v>20.533180499999997</v>
          </cell>
          <cell r="BQ179">
            <v>0.10920000000000001</v>
          </cell>
        </row>
        <row r="180">
          <cell r="AQ180">
            <v>0</v>
          </cell>
          <cell r="AT180">
            <v>0</v>
          </cell>
          <cell r="AU180">
            <v>0</v>
          </cell>
          <cell r="AW180">
            <v>0</v>
          </cell>
          <cell r="BN180">
            <v>0</v>
          </cell>
          <cell r="BO180">
            <v>0</v>
          </cell>
          <cell r="BQ180">
            <v>0</v>
          </cell>
        </row>
        <row r="181">
          <cell r="AQ181">
            <v>0</v>
          </cell>
          <cell r="AT181">
            <v>0</v>
          </cell>
          <cell r="AU181">
            <v>0</v>
          </cell>
          <cell r="AW181">
            <v>0</v>
          </cell>
          <cell r="BN181">
            <v>0</v>
          </cell>
          <cell r="BO181">
            <v>0</v>
          </cell>
          <cell r="BQ181">
            <v>0</v>
          </cell>
        </row>
        <row r="182">
          <cell r="H182">
            <v>7</v>
          </cell>
          <cell r="I182">
            <v>14.57</v>
          </cell>
          <cell r="AQ182">
            <v>31.910134814482756</v>
          </cell>
          <cell r="AT182">
            <v>4.1746180395185997</v>
          </cell>
          <cell r="AU182">
            <v>23.294398414572409</v>
          </cell>
          <cell r="AW182">
            <v>3.3599999999999998E-2</v>
          </cell>
          <cell r="BN182">
            <v>4.4957425040969534</v>
          </cell>
          <cell r="BO182">
            <v>23.294398414572409</v>
          </cell>
          <cell r="BQ182">
            <v>3.3599999999999998E-2</v>
          </cell>
        </row>
        <row r="183">
          <cell r="H183">
            <v>9</v>
          </cell>
          <cell r="I183">
            <v>6.65</v>
          </cell>
          <cell r="AQ183">
            <v>7.1627470199999994</v>
          </cell>
          <cell r="AT183">
            <v>3.1920000000000002</v>
          </cell>
          <cell r="AU183">
            <v>7.8790217219999992</v>
          </cell>
          <cell r="AW183">
            <v>3.3599999999999998E-2</v>
          </cell>
          <cell r="BN183">
            <v>3.1920000000000002</v>
          </cell>
          <cell r="BO183">
            <v>7.8790217220000009</v>
          </cell>
          <cell r="BQ183">
            <v>3.3599999999999998E-2</v>
          </cell>
        </row>
        <row r="184">
          <cell r="H184">
            <v>28</v>
          </cell>
          <cell r="I184">
            <v>64.918000000000006</v>
          </cell>
          <cell r="AQ184">
            <v>360.15071468408308</v>
          </cell>
          <cell r="AT184">
            <v>0</v>
          </cell>
          <cell r="AU184">
            <v>219.69193595729067</v>
          </cell>
          <cell r="AW184">
            <v>0.14069999999999999</v>
          </cell>
          <cell r="BN184">
            <v>0</v>
          </cell>
          <cell r="BO184">
            <v>219.69193595729061</v>
          </cell>
          <cell r="BQ184">
            <v>0.14069999999999999</v>
          </cell>
        </row>
        <row r="185">
          <cell r="AQ185">
            <v>360.15071468408308</v>
          </cell>
          <cell r="AT185">
            <v>0</v>
          </cell>
          <cell r="AU185">
            <v>219.69193595729067</v>
          </cell>
          <cell r="AW185">
            <v>0.14069999999999999</v>
          </cell>
          <cell r="BN185">
            <v>0</v>
          </cell>
          <cell r="BO185">
            <v>219.69193595729061</v>
          </cell>
          <cell r="BQ185">
            <v>0.14069999999999999</v>
          </cell>
        </row>
        <row r="187">
          <cell r="AQ187">
            <v>0</v>
          </cell>
          <cell r="AT187">
            <v>0</v>
          </cell>
          <cell r="AU187">
            <v>0</v>
          </cell>
          <cell r="AW187">
            <v>0</v>
          </cell>
          <cell r="BN187">
            <v>0</v>
          </cell>
          <cell r="BO187">
            <v>0</v>
          </cell>
          <cell r="BQ187">
            <v>0</v>
          </cell>
        </row>
        <row r="191">
          <cell r="I191">
            <v>0</v>
          </cell>
          <cell r="AQ191">
            <v>84.621599999999987</v>
          </cell>
          <cell r="AT191">
            <v>1.7280000000000002</v>
          </cell>
          <cell r="AU191">
            <v>50.772959999999991</v>
          </cell>
          <cell r="AW191">
            <v>6.3E-3</v>
          </cell>
          <cell r="BN191">
            <v>1.7280000000000002</v>
          </cell>
          <cell r="BO191">
            <v>50.772959999999998</v>
          </cell>
          <cell r="BQ191">
            <v>6.3E-3</v>
          </cell>
        </row>
        <row r="201">
          <cell r="H201">
            <v>14</v>
          </cell>
          <cell r="I201">
            <v>173.82</v>
          </cell>
          <cell r="AQ201">
            <v>381.44015963675173</v>
          </cell>
          <cell r="AT201">
            <v>82.326726160107881</v>
          </cell>
          <cell r="AU201">
            <v>256.48538640107995</v>
          </cell>
          <cell r="AW201">
            <v>8.4000000000000005E-2</v>
          </cell>
          <cell r="BN201">
            <v>84.493218953794937</v>
          </cell>
          <cell r="BO201">
            <v>275.96621717205517</v>
          </cell>
          <cell r="BQ201">
            <v>8.4000000000000005E-2</v>
          </cell>
        </row>
        <row r="202">
          <cell r="AQ202">
            <v>42.631794458751784</v>
          </cell>
          <cell r="AT202">
            <v>82.326726160107881</v>
          </cell>
          <cell r="AU202">
            <v>28.350143315069936</v>
          </cell>
          <cell r="AW202">
            <v>8.4000000000000005E-2</v>
          </cell>
          <cell r="BN202">
            <v>84.493218953794937</v>
          </cell>
          <cell r="BO202">
            <v>30.462189975725114</v>
          </cell>
          <cell r="BQ202">
            <v>8.4000000000000005E-2</v>
          </cell>
        </row>
        <row r="204">
          <cell r="AQ204">
            <v>0</v>
          </cell>
        </row>
        <row r="205">
          <cell r="AQ205">
            <v>0</v>
          </cell>
        </row>
        <row r="206">
          <cell r="AQ206">
            <v>0</v>
          </cell>
          <cell r="AT206">
            <v>0</v>
          </cell>
          <cell r="AU206">
            <v>0</v>
          </cell>
          <cell r="AW206">
            <v>0</v>
          </cell>
          <cell r="BN206">
            <v>0</v>
          </cell>
          <cell r="BO206">
            <v>0</v>
          </cell>
          <cell r="BQ206">
            <v>0</v>
          </cell>
        </row>
        <row r="207">
          <cell r="AQ207">
            <v>149.62623827939998</v>
          </cell>
          <cell r="AT207">
            <v>0</v>
          </cell>
          <cell r="AU207">
            <v>114.46407228374099</v>
          </cell>
          <cell r="AW207">
            <v>0</v>
          </cell>
          <cell r="BN207">
            <v>0</v>
          </cell>
          <cell r="BO207">
            <v>122.33869968764103</v>
          </cell>
          <cell r="BQ207">
            <v>0</v>
          </cell>
        </row>
        <row r="208">
          <cell r="AQ208">
            <v>33.916345522799993</v>
          </cell>
          <cell r="AT208">
            <v>0</v>
          </cell>
          <cell r="AU208">
            <v>25.946004324941999</v>
          </cell>
          <cell r="AW208">
            <v>0</v>
          </cell>
          <cell r="BN208">
            <v>0</v>
          </cell>
          <cell r="BO208">
            <v>27.802317297521991</v>
          </cell>
          <cell r="BQ208">
            <v>0</v>
          </cell>
        </row>
        <row r="210">
          <cell r="AQ210">
            <v>155.26578137579997</v>
          </cell>
          <cell r="AT210">
            <v>0</v>
          </cell>
          <cell r="AU210">
            <v>87.725166477326994</v>
          </cell>
          <cell r="AW210">
            <v>0</v>
          </cell>
          <cell r="BN210">
            <v>0</v>
          </cell>
          <cell r="BO210">
            <v>95.363010211166994</v>
          </cell>
          <cell r="BQ210">
            <v>0</v>
          </cell>
        </row>
        <row r="211">
          <cell r="H211">
            <v>0</v>
          </cell>
          <cell r="I211">
            <v>0</v>
          </cell>
          <cell r="AQ211">
            <v>0</v>
          </cell>
          <cell r="AT211">
            <v>0</v>
          </cell>
          <cell r="AU211">
            <v>0</v>
          </cell>
          <cell r="AW211">
            <v>0</v>
          </cell>
          <cell r="BN211">
            <v>0</v>
          </cell>
          <cell r="BO211">
            <v>0</v>
          </cell>
          <cell r="BQ211">
            <v>0</v>
          </cell>
        </row>
        <row r="212">
          <cell r="H212">
            <v>2</v>
          </cell>
          <cell r="I212">
            <v>35</v>
          </cell>
          <cell r="AQ212">
            <v>277.58028848043824</v>
          </cell>
          <cell r="AT212">
            <v>15.96</v>
          </cell>
          <cell r="AU212">
            <v>184.75641315200056</v>
          </cell>
          <cell r="AW212">
            <v>1.2E-2</v>
          </cell>
          <cell r="BN212">
            <v>16.380000000000003</v>
          </cell>
          <cell r="BO212">
            <v>198.80880177285763</v>
          </cell>
          <cell r="BQ212">
            <v>1.2E-2</v>
          </cell>
        </row>
        <row r="213">
          <cell r="AQ213">
            <v>73.937568714601255</v>
          </cell>
          <cell r="AT213">
            <v>15.96</v>
          </cell>
          <cell r="AU213">
            <v>49.168483195209838</v>
          </cell>
          <cell r="AW213">
            <v>1.2E-2</v>
          </cell>
          <cell r="BN213">
            <v>16.380000000000003</v>
          </cell>
          <cell r="BO213">
            <v>52.920121308442233</v>
          </cell>
          <cell r="BQ213">
            <v>1.2E-2</v>
          </cell>
        </row>
        <row r="214">
          <cell r="AQ214">
            <v>51.090623215478892</v>
          </cell>
          <cell r="AT214">
            <v>0</v>
          </cell>
          <cell r="AU214">
            <v>39.084326759841353</v>
          </cell>
          <cell r="AW214">
            <v>0</v>
          </cell>
          <cell r="BN214">
            <v>0</v>
          </cell>
          <cell r="BO214">
            <v>41.665950494392355</v>
          </cell>
          <cell r="BQ214">
            <v>0</v>
          </cell>
        </row>
        <row r="215">
          <cell r="AQ215">
            <v>51.558343229985212</v>
          </cell>
          <cell r="AT215">
            <v>0</v>
          </cell>
          <cell r="AU215">
            <v>39.442132570938689</v>
          </cell>
          <cell r="AW215">
            <v>0</v>
          </cell>
          <cell r="BN215">
            <v>0</v>
          </cell>
          <cell r="BO215">
            <v>42.043300855509266</v>
          </cell>
          <cell r="BQ215">
            <v>0</v>
          </cell>
        </row>
        <row r="216">
          <cell r="AQ216">
            <v>100.99375332037289</v>
          </cell>
          <cell r="AT216">
            <v>0</v>
          </cell>
          <cell r="AU216">
            <v>57.061470626010689</v>
          </cell>
          <cell r="AW216">
            <v>0</v>
          </cell>
          <cell r="BN216">
            <v>0</v>
          </cell>
          <cell r="BO216">
            <v>62.179429114513766</v>
          </cell>
          <cell r="BQ216">
            <v>0</v>
          </cell>
        </row>
        <row r="217">
          <cell r="H217">
            <v>7</v>
          </cell>
          <cell r="I217">
            <v>17.350000000000001</v>
          </cell>
          <cell r="AQ217">
            <v>5.7995466559512572</v>
          </cell>
          <cell r="AT217">
            <v>7.9926280100367197</v>
          </cell>
          <cell r="AU217">
            <v>4.4338291034598063</v>
          </cell>
          <cell r="AW217">
            <v>4.4999999999999998E-2</v>
          </cell>
          <cell r="BN217">
            <v>8.2029603260903183</v>
          </cell>
          <cell r="BO217">
            <v>4.6470358116048658</v>
          </cell>
          <cell r="BQ217">
            <v>4.4999999999999998E-2</v>
          </cell>
        </row>
        <row r="218">
          <cell r="AQ218">
            <v>1.0142931427789015</v>
          </cell>
          <cell r="AT218">
            <v>7.9926280100367197</v>
          </cell>
          <cell r="AU218">
            <v>0.79114865136754309</v>
          </cell>
          <cell r="AW218">
            <v>4.4999999999999998E-2</v>
          </cell>
          <cell r="BN218">
            <v>8.2029603260903183</v>
          </cell>
          <cell r="BO218">
            <v>0.82741314049768078</v>
          </cell>
          <cell r="BQ218">
            <v>4.4999999999999998E-2</v>
          </cell>
        </row>
        <row r="219">
          <cell r="AQ219">
            <v>1.3129461751676739</v>
          </cell>
          <cell r="AT219">
            <v>0</v>
          </cell>
          <cell r="AU219">
            <v>1.1553926341475531</v>
          </cell>
          <cell r="AW219">
            <v>0</v>
          </cell>
          <cell r="BN219">
            <v>0</v>
          </cell>
          <cell r="BO219">
            <v>1.1964788718182375</v>
          </cell>
          <cell r="BQ219">
            <v>0</v>
          </cell>
        </row>
        <row r="220">
          <cell r="AQ220">
            <v>0.63059414050762741</v>
          </cell>
          <cell r="AT220">
            <v>0</v>
          </cell>
          <cell r="AU220">
            <v>0.55492284364671218</v>
          </cell>
          <cell r="AW220">
            <v>0</v>
          </cell>
          <cell r="BN220">
            <v>0</v>
          </cell>
          <cell r="BO220">
            <v>0.58005665818431851</v>
          </cell>
          <cell r="BQ220">
            <v>0</v>
          </cell>
        </row>
        <row r="221">
          <cell r="AQ221">
            <v>2.8417131974970551</v>
          </cell>
          <cell r="AT221">
            <v>0</v>
          </cell>
          <cell r="AU221">
            <v>1.9323649742979974</v>
          </cell>
          <cell r="AW221">
            <v>0</v>
          </cell>
          <cell r="BN221">
            <v>0</v>
          </cell>
          <cell r="BO221">
            <v>2.0430871411046292</v>
          </cell>
          <cell r="BQ221">
            <v>0</v>
          </cell>
        </row>
        <row r="222">
          <cell r="H222">
            <v>0</v>
          </cell>
          <cell r="I222">
            <v>0</v>
          </cell>
          <cell r="AQ222">
            <v>0</v>
          </cell>
          <cell r="AT222">
            <v>0</v>
          </cell>
          <cell r="AU222">
            <v>0</v>
          </cell>
          <cell r="AW222">
            <v>0</v>
          </cell>
          <cell r="BN222">
            <v>0</v>
          </cell>
          <cell r="BO222">
            <v>0</v>
          </cell>
          <cell r="BQ222">
            <v>0</v>
          </cell>
        </row>
        <row r="223">
          <cell r="AQ223">
            <v>0</v>
          </cell>
          <cell r="AT223">
            <v>0</v>
          </cell>
          <cell r="AU223">
            <v>0</v>
          </cell>
          <cell r="AW223">
            <v>0</v>
          </cell>
          <cell r="BN223">
            <v>0</v>
          </cell>
          <cell r="BO223">
            <v>0</v>
          </cell>
          <cell r="BQ223">
            <v>0</v>
          </cell>
        </row>
        <row r="224">
          <cell r="AQ224">
            <v>0</v>
          </cell>
          <cell r="AT224">
            <v>0</v>
          </cell>
          <cell r="AU224">
            <v>0</v>
          </cell>
          <cell r="AW224">
            <v>0</v>
          </cell>
          <cell r="BN224">
            <v>0</v>
          </cell>
          <cell r="BO224">
            <v>0</v>
          </cell>
          <cell r="BQ224">
            <v>0</v>
          </cell>
        </row>
        <row r="225">
          <cell r="AQ225">
            <v>0</v>
          </cell>
          <cell r="AT225">
            <v>0</v>
          </cell>
          <cell r="AU225">
            <v>0</v>
          </cell>
          <cell r="AW225">
            <v>0</v>
          </cell>
          <cell r="BN225">
            <v>0</v>
          </cell>
          <cell r="BO225">
            <v>0</v>
          </cell>
          <cell r="BQ225">
            <v>0</v>
          </cell>
        </row>
        <row r="226">
          <cell r="AQ226">
            <v>0</v>
          </cell>
          <cell r="AT226">
            <v>0</v>
          </cell>
          <cell r="AU226">
            <v>0</v>
          </cell>
          <cell r="AW226">
            <v>0</v>
          </cell>
          <cell r="BN226">
            <v>0</v>
          </cell>
          <cell r="BO226">
            <v>0</v>
          </cell>
          <cell r="BQ226">
            <v>0</v>
          </cell>
        </row>
        <row r="227">
          <cell r="H227">
            <v>0</v>
          </cell>
          <cell r="I227">
            <v>0</v>
          </cell>
          <cell r="AQ227">
            <v>0</v>
          </cell>
          <cell r="AT227">
            <v>0</v>
          </cell>
          <cell r="AU227">
            <v>0</v>
          </cell>
          <cell r="AW227">
            <v>0</v>
          </cell>
          <cell r="BN227">
            <v>0</v>
          </cell>
          <cell r="BO227">
            <v>0</v>
          </cell>
          <cell r="BQ227">
            <v>0</v>
          </cell>
        </row>
        <row r="228">
          <cell r="AQ228">
            <v>0</v>
          </cell>
          <cell r="AT228">
            <v>0</v>
          </cell>
          <cell r="AU228">
            <v>0</v>
          </cell>
          <cell r="AW228">
            <v>0</v>
          </cell>
          <cell r="BN228">
            <v>0</v>
          </cell>
          <cell r="BO228">
            <v>0</v>
          </cell>
          <cell r="BQ228">
            <v>0</v>
          </cell>
        </row>
        <row r="229">
          <cell r="AQ229">
            <v>0</v>
          </cell>
          <cell r="AT229">
            <v>0</v>
          </cell>
          <cell r="AU229">
            <v>0</v>
          </cell>
          <cell r="AW229">
            <v>0</v>
          </cell>
          <cell r="BN229">
            <v>0</v>
          </cell>
          <cell r="BO229">
            <v>0</v>
          </cell>
          <cell r="BQ229">
            <v>0</v>
          </cell>
        </row>
        <row r="230">
          <cell r="AQ230">
            <v>0</v>
          </cell>
          <cell r="AT230">
            <v>0</v>
          </cell>
          <cell r="AU230">
            <v>0</v>
          </cell>
          <cell r="AW230">
            <v>0</v>
          </cell>
          <cell r="BN230">
            <v>0</v>
          </cell>
          <cell r="BO230">
            <v>0</v>
          </cell>
          <cell r="BQ230">
            <v>0</v>
          </cell>
        </row>
        <row r="231">
          <cell r="AQ231">
            <v>0</v>
          </cell>
          <cell r="AT231">
            <v>0</v>
          </cell>
          <cell r="AU231">
            <v>0</v>
          </cell>
          <cell r="AW231">
            <v>0</v>
          </cell>
          <cell r="BN231">
            <v>0</v>
          </cell>
          <cell r="BO231">
            <v>0</v>
          </cell>
          <cell r="BQ231">
            <v>0</v>
          </cell>
        </row>
        <row r="232">
          <cell r="I232">
            <v>2558.415</v>
          </cell>
          <cell r="AQ232">
            <v>1291.8264726500001</v>
          </cell>
          <cell r="AT232">
            <v>424.72293209843752</v>
          </cell>
          <cell r="AU232">
            <v>813.85067776950007</v>
          </cell>
          <cell r="AW232">
            <v>0.222</v>
          </cell>
          <cell r="BN232">
            <v>444.02851992109379</v>
          </cell>
          <cell r="BO232">
            <v>813.85067776949995</v>
          </cell>
          <cell r="BQ232">
            <v>0.222</v>
          </cell>
        </row>
        <row r="233">
          <cell r="H233">
            <v>32</v>
          </cell>
          <cell r="AQ233">
            <v>1291.8264726500001</v>
          </cell>
          <cell r="AT233">
            <v>424.72293209843752</v>
          </cell>
          <cell r="AU233">
            <v>813.85067776950007</v>
          </cell>
          <cell r="AW233">
            <v>0.222</v>
          </cell>
          <cell r="BN233">
            <v>444.02851992109379</v>
          </cell>
          <cell r="BO233">
            <v>813.85067776949995</v>
          </cell>
          <cell r="BQ233">
            <v>0.222</v>
          </cell>
        </row>
        <row r="235">
          <cell r="H235">
            <v>13</v>
          </cell>
          <cell r="I235">
            <v>192.5</v>
          </cell>
          <cell r="AQ235">
            <v>660.86056437582442</v>
          </cell>
          <cell r="AT235">
            <v>81.36565020734389</v>
          </cell>
          <cell r="AU235">
            <v>333.73458500979132</v>
          </cell>
          <cell r="AW235">
            <v>7.8E-2</v>
          </cell>
          <cell r="BN235">
            <v>83.506851528589777</v>
          </cell>
          <cell r="BO235">
            <v>373.89478634179392</v>
          </cell>
          <cell r="BQ235">
            <v>7.8E-2</v>
          </cell>
        </row>
        <row r="236">
          <cell r="AQ236">
            <v>660.86056437582442</v>
          </cell>
          <cell r="AT236">
            <v>81.36565020734389</v>
          </cell>
          <cell r="AU236">
            <v>333.73458500979132</v>
          </cell>
          <cell r="AW236">
            <v>7.8E-2</v>
          </cell>
          <cell r="BN236">
            <v>83.506851528589777</v>
          </cell>
          <cell r="BO236">
            <v>373.89478634179392</v>
          </cell>
          <cell r="BQ236">
            <v>7.8E-2</v>
          </cell>
        </row>
        <row r="237">
          <cell r="AQ237">
            <v>0</v>
          </cell>
          <cell r="AT237">
            <v>0</v>
          </cell>
          <cell r="AU237">
            <v>0</v>
          </cell>
          <cell r="AW237">
            <v>0</v>
          </cell>
          <cell r="BN237">
            <v>0</v>
          </cell>
          <cell r="BO237">
            <v>0</v>
          </cell>
          <cell r="BQ237">
            <v>0</v>
          </cell>
        </row>
        <row r="238">
          <cell r="AQ238">
            <v>0</v>
          </cell>
          <cell r="AT238">
            <v>0</v>
          </cell>
          <cell r="AU238">
            <v>0</v>
          </cell>
          <cell r="AW238">
            <v>0</v>
          </cell>
          <cell r="BN238">
            <v>0</v>
          </cell>
          <cell r="BO238">
            <v>0</v>
          </cell>
          <cell r="BQ238">
            <v>0</v>
          </cell>
        </row>
        <row r="239">
          <cell r="AQ239">
            <v>0</v>
          </cell>
          <cell r="AT239">
            <v>0</v>
          </cell>
          <cell r="AU239">
            <v>0</v>
          </cell>
          <cell r="AW239">
            <v>0</v>
          </cell>
          <cell r="BN239">
            <v>0</v>
          </cell>
          <cell r="BO239">
            <v>0</v>
          </cell>
          <cell r="BQ239">
            <v>0</v>
          </cell>
        </row>
        <row r="240">
          <cell r="H240">
            <v>2</v>
          </cell>
          <cell r="I240">
            <v>30</v>
          </cell>
          <cell r="AQ240">
            <v>66.75530056551726</v>
          </cell>
          <cell r="AT240">
            <v>7.4879999999999995</v>
          </cell>
          <cell r="AU240">
            <v>48.731369412827597</v>
          </cell>
          <cell r="AW240">
            <v>1.2E-2</v>
          </cell>
          <cell r="BN240">
            <v>8.0640000000000001</v>
          </cell>
          <cell r="BO240">
            <v>48.73136941282759</v>
          </cell>
          <cell r="BQ240">
            <v>1.2E-2</v>
          </cell>
        </row>
        <row r="241">
          <cell r="H241">
            <v>1</v>
          </cell>
          <cell r="I241">
            <v>0.5</v>
          </cell>
          <cell r="AQ241">
            <v>1.1619330000000001</v>
          </cell>
          <cell r="AT241">
            <v>0.24</v>
          </cell>
          <cell r="AU241">
            <v>1.2548876400000002</v>
          </cell>
          <cell r="AW241">
            <v>6.0000000000000001E-3</v>
          </cell>
          <cell r="BN241">
            <v>0.24</v>
          </cell>
          <cell r="BO241">
            <v>1.2548876400000002</v>
          </cell>
          <cell r="BQ241">
            <v>6.0000000000000001E-3</v>
          </cell>
        </row>
        <row r="242">
          <cell r="I242">
            <v>5.3079999999999998</v>
          </cell>
          <cell r="AQ242">
            <v>28.750592634089028</v>
          </cell>
          <cell r="AT242">
            <v>0</v>
          </cell>
          <cell r="AU242">
            <v>17.537861506794307</v>
          </cell>
          <cell r="AW242">
            <v>6.0000000000000001E-3</v>
          </cell>
          <cell r="BN242">
            <v>0</v>
          </cell>
          <cell r="BO242">
            <v>17.537861506794307</v>
          </cell>
          <cell r="BQ242">
            <v>6.0000000000000001E-3</v>
          </cell>
        </row>
        <row r="243">
          <cell r="H243">
            <v>1</v>
          </cell>
          <cell r="AQ243">
            <v>28.750592634089028</v>
          </cell>
          <cell r="AT243">
            <v>0</v>
          </cell>
          <cell r="AU243">
            <v>17.537861506794307</v>
          </cell>
          <cell r="AW243">
            <v>6.0000000000000001E-3</v>
          </cell>
          <cell r="BN243">
            <v>0</v>
          </cell>
          <cell r="BO243">
            <v>17.537861506794307</v>
          </cell>
          <cell r="BQ243">
            <v>6.0000000000000001E-3</v>
          </cell>
        </row>
        <row r="245">
          <cell r="AQ245">
            <v>0</v>
          </cell>
          <cell r="AT245">
            <v>0</v>
          </cell>
          <cell r="AU245">
            <v>0</v>
          </cell>
          <cell r="AW245">
            <v>0</v>
          </cell>
          <cell r="BN245">
            <v>0</v>
          </cell>
          <cell r="BO245">
            <v>0</v>
          </cell>
          <cell r="BQ24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AI10">
            <v>7772199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Sales_NP"/>
      <sheetName val="Rev_SP-12me"/>
      <sheetName val="Rev_NP-12me"/>
      <sheetName val="NTI"/>
      <sheetName val="Sales_Progress tracker"/>
      <sheetName val="SPDCL_Write-up"/>
      <sheetName val="NPDCL_Write-up"/>
      <sheetName val="Additional Loads_SPDCL 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>
        <row r="10">
          <cell r="FZ10">
            <v>1254.1076210000001</v>
          </cell>
        </row>
      </sheetData>
      <sheetData sheetId="4">
        <row r="10">
          <cell r="FZ10">
            <v>385.71098199999994</v>
          </cell>
          <cell r="GA10">
            <v>463.19762000000003</v>
          </cell>
          <cell r="GB10">
            <v>492.18432900000005</v>
          </cell>
          <cell r="GC10">
            <v>423.90121800000003</v>
          </cell>
          <cell r="GD10">
            <v>379.95671099999993</v>
          </cell>
          <cell r="GE10">
            <v>411.79402400000004</v>
          </cell>
          <cell r="GF10">
            <v>377.28490246332501</v>
          </cell>
          <cell r="GG10">
            <v>374.48763385761737</v>
          </cell>
          <cell r="GH10">
            <v>319.20095399533659</v>
          </cell>
          <cell r="GI10">
            <v>258.91367873293393</v>
          </cell>
          <cell r="GJ10">
            <v>311.93961197125441</v>
          </cell>
          <cell r="GK10">
            <v>319.93783504461214</v>
          </cell>
          <cell r="GU10">
            <v>427.16583851009761</v>
          </cell>
          <cell r="GV10">
            <v>512.98046718094656</v>
          </cell>
          <cell r="GW10">
            <v>545.08256547078258</v>
          </cell>
          <cell r="GX10">
            <v>469.46062643459226</v>
          </cell>
          <cell r="GY10">
            <v>420.79311874986706</v>
          </cell>
          <cell r="GZ10">
            <v>456.05219390773613</v>
          </cell>
          <cell r="HA10">
            <v>417.83415365120891</v>
          </cell>
          <cell r="HB10">
            <v>414.73624447761142</v>
          </cell>
          <cell r="HC10">
            <v>353.50754717852732</v>
          </cell>
          <cell r="HD10">
            <v>286.74080811546031</v>
          </cell>
          <cell r="HE10">
            <v>345.46578171376876</v>
          </cell>
          <cell r="HF10">
            <v>354.32362560508341</v>
          </cell>
        </row>
        <row r="23">
          <cell r="FZ23">
            <v>89.531622999999982</v>
          </cell>
          <cell r="GA23">
            <v>97.91225900000002</v>
          </cell>
          <cell r="GB23">
            <v>99.268553999999995</v>
          </cell>
          <cell r="GC23">
            <v>89.213927000000027</v>
          </cell>
          <cell r="GD23">
            <v>84.157735000000002</v>
          </cell>
          <cell r="GE23">
            <v>88.745399000000006</v>
          </cell>
          <cell r="GF23">
            <v>84.125964798125565</v>
          </cell>
          <cell r="GG23">
            <v>87.041895653281443</v>
          </cell>
          <cell r="GH23">
            <v>79.419400837966663</v>
          </cell>
          <cell r="GI23">
            <v>71.811652299341119</v>
          </cell>
          <cell r="GJ23">
            <v>78.127790704472559</v>
          </cell>
          <cell r="GK23">
            <v>81.427937912120541</v>
          </cell>
          <cell r="GU23">
            <v>95.209142708343023</v>
          </cell>
          <cell r="GV23">
            <v>104.12122474343224</v>
          </cell>
          <cell r="GW23">
            <v>105.56352724932569</v>
          </cell>
          <cell r="GX23">
            <v>94.87130047128376</v>
          </cell>
          <cell r="GY23">
            <v>89.494477293524724</v>
          </cell>
          <cell r="GZ23">
            <v>94.373061438859935</v>
          </cell>
          <cell r="HA23">
            <v>89.460692429777353</v>
          </cell>
          <cell r="HB23">
            <v>92.561532865968232</v>
          </cell>
          <cell r="HC23">
            <v>84.455668453514662</v>
          </cell>
          <cell r="HD23">
            <v>76.36548543177733</v>
          </cell>
          <cell r="HE23">
            <v>83.08215271234036</v>
          </cell>
          <cell r="HF23">
            <v>86.591574031012271</v>
          </cell>
        </row>
        <row r="36">
          <cell r="FZ36">
            <v>20.214950999999996</v>
          </cell>
          <cell r="GA36">
            <v>21.266035000000002</v>
          </cell>
          <cell r="GB36">
            <v>21.9161</v>
          </cell>
          <cell r="GC36">
            <v>18.541379999999997</v>
          </cell>
          <cell r="GD36">
            <v>16.205666999999998</v>
          </cell>
          <cell r="GE36">
            <v>16.194275000000001</v>
          </cell>
          <cell r="GF36">
            <v>16.245231959999998</v>
          </cell>
          <cell r="GG36">
            <v>18.77506554</v>
          </cell>
          <cell r="GH36">
            <v>20.055879540000007</v>
          </cell>
          <cell r="GI36">
            <v>25.767980519999995</v>
          </cell>
          <cell r="GJ36">
            <v>24.192603780000006</v>
          </cell>
          <cell r="GK36">
            <v>19.936105020000003</v>
          </cell>
          <cell r="GU36">
            <v>20.619250019999999</v>
          </cell>
          <cell r="GV36">
            <v>21.691355700000006</v>
          </cell>
          <cell r="GW36">
            <v>22.354422</v>
          </cell>
          <cell r="GX36">
            <v>18.912207599999999</v>
          </cell>
          <cell r="GY36">
            <v>16.529780340000002</v>
          </cell>
          <cell r="GZ36">
            <v>16.5181605</v>
          </cell>
          <cell r="HA36">
            <v>16.570136599199998</v>
          </cell>
          <cell r="HB36">
            <v>19.150566850800001</v>
          </cell>
          <cell r="HC36">
            <v>20.456997130800005</v>
          </cell>
          <cell r="HD36">
            <v>26.283340130399996</v>
          </cell>
          <cell r="HE36">
            <v>24.676455855600004</v>
          </cell>
          <cell r="HF36">
            <v>20.334827120400007</v>
          </cell>
        </row>
        <row r="43">
          <cell r="FZ43">
            <v>0.71792399999999978</v>
          </cell>
          <cell r="GA43">
            <v>0.74621400000000004</v>
          </cell>
          <cell r="GB43">
            <v>0.74058299999999999</v>
          </cell>
          <cell r="GC43">
            <v>0.67259199999999997</v>
          </cell>
          <cell r="GD43">
            <v>0.65379700000000018</v>
          </cell>
          <cell r="GE43">
            <v>0.69088899999999998</v>
          </cell>
          <cell r="GF43">
            <v>0.69751083642922396</v>
          </cell>
          <cell r="GG43">
            <v>0.68288797633528664</v>
          </cell>
          <cell r="GH43">
            <v>0.66105104894381506</v>
          </cell>
          <cell r="GI43">
            <v>0.63045249897433131</v>
          </cell>
          <cell r="GJ43">
            <v>0.66223682474481593</v>
          </cell>
          <cell r="GK43">
            <v>0.67294672718255388</v>
          </cell>
          <cell r="GU43">
            <v>0.75382019999999983</v>
          </cell>
          <cell r="GV43">
            <v>0.78352469999999996</v>
          </cell>
          <cell r="GW43">
            <v>0.77761214999999995</v>
          </cell>
          <cell r="GX43">
            <v>0.7062216</v>
          </cell>
          <cell r="GY43">
            <v>0.6864868500000002</v>
          </cell>
          <cell r="GZ43">
            <v>0.72543344999999981</v>
          </cell>
          <cell r="HA43">
            <v>0.7323863782506852</v>
          </cell>
          <cell r="HB43">
            <v>0.71703237515205098</v>
          </cell>
          <cell r="HC43">
            <v>0.6941036013910058</v>
          </cell>
          <cell r="HD43">
            <v>0.66197512392304791</v>
          </cell>
          <cell r="HE43">
            <v>0.6953486659820568</v>
          </cell>
          <cell r="HF43">
            <v>0.70659406354168164</v>
          </cell>
        </row>
        <row r="46">
          <cell r="FZ46">
            <v>714.06399999999996</v>
          </cell>
          <cell r="GA46">
            <v>264.87499999999994</v>
          </cell>
          <cell r="GB46">
            <v>299.49699999999996</v>
          </cell>
          <cell r="GC46">
            <v>528.07299999999998</v>
          </cell>
          <cell r="GD46">
            <v>765.63200000000018</v>
          </cell>
          <cell r="GE46">
            <v>655.23199999999997</v>
          </cell>
          <cell r="GF46">
            <v>1208.9241786113096</v>
          </cell>
          <cell r="GG46">
            <v>514.22101294729043</v>
          </cell>
          <cell r="GH46">
            <v>740.35920175824708</v>
          </cell>
          <cell r="GI46">
            <v>1210.0854993909265</v>
          </cell>
          <cell r="GJ46">
            <v>1319.0636262907999</v>
          </cell>
          <cell r="GK46">
            <v>1592.438144937101</v>
          </cell>
          <cell r="GU46">
            <v>760.93888910076055</v>
          </cell>
          <cell r="GV46">
            <v>282.26277791705496</v>
          </cell>
          <cell r="GW46">
            <v>319.15754675912871</v>
          </cell>
          <cell r="GX46">
            <v>562.73846879846337</v>
          </cell>
          <cell r="GY46">
            <v>815.89208185819996</v>
          </cell>
          <cell r="GZ46">
            <v>698.24484945784911</v>
          </cell>
          <cell r="HA46">
            <v>1288.2842735098527</v>
          </cell>
          <cell r="HB46">
            <v>547.97716499414491</v>
          </cell>
          <cell r="HC46">
            <v>788.96024519013201</v>
          </cell>
          <cell r="HD46">
            <v>1289.5218294487202</v>
          </cell>
          <cell r="HE46">
            <v>1405.6538495750272</v>
          </cell>
          <cell r="HF46">
            <v>1696.9740989184634</v>
          </cell>
        </row>
        <row r="54">
          <cell r="FZ54">
            <v>32.502114999999989</v>
          </cell>
          <cell r="GA54">
            <v>32.542159999999996</v>
          </cell>
          <cell r="GB54">
            <v>32.640613000000002</v>
          </cell>
          <cell r="GC54">
            <v>28.829748000000002</v>
          </cell>
          <cell r="GD54">
            <v>28.951825999999993</v>
          </cell>
          <cell r="GE54">
            <v>29.353164999999997</v>
          </cell>
          <cell r="GF54">
            <v>29.992966452489167</v>
          </cell>
          <cell r="GG54">
            <v>33.61418586728761</v>
          </cell>
          <cell r="GH54">
            <v>32.929728550497408</v>
          </cell>
          <cell r="GI54">
            <v>32.871607436485831</v>
          </cell>
          <cell r="GJ54">
            <v>33.77918202016555</v>
          </cell>
          <cell r="GK54">
            <v>32.124065987676175</v>
          </cell>
          <cell r="GU54">
            <v>33.902991189184064</v>
          </cell>
          <cell r="GV54">
            <v>33.944762171846918</v>
          </cell>
          <cell r="GW54">
            <v>34.04745860226533</v>
          </cell>
          <cell r="GX54">
            <v>30.072341213191727</v>
          </cell>
          <cell r="GY54">
            <v>30.199680906574542</v>
          </cell>
          <cell r="GZ54">
            <v>30.618318050061241</v>
          </cell>
          <cell r="HA54">
            <v>31.285695634768189</v>
          </cell>
          <cell r="HB54">
            <v>35.062993509506924</v>
          </cell>
          <cell r="HC54">
            <v>34.349035344614862</v>
          </cell>
          <cell r="HD54">
            <v>34.288409147943035</v>
          </cell>
          <cell r="HE54">
            <v>35.235101174416421</v>
          </cell>
          <cell r="HF54">
            <v>33.508647856945714</v>
          </cell>
        </row>
        <row r="64">
          <cell r="FZ64">
            <v>6.7563279999999999</v>
          </cell>
          <cell r="GA64">
            <v>5.1689550000000004</v>
          </cell>
          <cell r="GB64">
            <v>3.6585529999999995</v>
          </cell>
          <cell r="GC64">
            <v>5.1230949999999993</v>
          </cell>
          <cell r="GD64">
            <v>6.9326870000000005</v>
          </cell>
          <cell r="GE64">
            <v>7.2515500000000008</v>
          </cell>
          <cell r="GF64">
            <v>6.515053727615804</v>
          </cell>
          <cell r="GG64">
            <v>4.7935500151150316</v>
          </cell>
          <cell r="GH64">
            <v>5.9407274850577565</v>
          </cell>
          <cell r="GI64">
            <v>5.0445373505240623</v>
          </cell>
          <cell r="GJ64">
            <v>4.9371759820212073</v>
          </cell>
          <cell r="GK64">
            <v>6.1433872986773057</v>
          </cell>
          <cell r="GU64">
            <v>7.2890313126665678</v>
          </cell>
          <cell r="GV64">
            <v>5.5765017401115546</v>
          </cell>
          <cell r="GW64">
            <v>3.9470119532459362</v>
          </cell>
          <cell r="GX64">
            <v>5.5270259041250709</v>
          </cell>
          <cell r="GY64">
            <v>7.479295354505652</v>
          </cell>
          <cell r="GZ64">
            <v>7.823299137544427</v>
          </cell>
          <cell r="HA64">
            <v>7.0287337477245995</v>
          </cell>
          <cell r="HB64">
            <v>5.1714979141046387</v>
          </cell>
          <cell r="HC64">
            <v>6.4091246988904178</v>
          </cell>
          <cell r="HD64">
            <v>5.4422743694335054</v>
          </cell>
          <cell r="HE64">
            <v>5.3264480837960937</v>
          </cell>
          <cell r="HF64">
            <v>6.6277632444571912</v>
          </cell>
        </row>
        <row r="69">
          <cell r="FZ69">
            <v>1.2602660000000001</v>
          </cell>
          <cell r="GA69">
            <v>1.385839</v>
          </cell>
          <cell r="GB69">
            <v>1.438409</v>
          </cell>
          <cell r="GC69">
            <v>1.2869579999999998</v>
          </cell>
          <cell r="GD69">
            <v>1.295342</v>
          </cell>
          <cell r="GE69">
            <v>1.2992269999999999</v>
          </cell>
          <cell r="GF69">
            <v>1.2890514000000002</v>
          </cell>
          <cell r="GG69">
            <v>1.3268660999999999</v>
          </cell>
          <cell r="GH69">
            <v>1.0807030500000001</v>
          </cell>
          <cell r="GI69">
            <v>1.1018511000000002</v>
          </cell>
          <cell r="GJ69">
            <v>1.2314788500000002</v>
          </cell>
          <cell r="GK69">
            <v>1.2284800499999999</v>
          </cell>
          <cell r="GU69">
            <v>1.3554205892955602</v>
          </cell>
          <cell r="GV69">
            <v>1.4904747998031922</v>
          </cell>
          <cell r="GW69">
            <v>1.5470140227761739</v>
          </cell>
          <cell r="GX69">
            <v>1.3841279307373486</v>
          </cell>
          <cell r="GY69">
            <v>1.3931449527157675</v>
          </cell>
          <cell r="GZ69">
            <v>1.397323284107246</v>
          </cell>
          <cell r="HA69">
            <v>1.3863793899226569</v>
          </cell>
          <cell r="HB69">
            <v>1.4270492349855519</v>
          </cell>
          <cell r="HC69">
            <v>1.1622999945126737</v>
          </cell>
          <cell r="HD69">
            <v>1.1850447979061258</v>
          </cell>
          <cell r="HE69">
            <v>1.3244599065372065</v>
          </cell>
          <cell r="HF69">
            <v>1.3212346864144864</v>
          </cell>
        </row>
        <row r="70">
          <cell r="FZ70">
            <v>1.4302000000000002E-2</v>
          </cell>
          <cell r="GA70">
            <v>1.1467E-2</v>
          </cell>
          <cell r="GB70">
            <v>1.5811000000000002E-2</v>
          </cell>
          <cell r="GC70">
            <v>1.3339999999999999E-2</v>
          </cell>
          <cell r="GD70">
            <v>1.4573000000000001E-2</v>
          </cell>
          <cell r="GE70">
            <v>1.4573000000000001E-2</v>
          </cell>
          <cell r="GF70">
            <v>9.4604999999999984E-3</v>
          </cell>
          <cell r="GG70">
            <v>1.5649200000000002E-2</v>
          </cell>
          <cell r="GH70">
            <v>1.3201650000000002E-2</v>
          </cell>
          <cell r="GI70">
            <v>1.4032200000000002E-2</v>
          </cell>
          <cell r="GJ70">
            <v>1.6238250000000003E-2</v>
          </cell>
          <cell r="GK70">
            <v>1.5020249999999999E-2</v>
          </cell>
          <cell r="GU70">
            <v>1.5017100000000004E-2</v>
          </cell>
          <cell r="GV70">
            <v>1.204035E-2</v>
          </cell>
          <cell r="GW70">
            <v>1.6601550000000003E-2</v>
          </cell>
          <cell r="GX70">
            <v>1.4007E-2</v>
          </cell>
          <cell r="GY70">
            <v>1.5301650000000002E-2</v>
          </cell>
          <cell r="GZ70">
            <v>1.5301650000000002E-2</v>
          </cell>
          <cell r="HA70">
            <v>9.9335249999999986E-3</v>
          </cell>
          <cell r="HB70">
            <v>1.6431660000000004E-2</v>
          </cell>
          <cell r="HC70">
            <v>1.3861732500000003E-2</v>
          </cell>
          <cell r="HD70">
            <v>1.4733810000000002E-2</v>
          </cell>
          <cell r="HE70">
            <v>1.7050162500000004E-2</v>
          </cell>
          <cell r="HF70">
            <v>1.5771262500000001E-2</v>
          </cell>
        </row>
        <row r="89">
          <cell r="FZ89">
            <v>88.02666619999998</v>
          </cell>
          <cell r="GA89">
            <v>86.918028469999982</v>
          </cell>
          <cell r="GB89">
            <v>89.602586140000014</v>
          </cell>
          <cell r="GC89">
            <v>90.254908659999998</v>
          </cell>
          <cell r="GD89">
            <v>90.519578640000006</v>
          </cell>
          <cell r="GE89">
            <v>87.068890299999978</v>
          </cell>
          <cell r="GF89">
            <v>91.257692527602615</v>
          </cell>
          <cell r="GG89">
            <v>95.692257355173624</v>
          </cell>
          <cell r="GH89">
            <v>107.63586339952171</v>
          </cell>
          <cell r="GI89">
            <v>113.63360451504806</v>
          </cell>
          <cell r="GJ89">
            <v>102.68462114952098</v>
          </cell>
          <cell r="GK89">
            <v>88.904912955664017</v>
          </cell>
          <cell r="GU89">
            <v>94.181754387670154</v>
          </cell>
          <cell r="GV89">
            <v>92.995597386625349</v>
          </cell>
          <cell r="GW89">
            <v>95.867867370598461</v>
          </cell>
          <cell r="GX89">
            <v>96.565802235251837</v>
          </cell>
          <cell r="GY89">
            <v>96.848978733081623</v>
          </cell>
          <cell r="GZ89">
            <v>93.15700792769087</v>
          </cell>
          <cell r="HA89">
            <v>97.638703754751461</v>
          </cell>
          <cell r="HB89">
            <v>102.38334663896072</v>
          </cell>
          <cell r="HC89">
            <v>115.16208539542048</v>
          </cell>
          <cell r="HD89">
            <v>121.57920653618829</v>
          </cell>
          <cell r="HE89">
            <v>109.86463745567984</v>
          </cell>
          <cell r="HF89">
            <v>95.121410787309188</v>
          </cell>
        </row>
        <row r="104"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</row>
        <row r="105">
          <cell r="FZ105">
            <v>22.455763939999997</v>
          </cell>
          <cell r="GA105">
            <v>21.99384521</v>
          </cell>
          <cell r="GB105">
            <v>21.525164899999996</v>
          </cell>
          <cell r="GC105">
            <v>19.2761365</v>
          </cell>
          <cell r="GD105">
            <v>20.729245550000005</v>
          </cell>
          <cell r="GE105">
            <v>18.979559789999996</v>
          </cell>
          <cell r="GF105">
            <v>19.373382624997795</v>
          </cell>
          <cell r="GG105">
            <v>17.322221462139826</v>
          </cell>
          <cell r="GH105">
            <v>14.844657064058598</v>
          </cell>
          <cell r="GI105">
            <v>15.497614619537416</v>
          </cell>
          <cell r="GJ105">
            <v>16.813021268515772</v>
          </cell>
          <cell r="GK105">
            <v>19.718174199787757</v>
          </cell>
          <cell r="GU105">
            <v>24.859233478923638</v>
          </cell>
          <cell r="GV105">
            <v>24.347874988157553</v>
          </cell>
          <cell r="GW105">
            <v>23.829031216714512</v>
          </cell>
          <cell r="GX105">
            <v>21.339286390142824</v>
          </cell>
          <cell r="GY105">
            <v>22.947923586401444</v>
          </cell>
          <cell r="GZ105">
            <v>21.01096669022078</v>
          </cell>
          <cell r="HA105">
            <v>21.446940894024326</v>
          </cell>
          <cell r="HB105">
            <v>19.176241291613611</v>
          </cell>
          <cell r="HC105">
            <v>16.433499962681999</v>
          </cell>
          <cell r="HD105">
            <v>17.156344412189302</v>
          </cell>
          <cell r="HE105">
            <v>18.612540740849209</v>
          </cell>
          <cell r="HF105">
            <v>21.828635958247972</v>
          </cell>
        </row>
        <row r="110">
          <cell r="FZ110">
            <v>3.3565999999999999E-2</v>
          </cell>
          <cell r="GA110">
            <v>3.7803000000000003E-2</v>
          </cell>
          <cell r="GB110">
            <v>3.2315000000000003E-2</v>
          </cell>
          <cell r="GC110">
            <v>2.9323999999999999E-2</v>
          </cell>
          <cell r="GD110">
            <v>2.6544999999999999E-2</v>
          </cell>
          <cell r="GE110">
            <v>2.6194999999999996E-2</v>
          </cell>
          <cell r="GF110">
            <v>2.1865740000000002E-2</v>
          </cell>
          <cell r="GG110">
            <v>1.8313080000000002E-2</v>
          </cell>
          <cell r="GH110">
            <v>2.037042E-2</v>
          </cell>
          <cell r="GI110">
            <v>2.6650559999999997E-2</v>
          </cell>
          <cell r="GJ110">
            <v>2.6338439999999998E-2</v>
          </cell>
          <cell r="GK110">
            <v>3.1740360000000002E-2</v>
          </cell>
          <cell r="GU110">
            <v>3.4237320000000002E-2</v>
          </cell>
          <cell r="GV110">
            <v>3.8559060000000006E-2</v>
          </cell>
          <cell r="GW110">
            <v>3.2961300000000006E-2</v>
          </cell>
          <cell r="GX110">
            <v>2.991048E-2</v>
          </cell>
          <cell r="GY110">
            <v>2.70759E-2</v>
          </cell>
          <cell r="GZ110">
            <v>2.67189E-2</v>
          </cell>
          <cell r="HA110">
            <v>2.23030548E-2</v>
          </cell>
          <cell r="HB110">
            <v>1.8679341600000003E-2</v>
          </cell>
          <cell r="HC110">
            <v>2.07778284E-2</v>
          </cell>
          <cell r="HD110">
            <v>2.7183571199999999E-2</v>
          </cell>
          <cell r="HE110">
            <v>2.6865208800000005E-2</v>
          </cell>
          <cell r="HF110">
            <v>3.2375167199999999E-2</v>
          </cell>
        </row>
        <row r="115">
          <cell r="FZ115">
            <v>0.81062999999999996</v>
          </cell>
          <cell r="GA115">
            <v>0.85855800000000004</v>
          </cell>
          <cell r="GB115">
            <v>0.80576300000000001</v>
          </cell>
          <cell r="GC115">
            <v>0.69171099999999985</v>
          </cell>
          <cell r="GD115">
            <v>0.69565500000000002</v>
          </cell>
          <cell r="GE115">
            <v>0.64584350000000001</v>
          </cell>
          <cell r="GF115">
            <v>0.73879502077230552</v>
          </cell>
          <cell r="GG115">
            <v>0.64685780329172737</v>
          </cell>
          <cell r="GH115">
            <v>0.58681139465911925</v>
          </cell>
          <cell r="GI115">
            <v>0.61721304272730948</v>
          </cell>
          <cell r="GJ115">
            <v>0.63467786291936856</v>
          </cell>
          <cell r="GK115">
            <v>0.69459812363468143</v>
          </cell>
          <cell r="GU115">
            <v>0.82833991137099761</v>
          </cell>
          <cell r="GV115">
            <v>0.87731499898456877</v>
          </cell>
          <cell r="GW115">
            <v>0.82336658155512277</v>
          </cell>
          <cell r="GX115">
            <v>0.7068228765704998</v>
          </cell>
          <cell r="GY115">
            <v>0.71085304151683437</v>
          </cell>
          <cell r="GZ115">
            <v>0.65995330489808535</v>
          </cell>
          <cell r="HA115">
            <v>0.75493554646122885</v>
          </cell>
          <cell r="HB115">
            <v>0.66098976777112595</v>
          </cell>
          <cell r="HC115">
            <v>0.59963151948907201</v>
          </cell>
          <cell r="HD115">
            <v>0.63069735527893533</v>
          </cell>
          <cell r="HE115">
            <v>0.64854373107307162</v>
          </cell>
          <cell r="HF115">
            <v>0.70977307547218005</v>
          </cell>
        </row>
        <row r="121">
          <cell r="FZ121">
            <v>1.8810929999999999</v>
          </cell>
          <cell r="GA121">
            <v>0.25292900000000001</v>
          </cell>
          <cell r="GB121">
            <v>0.246472</v>
          </cell>
          <cell r="GC121">
            <v>1.0268710000000001</v>
          </cell>
          <cell r="GD121">
            <v>1.7964720000000001</v>
          </cell>
          <cell r="GE121">
            <v>1.5432570000000001</v>
          </cell>
          <cell r="GF121">
            <v>2.7922435999999999</v>
          </cell>
          <cell r="GG121">
            <v>1.195738</v>
          </cell>
          <cell r="GH121">
            <v>1.4618586999999998</v>
          </cell>
          <cell r="GI121">
            <v>3.7515427999999997</v>
          </cell>
          <cell r="GJ121">
            <v>4.0852820000000003</v>
          </cell>
          <cell r="GK121">
            <v>4.5289510000000002</v>
          </cell>
          <cell r="GU121">
            <v>1.9187148599999999</v>
          </cell>
          <cell r="GV121">
            <v>0.25798757999999999</v>
          </cell>
          <cell r="GW121">
            <v>0.25140143999999998</v>
          </cell>
          <cell r="GX121">
            <v>1.04740842</v>
          </cell>
          <cell r="GY121">
            <v>1.8324014400000002</v>
          </cell>
          <cell r="GZ121">
            <v>1.5741221400000001</v>
          </cell>
          <cell r="HA121">
            <v>2.8480884720000001</v>
          </cell>
          <cell r="HB121">
            <v>1.21965276</v>
          </cell>
          <cell r="HC121">
            <v>1.4910958739999998</v>
          </cell>
          <cell r="HD121">
            <v>3.8265736559999999</v>
          </cell>
          <cell r="HE121">
            <v>4.1669876400000003</v>
          </cell>
          <cell r="HF121">
            <v>4.61953002</v>
          </cell>
        </row>
        <row r="122">
          <cell r="FZ122">
            <v>14.13611</v>
          </cell>
          <cell r="GA122">
            <v>13.819861660000001</v>
          </cell>
          <cell r="GB122">
            <v>13.385196000000001</v>
          </cell>
          <cell r="GC122">
            <v>12.128666000000001</v>
          </cell>
          <cell r="GD122">
            <v>12.54369133</v>
          </cell>
          <cell r="GE122">
            <v>11.636266000000001</v>
          </cell>
          <cell r="GF122">
            <v>13.53608474954156</v>
          </cell>
          <cell r="GG122">
            <v>13.232861147009848</v>
          </cell>
          <cell r="GH122">
            <v>13.353467738592849</v>
          </cell>
          <cell r="GI122">
            <v>14.145500322902063</v>
          </cell>
          <cell r="GJ122">
            <v>13.138228817370909</v>
          </cell>
          <cell r="GK122">
            <v>14.081344696195606</v>
          </cell>
          <cell r="GU122">
            <v>14.676355499585378</v>
          </cell>
          <cell r="GV122">
            <v>14.348020967384246</v>
          </cell>
          <cell r="GW122">
            <v>13.896743512014847</v>
          </cell>
          <cell r="GX122">
            <v>12.592192190902178</v>
          </cell>
          <cell r="GY122">
            <v>13.023078713744228</v>
          </cell>
          <cell r="GZ122">
            <v>12.080973938639298</v>
          </cell>
          <cell r="HA122">
            <v>14.053398838632978</v>
          </cell>
          <cell r="HB122">
            <v>13.738586815620963</v>
          </cell>
          <cell r="HC122">
            <v>13.863802678660047</v>
          </cell>
          <cell r="HD122">
            <v>14.68610469629979</v>
          </cell>
          <cell r="HE122">
            <v>13.640337883521889</v>
          </cell>
          <cell r="HF122">
            <v>14.619497207758553</v>
          </cell>
        </row>
        <row r="123"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</row>
        <row r="126">
          <cell r="FZ126">
            <v>0.92873700000000003</v>
          </cell>
          <cell r="GA126">
            <v>0.96299999999999997</v>
          </cell>
          <cell r="GB126">
            <v>0.91133799999999998</v>
          </cell>
          <cell r="GC126">
            <v>0.76014099999999996</v>
          </cell>
          <cell r="GD126">
            <v>0.79836600000000002</v>
          </cell>
          <cell r="GE126">
            <v>0.74847399999999997</v>
          </cell>
          <cell r="GF126">
            <v>0.73818825906948671</v>
          </cell>
          <cell r="GG126">
            <v>0.67068726060502459</v>
          </cell>
          <cell r="GH126">
            <v>0.55828835005008381</v>
          </cell>
          <cell r="GI126">
            <v>0.63115914809892149</v>
          </cell>
          <cell r="GJ126">
            <v>0.64438706772254406</v>
          </cell>
          <cell r="GK126">
            <v>0.75655554080237886</v>
          </cell>
          <cell r="GU126">
            <v>0.94396269409905509</v>
          </cell>
          <cell r="GV126">
            <v>0.97878740097292338</v>
          </cell>
          <cell r="GW126">
            <v>0.92627845527296171</v>
          </cell>
          <cell r="GX126">
            <v>0.77260273495634368</v>
          </cell>
          <cell r="GY126">
            <v>0.811454394771702</v>
          </cell>
          <cell r="GZ126">
            <v>0.76074446641309224</v>
          </cell>
          <cell r="HA126">
            <v>0.750290101270353</v>
          </cell>
          <cell r="HB126">
            <v>0.68168249291094685</v>
          </cell>
          <cell r="HC126">
            <v>0.5674409170705953</v>
          </cell>
          <cell r="HD126">
            <v>0.64150635739151385</v>
          </cell>
          <cell r="HE126">
            <v>0.65495113524061488</v>
          </cell>
          <cell r="HF126">
            <v>0.76895849581892517</v>
          </cell>
        </row>
        <row r="127">
          <cell r="FZ127">
            <v>1.101181</v>
          </cell>
          <cell r="GA127">
            <v>1.0717239999999999</v>
          </cell>
          <cell r="GB127">
            <v>1.084025</v>
          </cell>
          <cell r="GC127">
            <v>1.0250300000000001</v>
          </cell>
          <cell r="GD127">
            <v>1.213595</v>
          </cell>
          <cell r="GE127">
            <v>1.1878</v>
          </cell>
          <cell r="GF127">
            <v>1.4299949999999999</v>
          </cell>
          <cell r="GG127">
            <v>1.3612569999999999</v>
          </cell>
          <cell r="GH127">
            <v>1.364538</v>
          </cell>
          <cell r="GI127">
            <v>1.374131</v>
          </cell>
          <cell r="GJ127">
            <v>1.2489410000000001</v>
          </cell>
          <cell r="GK127">
            <v>1.1490670000000001</v>
          </cell>
          <cell r="GU127">
            <v>1.101181</v>
          </cell>
          <cell r="GV127">
            <v>1.0717239999999999</v>
          </cell>
          <cell r="GW127">
            <v>1.084025</v>
          </cell>
          <cell r="GX127">
            <v>1.0250300000000001</v>
          </cell>
          <cell r="GY127">
            <v>1.213595</v>
          </cell>
          <cell r="GZ127">
            <v>1.1878</v>
          </cell>
          <cell r="HA127">
            <v>1.4299949999999999</v>
          </cell>
          <cell r="HB127">
            <v>1.3612569999999999</v>
          </cell>
          <cell r="HC127">
            <v>1.364538</v>
          </cell>
          <cell r="HD127">
            <v>1.374131</v>
          </cell>
          <cell r="HE127">
            <v>1.2489410000000001</v>
          </cell>
          <cell r="HF127">
            <v>1.1490670000000001</v>
          </cell>
        </row>
        <row r="128">
          <cell r="FZ128">
            <v>74.935330099999987</v>
          </cell>
          <cell r="GA128">
            <v>50.249909000000002</v>
          </cell>
          <cell r="GB128">
            <v>70.708532019999993</v>
          </cell>
          <cell r="GC128">
            <v>101.04559681000001</v>
          </cell>
          <cell r="GD128">
            <v>93.933269940000017</v>
          </cell>
          <cell r="GE128">
            <v>86.487805000000009</v>
          </cell>
          <cell r="GF128">
            <v>102.48035387760032</v>
          </cell>
          <cell r="GG128">
            <v>57.618904551334673</v>
          </cell>
          <cell r="GH128">
            <v>116.89244391933178</v>
          </cell>
          <cell r="GI128">
            <v>125.13962267836598</v>
          </cell>
          <cell r="GJ128">
            <v>136.28117376674865</v>
          </cell>
          <cell r="GK128">
            <v>149.0908558521372</v>
          </cell>
          <cell r="GU128">
            <v>79.450844595437488</v>
          </cell>
          <cell r="GV128">
            <v>53.277909172697115</v>
          </cell>
          <cell r="GW128">
            <v>74.969344654859071</v>
          </cell>
          <cell r="GX128">
            <v>107.13448514193634</v>
          </cell>
          <cell r="GY128">
            <v>99.593577854195928</v>
          </cell>
          <cell r="GZ128">
            <v>91.699457989783411</v>
          </cell>
          <cell r="HA128">
            <v>108.65569897602498</v>
          </cell>
          <cell r="HB128">
            <v>61.090951693391382</v>
          </cell>
          <cell r="HC128">
            <v>123.93624454342294</v>
          </cell>
          <cell r="HD128">
            <v>132.68038855480455</v>
          </cell>
          <cell r="HE128">
            <v>144.49331635393384</v>
          </cell>
          <cell r="HF128">
            <v>158.07489475393564</v>
          </cell>
        </row>
        <row r="143">
          <cell r="GU143">
            <v>19.57158244841078</v>
          </cell>
          <cell r="GV143">
            <v>18.29360570449392</v>
          </cell>
          <cell r="GW143">
            <v>19.193369090566854</v>
          </cell>
          <cell r="GX143">
            <v>20.332407564809451</v>
          </cell>
          <cell r="GY143">
            <v>21.009313076197206</v>
          </cell>
          <cell r="GZ143">
            <v>20.53566591518706</v>
          </cell>
          <cell r="HA143">
            <v>15.514503912910548</v>
          </cell>
          <cell r="HB143">
            <v>17.43007097719817</v>
          </cell>
          <cell r="HC143">
            <v>17.833969223954462</v>
          </cell>
          <cell r="HD143">
            <v>18.979414256392559</v>
          </cell>
          <cell r="HE143">
            <v>19.188019772305132</v>
          </cell>
          <cell r="HF143">
            <v>19.941913440225122</v>
          </cell>
        </row>
        <row r="144">
          <cell r="FZ144">
            <v>18.733255</v>
          </cell>
          <cell r="GA144">
            <v>17.510019</v>
          </cell>
          <cell r="GB144">
            <v>18.371242000000002</v>
          </cell>
          <cell r="GC144">
            <v>19.461491000000002</v>
          </cell>
          <cell r="GD144">
            <v>20.109402000000003</v>
          </cell>
          <cell r="GE144">
            <v>19.656043</v>
          </cell>
          <cell r="GF144">
            <v>14.849957011148625</v>
          </cell>
          <cell r="GG144">
            <v>16.683472843580219</v>
          </cell>
          <cell r="GH144">
            <v>17.070070548210531</v>
          </cell>
          <cell r="GI144">
            <v>18.166451688453414</v>
          </cell>
          <cell r="GJ144">
            <v>18.366121813968178</v>
          </cell>
          <cell r="GK144">
            <v>19.087723266546547</v>
          </cell>
        </row>
        <row r="159">
          <cell r="FZ159">
            <v>0</v>
          </cell>
          <cell r="GA159">
            <v>0</v>
          </cell>
          <cell r="GB159">
            <v>2.3999999999999998E-3</v>
          </cell>
          <cell r="GC159">
            <v>2.8E-3</v>
          </cell>
          <cell r="GD159">
            <v>0.72760000000000002</v>
          </cell>
          <cell r="GE159">
            <v>2.9662000000000002</v>
          </cell>
          <cell r="GF159">
            <v>2.9662000000000002</v>
          </cell>
          <cell r="GG159">
            <v>2.9662000000000002</v>
          </cell>
          <cell r="GH159">
            <v>2.9662000000000002</v>
          </cell>
          <cell r="GI159">
            <v>2.9662000000000002</v>
          </cell>
          <cell r="GJ159">
            <v>2.9662000000000002</v>
          </cell>
          <cell r="GK159">
            <v>2.9662000000000002</v>
          </cell>
          <cell r="GU159">
            <v>2.9662000000000002</v>
          </cell>
          <cell r="GV159">
            <v>2.9662000000000002</v>
          </cell>
          <cell r="GW159">
            <v>2.9662000000000002</v>
          </cell>
          <cell r="GX159">
            <v>2.9662000000000002</v>
          </cell>
          <cell r="GY159">
            <v>2.9662000000000002</v>
          </cell>
          <cell r="GZ159">
            <v>2.9662000000000002</v>
          </cell>
          <cell r="HA159">
            <v>2.9662000000000002</v>
          </cell>
          <cell r="HB159">
            <v>2.9662000000000002</v>
          </cell>
          <cell r="HC159">
            <v>2.9662000000000002</v>
          </cell>
          <cell r="HD159">
            <v>2.9662000000000002</v>
          </cell>
          <cell r="HE159">
            <v>2.9662000000000002</v>
          </cell>
          <cell r="HF159">
            <v>2.9662000000000002</v>
          </cell>
        </row>
        <row r="160">
          <cell r="FZ160">
            <v>1.351898</v>
          </cell>
          <cell r="GA160">
            <v>1.282016</v>
          </cell>
          <cell r="GB160">
            <v>1.2406270000000001</v>
          </cell>
          <cell r="GC160">
            <v>1.3505119999999997</v>
          </cell>
          <cell r="GD160">
            <v>1.6477911000000001</v>
          </cell>
          <cell r="GE160">
            <v>1.6116490000000001</v>
          </cell>
          <cell r="GF160">
            <v>1.70167212</v>
          </cell>
          <cell r="GG160">
            <v>1.4467618799999999</v>
          </cell>
          <cell r="GH160">
            <v>1.1448794160000002</v>
          </cell>
          <cell r="GI160">
            <v>1.06568478</v>
          </cell>
          <cell r="GJ160">
            <v>1.19563278</v>
          </cell>
          <cell r="GK160">
            <v>1.3224208200000001</v>
          </cell>
          <cell r="GU160">
            <v>1.3789359600000002</v>
          </cell>
          <cell r="GV160">
            <v>1.30765632</v>
          </cell>
          <cell r="GW160">
            <v>1.26543954</v>
          </cell>
          <cell r="GX160">
            <v>1.3775222399999998</v>
          </cell>
          <cell r="GY160">
            <v>1.6807469220000002</v>
          </cell>
          <cell r="GZ160">
            <v>1.6438819800000002</v>
          </cell>
          <cell r="HA160">
            <v>1.7357055624000002</v>
          </cell>
          <cell r="HB160">
            <v>1.4756971175999998</v>
          </cell>
          <cell r="HC160">
            <v>1.1677770043200002</v>
          </cell>
          <cell r="HD160">
            <v>1.0869984756</v>
          </cell>
          <cell r="HE160">
            <v>1.2195454356000002</v>
          </cell>
          <cell r="HF160">
            <v>1.3488692364000001</v>
          </cell>
        </row>
        <row r="166"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</row>
        <row r="171"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</row>
        <row r="177">
          <cell r="FZ177">
            <v>0.96419500000000002</v>
          </cell>
          <cell r="GA177">
            <v>8.6150000000000004E-2</v>
          </cell>
          <cell r="GB177">
            <v>7.9454999999999998E-2</v>
          </cell>
          <cell r="GC177">
            <v>0.15110000000000001</v>
          </cell>
          <cell r="GD177">
            <v>3.6118199999999998</v>
          </cell>
          <cell r="GE177">
            <v>3.8618899999999998</v>
          </cell>
          <cell r="GF177">
            <v>2.06528</v>
          </cell>
          <cell r="GG177">
            <v>1.0924499999999999</v>
          </cell>
          <cell r="GH177">
            <v>0.46172000000000002</v>
          </cell>
          <cell r="GI177">
            <v>7.4367049999999999</v>
          </cell>
          <cell r="GJ177">
            <v>6.0677500000000002</v>
          </cell>
          <cell r="GK177">
            <v>4.4021249999999998</v>
          </cell>
          <cell r="GU177">
            <v>0.98347890000000004</v>
          </cell>
          <cell r="GV177">
            <v>8.7873000000000007E-2</v>
          </cell>
          <cell r="GW177">
            <v>8.1044099999999994E-2</v>
          </cell>
          <cell r="GX177">
            <v>0.15412200000000001</v>
          </cell>
          <cell r="GY177">
            <v>3.6840563999999998</v>
          </cell>
          <cell r="GZ177">
            <v>3.9391278000000001</v>
          </cell>
          <cell r="HA177">
            <v>2.1065855999999998</v>
          </cell>
          <cell r="HB177">
            <v>1.1142989999999999</v>
          </cell>
          <cell r="HC177">
            <v>0.47095440000000005</v>
          </cell>
          <cell r="HD177">
            <v>7.5854391000000003</v>
          </cell>
          <cell r="HE177">
            <v>6.1891050000000005</v>
          </cell>
          <cell r="HF177">
            <v>4.4901675000000001</v>
          </cell>
        </row>
        <row r="178">
          <cell r="FZ178">
            <v>31.637810000000002</v>
          </cell>
          <cell r="GA178">
            <v>32.154882999999998</v>
          </cell>
          <cell r="GB178">
            <v>29.797879999999999</v>
          </cell>
          <cell r="GC178">
            <v>30.456292999999999</v>
          </cell>
          <cell r="GD178">
            <v>29.774274999999999</v>
          </cell>
          <cell r="GE178">
            <v>29.234998000000001</v>
          </cell>
          <cell r="GF178">
            <v>30.763913899001746</v>
          </cell>
          <cell r="GG178">
            <v>30.78339691780592</v>
          </cell>
          <cell r="GH178">
            <v>30.479904878532789</v>
          </cell>
          <cell r="GI178">
            <v>31.780103338040057</v>
          </cell>
          <cell r="GJ178">
            <v>28.60389930160623</v>
          </cell>
          <cell r="GK178">
            <v>38.131653187285849</v>
          </cell>
          <cell r="GU178">
            <v>32.505823950093173</v>
          </cell>
          <cell r="GV178">
            <v>33.037083348494846</v>
          </cell>
          <cell r="GW178">
            <v>30.615413689063885</v>
          </cell>
          <cell r="GX178">
            <v>31.291890887215487</v>
          </cell>
          <cell r="GY178">
            <v>30.591161063033766</v>
          </cell>
          <cell r="GZ178">
            <v>30.037088476393468</v>
          </cell>
          <cell r="HA178">
            <v>31.607951663429773</v>
          </cell>
          <cell r="HB178">
            <v>31.627969217718924</v>
          </cell>
          <cell r="HC178">
            <v>31.316150580497602</v>
          </cell>
          <cell r="HD178">
            <v>32.652021243635332</v>
          </cell>
          <cell r="HE178">
            <v>29.388674974159244</v>
          </cell>
          <cell r="HF178">
            <v>39.177832012769628</v>
          </cell>
        </row>
        <row r="182">
          <cell r="FZ182">
            <v>4.3664389999999997</v>
          </cell>
          <cell r="GA182">
            <v>4.6133490000000004</v>
          </cell>
          <cell r="GB182">
            <v>3.9556540000000004</v>
          </cell>
          <cell r="GC182">
            <v>3.2344680000000006</v>
          </cell>
          <cell r="GD182">
            <v>3.5508120000000001</v>
          </cell>
          <cell r="GE182">
            <v>3.3408439999999997</v>
          </cell>
          <cell r="GF182">
            <v>1.7436400000000001</v>
          </cell>
          <cell r="GG182">
            <v>1.2835639999999999</v>
          </cell>
          <cell r="GH182">
            <v>0.63641499999999995</v>
          </cell>
          <cell r="GI182">
            <v>1.765506</v>
          </cell>
          <cell r="GJ182">
            <v>2.2222189999999999</v>
          </cell>
          <cell r="GK182">
            <v>3.2211628965517245</v>
          </cell>
          <cell r="GU182">
            <v>4.4537677799999997</v>
          </cell>
          <cell r="GV182">
            <v>4.7056159800000001</v>
          </cell>
          <cell r="GW182">
            <v>4.0347670800000008</v>
          </cell>
          <cell r="GX182">
            <v>3.2991573600000006</v>
          </cell>
          <cell r="GY182">
            <v>3.6218282400000001</v>
          </cell>
          <cell r="GZ182">
            <v>3.4076608799999999</v>
          </cell>
          <cell r="HA182">
            <v>1.7785128000000001</v>
          </cell>
          <cell r="HB182">
            <v>1.30923528</v>
          </cell>
          <cell r="HC182">
            <v>0.64914329999999998</v>
          </cell>
          <cell r="HD182">
            <v>1.8008161200000001</v>
          </cell>
          <cell r="HE182">
            <v>2.2666633799999998</v>
          </cell>
          <cell r="HF182">
            <v>3.2855861544827589</v>
          </cell>
        </row>
        <row r="183">
          <cell r="FZ183">
            <v>0.62608299999999995</v>
          </cell>
          <cell r="GA183">
            <v>0.64824099999999996</v>
          </cell>
          <cell r="GB183">
            <v>0.77407099999999995</v>
          </cell>
          <cell r="GC183">
            <v>0.66778199999999999</v>
          </cell>
          <cell r="GD183">
            <v>0.58966600000000002</v>
          </cell>
          <cell r="GE183">
            <v>0.62527900000000003</v>
          </cell>
          <cell r="GF183">
            <v>0.65542955999999997</v>
          </cell>
          <cell r="GG183">
            <v>0.66593454000000007</v>
          </cell>
          <cell r="GH183">
            <v>0.78684942000000002</v>
          </cell>
          <cell r="GI183">
            <v>0.73547609999999997</v>
          </cell>
          <cell r="GJ183">
            <v>0.69303797999999994</v>
          </cell>
          <cell r="GK183">
            <v>0.67969230000000003</v>
          </cell>
          <cell r="GU183">
            <v>0.63860465999999994</v>
          </cell>
          <cell r="GV183">
            <v>0.66120581999999994</v>
          </cell>
          <cell r="GW183">
            <v>0.78955241999999992</v>
          </cell>
          <cell r="GX183">
            <v>0.68113763999999999</v>
          </cell>
          <cell r="GY183">
            <v>0.60145932000000002</v>
          </cell>
          <cell r="GZ183">
            <v>0.63778458000000005</v>
          </cell>
          <cell r="HA183">
            <v>0.66853815119999993</v>
          </cell>
          <cell r="HB183">
            <v>0.67925323080000011</v>
          </cell>
          <cell r="HC183">
            <v>0.80258640840000006</v>
          </cell>
          <cell r="HD183">
            <v>0.75018562199999994</v>
          </cell>
          <cell r="HE183">
            <v>0.70689873959999994</v>
          </cell>
          <cell r="HF183">
            <v>0.69328614600000005</v>
          </cell>
        </row>
        <row r="184"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</row>
        <row r="188"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0.02</v>
          </cell>
          <cell r="GE188">
            <v>0.03</v>
          </cell>
          <cell r="GF188">
            <v>1.35408</v>
          </cell>
          <cell r="GG188">
            <v>1.3104</v>
          </cell>
          <cell r="GH188">
            <v>1.35408</v>
          </cell>
          <cell r="GI188">
            <v>1.66656</v>
          </cell>
          <cell r="GJ188">
            <v>1.50528</v>
          </cell>
          <cell r="GK188">
            <v>1.66656</v>
          </cell>
          <cell r="GU188">
            <v>3.2256</v>
          </cell>
          <cell r="GV188">
            <v>3.3331200000000001</v>
          </cell>
          <cell r="GW188">
            <v>3.2256</v>
          </cell>
          <cell r="GX188">
            <v>3.3331200000000001</v>
          </cell>
          <cell r="GY188">
            <v>3.3331200000000001</v>
          </cell>
          <cell r="GZ188">
            <v>3.2256</v>
          </cell>
          <cell r="HA188">
            <v>3.3331200000000001</v>
          </cell>
          <cell r="HB188">
            <v>3.2256</v>
          </cell>
          <cell r="HC188">
            <v>3.3331200000000001</v>
          </cell>
          <cell r="HD188">
            <v>3.3331200000000001</v>
          </cell>
          <cell r="HE188">
            <v>3.0105599999999999</v>
          </cell>
          <cell r="HF188">
            <v>3.3331200000000001</v>
          </cell>
        </row>
        <row r="198">
          <cell r="FZ198">
            <v>49.117088719999998</v>
          </cell>
          <cell r="GA198">
            <v>50.520845719999997</v>
          </cell>
          <cell r="GB198">
            <v>47.358044390000003</v>
          </cell>
          <cell r="GC198">
            <v>51.399640389999995</v>
          </cell>
          <cell r="GD198">
            <v>52.908668720000001</v>
          </cell>
          <cell r="GE198">
            <v>54.280838719999998</v>
          </cell>
          <cell r="GF198">
            <v>57.895970355760099</v>
          </cell>
          <cell r="GG198">
            <v>59.121675024573641</v>
          </cell>
          <cell r="GH198">
            <v>52.150697668330139</v>
          </cell>
          <cell r="GI198">
            <v>55.83279527399305</v>
          </cell>
          <cell r="GJ198">
            <v>52.500340550107452</v>
          </cell>
          <cell r="GK198">
            <v>53.083730142943999</v>
          </cell>
          <cell r="GU198">
            <v>50.016591858304096</v>
          </cell>
          <cell r="GV198">
            <v>51.444167529792296</v>
          </cell>
          <cell r="GW198">
            <v>48.22599649924355</v>
          </cell>
          <cell r="GX198">
            <v>52.343267406266918</v>
          </cell>
          <cell r="GY198">
            <v>53.882326927988821</v>
          </cell>
          <cell r="GZ198">
            <v>55.285193645087574</v>
          </cell>
          <cell r="HA198">
            <v>58.970647202822576</v>
          </cell>
          <cell r="HB198">
            <v>60.223493293936102</v>
          </cell>
          <cell r="HC198">
            <v>53.108216037400503</v>
          </cell>
          <cell r="HD198">
            <v>56.868262749932896</v>
          </cell>
          <cell r="HE198">
            <v>53.468032178617214</v>
          </cell>
          <cell r="HF198">
            <v>54.05860747926608</v>
          </cell>
        </row>
        <row r="208"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</row>
        <row r="214">
          <cell r="FZ214">
            <v>0.18790000000000004</v>
          </cell>
          <cell r="GA214">
            <v>0.1915</v>
          </cell>
          <cell r="GB214">
            <v>0.21079999999999999</v>
          </cell>
          <cell r="GC214">
            <v>0.68430000000000013</v>
          </cell>
          <cell r="GD214">
            <v>0.22889999999999999</v>
          </cell>
          <cell r="GE214">
            <v>1.0044</v>
          </cell>
          <cell r="GF214">
            <v>0.25009999999999999</v>
          </cell>
          <cell r="GG214">
            <v>0.33629999999999999</v>
          </cell>
          <cell r="GH214">
            <v>0.36739999999999995</v>
          </cell>
          <cell r="GI214">
            <v>0.62139999999999995</v>
          </cell>
          <cell r="GJ214">
            <v>0.26619999999999999</v>
          </cell>
          <cell r="GK214">
            <v>0.23020000000000002</v>
          </cell>
          <cell r="GU214">
            <v>0.1918048509312377</v>
          </cell>
          <cell r="GV214">
            <v>0.19547966446690804</v>
          </cell>
          <cell r="GW214">
            <v>0.21518074814425175</v>
          </cell>
          <cell r="GX214">
            <v>0.69852080623866919</v>
          </cell>
          <cell r="GY214">
            <v>0.23365689397637202</v>
          </cell>
          <cell r="GZ214">
            <v>1.025272976452023</v>
          </cell>
          <cell r="HA214">
            <v>0.25529746257531954</v>
          </cell>
          <cell r="HB214">
            <v>0.34328883112387032</v>
          </cell>
          <cell r="HC214">
            <v>0.37503513694591117</v>
          </cell>
          <cell r="HD214">
            <v>0.63431364751820696</v>
          </cell>
          <cell r="HE214">
            <v>0.27173204533206741</v>
          </cell>
          <cell r="HF214">
            <v>0.23498390997536411</v>
          </cell>
        </row>
        <row r="219"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</row>
        <row r="224"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</row>
        <row r="230">
          <cell r="FZ230">
            <v>9.1935830000000003</v>
          </cell>
          <cell r="GA230">
            <v>22.441925000000001</v>
          </cell>
          <cell r="GB230">
            <v>4.4943159999999995</v>
          </cell>
          <cell r="GC230">
            <v>140.67014499999999</v>
          </cell>
          <cell r="GD230">
            <v>542.38561800000002</v>
          </cell>
          <cell r="GE230">
            <v>141.72118799999998</v>
          </cell>
          <cell r="GF230">
            <v>74.385187999999999</v>
          </cell>
          <cell r="GG230">
            <v>138.6304978</v>
          </cell>
          <cell r="GH230">
            <v>24.626479</v>
          </cell>
          <cell r="GI230">
            <v>115.738292</v>
          </cell>
          <cell r="GJ230">
            <v>135.818702</v>
          </cell>
          <cell r="GK230">
            <v>145.34598400000002</v>
          </cell>
          <cell r="GU230">
            <v>9.3774546599999997</v>
          </cell>
          <cell r="GV230">
            <v>22.890763500000002</v>
          </cell>
          <cell r="GW230">
            <v>4.5842023199999993</v>
          </cell>
          <cell r="GX230">
            <v>143.48354789999999</v>
          </cell>
          <cell r="GY230">
            <v>553.23333036000008</v>
          </cell>
          <cell r="GZ230">
            <v>144.55561175999998</v>
          </cell>
          <cell r="HA230">
            <v>75.872891760000002</v>
          </cell>
          <cell r="HB230">
            <v>141.403107756</v>
          </cell>
          <cell r="HC230">
            <v>25.119008579999999</v>
          </cell>
          <cell r="HD230">
            <v>118.05305784000001</v>
          </cell>
          <cell r="HE230">
            <v>138.53507604000001</v>
          </cell>
          <cell r="HF230">
            <v>148.25290368000003</v>
          </cell>
        </row>
        <row r="232">
          <cell r="FZ232">
            <v>2.1915360000000002</v>
          </cell>
          <cell r="GA232">
            <v>2.4081480000000002</v>
          </cell>
          <cell r="GB232">
            <v>2.3921999999999999</v>
          </cell>
          <cell r="GC232">
            <v>2.610684</v>
          </cell>
          <cell r="GD232">
            <v>2.493468</v>
          </cell>
          <cell r="GE232">
            <v>2.3063760000000002</v>
          </cell>
          <cell r="GF232">
            <v>2.3466316405434569</v>
          </cell>
          <cell r="GG232">
            <v>2.2751373575079481</v>
          </cell>
          <cell r="GH232">
            <v>2.4485498092760816</v>
          </cell>
          <cell r="GI232">
            <v>2.4973093539109503</v>
          </cell>
          <cell r="GJ232">
            <v>2.3215679777212874</v>
          </cell>
          <cell r="GK232">
            <v>2.6635501971429472</v>
          </cell>
          <cell r="GU232">
            <v>2.2614259712181002</v>
          </cell>
          <cell r="GV232">
            <v>2.4849459145261252</v>
          </cell>
          <cell r="GW232">
            <v>2.4684893190656867</v>
          </cell>
          <cell r="GX232">
            <v>2.6939409620665846</v>
          </cell>
          <cell r="GY232">
            <v>2.5729868428359168</v>
          </cell>
          <cell r="GZ232">
            <v>2.3799283177616601</v>
          </cell>
          <cell r="HA232">
            <v>2.4214677453654017</v>
          </cell>
          <cell r="HB232">
            <v>2.3476934480460252</v>
          </cell>
          <cell r="HC232">
            <v>2.5266361723093103</v>
          </cell>
          <cell r="HD232">
            <v>2.5769507008327115</v>
          </cell>
          <cell r="HE232">
            <v>2.3956047807415453</v>
          </cell>
          <cell r="HF232">
            <v>2.7484931077847463</v>
          </cell>
        </row>
        <row r="235">
          <cell r="FZ235">
            <v>52.879330100000004</v>
          </cell>
          <cell r="GA235">
            <v>53.790901700000006</v>
          </cell>
          <cell r="GB235">
            <v>52.512849600000003</v>
          </cell>
          <cell r="GC235">
            <v>50.321667700000006</v>
          </cell>
          <cell r="GD235">
            <v>52.117640399999999</v>
          </cell>
          <cell r="GE235">
            <v>45.233927799999996</v>
          </cell>
          <cell r="GF235">
            <v>55.066384746628245</v>
          </cell>
          <cell r="GG235">
            <v>55.893621194894187</v>
          </cell>
          <cell r="GH235">
            <v>54.923263621203901</v>
          </cell>
          <cell r="GI235">
            <v>56.92161750969909</v>
          </cell>
          <cell r="GJ235">
            <v>53.968634005032733</v>
          </cell>
          <cell r="GK235">
            <v>58.248264231289845</v>
          </cell>
          <cell r="GU235">
            <v>56.081993716677758</v>
          </cell>
          <cell r="GV235">
            <v>57.048775115890344</v>
          </cell>
          <cell r="GW235">
            <v>55.693317138146654</v>
          </cell>
          <cell r="GX235">
            <v>53.369425188012094</v>
          </cell>
          <cell r="GY235">
            <v>55.274171891237152</v>
          </cell>
          <cell r="GZ235">
            <v>47.973543724228364</v>
          </cell>
          <cell r="HA235">
            <v>58.401508444233578</v>
          </cell>
          <cell r="HB235">
            <v>59.278846890203369</v>
          </cell>
          <cell r="HC235">
            <v>58.249719114800079</v>
          </cell>
          <cell r="HD235">
            <v>60.369104326495219</v>
          </cell>
          <cell r="HE235">
            <v>57.23727186869047</v>
          </cell>
          <cell r="HF235">
            <v>61.776100083888593</v>
          </cell>
        </row>
        <row r="239">
          <cell r="FZ239">
            <v>6.8058180000000004</v>
          </cell>
          <cell r="GA239">
            <v>8.1115929999999992</v>
          </cell>
          <cell r="GB239">
            <v>7.0418869999999991</v>
          </cell>
          <cell r="GC239">
            <v>6.7359859999999996</v>
          </cell>
          <cell r="GD239">
            <v>6.3618709999999998</v>
          </cell>
          <cell r="GE239">
            <v>6.0985360000000002</v>
          </cell>
          <cell r="GF239">
            <v>5.3285729999999996</v>
          </cell>
          <cell r="GG239">
            <v>4.6946779999999997</v>
          </cell>
          <cell r="GH239">
            <v>2.9676140000000002</v>
          </cell>
          <cell r="GI239">
            <v>3.2173480000000003</v>
          </cell>
          <cell r="GJ239">
            <v>3.8677219999999997</v>
          </cell>
          <cell r="GK239">
            <v>5.7141391034482751</v>
          </cell>
          <cell r="GU239">
            <v>6.8058180000000004</v>
          </cell>
          <cell r="GV239">
            <v>8.1115929999999992</v>
          </cell>
          <cell r="GW239">
            <v>7.0418869999999991</v>
          </cell>
          <cell r="GX239">
            <v>6.7359859999999996</v>
          </cell>
          <cell r="GY239">
            <v>6.3618709999999998</v>
          </cell>
          <cell r="GZ239">
            <v>6.0985360000000002</v>
          </cell>
          <cell r="HA239">
            <v>5.3285729999999996</v>
          </cell>
          <cell r="HB239">
            <v>4.6946779999999997</v>
          </cell>
          <cell r="HC239">
            <v>2.9676140000000002</v>
          </cell>
          <cell r="HD239">
            <v>3.2173480000000003</v>
          </cell>
          <cell r="HE239">
            <v>3.8677219999999997</v>
          </cell>
          <cell r="HF239">
            <v>5.7141391034482751</v>
          </cell>
        </row>
        <row r="240"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</row>
      </sheetData>
      <sheetData sheetId="5">
        <row r="10">
          <cell r="H10">
            <v>8117951</v>
          </cell>
        </row>
      </sheetData>
      <sheetData sheetId="6">
        <row r="10">
          <cell r="H10">
            <v>4141446</v>
          </cell>
          <cell r="I10">
            <v>4676.0056213445614</v>
          </cell>
          <cell r="K10">
            <v>4518.5095000650799</v>
          </cell>
          <cell r="AJ10">
            <v>4253453</v>
          </cell>
          <cell r="AK10">
            <v>4788.0126213445601</v>
          </cell>
          <cell r="AQ10">
            <v>5004.1429709956828</v>
          </cell>
          <cell r="AT10">
            <v>58.746459594038548</v>
          </cell>
          <cell r="AU10">
            <v>1896.417459617079</v>
          </cell>
          <cell r="AW10">
            <v>309.89197200000001</v>
          </cell>
          <cell r="BN10">
            <v>58.746459594038548</v>
          </cell>
          <cell r="BO10">
            <v>1896.417459617079</v>
          </cell>
          <cell r="BQ10">
            <v>309.89197200000001</v>
          </cell>
          <cell r="CZ10">
            <v>56.637118991366016</v>
          </cell>
          <cell r="DA10">
            <v>1712.3771956627511</v>
          </cell>
          <cell r="DC10">
            <v>301.62265199999996</v>
          </cell>
        </row>
        <row r="11">
          <cell r="H11">
            <v>3137721</v>
          </cell>
          <cell r="I11">
            <v>2563.4526400562763</v>
          </cell>
          <cell r="K11">
            <v>1929.8524947783014</v>
          </cell>
          <cell r="AJ11">
            <v>3222582</v>
          </cell>
          <cell r="AK11">
            <v>2624.8564669773014</v>
          </cell>
          <cell r="AQ11">
            <v>2137.2662371660895</v>
          </cell>
          <cell r="AT11">
            <v>31.498277603727615</v>
          </cell>
          <cell r="AU11">
            <v>460.83167326347865</v>
          </cell>
          <cell r="AW11">
            <v>192.86188200000001</v>
          </cell>
          <cell r="BN11">
            <v>31.498277603727615</v>
          </cell>
          <cell r="BO11">
            <v>460.83167326347865</v>
          </cell>
          <cell r="BQ11">
            <v>192.86188200000001</v>
          </cell>
          <cell r="CZ11">
            <v>30.761431680675319</v>
          </cell>
          <cell r="DA11">
            <v>416.10967265341782</v>
          </cell>
          <cell r="DC11">
            <v>187.71543</v>
          </cell>
        </row>
        <row r="12">
          <cell r="H12">
            <v>2035553</v>
          </cell>
          <cell r="I12">
            <v>1309.44201535964</v>
          </cell>
          <cell r="K12">
            <v>1583.8660932857013</v>
          </cell>
          <cell r="O12">
            <v>10</v>
          </cell>
          <cell r="P12">
            <v>1.95</v>
          </cell>
          <cell r="S12">
            <v>10</v>
          </cell>
          <cell r="T12">
            <v>1.95</v>
          </cell>
          <cell r="AA12">
            <v>40</v>
          </cell>
          <cell r="AC12">
            <v>40</v>
          </cell>
          <cell r="AJ12">
            <v>2090605</v>
          </cell>
          <cell r="AK12">
            <v>1340.8078185025824</v>
          </cell>
          <cell r="AQ12">
            <v>1754.0944370261652</v>
          </cell>
          <cell r="AT12">
            <v>16.089693822030988</v>
          </cell>
          <cell r="AU12">
            <v>342.04841522010219</v>
          </cell>
          <cell r="AW12">
            <v>99.027792000000005</v>
          </cell>
          <cell r="BN12">
            <v>16.089693822030988</v>
          </cell>
          <cell r="BO12">
            <v>342.04841522010219</v>
          </cell>
          <cell r="BQ12">
            <v>99.027792000000005</v>
          </cell>
          <cell r="CZ12">
            <v>15.713304184315678</v>
          </cell>
          <cell r="DA12">
            <v>308.85388819071176</v>
          </cell>
          <cell r="DC12">
            <v>96.385295999999997</v>
          </cell>
        </row>
        <row r="13">
          <cell r="H13">
            <v>1102168</v>
          </cell>
          <cell r="I13">
            <v>1254.0106246966366</v>
          </cell>
          <cell r="K13">
            <v>345.98640149260012</v>
          </cell>
          <cell r="O13">
            <v>10</v>
          </cell>
          <cell r="P13">
            <v>3.1</v>
          </cell>
          <cell r="S13">
            <v>10</v>
          </cell>
          <cell r="T13">
            <v>3.1</v>
          </cell>
          <cell r="AA13">
            <v>70</v>
          </cell>
          <cell r="AC13">
            <v>70</v>
          </cell>
          <cell r="AJ13">
            <v>1131977</v>
          </cell>
          <cell r="AK13">
            <v>1284.0486484747191</v>
          </cell>
          <cell r="AQ13">
            <v>383.17180013992407</v>
          </cell>
          <cell r="AT13">
            <v>15.408583781696629</v>
          </cell>
          <cell r="AU13">
            <v>118.78325804337646</v>
          </cell>
          <cell r="AW13">
            <v>93.834090000000003</v>
          </cell>
          <cell r="BN13">
            <v>15.408583781696629</v>
          </cell>
          <cell r="BO13">
            <v>118.78325804337646</v>
          </cell>
          <cell r="BQ13">
            <v>93.834090000000003</v>
          </cell>
          <cell r="CZ13">
            <v>15.048127496359641</v>
          </cell>
          <cell r="DA13">
            <v>107.25578446270606</v>
          </cell>
          <cell r="DC13">
            <v>91.330134000000001</v>
          </cell>
        </row>
        <row r="14">
          <cell r="H14">
            <v>689390</v>
          </cell>
          <cell r="I14">
            <v>1407.59574739041</v>
          </cell>
          <cell r="K14">
            <v>1420.2232835244331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AA14">
            <v>0</v>
          </cell>
          <cell r="AC14">
            <v>0</v>
          </cell>
          <cell r="AJ14">
            <v>708035</v>
          </cell>
          <cell r="AK14">
            <v>1441.3126822371696</v>
          </cell>
          <cell r="AQ14">
            <v>1572.8638749992313</v>
          </cell>
          <cell r="AT14">
            <v>17.295752186846034</v>
          </cell>
          <cell r="AU14">
            <v>624.11950176719847</v>
          </cell>
          <cell r="AW14">
            <v>75.460949999999997</v>
          </cell>
          <cell r="BN14">
            <v>17.295752186846034</v>
          </cell>
          <cell r="BO14">
            <v>624.11950176719847</v>
          </cell>
          <cell r="BQ14">
            <v>75.460949999999997</v>
          </cell>
          <cell r="CZ14">
            <v>16.891148968684917</v>
          </cell>
          <cell r="DA14">
            <v>563.55102447239881</v>
          </cell>
          <cell r="DC14">
            <v>73.447289999999995</v>
          </cell>
        </row>
        <row r="15">
          <cell r="H15">
            <v>0</v>
          </cell>
          <cell r="I15">
            <v>0</v>
          </cell>
          <cell r="K15">
            <v>843.97251156663583</v>
          </cell>
          <cell r="O15">
            <v>10</v>
          </cell>
          <cell r="P15">
            <v>3.4</v>
          </cell>
          <cell r="S15">
            <v>10</v>
          </cell>
          <cell r="T15">
            <v>3.4</v>
          </cell>
          <cell r="AA15">
            <v>0</v>
          </cell>
          <cell r="AC15">
            <v>0</v>
          </cell>
          <cell r="AJ15">
            <v>0</v>
          </cell>
          <cell r="AK15">
            <v>0</v>
          </cell>
          <cell r="AQ15">
            <v>934.67970166023224</v>
          </cell>
          <cell r="AT15">
            <v>0</v>
          </cell>
          <cell r="AU15">
            <v>317.79109856447894</v>
          </cell>
          <cell r="AW15">
            <v>0</v>
          </cell>
          <cell r="BN15">
            <v>0</v>
          </cell>
          <cell r="BO15">
            <v>317.79109856447894</v>
          </cell>
          <cell r="BQ15">
            <v>0</v>
          </cell>
          <cell r="CZ15">
            <v>0</v>
          </cell>
          <cell r="DA15">
            <v>286.95065393265622</v>
          </cell>
          <cell r="DC15">
            <v>0</v>
          </cell>
        </row>
        <row r="16">
          <cell r="H16">
            <v>689390</v>
          </cell>
          <cell r="I16">
            <v>1407.59574739041</v>
          </cell>
          <cell r="K16">
            <v>576.25077195779716</v>
          </cell>
          <cell r="O16">
            <v>10</v>
          </cell>
          <cell r="P16">
            <v>4.8</v>
          </cell>
          <cell r="S16">
            <v>10</v>
          </cell>
          <cell r="T16">
            <v>4.8</v>
          </cell>
          <cell r="AA16">
            <v>90</v>
          </cell>
          <cell r="AC16">
            <v>90</v>
          </cell>
          <cell r="AJ16">
            <v>708035</v>
          </cell>
          <cell r="AK16">
            <v>1441.3126822371696</v>
          </cell>
          <cell r="AQ16">
            <v>638.18417333899902</v>
          </cell>
          <cell r="AT16">
            <v>17.295752186846034</v>
          </cell>
          <cell r="AU16">
            <v>306.32840320271953</v>
          </cell>
          <cell r="AW16">
            <v>75.460949999999997</v>
          </cell>
          <cell r="BN16">
            <v>17.295752186846034</v>
          </cell>
          <cell r="BO16">
            <v>306.32840320271953</v>
          </cell>
          <cell r="BQ16">
            <v>75.460949999999997</v>
          </cell>
          <cell r="CZ16">
            <v>16.891148968684917</v>
          </cell>
          <cell r="DA16">
            <v>276.60037053974258</v>
          </cell>
          <cell r="DC16">
            <v>73.447289999999995</v>
          </cell>
        </row>
        <row r="17">
          <cell r="H17">
            <v>314335</v>
          </cell>
          <cell r="I17">
            <v>704.95723389787474</v>
          </cell>
          <cell r="K17">
            <v>1168.4337217623447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AA17">
            <v>0</v>
          </cell>
          <cell r="AC17">
            <v>0</v>
          </cell>
          <cell r="AJ17">
            <v>322836</v>
          </cell>
          <cell r="AK17">
            <v>721.84347213008925</v>
          </cell>
          <cell r="AQ17">
            <v>1294.0128588303619</v>
          </cell>
          <cell r="AT17">
            <v>9.9524298034649039</v>
          </cell>
          <cell r="AU17">
            <v>811.4662845864018</v>
          </cell>
          <cell r="AW17">
            <v>41.569139999999997</v>
          </cell>
          <cell r="BN17">
            <v>9.9524298034649039</v>
          </cell>
          <cell r="BO17">
            <v>811.4662845864018</v>
          </cell>
          <cell r="BQ17">
            <v>41.569139999999997</v>
          </cell>
          <cell r="CZ17">
            <v>8.9845383420057825</v>
          </cell>
          <cell r="DA17">
            <v>732.71649853693464</v>
          </cell>
          <cell r="DC17">
            <v>40.459932000000002</v>
          </cell>
        </row>
        <row r="18">
          <cell r="H18">
            <v>0</v>
          </cell>
          <cell r="I18">
            <v>0</v>
          </cell>
          <cell r="K18">
            <v>760.70176679966903</v>
          </cell>
          <cell r="O18">
            <v>10</v>
          </cell>
          <cell r="P18">
            <v>5.0999999999999996</v>
          </cell>
          <cell r="S18">
            <v>10</v>
          </cell>
          <cell r="T18">
            <v>5.0999999999999996</v>
          </cell>
          <cell r="AA18">
            <v>0</v>
          </cell>
          <cell r="AC18">
            <v>0</v>
          </cell>
          <cell r="AJ18">
            <v>0</v>
          </cell>
          <cell r="AK18">
            <v>0</v>
          </cell>
          <cell r="AQ18">
            <v>842.45931081913943</v>
          </cell>
          <cell r="AT18">
            <v>0</v>
          </cell>
          <cell r="AU18">
            <v>429.65424851776106</v>
          </cell>
          <cell r="AW18">
            <v>0</v>
          </cell>
          <cell r="BN18">
            <v>0</v>
          </cell>
          <cell r="BO18">
            <v>429.65424851776106</v>
          </cell>
          <cell r="BQ18">
            <v>0</v>
          </cell>
          <cell r="CZ18">
            <v>0</v>
          </cell>
          <cell r="DA18">
            <v>387.95790106783113</v>
          </cell>
          <cell r="DC18">
            <v>0</v>
          </cell>
        </row>
        <row r="19">
          <cell r="H19">
            <v>222291</v>
          </cell>
          <cell r="I19">
            <v>414.64465195028669</v>
          </cell>
          <cell r="K19">
            <v>223.28956504725727</v>
          </cell>
          <cell r="O19">
            <v>10</v>
          </cell>
          <cell r="P19">
            <v>7.7</v>
          </cell>
          <cell r="S19">
            <v>10</v>
          </cell>
          <cell r="T19">
            <v>7.7</v>
          </cell>
          <cell r="AA19">
            <v>100</v>
          </cell>
          <cell r="AC19">
            <v>100</v>
          </cell>
          <cell r="AJ19">
            <v>228303</v>
          </cell>
          <cell r="AK19">
            <v>424.5768691655519</v>
          </cell>
          <cell r="AQ19">
            <v>247.28794028469397</v>
          </cell>
          <cell r="AT19">
            <v>5.0949224299866227</v>
          </cell>
          <cell r="AU19">
            <v>190.41171401921434</v>
          </cell>
          <cell r="AW19">
            <v>27.035640000000001</v>
          </cell>
          <cell r="BN19">
            <v>5.0949224299866227</v>
          </cell>
          <cell r="BO19">
            <v>190.41171401921434</v>
          </cell>
          <cell r="BQ19">
            <v>27.035640000000001</v>
          </cell>
          <cell r="CZ19">
            <v>4.9757358234034408</v>
          </cell>
          <cell r="DA19">
            <v>171.93296508638812</v>
          </cell>
          <cell r="DC19">
            <v>26.3142</v>
          </cell>
        </row>
        <row r="20">
          <cell r="H20">
            <v>51741</v>
          </cell>
          <cell r="I20">
            <v>140.0765467872198</v>
          </cell>
          <cell r="K20">
            <v>80.750082625962577</v>
          </cell>
          <cell r="O20">
            <v>10</v>
          </cell>
          <cell r="P20">
            <v>9</v>
          </cell>
          <cell r="S20">
            <v>10</v>
          </cell>
          <cell r="T20">
            <v>9</v>
          </cell>
          <cell r="AA20">
            <v>120</v>
          </cell>
          <cell r="AC20">
            <v>120</v>
          </cell>
          <cell r="AJ20">
            <v>53140</v>
          </cell>
          <cell r="AK20">
            <v>143.43187931812565</v>
          </cell>
          <cell r="AQ20">
            <v>89.428816819840961</v>
          </cell>
          <cell r="AT20">
            <v>1.7211825518175081</v>
          </cell>
          <cell r="AU20">
            <v>80.485935137856856</v>
          </cell>
          <cell r="AW20">
            <v>7.5514320000000001</v>
          </cell>
          <cell r="BN20">
            <v>1.7211825518175081</v>
          </cell>
          <cell r="BO20">
            <v>80.485935137856856</v>
          </cell>
          <cell r="BQ20">
            <v>7.5514320000000001</v>
          </cell>
          <cell r="CZ20">
            <v>1.6809185614466378</v>
          </cell>
          <cell r="DA20">
            <v>72.675074363366321</v>
          </cell>
          <cell r="DC20">
            <v>7.3499759999999998</v>
          </cell>
        </row>
        <row r="21">
          <cell r="H21">
            <v>35386</v>
          </cell>
          <cell r="I21">
            <v>123.98345839880392</v>
          </cell>
          <cell r="K21">
            <v>70.83498540213435</v>
          </cell>
          <cell r="O21">
            <v>10</v>
          </cell>
          <cell r="P21">
            <v>9.5</v>
          </cell>
          <cell r="S21">
            <v>10</v>
          </cell>
          <cell r="T21">
            <v>9.5</v>
          </cell>
          <cell r="AA21">
            <v>140</v>
          </cell>
          <cell r="AC21">
            <v>140</v>
          </cell>
          <cell r="AJ21">
            <v>36343</v>
          </cell>
          <cell r="AK21">
            <v>126.95330410674848</v>
          </cell>
          <cell r="AQ21">
            <v>78.448079902358728</v>
          </cell>
          <cell r="AT21">
            <v>1.5234396492809816</v>
          </cell>
          <cell r="AU21">
            <v>74.525675907240796</v>
          </cell>
          <cell r="AW21">
            <v>6.0252359999999996</v>
          </cell>
          <cell r="BN21">
            <v>1.5234396492809816</v>
          </cell>
          <cell r="BO21">
            <v>74.525675907240796</v>
          </cell>
          <cell r="BQ21">
            <v>6.0252359999999996</v>
          </cell>
          <cell r="CZ21">
            <v>1.4878015007856471</v>
          </cell>
          <cell r="DA21">
            <v>67.29323613202763</v>
          </cell>
          <cell r="DC21">
            <v>5.8644600000000002</v>
          </cell>
        </row>
        <row r="22">
          <cell r="H22">
            <v>4917</v>
          </cell>
          <cell r="I22">
            <v>26.252576761564292</v>
          </cell>
          <cell r="K22">
            <v>32.857321887321497</v>
          </cell>
          <cell r="O22">
            <v>50</v>
          </cell>
          <cell r="P22">
            <v>10</v>
          </cell>
          <cell r="S22">
            <v>50</v>
          </cell>
          <cell r="T22">
            <v>10</v>
          </cell>
          <cell r="AA22">
            <v>160</v>
          </cell>
          <cell r="AC22">
            <v>160</v>
          </cell>
          <cell r="AJ22">
            <v>5050</v>
          </cell>
          <cell r="AK22">
            <v>26.88141953966322</v>
          </cell>
          <cell r="AQ22">
            <v>36.388711004328826</v>
          </cell>
          <cell r="AT22">
            <v>1.6128851723797932</v>
          </cell>
          <cell r="AU22">
            <v>36.388711004328826</v>
          </cell>
          <cell r="AW22">
            <v>0.95683200000000002</v>
          </cell>
          <cell r="BN22">
            <v>1.6128851723797932</v>
          </cell>
          <cell r="BO22">
            <v>36.388711004328826</v>
          </cell>
          <cell r="BQ22">
            <v>0.95683200000000002</v>
          </cell>
          <cell r="CZ22">
            <v>0.84008245637005741</v>
          </cell>
          <cell r="DA22">
            <v>32.857321887321504</v>
          </cell>
          <cell r="DC22">
            <v>0.93129600000000001</v>
          </cell>
        </row>
        <row r="23">
          <cell r="H23">
            <v>533913</v>
          </cell>
          <cell r="I23">
            <v>1191.5298227833741</v>
          </cell>
          <cell r="K23">
            <v>1030.7841392053078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AA23">
            <v>0</v>
          </cell>
          <cell r="AC23">
            <v>0</v>
          </cell>
          <cell r="AJ23">
            <v>559269</v>
          </cell>
          <cell r="AK23">
            <v>1242.2418227833746</v>
          </cell>
          <cell r="AQ23">
            <v>1096.1498398291596</v>
          </cell>
          <cell r="AT23">
            <v>100.89265602219575</v>
          </cell>
          <cell r="AU23">
            <v>1105.0308193805963</v>
          </cell>
          <cell r="AW23">
            <v>47.105880000000006</v>
          </cell>
          <cell r="BN23">
            <v>100.89265602219575</v>
          </cell>
          <cell r="BO23">
            <v>1105.0308193805963</v>
          </cell>
          <cell r="BQ23">
            <v>47.105880000000006</v>
          </cell>
          <cell r="CZ23">
            <v>95.783711265419583</v>
          </cell>
          <cell r="DA23">
            <v>1039.1355274276104</v>
          </cell>
          <cell r="DC23">
            <v>44.920704000000001</v>
          </cell>
        </row>
        <row r="24">
          <cell r="H24">
            <v>313825</v>
          </cell>
          <cell r="I24">
            <v>405.24701474450387</v>
          </cell>
          <cell r="K24">
            <v>69.628127731745138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AA24">
            <v>0</v>
          </cell>
          <cell r="AC24">
            <v>0</v>
          </cell>
          <cell r="AJ24">
            <v>328729</v>
          </cell>
          <cell r="AK24">
            <v>422.49449459668011</v>
          </cell>
          <cell r="AQ24">
            <v>74.043495779434963</v>
          </cell>
          <cell r="AT24">
            <v>15.209801805480486</v>
          </cell>
          <cell r="AU24">
            <v>51.83044704560448</v>
          </cell>
          <cell r="AW24">
            <v>19.276620000000001</v>
          </cell>
          <cell r="BN24">
            <v>15.209801805480486</v>
          </cell>
          <cell r="BO24">
            <v>51.83044704560448</v>
          </cell>
          <cell r="BQ24">
            <v>19.276620000000001</v>
          </cell>
          <cell r="CZ24">
            <v>23.099079840436723</v>
          </cell>
          <cell r="DA24">
            <v>48.739689412221601</v>
          </cell>
          <cell r="DC24">
            <v>18.382380000000001</v>
          </cell>
        </row>
        <row r="25">
          <cell r="H25">
            <v>313825</v>
          </cell>
          <cell r="I25">
            <v>405.24701474450387</v>
          </cell>
          <cell r="K25">
            <v>69.628127731745138</v>
          </cell>
          <cell r="O25">
            <v>30</v>
          </cell>
          <cell r="P25">
            <v>7</v>
          </cell>
          <cell r="S25">
            <v>30</v>
          </cell>
          <cell r="T25">
            <v>7</v>
          </cell>
          <cell r="AA25">
            <v>50</v>
          </cell>
          <cell r="AC25">
            <v>50</v>
          </cell>
          <cell r="AJ25">
            <v>328729</v>
          </cell>
          <cell r="AK25">
            <v>422.49449459668011</v>
          </cell>
          <cell r="AQ25">
            <v>74.043495779434963</v>
          </cell>
          <cell r="AT25">
            <v>15.209801805480486</v>
          </cell>
          <cell r="AU25">
            <v>51.83044704560448</v>
          </cell>
          <cell r="AW25">
            <v>19.276620000000001</v>
          </cell>
          <cell r="BN25">
            <v>15.209801805480486</v>
          </cell>
          <cell r="BO25">
            <v>51.83044704560448</v>
          </cell>
          <cell r="BQ25">
            <v>19.276620000000001</v>
          </cell>
          <cell r="CZ25">
            <v>23.099079840436723</v>
          </cell>
          <cell r="DA25">
            <v>48.739689412221601</v>
          </cell>
          <cell r="DC25">
            <v>18.382380000000001</v>
          </cell>
        </row>
        <row r="26">
          <cell r="H26">
            <v>206400</v>
          </cell>
          <cell r="I26">
            <v>771.86120882376872</v>
          </cell>
          <cell r="K26">
            <v>957.0513579987155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AA26">
            <v>0</v>
          </cell>
          <cell r="AC26">
            <v>0</v>
          </cell>
          <cell r="AJ26">
            <v>216202</v>
          </cell>
          <cell r="AK26">
            <v>804.71193976933182</v>
          </cell>
          <cell r="AQ26">
            <v>1017.7413998505668</v>
          </cell>
          <cell r="AT26">
            <v>84.375687001135418</v>
          </cell>
          <cell r="AU26">
            <v>1049.6386299756032</v>
          </cell>
          <cell r="AW26">
            <v>26.959110000000003</v>
          </cell>
          <cell r="BN26">
            <v>84.375687001135418</v>
          </cell>
          <cell r="BO26">
            <v>1049.6386299756032</v>
          </cell>
          <cell r="BQ26">
            <v>26.959110000000003</v>
          </cell>
          <cell r="CZ26">
            <v>71.542541276979108</v>
          </cell>
          <cell r="DA26">
            <v>987.04648977978081</v>
          </cell>
          <cell r="DC26">
            <v>25.708494000000002</v>
          </cell>
        </row>
        <row r="27">
          <cell r="H27">
            <v>87458</v>
          </cell>
          <cell r="I27">
            <v>137.77463158459545</v>
          </cell>
          <cell r="K27">
            <v>185.54016839921036</v>
          </cell>
          <cell r="O27">
            <v>70</v>
          </cell>
          <cell r="P27">
            <v>8.5</v>
          </cell>
          <cell r="S27">
            <v>70</v>
          </cell>
          <cell r="T27">
            <v>8.5</v>
          </cell>
          <cell r="AA27">
            <v>90</v>
          </cell>
          <cell r="AC27">
            <v>90</v>
          </cell>
          <cell r="AJ27">
            <v>91611</v>
          </cell>
          <cell r="AK27">
            <v>143.63837664856459</v>
          </cell>
          <cell r="AQ27">
            <v>197.30593257815084</v>
          </cell>
          <cell r="AT27">
            <v>12.065623638479424</v>
          </cell>
          <cell r="AU27">
            <v>167.71004269142821</v>
          </cell>
          <cell r="AW27">
            <v>9.6697260000000007</v>
          </cell>
          <cell r="BN27">
            <v>12.065623638479424</v>
          </cell>
          <cell r="BO27">
            <v>167.71004269142821</v>
          </cell>
          <cell r="BQ27">
            <v>9.6697260000000007</v>
          </cell>
          <cell r="CZ27">
            <v>11.573069053106019</v>
          </cell>
          <cell r="DA27">
            <v>157.7091431393288</v>
          </cell>
          <cell r="DC27">
            <v>9.2212019999999999</v>
          </cell>
        </row>
        <row r="28">
          <cell r="H28">
            <v>75839</v>
          </cell>
          <cell r="I28">
            <v>187.00659485367149</v>
          </cell>
          <cell r="K28">
            <v>111.65294908133218</v>
          </cell>
          <cell r="O28">
            <v>70</v>
          </cell>
          <cell r="P28">
            <v>9.9</v>
          </cell>
          <cell r="S28">
            <v>70</v>
          </cell>
          <cell r="T28">
            <v>9.9</v>
          </cell>
          <cell r="AA28">
            <v>105</v>
          </cell>
          <cell r="AC28">
            <v>105</v>
          </cell>
          <cell r="AJ28">
            <v>79441</v>
          </cell>
          <cell r="AK28">
            <v>194.96567255100209</v>
          </cell>
          <cell r="AQ28">
            <v>118.73326101652279</v>
          </cell>
          <cell r="AT28">
            <v>16.377116494284177</v>
          </cell>
          <cell r="AU28">
            <v>117.54592840635758</v>
          </cell>
          <cell r="AW28">
            <v>9.7826400000000007</v>
          </cell>
          <cell r="BN28">
            <v>16.377116494284177</v>
          </cell>
          <cell r="BO28">
            <v>117.54592840635758</v>
          </cell>
          <cell r="BQ28">
            <v>9.7826400000000007</v>
          </cell>
          <cell r="CZ28">
            <v>15.708553967708406</v>
          </cell>
          <cell r="DA28">
            <v>110.53641959051888</v>
          </cell>
          <cell r="DC28">
            <v>9.3287879999999994</v>
          </cell>
        </row>
        <row r="29">
          <cell r="H29">
            <v>19649</v>
          </cell>
          <cell r="I29">
            <v>75.923030311685665</v>
          </cell>
          <cell r="K29">
            <v>117.38562533428569</v>
          </cell>
          <cell r="O29">
            <v>100</v>
          </cell>
          <cell r="P29">
            <v>10.4</v>
          </cell>
          <cell r="S29">
            <v>100</v>
          </cell>
          <cell r="T29">
            <v>10.4</v>
          </cell>
          <cell r="AA29">
            <v>120</v>
          </cell>
          <cell r="AC29">
            <v>120</v>
          </cell>
          <cell r="AJ29">
            <v>20582</v>
          </cell>
          <cell r="AK29">
            <v>79.15434575133807</v>
          </cell>
          <cell r="AQ29">
            <v>124.82946672775154</v>
          </cell>
          <cell r="AT29">
            <v>9.4985214901605683</v>
          </cell>
          <cell r="AU29">
            <v>129.82264539686159</v>
          </cell>
          <cell r="AW29">
            <v>2.8966319999999999</v>
          </cell>
          <cell r="BN29">
            <v>9.4985214901605683</v>
          </cell>
          <cell r="BO29">
            <v>129.82264539686159</v>
          </cell>
          <cell r="BQ29">
            <v>2.8966319999999999</v>
          </cell>
          <cell r="CZ29">
            <v>7.5163800008568806</v>
          </cell>
          <cell r="DA29">
            <v>122.08105034765713</v>
          </cell>
          <cell r="DC29">
            <v>2.7622800000000001</v>
          </cell>
        </row>
        <row r="30">
          <cell r="H30">
            <v>23454</v>
          </cell>
          <cell r="I30">
            <v>371.15695207381606</v>
          </cell>
          <cell r="K30">
            <v>542.47261518388723</v>
          </cell>
          <cell r="O30">
            <v>100</v>
          </cell>
          <cell r="P30">
            <v>11</v>
          </cell>
          <cell r="S30">
            <v>100</v>
          </cell>
          <cell r="T30">
            <v>11</v>
          </cell>
          <cell r="AA30">
            <v>160</v>
          </cell>
          <cell r="AC30">
            <v>160</v>
          </cell>
          <cell r="AJ30">
            <v>24568</v>
          </cell>
          <cell r="AK30">
            <v>386.95354481842702</v>
          </cell>
          <cell r="AQ30">
            <v>576.87273952814166</v>
          </cell>
          <cell r="AT30">
            <v>46.434425378211245</v>
          </cell>
          <cell r="AU30">
            <v>634.56001348095583</v>
          </cell>
          <cell r="AW30">
            <v>4.610112</v>
          </cell>
          <cell r="BN30">
            <v>46.434425378211245</v>
          </cell>
          <cell r="BO30">
            <v>634.56001348095583</v>
          </cell>
          <cell r="BQ30">
            <v>4.610112</v>
          </cell>
          <cell r="CZ30">
            <v>36.744538255307795</v>
          </cell>
          <cell r="DA30">
            <v>596.719876702276</v>
          </cell>
          <cell r="DC30">
            <v>4.3962240000000001</v>
          </cell>
        </row>
        <row r="31">
          <cell r="H31">
            <v>513</v>
          </cell>
          <cell r="I31">
            <v>1.9949039330080593</v>
          </cell>
          <cell r="K31">
            <v>1.2367540297110171</v>
          </cell>
          <cell r="O31">
            <v>150</v>
          </cell>
          <cell r="P31">
            <v>13</v>
          </cell>
          <cell r="S31">
            <v>150</v>
          </cell>
          <cell r="T31">
            <v>13</v>
          </cell>
          <cell r="AA31">
            <v>160</v>
          </cell>
          <cell r="AC31">
            <v>160</v>
          </cell>
          <cell r="AJ31">
            <v>537</v>
          </cell>
          <cell r="AK31">
            <v>2.079807866016119</v>
          </cell>
          <cell r="AQ31">
            <v>1.3151810160961181</v>
          </cell>
          <cell r="AT31">
            <v>0.37436541588290145</v>
          </cell>
          <cell r="AU31">
            <v>1.7097353209249537</v>
          </cell>
          <cell r="AW31">
            <v>0.1008</v>
          </cell>
          <cell r="BN31">
            <v>0.37436541588290145</v>
          </cell>
          <cell r="BO31">
            <v>1.7097353209249537</v>
          </cell>
          <cell r="BQ31">
            <v>0.1008</v>
          </cell>
          <cell r="CZ31">
            <v>0.24736808769299937</v>
          </cell>
          <cell r="DA31">
            <v>1.6077802386243225</v>
          </cell>
          <cell r="DC31">
            <v>9.6192E-2</v>
          </cell>
        </row>
        <row r="32">
          <cell r="H32">
            <v>13175</v>
          </cell>
          <cell r="I32">
            <v>12.426695282093579</v>
          </cell>
          <cell r="K32">
            <v>2.8678994451362314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AA32">
            <v>0</v>
          </cell>
          <cell r="AC32">
            <v>0</v>
          </cell>
          <cell r="AJ32">
            <v>13801</v>
          </cell>
          <cell r="AK32">
            <v>12.955580551346383</v>
          </cell>
          <cell r="AQ32">
            <v>3.0497631830616241</v>
          </cell>
          <cell r="AT32">
            <v>0.93280179969693977</v>
          </cell>
          <cell r="AU32">
            <v>1.852007038463797</v>
          </cell>
          <cell r="AW32">
            <v>0.76935000000000009</v>
          </cell>
          <cell r="BN32">
            <v>0.93280179969693977</v>
          </cell>
          <cell r="BO32">
            <v>1.852007038463797</v>
          </cell>
          <cell r="BQ32">
            <v>0.76935000000000009</v>
          </cell>
          <cell r="CZ32">
            <v>0.89472206031073753</v>
          </cell>
          <cell r="DA32">
            <v>1.7415679969835205</v>
          </cell>
          <cell r="DC32">
            <v>0.73363800000000001</v>
          </cell>
        </row>
        <row r="33">
          <cell r="H33">
            <v>10635</v>
          </cell>
          <cell r="I33">
            <v>9.6933426691298337</v>
          </cell>
          <cell r="K33">
            <v>1.5198112994825741</v>
          </cell>
          <cell r="O33">
            <v>60</v>
          </cell>
          <cell r="P33">
            <v>5.3</v>
          </cell>
          <cell r="S33">
            <v>60</v>
          </cell>
          <cell r="T33">
            <v>5.3</v>
          </cell>
          <cell r="AA33">
            <v>45</v>
          </cell>
          <cell r="AC33">
            <v>45</v>
          </cell>
          <cell r="AJ33">
            <v>11140</v>
          </cell>
          <cell r="AK33">
            <v>10.105895325418894</v>
          </cell>
          <cell r="AQ33">
            <v>1.6161879574347566</v>
          </cell>
          <cell r="AT33">
            <v>0.72762446343016052</v>
          </cell>
          <cell r="AU33">
            <v>0.85657961744042088</v>
          </cell>
          <cell r="AW33">
            <v>0.58792500000000003</v>
          </cell>
          <cell r="BN33">
            <v>0.72762446343016052</v>
          </cell>
          <cell r="BO33">
            <v>0.85657961744042088</v>
          </cell>
          <cell r="BQ33">
            <v>0.58792500000000003</v>
          </cell>
          <cell r="CZ33">
            <v>0.69792067217734799</v>
          </cell>
          <cell r="DA33">
            <v>0.80549998872576412</v>
          </cell>
          <cell r="DC33">
            <v>0.56065500000000001</v>
          </cell>
        </row>
        <row r="34">
          <cell r="H34">
            <v>1743</v>
          </cell>
          <cell r="I34">
            <v>1.6857147124382295</v>
          </cell>
          <cell r="K34">
            <v>0.83331223313874025</v>
          </cell>
          <cell r="O34">
            <v>60</v>
          </cell>
          <cell r="P34">
            <v>6.6</v>
          </cell>
          <cell r="S34">
            <v>60</v>
          </cell>
          <cell r="T34">
            <v>6.6</v>
          </cell>
          <cell r="AA34">
            <v>55</v>
          </cell>
          <cell r="AC34">
            <v>55</v>
          </cell>
          <cell r="AJ34">
            <v>1826</v>
          </cell>
          <cell r="AK34">
            <v>1.757459424876459</v>
          </cell>
          <cell r="AQ34">
            <v>0.88615553551971638</v>
          </cell>
          <cell r="AT34">
            <v>0.12653707859110505</v>
          </cell>
          <cell r="AU34">
            <v>0.5848626534430128</v>
          </cell>
          <cell r="AW34">
            <v>0.11777700000000001</v>
          </cell>
          <cell r="BN34">
            <v>0.12653707859110505</v>
          </cell>
          <cell r="BO34">
            <v>0.5848626534430128</v>
          </cell>
          <cell r="BQ34">
            <v>0.11777700000000001</v>
          </cell>
          <cell r="CZ34">
            <v>0.12137145929555253</v>
          </cell>
          <cell r="DA34">
            <v>0.5499860738715685</v>
          </cell>
          <cell r="DC34">
            <v>0.112299</v>
          </cell>
        </row>
        <row r="35">
          <cell r="H35">
            <v>797</v>
          </cell>
          <cell r="I35">
            <v>1.0476379005255152</v>
          </cell>
          <cell r="K35">
            <v>0.51477591251491717</v>
          </cell>
          <cell r="O35">
            <v>60</v>
          </cell>
          <cell r="P35">
            <v>7.5</v>
          </cell>
          <cell r="S35">
            <v>60</v>
          </cell>
          <cell r="T35">
            <v>7.5</v>
          </cell>
          <cell r="AA35">
            <v>65</v>
          </cell>
          <cell r="AC35">
            <v>65</v>
          </cell>
          <cell r="AJ35">
            <v>835</v>
          </cell>
          <cell r="AK35">
            <v>1.0922258010510306</v>
          </cell>
          <cell r="AQ35">
            <v>0.54741969010715097</v>
          </cell>
          <cell r="AT35">
            <v>7.8640257675674202E-2</v>
          </cell>
          <cell r="AU35">
            <v>0.4105647675803632</v>
          </cell>
          <cell r="AW35">
            <v>6.3647999999999996E-2</v>
          </cell>
          <cell r="BN35">
            <v>7.8640257675674202E-2</v>
          </cell>
          <cell r="BO35">
            <v>0.4105647675803632</v>
          </cell>
          <cell r="BQ35">
            <v>6.3647999999999996E-2</v>
          </cell>
          <cell r="CZ35">
            <v>7.5429928837837099E-2</v>
          </cell>
          <cell r="DA35">
            <v>0.38608193438618787</v>
          </cell>
          <cell r="DC35">
            <v>6.0684000000000002E-2</v>
          </cell>
        </row>
        <row r="36">
          <cell r="H36">
            <v>22435</v>
          </cell>
          <cell r="I36">
            <v>407.4253161023388</v>
          </cell>
          <cell r="K36">
            <v>239.31127436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AA36">
            <v>0</v>
          </cell>
          <cell r="AC36">
            <v>0</v>
          </cell>
          <cell r="AJ36">
            <v>22596</v>
          </cell>
          <cell r="AK36">
            <v>410.32331610233894</v>
          </cell>
          <cell r="AQ36">
            <v>244.09749984720008</v>
          </cell>
          <cell r="AT36">
            <v>47.723736439603705</v>
          </cell>
          <cell r="AU36">
            <v>186.66514273536794</v>
          </cell>
          <cell r="AW36">
            <v>7.9685999999999995</v>
          </cell>
          <cell r="BN36">
            <v>47.723736439603705</v>
          </cell>
          <cell r="BO36">
            <v>186.66514273536794</v>
          </cell>
          <cell r="BQ36">
            <v>7.9685999999999995</v>
          </cell>
          <cell r="CZ36">
            <v>40.865912591195205</v>
          </cell>
          <cell r="DA36">
            <v>183.00504189741952</v>
          </cell>
          <cell r="DC36">
            <v>7.911929999999999</v>
          </cell>
        </row>
        <row r="37">
          <cell r="H37">
            <v>18996</v>
          </cell>
          <cell r="I37">
            <v>371.98344158451749</v>
          </cell>
          <cell r="K37">
            <v>222.06303319555695</v>
          </cell>
          <cell r="O37">
            <v>100</v>
          </cell>
          <cell r="P37">
            <v>7.7</v>
          </cell>
          <cell r="S37">
            <v>100</v>
          </cell>
          <cell r="T37">
            <v>7.7</v>
          </cell>
          <cell r="AA37">
            <v>287.37189355619091</v>
          </cell>
          <cell r="AC37">
            <v>287.37189355619091</v>
          </cell>
          <cell r="AJ37">
            <v>19131</v>
          </cell>
          <cell r="AK37">
            <v>374.62934494669639</v>
          </cell>
          <cell r="AQ37">
            <v>226.50429385946813</v>
          </cell>
          <cell r="AT37">
            <v>44.955521393603561</v>
          </cell>
          <cell r="AU37">
            <v>174.40830627179045</v>
          </cell>
          <cell r="AW37">
            <v>7.8738277617434251</v>
          </cell>
          <cell r="BN37">
            <v>44.955521393603561</v>
          </cell>
          <cell r="BO37">
            <v>174.40830627179045</v>
          </cell>
          <cell r="BQ37">
            <v>7.8738277617434251</v>
          </cell>
          <cell r="CZ37">
            <v>38.128302762413036</v>
          </cell>
          <cell r="DA37">
            <v>170.98853556057884</v>
          </cell>
          <cell r="DC37">
            <v>7.8178317499900425</v>
          </cell>
        </row>
        <row r="38">
          <cell r="H38">
            <v>0</v>
          </cell>
          <cell r="I38">
            <v>0</v>
          </cell>
          <cell r="K38">
            <v>0</v>
          </cell>
          <cell r="O38">
            <v>100</v>
          </cell>
          <cell r="P38">
            <v>8.4</v>
          </cell>
          <cell r="S38">
            <v>100</v>
          </cell>
          <cell r="T38">
            <v>8.4</v>
          </cell>
          <cell r="AA38">
            <v>287.37189355619091</v>
          </cell>
          <cell r="AC38">
            <v>287.37189355619091</v>
          </cell>
          <cell r="AJ38">
            <v>0</v>
          </cell>
          <cell r="AK38">
            <v>0</v>
          </cell>
          <cell r="AQ38">
            <v>0</v>
          </cell>
          <cell r="AT38">
            <v>0</v>
          </cell>
          <cell r="AU38">
            <v>0</v>
          </cell>
          <cell r="AW38">
            <v>0</v>
          </cell>
          <cell r="BN38">
            <v>0</v>
          </cell>
          <cell r="BO38">
            <v>0</v>
          </cell>
          <cell r="BQ38">
            <v>0</v>
          </cell>
          <cell r="CZ38">
            <v>0</v>
          </cell>
          <cell r="DA38">
            <v>0</v>
          </cell>
          <cell r="DC38">
            <v>0</v>
          </cell>
        </row>
        <row r="39">
          <cell r="H39">
            <v>105</v>
          </cell>
          <cell r="I39">
            <v>1.0032775330193224</v>
          </cell>
          <cell r="K39">
            <v>0.71944546634193229</v>
          </cell>
          <cell r="O39">
            <v>50</v>
          </cell>
          <cell r="P39">
            <v>6.2</v>
          </cell>
          <cell r="S39">
            <v>50</v>
          </cell>
          <cell r="T39">
            <v>6.2</v>
          </cell>
          <cell r="AA39">
            <v>287.37189355619091</v>
          </cell>
          <cell r="AC39">
            <v>287.37189355619091</v>
          </cell>
          <cell r="AJ39">
            <v>107</v>
          </cell>
          <cell r="AK39">
            <v>1.0104138060386452</v>
          </cell>
          <cell r="AQ39">
            <v>0.73383437566877074</v>
          </cell>
          <cell r="AT39">
            <v>6.0624828362318708E-2</v>
          </cell>
          <cell r="AU39">
            <v>0.45497731291463789</v>
          </cell>
          <cell r="AW39">
            <v>2.4738385467193143E-3</v>
          </cell>
          <cell r="BN39">
            <v>6.0624828362318708E-2</v>
          </cell>
          <cell r="BO39">
            <v>0.45497731291463789</v>
          </cell>
          <cell r="BQ39">
            <v>2.4738385467193143E-3</v>
          </cell>
          <cell r="CZ39">
            <v>5.0364532157569981E-2</v>
          </cell>
          <cell r="DA39">
            <v>0.44605618913199796</v>
          </cell>
          <cell r="DC39">
            <v>2.4562454399700002E-3</v>
          </cell>
        </row>
        <row r="40">
          <cell r="H40">
            <v>3</v>
          </cell>
          <cell r="I40">
            <v>1.6281630588049753E-2</v>
          </cell>
          <cell r="K40">
            <v>1.0439627747474119E-2</v>
          </cell>
          <cell r="O40">
            <v>50</v>
          </cell>
          <cell r="P40">
            <v>6.2</v>
          </cell>
          <cell r="S40">
            <v>50</v>
          </cell>
          <cell r="T40">
            <v>6.2</v>
          </cell>
          <cell r="AA40">
            <v>287.37189355619091</v>
          </cell>
          <cell r="AC40">
            <v>287.37189355619091</v>
          </cell>
          <cell r="AJ40">
            <v>3</v>
          </cell>
          <cell r="AK40">
            <v>1.6397441176099509E-2</v>
          </cell>
          <cell r="AQ40">
            <v>1.0648420302423601E-2</v>
          </cell>
          <cell r="AT40">
            <v>9.8384647056597055E-4</v>
          </cell>
          <cell r="AU40">
            <v>6.6020205875026326E-3</v>
          </cell>
          <cell r="AW40">
            <v>3.8781297349560208E-4</v>
          </cell>
          <cell r="BN40">
            <v>9.8384647056597055E-4</v>
          </cell>
          <cell r="BO40">
            <v>6.6020205875026326E-3</v>
          </cell>
          <cell r="BQ40">
            <v>3.8781297349560208E-4</v>
          </cell>
          <cell r="CZ40">
            <v>8.1733785552009759E-4</v>
          </cell>
          <cell r="DA40">
            <v>6.4725692034339529E-3</v>
          </cell>
          <cell r="DC40">
            <v>3.8505497821311881E-4</v>
          </cell>
        </row>
        <row r="41">
          <cell r="H41">
            <v>3324</v>
          </cell>
          <cell r="I41">
            <v>34.36160673623916</v>
          </cell>
          <cell r="K41">
            <v>16.480745095097838</v>
          </cell>
          <cell r="O41">
            <v>65</v>
          </cell>
          <cell r="P41">
            <v>7</v>
          </cell>
          <cell r="S41">
            <v>65</v>
          </cell>
          <cell r="T41">
            <v>7</v>
          </cell>
          <cell r="AA41">
            <v>287.37189355619091</v>
          </cell>
          <cell r="AC41">
            <v>287.37189355619091</v>
          </cell>
          <cell r="AJ41">
            <v>3348</v>
          </cell>
          <cell r="AK41">
            <v>34.606019472478195</v>
          </cell>
          <cell r="AQ41">
            <v>16.810359996999797</v>
          </cell>
          <cell r="AT41">
            <v>2.6992695188532996</v>
          </cell>
          <cell r="AU41">
            <v>11.767251997899859</v>
          </cell>
          <cell r="AW41">
            <v>9.1269203741732752E-2</v>
          </cell>
          <cell r="BN41">
            <v>2.6992695188532996</v>
          </cell>
          <cell r="BO41">
            <v>11.767251997899859</v>
          </cell>
          <cell r="BQ41">
            <v>9.1269203741732752E-2</v>
          </cell>
          <cell r="CZ41">
            <v>2.6802053254266545</v>
          </cell>
          <cell r="DA41">
            <v>11.536521566568489</v>
          </cell>
          <cell r="DC41">
            <v>9.0620127897036815E-2</v>
          </cell>
        </row>
        <row r="42">
          <cell r="H42">
            <v>7</v>
          </cell>
          <cell r="I42">
            <v>6.0708617974823256E-2</v>
          </cell>
          <cell r="K42">
            <v>3.7610975255808643E-2</v>
          </cell>
          <cell r="O42">
            <v>100</v>
          </cell>
          <cell r="P42">
            <v>7.3</v>
          </cell>
          <cell r="S42">
            <v>100</v>
          </cell>
          <cell r="T42">
            <v>7.3</v>
          </cell>
          <cell r="AA42">
            <v>287.37189355619091</v>
          </cell>
          <cell r="AC42">
            <v>287.37189355619091</v>
          </cell>
          <cell r="AJ42">
            <v>7</v>
          </cell>
          <cell r="AK42">
            <v>6.1140435949646542E-2</v>
          </cell>
          <cell r="AQ42">
            <v>3.8363194760924819E-2</v>
          </cell>
          <cell r="AT42">
            <v>7.3368523139575844E-3</v>
          </cell>
          <cell r="AU42">
            <v>2.8005132175475116E-2</v>
          </cell>
          <cell r="AW42">
            <v>6.4138299462734177E-4</v>
          </cell>
          <cell r="BN42">
            <v>7.3368523139575844E-3</v>
          </cell>
          <cell r="BO42">
            <v>2.8005132175475116E-2</v>
          </cell>
          <cell r="BQ42">
            <v>6.4138299462734177E-4</v>
          </cell>
          <cell r="CZ42">
            <v>6.2226333424193836E-3</v>
          </cell>
          <cell r="DA42">
            <v>2.7456011936740313E-2</v>
          </cell>
          <cell r="DC42">
            <v>6.368216947370811E-4</v>
          </cell>
        </row>
        <row r="43">
          <cell r="H43">
            <v>6814</v>
          </cell>
          <cell r="I43">
            <v>18.303725208681215</v>
          </cell>
          <cell r="K43">
            <v>8.2290849126100252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AA43">
            <v>0</v>
          </cell>
          <cell r="AC43">
            <v>0</v>
          </cell>
          <cell r="AJ43">
            <v>7073</v>
          </cell>
          <cell r="AK43">
            <v>19.080725208681216</v>
          </cell>
          <cell r="AQ43">
            <v>8.6405391582405286</v>
          </cell>
          <cell r="AT43">
            <v>0.45793740500834912</v>
          </cell>
          <cell r="AU43">
            <v>3.4562156632962111</v>
          </cell>
          <cell r="AW43">
            <v>0.41660999999999998</v>
          </cell>
          <cell r="BN43">
            <v>0.45793740500834912</v>
          </cell>
          <cell r="BO43">
            <v>3.4562156632962111</v>
          </cell>
          <cell r="BQ43">
            <v>0.41660999999999998</v>
          </cell>
          <cell r="CZ43">
            <v>0.43928940500834918</v>
          </cell>
          <cell r="DA43">
            <v>3.291633965044011</v>
          </cell>
          <cell r="DC43">
            <v>0.40107000000000004</v>
          </cell>
        </row>
        <row r="44">
          <cell r="H44">
            <v>6516</v>
          </cell>
          <cell r="I44">
            <v>17.258750555283616</v>
          </cell>
          <cell r="K44">
            <v>7.7564127143029911</v>
          </cell>
          <cell r="O44">
            <v>20</v>
          </cell>
          <cell r="P44">
            <v>4</v>
          </cell>
          <cell r="S44">
            <v>20</v>
          </cell>
          <cell r="T44">
            <v>4</v>
          </cell>
          <cell r="AA44">
            <v>50</v>
          </cell>
          <cell r="AC44">
            <v>50</v>
          </cell>
          <cell r="AJ44">
            <v>6764</v>
          </cell>
          <cell r="AK44">
            <v>17.991390989324614</v>
          </cell>
          <cell r="AQ44">
            <v>8.1442333500181423</v>
          </cell>
          <cell r="AT44">
            <v>0.43179338374379073</v>
          </cell>
          <cell r="AU44">
            <v>3.2576933400072567</v>
          </cell>
          <cell r="AW44">
            <v>0.39839999999999998</v>
          </cell>
          <cell r="BN44">
            <v>0.43179338374379073</v>
          </cell>
          <cell r="BO44">
            <v>3.2576933400072567</v>
          </cell>
          <cell r="BQ44">
            <v>0.39839999999999998</v>
          </cell>
          <cell r="CZ44">
            <v>0.41421001332680679</v>
          </cell>
          <cell r="DA44">
            <v>3.102565085721197</v>
          </cell>
          <cell r="DC44">
            <v>0.38352000000000003</v>
          </cell>
        </row>
        <row r="45">
          <cell r="H45">
            <v>298</v>
          </cell>
          <cell r="I45">
            <v>1.0449746533975983</v>
          </cell>
          <cell r="K45">
            <v>0.47267219830703422</v>
          </cell>
          <cell r="O45">
            <v>20</v>
          </cell>
          <cell r="P45">
            <v>4</v>
          </cell>
          <cell r="S45">
            <v>20</v>
          </cell>
          <cell r="T45">
            <v>4</v>
          </cell>
          <cell r="AA45">
            <v>50</v>
          </cell>
          <cell r="AC45">
            <v>50</v>
          </cell>
          <cell r="AJ45">
            <v>309</v>
          </cell>
          <cell r="AK45">
            <v>1.0893342193566</v>
          </cell>
          <cell r="AQ45">
            <v>0.49630580822238607</v>
          </cell>
          <cell r="AT45">
            <v>2.6144021264558403E-2</v>
          </cell>
          <cell r="AU45">
            <v>0.19852232328895442</v>
          </cell>
          <cell r="AW45">
            <v>1.821E-2</v>
          </cell>
          <cell r="BN45">
            <v>2.6144021264558403E-2</v>
          </cell>
          <cell r="BO45">
            <v>0.19852232328895442</v>
          </cell>
          <cell r="BQ45">
            <v>1.821E-2</v>
          </cell>
          <cell r="CZ45">
            <v>2.507939168154236E-2</v>
          </cell>
          <cell r="DA45">
            <v>0.18906887932281369</v>
          </cell>
          <cell r="DC45">
            <v>1.755E-2</v>
          </cell>
        </row>
        <row r="46">
          <cell r="H46">
            <v>1363883</v>
          </cell>
          <cell r="J46">
            <v>6919922.4603570029</v>
          </cell>
          <cell r="K46">
            <v>9812.4646639356743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AA46">
            <v>0</v>
          </cell>
          <cell r="AC46">
            <v>0</v>
          </cell>
          <cell r="AJ46">
            <v>1409365</v>
          </cell>
          <cell r="AN46">
            <v>7147332.4603570029</v>
          </cell>
          <cell r="AQ46">
            <v>10456.606075527796</v>
          </cell>
          <cell r="AT46">
            <v>6.5820000000000004E-2</v>
          </cell>
          <cell r="AU46">
            <v>1.3949344975719185</v>
          </cell>
          <cell r="AW46">
            <v>49.918464</v>
          </cell>
          <cell r="BN46">
            <v>6.5820000000000004E-2</v>
          </cell>
          <cell r="BO46">
            <v>1.3949344975719185</v>
          </cell>
          <cell r="BQ46">
            <v>49.918464</v>
          </cell>
          <cell r="CZ46">
            <v>6.4619999999999997E-2</v>
          </cell>
          <cell r="DA46">
            <v>1.3090046012121985</v>
          </cell>
          <cell r="DC46">
            <v>48.281112</v>
          </cell>
        </row>
        <row r="47">
          <cell r="H47">
            <v>1363535</v>
          </cell>
          <cell r="J47">
            <v>6917229.9603570029</v>
          </cell>
          <cell r="K47">
            <v>9809.1921524326444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AA47">
            <v>0</v>
          </cell>
          <cell r="AC47">
            <v>0</v>
          </cell>
          <cell r="AJ47">
            <v>1409007</v>
          </cell>
          <cell r="AN47">
            <v>7144589.9603570029</v>
          </cell>
          <cell r="AQ47">
            <v>10453.118739283866</v>
          </cell>
          <cell r="AT47">
            <v>0</v>
          </cell>
          <cell r="AU47">
            <v>0</v>
          </cell>
          <cell r="AW47">
            <v>49.905755999999997</v>
          </cell>
          <cell r="BN47">
            <v>0</v>
          </cell>
          <cell r="BO47">
            <v>0</v>
          </cell>
          <cell r="BQ47">
            <v>49.905755999999997</v>
          </cell>
          <cell r="CZ47">
            <v>0</v>
          </cell>
          <cell r="DA47">
            <v>0</v>
          </cell>
          <cell r="DC47">
            <v>48.268763999999997</v>
          </cell>
        </row>
        <row r="48">
          <cell r="H48">
            <v>0</v>
          </cell>
          <cell r="J48">
            <v>0</v>
          </cell>
          <cell r="K48">
            <v>0</v>
          </cell>
          <cell r="O48">
            <v>0</v>
          </cell>
          <cell r="P48">
            <v>2.5</v>
          </cell>
          <cell r="S48">
            <v>0</v>
          </cell>
          <cell r="T48">
            <v>2.5</v>
          </cell>
          <cell r="AA48">
            <v>30</v>
          </cell>
          <cell r="AC48">
            <v>30</v>
          </cell>
          <cell r="AJ48">
            <v>0</v>
          </cell>
          <cell r="AN48">
            <v>0</v>
          </cell>
          <cell r="AQ48">
            <v>0</v>
          </cell>
          <cell r="AT48">
            <v>0</v>
          </cell>
          <cell r="AU48">
            <v>0</v>
          </cell>
          <cell r="AW48">
            <v>0</v>
          </cell>
          <cell r="BN48">
            <v>0</v>
          </cell>
          <cell r="BO48">
            <v>0</v>
          </cell>
          <cell r="BQ48">
            <v>0</v>
          </cell>
          <cell r="CZ48">
            <v>0</v>
          </cell>
          <cell r="DA48">
            <v>0</v>
          </cell>
          <cell r="DC48">
            <v>0</v>
          </cell>
        </row>
        <row r="49">
          <cell r="H49">
            <v>1363535</v>
          </cell>
          <cell r="J49">
            <v>6917229.9603570029</v>
          </cell>
          <cell r="K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AA49">
            <v>0</v>
          </cell>
          <cell r="AC49">
            <v>0</v>
          </cell>
          <cell r="AJ49">
            <v>1409007</v>
          </cell>
          <cell r="AN49">
            <v>7144589.9603570029</v>
          </cell>
          <cell r="AQ49">
            <v>10453.118739283866</v>
          </cell>
          <cell r="AT49">
            <v>0</v>
          </cell>
          <cell r="AU49">
            <v>0</v>
          </cell>
          <cell r="AW49">
            <v>0</v>
          </cell>
          <cell r="BN49">
            <v>0</v>
          </cell>
          <cell r="BO49">
            <v>0</v>
          </cell>
          <cell r="BQ49">
            <v>0</v>
          </cell>
          <cell r="CZ49">
            <v>0</v>
          </cell>
          <cell r="DA49">
            <v>0</v>
          </cell>
          <cell r="DC49">
            <v>0</v>
          </cell>
        </row>
        <row r="50">
          <cell r="H50">
            <v>1363535</v>
          </cell>
          <cell r="J50">
            <v>6917229.9603570029</v>
          </cell>
          <cell r="K50">
            <v>9809.1921524326444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AA50">
            <v>30</v>
          </cell>
          <cell r="AC50">
            <v>30</v>
          </cell>
          <cell r="AJ50">
            <v>1409007</v>
          </cell>
          <cell r="AN50">
            <v>7144589.9603570029</v>
          </cell>
          <cell r="AQ50">
            <v>10453.118739283866</v>
          </cell>
          <cell r="AT50">
            <v>0</v>
          </cell>
          <cell r="AU50">
            <v>0</v>
          </cell>
          <cell r="AW50">
            <v>49.905755999999997</v>
          </cell>
          <cell r="BN50">
            <v>0</v>
          </cell>
          <cell r="BO50">
            <v>0</v>
          </cell>
          <cell r="BQ50">
            <v>49.905755999999997</v>
          </cell>
          <cell r="CZ50">
            <v>0</v>
          </cell>
          <cell r="DA50">
            <v>0</v>
          </cell>
          <cell r="DC50">
            <v>48.268763999999997</v>
          </cell>
        </row>
        <row r="51">
          <cell r="H51">
            <v>0</v>
          </cell>
          <cell r="J51">
            <v>0</v>
          </cell>
          <cell r="K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AA51">
            <v>30</v>
          </cell>
          <cell r="AC51">
            <v>30</v>
          </cell>
          <cell r="AJ51">
            <v>0</v>
          </cell>
          <cell r="AN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  <cell r="BN51">
            <v>0</v>
          </cell>
          <cell r="BO51">
            <v>0</v>
          </cell>
          <cell r="BQ51">
            <v>0</v>
          </cell>
          <cell r="CZ51">
            <v>0</v>
          </cell>
          <cell r="DA51">
            <v>0</v>
          </cell>
          <cell r="DC51">
            <v>0</v>
          </cell>
        </row>
        <row r="52">
          <cell r="H52">
            <v>348</v>
          </cell>
          <cell r="J52">
            <v>2692.5</v>
          </cell>
          <cell r="K52">
            <v>3.2725115030304956</v>
          </cell>
          <cell r="O52">
            <v>0</v>
          </cell>
          <cell r="P52">
            <v>0</v>
          </cell>
          <cell r="S52">
            <v>0</v>
          </cell>
          <cell r="T52">
            <v>0</v>
          </cell>
          <cell r="AA52">
            <v>0</v>
          </cell>
          <cell r="AC52">
            <v>0</v>
          </cell>
          <cell r="AJ52">
            <v>358</v>
          </cell>
          <cell r="AN52">
            <v>2742.5</v>
          </cell>
          <cell r="AQ52">
            <v>3.4873362439297964</v>
          </cell>
          <cell r="AT52">
            <v>6.5820000000000004E-2</v>
          </cell>
          <cell r="AU52">
            <v>1.3949344975719185</v>
          </cell>
          <cell r="AW52">
            <v>1.2708000000000001E-2</v>
          </cell>
          <cell r="BN52">
            <v>6.5820000000000004E-2</v>
          </cell>
          <cell r="BO52">
            <v>1.3949344975719185</v>
          </cell>
          <cell r="BQ52">
            <v>1.2708000000000001E-2</v>
          </cell>
          <cell r="CZ52">
            <v>6.4619999999999997E-2</v>
          </cell>
          <cell r="DA52">
            <v>1.3090046012121985</v>
          </cell>
          <cell r="DC52">
            <v>1.2348E-2</v>
          </cell>
        </row>
        <row r="53">
          <cell r="H53">
            <v>348</v>
          </cell>
          <cell r="J53">
            <v>2692.5</v>
          </cell>
          <cell r="K53">
            <v>3.2725115030304956</v>
          </cell>
          <cell r="O53">
            <v>20</v>
          </cell>
          <cell r="P53">
            <v>4</v>
          </cell>
          <cell r="S53">
            <v>20</v>
          </cell>
          <cell r="T53">
            <v>4</v>
          </cell>
          <cell r="AA53">
            <v>30</v>
          </cell>
          <cell r="AC53">
            <v>30</v>
          </cell>
          <cell r="AJ53">
            <v>358</v>
          </cell>
          <cell r="AN53">
            <v>2742.5</v>
          </cell>
          <cell r="AQ53">
            <v>3.4873362439297964</v>
          </cell>
          <cell r="AT53">
            <v>6.5820000000000004E-2</v>
          </cell>
          <cell r="AU53">
            <v>1.3949344975719185</v>
          </cell>
          <cell r="AW53">
            <v>1.2708000000000001E-2</v>
          </cell>
          <cell r="BN53">
            <v>6.5820000000000004E-2</v>
          </cell>
          <cell r="BO53">
            <v>1.3949344975719185</v>
          </cell>
          <cell r="BQ53">
            <v>1.2708000000000001E-2</v>
          </cell>
          <cell r="CZ53">
            <v>6.4619999999999997E-2</v>
          </cell>
          <cell r="DA53">
            <v>1.3090046012121985</v>
          </cell>
          <cell r="DC53">
            <v>1.2348E-2</v>
          </cell>
        </row>
        <row r="54">
          <cell r="H54">
            <v>46724</v>
          </cell>
          <cell r="I54">
            <v>88.0724605515896</v>
          </cell>
          <cell r="K54">
            <v>135.09367549360377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AA54">
            <v>0</v>
          </cell>
          <cell r="AC54">
            <v>0</v>
          </cell>
          <cell r="AJ54">
            <v>47334</v>
          </cell>
          <cell r="AK54">
            <v>89.026404578075471</v>
          </cell>
          <cell r="AQ54">
            <v>140.91635851925764</v>
          </cell>
          <cell r="AT54">
            <v>3.4186139357980982</v>
          </cell>
          <cell r="AU54">
            <v>104.0778844923542</v>
          </cell>
          <cell r="AW54">
            <v>6.772176</v>
          </cell>
          <cell r="BN54">
            <v>3.4186139357980982</v>
          </cell>
          <cell r="BO54">
            <v>104.0778844923542</v>
          </cell>
          <cell r="BQ54">
            <v>6.772176</v>
          </cell>
          <cell r="CZ54">
            <v>3.3819824851810405</v>
          </cell>
          <cell r="DA54">
            <v>99.777372204444234</v>
          </cell>
          <cell r="DC54">
            <v>6.6843360000000001</v>
          </cell>
        </row>
        <row r="55">
          <cell r="H55">
            <v>34517</v>
          </cell>
          <cell r="I55">
            <v>57.624500060454764</v>
          </cell>
          <cell r="K55">
            <v>82.783873311245742</v>
          </cell>
          <cell r="O55">
            <v>32</v>
          </cell>
          <cell r="P55">
            <v>7.1</v>
          </cell>
          <cell r="S55">
            <v>32</v>
          </cell>
          <cell r="T55">
            <v>7.1</v>
          </cell>
          <cell r="AA55">
            <v>120</v>
          </cell>
          <cell r="AC55">
            <v>120</v>
          </cell>
          <cell r="AJ55">
            <v>34968</v>
          </cell>
          <cell r="AK55">
            <v>58.248651438395498</v>
          </cell>
          <cell r="AQ55">
            <v>86.351947480269999</v>
          </cell>
          <cell r="AT55">
            <v>2.2367482152343872</v>
          </cell>
          <cell r="AU55">
            <v>61.309882710991701</v>
          </cell>
          <cell r="AW55">
            <v>5.0029199999999996</v>
          </cell>
          <cell r="BN55">
            <v>2.2367482152343872</v>
          </cell>
          <cell r="BO55">
            <v>61.309882710991701</v>
          </cell>
          <cell r="BQ55">
            <v>5.0029199999999996</v>
          </cell>
          <cell r="CZ55">
            <v>2.212780802321463</v>
          </cell>
          <cell r="DA55">
            <v>58.776550050984483</v>
          </cell>
          <cell r="DC55">
            <v>4.9379759999999999</v>
          </cell>
        </row>
        <row r="56">
          <cell r="H56">
            <v>6446</v>
          </cell>
          <cell r="I56">
            <v>14.674919256446778</v>
          </cell>
          <cell r="K56">
            <v>27.402352285005129</v>
          </cell>
          <cell r="O56">
            <v>32</v>
          </cell>
          <cell r="P56">
            <v>7.6</v>
          </cell>
          <cell r="S56">
            <v>32</v>
          </cell>
          <cell r="T56">
            <v>7.6</v>
          </cell>
          <cell r="AA56">
            <v>120</v>
          </cell>
          <cell r="AC56">
            <v>120</v>
          </cell>
          <cell r="AJ56">
            <v>6530</v>
          </cell>
          <cell r="AK56">
            <v>14.83386850660029</v>
          </cell>
          <cell r="AQ56">
            <v>28.583423204349842</v>
          </cell>
          <cell r="AT56">
            <v>0.56962055065345107</v>
          </cell>
          <cell r="AU56">
            <v>21.72340163530588</v>
          </cell>
          <cell r="AW56">
            <v>0.93427199999999999</v>
          </cell>
          <cell r="BN56">
            <v>0.56962055065345107</v>
          </cell>
          <cell r="BO56">
            <v>21.72340163530588</v>
          </cell>
          <cell r="BQ56">
            <v>0.93427199999999999</v>
          </cell>
          <cell r="CZ56">
            <v>0.56351689944755623</v>
          </cell>
          <cell r="DA56">
            <v>20.8257877366039</v>
          </cell>
          <cell r="DC56">
            <v>0.922176</v>
          </cell>
        </row>
        <row r="57">
          <cell r="H57">
            <v>5761</v>
          </cell>
          <cell r="I57">
            <v>15.773041234688053</v>
          </cell>
          <cell r="K57">
            <v>24.907449897352901</v>
          </cell>
          <cell r="O57">
            <v>32</v>
          </cell>
          <cell r="P57">
            <v>8.1</v>
          </cell>
          <cell r="S57">
            <v>32</v>
          </cell>
          <cell r="T57">
            <v>8.1</v>
          </cell>
          <cell r="AA57">
            <v>120</v>
          </cell>
          <cell r="AC57">
            <v>120</v>
          </cell>
          <cell r="AJ57">
            <v>5836</v>
          </cell>
          <cell r="AK57">
            <v>15.94388463307968</v>
          </cell>
          <cell r="AQ57">
            <v>25.980987834637808</v>
          </cell>
          <cell r="AT57">
            <v>0.61224516991025968</v>
          </cell>
          <cell r="AU57">
            <v>21.044600146056624</v>
          </cell>
          <cell r="AW57">
            <v>0.83498399999999995</v>
          </cell>
          <cell r="BN57">
            <v>0.61224516991025968</v>
          </cell>
          <cell r="BO57">
            <v>21.044600146056624</v>
          </cell>
          <cell r="BQ57">
            <v>0.83498399999999995</v>
          </cell>
          <cell r="CZ57">
            <v>0.60568478341202125</v>
          </cell>
          <cell r="DA57">
            <v>20.175034416855848</v>
          </cell>
          <cell r="DC57">
            <v>0.82418400000000003</v>
          </cell>
        </row>
        <row r="58">
          <cell r="H58">
            <v>25026</v>
          </cell>
          <cell r="I58">
            <v>59.872073034183991</v>
          </cell>
          <cell r="K58">
            <v>68.265599859011161</v>
          </cell>
          <cell r="AJ58">
            <v>25656</v>
          </cell>
          <cell r="AK58">
            <v>61.132073034183989</v>
          </cell>
          <cell r="AQ58">
            <v>73.648007460605655</v>
          </cell>
          <cell r="AT58">
            <v>1.6781414041845726</v>
          </cell>
          <cell r="AU58">
            <v>57.228115521677616</v>
          </cell>
          <cell r="AW58">
            <v>3.0409199999999998</v>
          </cell>
          <cell r="BN58">
            <v>1.6781414041845726</v>
          </cell>
          <cell r="BO58">
            <v>57.228115521677616</v>
          </cell>
          <cell r="BQ58">
            <v>3.0409199999999998</v>
          </cell>
          <cell r="CZ58">
            <v>1.6435530438636294</v>
          </cell>
          <cell r="DA58">
            <v>53.045720713867397</v>
          </cell>
          <cell r="DC58">
            <v>2.9653199999999997</v>
          </cell>
        </row>
        <row r="59">
          <cell r="H59">
            <v>18493</v>
          </cell>
          <cell r="I59">
            <v>47.392739385832783</v>
          </cell>
          <cell r="K59">
            <v>57.311881164732775</v>
          </cell>
          <cell r="O59">
            <v>21</v>
          </cell>
          <cell r="P59">
            <v>8.3000000000000007</v>
          </cell>
          <cell r="S59">
            <v>21</v>
          </cell>
          <cell r="T59">
            <v>8.3000000000000007</v>
          </cell>
          <cell r="AA59">
            <v>100</v>
          </cell>
          <cell r="AC59">
            <v>100</v>
          </cell>
          <cell r="AJ59">
            <v>18959</v>
          </cell>
          <cell r="AK59">
            <v>48.390113430189906</v>
          </cell>
          <cell r="AQ59">
            <v>61.830641792044808</v>
          </cell>
          <cell r="AT59">
            <v>1.2194308584407856</v>
          </cell>
          <cell r="AU59">
            <v>51.319432687397196</v>
          </cell>
          <cell r="AW59">
            <v>2.2471199999999998</v>
          </cell>
          <cell r="BN59">
            <v>1.2194308584407856</v>
          </cell>
          <cell r="BO59">
            <v>51.319432687397196</v>
          </cell>
          <cell r="BQ59">
            <v>2.2471199999999998</v>
          </cell>
          <cell r="CZ59">
            <v>1.194297032522986</v>
          </cell>
          <cell r="DA59">
            <v>47.5688613667282</v>
          </cell>
          <cell r="DC59">
            <v>2.1911999999999998</v>
          </cell>
        </row>
        <row r="60">
          <cell r="H60">
            <v>6533</v>
          </cell>
          <cell r="I60">
            <v>12.479333648351208</v>
          </cell>
          <cell r="K60">
            <v>10.953718694278392</v>
          </cell>
          <cell r="O60">
            <v>30</v>
          </cell>
          <cell r="P60">
            <v>5</v>
          </cell>
          <cell r="S60">
            <v>30</v>
          </cell>
          <cell r="T60">
            <v>5</v>
          </cell>
          <cell r="AA60">
            <v>100</v>
          </cell>
          <cell r="AC60">
            <v>100</v>
          </cell>
          <cell r="AJ60">
            <v>6697</v>
          </cell>
          <cell r="AK60">
            <v>12.741959603994083</v>
          </cell>
          <cell r="AQ60">
            <v>11.817365668560843</v>
          </cell>
          <cell r="AT60">
            <v>0.45871054574378695</v>
          </cell>
          <cell r="AU60">
            <v>5.9086828342804223</v>
          </cell>
          <cell r="AW60">
            <v>0.79379999999999995</v>
          </cell>
          <cell r="BN60">
            <v>0.45871054574378695</v>
          </cell>
          <cell r="BO60">
            <v>5.9086828342804223</v>
          </cell>
          <cell r="BQ60">
            <v>0.79379999999999995</v>
          </cell>
          <cell r="CZ60">
            <v>0.44925601134064347</v>
          </cell>
          <cell r="DA60">
            <v>5.4768593471391958</v>
          </cell>
          <cell r="DC60">
            <v>0.77412000000000003</v>
          </cell>
        </row>
        <row r="61">
          <cell r="H61">
            <v>4761</v>
          </cell>
          <cell r="I61">
            <v>4.8040881028112743</v>
          </cell>
          <cell r="K61">
            <v>4.0765233702200998</v>
          </cell>
          <cell r="O61">
            <v>30</v>
          </cell>
          <cell r="P61">
            <v>5</v>
          </cell>
          <cell r="S61">
            <v>30</v>
          </cell>
          <cell r="T61">
            <v>5</v>
          </cell>
          <cell r="AA61">
            <v>100</v>
          </cell>
          <cell r="AC61">
            <v>100</v>
          </cell>
          <cell r="AJ61">
            <v>4880</v>
          </cell>
          <cell r="AK61">
            <v>4.9051895129142142</v>
          </cell>
          <cell r="AQ61">
            <v>4.3979372363732718</v>
          </cell>
          <cell r="AT61">
            <v>0.1765868224649117</v>
          </cell>
          <cell r="AU61">
            <v>2.1989686181866359</v>
          </cell>
          <cell r="AW61">
            <v>0.57845999999999997</v>
          </cell>
          <cell r="BN61">
            <v>0.1765868224649117</v>
          </cell>
          <cell r="BO61">
            <v>2.1989686181866359</v>
          </cell>
          <cell r="BQ61">
            <v>0.57845999999999997</v>
          </cell>
          <cell r="CZ61">
            <v>0.17294717170120588</v>
          </cell>
          <cell r="DA61">
            <v>2.0382616851100499</v>
          </cell>
          <cell r="DC61">
            <v>0.56418000000000001</v>
          </cell>
        </row>
        <row r="62">
          <cell r="H62">
            <v>1772</v>
          </cell>
          <cell r="I62">
            <v>7.6752455455399335</v>
          </cell>
          <cell r="K62">
            <v>6.8771953240582917</v>
          </cell>
          <cell r="O62">
            <v>30</v>
          </cell>
          <cell r="P62">
            <v>5</v>
          </cell>
          <cell r="S62">
            <v>30</v>
          </cell>
          <cell r="T62">
            <v>5</v>
          </cell>
          <cell r="AA62">
            <v>100</v>
          </cell>
          <cell r="AC62">
            <v>100</v>
          </cell>
          <cell r="AJ62">
            <v>1817</v>
          </cell>
          <cell r="AK62">
            <v>7.8367700910798677</v>
          </cell>
          <cell r="AQ62">
            <v>7.4194284321875728</v>
          </cell>
          <cell r="AT62">
            <v>0.28212372327887525</v>
          </cell>
          <cell r="AU62">
            <v>3.7097142160937864</v>
          </cell>
          <cell r="AW62">
            <v>0.21534</v>
          </cell>
          <cell r="BN62">
            <v>0.28212372327887525</v>
          </cell>
          <cell r="BO62">
            <v>3.7097142160937864</v>
          </cell>
          <cell r="BQ62">
            <v>0.21534</v>
          </cell>
          <cell r="CZ62">
            <v>0.27630883963943759</v>
          </cell>
          <cell r="DA62">
            <v>3.4385976620291459</v>
          </cell>
          <cell r="DC62">
            <v>0.20993999999999999</v>
          </cell>
        </row>
        <row r="63">
          <cell r="H63">
            <v>3420</v>
          </cell>
          <cell r="I63">
            <v>13.027504367607362</v>
          </cell>
          <cell r="K63">
            <v>15.224471550000001</v>
          </cell>
          <cell r="O63">
            <v>21</v>
          </cell>
          <cell r="P63">
            <v>12</v>
          </cell>
          <cell r="S63">
            <v>21</v>
          </cell>
          <cell r="T63">
            <v>12</v>
          </cell>
          <cell r="AC63">
            <v>100</v>
          </cell>
          <cell r="AJ63">
            <v>3626</v>
          </cell>
          <cell r="AK63">
            <v>13.851504367607362</v>
          </cell>
          <cell r="AQ63">
            <v>16.373973589713991</v>
          </cell>
          <cell r="AT63">
            <v>0.34905791006370557</v>
          </cell>
          <cell r="AU63">
            <v>19.648768307656788</v>
          </cell>
          <cell r="AW63">
            <v>0.42276000000000002</v>
          </cell>
          <cell r="BN63">
            <v>0.34905791006370557</v>
          </cell>
          <cell r="BO63">
            <v>19.648768307656788</v>
          </cell>
          <cell r="BQ63">
            <v>0.42276000000000002</v>
          </cell>
          <cell r="CZ63">
            <v>0.32829311006370554</v>
          </cell>
          <cell r="DA63">
            <v>18.269365860000001</v>
          </cell>
          <cell r="DC63">
            <v>0.39804</v>
          </cell>
        </row>
        <row r="64">
          <cell r="H64">
            <v>45</v>
          </cell>
          <cell r="I64">
            <v>1.43</v>
          </cell>
          <cell r="K64">
            <v>0.16766805000000001</v>
          </cell>
          <cell r="O64">
            <v>0</v>
          </cell>
          <cell r="P64">
            <v>6</v>
          </cell>
          <cell r="S64">
            <v>0</v>
          </cell>
          <cell r="T64">
            <v>6</v>
          </cell>
          <cell r="AC64">
            <v>120</v>
          </cell>
          <cell r="AJ64">
            <v>60</v>
          </cell>
          <cell r="AK64">
            <v>1.88</v>
          </cell>
          <cell r="AQ64">
            <v>0.17605145250000001</v>
          </cell>
          <cell r="AT64">
            <v>0</v>
          </cell>
          <cell r="AU64">
            <v>0.10563087150000001</v>
          </cell>
          <cell r="AW64">
            <v>7.5599999999999999E-3</v>
          </cell>
          <cell r="BN64">
            <v>0</v>
          </cell>
          <cell r="BO64">
            <v>0.10563087150000001</v>
          </cell>
          <cell r="BQ64">
            <v>7.5599999999999999E-3</v>
          </cell>
          <cell r="CZ64">
            <v>5.0049999999999997E-2</v>
          </cell>
          <cell r="DA64">
            <v>0.10060083</v>
          </cell>
          <cell r="DC64">
            <v>5.4000000000000003E-3</v>
          </cell>
        </row>
        <row r="65">
          <cell r="H65">
            <v>32653</v>
          </cell>
          <cell r="J65">
            <v>138865.04255576304</v>
          </cell>
          <cell r="K65">
            <v>245.03768782099792</v>
          </cell>
          <cell r="AJ65">
            <v>33081</v>
          </cell>
          <cell r="AN65">
            <v>140369.13903500451</v>
          </cell>
          <cell r="AQ65">
            <v>255.59907628206133</v>
          </cell>
          <cell r="AT65">
            <v>5.3901749389441722</v>
          </cell>
          <cell r="AU65">
            <v>157.12279916917771</v>
          </cell>
          <cell r="AW65">
            <v>4.7328479999999997</v>
          </cell>
          <cell r="BN65">
            <v>5.3901749389441722</v>
          </cell>
          <cell r="BO65">
            <v>157.12279916917771</v>
          </cell>
          <cell r="BQ65">
            <v>4.7328479999999997</v>
          </cell>
          <cell r="CZ65">
            <v>5.3324176341413008</v>
          </cell>
          <cell r="DA65">
            <v>150.63046382018723</v>
          </cell>
          <cell r="DC65">
            <v>4.6712159999999994</v>
          </cell>
        </row>
        <row r="66">
          <cell r="H66">
            <v>27944</v>
          </cell>
          <cell r="J66">
            <v>117844.66153444017</v>
          </cell>
          <cell r="K66">
            <v>215.80166260162935</v>
          </cell>
          <cell r="AA66">
            <v>120</v>
          </cell>
          <cell r="AC66">
            <v>120</v>
          </cell>
          <cell r="AJ66">
            <v>28311</v>
          </cell>
          <cell r="AN66">
            <v>119121.07881879865</v>
          </cell>
          <cell r="AQ66">
            <v>225.10294686343687</v>
          </cell>
          <cell r="AT66">
            <v>4.5742494266418676</v>
          </cell>
          <cell r="AU66">
            <v>135.06176811806213</v>
          </cell>
          <cell r="AW66">
            <v>4.0503600000000004</v>
          </cell>
          <cell r="BN66">
            <v>4.5742494266418676</v>
          </cell>
          <cell r="BO66">
            <v>135.06176811806213</v>
          </cell>
          <cell r="BQ66">
            <v>4.0503600000000004</v>
          </cell>
          <cell r="CZ66">
            <v>4.5252350029225026</v>
          </cell>
          <cell r="DA66">
            <v>129.48099756097761</v>
          </cell>
          <cell r="DC66">
            <v>3.997512</v>
          </cell>
        </row>
        <row r="67">
          <cell r="H67">
            <v>3323</v>
          </cell>
          <cell r="J67">
            <v>14145.168858008246</v>
          </cell>
          <cell r="K67">
            <v>21.398258150210143</v>
          </cell>
          <cell r="AA67">
            <v>120</v>
          </cell>
          <cell r="AC67">
            <v>120</v>
          </cell>
          <cell r="AJ67">
            <v>3366</v>
          </cell>
          <cell r="AN67">
            <v>14298.380193892599</v>
          </cell>
          <cell r="AQ67">
            <v>22.320546140780706</v>
          </cell>
          <cell r="AT67">
            <v>0.54905779944547584</v>
          </cell>
          <cell r="AU67">
            <v>15.847587759954299</v>
          </cell>
          <cell r="AW67">
            <v>0.48160799999999998</v>
          </cell>
          <cell r="BN67">
            <v>0.54905779944547584</v>
          </cell>
          <cell r="BO67">
            <v>15.847587759954299</v>
          </cell>
          <cell r="BQ67">
            <v>0.48160799999999998</v>
          </cell>
          <cell r="CZ67">
            <v>0.54317448414751668</v>
          </cell>
          <cell r="DA67">
            <v>15.1927632866492</v>
          </cell>
          <cell r="DC67">
            <v>0.47541600000000001</v>
          </cell>
        </row>
        <row r="68">
          <cell r="H68">
            <v>1386</v>
          </cell>
          <cell r="J68">
            <v>6875.2121633146371</v>
          </cell>
          <cell r="K68">
            <v>7.8377670691584136</v>
          </cell>
          <cell r="AA68">
            <v>120</v>
          </cell>
          <cell r="AC68">
            <v>120</v>
          </cell>
          <cell r="AJ68">
            <v>1404</v>
          </cell>
          <cell r="AN68">
            <v>6949.6800223132532</v>
          </cell>
          <cell r="AQ68">
            <v>8.1755832778437583</v>
          </cell>
          <cell r="AT68">
            <v>0.26686771285682892</v>
          </cell>
          <cell r="AU68">
            <v>6.2134432911612558</v>
          </cell>
          <cell r="AW68">
            <v>0.20088</v>
          </cell>
          <cell r="BN68">
            <v>0.26686771285682892</v>
          </cell>
          <cell r="BO68">
            <v>6.2134432911612558</v>
          </cell>
          <cell r="BQ68">
            <v>0.20088</v>
          </cell>
          <cell r="CZ68">
            <v>0.26400814707128206</v>
          </cell>
          <cell r="DA68">
            <v>5.9567029725603948</v>
          </cell>
          <cell r="DC68">
            <v>0.19828799999999999</v>
          </cell>
        </row>
        <row r="69">
          <cell r="H69">
            <v>0</v>
          </cell>
          <cell r="I69">
            <v>0</v>
          </cell>
          <cell r="K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AA69">
            <v>0</v>
          </cell>
          <cell r="AC69">
            <v>0</v>
          </cell>
          <cell r="AJ69">
            <v>0</v>
          </cell>
          <cell r="AK69">
            <v>0</v>
          </cell>
          <cell r="AQ69">
            <v>0</v>
          </cell>
          <cell r="AT69">
            <v>0</v>
          </cell>
          <cell r="AU69">
            <v>0</v>
          </cell>
          <cell r="AW69">
            <v>0</v>
          </cell>
          <cell r="BN69">
            <v>0</v>
          </cell>
          <cell r="BO69">
            <v>0</v>
          </cell>
          <cell r="BQ69">
            <v>0</v>
          </cell>
          <cell r="CZ69">
            <v>0</v>
          </cell>
          <cell r="DA69">
            <v>0</v>
          </cell>
          <cell r="DC69">
            <v>0</v>
          </cell>
        </row>
        <row r="84">
          <cell r="H84">
            <v>2449</v>
          </cell>
          <cell r="I84">
            <v>537.59794999999997</v>
          </cell>
          <cell r="K84">
            <v>1132.1996103125311</v>
          </cell>
          <cell r="AJ84">
            <v>2517</v>
          </cell>
          <cell r="AK84">
            <v>548.7979499999999</v>
          </cell>
          <cell r="AQ84">
            <v>1211.3663986092286</v>
          </cell>
          <cell r="AT84">
            <v>227.090856</v>
          </cell>
          <cell r="AU84">
            <v>917.57686388958018</v>
          </cell>
          <cell r="AW84">
            <v>5.9592000000000001</v>
          </cell>
          <cell r="BN84">
            <v>227.090856</v>
          </cell>
          <cell r="BO84">
            <v>917.57686388958018</v>
          </cell>
          <cell r="BQ84">
            <v>5.9592000000000001</v>
          </cell>
          <cell r="CZ84">
            <v>216.84509469999992</v>
          </cell>
          <cell r="DA84">
            <v>866.11688830536434</v>
          </cell>
          <cell r="DC84">
            <v>5.7936000000000005</v>
          </cell>
        </row>
        <row r="85">
          <cell r="H85">
            <v>2432</v>
          </cell>
          <cell r="I85">
            <v>532.39694999999995</v>
          </cell>
          <cell r="K85">
            <v>1115.4683680001197</v>
          </cell>
          <cell r="AJ85">
            <v>2500</v>
          </cell>
          <cell r="AK85">
            <v>543.59694999999988</v>
          </cell>
          <cell r="AQ85">
            <v>1193.4652577153099</v>
          </cell>
          <cell r="AT85">
            <v>224.59437600000001</v>
          </cell>
          <cell r="AU85">
            <v>904.0726641540457</v>
          </cell>
          <cell r="AW85">
            <v>5.9184000000000001</v>
          </cell>
          <cell r="BN85">
            <v>224.59437600000001</v>
          </cell>
          <cell r="BO85">
            <v>904.0726641540457</v>
          </cell>
          <cell r="BQ85">
            <v>5.9184000000000001</v>
          </cell>
          <cell r="CZ85">
            <v>214.42142869999992</v>
          </cell>
          <cell r="DA85">
            <v>853.3483994341309</v>
          </cell>
          <cell r="DC85">
            <v>5.7552000000000003</v>
          </cell>
        </row>
        <row r="86">
          <cell r="H86">
            <v>1706</v>
          </cell>
          <cell r="I86">
            <v>441.3819499999999</v>
          </cell>
          <cell r="K86">
            <v>319.30866030907532</v>
          </cell>
          <cell r="O86">
            <v>500</v>
          </cell>
          <cell r="P86">
            <v>7.65</v>
          </cell>
          <cell r="S86">
            <v>500</v>
          </cell>
          <cell r="T86">
            <v>7.65</v>
          </cell>
          <cell r="AA86">
            <v>2000</v>
          </cell>
          <cell r="AC86">
            <v>2000</v>
          </cell>
          <cell r="AJ86">
            <v>1744</v>
          </cell>
          <cell r="AK86">
            <v>448.98194999999993</v>
          </cell>
          <cell r="AQ86">
            <v>341.6356783381778</v>
          </cell>
          <cell r="AT86">
            <v>215.511336</v>
          </cell>
          <cell r="AU86">
            <v>261.35129392870601</v>
          </cell>
          <cell r="AW86">
            <v>4.1399999999999997</v>
          </cell>
          <cell r="BN86">
            <v>215.511336</v>
          </cell>
          <cell r="BO86">
            <v>261.35129392870601</v>
          </cell>
          <cell r="BQ86">
            <v>4.1399999999999997</v>
          </cell>
          <cell r="CZ86">
            <v>205.68398869999993</v>
          </cell>
          <cell r="DA86">
            <v>244.27112513644263</v>
          </cell>
          <cell r="DC86">
            <v>4.0488</v>
          </cell>
        </row>
        <row r="87">
          <cell r="H87">
            <v>726</v>
          </cell>
          <cell r="I87">
            <v>91.015000000000001</v>
          </cell>
          <cell r="K87">
            <v>174.70951216498472</v>
          </cell>
          <cell r="O87">
            <v>100</v>
          </cell>
          <cell r="P87">
            <v>8</v>
          </cell>
          <cell r="S87">
            <v>100</v>
          </cell>
          <cell r="T87">
            <v>8</v>
          </cell>
          <cell r="AA87">
            <v>2000</v>
          </cell>
          <cell r="AC87">
            <v>2000</v>
          </cell>
          <cell r="AJ87">
            <v>756</v>
          </cell>
          <cell r="AK87">
            <v>94.614999999999995</v>
          </cell>
          <cell r="AQ87">
            <v>186.92572460403213</v>
          </cell>
          <cell r="AT87">
            <v>9.0830400000000004</v>
          </cell>
          <cell r="AU87">
            <v>149.5405796832257</v>
          </cell>
          <cell r="AW87">
            <v>1.7784</v>
          </cell>
          <cell r="BN87">
            <v>9.0830400000000004</v>
          </cell>
          <cell r="BO87">
            <v>149.5405796832257</v>
          </cell>
          <cell r="BQ87">
            <v>1.7784</v>
          </cell>
          <cell r="CZ87">
            <v>8.7374399999999994</v>
          </cell>
          <cell r="DA87">
            <v>139.76760973198773</v>
          </cell>
          <cell r="DC87">
            <v>1.7063999999999999</v>
          </cell>
        </row>
        <row r="88">
          <cell r="H88">
            <v>0</v>
          </cell>
          <cell r="I88">
            <v>0</v>
          </cell>
          <cell r="K88">
            <v>0</v>
          </cell>
          <cell r="O88">
            <v>0</v>
          </cell>
          <cell r="P88">
            <v>7.65</v>
          </cell>
          <cell r="S88">
            <v>0</v>
          </cell>
          <cell r="T88">
            <v>7.65</v>
          </cell>
          <cell r="AA88">
            <v>2000</v>
          </cell>
          <cell r="AC88">
            <v>2000</v>
          </cell>
          <cell r="AJ88">
            <v>0</v>
          </cell>
          <cell r="AK88">
            <v>0</v>
          </cell>
          <cell r="AQ88">
            <v>0</v>
          </cell>
          <cell r="AT88">
            <v>0</v>
          </cell>
          <cell r="AU88">
            <v>0</v>
          </cell>
          <cell r="AW88">
            <v>0</v>
          </cell>
          <cell r="BN88">
            <v>0</v>
          </cell>
          <cell r="BO88">
            <v>0</v>
          </cell>
          <cell r="BQ88">
            <v>0</v>
          </cell>
          <cell r="CZ88">
            <v>0</v>
          </cell>
          <cell r="DA88">
            <v>0</v>
          </cell>
          <cell r="DC88">
            <v>0</v>
          </cell>
        </row>
        <row r="89">
          <cell r="H89">
            <v>0</v>
          </cell>
          <cell r="I89">
            <v>0</v>
          </cell>
          <cell r="K89">
            <v>0</v>
          </cell>
          <cell r="O89">
            <v>0</v>
          </cell>
          <cell r="P89">
            <v>7.3</v>
          </cell>
          <cell r="S89">
            <v>0</v>
          </cell>
          <cell r="T89">
            <v>7.3</v>
          </cell>
          <cell r="AA89">
            <v>2000</v>
          </cell>
          <cell r="AC89">
            <v>2000</v>
          </cell>
          <cell r="AJ89">
            <v>0</v>
          </cell>
          <cell r="AK89">
            <v>0</v>
          </cell>
          <cell r="AQ89">
            <v>0</v>
          </cell>
          <cell r="AT89">
            <v>0</v>
          </cell>
          <cell r="AU89">
            <v>0</v>
          </cell>
          <cell r="AW89">
            <v>0</v>
          </cell>
          <cell r="BN89">
            <v>0</v>
          </cell>
          <cell r="BO89">
            <v>0</v>
          </cell>
          <cell r="BQ89">
            <v>0</v>
          </cell>
          <cell r="CZ89">
            <v>0</v>
          </cell>
          <cell r="DA89">
            <v>0</v>
          </cell>
          <cell r="DC89">
            <v>0</v>
          </cell>
        </row>
        <row r="90">
          <cell r="H90">
            <v>0</v>
          </cell>
          <cell r="I90">
            <v>0</v>
          </cell>
          <cell r="K90">
            <v>0</v>
          </cell>
          <cell r="O90">
            <v>500</v>
          </cell>
          <cell r="P90">
            <v>8.6</v>
          </cell>
          <cell r="S90">
            <v>500</v>
          </cell>
          <cell r="T90">
            <v>8.6</v>
          </cell>
          <cell r="AA90">
            <v>2000</v>
          </cell>
          <cell r="AC90">
            <v>2000</v>
          </cell>
          <cell r="AJ90">
            <v>0</v>
          </cell>
          <cell r="AK90">
            <v>0</v>
          </cell>
          <cell r="AQ90">
            <v>0</v>
          </cell>
          <cell r="AT90">
            <v>0</v>
          </cell>
          <cell r="AU90">
            <v>0</v>
          </cell>
          <cell r="AW90">
            <v>0</v>
          </cell>
          <cell r="BN90">
            <v>0</v>
          </cell>
          <cell r="BO90">
            <v>0</v>
          </cell>
          <cell r="BQ90">
            <v>0</v>
          </cell>
          <cell r="CZ90">
            <v>0</v>
          </cell>
          <cell r="DA90">
            <v>0</v>
          </cell>
          <cell r="DC90">
            <v>0</v>
          </cell>
        </row>
        <row r="91">
          <cell r="H91">
            <v>0</v>
          </cell>
          <cell r="I91">
            <v>0</v>
          </cell>
          <cell r="K91">
            <v>162.2632128913794</v>
          </cell>
          <cell r="O91">
            <v>0</v>
          </cell>
          <cell r="P91">
            <v>8.65</v>
          </cell>
          <cell r="S91">
            <v>0</v>
          </cell>
          <cell r="T91">
            <v>8.65</v>
          </cell>
          <cell r="AA91">
            <v>2000</v>
          </cell>
          <cell r="AC91">
            <v>2000</v>
          </cell>
          <cell r="AJ91">
            <v>0</v>
          </cell>
          <cell r="AK91">
            <v>0</v>
          </cell>
          <cell r="AQ91">
            <v>173.60914280189036</v>
          </cell>
          <cell r="AT91">
            <v>0</v>
          </cell>
          <cell r="AU91">
            <v>150.17190852363518</v>
          </cell>
          <cell r="AW91">
            <v>0</v>
          </cell>
          <cell r="BN91">
            <v>0</v>
          </cell>
          <cell r="BO91">
            <v>150.17190852363518</v>
          </cell>
          <cell r="BQ91">
            <v>0</v>
          </cell>
          <cell r="CZ91">
            <v>0</v>
          </cell>
          <cell r="DA91">
            <v>140.35767915104319</v>
          </cell>
          <cell r="DC91">
            <v>0</v>
          </cell>
        </row>
        <row r="92">
          <cell r="H92">
            <v>0</v>
          </cell>
          <cell r="I92">
            <v>0</v>
          </cell>
          <cell r="K92">
            <v>152.76850512311557</v>
          </cell>
          <cell r="O92">
            <v>0</v>
          </cell>
          <cell r="P92">
            <v>8.65</v>
          </cell>
          <cell r="S92">
            <v>0</v>
          </cell>
          <cell r="T92">
            <v>8.65</v>
          </cell>
          <cell r="AA92">
            <v>2000</v>
          </cell>
          <cell r="AC92">
            <v>2000</v>
          </cell>
          <cell r="AJ92">
            <v>0</v>
          </cell>
          <cell r="AK92">
            <v>0</v>
          </cell>
          <cell r="AQ92">
            <v>163.45053662473933</v>
          </cell>
          <cell r="AT92">
            <v>0</v>
          </cell>
          <cell r="AU92">
            <v>141.38471418039953</v>
          </cell>
          <cell r="AW92">
            <v>0</v>
          </cell>
          <cell r="BN92">
            <v>0</v>
          </cell>
          <cell r="BO92">
            <v>141.38471418039953</v>
          </cell>
          <cell r="BQ92">
            <v>0</v>
          </cell>
          <cell r="CZ92">
            <v>0</v>
          </cell>
          <cell r="DA92">
            <v>132.14475693149498</v>
          </cell>
          <cell r="DC92">
            <v>0</v>
          </cell>
        </row>
        <row r="93">
          <cell r="H93">
            <v>0</v>
          </cell>
          <cell r="I93">
            <v>0</v>
          </cell>
          <cell r="K93">
            <v>306.4184775115645</v>
          </cell>
          <cell r="O93">
            <v>0</v>
          </cell>
          <cell r="P93">
            <v>6.15</v>
          </cell>
          <cell r="S93">
            <v>0</v>
          </cell>
          <cell r="T93">
            <v>6.15</v>
          </cell>
          <cell r="AA93">
            <v>2000</v>
          </cell>
          <cell r="AC93">
            <v>2000</v>
          </cell>
          <cell r="AJ93">
            <v>0</v>
          </cell>
          <cell r="AK93">
            <v>0</v>
          </cell>
          <cell r="AQ93">
            <v>327.84417534647025</v>
          </cell>
          <cell r="AT93">
            <v>0</v>
          </cell>
          <cell r="AU93">
            <v>201.62416783807922</v>
          </cell>
          <cell r="AW93">
            <v>0</v>
          </cell>
          <cell r="BN93">
            <v>0</v>
          </cell>
          <cell r="BO93">
            <v>201.62416783807922</v>
          </cell>
          <cell r="BQ93">
            <v>0</v>
          </cell>
          <cell r="CZ93">
            <v>0</v>
          </cell>
          <cell r="DA93">
            <v>196.80722848316242</v>
          </cell>
          <cell r="DC93">
            <v>0</v>
          </cell>
        </row>
        <row r="94">
          <cell r="H94">
            <v>17</v>
          </cell>
          <cell r="I94">
            <v>5.2009999999999996</v>
          </cell>
          <cell r="K94">
            <v>16.73124231241151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AA94">
            <v>0</v>
          </cell>
          <cell r="AC94">
            <v>0</v>
          </cell>
          <cell r="AJ94">
            <v>17</v>
          </cell>
          <cell r="AK94">
            <v>5.2009999999999996</v>
          </cell>
          <cell r="AQ94">
            <v>17.901140893918527</v>
          </cell>
          <cell r="AT94">
            <v>2.49648</v>
          </cell>
          <cell r="AU94">
            <v>13.504199735534488</v>
          </cell>
          <cell r="AW94">
            <v>4.0800000000000003E-2</v>
          </cell>
          <cell r="BN94">
            <v>2.49648</v>
          </cell>
          <cell r="BO94">
            <v>13.504199735534488</v>
          </cell>
          <cell r="BQ94">
            <v>4.0800000000000003E-2</v>
          </cell>
          <cell r="CZ94">
            <v>2.4236660000000003</v>
          </cell>
          <cell r="DA94">
            <v>12.768488871233433</v>
          </cell>
          <cell r="DC94">
            <v>3.8399999999999997E-2</v>
          </cell>
        </row>
        <row r="95">
          <cell r="H95">
            <v>17</v>
          </cell>
          <cell r="I95">
            <v>5.2009999999999996</v>
          </cell>
          <cell r="K95">
            <v>5.9539932079829416</v>
          </cell>
          <cell r="O95">
            <v>500</v>
          </cell>
          <cell r="P95">
            <v>7.65</v>
          </cell>
          <cell r="S95">
            <v>500</v>
          </cell>
          <cell r="T95">
            <v>7.65</v>
          </cell>
          <cell r="AA95">
            <v>2000</v>
          </cell>
          <cell r="AC95">
            <v>2000</v>
          </cell>
          <cell r="AJ95">
            <v>17</v>
          </cell>
          <cell r="AK95">
            <v>5.2009999999999996</v>
          </cell>
          <cell r="AQ95">
            <v>6.3703142484806028</v>
          </cell>
          <cell r="AT95">
            <v>2.49648</v>
          </cell>
          <cell r="AU95">
            <v>4.8732904000876616</v>
          </cell>
          <cell r="AW95">
            <v>4.0800000000000003E-2</v>
          </cell>
          <cell r="BN95">
            <v>2.49648</v>
          </cell>
          <cell r="BO95">
            <v>4.8732904000876616</v>
          </cell>
          <cell r="BQ95">
            <v>4.0800000000000003E-2</v>
          </cell>
          <cell r="CZ95">
            <v>2.4236660000000003</v>
          </cell>
          <cell r="DA95">
            <v>4.5548048041069507</v>
          </cell>
          <cell r="DC95">
            <v>3.8399999999999997E-2</v>
          </cell>
        </row>
        <row r="96">
          <cell r="H96">
            <v>0</v>
          </cell>
          <cell r="I96">
            <v>0</v>
          </cell>
          <cell r="K96">
            <v>3.0933937970004868</v>
          </cell>
          <cell r="O96">
            <v>0</v>
          </cell>
          <cell r="P96">
            <v>8.65</v>
          </cell>
          <cell r="S96">
            <v>0</v>
          </cell>
          <cell r="T96">
            <v>8.65</v>
          </cell>
          <cell r="AA96">
            <v>2000</v>
          </cell>
          <cell r="AC96">
            <v>2000</v>
          </cell>
          <cell r="AJ96">
            <v>0</v>
          </cell>
          <cell r="AK96">
            <v>0</v>
          </cell>
          <cell r="AQ96">
            <v>3.3096931576563819</v>
          </cell>
          <cell r="AT96">
            <v>0</v>
          </cell>
          <cell r="AU96">
            <v>2.8628845813727706</v>
          </cell>
          <cell r="AW96">
            <v>0</v>
          </cell>
          <cell r="BN96">
            <v>0</v>
          </cell>
          <cell r="BO96">
            <v>2.8628845813727706</v>
          </cell>
          <cell r="BQ96">
            <v>0</v>
          </cell>
          <cell r="CZ96">
            <v>0</v>
          </cell>
          <cell r="DA96">
            <v>2.6757856344054209</v>
          </cell>
          <cell r="DC96">
            <v>0</v>
          </cell>
        </row>
        <row r="97">
          <cell r="H97">
            <v>0</v>
          </cell>
          <cell r="I97">
            <v>0</v>
          </cell>
          <cell r="K97">
            <v>2.6619772154063002</v>
          </cell>
          <cell r="O97">
            <v>0</v>
          </cell>
          <cell r="P97">
            <v>8.65</v>
          </cell>
          <cell r="S97">
            <v>0</v>
          </cell>
          <cell r="T97">
            <v>8.65</v>
          </cell>
          <cell r="AA97">
            <v>2000</v>
          </cell>
          <cell r="AC97">
            <v>2000</v>
          </cell>
          <cell r="AJ97">
            <v>0</v>
          </cell>
          <cell r="AK97">
            <v>0</v>
          </cell>
          <cell r="AQ97">
            <v>2.8481106363536277</v>
          </cell>
          <cell r="AT97">
            <v>0</v>
          </cell>
          <cell r="AU97">
            <v>2.4636157004458878</v>
          </cell>
          <cell r="AW97">
            <v>0</v>
          </cell>
          <cell r="BN97">
            <v>0</v>
          </cell>
          <cell r="BO97">
            <v>2.4636157004458878</v>
          </cell>
          <cell r="BQ97">
            <v>0</v>
          </cell>
          <cell r="CZ97">
            <v>0</v>
          </cell>
          <cell r="DA97">
            <v>2.3026102913264497</v>
          </cell>
          <cell r="DC97">
            <v>0</v>
          </cell>
        </row>
        <row r="98">
          <cell r="H98">
            <v>0</v>
          </cell>
          <cell r="I98">
            <v>0</v>
          </cell>
          <cell r="K98">
            <v>5.0218780920217814</v>
          </cell>
          <cell r="O98">
            <v>0</v>
          </cell>
          <cell r="P98">
            <v>6.15</v>
          </cell>
          <cell r="S98">
            <v>0</v>
          </cell>
          <cell r="T98">
            <v>6.15</v>
          </cell>
          <cell r="AA98">
            <v>2000</v>
          </cell>
          <cell r="AC98">
            <v>2000</v>
          </cell>
          <cell r="AJ98">
            <v>0</v>
          </cell>
          <cell r="AK98">
            <v>0</v>
          </cell>
          <cell r="AQ98">
            <v>5.3730228514279137</v>
          </cell>
          <cell r="AT98">
            <v>0</v>
          </cell>
          <cell r="AU98">
            <v>3.3044090536281674</v>
          </cell>
          <cell r="AW98">
            <v>0</v>
          </cell>
          <cell r="BN98">
            <v>0</v>
          </cell>
          <cell r="BO98">
            <v>3.3044090536281674</v>
          </cell>
          <cell r="BQ98">
            <v>0</v>
          </cell>
          <cell r="CZ98">
            <v>0</v>
          </cell>
          <cell r="DA98">
            <v>3.2352881413946113</v>
          </cell>
          <cell r="DC98">
            <v>0</v>
          </cell>
        </row>
        <row r="99">
          <cell r="H99">
            <v>0</v>
          </cell>
          <cell r="I99">
            <v>0</v>
          </cell>
          <cell r="K99">
            <v>0</v>
          </cell>
          <cell r="O99">
            <v>500</v>
          </cell>
          <cell r="P99">
            <v>7.65</v>
          </cell>
          <cell r="S99">
            <v>500</v>
          </cell>
          <cell r="T99">
            <v>7.65</v>
          </cell>
          <cell r="AA99">
            <v>2000</v>
          </cell>
          <cell r="AC99">
            <v>2000</v>
          </cell>
          <cell r="AJ99">
            <v>0</v>
          </cell>
          <cell r="AK99">
            <v>0</v>
          </cell>
          <cell r="AQ99">
            <v>0</v>
          </cell>
          <cell r="AT99">
            <v>0</v>
          </cell>
          <cell r="AU99">
            <v>0</v>
          </cell>
          <cell r="AW99">
            <v>0</v>
          </cell>
          <cell r="BN99">
            <v>0</v>
          </cell>
          <cell r="BO99">
            <v>0</v>
          </cell>
          <cell r="BQ99">
            <v>0</v>
          </cell>
          <cell r="CZ99">
            <v>0</v>
          </cell>
          <cell r="DA99">
            <v>0</v>
          </cell>
          <cell r="DC99">
            <v>0</v>
          </cell>
        </row>
        <row r="100">
          <cell r="H100">
            <v>819</v>
          </cell>
          <cell r="I100">
            <v>135.57402999999999</v>
          </cell>
          <cell r="K100">
            <v>228.52878712903717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AA100">
            <v>0</v>
          </cell>
          <cell r="AC100">
            <v>0</v>
          </cell>
          <cell r="AJ100">
            <v>882</v>
          </cell>
          <cell r="AK100">
            <v>145.02402999999998</v>
          </cell>
          <cell r="AQ100">
            <v>252.98851961016715</v>
          </cell>
          <cell r="AT100">
            <v>69.611534399999982</v>
          </cell>
          <cell r="AU100">
            <v>223.1007546712963</v>
          </cell>
          <cell r="AW100">
            <v>2.0411999999999999</v>
          </cell>
          <cell r="BN100">
            <v>69.611534399999982</v>
          </cell>
          <cell r="BO100">
            <v>223.1007546712963</v>
          </cell>
          <cell r="BQ100">
            <v>2.0411999999999999</v>
          </cell>
          <cell r="CZ100">
            <v>63.177497979999998</v>
          </cell>
          <cell r="DA100">
            <v>203.06762217487531</v>
          </cell>
          <cell r="DC100">
            <v>1.89</v>
          </cell>
        </row>
        <row r="101">
          <cell r="H101">
            <v>819</v>
          </cell>
          <cell r="I101">
            <v>135.57402999999999</v>
          </cell>
          <cell r="K101">
            <v>101.37231547501712</v>
          </cell>
          <cell r="O101">
            <v>500</v>
          </cell>
          <cell r="P101">
            <v>8.8000000000000007</v>
          </cell>
          <cell r="S101">
            <v>500</v>
          </cell>
          <cell r="T101">
            <v>8.8000000000000007</v>
          </cell>
          <cell r="AA101">
            <v>2000</v>
          </cell>
          <cell r="AC101">
            <v>2000</v>
          </cell>
          <cell r="AJ101">
            <v>882</v>
          </cell>
          <cell r="AK101">
            <v>145.02402999999998</v>
          </cell>
          <cell r="AQ101">
            <v>112.22232587703957</v>
          </cell>
          <cell r="AT101">
            <v>69.611534399999982</v>
          </cell>
          <cell r="AU101">
            <v>98.755646771794829</v>
          </cell>
          <cell r="AW101">
            <v>2.0411999999999999</v>
          </cell>
          <cell r="BN101">
            <v>69.611534399999982</v>
          </cell>
          <cell r="BO101">
            <v>98.755646771794829</v>
          </cell>
          <cell r="BQ101">
            <v>2.0411999999999999</v>
          </cell>
          <cell r="CZ101">
            <v>63.177497979999998</v>
          </cell>
          <cell r="DA101">
            <v>89.207637618015042</v>
          </cell>
          <cell r="DC101">
            <v>1.89</v>
          </cell>
        </row>
        <row r="102">
          <cell r="H102">
            <v>0</v>
          </cell>
          <cell r="I102">
            <v>0</v>
          </cell>
          <cell r="K102">
            <v>51.398390074841288</v>
          </cell>
          <cell r="O102">
            <v>0</v>
          </cell>
          <cell r="P102">
            <v>9.8000000000000007</v>
          </cell>
          <cell r="S102">
            <v>0</v>
          </cell>
          <cell r="T102">
            <v>9.8000000000000007</v>
          </cell>
          <cell r="AA102">
            <v>2000</v>
          </cell>
          <cell r="AC102">
            <v>2000</v>
          </cell>
          <cell r="AJ102">
            <v>0</v>
          </cell>
          <cell r="AK102">
            <v>0</v>
          </cell>
          <cell r="AQ102">
            <v>56.899626426660383</v>
          </cell>
          <cell r="AT102">
            <v>0</v>
          </cell>
          <cell r="AU102">
            <v>55.761633898127187</v>
          </cell>
          <cell r="AW102">
            <v>0</v>
          </cell>
          <cell r="BN102">
            <v>0</v>
          </cell>
          <cell r="BO102">
            <v>55.761633898127187</v>
          </cell>
          <cell r="BQ102">
            <v>0</v>
          </cell>
          <cell r="CZ102">
            <v>0</v>
          </cell>
          <cell r="DA102">
            <v>50.370422273344474</v>
          </cell>
          <cell r="DC102">
            <v>0</v>
          </cell>
        </row>
        <row r="103">
          <cell r="H103">
            <v>0</v>
          </cell>
          <cell r="I103">
            <v>0</v>
          </cell>
          <cell r="K103">
            <v>26.596826622005175</v>
          </cell>
          <cell r="O103">
            <v>0</v>
          </cell>
          <cell r="P103">
            <v>9.8000000000000007</v>
          </cell>
          <cell r="S103">
            <v>0</v>
          </cell>
          <cell r="T103">
            <v>9.8000000000000007</v>
          </cell>
          <cell r="AA103">
            <v>2000</v>
          </cell>
          <cell r="AC103">
            <v>2000</v>
          </cell>
          <cell r="AJ103">
            <v>0</v>
          </cell>
          <cell r="AK103">
            <v>0</v>
          </cell>
          <cell r="AQ103">
            <v>29.443519470612976</v>
          </cell>
          <cell r="AT103">
            <v>0</v>
          </cell>
          <cell r="AU103">
            <v>28.854649081200716</v>
          </cell>
          <cell r="AW103">
            <v>0</v>
          </cell>
          <cell r="BN103">
            <v>0</v>
          </cell>
          <cell r="BO103">
            <v>28.854649081200716</v>
          </cell>
          <cell r="BQ103">
            <v>0</v>
          </cell>
          <cell r="CZ103">
            <v>0</v>
          </cell>
          <cell r="DA103">
            <v>26.064890089565072</v>
          </cell>
          <cell r="DC103">
            <v>0</v>
          </cell>
        </row>
        <row r="104">
          <cell r="H104">
            <v>0</v>
          </cell>
          <cell r="I104">
            <v>0</v>
          </cell>
          <cell r="K104">
            <v>49.16125495717359</v>
          </cell>
          <cell r="O104">
            <v>0</v>
          </cell>
          <cell r="P104">
            <v>7.3000000000000007</v>
          </cell>
          <cell r="S104">
            <v>0</v>
          </cell>
          <cell r="T104">
            <v>7.3000000000000007</v>
          </cell>
          <cell r="AA104">
            <v>2000</v>
          </cell>
          <cell r="AC104">
            <v>2000</v>
          </cell>
          <cell r="AJ104">
            <v>0</v>
          </cell>
          <cell r="AK104">
            <v>0</v>
          </cell>
          <cell r="AQ104">
            <v>54.423047835854234</v>
          </cell>
          <cell r="AT104">
            <v>0</v>
          </cell>
          <cell r="AU104">
            <v>39.728824920173594</v>
          </cell>
          <cell r="AW104">
            <v>0</v>
          </cell>
          <cell r="BN104">
            <v>0</v>
          </cell>
          <cell r="BO104">
            <v>39.728824920173594</v>
          </cell>
          <cell r="BQ104">
            <v>0</v>
          </cell>
          <cell r="CZ104">
            <v>0</v>
          </cell>
          <cell r="DA104">
            <v>37.424672193950727</v>
          </cell>
          <cell r="DC104">
            <v>0</v>
          </cell>
        </row>
        <row r="105">
          <cell r="H105">
            <v>2</v>
          </cell>
          <cell r="I105">
            <v>0.23200000000000001</v>
          </cell>
          <cell r="K105">
            <v>0.3310266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AA105">
            <v>2000</v>
          </cell>
          <cell r="AC105">
            <v>2000</v>
          </cell>
          <cell r="AJ105">
            <v>2</v>
          </cell>
          <cell r="AK105">
            <v>0.23200000000000001</v>
          </cell>
          <cell r="AQ105">
            <v>0.33764713200000002</v>
          </cell>
          <cell r="AT105">
            <v>6.3475199999999996E-2</v>
          </cell>
          <cell r="AU105">
            <v>0.16065495618</v>
          </cell>
          <cell r="AW105">
            <v>4.7999999999999996E-3</v>
          </cell>
          <cell r="BN105">
            <v>6.3475199999999996E-2</v>
          </cell>
          <cell r="BO105">
            <v>0.16065495618</v>
          </cell>
          <cell r="BQ105">
            <v>4.7999999999999996E-3</v>
          </cell>
          <cell r="CZ105">
            <v>6.0227200000000009E-2</v>
          </cell>
          <cell r="DA105">
            <v>0.16179054900000001</v>
          </cell>
          <cell r="DC105">
            <v>4.7999999999999996E-3</v>
          </cell>
        </row>
        <row r="106">
          <cell r="H106">
            <v>2</v>
          </cell>
          <cell r="I106">
            <v>0.23200000000000001</v>
          </cell>
          <cell r="K106">
            <v>7.8320360000000019E-2</v>
          </cell>
          <cell r="O106">
            <v>285</v>
          </cell>
          <cell r="P106">
            <v>5</v>
          </cell>
          <cell r="S106">
            <v>285</v>
          </cell>
          <cell r="T106">
            <v>5</v>
          </cell>
          <cell r="AA106">
            <v>2000</v>
          </cell>
          <cell r="AC106">
            <v>2000</v>
          </cell>
          <cell r="AJ106">
            <v>2</v>
          </cell>
          <cell r="AK106">
            <v>0.23200000000000001</v>
          </cell>
          <cell r="AQ106">
            <v>7.9886767200000014E-2</v>
          </cell>
          <cell r="AT106">
            <v>6.3475199999999996E-2</v>
          </cell>
          <cell r="AU106">
            <v>3.9943383600000007E-2</v>
          </cell>
          <cell r="AW106">
            <v>4.7999999999999996E-3</v>
          </cell>
          <cell r="BN106">
            <v>6.3475199999999996E-2</v>
          </cell>
          <cell r="BO106">
            <v>3.9943383600000007E-2</v>
          </cell>
          <cell r="BQ106">
            <v>4.7999999999999996E-3</v>
          </cell>
          <cell r="CZ106">
            <v>6.0227200000000009E-2</v>
          </cell>
          <cell r="DA106">
            <v>3.9160180000000003E-2</v>
          </cell>
          <cell r="DC106">
            <v>4.7999999999999996E-3</v>
          </cell>
        </row>
        <row r="107">
          <cell r="H107">
            <v>0</v>
          </cell>
          <cell r="I107">
            <v>0</v>
          </cell>
          <cell r="K107">
            <v>8.161388E-2</v>
          </cell>
          <cell r="O107">
            <v>0</v>
          </cell>
          <cell r="P107">
            <v>6</v>
          </cell>
          <cell r="S107">
            <v>0</v>
          </cell>
          <cell r="T107">
            <v>6</v>
          </cell>
          <cell r="AA107">
            <v>2000</v>
          </cell>
          <cell r="AC107">
            <v>2000</v>
          </cell>
          <cell r="AJ107">
            <v>0</v>
          </cell>
          <cell r="AK107">
            <v>0</v>
          </cell>
          <cell r="AQ107">
            <v>8.3246157600000009E-2</v>
          </cell>
          <cell r="AT107">
            <v>0</v>
          </cell>
          <cell r="AU107">
            <v>4.9947694560000006E-2</v>
          </cell>
          <cell r="AW107">
            <v>0</v>
          </cell>
          <cell r="BN107">
            <v>0</v>
          </cell>
          <cell r="BO107">
            <v>4.9947694560000006E-2</v>
          </cell>
          <cell r="BQ107">
            <v>0</v>
          </cell>
          <cell r="CZ107">
            <v>0</v>
          </cell>
          <cell r="DA107">
            <v>4.8968328000000005E-2</v>
          </cell>
          <cell r="DC107">
            <v>0</v>
          </cell>
        </row>
        <row r="108">
          <cell r="H108">
            <v>0</v>
          </cell>
          <cell r="I108">
            <v>0</v>
          </cell>
          <cell r="K108">
            <v>3.7976100000000006E-2</v>
          </cell>
          <cell r="O108">
            <v>0</v>
          </cell>
          <cell r="P108">
            <v>6</v>
          </cell>
          <cell r="S108">
            <v>0</v>
          </cell>
          <cell r="T108">
            <v>6</v>
          </cell>
          <cell r="AA108">
            <v>2000</v>
          </cell>
          <cell r="AC108">
            <v>2000</v>
          </cell>
          <cell r="AJ108">
            <v>0</v>
          </cell>
          <cell r="AK108">
            <v>0</v>
          </cell>
          <cell r="AQ108">
            <v>3.8735621999999997E-2</v>
          </cell>
          <cell r="AT108">
            <v>0</v>
          </cell>
          <cell r="AU108">
            <v>2.3241373199999998E-2</v>
          </cell>
          <cell r="AW108">
            <v>0</v>
          </cell>
          <cell r="BN108">
            <v>0</v>
          </cell>
          <cell r="BO108">
            <v>2.3241373199999998E-2</v>
          </cell>
          <cell r="BQ108">
            <v>0</v>
          </cell>
          <cell r="CZ108">
            <v>0</v>
          </cell>
          <cell r="DA108">
            <v>2.2785660000000003E-2</v>
          </cell>
          <cell r="DC108">
            <v>0</v>
          </cell>
        </row>
        <row r="109">
          <cell r="H109">
            <v>0</v>
          </cell>
          <cell r="I109">
            <v>0</v>
          </cell>
          <cell r="K109">
            <v>0.13311625999999999</v>
          </cell>
          <cell r="O109">
            <v>0</v>
          </cell>
          <cell r="P109">
            <v>3.5</v>
          </cell>
          <cell r="S109">
            <v>0</v>
          </cell>
          <cell r="T109">
            <v>3.5</v>
          </cell>
          <cell r="AA109">
            <v>2000</v>
          </cell>
          <cell r="AC109">
            <v>2000</v>
          </cell>
          <cell r="AJ109">
            <v>0</v>
          </cell>
          <cell r="AK109">
            <v>0</v>
          </cell>
          <cell r="AQ109">
            <v>0.1357785852</v>
          </cell>
          <cell r="AT109">
            <v>0</v>
          </cell>
          <cell r="AU109">
            <v>4.7522504819999999E-2</v>
          </cell>
          <cell r="AW109">
            <v>0</v>
          </cell>
          <cell r="BN109">
            <v>0</v>
          </cell>
          <cell r="BO109">
            <v>4.7522504819999999E-2</v>
          </cell>
          <cell r="BQ109">
            <v>0</v>
          </cell>
          <cell r="CZ109">
            <v>0</v>
          </cell>
          <cell r="DA109">
            <v>5.0876380999999998E-2</v>
          </cell>
          <cell r="DC109">
            <v>0</v>
          </cell>
        </row>
        <row r="110">
          <cell r="H110">
            <v>21</v>
          </cell>
          <cell r="I110">
            <v>2.7829999999999999</v>
          </cell>
          <cell r="K110">
            <v>8.427113748004512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AA110">
            <v>0</v>
          </cell>
          <cell r="AC110">
            <v>0</v>
          </cell>
          <cell r="AJ110">
            <v>21</v>
          </cell>
          <cell r="AK110">
            <v>2.7829999999999999</v>
          </cell>
          <cell r="AQ110">
            <v>8.6112217104417237</v>
          </cell>
          <cell r="AT110">
            <v>1.3358400000000001</v>
          </cell>
          <cell r="AU110">
            <v>7.1582725779610996</v>
          </cell>
          <cell r="AW110">
            <v>5.04E-2</v>
          </cell>
          <cell r="BN110">
            <v>1.3358400000000001</v>
          </cell>
          <cell r="BO110">
            <v>7.1582725779610996</v>
          </cell>
          <cell r="BQ110">
            <v>5.04E-2</v>
          </cell>
          <cell r="CZ110">
            <v>1.2968780000000002</v>
          </cell>
          <cell r="DA110">
            <v>7.103579391402377</v>
          </cell>
          <cell r="DC110">
            <v>5.04E-2</v>
          </cell>
        </row>
        <row r="111">
          <cell r="H111">
            <v>21</v>
          </cell>
          <cell r="I111">
            <v>2.7829999999999999</v>
          </cell>
          <cell r="K111">
            <v>2.2593255898572573</v>
          </cell>
          <cell r="O111">
            <v>500</v>
          </cell>
          <cell r="P111">
            <v>8.5</v>
          </cell>
          <cell r="S111">
            <v>500</v>
          </cell>
          <cell r="T111">
            <v>8.5</v>
          </cell>
          <cell r="AA111">
            <v>2000</v>
          </cell>
          <cell r="AC111">
            <v>2000</v>
          </cell>
          <cell r="AJ111">
            <v>21</v>
          </cell>
          <cell r="AK111">
            <v>2.7829999999999999</v>
          </cell>
          <cell r="AQ111">
            <v>2.3086852927483412</v>
          </cell>
          <cell r="AT111">
            <v>1.3358400000000001</v>
          </cell>
          <cell r="AU111">
            <v>1.9623824988360901</v>
          </cell>
          <cell r="AW111">
            <v>5.04E-2</v>
          </cell>
          <cell r="BN111">
            <v>1.3358400000000001</v>
          </cell>
          <cell r="BO111">
            <v>1.9623824988360901</v>
          </cell>
          <cell r="BQ111">
            <v>5.04E-2</v>
          </cell>
          <cell r="CZ111">
            <v>1.2968780000000002</v>
          </cell>
          <cell r="DA111">
            <v>1.920426751378669</v>
          </cell>
          <cell r="DC111">
            <v>5.04E-2</v>
          </cell>
        </row>
        <row r="112">
          <cell r="H112">
            <v>0</v>
          </cell>
          <cell r="I112">
            <v>0</v>
          </cell>
          <cell r="K112">
            <v>1.8081724714929406</v>
          </cell>
          <cell r="O112">
            <v>0</v>
          </cell>
          <cell r="P112">
            <v>9.5</v>
          </cell>
          <cell r="S112">
            <v>0</v>
          </cell>
          <cell r="T112">
            <v>9.5</v>
          </cell>
          <cell r="AA112">
            <v>2000</v>
          </cell>
          <cell r="AC112">
            <v>2000</v>
          </cell>
          <cell r="AJ112">
            <v>0</v>
          </cell>
          <cell r="AK112">
            <v>0</v>
          </cell>
          <cell r="AQ112">
            <v>1.8476757889295239</v>
          </cell>
          <cell r="AT112">
            <v>0</v>
          </cell>
          <cell r="AU112">
            <v>1.7552919994830478</v>
          </cell>
          <cell r="AW112">
            <v>0</v>
          </cell>
          <cell r="BN112">
            <v>0</v>
          </cell>
          <cell r="BO112">
            <v>1.7552919994830478</v>
          </cell>
          <cell r="BQ112">
            <v>0</v>
          </cell>
          <cell r="CZ112">
            <v>0</v>
          </cell>
          <cell r="DA112">
            <v>1.7177638479182935</v>
          </cell>
          <cell r="DC112">
            <v>0</v>
          </cell>
        </row>
        <row r="113">
          <cell r="H113">
            <v>0</v>
          </cell>
          <cell r="I113">
            <v>0</v>
          </cell>
          <cell r="K113">
            <v>1.2612283806124283</v>
          </cell>
          <cell r="O113">
            <v>0</v>
          </cell>
          <cell r="P113">
            <v>9.5</v>
          </cell>
          <cell r="S113">
            <v>0</v>
          </cell>
          <cell r="T113">
            <v>9.5</v>
          </cell>
          <cell r="AA113">
            <v>2000</v>
          </cell>
          <cell r="AC113">
            <v>2000</v>
          </cell>
          <cell r="AJ113">
            <v>0</v>
          </cell>
          <cell r="AK113">
            <v>0</v>
          </cell>
          <cell r="AQ113">
            <v>1.2887825580290462</v>
          </cell>
          <cell r="AT113">
            <v>0</v>
          </cell>
          <cell r="AU113">
            <v>1.2243434301275937</v>
          </cell>
          <cell r="AW113">
            <v>0</v>
          </cell>
          <cell r="BN113">
            <v>0</v>
          </cell>
          <cell r="BO113">
            <v>1.2243434301275937</v>
          </cell>
          <cell r="BQ113">
            <v>0</v>
          </cell>
          <cell r="CZ113">
            <v>0</v>
          </cell>
          <cell r="DA113">
            <v>1.1981669615818067</v>
          </cell>
          <cell r="DC113">
            <v>0</v>
          </cell>
        </row>
        <row r="114">
          <cell r="H114">
            <v>0</v>
          </cell>
          <cell r="I114">
            <v>0</v>
          </cell>
          <cell r="K114">
            <v>3.0983873060418858</v>
          </cell>
          <cell r="O114">
            <v>0</v>
          </cell>
          <cell r="P114">
            <v>7</v>
          </cell>
          <cell r="S114">
            <v>0</v>
          </cell>
          <cell r="T114">
            <v>7</v>
          </cell>
          <cell r="AA114">
            <v>2000</v>
          </cell>
          <cell r="AC114">
            <v>2000</v>
          </cell>
          <cell r="AJ114">
            <v>0</v>
          </cell>
          <cell r="AK114">
            <v>0</v>
          </cell>
          <cell r="AQ114">
            <v>3.166078070734812</v>
          </cell>
          <cell r="AT114">
            <v>0</v>
          </cell>
          <cell r="AU114">
            <v>2.2162546495143682</v>
          </cell>
          <cell r="AW114">
            <v>0</v>
          </cell>
          <cell r="BN114">
            <v>0</v>
          </cell>
          <cell r="BO114">
            <v>2.2162546495143682</v>
          </cell>
          <cell r="BQ114">
            <v>0</v>
          </cell>
          <cell r="CZ114">
            <v>0</v>
          </cell>
          <cell r="DA114">
            <v>2.2672218305236087</v>
          </cell>
          <cell r="DC114">
            <v>0</v>
          </cell>
        </row>
        <row r="115">
          <cell r="H115">
            <v>201</v>
          </cell>
          <cell r="I115">
            <v>66.646100000000004</v>
          </cell>
          <cell r="K115">
            <v>24.5627101</v>
          </cell>
          <cell r="O115">
            <v>0</v>
          </cell>
          <cell r="P115">
            <v>0</v>
          </cell>
          <cell r="S115">
            <v>0</v>
          </cell>
          <cell r="T115">
            <v>0</v>
          </cell>
          <cell r="AA115">
            <v>0</v>
          </cell>
          <cell r="AC115">
            <v>0</v>
          </cell>
          <cell r="AJ115">
            <v>201</v>
          </cell>
          <cell r="AK115">
            <v>66.646100000000004</v>
          </cell>
          <cell r="AQ115">
            <v>25.053964301999997</v>
          </cell>
          <cell r="AT115">
            <v>11.496452250000001</v>
          </cell>
          <cell r="AU115">
            <v>15.783997510259997</v>
          </cell>
          <cell r="AW115">
            <v>0.4824</v>
          </cell>
          <cell r="BN115">
            <v>11.496452250000001</v>
          </cell>
          <cell r="BO115">
            <v>15.783997510259997</v>
          </cell>
          <cell r="BQ115">
            <v>0.4824</v>
          </cell>
          <cell r="CZ115">
            <v>10.937596932291667</v>
          </cell>
          <cell r="DA115">
            <v>15.474507363000001</v>
          </cell>
          <cell r="DC115">
            <v>0.4824</v>
          </cell>
        </row>
        <row r="116">
          <cell r="H116">
            <v>201</v>
          </cell>
          <cell r="I116">
            <v>66.646100000000004</v>
          </cell>
          <cell r="K116">
            <v>24.5627101</v>
          </cell>
          <cell r="O116">
            <v>300</v>
          </cell>
          <cell r="P116">
            <v>6.3</v>
          </cell>
          <cell r="S116">
            <v>300</v>
          </cell>
          <cell r="T116">
            <v>6.3</v>
          </cell>
          <cell r="AA116">
            <v>2000</v>
          </cell>
          <cell r="AC116">
            <v>2000</v>
          </cell>
          <cell r="AJ116">
            <v>201</v>
          </cell>
          <cell r="AK116">
            <v>66.646100000000004</v>
          </cell>
          <cell r="AQ116">
            <v>25.053964301999997</v>
          </cell>
          <cell r="AT116">
            <v>11.496452250000001</v>
          </cell>
          <cell r="AU116">
            <v>15.783997510259997</v>
          </cell>
          <cell r="AW116">
            <v>0.4824</v>
          </cell>
          <cell r="BN116">
            <v>11.496452250000001</v>
          </cell>
          <cell r="BO116">
            <v>15.783997510259997</v>
          </cell>
          <cell r="BQ116">
            <v>0.4824</v>
          </cell>
          <cell r="CZ116">
            <v>10.937596932291667</v>
          </cell>
          <cell r="DA116">
            <v>15.474507363000001</v>
          </cell>
          <cell r="DC116">
            <v>0.4824</v>
          </cell>
        </row>
        <row r="117">
          <cell r="H117">
            <v>19</v>
          </cell>
          <cell r="I117">
            <v>5.53</v>
          </cell>
          <cell r="K117">
            <v>9.1093216263484411</v>
          </cell>
          <cell r="O117">
            <v>285</v>
          </cell>
          <cell r="P117">
            <v>7.3</v>
          </cell>
          <cell r="S117">
            <v>285</v>
          </cell>
          <cell r="T117">
            <v>7.3</v>
          </cell>
          <cell r="AA117">
            <v>2000</v>
          </cell>
          <cell r="AC117">
            <v>2000</v>
          </cell>
          <cell r="AJ117">
            <v>19</v>
          </cell>
          <cell r="AK117">
            <v>5.53</v>
          </cell>
          <cell r="AQ117">
            <v>9.2586596461890274</v>
          </cell>
          <cell r="AT117">
            <v>1.5130080000000001</v>
          </cell>
          <cell r="AU117">
            <v>6.7588215417179898</v>
          </cell>
          <cell r="AW117">
            <v>4.5600000000000002E-2</v>
          </cell>
          <cell r="BN117">
            <v>1.5130080000000001</v>
          </cell>
          <cell r="BO117">
            <v>6.7588215417179898</v>
          </cell>
          <cell r="BQ117">
            <v>4.5600000000000002E-2</v>
          </cell>
          <cell r="CZ117">
            <v>1.4355880000000001</v>
          </cell>
          <cell r="DA117">
            <v>6.6498047872343609</v>
          </cell>
          <cell r="DC117">
            <v>4.5600000000000002E-2</v>
          </cell>
        </row>
        <row r="118">
          <cell r="H118">
            <v>0</v>
          </cell>
          <cell r="I118">
            <v>0</v>
          </cell>
          <cell r="K118">
            <v>0</v>
          </cell>
          <cell r="O118">
            <v>500</v>
          </cell>
          <cell r="P118">
            <v>5.05</v>
          </cell>
          <cell r="S118">
            <v>500</v>
          </cell>
          <cell r="T118">
            <v>5.05</v>
          </cell>
          <cell r="AA118">
            <v>2000</v>
          </cell>
          <cell r="AC118">
            <v>2000</v>
          </cell>
          <cell r="AJ118">
            <v>0</v>
          </cell>
          <cell r="AK118">
            <v>0</v>
          </cell>
          <cell r="AQ118">
            <v>0</v>
          </cell>
          <cell r="AT118">
            <v>0</v>
          </cell>
          <cell r="AU118">
            <v>0</v>
          </cell>
          <cell r="AW118">
            <v>0</v>
          </cell>
          <cell r="BN118">
            <v>0</v>
          </cell>
          <cell r="BO118">
            <v>0</v>
          </cell>
          <cell r="BQ118">
            <v>0</v>
          </cell>
          <cell r="CZ118">
            <v>0</v>
          </cell>
          <cell r="DA118">
            <v>0</v>
          </cell>
          <cell r="DC118">
            <v>0</v>
          </cell>
        </row>
        <row r="119">
          <cell r="H119">
            <v>0</v>
          </cell>
          <cell r="I119">
            <v>0</v>
          </cell>
          <cell r="K119">
            <v>0</v>
          </cell>
          <cell r="O119">
            <v>500</v>
          </cell>
          <cell r="P119">
            <v>4.95</v>
          </cell>
          <cell r="S119">
            <v>500</v>
          </cell>
          <cell r="T119">
            <v>4.95</v>
          </cell>
          <cell r="AA119">
            <v>2000</v>
          </cell>
          <cell r="AC119">
            <v>2000</v>
          </cell>
          <cell r="AJ119">
            <v>0</v>
          </cell>
          <cell r="AK119">
            <v>0</v>
          </cell>
          <cell r="AQ119">
            <v>0</v>
          </cell>
          <cell r="AT119">
            <v>0</v>
          </cell>
          <cell r="AU119">
            <v>0</v>
          </cell>
          <cell r="AW119">
            <v>0</v>
          </cell>
          <cell r="BN119">
            <v>0</v>
          </cell>
          <cell r="BO119">
            <v>0</v>
          </cell>
          <cell r="BQ119">
            <v>0</v>
          </cell>
          <cell r="CZ119">
            <v>0</v>
          </cell>
          <cell r="DA119">
            <v>0</v>
          </cell>
          <cell r="DC119">
            <v>0</v>
          </cell>
        </row>
        <row r="120">
          <cell r="H120">
            <v>41</v>
          </cell>
          <cell r="I120">
            <v>9.6270000000000007</v>
          </cell>
          <cell r="K120">
            <v>14.611284000000001</v>
          </cell>
          <cell r="O120">
            <v>500</v>
          </cell>
          <cell r="P120">
            <v>11.8</v>
          </cell>
          <cell r="S120">
            <v>500</v>
          </cell>
          <cell r="T120">
            <v>11.8</v>
          </cell>
          <cell r="AA120">
            <v>2000</v>
          </cell>
          <cell r="AC120">
            <v>2000</v>
          </cell>
          <cell r="AJ120">
            <v>41</v>
          </cell>
          <cell r="AK120">
            <v>9.6270000000000007</v>
          </cell>
          <cell r="AQ120">
            <v>14.611284000000001</v>
          </cell>
          <cell r="AT120">
            <v>4.6209600000000002</v>
          </cell>
          <cell r="AU120">
            <v>17.241315120000003</v>
          </cell>
          <cell r="AW120">
            <v>9.8400000000000001E-2</v>
          </cell>
          <cell r="BN120">
            <v>4.6209600000000002</v>
          </cell>
          <cell r="BO120">
            <v>17.241315120000003</v>
          </cell>
          <cell r="BQ120">
            <v>9.8400000000000001E-2</v>
          </cell>
          <cell r="CZ120">
            <v>4.6209600000000002</v>
          </cell>
          <cell r="DA120">
            <v>17.241315120000003</v>
          </cell>
          <cell r="DC120">
            <v>0.1032</v>
          </cell>
        </row>
        <row r="121">
          <cell r="H121">
            <v>1</v>
          </cell>
          <cell r="I121">
            <v>527.6</v>
          </cell>
          <cell r="K121">
            <v>1164.8637975155186</v>
          </cell>
          <cell r="O121">
            <v>0</v>
          </cell>
          <cell r="P121">
            <v>4.7699999999999996</v>
          </cell>
          <cell r="S121">
            <v>0</v>
          </cell>
          <cell r="T121">
            <v>4.7699999999999996</v>
          </cell>
          <cell r="AA121">
            <v>2000</v>
          </cell>
          <cell r="AC121">
            <v>2000</v>
          </cell>
          <cell r="AJ121">
            <v>1</v>
          </cell>
          <cell r="AK121">
            <v>532.6</v>
          </cell>
          <cell r="AQ121">
            <v>1235.0571142844228</v>
          </cell>
          <cell r="AT121">
            <v>0</v>
          </cell>
          <cell r="AU121">
            <v>589.12224351366967</v>
          </cell>
          <cell r="AW121">
            <v>0</v>
          </cell>
          <cell r="BN121">
            <v>0</v>
          </cell>
          <cell r="BO121">
            <v>589.12224351366967</v>
          </cell>
          <cell r="BQ121">
            <v>0</v>
          </cell>
          <cell r="CZ121">
            <v>0</v>
          </cell>
          <cell r="DA121">
            <v>559.69891699213565</v>
          </cell>
          <cell r="DC121">
            <v>0</v>
          </cell>
        </row>
        <row r="122">
          <cell r="H122">
            <v>0</v>
          </cell>
          <cell r="I122">
            <v>0</v>
          </cell>
          <cell r="K122">
            <v>0</v>
          </cell>
          <cell r="AC122">
            <v>2000</v>
          </cell>
          <cell r="AJ122">
            <v>0</v>
          </cell>
          <cell r="AK122">
            <v>0</v>
          </cell>
          <cell r="AQ122">
            <v>0</v>
          </cell>
          <cell r="AT122">
            <v>0</v>
          </cell>
          <cell r="AU122">
            <v>0</v>
          </cell>
          <cell r="AW122">
            <v>0</v>
          </cell>
          <cell r="BN122">
            <v>0</v>
          </cell>
          <cell r="BO122">
            <v>0</v>
          </cell>
          <cell r="BQ122">
            <v>0</v>
          </cell>
          <cell r="CZ122">
            <v>0</v>
          </cell>
          <cell r="DA122">
            <v>0</v>
          </cell>
          <cell r="DC122">
            <v>0</v>
          </cell>
        </row>
        <row r="123">
          <cell r="H123">
            <v>0</v>
          </cell>
          <cell r="I123">
            <v>0</v>
          </cell>
          <cell r="K123">
            <v>0</v>
          </cell>
          <cell r="O123">
            <v>100</v>
          </cell>
          <cell r="P123">
            <v>6</v>
          </cell>
          <cell r="S123">
            <v>100</v>
          </cell>
          <cell r="T123">
            <v>6</v>
          </cell>
          <cell r="AA123">
            <v>2000</v>
          </cell>
          <cell r="AC123">
            <v>2000</v>
          </cell>
          <cell r="AQ123">
            <v>0</v>
          </cell>
          <cell r="AT123">
            <v>0</v>
          </cell>
          <cell r="AU123">
            <v>0</v>
          </cell>
          <cell r="AW123">
            <v>0</v>
          </cell>
          <cell r="BN123">
            <v>0</v>
          </cell>
          <cell r="BO123">
            <v>0</v>
          </cell>
          <cell r="BQ123">
            <v>0</v>
          </cell>
          <cell r="CZ123">
            <v>0</v>
          </cell>
          <cell r="DA123">
            <v>0</v>
          </cell>
          <cell r="DC123">
            <v>0</v>
          </cell>
        </row>
        <row r="124">
          <cell r="H124">
            <v>0</v>
          </cell>
          <cell r="I124">
            <v>0</v>
          </cell>
          <cell r="K124">
            <v>0</v>
          </cell>
          <cell r="O124">
            <v>0</v>
          </cell>
          <cell r="P124">
            <v>7</v>
          </cell>
          <cell r="S124">
            <v>0</v>
          </cell>
          <cell r="T124">
            <v>7</v>
          </cell>
          <cell r="AA124">
            <v>2000</v>
          </cell>
          <cell r="AC124">
            <v>2000</v>
          </cell>
          <cell r="AJ124">
            <v>0</v>
          </cell>
          <cell r="AK124">
            <v>0</v>
          </cell>
          <cell r="AQ124">
            <v>0</v>
          </cell>
          <cell r="AT124">
            <v>0</v>
          </cell>
          <cell r="AU124">
            <v>0</v>
          </cell>
          <cell r="AW124">
            <v>0</v>
          </cell>
          <cell r="BN124">
            <v>0</v>
          </cell>
          <cell r="BO124">
            <v>0</v>
          </cell>
          <cell r="BQ124">
            <v>0</v>
          </cell>
          <cell r="CZ124">
            <v>0</v>
          </cell>
          <cell r="DA124">
            <v>0</v>
          </cell>
          <cell r="DC124">
            <v>0</v>
          </cell>
        </row>
        <row r="125">
          <cell r="H125">
            <v>0</v>
          </cell>
          <cell r="I125">
            <v>0</v>
          </cell>
          <cell r="K125">
            <v>0</v>
          </cell>
          <cell r="O125">
            <v>0</v>
          </cell>
          <cell r="P125">
            <v>7</v>
          </cell>
          <cell r="S125">
            <v>0</v>
          </cell>
          <cell r="T125">
            <v>7</v>
          </cell>
          <cell r="AA125">
            <v>2000</v>
          </cell>
          <cell r="AC125">
            <v>2000</v>
          </cell>
          <cell r="AJ125">
            <v>0</v>
          </cell>
          <cell r="AK125">
            <v>0</v>
          </cell>
          <cell r="AQ125">
            <v>0</v>
          </cell>
          <cell r="AT125">
            <v>0</v>
          </cell>
          <cell r="AU125">
            <v>0</v>
          </cell>
          <cell r="AW125">
            <v>0</v>
          </cell>
          <cell r="BN125">
            <v>0</v>
          </cell>
          <cell r="BO125">
            <v>0</v>
          </cell>
          <cell r="BQ125">
            <v>0</v>
          </cell>
          <cell r="CZ125">
            <v>0</v>
          </cell>
          <cell r="DA125">
            <v>0</v>
          </cell>
          <cell r="DC125">
            <v>0</v>
          </cell>
        </row>
        <row r="126">
          <cell r="H126">
            <v>0</v>
          </cell>
          <cell r="I126">
            <v>0</v>
          </cell>
          <cell r="K126">
            <v>0</v>
          </cell>
          <cell r="O126">
            <v>0</v>
          </cell>
          <cell r="P126">
            <v>4.5</v>
          </cell>
          <cell r="S126">
            <v>0</v>
          </cell>
          <cell r="T126">
            <v>4.5</v>
          </cell>
          <cell r="AA126">
            <v>2000</v>
          </cell>
          <cell r="AC126">
            <v>2000</v>
          </cell>
          <cell r="AJ126">
            <v>0</v>
          </cell>
          <cell r="AK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  <cell r="BN126">
            <v>0</v>
          </cell>
          <cell r="BO126">
            <v>0</v>
          </cell>
          <cell r="BQ126">
            <v>0</v>
          </cell>
          <cell r="CZ126">
            <v>0</v>
          </cell>
          <cell r="DA126">
            <v>0</v>
          </cell>
          <cell r="DC126">
            <v>0</v>
          </cell>
        </row>
        <row r="127">
          <cell r="H127">
            <v>112</v>
          </cell>
          <cell r="I127">
            <v>34.741</v>
          </cell>
          <cell r="K127">
            <v>159.13727846161282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AA127">
            <v>0</v>
          </cell>
          <cell r="AC127">
            <v>0</v>
          </cell>
          <cell r="AJ127">
            <v>112</v>
          </cell>
          <cell r="AK127">
            <v>34.741</v>
          </cell>
          <cell r="AQ127">
            <v>165.21909294276438</v>
          </cell>
          <cell r="AT127">
            <v>0</v>
          </cell>
          <cell r="AU127">
            <v>100.78364669508626</v>
          </cell>
          <cell r="AW127">
            <v>0.26879999999999998</v>
          </cell>
          <cell r="BN127">
            <v>0</v>
          </cell>
          <cell r="BO127">
            <v>100.78364669508626</v>
          </cell>
          <cell r="BQ127">
            <v>0.26879999999999998</v>
          </cell>
          <cell r="CZ127">
            <v>0</v>
          </cell>
          <cell r="DA127">
            <v>97.073739861583832</v>
          </cell>
          <cell r="DC127">
            <v>0.2676</v>
          </cell>
        </row>
        <row r="128">
          <cell r="H128">
            <v>112</v>
          </cell>
          <cell r="I128">
            <v>34.741</v>
          </cell>
          <cell r="K128">
            <v>159.13727846161282</v>
          </cell>
          <cell r="O128">
            <v>0</v>
          </cell>
          <cell r="P128">
            <v>6.1</v>
          </cell>
          <cell r="S128">
            <v>0</v>
          </cell>
          <cell r="T128">
            <v>6.1</v>
          </cell>
          <cell r="AA128">
            <v>2000</v>
          </cell>
          <cell r="AC128">
            <v>2000</v>
          </cell>
          <cell r="AJ128">
            <v>112</v>
          </cell>
          <cell r="AK128">
            <v>34.741</v>
          </cell>
          <cell r="AQ128">
            <v>165.21909294276438</v>
          </cell>
          <cell r="AT128">
            <v>0</v>
          </cell>
          <cell r="AU128">
            <v>100.78364669508626</v>
          </cell>
          <cell r="AW128">
            <v>0.26879999999999998</v>
          </cell>
          <cell r="BN128">
            <v>0</v>
          </cell>
          <cell r="BO128">
            <v>100.78364669508626</v>
          </cell>
          <cell r="BQ128">
            <v>0.26879999999999998</v>
          </cell>
          <cell r="CZ128">
            <v>0</v>
          </cell>
          <cell r="DA128">
            <v>97.073739861583832</v>
          </cell>
          <cell r="DC128">
            <v>0.2676</v>
          </cell>
        </row>
        <row r="129">
          <cell r="H129">
            <v>0</v>
          </cell>
          <cell r="I129">
            <v>0</v>
          </cell>
          <cell r="K129">
            <v>0</v>
          </cell>
          <cell r="O129">
            <v>0</v>
          </cell>
          <cell r="P129">
            <v>0</v>
          </cell>
          <cell r="S129">
            <v>0</v>
          </cell>
          <cell r="T129">
            <v>0</v>
          </cell>
          <cell r="AA129">
            <v>2000</v>
          </cell>
          <cell r="AC129">
            <v>2000</v>
          </cell>
          <cell r="AJ129">
            <v>0</v>
          </cell>
          <cell r="AK129">
            <v>0</v>
          </cell>
          <cell r="AQ129">
            <v>0</v>
          </cell>
          <cell r="AT129">
            <v>0</v>
          </cell>
          <cell r="AU129">
            <v>0</v>
          </cell>
          <cell r="AW129">
            <v>0</v>
          </cell>
          <cell r="BN129">
            <v>0</v>
          </cell>
          <cell r="BO129">
            <v>0</v>
          </cell>
          <cell r="BQ129">
            <v>0</v>
          </cell>
          <cell r="CZ129">
            <v>0</v>
          </cell>
          <cell r="DA129">
            <v>0</v>
          </cell>
          <cell r="DC129">
            <v>0</v>
          </cell>
        </row>
        <row r="144">
          <cell r="H144">
            <v>52</v>
          </cell>
          <cell r="I144">
            <v>73.105999999999995</v>
          </cell>
          <cell r="K144">
            <v>218.06524917190757</v>
          </cell>
          <cell r="O144">
            <v>0</v>
          </cell>
          <cell r="P144">
            <v>0</v>
          </cell>
          <cell r="S144">
            <v>0</v>
          </cell>
          <cell r="T144">
            <v>0</v>
          </cell>
          <cell r="AA144">
            <v>0</v>
          </cell>
          <cell r="AC144">
            <v>0</v>
          </cell>
          <cell r="AJ144">
            <v>52</v>
          </cell>
          <cell r="AK144">
            <v>73.105999999999995</v>
          </cell>
          <cell r="AQ144">
            <v>227.82383538265128</v>
          </cell>
          <cell r="AT144">
            <v>35.090879999999999</v>
          </cell>
          <cell r="AU144">
            <v>157.52285302137301</v>
          </cell>
          <cell r="AW144">
            <v>0.21840000000000001</v>
          </cell>
          <cell r="BN144">
            <v>35.090879999999999</v>
          </cell>
          <cell r="BO144">
            <v>157.52285302137301</v>
          </cell>
          <cell r="BQ144">
            <v>0.21840000000000001</v>
          </cell>
          <cell r="CZ144">
            <v>34.067396000000002</v>
          </cell>
          <cell r="DA144">
            <v>153.45784142357203</v>
          </cell>
          <cell r="DC144">
            <v>0.2142</v>
          </cell>
        </row>
        <row r="145">
          <cell r="H145">
            <v>52</v>
          </cell>
          <cell r="I145">
            <v>73.105999999999995</v>
          </cell>
          <cell r="K145">
            <v>218.06524917190757</v>
          </cell>
          <cell r="O145">
            <v>0</v>
          </cell>
          <cell r="P145">
            <v>0</v>
          </cell>
          <cell r="S145">
            <v>0</v>
          </cell>
          <cell r="T145">
            <v>0</v>
          </cell>
          <cell r="AA145">
            <v>0</v>
          </cell>
          <cell r="AC145">
            <v>0</v>
          </cell>
          <cell r="AJ145">
            <v>52</v>
          </cell>
          <cell r="AK145">
            <v>73.105999999999995</v>
          </cell>
          <cell r="AQ145">
            <v>227.82383538265128</v>
          </cell>
          <cell r="AT145">
            <v>35.090879999999999</v>
          </cell>
          <cell r="AU145">
            <v>157.52285302137301</v>
          </cell>
          <cell r="AW145">
            <v>0.21840000000000001</v>
          </cell>
          <cell r="BN145">
            <v>35.090879999999999</v>
          </cell>
          <cell r="BO145">
            <v>157.52285302137301</v>
          </cell>
          <cell r="BQ145">
            <v>0.21840000000000001</v>
          </cell>
          <cell r="CZ145">
            <v>34.067396000000002</v>
          </cell>
          <cell r="DA145">
            <v>153.45784142357203</v>
          </cell>
          <cell r="DC145">
            <v>0.2142</v>
          </cell>
        </row>
        <row r="146">
          <cell r="H146">
            <v>52</v>
          </cell>
          <cell r="I146">
            <v>73.105999999999995</v>
          </cell>
          <cell r="K146">
            <v>40.115152696372505</v>
          </cell>
          <cell r="O146">
            <v>500</v>
          </cell>
          <cell r="P146">
            <v>7.15</v>
          </cell>
          <cell r="S146">
            <v>500</v>
          </cell>
          <cell r="T146">
            <v>7.15</v>
          </cell>
          <cell r="AA146">
            <v>3500</v>
          </cell>
          <cell r="AC146">
            <v>3500</v>
          </cell>
          <cell r="AJ146">
            <v>52</v>
          </cell>
          <cell r="AK146">
            <v>73.105999999999995</v>
          </cell>
          <cell r="AQ146">
            <v>41.910336373878579</v>
          </cell>
          <cell r="AT146">
            <v>35.090879999999999</v>
          </cell>
          <cell r="AU146">
            <v>29.965890507323184</v>
          </cell>
          <cell r="AW146">
            <v>0.21840000000000001</v>
          </cell>
          <cell r="BN146">
            <v>35.090879999999999</v>
          </cell>
          <cell r="BO146">
            <v>29.965890507323184</v>
          </cell>
          <cell r="BQ146">
            <v>0.21840000000000001</v>
          </cell>
          <cell r="CZ146">
            <v>34.067396000000002</v>
          </cell>
          <cell r="DA146">
            <v>28.682334177906345</v>
          </cell>
          <cell r="DC146">
            <v>0.2142</v>
          </cell>
        </row>
        <row r="148">
          <cell r="H148">
            <v>0</v>
          </cell>
          <cell r="I148">
            <v>0</v>
          </cell>
          <cell r="K148">
            <v>0</v>
          </cell>
          <cell r="O148">
            <v>0</v>
          </cell>
          <cell r="P148">
            <v>7.15</v>
          </cell>
          <cell r="S148">
            <v>0</v>
          </cell>
          <cell r="T148">
            <v>7.15</v>
          </cell>
          <cell r="AA148">
            <v>3500</v>
          </cell>
          <cell r="AC148">
            <v>3500</v>
          </cell>
          <cell r="AJ148">
            <v>0</v>
          </cell>
          <cell r="AK148">
            <v>0</v>
          </cell>
          <cell r="AQ148">
            <v>0</v>
          </cell>
          <cell r="AT148">
            <v>0</v>
          </cell>
          <cell r="AU148">
            <v>0</v>
          </cell>
          <cell r="AW148">
            <v>0</v>
          </cell>
          <cell r="BN148">
            <v>0</v>
          </cell>
          <cell r="BO148">
            <v>0</v>
          </cell>
          <cell r="BQ148">
            <v>0</v>
          </cell>
          <cell r="CZ148">
            <v>0</v>
          </cell>
          <cell r="DA148">
            <v>0</v>
          </cell>
          <cell r="DC148">
            <v>0</v>
          </cell>
        </row>
        <row r="149">
          <cell r="H149">
            <v>0</v>
          </cell>
          <cell r="I149">
            <v>0</v>
          </cell>
          <cell r="K149">
            <v>0</v>
          </cell>
          <cell r="O149">
            <v>0</v>
          </cell>
          <cell r="P149">
            <v>7.3</v>
          </cell>
          <cell r="S149">
            <v>0</v>
          </cell>
          <cell r="T149">
            <v>7.3</v>
          </cell>
          <cell r="AA149">
            <v>3500</v>
          </cell>
          <cell r="AC149">
            <v>3500</v>
          </cell>
          <cell r="AJ149">
            <v>0</v>
          </cell>
          <cell r="AK149">
            <v>0</v>
          </cell>
          <cell r="AQ149">
            <v>0</v>
          </cell>
          <cell r="AT149">
            <v>0</v>
          </cell>
          <cell r="AU149">
            <v>0</v>
          </cell>
          <cell r="AW149">
            <v>0</v>
          </cell>
          <cell r="BN149">
            <v>0</v>
          </cell>
          <cell r="BO149">
            <v>0</v>
          </cell>
          <cell r="BQ149">
            <v>0</v>
          </cell>
          <cell r="CZ149">
            <v>0</v>
          </cell>
          <cell r="DA149">
            <v>0</v>
          </cell>
          <cell r="DC149">
            <v>0</v>
          </cell>
        </row>
        <row r="150">
          <cell r="H150">
            <v>0</v>
          </cell>
          <cell r="I150">
            <v>0</v>
          </cell>
          <cell r="K150">
            <v>0</v>
          </cell>
          <cell r="O150">
            <v>500</v>
          </cell>
          <cell r="P150">
            <v>7.9</v>
          </cell>
          <cell r="S150">
            <v>500</v>
          </cell>
          <cell r="T150">
            <v>7.9</v>
          </cell>
          <cell r="AA150">
            <v>3500</v>
          </cell>
          <cell r="AC150">
            <v>3500</v>
          </cell>
          <cell r="AJ150">
            <v>0</v>
          </cell>
          <cell r="AK150">
            <v>0</v>
          </cell>
          <cell r="AQ150">
            <v>0</v>
          </cell>
          <cell r="AT150">
            <v>0</v>
          </cell>
          <cell r="AU150">
            <v>0</v>
          </cell>
          <cell r="AW150">
            <v>0</v>
          </cell>
          <cell r="BN150">
            <v>0</v>
          </cell>
          <cell r="BO150">
            <v>0</v>
          </cell>
          <cell r="BQ150">
            <v>0</v>
          </cell>
          <cell r="CZ150">
            <v>0</v>
          </cell>
          <cell r="DA150">
            <v>0</v>
          </cell>
          <cell r="DC150">
            <v>0</v>
          </cell>
        </row>
        <row r="151">
          <cell r="H151">
            <v>0</v>
          </cell>
          <cell r="I151">
            <v>0</v>
          </cell>
          <cell r="K151">
            <v>47.309675292154125</v>
          </cell>
          <cell r="O151">
            <v>0</v>
          </cell>
          <cell r="P151">
            <v>8.15</v>
          </cell>
          <cell r="S151">
            <v>0</v>
          </cell>
          <cell r="T151">
            <v>8.15</v>
          </cell>
          <cell r="AA151">
            <v>3500</v>
          </cell>
          <cell r="AC151">
            <v>3500</v>
          </cell>
          <cell r="AJ151">
            <v>0</v>
          </cell>
          <cell r="AK151">
            <v>0</v>
          </cell>
          <cell r="AQ151">
            <v>49.426819342817723</v>
          </cell>
          <cell r="AT151">
            <v>0</v>
          </cell>
          <cell r="AU151">
            <v>40.282857764396446</v>
          </cell>
          <cell r="AW151">
            <v>0</v>
          </cell>
          <cell r="BN151">
            <v>0</v>
          </cell>
          <cell r="BO151">
            <v>40.282857764396446</v>
          </cell>
          <cell r="BQ151">
            <v>0</v>
          </cell>
          <cell r="CZ151">
            <v>0</v>
          </cell>
          <cell r="DA151">
            <v>38.55738536310561</v>
          </cell>
          <cell r="DC151">
            <v>0</v>
          </cell>
        </row>
        <row r="152">
          <cell r="H152">
            <v>0</v>
          </cell>
          <cell r="I152">
            <v>0</v>
          </cell>
          <cell r="K152">
            <v>38.895901688527886</v>
          </cell>
          <cell r="O152">
            <v>0</v>
          </cell>
          <cell r="P152">
            <v>8.15</v>
          </cell>
          <cell r="S152">
            <v>0</v>
          </cell>
          <cell r="T152">
            <v>8.15</v>
          </cell>
          <cell r="AA152">
            <v>3500</v>
          </cell>
          <cell r="AC152">
            <v>3500</v>
          </cell>
          <cell r="AJ152">
            <v>0</v>
          </cell>
          <cell r="AK152">
            <v>0</v>
          </cell>
          <cell r="AQ152">
            <v>40.636522953555243</v>
          </cell>
          <cell r="AT152">
            <v>0</v>
          </cell>
          <cell r="AU152">
            <v>33.118766207147523</v>
          </cell>
          <cell r="AW152">
            <v>0</v>
          </cell>
          <cell r="BN152">
            <v>0</v>
          </cell>
          <cell r="BO152">
            <v>33.118766207147523</v>
          </cell>
          <cell r="BQ152">
            <v>0</v>
          </cell>
          <cell r="CZ152">
            <v>0</v>
          </cell>
          <cell r="DA152">
            <v>31.700159876150227</v>
          </cell>
          <cell r="DC152">
            <v>0</v>
          </cell>
        </row>
        <row r="154">
          <cell r="H154">
            <v>0</v>
          </cell>
          <cell r="I154">
            <v>0</v>
          </cell>
          <cell r="K154">
            <v>91.744519494852995</v>
          </cell>
          <cell r="O154">
            <v>0</v>
          </cell>
          <cell r="P154">
            <v>5.65</v>
          </cell>
          <cell r="S154">
            <v>0</v>
          </cell>
          <cell r="T154">
            <v>5.65</v>
          </cell>
          <cell r="AA154">
            <v>3500</v>
          </cell>
          <cell r="AC154">
            <v>3500</v>
          </cell>
          <cell r="AJ154">
            <v>0</v>
          </cell>
          <cell r="AK154">
            <v>0</v>
          </cell>
          <cell r="AQ154">
            <v>95.850156712399738</v>
          </cell>
          <cell r="AT154">
            <v>0</v>
          </cell>
          <cell r="AU154">
            <v>54.155338542505852</v>
          </cell>
          <cell r="AW154">
            <v>0</v>
          </cell>
          <cell r="BN154">
            <v>0</v>
          </cell>
          <cell r="BO154">
            <v>54.155338542505852</v>
          </cell>
          <cell r="BQ154">
            <v>0</v>
          </cell>
          <cell r="CZ154">
            <v>0</v>
          </cell>
          <cell r="DA154">
            <v>54.517962006409853</v>
          </cell>
          <cell r="DC154">
            <v>0</v>
          </cell>
        </row>
        <row r="156">
          <cell r="H156">
            <v>0</v>
          </cell>
          <cell r="I156">
            <v>0</v>
          </cell>
          <cell r="K156">
            <v>0</v>
          </cell>
          <cell r="O156">
            <v>0</v>
          </cell>
          <cell r="P156">
            <v>0</v>
          </cell>
          <cell r="S156">
            <v>0</v>
          </cell>
          <cell r="T156">
            <v>0</v>
          </cell>
          <cell r="AA156">
            <v>0</v>
          </cell>
          <cell r="AC156">
            <v>0</v>
          </cell>
          <cell r="AJ156">
            <v>0</v>
          </cell>
          <cell r="AK156">
            <v>0</v>
          </cell>
          <cell r="AQ156">
            <v>0</v>
          </cell>
          <cell r="AT156">
            <v>0</v>
          </cell>
          <cell r="AU156">
            <v>0</v>
          </cell>
          <cell r="AW156">
            <v>0</v>
          </cell>
          <cell r="BN156">
            <v>0</v>
          </cell>
          <cell r="BO156">
            <v>0</v>
          </cell>
          <cell r="BQ156">
            <v>0</v>
          </cell>
          <cell r="CZ156">
            <v>0</v>
          </cell>
          <cell r="DA156">
            <v>0</v>
          </cell>
          <cell r="DC156">
            <v>0</v>
          </cell>
        </row>
        <row r="157">
          <cell r="H157">
            <v>0</v>
          </cell>
          <cell r="I157">
            <v>0</v>
          </cell>
          <cell r="K157">
            <v>0</v>
          </cell>
          <cell r="O157">
            <v>500</v>
          </cell>
          <cell r="P157">
            <v>7.15</v>
          </cell>
          <cell r="S157">
            <v>500</v>
          </cell>
          <cell r="T157">
            <v>7.15</v>
          </cell>
          <cell r="AA157">
            <v>3500</v>
          </cell>
          <cell r="AC157">
            <v>3500</v>
          </cell>
          <cell r="AJ157">
            <v>0</v>
          </cell>
          <cell r="AK157">
            <v>0</v>
          </cell>
          <cell r="AQ157">
            <v>0</v>
          </cell>
          <cell r="AT157">
            <v>0</v>
          </cell>
          <cell r="AU157">
            <v>0</v>
          </cell>
          <cell r="AW157">
            <v>0</v>
          </cell>
          <cell r="BN157">
            <v>0</v>
          </cell>
          <cell r="BO157">
            <v>0</v>
          </cell>
          <cell r="BQ157">
            <v>0</v>
          </cell>
          <cell r="CZ157">
            <v>0</v>
          </cell>
          <cell r="DA157">
            <v>0</v>
          </cell>
          <cell r="DC157">
            <v>0</v>
          </cell>
        </row>
        <row r="158">
          <cell r="H158">
            <v>0</v>
          </cell>
          <cell r="I158">
            <v>0</v>
          </cell>
          <cell r="K158">
            <v>0</v>
          </cell>
          <cell r="O158">
            <v>0</v>
          </cell>
          <cell r="P158">
            <v>8.15</v>
          </cell>
          <cell r="S158">
            <v>0</v>
          </cell>
          <cell r="T158">
            <v>8.15</v>
          </cell>
          <cell r="AA158">
            <v>3500</v>
          </cell>
          <cell r="AC158">
            <v>3500</v>
          </cell>
          <cell r="AJ158">
            <v>0</v>
          </cell>
          <cell r="AK158">
            <v>0</v>
          </cell>
          <cell r="AQ158">
            <v>0</v>
          </cell>
          <cell r="AT158">
            <v>0</v>
          </cell>
          <cell r="AU158">
            <v>0</v>
          </cell>
          <cell r="AW158">
            <v>0</v>
          </cell>
          <cell r="BN158">
            <v>0</v>
          </cell>
          <cell r="BO158">
            <v>0</v>
          </cell>
          <cell r="BQ158">
            <v>0</v>
          </cell>
          <cell r="CZ158">
            <v>0</v>
          </cell>
          <cell r="DA158">
            <v>0</v>
          </cell>
          <cell r="DC158">
            <v>0</v>
          </cell>
        </row>
        <row r="159">
          <cell r="H159">
            <v>0</v>
          </cell>
          <cell r="I159">
            <v>0</v>
          </cell>
          <cell r="K159">
            <v>0</v>
          </cell>
          <cell r="O159">
            <v>0</v>
          </cell>
          <cell r="P159">
            <v>8.15</v>
          </cell>
          <cell r="S159">
            <v>0</v>
          </cell>
          <cell r="T159">
            <v>8.15</v>
          </cell>
          <cell r="AA159">
            <v>3500</v>
          </cell>
          <cell r="AC159">
            <v>3500</v>
          </cell>
          <cell r="AJ159">
            <v>0</v>
          </cell>
          <cell r="AK159">
            <v>0</v>
          </cell>
          <cell r="AQ159">
            <v>0</v>
          </cell>
          <cell r="AT159">
            <v>0</v>
          </cell>
          <cell r="AU159">
            <v>0</v>
          </cell>
          <cell r="AW159">
            <v>0</v>
          </cell>
          <cell r="BN159">
            <v>0</v>
          </cell>
          <cell r="BO159">
            <v>0</v>
          </cell>
          <cell r="BQ159">
            <v>0</v>
          </cell>
          <cell r="CZ159">
            <v>0</v>
          </cell>
          <cell r="DA159">
            <v>0</v>
          </cell>
          <cell r="DC159">
            <v>0</v>
          </cell>
        </row>
        <row r="160">
          <cell r="H160">
            <v>0</v>
          </cell>
          <cell r="I160">
            <v>0</v>
          </cell>
          <cell r="K160">
            <v>0</v>
          </cell>
          <cell r="O160">
            <v>0</v>
          </cell>
          <cell r="P160">
            <v>5.65</v>
          </cell>
          <cell r="S160">
            <v>0</v>
          </cell>
          <cell r="T160">
            <v>5.65</v>
          </cell>
          <cell r="AA160">
            <v>3500</v>
          </cell>
          <cell r="AC160">
            <v>3500</v>
          </cell>
          <cell r="AJ160">
            <v>0</v>
          </cell>
          <cell r="AK160">
            <v>0</v>
          </cell>
          <cell r="AQ160">
            <v>0</v>
          </cell>
          <cell r="AT160">
            <v>0</v>
          </cell>
          <cell r="AU160">
            <v>0</v>
          </cell>
          <cell r="AW160">
            <v>0</v>
          </cell>
          <cell r="BN160">
            <v>0</v>
          </cell>
          <cell r="BO160">
            <v>0</v>
          </cell>
          <cell r="BQ160">
            <v>0</v>
          </cell>
          <cell r="CZ160">
            <v>0</v>
          </cell>
          <cell r="DA160">
            <v>0</v>
          </cell>
          <cell r="DC160">
            <v>0</v>
          </cell>
        </row>
        <row r="161">
          <cell r="H161">
            <v>1</v>
          </cell>
          <cell r="I161">
            <v>5.85</v>
          </cell>
          <cell r="K161">
            <v>21.496200000000002</v>
          </cell>
          <cell r="O161">
            <v>500</v>
          </cell>
          <cell r="P161">
            <v>7.15</v>
          </cell>
          <cell r="S161">
            <v>500</v>
          </cell>
          <cell r="T161">
            <v>7.15</v>
          </cell>
          <cell r="AA161">
            <v>3500</v>
          </cell>
          <cell r="AC161">
            <v>3500</v>
          </cell>
          <cell r="AJ161">
            <v>1</v>
          </cell>
          <cell r="AK161">
            <v>5.85</v>
          </cell>
          <cell r="AQ161">
            <v>35.5944</v>
          </cell>
          <cell r="AT161">
            <v>2.8079999999999998</v>
          </cell>
          <cell r="AU161">
            <v>25.449996000000002</v>
          </cell>
          <cell r="AW161">
            <v>4.1999999999999997E-3</v>
          </cell>
          <cell r="BN161">
            <v>2.8079999999999998</v>
          </cell>
          <cell r="BO161">
            <v>25.449996000000002</v>
          </cell>
          <cell r="BQ161">
            <v>4.1999999999999997E-3</v>
          </cell>
          <cell r="CZ161">
            <v>2.7261000000000002</v>
          </cell>
          <cell r="DA161">
            <v>15.369783000000002</v>
          </cell>
          <cell r="DC161">
            <v>4.1999999999999997E-3</v>
          </cell>
        </row>
        <row r="162">
          <cell r="H162">
            <v>22</v>
          </cell>
          <cell r="I162">
            <v>8.8226499999999994</v>
          </cell>
          <cell r="K162">
            <v>16.361544896000002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AA162">
            <v>0</v>
          </cell>
          <cell r="AC162">
            <v>0</v>
          </cell>
          <cell r="AJ162">
            <v>22</v>
          </cell>
          <cell r="AK162">
            <v>8.8226499999999994</v>
          </cell>
          <cell r="AQ162">
            <v>16.688775793919998</v>
          </cell>
          <cell r="AT162">
            <v>4.2348720000000002</v>
          </cell>
          <cell r="AU162">
            <v>13.139631324838799</v>
          </cell>
          <cell r="AW162">
            <v>9.2399999999999996E-2</v>
          </cell>
          <cell r="BN162">
            <v>4.2348720000000002</v>
          </cell>
          <cell r="BO162">
            <v>13.139631324838799</v>
          </cell>
          <cell r="BQ162">
            <v>9.2399999999999996E-2</v>
          </cell>
          <cell r="CZ162">
            <v>4.1113549000000003</v>
          </cell>
          <cell r="DA162">
            <v>13.0383955666</v>
          </cell>
          <cell r="DC162">
            <v>9.2399999999999996E-2</v>
          </cell>
        </row>
        <row r="163">
          <cell r="H163">
            <v>22</v>
          </cell>
          <cell r="I163">
            <v>8.8226499999999994</v>
          </cell>
          <cell r="K163">
            <v>5.9181452535999997</v>
          </cell>
          <cell r="O163">
            <v>500</v>
          </cell>
          <cell r="P163">
            <v>8</v>
          </cell>
          <cell r="S163">
            <v>500</v>
          </cell>
          <cell r="T163">
            <v>8</v>
          </cell>
          <cell r="AA163">
            <v>3500</v>
          </cell>
          <cell r="AC163">
            <v>3500</v>
          </cell>
          <cell r="AJ163">
            <v>22</v>
          </cell>
          <cell r="AK163">
            <v>8.8226499999999994</v>
          </cell>
          <cell r="AQ163">
            <v>6.0365081586719995</v>
          </cell>
          <cell r="AT163">
            <v>4.2348720000000002</v>
          </cell>
          <cell r="AU163">
            <v>4.8292065269375994</v>
          </cell>
          <cell r="AW163">
            <v>9.2399999999999996E-2</v>
          </cell>
          <cell r="BN163">
            <v>4.2348720000000002</v>
          </cell>
          <cell r="BO163">
            <v>4.8292065269375994</v>
          </cell>
          <cell r="BQ163">
            <v>9.2399999999999996E-2</v>
          </cell>
          <cell r="CZ163">
            <v>4.1113549000000003</v>
          </cell>
          <cell r="DA163">
            <v>4.7345162028800001</v>
          </cell>
          <cell r="DC163">
            <v>9.2399999999999996E-2</v>
          </cell>
        </row>
        <row r="164">
          <cell r="H164">
            <v>0</v>
          </cell>
          <cell r="I164">
            <v>0</v>
          </cell>
          <cell r="K164">
            <v>3.0015094973999998</v>
          </cell>
          <cell r="O164">
            <v>0</v>
          </cell>
          <cell r="P164">
            <v>9</v>
          </cell>
          <cell r="S164">
            <v>0</v>
          </cell>
          <cell r="T164">
            <v>9</v>
          </cell>
          <cell r="AA164">
            <v>3500</v>
          </cell>
          <cell r="AC164">
            <v>3500</v>
          </cell>
          <cell r="AJ164">
            <v>0</v>
          </cell>
          <cell r="AK164">
            <v>0</v>
          </cell>
          <cell r="AQ164">
            <v>3.0615396873479996</v>
          </cell>
          <cell r="AT164">
            <v>0</v>
          </cell>
          <cell r="AU164">
            <v>2.7553857186131996</v>
          </cell>
          <cell r="AW164">
            <v>0</v>
          </cell>
          <cell r="BN164">
            <v>0</v>
          </cell>
          <cell r="BO164">
            <v>2.7553857186131996</v>
          </cell>
          <cell r="BQ164">
            <v>0</v>
          </cell>
          <cell r="CZ164">
            <v>0</v>
          </cell>
          <cell r="DA164">
            <v>2.7013585476599999</v>
          </cell>
          <cell r="DC164">
            <v>0</v>
          </cell>
        </row>
        <row r="165">
          <cell r="H165">
            <v>0</v>
          </cell>
          <cell r="I165">
            <v>0</v>
          </cell>
          <cell r="K165">
            <v>2.4355526006000003</v>
          </cell>
          <cell r="O165">
            <v>0</v>
          </cell>
          <cell r="P165">
            <v>9</v>
          </cell>
          <cell r="S165">
            <v>0</v>
          </cell>
          <cell r="T165">
            <v>9</v>
          </cell>
          <cell r="AA165">
            <v>3500</v>
          </cell>
          <cell r="AC165">
            <v>3500</v>
          </cell>
          <cell r="AJ165">
            <v>0</v>
          </cell>
          <cell r="AK165">
            <v>0</v>
          </cell>
          <cell r="AQ165">
            <v>2.4842636526119999</v>
          </cell>
          <cell r="AT165">
            <v>0</v>
          </cell>
          <cell r="AU165">
            <v>2.2358372873508001</v>
          </cell>
          <cell r="AW165">
            <v>0</v>
          </cell>
          <cell r="BN165">
            <v>0</v>
          </cell>
          <cell r="BO165">
            <v>2.2358372873508001</v>
          </cell>
          <cell r="BQ165">
            <v>0</v>
          </cell>
          <cell r="CZ165">
            <v>0</v>
          </cell>
          <cell r="DA165">
            <v>2.1919973405399995</v>
          </cell>
          <cell r="DC165">
            <v>0</v>
          </cell>
        </row>
        <row r="166">
          <cell r="H166">
            <v>0</v>
          </cell>
          <cell r="I166">
            <v>0</v>
          </cell>
          <cell r="K166">
            <v>5.0063375444000009</v>
          </cell>
          <cell r="O166">
            <v>0</v>
          </cell>
          <cell r="P166">
            <v>6.5</v>
          </cell>
          <cell r="S166">
            <v>0</v>
          </cell>
          <cell r="T166">
            <v>6.5</v>
          </cell>
          <cell r="AA166">
            <v>3500</v>
          </cell>
          <cell r="AC166">
            <v>3500</v>
          </cell>
          <cell r="AJ166">
            <v>0</v>
          </cell>
          <cell r="AK166">
            <v>0</v>
          </cell>
          <cell r="AQ166">
            <v>5.1064642952879993</v>
          </cell>
          <cell r="AT166">
            <v>0</v>
          </cell>
          <cell r="AU166">
            <v>3.319201791937199</v>
          </cell>
          <cell r="AW166">
            <v>0</v>
          </cell>
          <cell r="BN166">
            <v>0</v>
          </cell>
          <cell r="BO166">
            <v>3.319201791937199</v>
          </cell>
          <cell r="BQ166">
            <v>0</v>
          </cell>
          <cell r="CZ166">
            <v>0</v>
          </cell>
          <cell r="DA166">
            <v>3.4105234755200002</v>
          </cell>
          <cell r="DC166">
            <v>0</v>
          </cell>
        </row>
        <row r="167">
          <cell r="H167">
            <v>0</v>
          </cell>
          <cell r="I167">
            <v>0</v>
          </cell>
          <cell r="K167">
            <v>0</v>
          </cell>
          <cell r="O167">
            <v>500</v>
          </cell>
          <cell r="P167">
            <v>8</v>
          </cell>
          <cell r="S167">
            <v>500</v>
          </cell>
          <cell r="T167">
            <v>8</v>
          </cell>
          <cell r="AA167">
            <v>3500</v>
          </cell>
          <cell r="AC167">
            <v>3500</v>
          </cell>
          <cell r="AJ167">
            <v>0</v>
          </cell>
          <cell r="AK167">
            <v>0</v>
          </cell>
          <cell r="AQ167">
            <v>0</v>
          </cell>
          <cell r="AT167">
            <v>0</v>
          </cell>
          <cell r="AU167">
            <v>0</v>
          </cell>
          <cell r="AW167">
            <v>0</v>
          </cell>
          <cell r="BN167">
            <v>0</v>
          </cell>
          <cell r="BO167">
            <v>0</v>
          </cell>
          <cell r="BQ167">
            <v>0</v>
          </cell>
          <cell r="CZ167">
            <v>0</v>
          </cell>
          <cell r="DA167">
            <v>0</v>
          </cell>
          <cell r="DC167">
            <v>0</v>
          </cell>
        </row>
        <row r="168">
          <cell r="H168">
            <v>0</v>
          </cell>
          <cell r="I168">
            <v>0</v>
          </cell>
          <cell r="K168">
            <v>0</v>
          </cell>
          <cell r="O168">
            <v>0</v>
          </cell>
          <cell r="P168">
            <v>0</v>
          </cell>
          <cell r="S168">
            <v>0</v>
          </cell>
          <cell r="T168">
            <v>0</v>
          </cell>
          <cell r="AA168">
            <v>0</v>
          </cell>
          <cell r="AC168">
            <v>0</v>
          </cell>
          <cell r="AJ168">
            <v>0</v>
          </cell>
          <cell r="AK168">
            <v>0</v>
          </cell>
          <cell r="AQ168">
            <v>0</v>
          </cell>
          <cell r="AT168">
            <v>0</v>
          </cell>
          <cell r="AU168">
            <v>0</v>
          </cell>
          <cell r="AW168">
            <v>0</v>
          </cell>
          <cell r="BN168">
            <v>0</v>
          </cell>
          <cell r="BO168">
            <v>0</v>
          </cell>
          <cell r="BQ168">
            <v>0</v>
          </cell>
          <cell r="CZ168">
            <v>0</v>
          </cell>
          <cell r="DA168">
            <v>0</v>
          </cell>
          <cell r="DC168">
            <v>0</v>
          </cell>
        </row>
        <row r="169">
          <cell r="H169">
            <v>0</v>
          </cell>
          <cell r="I169">
            <v>0</v>
          </cell>
          <cell r="K169">
            <v>0</v>
          </cell>
          <cell r="O169">
            <v>285</v>
          </cell>
          <cell r="P169">
            <v>5</v>
          </cell>
          <cell r="S169">
            <v>285</v>
          </cell>
          <cell r="T169">
            <v>5</v>
          </cell>
          <cell r="AA169">
            <v>3500</v>
          </cell>
          <cell r="AC169">
            <v>3500</v>
          </cell>
          <cell r="AJ169">
            <v>0</v>
          </cell>
          <cell r="AK169">
            <v>0</v>
          </cell>
          <cell r="AQ169">
            <v>0</v>
          </cell>
          <cell r="AT169">
            <v>0</v>
          </cell>
          <cell r="AU169">
            <v>0</v>
          </cell>
          <cell r="AW169">
            <v>0</v>
          </cell>
          <cell r="BN169">
            <v>0</v>
          </cell>
          <cell r="BO169">
            <v>0</v>
          </cell>
          <cell r="BQ169">
            <v>0</v>
          </cell>
          <cell r="CZ169">
            <v>0</v>
          </cell>
          <cell r="DA169">
            <v>0</v>
          </cell>
          <cell r="DC169">
            <v>0</v>
          </cell>
        </row>
        <row r="170">
          <cell r="H170">
            <v>0</v>
          </cell>
          <cell r="I170">
            <v>0</v>
          </cell>
          <cell r="K170">
            <v>0</v>
          </cell>
          <cell r="O170">
            <v>0</v>
          </cell>
          <cell r="P170">
            <v>6</v>
          </cell>
          <cell r="S170">
            <v>0</v>
          </cell>
          <cell r="T170">
            <v>6</v>
          </cell>
          <cell r="AA170">
            <v>3500</v>
          </cell>
          <cell r="AC170">
            <v>3500</v>
          </cell>
          <cell r="AJ170">
            <v>0</v>
          </cell>
          <cell r="AK170">
            <v>0</v>
          </cell>
          <cell r="AQ170">
            <v>0</v>
          </cell>
          <cell r="AT170">
            <v>0</v>
          </cell>
          <cell r="AU170">
            <v>0</v>
          </cell>
          <cell r="AW170">
            <v>0</v>
          </cell>
          <cell r="BN170">
            <v>0</v>
          </cell>
          <cell r="BO170">
            <v>0</v>
          </cell>
          <cell r="BQ170">
            <v>0</v>
          </cell>
          <cell r="CZ170">
            <v>0</v>
          </cell>
          <cell r="DA170">
            <v>0</v>
          </cell>
          <cell r="DC170">
            <v>0</v>
          </cell>
        </row>
        <row r="171">
          <cell r="H171">
            <v>0</v>
          </cell>
          <cell r="I171">
            <v>0</v>
          </cell>
          <cell r="K171">
            <v>0</v>
          </cell>
          <cell r="O171">
            <v>0</v>
          </cell>
          <cell r="P171">
            <v>6</v>
          </cell>
          <cell r="S171">
            <v>0</v>
          </cell>
          <cell r="T171">
            <v>6</v>
          </cell>
          <cell r="AA171">
            <v>3500</v>
          </cell>
          <cell r="AC171">
            <v>3500</v>
          </cell>
          <cell r="AJ171">
            <v>0</v>
          </cell>
          <cell r="AK171">
            <v>0</v>
          </cell>
          <cell r="AQ171">
            <v>0</v>
          </cell>
          <cell r="AT171">
            <v>0</v>
          </cell>
          <cell r="AU171">
            <v>0</v>
          </cell>
          <cell r="AW171">
            <v>0</v>
          </cell>
          <cell r="BN171">
            <v>0</v>
          </cell>
          <cell r="BO171">
            <v>0</v>
          </cell>
          <cell r="BQ171">
            <v>0</v>
          </cell>
          <cell r="CZ171">
            <v>0</v>
          </cell>
          <cell r="DA171">
            <v>0</v>
          </cell>
          <cell r="DC171">
            <v>0</v>
          </cell>
        </row>
        <row r="172">
          <cell r="H172">
            <v>0</v>
          </cell>
          <cell r="I172">
            <v>0</v>
          </cell>
          <cell r="K172">
            <v>0</v>
          </cell>
          <cell r="O172">
            <v>0</v>
          </cell>
          <cell r="P172">
            <v>3.5</v>
          </cell>
          <cell r="S172">
            <v>0</v>
          </cell>
          <cell r="T172">
            <v>3.5</v>
          </cell>
          <cell r="AA172">
            <v>3500</v>
          </cell>
          <cell r="AC172">
            <v>3500</v>
          </cell>
          <cell r="AJ172">
            <v>0</v>
          </cell>
          <cell r="AK172">
            <v>0</v>
          </cell>
          <cell r="AQ172">
            <v>0</v>
          </cell>
          <cell r="AT172">
            <v>0</v>
          </cell>
          <cell r="AU172">
            <v>0</v>
          </cell>
          <cell r="AW172">
            <v>0</v>
          </cell>
          <cell r="BN172">
            <v>0</v>
          </cell>
          <cell r="BO172">
            <v>0</v>
          </cell>
          <cell r="BQ172">
            <v>0</v>
          </cell>
          <cell r="CZ172">
            <v>0</v>
          </cell>
          <cell r="DA172">
            <v>0</v>
          </cell>
          <cell r="DC172">
            <v>0</v>
          </cell>
        </row>
        <row r="173">
          <cell r="H173">
            <v>0</v>
          </cell>
          <cell r="I173">
            <v>0</v>
          </cell>
          <cell r="K173">
            <v>0</v>
          </cell>
          <cell r="O173">
            <v>0</v>
          </cell>
          <cell r="P173">
            <v>0</v>
          </cell>
          <cell r="S173">
            <v>0</v>
          </cell>
          <cell r="T173">
            <v>0</v>
          </cell>
          <cell r="AA173">
            <v>0</v>
          </cell>
          <cell r="AC173">
            <v>0</v>
          </cell>
          <cell r="AJ173">
            <v>0</v>
          </cell>
          <cell r="AK173">
            <v>0</v>
          </cell>
          <cell r="AQ173">
            <v>0</v>
          </cell>
          <cell r="AT173">
            <v>0</v>
          </cell>
          <cell r="AU173">
            <v>0</v>
          </cell>
          <cell r="AW173">
            <v>0</v>
          </cell>
          <cell r="BN173">
            <v>0</v>
          </cell>
          <cell r="BO173">
            <v>0</v>
          </cell>
          <cell r="BQ173">
            <v>0</v>
          </cell>
          <cell r="CZ173">
            <v>0</v>
          </cell>
          <cell r="DA173">
            <v>0</v>
          </cell>
          <cell r="DC173">
            <v>0</v>
          </cell>
        </row>
        <row r="174">
          <cell r="H174">
            <v>0</v>
          </cell>
          <cell r="I174">
            <v>0</v>
          </cell>
          <cell r="K174">
            <v>0</v>
          </cell>
          <cell r="O174">
            <v>500</v>
          </cell>
          <cell r="P174">
            <v>7.85</v>
          </cell>
          <cell r="S174">
            <v>500</v>
          </cell>
          <cell r="T174">
            <v>7.85</v>
          </cell>
          <cell r="AA174">
            <v>3500</v>
          </cell>
          <cell r="AC174">
            <v>3500</v>
          </cell>
          <cell r="AJ174">
            <v>0</v>
          </cell>
          <cell r="AK174">
            <v>0</v>
          </cell>
          <cell r="AQ174">
            <v>0</v>
          </cell>
          <cell r="AT174">
            <v>0</v>
          </cell>
          <cell r="AU174">
            <v>0</v>
          </cell>
          <cell r="AW174">
            <v>0</v>
          </cell>
          <cell r="BN174">
            <v>0</v>
          </cell>
          <cell r="BO174">
            <v>0</v>
          </cell>
          <cell r="BQ174">
            <v>0</v>
          </cell>
          <cell r="CZ174">
            <v>0</v>
          </cell>
          <cell r="DA174">
            <v>0</v>
          </cell>
          <cell r="DC174">
            <v>0</v>
          </cell>
        </row>
        <row r="175">
          <cell r="H175">
            <v>0</v>
          </cell>
          <cell r="I175">
            <v>0</v>
          </cell>
          <cell r="K175">
            <v>0</v>
          </cell>
          <cell r="O175">
            <v>0</v>
          </cell>
          <cell r="P175">
            <v>8.85</v>
          </cell>
          <cell r="S175">
            <v>0</v>
          </cell>
          <cell r="T175">
            <v>8.85</v>
          </cell>
          <cell r="AA175">
            <v>3500</v>
          </cell>
          <cell r="AC175">
            <v>3500</v>
          </cell>
          <cell r="AJ175">
            <v>0</v>
          </cell>
          <cell r="AK175">
            <v>0</v>
          </cell>
          <cell r="AQ175">
            <v>0</v>
          </cell>
          <cell r="AT175">
            <v>0</v>
          </cell>
          <cell r="AU175">
            <v>0</v>
          </cell>
          <cell r="AW175">
            <v>0</v>
          </cell>
          <cell r="BN175">
            <v>0</v>
          </cell>
          <cell r="BO175">
            <v>0</v>
          </cell>
          <cell r="BQ175">
            <v>0</v>
          </cell>
          <cell r="CZ175">
            <v>0</v>
          </cell>
          <cell r="DA175">
            <v>0</v>
          </cell>
          <cell r="DC175">
            <v>0</v>
          </cell>
        </row>
        <row r="176">
          <cell r="H176">
            <v>0</v>
          </cell>
          <cell r="I176">
            <v>0</v>
          </cell>
          <cell r="K176">
            <v>0</v>
          </cell>
          <cell r="O176">
            <v>0</v>
          </cell>
          <cell r="P176">
            <v>8.85</v>
          </cell>
          <cell r="S176">
            <v>0</v>
          </cell>
          <cell r="T176">
            <v>8.85</v>
          </cell>
          <cell r="AA176">
            <v>3500</v>
          </cell>
          <cell r="AC176">
            <v>3500</v>
          </cell>
          <cell r="AJ176">
            <v>0</v>
          </cell>
          <cell r="AK176">
            <v>0</v>
          </cell>
          <cell r="AQ176">
            <v>0</v>
          </cell>
          <cell r="AT176">
            <v>0</v>
          </cell>
          <cell r="AU176">
            <v>0</v>
          </cell>
          <cell r="AW176">
            <v>0</v>
          </cell>
          <cell r="BN176">
            <v>0</v>
          </cell>
          <cell r="BO176">
            <v>0</v>
          </cell>
          <cell r="BQ176">
            <v>0</v>
          </cell>
          <cell r="CZ176">
            <v>0</v>
          </cell>
          <cell r="DA176">
            <v>0</v>
          </cell>
          <cell r="DC176">
            <v>0</v>
          </cell>
        </row>
        <row r="177">
          <cell r="H177">
            <v>0</v>
          </cell>
          <cell r="I177">
            <v>0</v>
          </cell>
          <cell r="K177">
            <v>0</v>
          </cell>
          <cell r="O177">
            <v>0</v>
          </cell>
          <cell r="P177">
            <v>6.35</v>
          </cell>
          <cell r="S177">
            <v>0</v>
          </cell>
          <cell r="T177">
            <v>6.35</v>
          </cell>
          <cell r="AA177">
            <v>3500</v>
          </cell>
          <cell r="AC177">
            <v>3500</v>
          </cell>
          <cell r="AJ177">
            <v>0</v>
          </cell>
          <cell r="AK177">
            <v>0</v>
          </cell>
          <cell r="AQ177">
            <v>0</v>
          </cell>
          <cell r="AT177">
            <v>0</v>
          </cell>
          <cell r="AU177">
            <v>0</v>
          </cell>
          <cell r="AW177">
            <v>0</v>
          </cell>
          <cell r="BN177">
            <v>0</v>
          </cell>
          <cell r="BO177">
            <v>0</v>
          </cell>
          <cell r="BQ177">
            <v>0</v>
          </cell>
          <cell r="CZ177">
            <v>0</v>
          </cell>
          <cell r="DA177">
            <v>0</v>
          </cell>
          <cell r="DC177">
            <v>0</v>
          </cell>
        </row>
        <row r="178">
          <cell r="H178">
            <v>22</v>
          </cell>
          <cell r="I178">
            <v>63.921999999999997</v>
          </cell>
          <cell r="K178">
            <v>30.280639999999998</v>
          </cell>
          <cell r="O178">
            <v>0</v>
          </cell>
          <cell r="P178">
            <v>0</v>
          </cell>
          <cell r="S178">
            <v>0</v>
          </cell>
          <cell r="T178">
            <v>0</v>
          </cell>
          <cell r="AA178">
            <v>0</v>
          </cell>
          <cell r="AC178">
            <v>0</v>
          </cell>
          <cell r="AJ178">
            <v>22</v>
          </cell>
          <cell r="AK178">
            <v>63.921999999999997</v>
          </cell>
          <cell r="AQ178">
            <v>30.886252800000001</v>
          </cell>
          <cell r="AT178">
            <v>11.026545</v>
          </cell>
          <cell r="AU178">
            <v>19.458339263999999</v>
          </cell>
          <cell r="AW178">
            <v>9.2399999999999996E-2</v>
          </cell>
          <cell r="BN178">
            <v>11.026545</v>
          </cell>
          <cell r="BO178">
            <v>19.458339263999999</v>
          </cell>
          <cell r="BQ178">
            <v>9.2399999999999996E-2</v>
          </cell>
          <cell r="CZ178">
            <v>10.490532395833332</v>
          </cell>
          <cell r="DA178">
            <v>19.076803199999997</v>
          </cell>
          <cell r="DC178">
            <v>9.2399999999999996E-2</v>
          </cell>
        </row>
        <row r="179">
          <cell r="H179">
            <v>22</v>
          </cell>
          <cell r="I179">
            <v>63.921999999999997</v>
          </cell>
          <cell r="K179">
            <v>30.280639999999998</v>
          </cell>
          <cell r="O179">
            <v>300</v>
          </cell>
          <cell r="P179">
            <v>6.3</v>
          </cell>
          <cell r="S179">
            <v>300</v>
          </cell>
          <cell r="T179">
            <v>6.3</v>
          </cell>
          <cell r="AA179">
            <v>3500</v>
          </cell>
          <cell r="AC179">
            <v>3500</v>
          </cell>
          <cell r="AJ179">
            <v>22</v>
          </cell>
          <cell r="AK179">
            <v>63.921999999999997</v>
          </cell>
          <cell r="AQ179">
            <v>30.886252800000001</v>
          </cell>
          <cell r="AT179">
            <v>11.026545</v>
          </cell>
          <cell r="AU179">
            <v>19.458339263999999</v>
          </cell>
          <cell r="AW179">
            <v>9.2399999999999996E-2</v>
          </cell>
          <cell r="BN179">
            <v>11.026545</v>
          </cell>
          <cell r="BO179">
            <v>19.458339263999999</v>
          </cell>
          <cell r="BQ179">
            <v>9.2399999999999996E-2</v>
          </cell>
          <cell r="CZ179">
            <v>10.490532395833332</v>
          </cell>
          <cell r="DA179">
            <v>19.076803199999997</v>
          </cell>
          <cell r="DC179">
            <v>9.2399999999999996E-2</v>
          </cell>
        </row>
        <row r="180">
          <cell r="H180">
            <v>0</v>
          </cell>
          <cell r="I180">
            <v>0</v>
          </cell>
          <cell r="K180">
            <v>0</v>
          </cell>
          <cell r="O180">
            <v>500</v>
          </cell>
          <cell r="P180">
            <v>5.05</v>
          </cell>
          <cell r="S180">
            <v>500</v>
          </cell>
          <cell r="T180">
            <v>5.05</v>
          </cell>
          <cell r="AA180">
            <v>3500</v>
          </cell>
          <cell r="AC180">
            <v>3500</v>
          </cell>
          <cell r="AJ180">
            <v>0</v>
          </cell>
          <cell r="AK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  <cell r="BN180">
            <v>0</v>
          </cell>
          <cell r="BO180">
            <v>0</v>
          </cell>
          <cell r="BQ180">
            <v>0</v>
          </cell>
          <cell r="CZ180">
            <v>0</v>
          </cell>
          <cell r="DA180">
            <v>0</v>
          </cell>
          <cell r="DC180">
            <v>0</v>
          </cell>
        </row>
        <row r="181">
          <cell r="H181">
            <v>0</v>
          </cell>
          <cell r="I181">
            <v>0</v>
          </cell>
          <cell r="K181">
            <v>0</v>
          </cell>
          <cell r="O181">
            <v>500</v>
          </cell>
          <cell r="P181">
            <v>4.95</v>
          </cell>
          <cell r="S181">
            <v>500</v>
          </cell>
          <cell r="T181">
            <v>4.95</v>
          </cell>
          <cell r="AA181">
            <v>3500</v>
          </cell>
          <cell r="AC181">
            <v>3500</v>
          </cell>
          <cell r="AJ181">
            <v>0</v>
          </cell>
          <cell r="AK181">
            <v>0</v>
          </cell>
          <cell r="AQ181">
            <v>0</v>
          </cell>
          <cell r="AT181">
            <v>0</v>
          </cell>
          <cell r="AU181">
            <v>0</v>
          </cell>
          <cell r="AW181">
            <v>0</v>
          </cell>
          <cell r="BN181">
            <v>0</v>
          </cell>
          <cell r="BO181">
            <v>0</v>
          </cell>
          <cell r="BQ181">
            <v>0</v>
          </cell>
          <cell r="CZ181">
            <v>0</v>
          </cell>
          <cell r="DA181">
            <v>0</v>
          </cell>
          <cell r="DC181">
            <v>0</v>
          </cell>
        </row>
        <row r="182">
          <cell r="H182">
            <v>7</v>
          </cell>
          <cell r="I182">
            <v>14.57</v>
          </cell>
          <cell r="K182">
            <v>33.934072896551719</v>
          </cell>
          <cell r="O182">
            <v>285</v>
          </cell>
          <cell r="P182">
            <v>7.3</v>
          </cell>
          <cell r="S182">
            <v>285</v>
          </cell>
          <cell r="T182">
            <v>7.3</v>
          </cell>
          <cell r="AA182">
            <v>3500</v>
          </cell>
          <cell r="AC182">
            <v>3500</v>
          </cell>
          <cell r="AJ182">
            <v>7</v>
          </cell>
          <cell r="AK182">
            <v>14.57</v>
          </cell>
          <cell r="AQ182">
            <v>34.61275435448276</v>
          </cell>
          <cell r="AT182">
            <v>3.9863520000000001</v>
          </cell>
          <cell r="AU182">
            <v>25.267310678772414</v>
          </cell>
          <cell r="AW182">
            <v>2.9399999999999999E-2</v>
          </cell>
          <cell r="BN182">
            <v>3.9863520000000001</v>
          </cell>
          <cell r="BO182">
            <v>25.267310678772414</v>
          </cell>
          <cell r="BQ182">
            <v>2.9399999999999999E-2</v>
          </cell>
          <cell r="CZ182">
            <v>3.7823720000000005</v>
          </cell>
          <cell r="DA182">
            <v>24.77187321448276</v>
          </cell>
          <cell r="DC182">
            <v>2.9399999999999999E-2</v>
          </cell>
        </row>
        <row r="183">
          <cell r="H183">
            <v>9</v>
          </cell>
          <cell r="I183">
            <v>6.65</v>
          </cell>
          <cell r="K183">
            <v>8.1475419000000002</v>
          </cell>
          <cell r="O183">
            <v>500</v>
          </cell>
          <cell r="P183">
            <v>11</v>
          </cell>
          <cell r="S183">
            <v>500</v>
          </cell>
          <cell r="T183">
            <v>11</v>
          </cell>
          <cell r="AA183">
            <v>3500</v>
          </cell>
          <cell r="AC183">
            <v>3500</v>
          </cell>
          <cell r="AJ183">
            <v>9</v>
          </cell>
          <cell r="AK183">
            <v>6.65</v>
          </cell>
          <cell r="AQ183">
            <v>8.3104927379999989</v>
          </cell>
          <cell r="AT183">
            <v>3.1920000000000002</v>
          </cell>
          <cell r="AU183">
            <v>9.1415420117999986</v>
          </cell>
          <cell r="AW183">
            <v>3.3599999999999998E-2</v>
          </cell>
          <cell r="BN183">
            <v>3.1920000000000002</v>
          </cell>
          <cell r="BO183">
            <v>9.1415420117999986</v>
          </cell>
          <cell r="BQ183">
            <v>3.3599999999999998E-2</v>
          </cell>
          <cell r="CZ183">
            <v>3.1920000000000002</v>
          </cell>
          <cell r="DA183">
            <v>8.9622960899999988</v>
          </cell>
          <cell r="DC183">
            <v>3.3599999999999998E-2</v>
          </cell>
        </row>
        <row r="184">
          <cell r="H184">
            <v>28</v>
          </cell>
          <cell r="I184">
            <v>64.918000000000006</v>
          </cell>
          <cell r="K184">
            <v>373.59901052227264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AA184">
            <v>0</v>
          </cell>
          <cell r="AC184">
            <v>0</v>
          </cell>
          <cell r="AJ184">
            <v>28</v>
          </cell>
          <cell r="AK184">
            <v>64.918000000000006</v>
          </cell>
          <cell r="AQ184">
            <v>383.84906110650508</v>
          </cell>
          <cell r="AT184">
            <v>0</v>
          </cell>
          <cell r="AU184">
            <v>234.14792727496805</v>
          </cell>
          <cell r="AW184">
            <v>0.1176</v>
          </cell>
          <cell r="BN184">
            <v>0</v>
          </cell>
          <cell r="BO184">
            <v>234.14792727496805</v>
          </cell>
          <cell r="BQ184">
            <v>0.1176</v>
          </cell>
          <cell r="CZ184">
            <v>0</v>
          </cell>
          <cell r="DA184">
            <v>227.8953964185863</v>
          </cell>
          <cell r="DC184">
            <v>0.1176</v>
          </cell>
        </row>
        <row r="185">
          <cell r="H185">
            <v>28</v>
          </cell>
          <cell r="I185">
            <v>64.918000000000006</v>
          </cell>
          <cell r="K185">
            <v>373.59901052227264</v>
          </cell>
          <cell r="O185">
            <v>0</v>
          </cell>
          <cell r="P185">
            <v>6.1</v>
          </cell>
          <cell r="S185">
            <v>0</v>
          </cell>
          <cell r="T185">
            <v>6.1</v>
          </cell>
          <cell r="AA185">
            <v>3500</v>
          </cell>
          <cell r="AC185">
            <v>3500</v>
          </cell>
          <cell r="AJ185">
            <v>28</v>
          </cell>
          <cell r="AK185">
            <v>64.918000000000006</v>
          </cell>
          <cell r="AQ185">
            <v>383.84906110650508</v>
          </cell>
          <cell r="AT185">
            <v>0</v>
          </cell>
          <cell r="AU185">
            <v>234.14792727496805</v>
          </cell>
          <cell r="AW185">
            <v>0.1176</v>
          </cell>
          <cell r="BN185">
            <v>0</v>
          </cell>
          <cell r="BO185">
            <v>234.14792727496805</v>
          </cell>
          <cell r="BQ185">
            <v>0.1176</v>
          </cell>
          <cell r="CZ185">
            <v>0</v>
          </cell>
          <cell r="DA185">
            <v>227.8953964185863</v>
          </cell>
          <cell r="DC185">
            <v>0.1176</v>
          </cell>
        </row>
        <row r="186">
          <cell r="H186">
            <v>0</v>
          </cell>
          <cell r="I186">
            <v>0</v>
          </cell>
          <cell r="K186">
            <v>0</v>
          </cell>
          <cell r="O186">
            <v>0</v>
          </cell>
          <cell r="P186">
            <v>0</v>
          </cell>
          <cell r="S186">
            <v>0</v>
          </cell>
          <cell r="T186">
            <v>0</v>
          </cell>
          <cell r="AA186">
            <v>0</v>
          </cell>
          <cell r="AC186">
            <v>0</v>
          </cell>
          <cell r="AJ186">
            <v>0</v>
          </cell>
          <cell r="AK186">
            <v>0</v>
          </cell>
          <cell r="AQ186">
            <v>0</v>
          </cell>
          <cell r="AT186">
            <v>0</v>
          </cell>
          <cell r="AU186">
            <v>0</v>
          </cell>
          <cell r="AW186">
            <v>0</v>
          </cell>
          <cell r="BN186">
            <v>0</v>
          </cell>
          <cell r="BO186">
            <v>0</v>
          </cell>
          <cell r="BQ186">
            <v>0</v>
          </cell>
          <cell r="CZ186">
            <v>0</v>
          </cell>
          <cell r="DA186">
            <v>0</v>
          </cell>
          <cell r="DC186">
            <v>0</v>
          </cell>
        </row>
        <row r="191">
          <cell r="H191">
            <v>3</v>
          </cell>
          <cell r="I191">
            <v>8.1999999999999993</v>
          </cell>
          <cell r="K191">
            <v>8.9069599999999998</v>
          </cell>
          <cell r="O191">
            <v>100</v>
          </cell>
          <cell r="P191">
            <v>6</v>
          </cell>
          <cell r="S191">
            <v>100</v>
          </cell>
          <cell r="T191">
            <v>6</v>
          </cell>
          <cell r="AA191">
            <v>3500</v>
          </cell>
          <cell r="AC191">
            <v>3500</v>
          </cell>
          <cell r="AJ191">
            <v>3</v>
          </cell>
          <cell r="AK191">
            <v>8.1999999999999993</v>
          </cell>
          <cell r="AQ191">
            <v>39.244800000000005</v>
          </cell>
          <cell r="AT191">
            <v>0.78720000000000001</v>
          </cell>
          <cell r="AU191">
            <v>23.546880000000005</v>
          </cell>
          <cell r="AW191">
            <v>1.26E-2</v>
          </cell>
          <cell r="BN191">
            <v>0.78720000000000001</v>
          </cell>
          <cell r="BO191">
            <v>23.546880000000005</v>
          </cell>
          <cell r="BQ191">
            <v>1.26E-2</v>
          </cell>
          <cell r="CZ191">
            <v>0.4592</v>
          </cell>
          <cell r="DA191">
            <v>5.344176</v>
          </cell>
          <cell r="DC191">
            <v>6.3E-3</v>
          </cell>
        </row>
        <row r="201">
          <cell r="H201">
            <v>13</v>
          </cell>
          <cell r="I201">
            <v>174.32</v>
          </cell>
          <cell r="K201">
            <v>357.08006497034489</v>
          </cell>
          <cell r="O201">
            <v>0</v>
          </cell>
          <cell r="P201">
            <v>0</v>
          </cell>
          <cell r="S201">
            <v>0</v>
          </cell>
          <cell r="T201">
            <v>0</v>
          </cell>
          <cell r="AA201">
            <v>0</v>
          </cell>
          <cell r="AC201">
            <v>0</v>
          </cell>
          <cell r="AJ201">
            <v>13</v>
          </cell>
          <cell r="AK201">
            <v>174.32</v>
          </cell>
          <cell r="AQ201">
            <v>364.22166626975172</v>
          </cell>
          <cell r="AT201">
            <v>83.673600000000008</v>
          </cell>
          <cell r="AU201">
            <v>233.07771476110491</v>
          </cell>
          <cell r="AW201">
            <v>7.8E-2</v>
          </cell>
          <cell r="BN201">
            <v>83.673600000000008</v>
          </cell>
          <cell r="BO201">
            <v>233.07771476110491</v>
          </cell>
          <cell r="BQ201">
            <v>7.8E-2</v>
          </cell>
          <cell r="CZ201">
            <v>81.23312</v>
          </cell>
          <cell r="DA201">
            <v>233.45816666027935</v>
          </cell>
          <cell r="DC201">
            <v>8.1000000000000003E-2</v>
          </cell>
        </row>
        <row r="202">
          <cell r="H202">
            <v>13</v>
          </cell>
          <cell r="I202">
            <v>174.32</v>
          </cell>
          <cell r="K202">
            <v>50.111864810344876</v>
          </cell>
          <cell r="O202">
            <v>500</v>
          </cell>
          <cell r="P202">
            <v>6.65</v>
          </cell>
          <cell r="S202">
            <v>500</v>
          </cell>
          <cell r="T202">
            <v>6.65</v>
          </cell>
          <cell r="AA202">
            <v>5000</v>
          </cell>
          <cell r="AC202">
            <v>5000</v>
          </cell>
          <cell r="AJ202">
            <v>13</v>
          </cell>
          <cell r="AK202">
            <v>174.32</v>
          </cell>
          <cell r="AQ202">
            <v>51.114102106551769</v>
          </cell>
          <cell r="AT202">
            <v>83.673600000000008</v>
          </cell>
          <cell r="AU202">
            <v>33.99087790085693</v>
          </cell>
          <cell r="AW202">
            <v>7.8E-2</v>
          </cell>
          <cell r="BN202">
            <v>83.673600000000008</v>
          </cell>
          <cell r="BO202">
            <v>33.99087790085693</v>
          </cell>
          <cell r="BQ202">
            <v>7.8E-2</v>
          </cell>
          <cell r="CZ202">
            <v>81.23312</v>
          </cell>
          <cell r="DA202">
            <v>33.324390098879334</v>
          </cell>
          <cell r="DC202">
            <v>8.1000000000000003E-2</v>
          </cell>
        </row>
        <row r="204">
          <cell r="H204">
            <v>0</v>
          </cell>
          <cell r="I204">
            <v>0</v>
          </cell>
          <cell r="K204">
            <v>0</v>
          </cell>
          <cell r="O204">
            <v>0</v>
          </cell>
          <cell r="P204">
            <v>6.65</v>
          </cell>
          <cell r="S204">
            <v>0</v>
          </cell>
          <cell r="T204">
            <v>6.65</v>
          </cell>
          <cell r="AA204">
            <v>5000</v>
          </cell>
          <cell r="AC204">
            <v>5000</v>
          </cell>
          <cell r="AJ204">
            <v>0</v>
          </cell>
          <cell r="AK204">
            <v>0</v>
          </cell>
          <cell r="AQ204">
            <v>0</v>
          </cell>
          <cell r="AT204">
            <v>0</v>
          </cell>
          <cell r="AU204">
            <v>0</v>
          </cell>
          <cell r="AW204">
            <v>0</v>
          </cell>
          <cell r="BN204">
            <v>0</v>
          </cell>
          <cell r="BO204">
            <v>0</v>
          </cell>
          <cell r="BQ204">
            <v>0</v>
          </cell>
          <cell r="CZ204">
            <v>0</v>
          </cell>
          <cell r="DA204">
            <v>0</v>
          </cell>
          <cell r="DC204">
            <v>0</v>
          </cell>
        </row>
        <row r="205">
          <cell r="H205">
            <v>0</v>
          </cell>
          <cell r="I205">
            <v>0</v>
          </cell>
          <cell r="K205">
            <v>0</v>
          </cell>
          <cell r="O205">
            <v>0</v>
          </cell>
          <cell r="P205">
            <v>7.3</v>
          </cell>
          <cell r="S205">
            <v>0</v>
          </cell>
          <cell r="T205">
            <v>7.3</v>
          </cell>
          <cell r="AA205">
            <v>5000</v>
          </cell>
          <cell r="AC205">
            <v>5000</v>
          </cell>
          <cell r="AJ205">
            <v>0</v>
          </cell>
          <cell r="AK205">
            <v>0</v>
          </cell>
          <cell r="AQ205">
            <v>0</v>
          </cell>
          <cell r="AT205">
            <v>0</v>
          </cell>
          <cell r="AU205">
            <v>0</v>
          </cell>
          <cell r="AW205">
            <v>0</v>
          </cell>
          <cell r="BN205">
            <v>0</v>
          </cell>
          <cell r="BO205">
            <v>0</v>
          </cell>
          <cell r="BQ205">
            <v>0</v>
          </cell>
          <cell r="CZ205">
            <v>0</v>
          </cell>
          <cell r="DA205">
            <v>0</v>
          </cell>
          <cell r="DC205">
            <v>0</v>
          </cell>
        </row>
        <row r="206">
          <cell r="H206">
            <v>0</v>
          </cell>
          <cell r="I206">
            <v>0</v>
          </cell>
          <cell r="K206">
            <v>0</v>
          </cell>
          <cell r="O206">
            <v>500</v>
          </cell>
          <cell r="P206">
            <v>7.7</v>
          </cell>
          <cell r="S206">
            <v>500</v>
          </cell>
          <cell r="T206">
            <v>7.7</v>
          </cell>
          <cell r="AA206">
            <v>5000</v>
          </cell>
          <cell r="AC206">
            <v>5000</v>
          </cell>
          <cell r="AJ206">
            <v>0</v>
          </cell>
          <cell r="AK206">
            <v>0</v>
          </cell>
          <cell r="AQ206">
            <v>0</v>
          </cell>
          <cell r="AT206">
            <v>0</v>
          </cell>
          <cell r="AU206">
            <v>0</v>
          </cell>
          <cell r="AW206">
            <v>0</v>
          </cell>
          <cell r="BN206">
            <v>0</v>
          </cell>
          <cell r="BO206">
            <v>0</v>
          </cell>
          <cell r="BQ206">
            <v>0</v>
          </cell>
          <cell r="CZ206">
            <v>0</v>
          </cell>
          <cell r="DA206">
            <v>0</v>
          </cell>
          <cell r="DC206">
            <v>0</v>
          </cell>
        </row>
        <row r="207">
          <cell r="H207">
            <v>0</v>
          </cell>
          <cell r="I207">
            <v>0</v>
          </cell>
          <cell r="K207">
            <v>115.15954045000002</v>
          </cell>
          <cell r="O207">
            <v>0</v>
          </cell>
          <cell r="P207">
            <v>7.65</v>
          </cell>
          <cell r="S207">
            <v>0</v>
          </cell>
          <cell r="T207">
            <v>7.65</v>
          </cell>
          <cell r="AA207">
            <v>5000</v>
          </cell>
          <cell r="AC207">
            <v>5000</v>
          </cell>
          <cell r="AJ207">
            <v>0</v>
          </cell>
          <cell r="AK207">
            <v>0</v>
          </cell>
          <cell r="AQ207">
            <v>117.46273125899998</v>
          </cell>
          <cell r="AT207">
            <v>0</v>
          </cell>
          <cell r="AU207">
            <v>89.858989413134992</v>
          </cell>
          <cell r="AW207">
            <v>0</v>
          </cell>
          <cell r="BN207">
            <v>0</v>
          </cell>
          <cell r="BO207">
            <v>89.858989413134992</v>
          </cell>
          <cell r="BQ207">
            <v>0</v>
          </cell>
          <cell r="CZ207">
            <v>0</v>
          </cell>
          <cell r="DA207">
            <v>88.097048444250007</v>
          </cell>
          <cell r="DC207">
            <v>0</v>
          </cell>
        </row>
        <row r="208">
          <cell r="H208">
            <v>0</v>
          </cell>
          <cell r="I208">
            <v>0</v>
          </cell>
          <cell r="K208">
            <v>33.218660789999994</v>
          </cell>
          <cell r="O208">
            <v>0</v>
          </cell>
          <cell r="P208">
            <v>7.65</v>
          </cell>
          <cell r="S208">
            <v>0</v>
          </cell>
          <cell r="T208">
            <v>7.65</v>
          </cell>
          <cell r="AA208">
            <v>5000</v>
          </cell>
          <cell r="AC208">
            <v>5000</v>
          </cell>
          <cell r="AJ208">
            <v>0</v>
          </cell>
          <cell r="AK208">
            <v>0</v>
          </cell>
          <cell r="AQ208">
            <v>33.883034005799992</v>
          </cell>
          <cell r="AT208">
            <v>0</v>
          </cell>
          <cell r="AU208">
            <v>25.920521014436996</v>
          </cell>
          <cell r="AW208">
            <v>0</v>
          </cell>
          <cell r="BN208">
            <v>0</v>
          </cell>
          <cell r="BO208">
            <v>25.920521014436996</v>
          </cell>
          <cell r="BQ208">
            <v>0</v>
          </cell>
          <cell r="CZ208">
            <v>0</v>
          </cell>
          <cell r="DA208">
            <v>25.412275504349992</v>
          </cell>
          <cell r="DC208">
            <v>0</v>
          </cell>
        </row>
        <row r="210">
          <cell r="H210">
            <v>0</v>
          </cell>
          <cell r="I210">
            <v>0</v>
          </cell>
          <cell r="K210">
            <v>158.58999892</v>
          </cell>
          <cell r="O210">
            <v>0</v>
          </cell>
          <cell r="P210">
            <v>5.15</v>
          </cell>
          <cell r="S210">
            <v>0</v>
          </cell>
          <cell r="T210">
            <v>5.15</v>
          </cell>
          <cell r="AA210">
            <v>5000</v>
          </cell>
          <cell r="AC210">
            <v>5000</v>
          </cell>
          <cell r="AJ210">
            <v>0</v>
          </cell>
          <cell r="AK210">
            <v>0</v>
          </cell>
          <cell r="AQ210">
            <v>161.76179889839997</v>
          </cell>
          <cell r="AT210">
            <v>0</v>
          </cell>
          <cell r="AU210">
            <v>83.307326432675993</v>
          </cell>
          <cell r="AW210">
            <v>0</v>
          </cell>
          <cell r="BN210">
            <v>0</v>
          </cell>
          <cell r="BO210">
            <v>83.307326432675993</v>
          </cell>
          <cell r="BQ210">
            <v>0</v>
          </cell>
          <cell r="CZ210">
            <v>0</v>
          </cell>
          <cell r="DA210">
            <v>86.624452612799999</v>
          </cell>
          <cell r="DC210">
            <v>0</v>
          </cell>
        </row>
        <row r="211">
          <cell r="H211">
            <v>0</v>
          </cell>
          <cell r="I211">
            <v>0</v>
          </cell>
          <cell r="K211">
            <v>0</v>
          </cell>
          <cell r="O211">
            <v>500</v>
          </cell>
          <cell r="P211">
            <v>6.65</v>
          </cell>
          <cell r="S211">
            <v>500</v>
          </cell>
          <cell r="T211">
            <v>6.65</v>
          </cell>
          <cell r="AA211">
            <v>5000</v>
          </cell>
          <cell r="AC211">
            <v>5000</v>
          </cell>
          <cell r="AJ211">
            <v>0</v>
          </cell>
          <cell r="AK211">
            <v>0</v>
          </cell>
          <cell r="AQ211">
            <v>0</v>
          </cell>
          <cell r="AT211">
            <v>0</v>
          </cell>
          <cell r="AU211">
            <v>0</v>
          </cell>
          <cell r="AW211">
            <v>0</v>
          </cell>
          <cell r="BN211">
            <v>0</v>
          </cell>
          <cell r="BO211">
            <v>0</v>
          </cell>
          <cell r="BQ211">
            <v>0</v>
          </cell>
          <cell r="CZ211">
            <v>0</v>
          </cell>
          <cell r="DA211">
            <v>0</v>
          </cell>
          <cell r="DC211">
            <v>0</v>
          </cell>
        </row>
        <row r="212">
          <cell r="H212">
            <v>2</v>
          </cell>
          <cell r="I212">
            <v>35</v>
          </cell>
          <cell r="K212">
            <v>279.09027070536354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AA212">
            <v>0</v>
          </cell>
          <cell r="AC212">
            <v>0</v>
          </cell>
          <cell r="AJ212">
            <v>2</v>
          </cell>
          <cell r="AK212">
            <v>35</v>
          </cell>
          <cell r="AQ212">
            <v>283.67313653890687</v>
          </cell>
          <cell r="AT212">
            <v>16.8</v>
          </cell>
          <cell r="AU212">
            <v>183.65227223437918</v>
          </cell>
          <cell r="AW212">
            <v>1.2E-2</v>
          </cell>
          <cell r="BN212">
            <v>16.8</v>
          </cell>
          <cell r="BO212">
            <v>183.65227223437918</v>
          </cell>
          <cell r="BQ212">
            <v>1.2E-2</v>
          </cell>
          <cell r="CZ212">
            <v>16.309999999999999</v>
          </cell>
          <cell r="DA212">
            <v>183.64338160334421</v>
          </cell>
          <cell r="DC212">
            <v>1.2E-2</v>
          </cell>
        </row>
        <row r="213">
          <cell r="H213">
            <v>2</v>
          </cell>
          <cell r="I213">
            <v>35</v>
          </cell>
          <cell r="K213">
            <v>73.969636181492788</v>
          </cell>
          <cell r="O213">
            <v>500</v>
          </cell>
          <cell r="P213">
            <v>6.65</v>
          </cell>
          <cell r="S213">
            <v>500</v>
          </cell>
          <cell r="T213">
            <v>6.65</v>
          </cell>
          <cell r="AA213">
            <v>5000</v>
          </cell>
          <cell r="AC213">
            <v>5000</v>
          </cell>
          <cell r="AJ213">
            <v>2</v>
          </cell>
          <cell r="AK213">
            <v>35</v>
          </cell>
          <cell r="AQ213">
            <v>75.184271566377504</v>
          </cell>
          <cell r="AT213">
            <v>16.8</v>
          </cell>
          <cell r="AU213">
            <v>49.997540591641041</v>
          </cell>
          <cell r="AW213">
            <v>1.2E-2</v>
          </cell>
          <cell r="BN213">
            <v>16.8</v>
          </cell>
          <cell r="BO213">
            <v>49.997540591641041</v>
          </cell>
          <cell r="BQ213">
            <v>1.2E-2</v>
          </cell>
          <cell r="CZ213">
            <v>16.309999999999999</v>
          </cell>
          <cell r="DA213">
            <v>49.189808060692698</v>
          </cell>
          <cell r="DC213">
            <v>1.2E-2</v>
          </cell>
        </row>
        <row r="214">
          <cell r="H214">
            <v>0</v>
          </cell>
          <cell r="I214">
            <v>0</v>
          </cell>
          <cell r="K214">
            <v>51.569895040830019</v>
          </cell>
          <cell r="O214">
            <v>0</v>
          </cell>
          <cell r="P214">
            <v>7.65</v>
          </cell>
          <cell r="S214">
            <v>0</v>
          </cell>
          <cell r="T214">
            <v>7.65</v>
          </cell>
          <cell r="AA214">
            <v>5000</v>
          </cell>
          <cell r="AC214">
            <v>5000</v>
          </cell>
          <cell r="AJ214">
            <v>0</v>
          </cell>
          <cell r="AK214">
            <v>0</v>
          </cell>
          <cell r="AQ214">
            <v>52.416710336199223</v>
          </cell>
          <cell r="AT214">
            <v>0</v>
          </cell>
          <cell r="AU214">
            <v>40.098783407192407</v>
          </cell>
          <cell r="AW214">
            <v>0</v>
          </cell>
          <cell r="BN214">
            <v>0</v>
          </cell>
          <cell r="BO214">
            <v>40.098783407192407</v>
          </cell>
          <cell r="BQ214">
            <v>0</v>
          </cell>
          <cell r="CZ214">
            <v>0</v>
          </cell>
          <cell r="DA214">
            <v>39.450969706234964</v>
          </cell>
          <cell r="DC214">
            <v>0</v>
          </cell>
        </row>
        <row r="215">
          <cell r="H215">
            <v>0</v>
          </cell>
          <cell r="I215">
            <v>0</v>
          </cell>
          <cell r="K215">
            <v>51.863517599372834</v>
          </cell>
          <cell r="O215">
            <v>0</v>
          </cell>
          <cell r="P215">
            <v>7.65</v>
          </cell>
          <cell r="S215">
            <v>0</v>
          </cell>
          <cell r="T215">
            <v>7.65</v>
          </cell>
          <cell r="AA215">
            <v>5000</v>
          </cell>
          <cell r="AC215">
            <v>5000</v>
          </cell>
          <cell r="AJ215">
            <v>0</v>
          </cell>
          <cell r="AK215">
            <v>0</v>
          </cell>
          <cell r="AQ215">
            <v>52.715154391342786</v>
          </cell>
          <cell r="AT215">
            <v>0</v>
          </cell>
          <cell r="AU215">
            <v>40.32709310937723</v>
          </cell>
          <cell r="AW215">
            <v>0</v>
          </cell>
          <cell r="BN215">
            <v>0</v>
          </cell>
          <cell r="BO215">
            <v>40.32709310937723</v>
          </cell>
          <cell r="BQ215">
            <v>0</v>
          </cell>
          <cell r="CZ215">
            <v>0</v>
          </cell>
          <cell r="DA215">
            <v>39.675590963520222</v>
          </cell>
          <cell r="DC215">
            <v>0</v>
          </cell>
        </row>
        <row r="216">
          <cell r="H216">
            <v>0</v>
          </cell>
          <cell r="I216">
            <v>0</v>
          </cell>
          <cell r="K216">
            <v>101.68722188366792</v>
          </cell>
          <cell r="O216">
            <v>0</v>
          </cell>
          <cell r="P216">
            <v>5.15</v>
          </cell>
          <cell r="S216">
            <v>0</v>
          </cell>
          <cell r="T216">
            <v>5.15</v>
          </cell>
          <cell r="AA216">
            <v>5000</v>
          </cell>
          <cell r="AC216">
            <v>5000</v>
          </cell>
          <cell r="AJ216">
            <v>0</v>
          </cell>
          <cell r="AK216">
            <v>0</v>
          </cell>
          <cell r="AQ216">
            <v>103.35700024498736</v>
          </cell>
          <cell r="AT216">
            <v>0</v>
          </cell>
          <cell r="AU216">
            <v>53.22885512616849</v>
          </cell>
          <cell r="AW216">
            <v>0</v>
          </cell>
          <cell r="BN216">
            <v>0</v>
          </cell>
          <cell r="BO216">
            <v>53.22885512616849</v>
          </cell>
          <cell r="BQ216">
            <v>0</v>
          </cell>
          <cell r="CZ216">
            <v>0</v>
          </cell>
          <cell r="DA216">
            <v>55.327012872896312</v>
          </cell>
          <cell r="DC216">
            <v>0</v>
          </cell>
        </row>
        <row r="217">
          <cell r="H217">
            <v>7</v>
          </cell>
          <cell r="I217">
            <v>17.350000000000001</v>
          </cell>
          <cell r="K217">
            <v>4.5793999999999997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AA217">
            <v>0</v>
          </cell>
          <cell r="AC217">
            <v>0</v>
          </cell>
          <cell r="AJ217">
            <v>7</v>
          </cell>
          <cell r="AK217">
            <v>17.350000000000001</v>
          </cell>
          <cell r="AQ217">
            <v>4.6745669736802009</v>
          </cell>
          <cell r="AT217">
            <v>8.3280000000000012</v>
          </cell>
          <cell r="AU217">
            <v>3.4522025187132637</v>
          </cell>
          <cell r="AW217">
            <v>4.2000000000000003E-2</v>
          </cell>
          <cell r="BN217">
            <v>8.3280000000000012</v>
          </cell>
          <cell r="BO217">
            <v>3.4522025187132637</v>
          </cell>
          <cell r="BQ217">
            <v>4.2000000000000003E-2</v>
          </cell>
          <cell r="CZ217">
            <v>8.0851000000000006</v>
          </cell>
          <cell r="DA217">
            <v>3.4467060000000003</v>
          </cell>
          <cell r="DC217">
            <v>4.2000000000000003E-2</v>
          </cell>
        </row>
        <row r="218">
          <cell r="H218">
            <v>7</v>
          </cell>
          <cell r="I218">
            <v>17.350000000000001</v>
          </cell>
          <cell r="K218">
            <v>0.86096000000000006</v>
          </cell>
          <cell r="O218">
            <v>500</v>
          </cell>
          <cell r="P218">
            <v>7.8</v>
          </cell>
          <cell r="S218">
            <v>500</v>
          </cell>
          <cell r="T218">
            <v>7.8</v>
          </cell>
          <cell r="AA218">
            <v>5000</v>
          </cell>
          <cell r="AC218">
            <v>5000</v>
          </cell>
          <cell r="AJ218">
            <v>7</v>
          </cell>
          <cell r="AK218">
            <v>17.350000000000001</v>
          </cell>
          <cell r="AQ218">
            <v>0.87885207268631382</v>
          </cell>
          <cell r="AT218">
            <v>8.3280000000000012</v>
          </cell>
          <cell r="AU218">
            <v>0.6855046166953247</v>
          </cell>
          <cell r="AW218">
            <v>4.2000000000000003E-2</v>
          </cell>
          <cell r="BN218">
            <v>8.3280000000000012</v>
          </cell>
          <cell r="BO218">
            <v>0.6855046166953247</v>
          </cell>
          <cell r="BQ218">
            <v>4.2000000000000003E-2</v>
          </cell>
          <cell r="CZ218">
            <v>8.0851000000000006</v>
          </cell>
          <cell r="DA218">
            <v>0.67154879999999995</v>
          </cell>
          <cell r="DC218">
            <v>4.2000000000000003E-2</v>
          </cell>
        </row>
        <row r="219">
          <cell r="H219">
            <v>0</v>
          </cell>
          <cell r="I219">
            <v>0</v>
          </cell>
          <cell r="K219">
            <v>0.93971100000000007</v>
          </cell>
          <cell r="O219">
            <v>0</v>
          </cell>
          <cell r="P219">
            <v>8.8000000000000007</v>
          </cell>
          <cell r="S219">
            <v>0</v>
          </cell>
          <cell r="T219">
            <v>8.8000000000000007</v>
          </cell>
          <cell r="AA219">
            <v>5000</v>
          </cell>
          <cell r="AC219">
            <v>5000</v>
          </cell>
          <cell r="AJ219">
            <v>0</v>
          </cell>
          <cell r="AK219">
            <v>0</v>
          </cell>
          <cell r="AQ219">
            <v>0.95923963956064007</v>
          </cell>
          <cell r="AT219">
            <v>0</v>
          </cell>
          <cell r="AU219">
            <v>0.84413088281336335</v>
          </cell>
          <cell r="AW219">
            <v>0</v>
          </cell>
          <cell r="BN219">
            <v>0</v>
          </cell>
          <cell r="BO219">
            <v>0.84413088281336335</v>
          </cell>
          <cell r="BQ219">
            <v>0</v>
          </cell>
          <cell r="CZ219">
            <v>0</v>
          </cell>
          <cell r="DA219">
            <v>0.82694568000000013</v>
          </cell>
          <cell r="DC219">
            <v>0</v>
          </cell>
        </row>
        <row r="220">
          <cell r="H220">
            <v>0</v>
          </cell>
          <cell r="I220">
            <v>0</v>
          </cell>
          <cell r="K220">
            <v>0.53130900000000003</v>
          </cell>
          <cell r="O220">
            <v>0</v>
          </cell>
          <cell r="P220">
            <v>8.8000000000000007</v>
          </cell>
          <cell r="S220">
            <v>0</v>
          </cell>
          <cell r="T220">
            <v>8.8000000000000007</v>
          </cell>
          <cell r="AA220">
            <v>5000</v>
          </cell>
          <cell r="AC220">
            <v>5000</v>
          </cell>
          <cell r="AJ220">
            <v>0</v>
          </cell>
          <cell r="AK220">
            <v>0</v>
          </cell>
          <cell r="AQ220">
            <v>0.54235041800651917</v>
          </cell>
          <cell r="AT220">
            <v>0</v>
          </cell>
          <cell r="AU220">
            <v>0.4772683678457369</v>
          </cell>
          <cell r="AW220">
            <v>0</v>
          </cell>
          <cell r="BN220">
            <v>0</v>
          </cell>
          <cell r="BO220">
            <v>0.4772683678457369</v>
          </cell>
          <cell r="BQ220">
            <v>0</v>
          </cell>
          <cell r="CZ220">
            <v>0</v>
          </cell>
          <cell r="DA220">
            <v>0.46755192000000001</v>
          </cell>
          <cell r="DC220">
            <v>0</v>
          </cell>
        </row>
        <row r="221">
          <cell r="H221">
            <v>0</v>
          </cell>
          <cell r="I221">
            <v>0</v>
          </cell>
          <cell r="K221">
            <v>2.2474200000000004</v>
          </cell>
          <cell r="O221">
            <v>0</v>
          </cell>
          <cell r="P221">
            <v>6.3</v>
          </cell>
          <cell r="S221">
            <v>0</v>
          </cell>
          <cell r="T221">
            <v>6.3</v>
          </cell>
          <cell r="AA221">
            <v>5000</v>
          </cell>
          <cell r="AC221">
            <v>5000</v>
          </cell>
          <cell r="AJ221">
            <v>0</v>
          </cell>
          <cell r="AK221">
            <v>0</v>
          </cell>
          <cell r="AQ221">
            <v>2.2941248434267281</v>
          </cell>
          <cell r="AT221">
            <v>0</v>
          </cell>
          <cell r="AU221">
            <v>1.4452986513588386</v>
          </cell>
          <cell r="AW221">
            <v>0</v>
          </cell>
          <cell r="BN221">
            <v>0</v>
          </cell>
          <cell r="BO221">
            <v>1.4452986513588386</v>
          </cell>
          <cell r="BQ221">
            <v>0</v>
          </cell>
          <cell r="CZ221">
            <v>0</v>
          </cell>
          <cell r="DA221">
            <v>1.4806596000000001</v>
          </cell>
          <cell r="DC221">
            <v>0</v>
          </cell>
        </row>
        <row r="222">
          <cell r="H222">
            <v>0</v>
          </cell>
          <cell r="I222">
            <v>0</v>
          </cell>
          <cell r="K222">
            <v>0</v>
          </cell>
          <cell r="O222">
            <v>0</v>
          </cell>
          <cell r="P222">
            <v>0</v>
          </cell>
          <cell r="S222">
            <v>0</v>
          </cell>
          <cell r="T222">
            <v>0</v>
          </cell>
          <cell r="AA222">
            <v>0</v>
          </cell>
          <cell r="AC222">
            <v>0</v>
          </cell>
          <cell r="AJ222">
            <v>0</v>
          </cell>
          <cell r="AK222">
            <v>0</v>
          </cell>
          <cell r="AQ222">
            <v>0</v>
          </cell>
          <cell r="AT222">
            <v>0</v>
          </cell>
          <cell r="AU222">
            <v>0</v>
          </cell>
          <cell r="AW222">
            <v>0</v>
          </cell>
          <cell r="BN222">
            <v>0</v>
          </cell>
          <cell r="BO222">
            <v>0</v>
          </cell>
          <cell r="BQ222">
            <v>0</v>
          </cell>
          <cell r="CZ222">
            <v>0</v>
          </cell>
          <cell r="DA222">
            <v>0</v>
          </cell>
          <cell r="DC222">
            <v>0</v>
          </cell>
        </row>
        <row r="223">
          <cell r="H223">
            <v>0</v>
          </cell>
          <cell r="I223">
            <v>0</v>
          </cell>
          <cell r="K223">
            <v>0</v>
          </cell>
          <cell r="O223">
            <v>285</v>
          </cell>
          <cell r="P223">
            <v>5</v>
          </cell>
          <cell r="S223">
            <v>285</v>
          </cell>
          <cell r="T223">
            <v>5</v>
          </cell>
          <cell r="AA223">
            <v>5000</v>
          </cell>
          <cell r="AC223">
            <v>5000</v>
          </cell>
          <cell r="AJ223">
            <v>0</v>
          </cell>
          <cell r="AK223">
            <v>0</v>
          </cell>
          <cell r="AQ223">
            <v>0</v>
          </cell>
          <cell r="AT223">
            <v>0</v>
          </cell>
          <cell r="AU223">
            <v>0</v>
          </cell>
          <cell r="AW223">
            <v>0</v>
          </cell>
          <cell r="BN223">
            <v>0</v>
          </cell>
          <cell r="BO223">
            <v>0</v>
          </cell>
          <cell r="BQ223">
            <v>0</v>
          </cell>
          <cell r="CZ223">
            <v>0</v>
          </cell>
          <cell r="DA223">
            <v>0</v>
          </cell>
          <cell r="DC223">
            <v>0</v>
          </cell>
        </row>
        <row r="224">
          <cell r="H224">
            <v>0</v>
          </cell>
          <cell r="I224">
            <v>0</v>
          </cell>
          <cell r="K224">
            <v>0</v>
          </cell>
          <cell r="O224">
            <v>0</v>
          </cell>
          <cell r="P224">
            <v>6</v>
          </cell>
          <cell r="S224">
            <v>0</v>
          </cell>
          <cell r="T224">
            <v>6</v>
          </cell>
          <cell r="AA224">
            <v>5000</v>
          </cell>
          <cell r="AC224">
            <v>5000</v>
          </cell>
          <cell r="AJ224">
            <v>0</v>
          </cell>
          <cell r="AK224">
            <v>0</v>
          </cell>
          <cell r="AQ224">
            <v>0</v>
          </cell>
          <cell r="AT224">
            <v>0</v>
          </cell>
          <cell r="AU224">
            <v>0</v>
          </cell>
          <cell r="AW224">
            <v>0</v>
          </cell>
          <cell r="BN224">
            <v>0</v>
          </cell>
          <cell r="BO224">
            <v>0</v>
          </cell>
          <cell r="BQ224">
            <v>0</v>
          </cell>
          <cell r="CZ224">
            <v>0</v>
          </cell>
          <cell r="DA224">
            <v>0</v>
          </cell>
          <cell r="DC224">
            <v>0</v>
          </cell>
        </row>
        <row r="225">
          <cell r="H225">
            <v>0</v>
          </cell>
          <cell r="I225">
            <v>0</v>
          </cell>
          <cell r="K225">
            <v>0</v>
          </cell>
          <cell r="O225">
            <v>0</v>
          </cell>
          <cell r="P225">
            <v>6</v>
          </cell>
          <cell r="S225">
            <v>0</v>
          </cell>
          <cell r="T225">
            <v>6</v>
          </cell>
          <cell r="AA225">
            <v>5000</v>
          </cell>
          <cell r="AC225">
            <v>5000</v>
          </cell>
          <cell r="AJ225">
            <v>0</v>
          </cell>
          <cell r="AK225">
            <v>0</v>
          </cell>
          <cell r="AQ225">
            <v>0</v>
          </cell>
          <cell r="AT225">
            <v>0</v>
          </cell>
          <cell r="AU225">
            <v>0</v>
          </cell>
          <cell r="AW225">
            <v>0</v>
          </cell>
          <cell r="BN225">
            <v>0</v>
          </cell>
          <cell r="BO225">
            <v>0</v>
          </cell>
          <cell r="BQ225">
            <v>0</v>
          </cell>
          <cell r="CZ225">
            <v>0</v>
          </cell>
          <cell r="DA225">
            <v>0</v>
          </cell>
          <cell r="DC225">
            <v>0</v>
          </cell>
        </row>
        <row r="226">
          <cell r="H226">
            <v>0</v>
          </cell>
          <cell r="I226">
            <v>0</v>
          </cell>
          <cell r="K226">
            <v>0</v>
          </cell>
          <cell r="O226">
            <v>0</v>
          </cell>
          <cell r="P226">
            <v>3.5</v>
          </cell>
          <cell r="S226">
            <v>0</v>
          </cell>
          <cell r="T226">
            <v>3.5</v>
          </cell>
          <cell r="AA226">
            <v>5000</v>
          </cell>
          <cell r="AC226">
            <v>5000</v>
          </cell>
          <cell r="AJ226">
            <v>0</v>
          </cell>
          <cell r="AK226">
            <v>0</v>
          </cell>
          <cell r="AQ226">
            <v>0</v>
          </cell>
          <cell r="AT226">
            <v>0</v>
          </cell>
          <cell r="AU226">
            <v>0</v>
          </cell>
          <cell r="AW226">
            <v>0</v>
          </cell>
          <cell r="BN226">
            <v>0</v>
          </cell>
          <cell r="BO226">
            <v>0</v>
          </cell>
          <cell r="BQ226">
            <v>0</v>
          </cell>
          <cell r="CZ226">
            <v>0</v>
          </cell>
          <cell r="DA226">
            <v>0</v>
          </cell>
          <cell r="DC226">
            <v>0</v>
          </cell>
        </row>
        <row r="227">
          <cell r="H227">
            <v>0</v>
          </cell>
          <cell r="I227">
            <v>0</v>
          </cell>
          <cell r="K227">
            <v>0</v>
          </cell>
          <cell r="O227">
            <v>0</v>
          </cell>
          <cell r="P227">
            <v>0</v>
          </cell>
          <cell r="S227">
            <v>0</v>
          </cell>
          <cell r="T227">
            <v>0</v>
          </cell>
          <cell r="AA227">
            <v>0</v>
          </cell>
          <cell r="AC227">
            <v>0</v>
          </cell>
          <cell r="AJ227">
            <v>0</v>
          </cell>
          <cell r="AK227">
            <v>0</v>
          </cell>
          <cell r="AQ227">
            <v>0</v>
          </cell>
          <cell r="AT227">
            <v>0</v>
          </cell>
          <cell r="AU227">
            <v>0</v>
          </cell>
          <cell r="AW227">
            <v>0</v>
          </cell>
          <cell r="BN227">
            <v>0</v>
          </cell>
          <cell r="BO227">
            <v>0</v>
          </cell>
          <cell r="BQ227">
            <v>0</v>
          </cell>
          <cell r="CZ227">
            <v>0</v>
          </cell>
          <cell r="DA227">
            <v>0</v>
          </cell>
          <cell r="DC227">
            <v>0</v>
          </cell>
        </row>
        <row r="228">
          <cell r="H228">
            <v>0</v>
          </cell>
          <cell r="I228">
            <v>0</v>
          </cell>
          <cell r="K228">
            <v>0</v>
          </cell>
          <cell r="O228">
            <v>500</v>
          </cell>
          <cell r="P228">
            <v>7.45</v>
          </cell>
          <cell r="S228">
            <v>500</v>
          </cell>
          <cell r="T228">
            <v>7.45</v>
          </cell>
          <cell r="AA228">
            <v>5000</v>
          </cell>
          <cell r="AC228">
            <v>5000</v>
          </cell>
          <cell r="AJ228">
            <v>0</v>
          </cell>
          <cell r="AK228">
            <v>0</v>
          </cell>
          <cell r="AQ228">
            <v>0</v>
          </cell>
          <cell r="AT228">
            <v>0</v>
          </cell>
          <cell r="AU228">
            <v>0</v>
          </cell>
          <cell r="AW228">
            <v>0</v>
          </cell>
          <cell r="BN228">
            <v>0</v>
          </cell>
          <cell r="BO228">
            <v>0</v>
          </cell>
          <cell r="BQ228">
            <v>0</v>
          </cell>
          <cell r="CZ228">
            <v>0</v>
          </cell>
          <cell r="DA228">
            <v>0</v>
          </cell>
          <cell r="DC228">
            <v>0</v>
          </cell>
        </row>
        <row r="229">
          <cell r="H229">
            <v>0</v>
          </cell>
          <cell r="I229">
            <v>0</v>
          </cell>
          <cell r="K229">
            <v>0</v>
          </cell>
          <cell r="O229">
            <v>0</v>
          </cell>
          <cell r="P229">
            <v>8.4499999999999993</v>
          </cell>
          <cell r="S229">
            <v>0</v>
          </cell>
          <cell r="T229">
            <v>8.4499999999999993</v>
          </cell>
          <cell r="AA229">
            <v>5000</v>
          </cell>
          <cell r="AC229">
            <v>5000</v>
          </cell>
          <cell r="AJ229">
            <v>0</v>
          </cell>
          <cell r="AK229">
            <v>0</v>
          </cell>
          <cell r="AQ229">
            <v>0</v>
          </cell>
          <cell r="AT229">
            <v>0</v>
          </cell>
          <cell r="AU229">
            <v>0</v>
          </cell>
          <cell r="AW229">
            <v>0</v>
          </cell>
          <cell r="BN229">
            <v>0</v>
          </cell>
          <cell r="BO229">
            <v>0</v>
          </cell>
          <cell r="BQ229">
            <v>0</v>
          </cell>
          <cell r="CZ229">
            <v>0</v>
          </cell>
          <cell r="DA229">
            <v>0</v>
          </cell>
          <cell r="DC229">
            <v>0</v>
          </cell>
        </row>
        <row r="230">
          <cell r="H230">
            <v>0</v>
          </cell>
          <cell r="I230">
            <v>0</v>
          </cell>
          <cell r="K230">
            <v>0</v>
          </cell>
          <cell r="O230">
            <v>0</v>
          </cell>
          <cell r="P230">
            <v>8.4499999999999993</v>
          </cell>
          <cell r="S230">
            <v>0</v>
          </cell>
          <cell r="T230">
            <v>8.4499999999999993</v>
          </cell>
          <cell r="AA230">
            <v>5000</v>
          </cell>
          <cell r="AC230">
            <v>5000</v>
          </cell>
          <cell r="AJ230">
            <v>0</v>
          </cell>
          <cell r="AK230">
            <v>0</v>
          </cell>
          <cell r="AQ230">
            <v>0</v>
          </cell>
          <cell r="AT230">
            <v>0</v>
          </cell>
          <cell r="AU230">
            <v>0</v>
          </cell>
          <cell r="AW230">
            <v>0</v>
          </cell>
          <cell r="BN230">
            <v>0</v>
          </cell>
          <cell r="BO230">
            <v>0</v>
          </cell>
          <cell r="BQ230">
            <v>0</v>
          </cell>
          <cell r="CZ230">
            <v>0</v>
          </cell>
          <cell r="DA230">
            <v>0</v>
          </cell>
          <cell r="DC230">
            <v>0</v>
          </cell>
        </row>
        <row r="231">
          <cell r="H231">
            <v>0</v>
          </cell>
          <cell r="I231">
            <v>0</v>
          </cell>
          <cell r="K231">
            <v>0</v>
          </cell>
          <cell r="O231">
            <v>0</v>
          </cell>
          <cell r="P231">
            <v>5.95</v>
          </cell>
          <cell r="S231">
            <v>0</v>
          </cell>
          <cell r="T231">
            <v>5.95</v>
          </cell>
          <cell r="AA231">
            <v>5000</v>
          </cell>
          <cell r="AC231">
            <v>5000</v>
          </cell>
          <cell r="AJ231">
            <v>0</v>
          </cell>
          <cell r="AK231">
            <v>0</v>
          </cell>
          <cell r="AQ231">
            <v>0</v>
          </cell>
          <cell r="AT231">
            <v>0</v>
          </cell>
          <cell r="AU231">
            <v>0</v>
          </cell>
          <cell r="AW231">
            <v>0</v>
          </cell>
          <cell r="BN231">
            <v>0</v>
          </cell>
          <cell r="BO231">
            <v>0</v>
          </cell>
          <cell r="BQ231">
            <v>0</v>
          </cell>
          <cell r="CZ231">
            <v>0</v>
          </cell>
          <cell r="DA231">
            <v>0</v>
          </cell>
          <cell r="DC231">
            <v>0</v>
          </cell>
        </row>
        <row r="232">
          <cell r="H232">
            <v>35</v>
          </cell>
          <cell r="I232">
            <v>2676.415</v>
          </cell>
          <cell r="K232">
            <v>1495.4519178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AA232">
            <v>0</v>
          </cell>
          <cell r="AC232">
            <v>0</v>
          </cell>
          <cell r="AJ232">
            <v>35</v>
          </cell>
          <cell r="AK232">
            <v>2676.415</v>
          </cell>
          <cell r="AQ232">
            <v>1525.3609561559997</v>
          </cell>
          <cell r="AT232">
            <v>461.68158750000003</v>
          </cell>
          <cell r="AU232">
            <v>960.97740237827986</v>
          </cell>
          <cell r="AW232">
            <v>0.21</v>
          </cell>
          <cell r="BN232">
            <v>461.68158750000003</v>
          </cell>
          <cell r="BO232">
            <v>960.97740237827986</v>
          </cell>
          <cell r="BQ232">
            <v>0.21</v>
          </cell>
          <cell r="CZ232">
            <v>439.23873255208332</v>
          </cell>
          <cell r="DA232">
            <v>942.13470821399983</v>
          </cell>
          <cell r="DC232">
            <v>0.20100000000000001</v>
          </cell>
        </row>
        <row r="233">
          <cell r="H233">
            <v>35</v>
          </cell>
          <cell r="I233">
            <v>2676.415</v>
          </cell>
          <cell r="K233">
            <v>1495.4519178</v>
          </cell>
          <cell r="O233">
            <v>300</v>
          </cell>
          <cell r="P233">
            <v>6.3</v>
          </cell>
          <cell r="S233">
            <v>300</v>
          </cell>
          <cell r="T233">
            <v>6.3</v>
          </cell>
          <cell r="AA233">
            <v>5000</v>
          </cell>
          <cell r="AC233">
            <v>5000</v>
          </cell>
          <cell r="AJ233">
            <v>35</v>
          </cell>
          <cell r="AK233">
            <v>2676.415</v>
          </cell>
          <cell r="AQ233">
            <v>1525.3609561559997</v>
          </cell>
          <cell r="AT233">
            <v>461.68158750000003</v>
          </cell>
          <cell r="AU233">
            <v>960.97740237827986</v>
          </cell>
          <cell r="AW233">
            <v>0.21</v>
          </cell>
          <cell r="BN233">
            <v>461.68158750000003</v>
          </cell>
          <cell r="BO233">
            <v>960.97740237827986</v>
          </cell>
          <cell r="BQ233">
            <v>0.21</v>
          </cell>
          <cell r="CZ233">
            <v>439.23873255208332</v>
          </cell>
          <cell r="DA233">
            <v>942.13470821399983</v>
          </cell>
          <cell r="DC233">
            <v>0.20100000000000001</v>
          </cell>
        </row>
        <row r="234">
          <cell r="H234">
            <v>0</v>
          </cell>
          <cell r="I234">
            <v>0</v>
          </cell>
          <cell r="K234">
            <v>0</v>
          </cell>
          <cell r="O234">
            <v>300</v>
          </cell>
          <cell r="P234">
            <v>6.3</v>
          </cell>
          <cell r="S234">
            <v>275</v>
          </cell>
          <cell r="T234">
            <v>6.3</v>
          </cell>
          <cell r="AA234">
            <v>5000</v>
          </cell>
          <cell r="AC234">
            <v>5000</v>
          </cell>
          <cell r="AJ234">
            <v>0</v>
          </cell>
          <cell r="AK234">
            <v>0</v>
          </cell>
          <cell r="AQ234">
            <v>0</v>
          </cell>
          <cell r="AT234">
            <v>0</v>
          </cell>
          <cell r="AU234">
            <v>0</v>
          </cell>
          <cell r="AW234">
            <v>0</v>
          </cell>
          <cell r="BN234">
            <v>0</v>
          </cell>
          <cell r="BO234">
            <v>0</v>
          </cell>
          <cell r="BQ234">
            <v>0</v>
          </cell>
          <cell r="CZ234">
            <v>0</v>
          </cell>
          <cell r="DA234">
            <v>0</v>
          </cell>
          <cell r="DC234">
            <v>0</v>
          </cell>
        </row>
        <row r="235">
          <cell r="H235">
            <v>14</v>
          </cell>
          <cell r="I235">
            <v>203.5</v>
          </cell>
          <cell r="K235">
            <v>641.87810260874801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AA235">
            <v>0</v>
          </cell>
          <cell r="AC235">
            <v>0</v>
          </cell>
          <cell r="AJ235">
            <v>14</v>
          </cell>
          <cell r="AK235">
            <v>203.5</v>
          </cell>
          <cell r="AQ235">
            <v>680.75377750250368</v>
          </cell>
          <cell r="AT235">
            <v>97.68</v>
          </cell>
          <cell r="AU235">
            <v>343.78065763876435</v>
          </cell>
          <cell r="AW235">
            <v>8.4000000000000005E-2</v>
          </cell>
          <cell r="BN235">
            <v>97.68</v>
          </cell>
          <cell r="BO235">
            <v>343.78065763876435</v>
          </cell>
          <cell r="BQ235">
            <v>8.4000000000000005E-2</v>
          </cell>
          <cell r="CZ235">
            <v>94.831000000000003</v>
          </cell>
          <cell r="DA235">
            <v>324.14844181741773</v>
          </cell>
          <cell r="DC235">
            <v>8.1000000000000003E-2</v>
          </cell>
        </row>
        <row r="236">
          <cell r="H236">
            <v>14</v>
          </cell>
          <cell r="I236">
            <v>203.5</v>
          </cell>
          <cell r="K236">
            <v>641.87810260874801</v>
          </cell>
          <cell r="O236">
            <v>500</v>
          </cell>
          <cell r="P236">
            <v>5.05</v>
          </cell>
          <cell r="S236">
            <v>500</v>
          </cell>
          <cell r="T236">
            <v>5.05</v>
          </cell>
          <cell r="AA236">
            <v>5000</v>
          </cell>
          <cell r="AC236">
            <v>5000</v>
          </cell>
          <cell r="AJ236">
            <v>14</v>
          </cell>
          <cell r="AK236">
            <v>203.5</v>
          </cell>
          <cell r="AQ236">
            <v>680.75377750250368</v>
          </cell>
          <cell r="AT236">
            <v>97.68</v>
          </cell>
          <cell r="AU236">
            <v>343.78065763876435</v>
          </cell>
          <cell r="AW236">
            <v>8.4000000000000005E-2</v>
          </cell>
          <cell r="BN236">
            <v>97.68</v>
          </cell>
          <cell r="BO236">
            <v>343.78065763876435</v>
          </cell>
          <cell r="BQ236">
            <v>8.4000000000000005E-2</v>
          </cell>
          <cell r="CZ236">
            <v>94.831000000000003</v>
          </cell>
          <cell r="DA236">
            <v>324.14844181741773</v>
          </cell>
          <cell r="DC236">
            <v>8.1000000000000003E-2</v>
          </cell>
        </row>
        <row r="237">
          <cell r="H237">
            <v>0</v>
          </cell>
          <cell r="I237">
            <v>0</v>
          </cell>
          <cell r="K237">
            <v>0</v>
          </cell>
          <cell r="O237">
            <v>0</v>
          </cell>
          <cell r="P237">
            <v>0</v>
          </cell>
          <cell r="S237">
            <v>0</v>
          </cell>
          <cell r="T237">
            <v>0</v>
          </cell>
          <cell r="AA237">
            <v>5000</v>
          </cell>
          <cell r="AC237">
            <v>5000</v>
          </cell>
          <cell r="AJ237">
            <v>0</v>
          </cell>
          <cell r="AK237">
            <v>0</v>
          </cell>
          <cell r="AQ237">
            <v>0</v>
          </cell>
          <cell r="AT237">
            <v>0</v>
          </cell>
          <cell r="AU237">
            <v>0</v>
          </cell>
          <cell r="AW237">
            <v>0</v>
          </cell>
          <cell r="BN237">
            <v>0</v>
          </cell>
          <cell r="BO237">
            <v>0</v>
          </cell>
          <cell r="BQ237">
            <v>0</v>
          </cell>
          <cell r="CZ237">
            <v>0</v>
          </cell>
          <cell r="DA237">
            <v>0</v>
          </cell>
          <cell r="DC237">
            <v>0</v>
          </cell>
        </row>
        <row r="238">
          <cell r="H238">
            <v>0</v>
          </cell>
          <cell r="I238">
            <v>0</v>
          </cell>
          <cell r="K238">
            <v>0</v>
          </cell>
          <cell r="O238">
            <v>500</v>
          </cell>
          <cell r="P238">
            <v>4.95</v>
          </cell>
          <cell r="S238">
            <v>500</v>
          </cell>
          <cell r="T238">
            <v>4.95</v>
          </cell>
          <cell r="AA238">
            <v>5000</v>
          </cell>
          <cell r="AC238">
            <v>5000</v>
          </cell>
          <cell r="AJ238">
            <v>0</v>
          </cell>
          <cell r="AK238">
            <v>0</v>
          </cell>
          <cell r="AQ238">
            <v>0</v>
          </cell>
          <cell r="AT238">
            <v>0</v>
          </cell>
          <cell r="AU238">
            <v>0</v>
          </cell>
          <cell r="AW238">
            <v>0</v>
          </cell>
          <cell r="BN238">
            <v>0</v>
          </cell>
          <cell r="BO238">
            <v>0</v>
          </cell>
          <cell r="BQ238">
            <v>0</v>
          </cell>
          <cell r="CZ238">
            <v>0</v>
          </cell>
          <cell r="DA238">
            <v>0</v>
          </cell>
          <cell r="DC238">
            <v>0</v>
          </cell>
        </row>
        <row r="239">
          <cell r="H239">
            <v>0</v>
          </cell>
          <cell r="I239">
            <v>0</v>
          </cell>
          <cell r="K239">
            <v>0</v>
          </cell>
          <cell r="O239">
            <v>500</v>
          </cell>
          <cell r="P239">
            <v>4.95</v>
          </cell>
          <cell r="S239">
            <v>500</v>
          </cell>
          <cell r="T239">
            <v>4.95</v>
          </cell>
          <cell r="AA239">
            <v>5000</v>
          </cell>
          <cell r="AC239">
            <v>5000</v>
          </cell>
          <cell r="AJ239">
            <v>0</v>
          </cell>
          <cell r="AK239">
            <v>0</v>
          </cell>
          <cell r="AQ239">
            <v>0</v>
          </cell>
          <cell r="AT239">
            <v>0</v>
          </cell>
          <cell r="AU239">
            <v>0</v>
          </cell>
          <cell r="AW239">
            <v>0</v>
          </cell>
          <cell r="BN239">
            <v>0</v>
          </cell>
          <cell r="BO239">
            <v>0</v>
          </cell>
          <cell r="BQ239">
            <v>0</v>
          </cell>
          <cell r="CZ239">
            <v>0</v>
          </cell>
          <cell r="DA239">
            <v>0</v>
          </cell>
          <cell r="DC239">
            <v>0</v>
          </cell>
        </row>
        <row r="240">
          <cell r="H240">
            <v>2</v>
          </cell>
          <cell r="I240">
            <v>30</v>
          </cell>
          <cell r="K240">
            <v>66.945765103448267</v>
          </cell>
          <cell r="O240">
            <v>285</v>
          </cell>
          <cell r="P240">
            <v>7.3</v>
          </cell>
          <cell r="S240">
            <v>285</v>
          </cell>
          <cell r="T240">
            <v>7.3</v>
          </cell>
          <cell r="AA240">
            <v>5000</v>
          </cell>
          <cell r="AC240">
            <v>5000</v>
          </cell>
          <cell r="AJ240">
            <v>2</v>
          </cell>
          <cell r="AK240">
            <v>30</v>
          </cell>
          <cell r="AQ240">
            <v>66.945765103448267</v>
          </cell>
          <cell r="AT240">
            <v>8.2080000000000002</v>
          </cell>
          <cell r="AU240">
            <v>48.870408525517234</v>
          </cell>
          <cell r="AW240">
            <v>1.2E-2</v>
          </cell>
          <cell r="BN240">
            <v>8.2080000000000002</v>
          </cell>
          <cell r="BO240">
            <v>48.870408525517234</v>
          </cell>
          <cell r="BQ240">
            <v>1.2E-2</v>
          </cell>
          <cell r="CZ240">
            <v>7.7880000000000003</v>
          </cell>
          <cell r="DA240">
            <v>48.870408525517234</v>
          </cell>
          <cell r="DC240">
            <v>1.2E-2</v>
          </cell>
        </row>
        <row r="241">
          <cell r="H241">
            <v>0</v>
          </cell>
          <cell r="I241">
            <v>0</v>
          </cell>
          <cell r="K241">
            <v>0</v>
          </cell>
          <cell r="O241">
            <v>500</v>
          </cell>
          <cell r="P241">
            <v>10.8</v>
          </cell>
          <cell r="S241">
            <v>500</v>
          </cell>
          <cell r="T241">
            <v>10.8</v>
          </cell>
          <cell r="AA241">
            <v>5000</v>
          </cell>
          <cell r="AC241">
            <v>5000</v>
          </cell>
          <cell r="AJ241">
            <v>0</v>
          </cell>
          <cell r="AK241">
            <v>0</v>
          </cell>
          <cell r="AQ241">
            <v>0</v>
          </cell>
          <cell r="AT241">
            <v>0</v>
          </cell>
          <cell r="AU241">
            <v>0</v>
          </cell>
          <cell r="AW241">
            <v>0</v>
          </cell>
          <cell r="BN241">
            <v>0</v>
          </cell>
          <cell r="BO241">
            <v>0</v>
          </cell>
          <cell r="BQ241">
            <v>0</v>
          </cell>
          <cell r="CZ241">
            <v>0</v>
          </cell>
          <cell r="DA241">
            <v>0</v>
          </cell>
          <cell r="DC241">
            <v>6.0000000000000001E-3</v>
          </cell>
        </row>
        <row r="242">
          <cell r="H242">
            <v>1</v>
          </cell>
          <cell r="I242">
            <v>5.3079999999999998</v>
          </cell>
          <cell r="K242">
            <v>28.955158336102667</v>
          </cell>
          <cell r="O242">
            <v>0</v>
          </cell>
          <cell r="P242">
            <v>0</v>
          </cell>
          <cell r="S242">
            <v>0</v>
          </cell>
          <cell r="T242">
            <v>0</v>
          </cell>
          <cell r="AA242">
            <v>0</v>
          </cell>
          <cell r="AC242">
            <v>0</v>
          </cell>
          <cell r="AJ242">
            <v>1</v>
          </cell>
          <cell r="AK242">
            <v>5.3079999999999998</v>
          </cell>
          <cell r="AQ242">
            <v>29.878563282553817</v>
          </cell>
          <cell r="AT242">
            <v>0</v>
          </cell>
          <cell r="AU242">
            <v>18.225923602357827</v>
          </cell>
          <cell r="AW242">
            <v>6.0000000000000001E-3</v>
          </cell>
          <cell r="BN242">
            <v>0</v>
          </cell>
          <cell r="BO242">
            <v>18.225923602357827</v>
          </cell>
          <cell r="BQ242">
            <v>6.0000000000000001E-3</v>
          </cell>
          <cell r="CZ242">
            <v>0</v>
          </cell>
          <cell r="DA242">
            <v>17.662646585022628</v>
          </cell>
          <cell r="DC242">
            <v>6.0000000000000001E-3</v>
          </cell>
        </row>
        <row r="243">
          <cell r="H243">
            <v>1</v>
          </cell>
          <cell r="I243">
            <v>5.3079999999999998</v>
          </cell>
          <cell r="K243">
            <v>28.955158336102667</v>
          </cell>
          <cell r="O243">
            <v>0</v>
          </cell>
          <cell r="P243">
            <v>6.1</v>
          </cell>
          <cell r="S243">
            <v>0</v>
          </cell>
          <cell r="T243">
            <v>6.1</v>
          </cell>
          <cell r="AA243">
            <v>5000</v>
          </cell>
          <cell r="AC243">
            <v>5000</v>
          </cell>
          <cell r="AJ243">
            <v>1</v>
          </cell>
          <cell r="AK243">
            <v>5.3079999999999998</v>
          </cell>
          <cell r="AQ243">
            <v>29.878563282553817</v>
          </cell>
          <cell r="AT243">
            <v>0</v>
          </cell>
          <cell r="AU243">
            <v>18.225923602357827</v>
          </cell>
          <cell r="AW243">
            <v>6.0000000000000001E-3</v>
          </cell>
          <cell r="BN243">
            <v>0</v>
          </cell>
          <cell r="BO243">
            <v>18.225923602357827</v>
          </cell>
          <cell r="BQ243">
            <v>6.0000000000000001E-3</v>
          </cell>
          <cell r="CZ243">
            <v>0</v>
          </cell>
          <cell r="DA243">
            <v>17.662646585022628</v>
          </cell>
          <cell r="DC243">
            <v>6.0000000000000001E-3</v>
          </cell>
        </row>
        <row r="244">
          <cell r="H244">
            <v>0</v>
          </cell>
          <cell r="I244">
            <v>0</v>
          </cell>
          <cell r="K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AA244">
            <v>5000</v>
          </cell>
          <cell r="AC244">
            <v>5000</v>
          </cell>
          <cell r="AJ244">
            <v>0</v>
          </cell>
          <cell r="AK244">
            <v>0</v>
          </cell>
          <cell r="AQ244">
            <v>0</v>
          </cell>
          <cell r="AT244">
            <v>0</v>
          </cell>
          <cell r="AU244">
            <v>0</v>
          </cell>
          <cell r="AW244">
            <v>0</v>
          </cell>
          <cell r="BN244">
            <v>0</v>
          </cell>
          <cell r="BO244">
            <v>0</v>
          </cell>
          <cell r="BQ244">
            <v>0</v>
          </cell>
          <cell r="CZ244">
            <v>0</v>
          </cell>
          <cell r="DA244">
            <v>0</v>
          </cell>
          <cell r="DC2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0"/>
  <sheetViews>
    <sheetView showGridLines="0" topLeftCell="B4" workbookViewId="0">
      <selection activeCell="K17" sqref="K17"/>
    </sheetView>
  </sheetViews>
  <sheetFormatPr defaultColWidth="9.33203125" defaultRowHeight="13.8" x14ac:dyDescent="0.25"/>
  <cols>
    <col min="1" max="16384" width="9.33203125" style="61"/>
  </cols>
  <sheetData>
    <row r="10" spans="3:3" ht="22.8" x14ac:dyDescent="0.25">
      <c r="C10" s="65" t="s">
        <v>1232</v>
      </c>
    </row>
  </sheetData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Q41"/>
  <sheetViews>
    <sheetView showGridLines="0" topLeftCell="B31" workbookViewId="0">
      <selection activeCell="K17" sqref="K17"/>
    </sheetView>
  </sheetViews>
  <sheetFormatPr defaultColWidth="9.109375" defaultRowHeight="13.8" x14ac:dyDescent="0.25"/>
  <cols>
    <col min="1" max="1" width="0" style="61" hidden="1" customWidth="1"/>
    <col min="2" max="2" width="7.44140625" style="61" customWidth="1"/>
    <col min="3" max="3" width="47" style="61" customWidth="1"/>
    <col min="4" max="4" width="11.6640625" style="338" customWidth="1"/>
    <col min="5" max="5" width="13.88671875" style="61" hidden="1" customWidth="1"/>
    <col min="6" max="6" width="12.5546875" style="61" hidden="1" customWidth="1"/>
    <col min="7" max="7" width="14.88671875" style="61" hidden="1" customWidth="1"/>
    <col min="8" max="8" width="12.5546875" style="61" hidden="1" customWidth="1"/>
    <col min="9" max="9" width="11.88671875" style="61" hidden="1" customWidth="1"/>
    <col min="10" max="10" width="13.88671875" style="61" hidden="1" customWidth="1"/>
    <col min="11" max="11" width="11.88671875" style="61" hidden="1" customWidth="1"/>
    <col min="12" max="12" width="18.6640625" style="61" customWidth="1"/>
    <col min="13" max="14" width="11.88671875" style="61" hidden="1" customWidth="1"/>
    <col min="15" max="15" width="12.44140625" style="61" hidden="1" customWidth="1"/>
    <col min="16" max="16" width="12.88671875" style="61" hidden="1" customWidth="1"/>
    <col min="17" max="16384" width="9.109375" style="61"/>
  </cols>
  <sheetData>
    <row r="2" spans="2:17" x14ac:dyDescent="0.25">
      <c r="C2" s="515" t="s">
        <v>160</v>
      </c>
      <c r="H2" s="23" t="s">
        <v>296</v>
      </c>
    </row>
    <row r="3" spans="2:17" x14ac:dyDescent="0.25">
      <c r="C3" s="516" t="s">
        <v>297</v>
      </c>
      <c r="H3" s="25" t="s">
        <v>297</v>
      </c>
    </row>
    <row r="5" spans="2:17" hidden="1" x14ac:dyDescent="0.25">
      <c r="B5" s="789" t="s">
        <v>4</v>
      </c>
      <c r="C5" s="762" t="s">
        <v>5</v>
      </c>
      <c r="D5" s="758" t="s">
        <v>298</v>
      </c>
      <c r="E5" s="755" t="s">
        <v>299</v>
      </c>
      <c r="F5" s="756"/>
      <c r="G5" s="757"/>
      <c r="H5" s="755" t="s">
        <v>300</v>
      </c>
      <c r="I5" s="756"/>
      <c r="J5" s="756"/>
      <c r="K5" s="756"/>
      <c r="L5" s="768" t="s">
        <v>9</v>
      </c>
      <c r="M5" s="768"/>
      <c r="N5" s="768"/>
      <c r="O5" s="768"/>
      <c r="P5" s="768"/>
    </row>
    <row r="6" spans="2:17" ht="27.6" x14ac:dyDescent="0.25">
      <c r="B6" s="790"/>
      <c r="C6" s="764"/>
      <c r="D6" s="792"/>
      <c r="E6" s="7" t="s">
        <v>10</v>
      </c>
      <c r="F6" s="7" t="s">
        <v>11</v>
      </c>
      <c r="G6" s="7" t="s">
        <v>12</v>
      </c>
      <c r="H6" s="7" t="s">
        <v>10</v>
      </c>
      <c r="I6" s="7" t="s">
        <v>13</v>
      </c>
      <c r="J6" s="7" t="s">
        <v>14</v>
      </c>
      <c r="K6" s="7" t="s">
        <v>15</v>
      </c>
      <c r="L6" s="7" t="s">
        <v>1233</v>
      </c>
      <c r="M6" s="7" t="s">
        <v>301</v>
      </c>
      <c r="N6" s="7" t="s">
        <v>302</v>
      </c>
      <c r="O6" s="7" t="s">
        <v>303</v>
      </c>
      <c r="P6" s="7" t="s">
        <v>304</v>
      </c>
    </row>
    <row r="7" spans="2:17" x14ac:dyDescent="0.25">
      <c r="B7" s="791"/>
      <c r="C7" s="766"/>
      <c r="D7" s="793"/>
      <c r="E7" s="7" t="s">
        <v>21</v>
      </c>
      <c r="F7" s="7" t="s">
        <v>22</v>
      </c>
      <c r="G7" s="7" t="s">
        <v>23</v>
      </c>
      <c r="H7" s="7" t="s">
        <v>21</v>
      </c>
      <c r="I7" s="7" t="s">
        <v>24</v>
      </c>
      <c r="J7" s="7" t="s">
        <v>25</v>
      </c>
      <c r="K7" s="7" t="s">
        <v>25</v>
      </c>
      <c r="L7" s="7" t="s">
        <v>26</v>
      </c>
      <c r="M7" s="7" t="s">
        <v>26</v>
      </c>
      <c r="N7" s="7" t="s">
        <v>26</v>
      </c>
      <c r="O7" s="7" t="s">
        <v>26</v>
      </c>
      <c r="P7" s="7" t="s">
        <v>26</v>
      </c>
    </row>
    <row r="8" spans="2:17" x14ac:dyDescent="0.25">
      <c r="B8" s="63">
        <v>1</v>
      </c>
      <c r="C8" s="344" t="s">
        <v>305</v>
      </c>
      <c r="D8" s="63" t="s">
        <v>306</v>
      </c>
      <c r="E8" s="18"/>
      <c r="F8" s="91">
        <f>'F7'!Q7</f>
        <v>0</v>
      </c>
      <c r="G8" s="90">
        <f>F8-E8</f>
        <v>0</v>
      </c>
      <c r="H8" s="91">
        <v>8004.22</v>
      </c>
      <c r="I8" s="91">
        <f>SUM('F7'!E44:J44)</f>
        <v>3102.0619402911398</v>
      </c>
      <c r="J8" s="91">
        <f>SUM('F7'!K44:P44)</f>
        <v>4234.6510267180593</v>
      </c>
      <c r="K8" s="90">
        <f>'F7'!Q44</f>
        <v>7336.7129670091999</v>
      </c>
      <c r="L8" s="342">
        <f>'F7'!Q81</f>
        <v>5079.5948999999982</v>
      </c>
      <c r="M8" s="342">
        <f>'F7'!Q118</f>
        <v>4173.6430017932471</v>
      </c>
      <c r="N8" s="342">
        <f>'F7'!Q155</f>
        <v>4196.6081117932472</v>
      </c>
      <c r="O8" s="342">
        <f>'F7'!Q192</f>
        <v>4196.6081117932472</v>
      </c>
      <c r="P8" s="342">
        <f>'F7'!Q229</f>
        <v>4196.6081117932472</v>
      </c>
    </row>
    <row r="9" spans="2:17" x14ac:dyDescent="0.25">
      <c r="B9" s="63">
        <f t="shared" ref="B9:B16" si="0">B8+1</f>
        <v>2</v>
      </c>
      <c r="C9" s="344" t="s">
        <v>307</v>
      </c>
      <c r="D9" s="63" t="s">
        <v>308</v>
      </c>
      <c r="E9" s="18"/>
      <c r="F9" s="91">
        <f>'F7'!Q8</f>
        <v>0</v>
      </c>
      <c r="G9" s="90">
        <f>F9-E9</f>
        <v>0</v>
      </c>
      <c r="H9" s="155">
        <f>H10/H8</f>
        <v>4.0200187985314773E-2</v>
      </c>
      <c r="I9" s="340">
        <f>SUM('F7'!E46:J46)/SUM('F7'!E44:J44)</f>
        <v>3.5290574898102424E-2</v>
      </c>
      <c r="J9" s="340">
        <f>SUM('F7'!K46:P46)/SUM('F7'!K44:P44)</f>
        <v>3.9183333333333327E-2</v>
      </c>
      <c r="K9" s="339">
        <f>'F7'!Q45</f>
        <v>3.7537422168622783E-2</v>
      </c>
      <c r="L9" s="154">
        <f>'F7'!Q82</f>
        <v>3.5400000000000001E-2</v>
      </c>
      <c r="M9" s="154">
        <f>'F7'!Q119</f>
        <v>3.5787855671438051E-2</v>
      </c>
      <c r="N9" s="154">
        <f>'F7'!Q156</f>
        <v>3.5773694141798984E-2</v>
      </c>
      <c r="O9" s="154">
        <f>'F7'!Q193</f>
        <v>3.5773694141798984E-2</v>
      </c>
      <c r="P9" s="154">
        <f>'F7'!Q230</f>
        <v>3.5773694141798984E-2</v>
      </c>
      <c r="Q9" s="156"/>
    </row>
    <row r="10" spans="2:17" x14ac:dyDescent="0.25">
      <c r="B10" s="63">
        <f t="shared" si="0"/>
        <v>3</v>
      </c>
      <c r="C10" s="344" t="s">
        <v>307</v>
      </c>
      <c r="D10" s="63" t="s">
        <v>306</v>
      </c>
      <c r="E10" s="18"/>
      <c r="F10" s="91">
        <f>'F7'!Q9</f>
        <v>0</v>
      </c>
      <c r="G10" s="90">
        <f>F10-E10</f>
        <v>0</v>
      </c>
      <c r="H10" s="91">
        <f>'[16]Losses &amp; PP Requirement'!$D$34</f>
        <v>321.77114867581622</v>
      </c>
      <c r="I10" s="91">
        <f>SUM('F7'!E46:J46)</f>
        <v>109.4735492423974</v>
      </c>
      <c r="J10" s="91">
        <f>SUM('F7'!K46:P46)</f>
        <v>165.92774273023593</v>
      </c>
      <c r="K10" s="90">
        <f>'F7'!Q46</f>
        <v>275.40129197263337</v>
      </c>
      <c r="L10" s="342">
        <f>'F7'!Q83</f>
        <v>179.81765945999996</v>
      </c>
      <c r="M10" s="342">
        <f>'F7'!Q120</f>
        <v>149.36573337228418</v>
      </c>
      <c r="N10" s="342">
        <f>'F7'!Q157</f>
        <v>150.12817502428419</v>
      </c>
      <c r="O10" s="342">
        <f>'F7'!Q194</f>
        <v>150.12817502428419</v>
      </c>
      <c r="P10" s="342">
        <f>'F7'!Q231</f>
        <v>150.12817502428419</v>
      </c>
    </row>
    <row r="11" spans="2:17" ht="27.6" x14ac:dyDescent="0.25">
      <c r="B11" s="63">
        <f t="shared" si="0"/>
        <v>4</v>
      </c>
      <c r="C11" s="345" t="s">
        <v>309</v>
      </c>
      <c r="D11" s="63" t="s">
        <v>306</v>
      </c>
      <c r="E11" s="18"/>
      <c r="F11" s="91">
        <f>'F7'!Q10</f>
        <v>0</v>
      </c>
      <c r="G11" s="90">
        <f>G8-G10</f>
        <v>0</v>
      </c>
      <c r="H11" s="91">
        <f>H8-H10</f>
        <v>7682.448851324184</v>
      </c>
      <c r="I11" s="91">
        <f>SUM('F7'!E47:J47)</f>
        <v>2992.5883910487419</v>
      </c>
      <c r="J11" s="91">
        <f>SUM('F7'!K47:P47)</f>
        <v>4068.7232839878234</v>
      </c>
      <c r="K11" s="90">
        <f>'F7'!Q47</f>
        <v>7061.3116750365652</v>
      </c>
      <c r="L11" s="342">
        <f>'F7'!Q84</f>
        <v>4899.7772405399983</v>
      </c>
      <c r="M11" s="342">
        <f>'F7'!Q121</f>
        <v>4024.2772684209626</v>
      </c>
      <c r="N11" s="342">
        <f>'F7'!Q158</f>
        <v>4046.4799367689625</v>
      </c>
      <c r="O11" s="342">
        <f>'F7'!Q195</f>
        <v>4046.4799367689625</v>
      </c>
      <c r="P11" s="342">
        <f>'F7'!Q232</f>
        <v>4046.4799367689625</v>
      </c>
    </row>
    <row r="12" spans="2:17" ht="27.6" x14ac:dyDescent="0.25">
      <c r="B12" s="63">
        <f t="shared" si="0"/>
        <v>5</v>
      </c>
      <c r="C12" s="345" t="s">
        <v>310</v>
      </c>
      <c r="D12" s="63" t="s">
        <v>306</v>
      </c>
      <c r="E12" s="18"/>
      <c r="F12" s="91">
        <f>'F7'!Q11</f>
        <v>0</v>
      </c>
      <c r="G12" s="90">
        <f>F12-E12</f>
        <v>0</v>
      </c>
      <c r="H12" s="91">
        <f>'[16]Losses &amp; PP Requirement'!$D$41-H8</f>
        <v>16068.399999999998</v>
      </c>
      <c r="I12" s="91">
        <f>SUM('F7'!E48:J48)</f>
        <v>7485.6639664818886</v>
      </c>
      <c r="J12" s="91">
        <f>SUM('F7'!K48:P48)</f>
        <v>8774.2620123417928</v>
      </c>
      <c r="K12" s="90">
        <f>'F7'!Q48</f>
        <v>16259.92597882368</v>
      </c>
      <c r="L12" s="342">
        <f>'F7'!Q85</f>
        <v>22063.233083273262</v>
      </c>
      <c r="M12" s="342">
        <f>'F7'!Q122</f>
        <v>20022.94598844579</v>
      </c>
      <c r="N12" s="342">
        <f>'F7'!Q159</f>
        <v>20979.75375999785</v>
      </c>
      <c r="O12" s="342">
        <f>'F7'!Q196</f>
        <v>22130.30604637873</v>
      </c>
      <c r="P12" s="342">
        <f>'F7'!Q233</f>
        <v>23271.86893495559</v>
      </c>
    </row>
    <row r="13" spans="2:17" x14ac:dyDescent="0.25">
      <c r="B13" s="63">
        <f t="shared" si="0"/>
        <v>6</v>
      </c>
      <c r="C13" s="344" t="s">
        <v>311</v>
      </c>
      <c r="D13" s="63" t="s">
        <v>306</v>
      </c>
      <c r="E13" s="18"/>
      <c r="F13" s="91">
        <f>'F7'!Q12</f>
        <v>2912.7386265029195</v>
      </c>
      <c r="G13" s="90">
        <f>F13-E13</f>
        <v>2912.7386265029195</v>
      </c>
      <c r="H13" s="91">
        <f>'[16]Losses &amp; PP Requirement'!$D$25</f>
        <v>4086.03</v>
      </c>
      <c r="I13" s="91">
        <f>SUM('F7'!E49:J49)</f>
        <v>1336.41317721</v>
      </c>
      <c r="J13" s="91">
        <f>SUM('F7'!K49:P49)</f>
        <v>1831.3185668417836</v>
      </c>
      <c r="K13" s="90">
        <f>'F7'!Q49</f>
        <v>3167.7317440517836</v>
      </c>
      <c r="L13" s="342">
        <f>'F7'!Q86</f>
        <v>2955.5084318268446</v>
      </c>
      <c r="M13" s="342">
        <f>'F7'!Q123</f>
        <v>2810.1810043938285</v>
      </c>
      <c r="N13" s="342">
        <f>'F7'!Q160</f>
        <v>2978.1987067403402</v>
      </c>
      <c r="O13" s="342">
        <f>'F7'!Q197</f>
        <v>3120.556692223769</v>
      </c>
      <c r="P13" s="342">
        <f>'F7'!Q234</f>
        <v>3260.215247129775</v>
      </c>
    </row>
    <row r="14" spans="2:17" x14ac:dyDescent="0.25">
      <c r="B14" s="63">
        <f t="shared" si="0"/>
        <v>7</v>
      </c>
      <c r="C14" s="344" t="s">
        <v>312</v>
      </c>
      <c r="D14" s="63" t="s">
        <v>308</v>
      </c>
      <c r="E14" s="18"/>
      <c r="F14" s="91">
        <f>'F7'!Q13</f>
        <v>0</v>
      </c>
      <c r="G14" s="90">
        <f>F14-E14</f>
        <v>0</v>
      </c>
      <c r="H14" s="155">
        <f>H15/(H11+H12)</f>
        <v>2.5000000000000085E-2</v>
      </c>
      <c r="I14" s="340">
        <f>SUM('F7'!E51:J51)/(SUM('F7'!E47:J47)+SUM('F7'!E48:J48))</f>
        <v>2.2879195266574327E-2</v>
      </c>
      <c r="J14" s="340">
        <f>SUM('F7'!K51:P51)/(SUM('F7'!K47:P47)+SUM('F7'!K48:P48))</f>
        <v>2.4999999999999994E-2</v>
      </c>
      <c r="K14" s="339">
        <f>'F7'!Q50</f>
        <v>2.4047120589065253E-2</v>
      </c>
      <c r="L14" s="349">
        <f>'F7'!Q87</f>
        <v>2.4599999999999844E-2</v>
      </c>
      <c r="M14" s="349">
        <f>'F7'!Q124</f>
        <v>2.460000000000007E-2</v>
      </c>
      <c r="N14" s="349">
        <f>'F7'!Q161</f>
        <v>2.4399999999999974E-2</v>
      </c>
      <c r="O14" s="349">
        <f>'F7'!Q198</f>
        <v>2.4199999999999996E-2</v>
      </c>
      <c r="P14" s="349">
        <f>'F7'!Q235</f>
        <v>2.3999999999999914E-2</v>
      </c>
      <c r="Q14" s="348"/>
    </row>
    <row r="15" spans="2:17" x14ac:dyDescent="0.25">
      <c r="B15" s="63">
        <f t="shared" si="0"/>
        <v>8</v>
      </c>
      <c r="C15" s="344" t="s">
        <v>312</v>
      </c>
      <c r="D15" s="63" t="s">
        <v>306</v>
      </c>
      <c r="E15" s="18"/>
      <c r="F15" s="91">
        <f>'F7'!Q14</f>
        <v>0</v>
      </c>
      <c r="G15" s="90">
        <f>F15-E15</f>
        <v>0</v>
      </c>
      <c r="H15" s="91">
        <f>'[16]Losses &amp; PP Requirement'!$D$33</f>
        <v>593.77122128310657</v>
      </c>
      <c r="I15" s="91">
        <f>SUM('F7'!E51:J51)</f>
        <v>239.73398174038607</v>
      </c>
      <c r="J15" s="91">
        <f>SUM('F7'!K51:P51)</f>
        <v>321.07463240824035</v>
      </c>
      <c r="K15" s="90">
        <f>'F7'!Q51</f>
        <v>560.80861414862648</v>
      </c>
      <c r="L15" s="342">
        <f>'F7'!Q88</f>
        <v>663.29005396580203</v>
      </c>
      <c r="M15" s="342">
        <f>'F7'!Q125</f>
        <v>591.56169211892382</v>
      </c>
      <c r="N15" s="342">
        <f>'F7'!Q162</f>
        <v>610.64010220110958</v>
      </c>
      <c r="O15" s="342">
        <f>'F7'!Q199</f>
        <v>633.47822079217406</v>
      </c>
      <c r="P15" s="342">
        <f>'F7'!Q236</f>
        <v>655.64037292138687</v>
      </c>
    </row>
    <row r="16" spans="2:17" x14ac:dyDescent="0.25">
      <c r="B16" s="63">
        <f t="shared" si="0"/>
        <v>9</v>
      </c>
      <c r="C16" s="344" t="s">
        <v>313</v>
      </c>
      <c r="D16" s="63" t="s">
        <v>306</v>
      </c>
      <c r="E16" s="18"/>
      <c r="F16" s="91">
        <f>'F7'!Q15</f>
        <v>0</v>
      </c>
      <c r="G16" s="90">
        <f>G11+G12+G13-G15</f>
        <v>2912.7386265029195</v>
      </c>
      <c r="H16" s="91">
        <f>H11+H12-H13-H15</f>
        <v>19071.047630041077</v>
      </c>
      <c r="I16" s="91">
        <f>SUM('F7'!E52:J52)</f>
        <v>8902.105198580246</v>
      </c>
      <c r="J16" s="91">
        <f>SUM('F7'!K52:P52)</f>
        <v>10690.592097079592</v>
      </c>
      <c r="K16" s="90">
        <f>'F7'!Q52</f>
        <v>19592.697295659837</v>
      </c>
      <c r="L16" s="342">
        <f>'F7'!Q89</f>
        <v>23344.211838020612</v>
      </c>
      <c r="M16" s="342">
        <f>'F7'!Q126</f>
        <v>20645.480560354001</v>
      </c>
      <c r="N16" s="342">
        <f>'F7'!Q163</f>
        <v>21437.394887825365</v>
      </c>
      <c r="O16" s="342">
        <f>'F7'!Q200</f>
        <v>22422.751070131748</v>
      </c>
      <c r="P16" s="342">
        <f>'F7'!Q237</f>
        <v>23402.493251673393</v>
      </c>
    </row>
    <row r="17" spans="2:17" x14ac:dyDescent="0.25">
      <c r="B17" s="63"/>
      <c r="C17" s="343" t="s">
        <v>314</v>
      </c>
      <c r="D17" s="63"/>
      <c r="E17" s="18"/>
      <c r="F17" s="91"/>
      <c r="G17" s="342"/>
      <c r="H17" s="18"/>
      <c r="I17" s="91"/>
      <c r="J17" s="91"/>
      <c r="K17" s="346"/>
      <c r="L17" s="342"/>
      <c r="M17" s="91"/>
      <c r="N17" s="91"/>
      <c r="O17" s="91"/>
      <c r="P17" s="91"/>
    </row>
    <row r="18" spans="2:17" ht="27.6" x14ac:dyDescent="0.25">
      <c r="B18" s="63">
        <f>B16+1</f>
        <v>10</v>
      </c>
      <c r="C18" s="345" t="s">
        <v>315</v>
      </c>
      <c r="D18" s="63" t="s">
        <v>306</v>
      </c>
      <c r="E18" s="18"/>
      <c r="F18" s="91">
        <f>'F7'!Q17</f>
        <v>18227.471517393602</v>
      </c>
      <c r="G18" s="90">
        <f>F18-E18</f>
        <v>18227.471517393602</v>
      </c>
      <c r="H18" s="91">
        <f>'[16]Losses &amp; PP Requirement'!$D$4</f>
        <v>19071.047630041077</v>
      </c>
      <c r="I18" s="91">
        <f>SUM('F7'!E54:J54)</f>
        <v>8902.1051985802442</v>
      </c>
      <c r="J18" s="91">
        <f>SUM('F7'!K54:P54)</f>
        <v>10690.592097079592</v>
      </c>
      <c r="K18" s="90">
        <f>'F7'!Q54</f>
        <v>19592.697295659833</v>
      </c>
      <c r="L18" s="342">
        <f>'F7'!Q91</f>
        <v>23344.211838020612</v>
      </c>
      <c r="M18" s="342">
        <f>'F7'!Q128</f>
        <v>20645.480560354001</v>
      </c>
      <c r="N18" s="342">
        <f>'F7'!Q165</f>
        <v>21437.394887825365</v>
      </c>
      <c r="O18" s="342">
        <f>'F7'!Q202</f>
        <v>22422.751070131748</v>
      </c>
      <c r="P18" s="342">
        <f>'F7'!Q239</f>
        <v>23402.493251673393</v>
      </c>
    </row>
    <row r="19" spans="2:17" x14ac:dyDescent="0.25">
      <c r="B19" s="63">
        <f>B18+1</f>
        <v>11</v>
      </c>
      <c r="C19" s="344" t="s">
        <v>316</v>
      </c>
      <c r="D19" s="63" t="s">
        <v>306</v>
      </c>
      <c r="E19" s="18"/>
      <c r="F19" s="91">
        <f>'F7'!Q18</f>
        <v>577.89358881387068</v>
      </c>
      <c r="G19" s="90">
        <f>F19-E19</f>
        <v>577.89358881387068</v>
      </c>
      <c r="H19" s="91">
        <f>'[16]Losses &amp; PP Requirement'!$D$5</f>
        <v>692.01</v>
      </c>
      <c r="I19" s="91">
        <f>SUM('F7'!E55:J55)</f>
        <v>311.88325049999997</v>
      </c>
      <c r="J19" s="91">
        <f>SUM('F7'!K55:P55)</f>
        <v>313.66148665956024</v>
      </c>
      <c r="K19" s="90">
        <f>'F7'!Q55</f>
        <v>625.54473715956021</v>
      </c>
      <c r="L19" s="342">
        <f>'F7'!Q92</f>
        <v>777.01037217555916</v>
      </c>
      <c r="M19" s="342">
        <f>'F7'!Q129</f>
        <v>783.32711581045407</v>
      </c>
      <c r="N19" s="342">
        <f>'F7'!Q166</f>
        <v>818.00664585336517</v>
      </c>
      <c r="O19" s="342">
        <f>'F7'!Q203</f>
        <v>853.30909704406804</v>
      </c>
      <c r="P19" s="342">
        <f>'F7'!Q240</f>
        <v>908.80407074415348</v>
      </c>
    </row>
    <row r="20" spans="2:17" x14ac:dyDescent="0.25">
      <c r="B20" s="63">
        <f>B19+1</f>
        <v>12</v>
      </c>
      <c r="C20" s="344" t="s">
        <v>317</v>
      </c>
      <c r="D20" s="63" t="s">
        <v>308</v>
      </c>
      <c r="E20" s="18"/>
      <c r="F20" s="91">
        <f>'F7'!Q19</f>
        <v>3.006844392566279E-2</v>
      </c>
      <c r="G20" s="90">
        <f>F20-E20</f>
        <v>3.006844392566279E-2</v>
      </c>
      <c r="H20" s="347">
        <f>H21/H18</f>
        <v>3.4800000000000039E-2</v>
      </c>
      <c r="I20" s="340">
        <f>SUM('F7'!E57:J57)/SUM('F7'!E54:J54)</f>
        <v>3.0923769946682087E-2</v>
      </c>
      <c r="J20" s="340">
        <f>SUM('F7'!K57:P57)/SUM('F7'!K54:P54)</f>
        <v>3.7950000000000039E-2</v>
      </c>
      <c r="K20" s="339">
        <f>'F7'!Q56</f>
        <v>3.4757573855697894E-2</v>
      </c>
      <c r="L20" s="154">
        <f>'F7'!Q93</f>
        <v>2.9699999999999956E-2</v>
      </c>
      <c r="M20" s="154">
        <f>'F7'!Q130</f>
        <v>2.9699999999999935E-2</v>
      </c>
      <c r="N20" s="154">
        <f>'F7'!Q167</f>
        <v>2.949999999999996E-2</v>
      </c>
      <c r="O20" s="154">
        <f>'F7'!Q204</f>
        <v>2.9299999999999979E-2</v>
      </c>
      <c r="P20" s="154">
        <f>'F7'!Q241</f>
        <v>2.9100000000000001E-2</v>
      </c>
    </row>
    <row r="21" spans="2:17" x14ac:dyDescent="0.25">
      <c r="B21" s="63">
        <f>B20+1</f>
        <v>13</v>
      </c>
      <c r="C21" s="344" t="s">
        <v>317</v>
      </c>
      <c r="D21" s="63" t="s">
        <v>306</v>
      </c>
      <c r="E21" s="18"/>
      <c r="F21" s="91">
        <f>'F7'!Q20</f>
        <v>548.09922192999989</v>
      </c>
      <c r="G21" s="90">
        <f>F21-E21</f>
        <v>548.09922192999989</v>
      </c>
      <c r="H21" s="91">
        <f>'[16]Losses &amp; PP Requirement'!$D$7</f>
        <v>663.67245752543022</v>
      </c>
      <c r="I21" s="91">
        <f>SUM('F7'!E57:J57)</f>
        <v>275.28665320205812</v>
      </c>
      <c r="J21" s="91">
        <f>SUM('F7'!K57:P57)</f>
        <v>405.70797008417094</v>
      </c>
      <c r="K21" s="90">
        <f>'F7'!Q57</f>
        <v>680.99462328622906</v>
      </c>
      <c r="L21" s="342">
        <f>'F7'!Q94</f>
        <v>693.32309158921112</v>
      </c>
      <c r="M21" s="342">
        <f>'F7'!Q131</f>
        <v>613.17077264251247</v>
      </c>
      <c r="N21" s="342">
        <f>'F7'!Q168</f>
        <v>632.40314919084744</v>
      </c>
      <c r="O21" s="342">
        <f>'F7'!Q205</f>
        <v>656.98660635485976</v>
      </c>
      <c r="P21" s="342">
        <f>'F7'!Q242</f>
        <v>681.01255362369579</v>
      </c>
    </row>
    <row r="22" spans="2:17" x14ac:dyDescent="0.25">
      <c r="B22" s="63">
        <f>B21+1</f>
        <v>14</v>
      </c>
      <c r="C22" s="344" t="s">
        <v>318</v>
      </c>
      <c r="D22" s="63" t="s">
        <v>306</v>
      </c>
      <c r="E22" s="18"/>
      <c r="F22" s="91">
        <f>'F7'!Q21</f>
        <v>1718.7401111870006</v>
      </c>
      <c r="G22" s="90">
        <f>G16+G18-G19-G21</f>
        <v>20014.217333152654</v>
      </c>
      <c r="H22" s="91">
        <f>H18-H19-H21</f>
        <v>17715.365172515649</v>
      </c>
      <c r="I22" s="91">
        <f>SUM('F7'!E58:J58)</f>
        <v>8314.9352948781871</v>
      </c>
      <c r="J22" s="91">
        <f>SUM('F7'!K58:P58)</f>
        <v>9971.2226403358618</v>
      </c>
      <c r="K22" s="90">
        <f>'F7'!Q58</f>
        <v>18286.157935214047</v>
      </c>
      <c r="L22" s="342">
        <f>'F7'!Q95</f>
        <v>21873.878374255841</v>
      </c>
      <c r="M22" s="342">
        <f>'F7'!Q132</f>
        <v>19248.982671901038</v>
      </c>
      <c r="N22" s="342">
        <f>'F7'!Q169</f>
        <v>19986.985092781149</v>
      </c>
      <c r="O22" s="342">
        <f>'F7'!Q206</f>
        <v>20912.455366732822</v>
      </c>
      <c r="P22" s="342">
        <f>'F7'!Q243</f>
        <v>21812.676627305544</v>
      </c>
    </row>
    <row r="23" spans="2:17" x14ac:dyDescent="0.25">
      <c r="B23" s="63"/>
      <c r="C23" s="343" t="s">
        <v>319</v>
      </c>
      <c r="D23" s="63"/>
      <c r="E23" s="18"/>
      <c r="F23" s="91"/>
      <c r="G23" s="342"/>
      <c r="H23" s="18"/>
      <c r="I23" s="91"/>
      <c r="J23" s="91"/>
      <c r="K23" s="346"/>
      <c r="L23" s="342"/>
      <c r="M23" s="91"/>
      <c r="N23" s="91"/>
      <c r="O23" s="91"/>
      <c r="P23" s="91"/>
    </row>
    <row r="24" spans="2:17" ht="27.6" x14ac:dyDescent="0.25">
      <c r="B24" s="63">
        <f>B22+1</f>
        <v>15</v>
      </c>
      <c r="C24" s="345" t="s">
        <v>320</v>
      </c>
      <c r="D24" s="63" t="s">
        <v>306</v>
      </c>
      <c r="E24" s="18"/>
      <c r="F24" s="91">
        <f>'F7'!Q23</f>
        <v>0</v>
      </c>
      <c r="G24" s="90">
        <f>F24-E24</f>
        <v>0</v>
      </c>
      <c r="H24" s="91">
        <f>'[16]Losses &amp; PP Requirement'!$D$10</f>
        <v>17715.365172515649</v>
      </c>
      <c r="I24" s="91">
        <f>SUM('F7'!E60:J60)</f>
        <v>8314.9352948781871</v>
      </c>
      <c r="J24" s="91">
        <f>SUM('F7'!K60:P60)</f>
        <v>9971.22264033586</v>
      </c>
      <c r="K24" s="90">
        <f>'F7'!Q60</f>
        <v>18286.157935214047</v>
      </c>
      <c r="L24" s="342">
        <f>'F7'!Q97</f>
        <v>21873.878374255841</v>
      </c>
      <c r="M24" s="342">
        <f>'F7'!Q134</f>
        <v>19248.982671901038</v>
      </c>
      <c r="N24" s="342">
        <f>'F7'!Q171</f>
        <v>19986.985092781149</v>
      </c>
      <c r="O24" s="342">
        <f>'F7'!Q208</f>
        <v>20912.455366732818</v>
      </c>
      <c r="P24" s="342">
        <f>'F7'!Q245</f>
        <v>21812.676627305544</v>
      </c>
    </row>
    <row r="25" spans="2:17" x14ac:dyDescent="0.25">
      <c r="B25" s="63">
        <f>B24+1</f>
        <v>16</v>
      </c>
      <c r="C25" s="345" t="s">
        <v>321</v>
      </c>
      <c r="D25" s="63" t="s">
        <v>306</v>
      </c>
      <c r="E25" s="18"/>
      <c r="F25" s="91">
        <f>'F7'!Q24</f>
        <v>0</v>
      </c>
      <c r="G25" s="90">
        <f>F25-E25</f>
        <v>0</v>
      </c>
      <c r="H25" s="18"/>
      <c r="I25" s="91">
        <f>SUM('F7'!E61:J61)</f>
        <v>0</v>
      </c>
      <c r="J25" s="91">
        <f>SUM('F7'!K61:P61)</f>
        <v>0</v>
      </c>
      <c r="K25" s="90">
        <f>'F7'!Q61</f>
        <v>0</v>
      </c>
      <c r="L25" s="342">
        <f>'F7'!Q98</f>
        <v>0</v>
      </c>
      <c r="M25" s="342">
        <f>'F7'!Q135</f>
        <v>0</v>
      </c>
      <c r="N25" s="342">
        <f>'F7'!Q172</f>
        <v>0</v>
      </c>
      <c r="O25" s="342">
        <f>'F7'!Q209</f>
        <v>0</v>
      </c>
      <c r="P25" s="342">
        <f>'F7'!Q246</f>
        <v>0</v>
      </c>
    </row>
    <row r="26" spans="2:17" x14ac:dyDescent="0.25">
      <c r="B26" s="63">
        <f>B25+1</f>
        <v>17</v>
      </c>
      <c r="C26" s="344" t="s">
        <v>322</v>
      </c>
      <c r="D26" s="63" t="s">
        <v>306</v>
      </c>
      <c r="E26" s="91"/>
      <c r="F26" s="91">
        <f>'F7'!Q25</f>
        <v>2455.2025567100004</v>
      </c>
      <c r="G26" s="90">
        <f>F26-E26</f>
        <v>2455.2025567100004</v>
      </c>
      <c r="H26" s="91">
        <f>'[16]Losses &amp; PP Requirement'!$D$11</f>
        <v>2410.7399999999998</v>
      </c>
      <c r="I26" s="91">
        <f>SUM('F7'!E62:J62)</f>
        <v>1185.5094839400001</v>
      </c>
      <c r="J26" s="91">
        <f>SUM('F7'!K62:P62)</f>
        <v>1438.0655925027897</v>
      </c>
      <c r="K26" s="90">
        <f>'F7'!Q62</f>
        <v>2623.5750764427899</v>
      </c>
      <c r="L26" s="342">
        <f>'F7'!Q99</f>
        <v>2922.5039022372134</v>
      </c>
      <c r="M26" s="342">
        <f>'F7'!Q136</f>
        <v>3000.6283816824503</v>
      </c>
      <c r="N26" s="342">
        <f>'F7'!Q173</f>
        <v>3268.9805974550964</v>
      </c>
      <c r="O26" s="342">
        <f>'F7'!Q210</f>
        <v>3552.5906839317736</v>
      </c>
      <c r="P26" s="342">
        <f>'F7'!Q247</f>
        <v>3834.3022552185239</v>
      </c>
    </row>
    <row r="27" spans="2:17" x14ac:dyDescent="0.25">
      <c r="B27" s="63">
        <f>B26+1</f>
        <v>18</v>
      </c>
      <c r="C27" s="344" t="s">
        <v>323</v>
      </c>
      <c r="D27" s="63" t="s">
        <v>308</v>
      </c>
      <c r="E27" s="347"/>
      <c r="F27" s="91">
        <f>'F7'!Q26</f>
        <v>0</v>
      </c>
      <c r="G27" s="90">
        <f>F27-E27</f>
        <v>0</v>
      </c>
      <c r="H27" s="347">
        <f>'[16]Losses &amp; PP Requirement'!$D$14</f>
        <v>3.7700000000000101E-2</v>
      </c>
      <c r="I27" s="340">
        <f>SUM('F7'!E64:J64)/SUM('F7'!E60:J60)</f>
        <v>3.8412814404925735E-2</v>
      </c>
      <c r="J27" s="340">
        <f>SUM('F7'!K64:P64)/SUM('F7'!K60:P60)</f>
        <v>3.710000000000005E-2</v>
      </c>
      <c r="K27" s="339">
        <f>'F7'!Q63</f>
        <v>3.769695245276871E-2</v>
      </c>
      <c r="L27" s="154">
        <f>'F7'!Q100</f>
        <v>3.7100000000000008E-2</v>
      </c>
      <c r="M27" s="154">
        <f>'F7'!Q137</f>
        <v>3.7100000000000015E-2</v>
      </c>
      <c r="N27" s="154">
        <f>'F7'!Q174</f>
        <v>3.6799999999999951E-2</v>
      </c>
      <c r="O27" s="154">
        <f>'F7'!Q211</f>
        <v>3.6499999999999977E-2</v>
      </c>
      <c r="P27" s="154">
        <f>'F7'!Q248</f>
        <v>3.620000000000001E-2</v>
      </c>
      <c r="Q27" s="156"/>
    </row>
    <row r="28" spans="2:17" x14ac:dyDescent="0.25">
      <c r="B28" s="63">
        <f>B27+1</f>
        <v>19</v>
      </c>
      <c r="C28" s="344" t="s">
        <v>323</v>
      </c>
      <c r="D28" s="63" t="s">
        <v>306</v>
      </c>
      <c r="E28" s="91"/>
      <c r="F28" s="91">
        <f>'F7'!Q27</f>
        <v>609.77181440320749</v>
      </c>
      <c r="G28" s="90">
        <f>F28-E28</f>
        <v>609.77181440320749</v>
      </c>
      <c r="H28" s="91">
        <f>'[16]Losses &amp; PP Requirement'!$D$13</f>
        <v>667.86926700384174</v>
      </c>
      <c r="I28" s="91">
        <f>SUM('F7'!E64:J64)</f>
        <v>319.40006627112223</v>
      </c>
      <c r="J28" s="91">
        <f>SUM('F7'!K64:P64)</f>
        <v>369.93235995646091</v>
      </c>
      <c r="K28" s="90">
        <f>'F7'!Q64</f>
        <v>689.33242622758314</v>
      </c>
      <c r="L28" s="342">
        <f>'F7'!Q101</f>
        <v>811.52088768489193</v>
      </c>
      <c r="M28" s="342">
        <f>'F7'!Q138</f>
        <v>714.13725712752876</v>
      </c>
      <c r="N28" s="342">
        <f>'F7'!Q175</f>
        <v>735.52105141434527</v>
      </c>
      <c r="O28" s="342">
        <f>'F7'!Q212</f>
        <v>763.30462088574745</v>
      </c>
      <c r="P28" s="342">
        <f>'F7'!Q249</f>
        <v>789.6188939084609</v>
      </c>
    </row>
    <row r="29" spans="2:17" x14ac:dyDescent="0.25">
      <c r="B29" s="63">
        <f>B28+1</f>
        <v>20</v>
      </c>
      <c r="C29" s="344" t="s">
        <v>324</v>
      </c>
      <c r="D29" s="63" t="s">
        <v>306</v>
      </c>
      <c r="E29" s="18"/>
      <c r="F29" s="91">
        <f>'F7'!Q28</f>
        <v>0</v>
      </c>
      <c r="G29" s="90">
        <f>G22+G24+G25-G26-G28</f>
        <v>16949.242962039447</v>
      </c>
      <c r="H29" s="91">
        <f>H24+H25-H26-H28</f>
        <v>14636.755905511807</v>
      </c>
      <c r="I29" s="91">
        <f>SUM('F7'!E65:J65)</f>
        <v>6810.0257446670657</v>
      </c>
      <c r="J29" s="91">
        <f>SUM('F7'!K65:P65)</f>
        <v>8163.22468787661</v>
      </c>
      <c r="K29" s="90">
        <f>'F7'!Q65</f>
        <v>14973.250432543675</v>
      </c>
      <c r="L29" s="342">
        <f>'F7'!Q102</f>
        <v>18139.853584333738</v>
      </c>
      <c r="M29" s="342">
        <f>'F7'!Q139</f>
        <v>15534.217033091056</v>
      </c>
      <c r="N29" s="342">
        <f>'F7'!Q176</f>
        <v>15982.483443911706</v>
      </c>
      <c r="O29" s="342">
        <f>'F7'!Q213</f>
        <v>16596.560061915297</v>
      </c>
      <c r="P29" s="342">
        <f>'F7'!Q250</f>
        <v>17188.755478178558</v>
      </c>
    </row>
    <row r="30" spans="2:17" x14ac:dyDescent="0.25">
      <c r="B30" s="63"/>
      <c r="C30" s="343" t="s">
        <v>325</v>
      </c>
      <c r="D30" s="63"/>
      <c r="E30" s="18"/>
      <c r="F30" s="91"/>
      <c r="G30" s="90"/>
      <c r="H30" s="18"/>
      <c r="I30" s="91"/>
      <c r="J30" s="91"/>
      <c r="K30" s="346"/>
      <c r="L30" s="342"/>
      <c r="M30" s="91"/>
      <c r="N30" s="91"/>
      <c r="O30" s="91"/>
      <c r="P30" s="91"/>
    </row>
    <row r="31" spans="2:17" ht="27.6" x14ac:dyDescent="0.25">
      <c r="B31" s="63"/>
      <c r="C31" s="345" t="s">
        <v>326</v>
      </c>
      <c r="D31" s="63" t="s">
        <v>306</v>
      </c>
      <c r="E31" s="18"/>
      <c r="F31" s="91">
        <f>'F7'!Q30</f>
        <v>0</v>
      </c>
      <c r="G31" s="90">
        <f>G24+G26+G27-G28-G30</f>
        <v>1845.430742306793</v>
      </c>
      <c r="H31" s="91">
        <f>'[16]Losses &amp; PP Requirement'!$D$16</f>
        <v>14636.755905511807</v>
      </c>
      <c r="I31" s="91">
        <f>SUM('F7'!E67:J67)</f>
        <v>6810.0257446670657</v>
      </c>
      <c r="J31" s="91">
        <f>SUM('F7'!K67:P67)</f>
        <v>8163.2246878766091</v>
      </c>
      <c r="K31" s="90">
        <f>'F7'!Q67</f>
        <v>14973.250432543675</v>
      </c>
      <c r="L31" s="342">
        <f>'F7'!Q104</f>
        <v>18139.853584333738</v>
      </c>
      <c r="M31" s="342">
        <f>'F7'!Q141</f>
        <v>15534.217033091054</v>
      </c>
      <c r="N31" s="342">
        <f>'F7'!Q178</f>
        <v>15982.483443911706</v>
      </c>
      <c r="O31" s="342">
        <f>'F7'!Q215</f>
        <v>16596.560061915297</v>
      </c>
      <c r="P31" s="342">
        <f>'F7'!Q252</f>
        <v>17188.755478178558</v>
      </c>
    </row>
    <row r="32" spans="2:17" x14ac:dyDescent="0.25">
      <c r="B32" s="63">
        <f>B29+1</f>
        <v>21</v>
      </c>
      <c r="C32" s="345" t="s">
        <v>321</v>
      </c>
      <c r="D32" s="63" t="s">
        <v>306</v>
      </c>
      <c r="E32" s="18"/>
      <c r="F32" s="91">
        <f>'F7'!Q30</f>
        <v>0</v>
      </c>
      <c r="G32" s="90">
        <f>F32-E32</f>
        <v>0</v>
      </c>
      <c r="H32" s="18"/>
      <c r="I32" s="91">
        <f>SUM('F7'!E68:J68)</f>
        <v>0</v>
      </c>
      <c r="J32" s="91">
        <f>SUM('F7'!K68:P68)</f>
        <v>0</v>
      </c>
      <c r="K32" s="90">
        <f>'F7'!Q68</f>
        <v>0</v>
      </c>
      <c r="L32" s="342">
        <f>'F7'!Q105</f>
        <v>0</v>
      </c>
      <c r="M32" s="342">
        <f>'F7'!Q142</f>
        <v>0</v>
      </c>
      <c r="N32" s="342">
        <f>'F7'!Q179</f>
        <v>0</v>
      </c>
      <c r="O32" s="342">
        <f>'F7'!Q216</f>
        <v>0</v>
      </c>
      <c r="P32" s="342">
        <f>'F7'!Q253</f>
        <v>0</v>
      </c>
    </row>
    <row r="33" spans="2:16" x14ac:dyDescent="0.25">
      <c r="B33" s="63">
        <f>B32+1</f>
        <v>22</v>
      </c>
      <c r="C33" s="344" t="s">
        <v>327</v>
      </c>
      <c r="D33" s="63" t="s">
        <v>306</v>
      </c>
      <c r="E33" s="18"/>
      <c r="F33" s="91">
        <f>'F7'!Q31</f>
        <v>13304.116622799998</v>
      </c>
      <c r="G33" s="90">
        <f>F33-E33</f>
        <v>13304.116622799998</v>
      </c>
      <c r="H33" s="91">
        <f>'[16]Losses &amp; PP Requirement'!$D$17+'[16]Losses &amp; PP Requirement'!$D$18</f>
        <v>13941.509999999997</v>
      </c>
      <c r="I33" s="91">
        <f>SUM('F7'!E69:J69)</f>
        <v>6461.4904588781574</v>
      </c>
      <c r="J33" s="91">
        <f>SUM('F7'!K69:P69)</f>
        <v>7799.9611892661005</v>
      </c>
      <c r="K33" s="90">
        <f>'F7'!Q69</f>
        <v>14261.451648144259</v>
      </c>
      <c r="L33" s="342">
        <f>'F7'!Q106</f>
        <v>17296.350392662218</v>
      </c>
      <c r="M33" s="342">
        <f>'F7'!Q143</f>
        <v>14811.875941052325</v>
      </c>
      <c r="N33" s="342">
        <f>'F7'!Q180</f>
        <v>15247.289205491767</v>
      </c>
      <c r="O33" s="342">
        <f>'F7'!Q217</f>
        <v>15841.416579098151</v>
      </c>
      <c r="P33" s="342">
        <f>'F7'!Q254</f>
        <v>16415.261481660524</v>
      </c>
    </row>
    <row r="34" spans="2:16" x14ac:dyDescent="0.25">
      <c r="B34" s="63">
        <f>B33+1</f>
        <v>23</v>
      </c>
      <c r="C34" s="344" t="s">
        <v>328</v>
      </c>
      <c r="D34" s="63" t="s">
        <v>308</v>
      </c>
      <c r="E34" s="18"/>
      <c r="F34" s="91">
        <f>'F7'!Q32</f>
        <v>0</v>
      </c>
      <c r="G34" s="90">
        <f>F34-E34</f>
        <v>0</v>
      </c>
      <c r="H34" s="155">
        <f>H35/H31</f>
        <v>4.7499999999999987E-2</v>
      </c>
      <c r="I34" s="340">
        <f>SUM('F7'!E71:J71)/SUM('F7'!E67:J67)</f>
        <v>5.1179731010832938E-2</v>
      </c>
      <c r="J34" s="340">
        <f>SUM('F7'!K71:P71)/SUM('F7'!K67:P67)</f>
        <v>4.4499999999999998E-2</v>
      </c>
      <c r="K34" s="339">
        <f>'F7'!Q70</f>
        <v>4.7538027070752428E-2</v>
      </c>
      <c r="L34" s="154">
        <f>'F7'!Q107</f>
        <v>4.6499999999999986E-2</v>
      </c>
      <c r="M34" s="154">
        <f>'F7'!Q144</f>
        <v>4.6499999999999993E-2</v>
      </c>
      <c r="N34" s="154">
        <f>'F7'!Q181</f>
        <v>4.6000000000000062E-2</v>
      </c>
      <c r="O34" s="154">
        <f>'F7'!Q218</f>
        <v>4.5499999999999992E-2</v>
      </c>
      <c r="P34" s="154">
        <f>'F7'!Q255</f>
        <v>4.5000000000000019E-2</v>
      </c>
    </row>
    <row r="35" spans="2:16" x14ac:dyDescent="0.25">
      <c r="B35" s="63">
        <f>B34+1</f>
        <v>24</v>
      </c>
      <c r="C35" s="344" t="s">
        <v>328</v>
      </c>
      <c r="D35" s="63" t="s">
        <v>306</v>
      </c>
      <c r="E35" s="18"/>
      <c r="F35" s="91">
        <f>'F7'!Q33</f>
        <v>687.79738028920826</v>
      </c>
      <c r="G35" s="90">
        <f>F35-E35</f>
        <v>687.79738028920826</v>
      </c>
      <c r="H35" s="91">
        <f>'[16]Losses &amp; PP Requirement'!$D$19</f>
        <v>695.24590551181063</v>
      </c>
      <c r="I35" s="91">
        <f>SUM('F7'!E71:J71)</f>
        <v>348.53528578890769</v>
      </c>
      <c r="J35" s="91">
        <f>SUM('F7'!K71:P71)</f>
        <v>363.26349861050909</v>
      </c>
      <c r="K35" s="90">
        <f>'F7'!Q71</f>
        <v>711.79878439941672</v>
      </c>
      <c r="L35" s="342">
        <f>'F7'!Q108</f>
        <v>843.50319167151849</v>
      </c>
      <c r="M35" s="342">
        <f>'F7'!Q145</f>
        <v>722.3410920387339</v>
      </c>
      <c r="N35" s="342">
        <f>'F7'!Q182</f>
        <v>735.19423841993944</v>
      </c>
      <c r="O35" s="342">
        <f>'F7'!Q219</f>
        <v>755.14348281714592</v>
      </c>
      <c r="P35" s="342">
        <f>'F7'!Q256</f>
        <v>773.49399651803549</v>
      </c>
    </row>
    <row r="36" spans="2:16" x14ac:dyDescent="0.25">
      <c r="B36" s="63"/>
      <c r="C36" s="343" t="s">
        <v>251</v>
      </c>
      <c r="D36" s="63"/>
      <c r="E36" s="18"/>
      <c r="F36" s="91"/>
      <c r="G36" s="90"/>
      <c r="H36" s="18"/>
      <c r="I36" s="91"/>
      <c r="J36" s="91"/>
      <c r="K36" s="90"/>
      <c r="L36" s="342"/>
      <c r="M36" s="342"/>
      <c r="N36" s="342"/>
      <c r="O36" s="342"/>
      <c r="P36" s="342"/>
    </row>
    <row r="37" spans="2:16" x14ac:dyDescent="0.25">
      <c r="B37" s="63">
        <f>B35+1</f>
        <v>25</v>
      </c>
      <c r="C37" s="343" t="s">
        <v>329</v>
      </c>
      <c r="D37" s="62" t="s">
        <v>306</v>
      </c>
      <c r="E37" s="18"/>
      <c r="F37" s="91">
        <f>'F7'!Q35</f>
        <v>0</v>
      </c>
      <c r="G37" s="90">
        <f>G8+G12+G18+G24+G25+G32</f>
        <v>18227.471517393602</v>
      </c>
      <c r="H37" s="91">
        <f>H8+H12+H32</f>
        <v>24072.62</v>
      </c>
      <c r="I37" s="91">
        <f>SUM('F7'!E73:J73)</f>
        <v>10587.72590677303</v>
      </c>
      <c r="J37" s="91">
        <f>SUM('F7'!K73:P73)</f>
        <v>13008.913039059851</v>
      </c>
      <c r="K37" s="90">
        <f>'F7'!Q73</f>
        <v>23596.638945832881</v>
      </c>
      <c r="L37" s="342">
        <f>'F7'!Q110</f>
        <v>27142.827983273259</v>
      </c>
      <c r="M37" s="342">
        <f>'F7'!Q147</f>
        <v>24196.588990239041</v>
      </c>
      <c r="N37" s="342">
        <f>'F7'!Q184</f>
        <v>25176.361871791101</v>
      </c>
      <c r="O37" s="342">
        <f>'F7'!Q221</f>
        <v>26326.914158171978</v>
      </c>
      <c r="P37" s="342">
        <f>'F7'!Q258</f>
        <v>27468.477046748842</v>
      </c>
    </row>
    <row r="38" spans="2:16" x14ac:dyDescent="0.25">
      <c r="B38" s="63">
        <f>B37+1</f>
        <v>26</v>
      </c>
      <c r="C38" s="343" t="s">
        <v>330</v>
      </c>
      <c r="D38" s="62" t="s">
        <v>306</v>
      </c>
      <c r="E38" s="18"/>
      <c r="F38" s="91">
        <f>'F7'!Q36</f>
        <v>0</v>
      </c>
      <c r="G38" s="90">
        <f>G13+G19+G26+G33</f>
        <v>19249.951394826789</v>
      </c>
      <c r="H38" s="91">
        <f>H13+H19+H26+H33</f>
        <v>21130.289999999997</v>
      </c>
      <c r="I38" s="91">
        <f>SUM('F7'!E74:J74)</f>
        <v>9295.2963705281581</v>
      </c>
      <c r="J38" s="91">
        <f>SUM('F7'!K74:P74)</f>
        <v>11383.006835270233</v>
      </c>
      <c r="K38" s="90">
        <f>'F7'!Q74</f>
        <v>20678.303205798391</v>
      </c>
      <c r="L38" s="342">
        <f>'F7'!Q111</f>
        <v>23951.373098901837</v>
      </c>
      <c r="M38" s="342">
        <f>'F7'!Q148</f>
        <v>21406.012442939056</v>
      </c>
      <c r="N38" s="342">
        <f>'F7'!Q185</f>
        <v>22312.475155540575</v>
      </c>
      <c r="O38" s="342">
        <f>'F7'!Q222</f>
        <v>23367.873052297764</v>
      </c>
      <c r="P38" s="342">
        <f>'F7'!Q259</f>
        <v>24418.583054752977</v>
      </c>
    </row>
    <row r="39" spans="2:16" x14ac:dyDescent="0.25">
      <c r="B39" s="63">
        <f>B38+1</f>
        <v>27</v>
      </c>
      <c r="C39" s="341" t="s">
        <v>331</v>
      </c>
      <c r="D39" s="62"/>
      <c r="E39" s="18"/>
      <c r="F39" s="91">
        <f>'F7'!Q37</f>
        <v>0</v>
      </c>
      <c r="G39" s="90">
        <f>G16+G18+G24+G25+G32</f>
        <v>21140.210143896522</v>
      </c>
      <c r="H39" s="91">
        <f>H16+H13</f>
        <v>23157.077630041076</v>
      </c>
      <c r="I39" s="91">
        <f>SUM('F7'!E75:J75)</f>
        <v>10238.518375790247</v>
      </c>
      <c r="J39" s="91">
        <f>SUM('F7'!K75:P75)</f>
        <v>12521.910663921375</v>
      </c>
      <c r="K39" s="90">
        <f>'F7'!Q75</f>
        <v>22760.429039711627</v>
      </c>
      <c r="L39" s="342">
        <f>'F7'!Q112</f>
        <v>26299.720269847458</v>
      </c>
      <c r="M39" s="342">
        <f>'F7'!Q149</f>
        <v>23455.661564747832</v>
      </c>
      <c r="N39" s="342">
        <f>'F7'!Q186</f>
        <v>24415.593594565704</v>
      </c>
      <c r="O39" s="342">
        <f>'F7'!Q223</f>
        <v>25543.307762355515</v>
      </c>
      <c r="P39" s="342">
        <f>'F7'!Q260</f>
        <v>26662.708498803167</v>
      </c>
    </row>
    <row r="40" spans="2:16" x14ac:dyDescent="0.25">
      <c r="B40" s="63">
        <f>B39+1</f>
        <v>28</v>
      </c>
      <c r="C40" s="341" t="s">
        <v>332</v>
      </c>
      <c r="D40" s="62" t="s">
        <v>306</v>
      </c>
      <c r="E40" s="18"/>
      <c r="F40" s="91">
        <f>'F7'!Q38</f>
        <v>0</v>
      </c>
      <c r="G40" s="90">
        <f>G39-G38</f>
        <v>1890.2587490697333</v>
      </c>
      <c r="H40" s="91">
        <f>H39-H38</f>
        <v>2026.787630041079</v>
      </c>
      <c r="I40" s="91">
        <f>SUM('F7'!E76:J76)</f>
        <v>943.22200526208849</v>
      </c>
      <c r="J40" s="91">
        <f>SUM('F7'!K76:P76)</f>
        <v>1138.9038286511413</v>
      </c>
      <c r="K40" s="90">
        <f>'F7'!Q76</f>
        <v>2082.1258339132301</v>
      </c>
      <c r="L40" s="342">
        <f>'F7'!Q113</f>
        <v>2348.347170945623</v>
      </c>
      <c r="M40" s="342">
        <f>'F7'!Q150</f>
        <v>2049.6491218087749</v>
      </c>
      <c r="N40" s="342">
        <f>'F7'!Q187</f>
        <v>2103.118439025131</v>
      </c>
      <c r="O40" s="342">
        <f>'F7'!Q224</f>
        <v>2175.4347100577534</v>
      </c>
      <c r="P40" s="342">
        <f>'F7'!Q261</f>
        <v>2244.1254440501934</v>
      </c>
    </row>
    <row r="41" spans="2:16" x14ac:dyDescent="0.25">
      <c r="B41" s="63">
        <f>B40+1</f>
        <v>29</v>
      </c>
      <c r="C41" s="341" t="s">
        <v>333</v>
      </c>
      <c r="D41" s="62" t="s">
        <v>308</v>
      </c>
      <c r="E41" s="18"/>
      <c r="F41" s="91">
        <f>'F7'!Q39</f>
        <v>0</v>
      </c>
      <c r="G41" s="90">
        <f>G40-G39</f>
        <v>-19249.951394826789</v>
      </c>
      <c r="H41" s="155">
        <f>H40/(H39-H13)</f>
        <v>0.10627563148908739</v>
      </c>
      <c r="I41" s="340">
        <f>SUM('F7'!E76:J76)/(SUM('F7'!E75:J75)-SUM('F7'!E49:J49))</f>
        <v>0.10595493809852059</v>
      </c>
      <c r="J41" s="340">
        <f>SUM('F7'!K76:P76)/(SUM('F7'!K75:P75)-SUM('F7'!K49:P49))</f>
        <v>0.10653327882206468</v>
      </c>
      <c r="K41" s="339">
        <f>'F7'!Q77</f>
        <v>0.10627050489747834</v>
      </c>
      <c r="L41" s="154">
        <f>'F7'!Q114</f>
        <v>0.10059654989597382</v>
      </c>
      <c r="M41" s="154">
        <f>'F7'!Q151</f>
        <v>9.9278344033549099E-2</v>
      </c>
      <c r="N41" s="154">
        <f>'F7'!Q188</f>
        <v>9.8105131245192725E-2</v>
      </c>
      <c r="O41" s="154">
        <f>'F7'!Q225</f>
        <v>9.7019081345265615E-2</v>
      </c>
      <c r="P41" s="154">
        <f>'F7'!Q262</f>
        <v>9.5892579475040651E-2</v>
      </c>
    </row>
  </sheetData>
  <mergeCells count="6">
    <mergeCell ref="B5:B7"/>
    <mergeCell ref="C5:C7"/>
    <mergeCell ref="E5:G5"/>
    <mergeCell ref="H5:K5"/>
    <mergeCell ref="L5:P5"/>
    <mergeCell ref="D5:D7"/>
  </mergeCells>
  <pageMargins left="1.2" right="0.7" top="1" bottom="0.75" header="0.3" footer="0.3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R263"/>
  <sheetViews>
    <sheetView showGridLines="0" zoomScale="54" workbookViewId="0">
      <selection activeCell="K17" sqref="K17"/>
    </sheetView>
  </sheetViews>
  <sheetFormatPr defaultColWidth="9.109375" defaultRowHeight="13.8" x14ac:dyDescent="0.25"/>
  <cols>
    <col min="1" max="2" width="9.109375" style="61"/>
    <col min="3" max="3" width="38.88671875" style="61" customWidth="1"/>
    <col min="4" max="4" width="9.109375" style="61"/>
    <col min="5" max="5" width="9.5546875" style="61" bestFit="1" customWidth="1"/>
    <col min="6" max="10" width="9.109375" style="61"/>
    <col min="11" max="16" width="11" style="61" bestFit="1" customWidth="1"/>
    <col min="17" max="17" width="14.109375" style="61" customWidth="1"/>
    <col min="18" max="16384" width="9.109375" style="61"/>
  </cols>
  <sheetData>
    <row r="2" spans="2:17" x14ac:dyDescent="0.25">
      <c r="J2" s="23" t="s">
        <v>160</v>
      </c>
    </row>
    <row r="3" spans="2:17" x14ac:dyDescent="0.25">
      <c r="J3" s="25" t="s">
        <v>334</v>
      </c>
    </row>
    <row r="4" spans="2:17" hidden="1" x14ac:dyDescent="0.25"/>
    <row r="5" spans="2:17" hidden="1" x14ac:dyDescent="0.25">
      <c r="B5" s="794" t="s">
        <v>4</v>
      </c>
      <c r="C5" s="760" t="s">
        <v>5</v>
      </c>
      <c r="D5" s="729" t="s">
        <v>298</v>
      </c>
      <c r="E5" s="768" t="s">
        <v>335</v>
      </c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</row>
    <row r="6" spans="2:17" hidden="1" x14ac:dyDescent="0.25">
      <c r="B6" s="794"/>
      <c r="C6" s="760"/>
      <c r="D6" s="729"/>
      <c r="E6" s="13" t="s">
        <v>239</v>
      </c>
      <c r="F6" s="13" t="s">
        <v>240</v>
      </c>
      <c r="G6" s="13" t="s">
        <v>241</v>
      </c>
      <c r="H6" s="13" t="s">
        <v>242</v>
      </c>
      <c r="I6" s="13" t="s">
        <v>243</v>
      </c>
      <c r="J6" s="13" t="s">
        <v>244</v>
      </c>
      <c r="K6" s="13" t="s">
        <v>245</v>
      </c>
      <c r="L6" s="13" t="s">
        <v>246</v>
      </c>
      <c r="M6" s="13" t="s">
        <v>247</v>
      </c>
      <c r="N6" s="13" t="s">
        <v>248</v>
      </c>
      <c r="O6" s="13" t="s">
        <v>249</v>
      </c>
      <c r="P6" s="13" t="s">
        <v>250</v>
      </c>
      <c r="Q6" s="13" t="s">
        <v>251</v>
      </c>
    </row>
    <row r="7" spans="2:17" hidden="1" x14ac:dyDescent="0.25">
      <c r="B7" s="63">
        <v>1</v>
      </c>
      <c r="C7" s="344" t="s">
        <v>305</v>
      </c>
      <c r="D7" s="63" t="s">
        <v>306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90">
        <f t="shared" ref="Q7:Q15" si="0">SUM(E7:P7)</f>
        <v>0</v>
      </c>
    </row>
    <row r="8" spans="2:17" hidden="1" x14ac:dyDescent="0.25">
      <c r="B8" s="63">
        <f t="shared" ref="B8:B15" si="1">B7+1</f>
        <v>2</v>
      </c>
      <c r="C8" s="344" t="s">
        <v>307</v>
      </c>
      <c r="D8" s="63" t="s">
        <v>308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90">
        <f t="shared" si="0"/>
        <v>0</v>
      </c>
    </row>
    <row r="9" spans="2:17" hidden="1" x14ac:dyDescent="0.25">
      <c r="B9" s="63">
        <f t="shared" si="1"/>
        <v>3</v>
      </c>
      <c r="C9" s="344" t="s">
        <v>307</v>
      </c>
      <c r="D9" s="63" t="s">
        <v>306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90">
        <f t="shared" si="0"/>
        <v>0</v>
      </c>
    </row>
    <row r="10" spans="2:17" ht="27.6" hidden="1" x14ac:dyDescent="0.25">
      <c r="B10" s="63">
        <f t="shared" si="1"/>
        <v>4</v>
      </c>
      <c r="C10" s="345" t="s">
        <v>309</v>
      </c>
      <c r="D10" s="63" t="s">
        <v>306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90">
        <f t="shared" si="0"/>
        <v>0</v>
      </c>
    </row>
    <row r="11" spans="2:17" ht="27.6" hidden="1" x14ac:dyDescent="0.25">
      <c r="B11" s="63">
        <f t="shared" si="1"/>
        <v>5</v>
      </c>
      <c r="C11" s="345" t="s">
        <v>310</v>
      </c>
      <c r="D11" s="63" t="s">
        <v>306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90">
        <f t="shared" si="0"/>
        <v>0</v>
      </c>
    </row>
    <row r="12" spans="2:17" hidden="1" x14ac:dyDescent="0.25">
      <c r="B12" s="63">
        <f t="shared" si="1"/>
        <v>6</v>
      </c>
      <c r="C12" s="344" t="s">
        <v>311</v>
      </c>
      <c r="D12" s="63" t="s">
        <v>306</v>
      </c>
      <c r="E12" s="18">
        <f>'[17]FY22-23 Actual Sales  '!G133</f>
        <v>283.77027998000005</v>
      </c>
      <c r="F12" s="18">
        <f>'[17]FY22-23 Actual Sales  '!H133</f>
        <v>253.02448681999999</v>
      </c>
      <c r="G12" s="18">
        <f>'[17]FY22-23 Actual Sales  '!I133</f>
        <v>124.76130942000003</v>
      </c>
      <c r="H12" s="18">
        <f>'[17]FY22-23 Actual Sales  '!J133</f>
        <v>128.38350609</v>
      </c>
      <c r="I12" s="18">
        <f>'[17]FY22-23 Actual Sales  '!K133</f>
        <v>190.07336718999997</v>
      </c>
      <c r="J12" s="18">
        <f>'[17]FY22-23 Actual Sales  '!L133</f>
        <v>135.68933348000002</v>
      </c>
      <c r="K12" s="18">
        <f>'[17]FY22-23 Actual Sales  '!M133</f>
        <v>157.58112154999998</v>
      </c>
      <c r="L12" s="18">
        <f>'[17]FY22-23 Actual Sales  '!N133</f>
        <v>125.21098998999997</v>
      </c>
      <c r="M12" s="18">
        <f>'[17]FY22-23 Actual Sales  '!O133</f>
        <v>126.31962292999998</v>
      </c>
      <c r="N12" s="18">
        <f>'[17]FY22-23 Actual Sales  '!P133</f>
        <v>206.95628235000001</v>
      </c>
      <c r="O12" s="18">
        <f>'[17]FY22-23 Actual Sales  '!Q133</f>
        <v>387.51832206</v>
      </c>
      <c r="P12" s="18">
        <f>'[17]FY22-23 Actual Sales  '!R133</f>
        <v>793.45000464291934</v>
      </c>
      <c r="Q12" s="90">
        <f t="shared" si="0"/>
        <v>2912.7386265029195</v>
      </c>
    </row>
    <row r="13" spans="2:17" hidden="1" x14ac:dyDescent="0.25">
      <c r="B13" s="63">
        <f t="shared" si="1"/>
        <v>7</v>
      </c>
      <c r="C13" s="344" t="s">
        <v>312</v>
      </c>
      <c r="D13" s="63" t="s">
        <v>308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90">
        <f t="shared" si="0"/>
        <v>0</v>
      </c>
    </row>
    <row r="14" spans="2:17" hidden="1" x14ac:dyDescent="0.25">
      <c r="B14" s="63">
        <f t="shared" si="1"/>
        <v>8</v>
      </c>
      <c r="C14" s="344" t="s">
        <v>312</v>
      </c>
      <c r="D14" s="63" t="s">
        <v>306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90">
        <f t="shared" si="0"/>
        <v>0</v>
      </c>
    </row>
    <row r="15" spans="2:17" ht="27.6" hidden="1" x14ac:dyDescent="0.25">
      <c r="B15" s="63">
        <f t="shared" si="1"/>
        <v>9</v>
      </c>
      <c r="C15" s="345" t="s">
        <v>313</v>
      </c>
      <c r="D15" s="63" t="s">
        <v>306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90">
        <f t="shared" si="0"/>
        <v>0</v>
      </c>
    </row>
    <row r="16" spans="2:17" hidden="1" x14ac:dyDescent="0.25">
      <c r="B16" s="63"/>
      <c r="C16" s="343" t="s">
        <v>314</v>
      </c>
      <c r="D16" s="63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342"/>
    </row>
    <row r="17" spans="2:17" ht="27.6" hidden="1" x14ac:dyDescent="0.25">
      <c r="B17" s="63">
        <f>B15+1</f>
        <v>10</v>
      </c>
      <c r="C17" s="345" t="s">
        <v>315</v>
      </c>
      <c r="D17" s="63" t="s">
        <v>306</v>
      </c>
      <c r="E17" s="18">
        <f>'[18]FORMAT 4 I&amp;R'!$E$26</f>
        <v>1832.145401877</v>
      </c>
      <c r="F17" s="18">
        <f>'[19]FORMAT 4 I&amp;R-DM'!$E$26</f>
        <v>1168.3626799092001</v>
      </c>
      <c r="G17" s="18">
        <f>'[20]FORMAT 4 I&amp;R'!$E$26</f>
        <v>1092.8748019939999</v>
      </c>
      <c r="H17" s="18">
        <f>'[21]FORMAT 4 I&amp;R'!$E$26</f>
        <v>1064.7657789300001</v>
      </c>
      <c r="I17" s="18">
        <f>'[22]FORMAT 4 I&amp;R DM'!$E$26</f>
        <v>1523.7414107625</v>
      </c>
      <c r="J17" s="18">
        <f>'[23]FORMAT 4 I&amp;R (2)'!$E$26</f>
        <v>1482.6473351722996</v>
      </c>
      <c r="K17" s="18">
        <f>'[24]FORMAT 4 I&amp;R'!$E$26</f>
        <v>1287.5364685551999</v>
      </c>
      <c r="L17" s="18">
        <f>'[25]FORMAT 4 I&amp;R'!$E$26</f>
        <v>1097.0479517213003</v>
      </c>
      <c r="M17" s="18">
        <f>'[26]FORMAT 4 I&amp;R'!$E$26</f>
        <v>1602.2019522243997</v>
      </c>
      <c r="N17" s="18">
        <f>'[27]FORMAT 4 I&amp;R'!$E$26</f>
        <v>1836.8530867500003</v>
      </c>
      <c r="O17" s="18">
        <f>'[28]FORMAT 4 I&amp;R'!$E$26</f>
        <v>2004.1690588072997</v>
      </c>
      <c r="P17" s="18">
        <f>'[29]FORMAT 4 I&amp;R'!$E$26</f>
        <v>2235.1255906903998</v>
      </c>
      <c r="Q17" s="90">
        <f>SUM(E17:P17)</f>
        <v>18227.471517393602</v>
      </c>
    </row>
    <row r="18" spans="2:17" hidden="1" x14ac:dyDescent="0.25">
      <c r="B18" s="63">
        <f>B17+1</f>
        <v>11</v>
      </c>
      <c r="C18" s="344" t="s">
        <v>316</v>
      </c>
      <c r="D18" s="63" t="s">
        <v>306</v>
      </c>
      <c r="E18" s="18">
        <f>'[17]FY22-23 Actual Sales  '!G107</f>
        <v>58.315529409999975</v>
      </c>
      <c r="F18" s="18">
        <f>'[17]FY22-23 Actual Sales  '!H107</f>
        <v>52.781393550000011</v>
      </c>
      <c r="G18" s="18">
        <f>'[17]FY22-23 Actual Sales  '!I107</f>
        <v>46.031815999999907</v>
      </c>
      <c r="H18" s="18">
        <f>'[17]FY22-23 Actual Sales  '!J107</f>
        <v>40.450056999999973</v>
      </c>
      <c r="I18" s="18">
        <f>'[17]FY22-23 Actual Sales  '!K107</f>
        <v>43.617379700000001</v>
      </c>
      <c r="J18" s="18">
        <f>'[17]FY22-23 Actual Sales  '!L107</f>
        <v>43.046636539999923</v>
      </c>
      <c r="K18" s="18">
        <f>'[17]FY22-23 Actual Sales  '!M107</f>
        <v>42.250214229999962</v>
      </c>
      <c r="L18" s="18">
        <f>'[17]FY22-23 Actual Sales  '!N107</f>
        <v>43.659411000000006</v>
      </c>
      <c r="M18" s="18">
        <f>'[17]FY22-23 Actual Sales  '!O107</f>
        <v>46.749057000000008</v>
      </c>
      <c r="N18" s="18">
        <f>'[17]FY22-23 Actual Sales  '!P107</f>
        <v>47.685241500000025</v>
      </c>
      <c r="O18" s="18">
        <f>'[17]FY22-23 Actual Sales  '!Q107</f>
        <v>50.26241399999995</v>
      </c>
      <c r="P18" s="18">
        <f>'[17]FY22-23 Actual Sales  '!R107</f>
        <v>63.044438883871003</v>
      </c>
      <c r="Q18" s="90">
        <f>SUM(E18:P18)</f>
        <v>577.89358881387068</v>
      </c>
    </row>
    <row r="19" spans="2:17" hidden="1" x14ac:dyDescent="0.25">
      <c r="B19" s="63">
        <f>B18+1</f>
        <v>12</v>
      </c>
      <c r="C19" s="344" t="s">
        <v>317</v>
      </c>
      <c r="D19" s="63" t="s">
        <v>308</v>
      </c>
      <c r="E19" s="357">
        <f>E20/E17</f>
        <v>3.006844392566279E-2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90">
        <f>SUM(E19:P19)</f>
        <v>3.006844392566279E-2</v>
      </c>
    </row>
    <row r="20" spans="2:17" hidden="1" x14ac:dyDescent="0.25">
      <c r="B20" s="63">
        <f>B19+1</f>
        <v>13</v>
      </c>
      <c r="C20" s="344" t="s">
        <v>317</v>
      </c>
      <c r="D20" s="63" t="s">
        <v>306</v>
      </c>
      <c r="E20" s="356">
        <f>'[18]FORMAT 4 I&amp;R'!$E$8</f>
        <v>55.089761279999493</v>
      </c>
      <c r="F20" s="18">
        <f>'[19]FORMAT 4 I&amp;R-DM'!$E$8</f>
        <v>35.12352060000012</v>
      </c>
      <c r="G20" s="18">
        <f>'[20]FORMAT 4 I&amp;R'!$E$8</f>
        <v>32.789125990000002</v>
      </c>
      <c r="H20" s="18">
        <f>'[21]FORMAT 4 I&amp;R'!$E$8</f>
        <v>32.583116430000018</v>
      </c>
      <c r="I20" s="18">
        <f>'[22]FORMAT 4 I&amp;R DM'!$E$8</f>
        <v>45.774450160000015</v>
      </c>
      <c r="J20" s="18">
        <f>'[23]FORMAT 4 I&amp;R (2)'!$E$8</f>
        <v>47.009686919999695</v>
      </c>
      <c r="K20" s="18">
        <f>'[24]FORMAT 4 I&amp;R'!$E$8</f>
        <v>39.381092790000139</v>
      </c>
      <c r="L20" s="18">
        <f>'[25]FORMAT 4 I&amp;R'!$E$8</f>
        <v>32.64739230000032</v>
      </c>
      <c r="M20" s="18">
        <f>'[26]FORMAT 4 I&amp;R'!$E$8</f>
        <v>47.921504460000051</v>
      </c>
      <c r="N20" s="18">
        <f>'[27]FORMAT 4 I&amp;R'!$E$8</f>
        <v>56.818012250000493</v>
      </c>
      <c r="O20" s="18">
        <f>'[28]FORMAT 4 I&amp;R'!$E$8</f>
        <v>56.581671329999836</v>
      </c>
      <c r="P20" s="18">
        <f>'[29]FORMAT 4 I&amp;R'!$E$8</f>
        <v>66.379887419999704</v>
      </c>
      <c r="Q20" s="90">
        <f>SUM(E20:P20)</f>
        <v>548.09922192999989</v>
      </c>
    </row>
    <row r="21" spans="2:17" ht="27.6" hidden="1" x14ac:dyDescent="0.25">
      <c r="B21" s="63">
        <f>B20+1</f>
        <v>14</v>
      </c>
      <c r="C21" s="345" t="s">
        <v>318</v>
      </c>
      <c r="D21" s="63" t="s">
        <v>306</v>
      </c>
      <c r="E21" s="356">
        <f>E17-E18-E20</f>
        <v>1718.7401111870006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90">
        <f>SUM(E21:P21)</f>
        <v>1718.7401111870006</v>
      </c>
    </row>
    <row r="22" spans="2:17" hidden="1" x14ac:dyDescent="0.25">
      <c r="B22" s="63"/>
      <c r="C22" s="343" t="s">
        <v>319</v>
      </c>
      <c r="D22" s="63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342"/>
    </row>
    <row r="23" spans="2:17" ht="27.6" hidden="1" x14ac:dyDescent="0.25">
      <c r="B23" s="63">
        <f>B21+1</f>
        <v>15</v>
      </c>
      <c r="C23" s="345" t="s">
        <v>320</v>
      </c>
      <c r="D23" s="63" t="s">
        <v>306</v>
      </c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90">
        <f t="shared" ref="Q23:Q28" si="2">SUM(E23:P23)</f>
        <v>0</v>
      </c>
    </row>
    <row r="24" spans="2:17" hidden="1" x14ac:dyDescent="0.25">
      <c r="B24" s="63">
        <f>B23+1</f>
        <v>16</v>
      </c>
      <c r="C24" s="345" t="s">
        <v>321</v>
      </c>
      <c r="D24" s="63" t="s">
        <v>306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90">
        <f t="shared" si="2"/>
        <v>0</v>
      </c>
    </row>
    <row r="25" spans="2:17" hidden="1" x14ac:dyDescent="0.25">
      <c r="B25" s="63">
        <f>B24+1</f>
        <v>17</v>
      </c>
      <c r="C25" s="344" t="s">
        <v>322</v>
      </c>
      <c r="D25" s="63" t="s">
        <v>306</v>
      </c>
      <c r="E25" s="18">
        <f>'[17]FY22-23 Actual Sales  '!G75</f>
        <v>237.16987799</v>
      </c>
      <c r="F25" s="18">
        <f>'[17]FY22-23 Actual Sales  '!H75</f>
        <v>155.44521056000002</v>
      </c>
      <c r="G25" s="18">
        <f>'[17]FY22-23 Actual Sales  '!I75</f>
        <v>178.7165013500001</v>
      </c>
      <c r="H25" s="18">
        <f>'[17]FY22-23 Actual Sales  '!J75</f>
        <v>154.72465940000004</v>
      </c>
      <c r="I25" s="18">
        <f>'[17]FY22-23 Actual Sales  '!K75</f>
        <v>178.47259765999999</v>
      </c>
      <c r="J25" s="18">
        <f>'[17]FY22-23 Actual Sales  '!L75</f>
        <v>207.06300263000003</v>
      </c>
      <c r="K25" s="18">
        <f>'[17]FY22-23 Actual Sales  '!M75</f>
        <v>182.01361280000003</v>
      </c>
      <c r="L25" s="18">
        <f>'[17]FY22-23 Actual Sales  '!N75</f>
        <v>162.94037406999996</v>
      </c>
      <c r="M25" s="18">
        <f>'[17]FY22-23 Actual Sales  '!O75</f>
        <v>204.22081157000002</v>
      </c>
      <c r="N25" s="18">
        <f>'[17]FY22-23 Actual Sales  '!P75</f>
        <v>230.80941757000002</v>
      </c>
      <c r="O25" s="18">
        <f>'[17]FY22-23 Actual Sales  '!Q75</f>
        <v>233.85216882000003</v>
      </c>
      <c r="P25" s="18">
        <f>'[17]FY22-23 Actual Sales  '!R75</f>
        <v>329.77432229000004</v>
      </c>
      <c r="Q25" s="90">
        <f t="shared" si="2"/>
        <v>2455.2025567100004</v>
      </c>
    </row>
    <row r="26" spans="2:17" hidden="1" x14ac:dyDescent="0.25">
      <c r="B26" s="63">
        <f>B25+1</f>
        <v>18</v>
      </c>
      <c r="C26" s="344" t="s">
        <v>323</v>
      </c>
      <c r="D26" s="63" t="s">
        <v>308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90">
        <f t="shared" si="2"/>
        <v>0</v>
      </c>
    </row>
    <row r="27" spans="2:17" hidden="1" x14ac:dyDescent="0.25">
      <c r="B27" s="63">
        <f>B26+1</f>
        <v>19</v>
      </c>
      <c r="C27" s="344" t="s">
        <v>323</v>
      </c>
      <c r="D27" s="63" t="s">
        <v>306</v>
      </c>
      <c r="E27" s="18">
        <f>'[30]FORMAT 4 I&amp;R'!$E$17</f>
        <v>66.162814986553713</v>
      </c>
      <c r="F27" s="18">
        <f>'[19]FORMAT 4 I&amp;R-DM'!$E$17</f>
        <v>41.230965742364106</v>
      </c>
      <c r="G27" s="18">
        <f>'[20]FORMAT 4 I&amp;R'!$E$17</f>
        <v>37.209228253299216</v>
      </c>
      <c r="H27" s="18">
        <f>'[21]FORMAT 4 I&amp;R'!$E$17</f>
        <v>37.364075172480057</v>
      </c>
      <c r="I27" s="18">
        <f>'[22]FORMAT 4 I&amp;R DM'!$E$17</f>
        <v>56.081814608623972</v>
      </c>
      <c r="J27" s="18">
        <f>'[23]FORMAT 4 I&amp;R (2)'!$E$17</f>
        <v>52.904252200679139</v>
      </c>
      <c r="K27" s="18">
        <f>'[24]FORMAT 4 I&amp;R'!$E$17</f>
        <v>45.704762744040977</v>
      </c>
      <c r="L27" s="18">
        <f>'[25]FORMAT 4 I&amp;R'!$E$17</f>
        <v>38.235892502138199</v>
      </c>
      <c r="M27" s="18">
        <f>'[26]FORMAT 4 I&amp;R'!$E$17</f>
        <v>58.200097410309127</v>
      </c>
      <c r="N27" s="18">
        <f>'[27]FORMAT 4 I&amp;R'!$E$17</f>
        <v>67.002119920063933</v>
      </c>
      <c r="O27" s="18">
        <f>'[28]FORMAT 4 I&amp;R'!$E$17</f>
        <v>74.239114103047086</v>
      </c>
      <c r="P27" s="18">
        <f>'[29]FORMAT 4 I&amp;R'!$E$17</f>
        <v>35.436676759607963</v>
      </c>
      <c r="Q27" s="90">
        <f t="shared" si="2"/>
        <v>609.77181440320749</v>
      </c>
    </row>
    <row r="28" spans="2:17" ht="27.6" hidden="1" x14ac:dyDescent="0.25">
      <c r="B28" s="63">
        <f>B27+1</f>
        <v>20</v>
      </c>
      <c r="C28" s="345" t="s">
        <v>324</v>
      </c>
      <c r="D28" s="63" t="s">
        <v>306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90">
        <f t="shared" si="2"/>
        <v>0</v>
      </c>
    </row>
    <row r="29" spans="2:17" hidden="1" x14ac:dyDescent="0.25">
      <c r="B29" s="63"/>
      <c r="C29" s="343" t="s">
        <v>325</v>
      </c>
      <c r="D29" s="63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342"/>
    </row>
    <row r="30" spans="2:17" hidden="1" x14ac:dyDescent="0.25">
      <c r="B30" s="63">
        <f>B28+1</f>
        <v>21</v>
      </c>
      <c r="C30" s="345" t="s">
        <v>321</v>
      </c>
      <c r="D30" s="63" t="s">
        <v>306</v>
      </c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90">
        <f t="shared" ref="Q30:Q39" si="3">SUM(E30:P30)</f>
        <v>0</v>
      </c>
    </row>
    <row r="31" spans="2:17" hidden="1" x14ac:dyDescent="0.25">
      <c r="B31" s="63">
        <f>B30+1</f>
        <v>22</v>
      </c>
      <c r="C31" s="344" t="s">
        <v>327</v>
      </c>
      <c r="D31" s="63" t="s">
        <v>306</v>
      </c>
      <c r="E31" s="18">
        <f>'[17]FY22-23 Actual Sales  '!G70</f>
        <v>1334.3067099999998</v>
      </c>
      <c r="F31" s="18">
        <f>'[17]FY22-23 Actual Sales  '!H70</f>
        <v>829.4952599999998</v>
      </c>
      <c r="G31" s="18">
        <f>'[17]FY22-23 Actual Sales  '!I70</f>
        <v>756.19862699999999</v>
      </c>
      <c r="H31" s="18">
        <f>'[17]FY22-23 Actual Sales  '!J70</f>
        <v>751.91435599999977</v>
      </c>
      <c r="I31" s="18">
        <f>'[17]FY22-23 Actual Sales  '!K70</f>
        <v>1136.7870838000001</v>
      </c>
      <c r="J31" s="18">
        <f>'[17]FY22-23 Actual Sales  '!L70</f>
        <v>1068.1349099999998</v>
      </c>
      <c r="K31" s="18">
        <f>'[17]FY22-23 Actual Sales  '!M70</f>
        <v>921.94061199999987</v>
      </c>
      <c r="L31" s="18">
        <f>'[17]FY22-23 Actual Sales  '!N70</f>
        <v>772.75285599999984</v>
      </c>
      <c r="M31" s="18">
        <f>'[17]FY22-23 Actual Sales  '!O70</f>
        <v>1164.0254779999998</v>
      </c>
      <c r="N31" s="18">
        <f>'[17]FY22-23 Actual Sales  '!P70</f>
        <v>1356.2221410000002</v>
      </c>
      <c r="O31" s="18">
        <f>'[17]FY22-23 Actual Sales  '!Q70</f>
        <v>1501.5068759999999</v>
      </c>
      <c r="P31" s="18">
        <f>'[17]FY22-23 Actual Sales  '!R70</f>
        <v>1710.8317129999998</v>
      </c>
      <c r="Q31" s="90">
        <f t="shared" si="3"/>
        <v>13304.116622799998</v>
      </c>
    </row>
    <row r="32" spans="2:17" hidden="1" x14ac:dyDescent="0.25">
      <c r="B32" s="63">
        <f>B31+1</f>
        <v>23</v>
      </c>
      <c r="C32" s="344" t="s">
        <v>328</v>
      </c>
      <c r="D32" s="63" t="s">
        <v>308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90">
        <f t="shared" si="3"/>
        <v>0</v>
      </c>
    </row>
    <row r="33" spans="2:17" hidden="1" x14ac:dyDescent="0.25">
      <c r="B33" s="63">
        <f>B32+1</f>
        <v>24</v>
      </c>
      <c r="C33" s="344" t="s">
        <v>328</v>
      </c>
      <c r="D33" s="63" t="s">
        <v>306</v>
      </c>
      <c r="E33" s="18">
        <f>'[30]FORMAT 4 I&amp;R'!$E$23</f>
        <v>76.379023820446719</v>
      </c>
      <c r="F33" s="18">
        <f>'[19]FORMAT 4 I&amp;R-DM'!$E$23</f>
        <v>49.607831006835681</v>
      </c>
      <c r="G33" s="18">
        <f>'[20]FORMAT 4 I&amp;R'!$E$23</f>
        <v>37.155275400700589</v>
      </c>
      <c r="H33" s="18">
        <f>'[21]FORMAT 4 I&amp;R'!$E$23</f>
        <v>44.74110392751993</v>
      </c>
      <c r="I33" s="18">
        <f>'[22]FORMAT 4 I&amp;R DM'!$E$23</f>
        <v>58.9573205338761</v>
      </c>
      <c r="J33" s="18">
        <f>'[23]FORMAT 4 I&amp;R (2)'!$E$23</f>
        <v>59.85932442162084</v>
      </c>
      <c r="K33" s="18">
        <f>'[24]FORMAT 4 I&amp;R'!$E$23</f>
        <v>52.550222221158833</v>
      </c>
      <c r="L33" s="18">
        <f>'[25]FORMAT 4 I&amp;R'!$E$23</f>
        <v>42.490994849161893</v>
      </c>
      <c r="M33" s="18">
        <f>'[26]FORMAT 4 I&amp;R'!$E$23</f>
        <v>76.883741784090716</v>
      </c>
      <c r="N33" s="18">
        <f>'[27]FORMAT 4 I&amp;R'!$E$23</f>
        <v>72.358773009935931</v>
      </c>
      <c r="O33" s="18">
        <f>'[28]FORMAT 4 I&amp;R'!$E$23</f>
        <v>81.377092554253068</v>
      </c>
      <c r="P33" s="18">
        <f>'[29]FORMAT 4 I&amp;R'!$E$17</f>
        <v>35.436676759607963</v>
      </c>
      <c r="Q33" s="90">
        <f t="shared" si="3"/>
        <v>687.79738028920826</v>
      </c>
    </row>
    <row r="34" spans="2:17" hidden="1" x14ac:dyDescent="0.25">
      <c r="B34" s="63"/>
      <c r="C34" s="343" t="s">
        <v>251</v>
      </c>
      <c r="D34" s="63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90">
        <f t="shared" si="3"/>
        <v>0</v>
      </c>
    </row>
    <row r="35" spans="2:17" hidden="1" x14ac:dyDescent="0.25">
      <c r="B35" s="63">
        <f>B33+1</f>
        <v>25</v>
      </c>
      <c r="C35" s="343" t="s">
        <v>336</v>
      </c>
      <c r="D35" s="62" t="s">
        <v>306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90">
        <f t="shared" si="3"/>
        <v>0</v>
      </c>
    </row>
    <row r="36" spans="2:17" hidden="1" x14ac:dyDescent="0.25">
      <c r="B36" s="63">
        <f>B35+1</f>
        <v>26</v>
      </c>
      <c r="C36" s="343" t="s">
        <v>330</v>
      </c>
      <c r="D36" s="62" t="s">
        <v>306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90">
        <f t="shared" si="3"/>
        <v>0</v>
      </c>
    </row>
    <row r="37" spans="2:17" ht="27.6" hidden="1" x14ac:dyDescent="0.25">
      <c r="B37" s="63">
        <f>B36+1</f>
        <v>27</v>
      </c>
      <c r="C37" s="341" t="s">
        <v>337</v>
      </c>
      <c r="D37" s="62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90">
        <f t="shared" si="3"/>
        <v>0</v>
      </c>
    </row>
    <row r="38" spans="2:17" hidden="1" x14ac:dyDescent="0.25">
      <c r="B38" s="63">
        <f>B37+1</f>
        <v>28</v>
      </c>
      <c r="C38" s="341" t="s">
        <v>332</v>
      </c>
      <c r="D38" s="62" t="s">
        <v>306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90">
        <f t="shared" si="3"/>
        <v>0</v>
      </c>
    </row>
    <row r="39" spans="2:17" hidden="1" x14ac:dyDescent="0.25">
      <c r="B39" s="63">
        <f>B38+1</f>
        <v>29</v>
      </c>
      <c r="C39" s="341" t="s">
        <v>333</v>
      </c>
      <c r="D39" s="62" t="s">
        <v>308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90">
        <f t="shared" si="3"/>
        <v>0</v>
      </c>
    </row>
    <row r="40" spans="2:17" hidden="1" x14ac:dyDescent="0.25"/>
    <row r="41" spans="2:17" hidden="1" x14ac:dyDescent="0.25">
      <c r="B41" s="794" t="s">
        <v>4</v>
      </c>
      <c r="C41" s="760" t="s">
        <v>5</v>
      </c>
      <c r="D41" s="729" t="s">
        <v>298</v>
      </c>
      <c r="E41" s="768" t="s">
        <v>338</v>
      </c>
      <c r="F41" s="768"/>
      <c r="G41" s="768"/>
      <c r="H41" s="768"/>
      <c r="I41" s="768"/>
      <c r="J41" s="768"/>
      <c r="K41" s="768"/>
      <c r="L41" s="768"/>
      <c r="M41" s="768"/>
      <c r="N41" s="768"/>
      <c r="O41" s="768"/>
      <c r="P41" s="768"/>
      <c r="Q41" s="768"/>
    </row>
    <row r="42" spans="2:17" hidden="1" x14ac:dyDescent="0.25">
      <c r="B42" s="794"/>
      <c r="C42" s="760"/>
      <c r="D42" s="729"/>
      <c r="E42" s="13" t="s">
        <v>239</v>
      </c>
      <c r="F42" s="13" t="s">
        <v>240</v>
      </c>
      <c r="G42" s="13" t="s">
        <v>241</v>
      </c>
      <c r="H42" s="13" t="s">
        <v>242</v>
      </c>
      <c r="I42" s="13" t="s">
        <v>243</v>
      </c>
      <c r="J42" s="13" t="s">
        <v>244</v>
      </c>
      <c r="K42" s="13" t="s">
        <v>245</v>
      </c>
      <c r="L42" s="13" t="s">
        <v>246</v>
      </c>
      <c r="M42" s="13" t="s">
        <v>247</v>
      </c>
      <c r="N42" s="13" t="s">
        <v>248</v>
      </c>
      <c r="O42" s="13" t="s">
        <v>249</v>
      </c>
      <c r="P42" s="13" t="s">
        <v>250</v>
      </c>
      <c r="Q42" s="13" t="s">
        <v>251</v>
      </c>
    </row>
    <row r="43" spans="2:17" hidden="1" x14ac:dyDescent="0.25">
      <c r="B43" s="794"/>
      <c r="C43" s="760"/>
      <c r="D43" s="729"/>
      <c r="E43" s="13" t="s">
        <v>24</v>
      </c>
      <c r="F43" s="13" t="s">
        <v>24</v>
      </c>
      <c r="G43" s="13" t="s">
        <v>24</v>
      </c>
      <c r="H43" s="13" t="s">
        <v>24</v>
      </c>
      <c r="I43" s="13" t="s">
        <v>24</v>
      </c>
      <c r="J43" s="13" t="s">
        <v>24</v>
      </c>
      <c r="K43" s="13" t="s">
        <v>25</v>
      </c>
      <c r="L43" s="13" t="s">
        <v>25</v>
      </c>
      <c r="M43" s="13" t="s">
        <v>25</v>
      </c>
      <c r="N43" s="13" t="s">
        <v>25</v>
      </c>
      <c r="O43" s="13" t="s">
        <v>25</v>
      </c>
      <c r="P43" s="13" t="s">
        <v>25</v>
      </c>
      <c r="Q43" s="13" t="s">
        <v>25</v>
      </c>
    </row>
    <row r="44" spans="2:17" hidden="1" x14ac:dyDescent="0.25">
      <c r="B44" s="63">
        <v>1</v>
      </c>
      <c r="C44" s="344" t="s">
        <v>305</v>
      </c>
      <c r="D44" s="63" t="s">
        <v>306</v>
      </c>
      <c r="E44" s="18">
        <f>[31]Rqmnt!Y48+[31]Rqmnt!Y49</f>
        <v>527.59868960438848</v>
      </c>
      <c r="F44" s="18">
        <f>[31]Rqmnt!Z48+[31]Rqmnt!Z49</f>
        <v>444.90016380667191</v>
      </c>
      <c r="G44" s="18">
        <f>[31]Rqmnt!AA48+[31]Rqmnt!AA49</f>
        <v>512.85866267238646</v>
      </c>
      <c r="H44" s="18">
        <f>[31]Rqmnt!AB48+[31]Rqmnt!AB49</f>
        <v>496.17605544911589</v>
      </c>
      <c r="I44" s="18">
        <f>[31]Rqmnt!AC48+[31]Rqmnt!AC49</f>
        <v>535.25198313046349</v>
      </c>
      <c r="J44" s="18">
        <f>[31]Rqmnt!AD48+[31]Rqmnt!AD49</f>
        <v>585.27638562811353</v>
      </c>
      <c r="K44" s="18">
        <f>[31]Rqmnt!AE48+[31]Rqmnt!AE49</f>
        <v>441.62216085464331</v>
      </c>
      <c r="L44" s="18">
        <f>[31]Rqmnt!AF48+[31]Rqmnt!AF49</f>
        <v>566.25603832898378</v>
      </c>
      <c r="M44" s="18">
        <f>[31]Rqmnt!AG48+[31]Rqmnt!AG49</f>
        <v>643.87304162464829</v>
      </c>
      <c r="N44" s="18">
        <f>[31]Rqmnt!AH48+[31]Rqmnt!AH49</f>
        <v>853.33064351546136</v>
      </c>
      <c r="O44" s="18">
        <f>[31]Rqmnt!AI48+[31]Rqmnt!AI49</f>
        <v>827.28528589561995</v>
      </c>
      <c r="P44" s="18">
        <f>[31]Rqmnt!AJ48+[31]Rqmnt!AJ49</f>
        <v>902.28385649870279</v>
      </c>
      <c r="Q44" s="90">
        <f>SUM(E44:P44)</f>
        <v>7336.7129670091999</v>
      </c>
    </row>
    <row r="45" spans="2:17" hidden="1" x14ac:dyDescent="0.25">
      <c r="B45" s="63">
        <f t="shared" ref="B45:B52" si="4">B44+1</f>
        <v>2</v>
      </c>
      <c r="C45" s="344" t="s">
        <v>307</v>
      </c>
      <c r="D45" s="63" t="s">
        <v>308</v>
      </c>
      <c r="E45" s="355">
        <f t="shared" ref="E45:Q45" si="5">E46/E44</f>
        <v>3.9300000000000002E-2</v>
      </c>
      <c r="F45" s="355">
        <f t="shared" si="5"/>
        <v>3.5799999999999998E-2</v>
      </c>
      <c r="G45" s="355">
        <f t="shared" si="5"/>
        <v>3.2899999999999999E-2</v>
      </c>
      <c r="H45" s="355">
        <f t="shared" si="5"/>
        <v>3.5099999999999999E-2</v>
      </c>
      <c r="I45" s="355">
        <f t="shared" si="5"/>
        <v>3.3700000000000001E-2</v>
      </c>
      <c r="J45" s="355">
        <f t="shared" si="5"/>
        <v>3.5000000000000003E-2</v>
      </c>
      <c r="K45" s="355">
        <f t="shared" si="5"/>
        <v>3.9183333333333334E-2</v>
      </c>
      <c r="L45" s="355">
        <f t="shared" si="5"/>
        <v>3.9183333333333334E-2</v>
      </c>
      <c r="M45" s="355">
        <f t="shared" si="5"/>
        <v>3.9183333333333334E-2</v>
      </c>
      <c r="N45" s="355">
        <f t="shared" si="5"/>
        <v>3.9183333333333334E-2</v>
      </c>
      <c r="O45" s="355">
        <f t="shared" si="5"/>
        <v>3.9183333333333334E-2</v>
      </c>
      <c r="P45" s="355">
        <f t="shared" si="5"/>
        <v>3.9183333333333334E-2</v>
      </c>
      <c r="Q45" s="355">
        <f t="shared" si="5"/>
        <v>3.7537422168622783E-2</v>
      </c>
    </row>
    <row r="46" spans="2:17" hidden="1" x14ac:dyDescent="0.25">
      <c r="B46" s="63">
        <f t="shared" si="4"/>
        <v>3</v>
      </c>
      <c r="C46" s="344" t="s">
        <v>307</v>
      </c>
      <c r="D46" s="63" t="s">
        <v>306</v>
      </c>
      <c r="E46" s="18">
        <f>[31]Rqmnt!Y52</f>
        <v>20.73462850145247</v>
      </c>
      <c r="F46" s="18">
        <f>[31]Rqmnt!Z52</f>
        <v>15.927425864278854</v>
      </c>
      <c r="G46" s="18">
        <f>[31]Rqmnt!AA52</f>
        <v>16.873050001921513</v>
      </c>
      <c r="H46" s="18">
        <f>[31]Rqmnt!AB52</f>
        <v>17.415779546263966</v>
      </c>
      <c r="I46" s="18">
        <f>[31]Rqmnt!AC52</f>
        <v>18.037991831496619</v>
      </c>
      <c r="J46" s="18">
        <f>[31]Rqmnt!AD52</f>
        <v>20.484673496983977</v>
      </c>
      <c r="K46" s="18">
        <f>[31]Rqmnt!AE52</f>
        <v>17.304228336154441</v>
      </c>
      <c r="L46" s="18">
        <f>[31]Rqmnt!AF52</f>
        <v>22.187799101857347</v>
      </c>
      <c r="M46" s="18">
        <f>[31]Rqmnt!AG52</f>
        <v>25.229092014325804</v>
      </c>
      <c r="N46" s="18">
        <f>[31]Rqmnt!AH52</f>
        <v>33.436339048414162</v>
      </c>
      <c r="O46" s="18">
        <f>[31]Rqmnt!AI52</f>
        <v>32.415795119010042</v>
      </c>
      <c r="P46" s="18">
        <f>[31]Rqmnt!AJ52</f>
        <v>35.354489110474169</v>
      </c>
      <c r="Q46" s="90">
        <f>SUM(E46:P46)</f>
        <v>275.40129197263337</v>
      </c>
    </row>
    <row r="47" spans="2:17" ht="27.6" hidden="1" x14ac:dyDescent="0.25">
      <c r="B47" s="63">
        <f t="shared" si="4"/>
        <v>4</v>
      </c>
      <c r="C47" s="345" t="s">
        <v>309</v>
      </c>
      <c r="D47" s="63" t="s">
        <v>306</v>
      </c>
      <c r="E47" s="18">
        <f t="shared" ref="E47:P47" si="6">E44-E46</f>
        <v>506.86406110293603</v>
      </c>
      <c r="F47" s="18">
        <f t="shared" si="6"/>
        <v>428.97273794239305</v>
      </c>
      <c r="G47" s="18">
        <f t="shared" si="6"/>
        <v>495.98561267046495</v>
      </c>
      <c r="H47" s="18">
        <f t="shared" si="6"/>
        <v>478.7602759028519</v>
      </c>
      <c r="I47" s="18">
        <f t="shared" si="6"/>
        <v>517.2139912989669</v>
      </c>
      <c r="J47" s="18">
        <f t="shared" si="6"/>
        <v>564.79171213112954</v>
      </c>
      <c r="K47" s="18">
        <f t="shared" si="6"/>
        <v>424.31793251848887</v>
      </c>
      <c r="L47" s="18">
        <f t="shared" si="6"/>
        <v>544.06823922712647</v>
      </c>
      <c r="M47" s="18">
        <f t="shared" si="6"/>
        <v>618.64394961032247</v>
      </c>
      <c r="N47" s="18">
        <f t="shared" si="6"/>
        <v>819.89430446704716</v>
      </c>
      <c r="O47" s="18">
        <f t="shared" si="6"/>
        <v>794.86949077660995</v>
      </c>
      <c r="P47" s="18">
        <f t="shared" si="6"/>
        <v>866.92936738822857</v>
      </c>
      <c r="Q47" s="90">
        <f>SUM(E47:P47)</f>
        <v>7061.3116750365652</v>
      </c>
    </row>
    <row r="48" spans="2:17" ht="27.6" hidden="1" x14ac:dyDescent="0.25">
      <c r="B48" s="63">
        <f t="shared" si="4"/>
        <v>5</v>
      </c>
      <c r="C48" s="345" t="s">
        <v>310</v>
      </c>
      <c r="D48" s="63" t="s">
        <v>306</v>
      </c>
      <c r="E48" s="18">
        <f>[31]Rqmnt!Y55-([31]Rqmnt!Y49+[31]Rqmnt!Y48)</f>
        <v>1537.7053228479342</v>
      </c>
      <c r="F48" s="18">
        <f>[31]Rqmnt!Z55-([31]Rqmnt!Z49+[31]Rqmnt!Z48)</f>
        <v>859.4269334437962</v>
      </c>
      <c r="G48" s="18">
        <f>[31]Rqmnt!AA55-([31]Rqmnt!AA49+[31]Rqmnt!AA48)</f>
        <v>965.49114679396678</v>
      </c>
      <c r="H48" s="18">
        <f>[31]Rqmnt!AB55-([31]Rqmnt!AB49+[31]Rqmnt!AB48)</f>
        <v>1310.1051392582367</v>
      </c>
      <c r="I48" s="18">
        <f>[31]Rqmnt!AC55-([31]Rqmnt!AC49+[31]Rqmnt!AC48)</f>
        <v>1596.2478500013949</v>
      </c>
      <c r="J48" s="18">
        <f>[31]Rqmnt!AD55-([31]Rqmnt!AD49+[31]Rqmnt!AD48)</f>
        <v>1216.6875741365607</v>
      </c>
      <c r="K48" s="18">
        <f>[31]Rqmnt!AE55-([31]Rqmnt!AE49+[31]Rqmnt!AE48)</f>
        <v>1129.5257059510295</v>
      </c>
      <c r="L48" s="18">
        <f>[31]Rqmnt!AF55-([31]Rqmnt!AF49+[31]Rqmnt!AF48)</f>
        <v>774.84287910642411</v>
      </c>
      <c r="M48" s="18">
        <f>[31]Rqmnt!AG55-([31]Rqmnt!AG49+[31]Rqmnt!AG48)</f>
        <v>1228.8386561260527</v>
      </c>
      <c r="N48" s="18">
        <f>[31]Rqmnt!AH55-([31]Rqmnt!AH49+[31]Rqmnt!AH48)</f>
        <v>1375.5443975636854</v>
      </c>
      <c r="O48" s="18">
        <f>[31]Rqmnt!AI55-([31]Rqmnt!AI49+[31]Rqmnt!AI48)</f>
        <v>1769.2137962949341</v>
      </c>
      <c r="P48" s="18">
        <f>[31]Rqmnt!AJ55-([31]Rqmnt!AJ49+[31]Rqmnt!AJ48)</f>
        <v>2496.2965772996663</v>
      </c>
      <c r="Q48" s="90">
        <f>SUM(E48:P48)</f>
        <v>16259.92597882368</v>
      </c>
    </row>
    <row r="49" spans="2:18" hidden="1" x14ac:dyDescent="0.25">
      <c r="B49" s="63">
        <f t="shared" si="4"/>
        <v>6</v>
      </c>
      <c r="C49" s="344" t="s">
        <v>311</v>
      </c>
      <c r="D49" s="63" t="s">
        <v>306</v>
      </c>
      <c r="E49" s="18">
        <f>[31]Rqmnt!Y37</f>
        <v>357.64328812000002</v>
      </c>
      <c r="F49" s="18">
        <f>[31]Rqmnt!Z37</f>
        <v>169.47063178000002</v>
      </c>
      <c r="G49" s="18">
        <f>[31]Rqmnt!AA37</f>
        <v>127.54531445999999</v>
      </c>
      <c r="H49" s="18">
        <f>[31]Rqmnt!AB37</f>
        <v>380.26127379000002</v>
      </c>
      <c r="I49" s="18">
        <f>[31]Rqmnt!AC37</f>
        <v>126.35375582000002</v>
      </c>
      <c r="J49" s="18">
        <f>[31]Rqmnt!AD37</f>
        <v>175.13891323999999</v>
      </c>
      <c r="K49" s="18">
        <f>[31]Rqmnt!AE37</f>
        <v>163.16562351003077</v>
      </c>
      <c r="L49" s="18">
        <f>[31]Rqmnt!AF37</f>
        <v>130.6723330417411</v>
      </c>
      <c r="M49" s="18">
        <f>[31]Rqmnt!AG37</f>
        <v>132.12502561848939</v>
      </c>
      <c r="N49" s="18">
        <f>[31]Rqmnt!AH37</f>
        <v>212.34578099726122</v>
      </c>
      <c r="O49" s="18">
        <f>[31]Rqmnt!AI37</f>
        <v>393.01532908663694</v>
      </c>
      <c r="P49" s="18">
        <f>[31]Rqmnt!AJ37</f>
        <v>799.99447458762427</v>
      </c>
      <c r="Q49" s="90">
        <f>SUM(E49:P49)</f>
        <v>3167.7317440517836</v>
      </c>
    </row>
    <row r="50" spans="2:18" hidden="1" x14ac:dyDescent="0.25">
      <c r="B50" s="63">
        <f t="shared" si="4"/>
        <v>7</v>
      </c>
      <c r="C50" s="344" t="s">
        <v>312</v>
      </c>
      <c r="D50" s="63" t="s">
        <v>308</v>
      </c>
      <c r="E50" s="155">
        <f t="shared" ref="E50:Q50" si="7">E51/(E48+E47)</f>
        <v>2.3E-2</v>
      </c>
      <c r="F50" s="155">
        <f t="shared" si="7"/>
        <v>2.2499999999999999E-2</v>
      </c>
      <c r="G50" s="155">
        <f t="shared" si="7"/>
        <v>2.1600000000000001E-2</v>
      </c>
      <c r="H50" s="155">
        <f t="shared" si="7"/>
        <v>2.29E-2</v>
      </c>
      <c r="I50" s="155">
        <f t="shared" si="7"/>
        <v>2.3E-2</v>
      </c>
      <c r="J50" s="155">
        <f t="shared" si="7"/>
        <v>2.3900000000000001E-2</v>
      </c>
      <c r="K50" s="155">
        <f t="shared" si="7"/>
        <v>2.5000000000000001E-2</v>
      </c>
      <c r="L50" s="155">
        <f t="shared" si="7"/>
        <v>2.4999999999999998E-2</v>
      </c>
      <c r="M50" s="155">
        <f t="shared" si="7"/>
        <v>2.4999999999999998E-2</v>
      </c>
      <c r="N50" s="155">
        <f t="shared" si="7"/>
        <v>2.4999999999999998E-2</v>
      </c>
      <c r="O50" s="155">
        <f t="shared" si="7"/>
        <v>2.5000000000000001E-2</v>
      </c>
      <c r="P50" s="155">
        <f t="shared" si="7"/>
        <v>2.5000000000000001E-2</v>
      </c>
      <c r="Q50" s="155">
        <f t="shared" si="7"/>
        <v>2.4047120589065253E-2</v>
      </c>
      <c r="R50" s="155"/>
    </row>
    <row r="51" spans="2:18" ht="18.75" hidden="1" customHeight="1" x14ac:dyDescent="0.25">
      <c r="B51" s="63">
        <f t="shared" si="4"/>
        <v>8</v>
      </c>
      <c r="C51" s="344" t="s">
        <v>312</v>
      </c>
      <c r="D51" s="63" t="s">
        <v>306</v>
      </c>
      <c r="E51" s="18">
        <f>[31]Rqmnt!Y47</f>
        <v>47.025095830870015</v>
      </c>
      <c r="F51" s="18">
        <f>[31]Rqmnt!Z47</f>
        <v>28.988992606189257</v>
      </c>
      <c r="G51" s="18">
        <f>[31]Rqmnt!AA47</f>
        <v>31.567898004431729</v>
      </c>
      <c r="H51" s="18">
        <f>[31]Rqmnt!AB47</f>
        <v>40.965018007188931</v>
      </c>
      <c r="I51" s="18">
        <f>[31]Rqmnt!AC47</f>
        <v>48.609622349908321</v>
      </c>
      <c r="J51" s="18">
        <f>[31]Rqmnt!AD47</f>
        <v>42.5773549417978</v>
      </c>
      <c r="K51" s="18">
        <f>[31]Rqmnt!AE47</f>
        <v>38.846090961737957</v>
      </c>
      <c r="L51" s="18">
        <f>[31]Rqmnt!AF47</f>
        <v>32.97277795833876</v>
      </c>
      <c r="M51" s="18">
        <f>[31]Rqmnt!AG47</f>
        <v>46.187065143409377</v>
      </c>
      <c r="N51" s="18">
        <f>[31]Rqmnt!AH47</f>
        <v>54.885967550768314</v>
      </c>
      <c r="O51" s="18">
        <f>[31]Rqmnt!AI47</f>
        <v>64.102082176788599</v>
      </c>
      <c r="P51" s="18">
        <f>[31]Rqmnt!AJ47</f>
        <v>84.080648617197369</v>
      </c>
      <c r="Q51" s="90">
        <f>SUM(E51:P51)</f>
        <v>560.80861414862648</v>
      </c>
    </row>
    <row r="52" spans="2:18" ht="27.6" hidden="1" x14ac:dyDescent="0.25">
      <c r="B52" s="63">
        <f t="shared" si="4"/>
        <v>9</v>
      </c>
      <c r="C52" s="345" t="s">
        <v>313</v>
      </c>
      <c r="D52" s="63" t="s">
        <v>306</v>
      </c>
      <c r="E52" s="18">
        <f t="shared" ref="E52:P52" si="8">E47+E48-E49-E51</f>
        <v>1639.9010000000003</v>
      </c>
      <c r="F52" s="18">
        <f t="shared" si="8"/>
        <v>1089.940047</v>
      </c>
      <c r="G52" s="18">
        <f t="shared" si="8"/>
        <v>1302.3635469999999</v>
      </c>
      <c r="H52" s="18">
        <f t="shared" si="8"/>
        <v>1367.6391233638997</v>
      </c>
      <c r="I52" s="18">
        <f t="shared" si="8"/>
        <v>1938.4984631304535</v>
      </c>
      <c r="J52" s="18">
        <f t="shared" si="8"/>
        <v>1563.7630180858926</v>
      </c>
      <c r="K52" s="18">
        <f t="shared" si="8"/>
        <v>1351.8319239977495</v>
      </c>
      <c r="L52" s="18">
        <f t="shared" si="8"/>
        <v>1155.2660073334707</v>
      </c>
      <c r="M52" s="18">
        <f t="shared" si="8"/>
        <v>1669.1705149744764</v>
      </c>
      <c r="N52" s="18">
        <f t="shared" si="8"/>
        <v>1928.2069534827031</v>
      </c>
      <c r="O52" s="18">
        <f t="shared" si="8"/>
        <v>2106.9658758081187</v>
      </c>
      <c r="P52" s="18">
        <f t="shared" si="8"/>
        <v>2479.1508214830733</v>
      </c>
      <c r="Q52" s="90">
        <f>SUM(E52:P52)</f>
        <v>19592.697295659837</v>
      </c>
    </row>
    <row r="53" spans="2:18" hidden="1" x14ac:dyDescent="0.25">
      <c r="B53" s="63"/>
      <c r="C53" s="343" t="s">
        <v>314</v>
      </c>
      <c r="D53" s="63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342"/>
    </row>
    <row r="54" spans="2:18" ht="27.6" hidden="1" x14ac:dyDescent="0.25">
      <c r="B54" s="63">
        <f>B52+1</f>
        <v>10</v>
      </c>
      <c r="C54" s="345" t="s">
        <v>315</v>
      </c>
      <c r="D54" s="63" t="s">
        <v>306</v>
      </c>
      <c r="E54" s="18">
        <f>[31]Rqmnt!Y7</f>
        <v>1639.9010000000001</v>
      </c>
      <c r="F54" s="18">
        <f>[31]Rqmnt!Z7</f>
        <v>1089.940047</v>
      </c>
      <c r="G54" s="18">
        <f>[31]Rqmnt!AA7</f>
        <v>1302.3635469999999</v>
      </c>
      <c r="H54" s="18">
        <f>[31]Rqmnt!AB7</f>
        <v>1367.6391233638997</v>
      </c>
      <c r="I54" s="18">
        <f>[31]Rqmnt!AC7</f>
        <v>1938.4984631304533</v>
      </c>
      <c r="J54" s="18">
        <f>[31]Rqmnt!AD7</f>
        <v>1563.7630180858923</v>
      </c>
      <c r="K54" s="18">
        <f>[31]Rqmnt!AE7</f>
        <v>1351.8319239977495</v>
      </c>
      <c r="L54" s="18">
        <f>[31]Rqmnt!AF7</f>
        <v>1155.2660073334707</v>
      </c>
      <c r="M54" s="18">
        <f>[31]Rqmnt!AG7</f>
        <v>1669.1705149744764</v>
      </c>
      <c r="N54" s="18">
        <f>[31]Rqmnt!AH7</f>
        <v>1928.2069534827031</v>
      </c>
      <c r="O54" s="18">
        <f>[31]Rqmnt!AI7</f>
        <v>2106.9658758081182</v>
      </c>
      <c r="P54" s="18">
        <f>[31]Rqmnt!AJ7</f>
        <v>2479.1508214830733</v>
      </c>
      <c r="Q54" s="90">
        <f>SUM(E54:P54)</f>
        <v>19592.697295659833</v>
      </c>
    </row>
    <row r="55" spans="2:18" hidden="1" x14ac:dyDescent="0.25">
      <c r="B55" s="63">
        <f>B54+1</f>
        <v>11</v>
      </c>
      <c r="C55" s="344" t="s">
        <v>316</v>
      </c>
      <c r="D55" s="63" t="s">
        <v>306</v>
      </c>
      <c r="E55" s="18">
        <f>[31]Rqmnt!Y9</f>
        <v>54.676074</v>
      </c>
      <c r="F55" s="18">
        <f>[31]Rqmnt!Z9</f>
        <v>55.536737000000002</v>
      </c>
      <c r="G55" s="18">
        <f>[31]Rqmnt!AA9</f>
        <v>50.567700000000002</v>
      </c>
      <c r="H55" s="18">
        <f>[31]Rqmnt!AB9</f>
        <v>49.379404000000001</v>
      </c>
      <c r="I55" s="18">
        <f>[31]Rqmnt!AC9</f>
        <v>50.445635000000003</v>
      </c>
      <c r="J55" s="18">
        <f>[31]Rqmnt!AD9</f>
        <v>51.277700499999995</v>
      </c>
      <c r="K55" s="18">
        <f>[31]Rqmnt!AE9</f>
        <v>45.22286323359198</v>
      </c>
      <c r="L55" s="18">
        <f>[31]Rqmnt!AF9</f>
        <v>46.838542210833879</v>
      </c>
      <c r="M55" s="18">
        <f>[31]Rqmnt!AG9</f>
        <v>49.942716651653654</v>
      </c>
      <c r="N55" s="18">
        <f>[31]Rqmnt!AH9</f>
        <v>50.926929383881152</v>
      </c>
      <c r="O55" s="18">
        <f>[31]Rqmnt!AI9</f>
        <v>53.600128479853673</v>
      </c>
      <c r="P55" s="18">
        <f>[31]Rqmnt!AJ9</f>
        <v>67.130306699745887</v>
      </c>
      <c r="Q55" s="90">
        <f>SUM(E55:P55)</f>
        <v>625.54473715956021</v>
      </c>
    </row>
    <row r="56" spans="2:18" hidden="1" x14ac:dyDescent="0.25">
      <c r="B56" s="63">
        <f>B55+1</f>
        <v>12</v>
      </c>
      <c r="C56" s="344" t="s">
        <v>317</v>
      </c>
      <c r="D56" s="63" t="s">
        <v>308</v>
      </c>
      <c r="E56" s="155">
        <f t="shared" ref="E56:Q56" si="9">E57/E54</f>
        <v>3.2523073410525301E-2</v>
      </c>
      <c r="F56" s="155">
        <f t="shared" si="9"/>
        <v>3.119319427441071E-2</v>
      </c>
      <c r="G56" s="155">
        <f t="shared" si="9"/>
        <v>3.0528307439223371E-2</v>
      </c>
      <c r="H56" s="155">
        <f t="shared" si="9"/>
        <v>3.0925518488674506E-2</v>
      </c>
      <c r="I56" s="155">
        <f t="shared" si="9"/>
        <v>3.0874192593223038E-2</v>
      </c>
      <c r="J56" s="155">
        <f t="shared" si="9"/>
        <v>2.9448095254014213E-2</v>
      </c>
      <c r="K56" s="155">
        <f t="shared" si="9"/>
        <v>3.7950000000000012E-2</v>
      </c>
      <c r="L56" s="155">
        <f t="shared" si="9"/>
        <v>3.7949999999999956E-2</v>
      </c>
      <c r="M56" s="155">
        <f t="shared" si="9"/>
        <v>3.7949999999999984E-2</v>
      </c>
      <c r="N56" s="155">
        <f t="shared" si="9"/>
        <v>3.7950000000000081E-2</v>
      </c>
      <c r="O56" s="155">
        <f t="shared" si="9"/>
        <v>3.7950000000000074E-2</v>
      </c>
      <c r="P56" s="155">
        <f t="shared" si="9"/>
        <v>3.7950000000000081E-2</v>
      </c>
      <c r="Q56" s="155">
        <f t="shared" si="9"/>
        <v>3.4757573855697894E-2</v>
      </c>
    </row>
    <row r="57" spans="2:18" hidden="1" x14ac:dyDescent="0.25">
      <c r="B57" s="63">
        <f>B56+1</f>
        <v>13</v>
      </c>
      <c r="C57" s="344" t="s">
        <v>317</v>
      </c>
      <c r="D57" s="63" t="s">
        <v>306</v>
      </c>
      <c r="E57" s="18">
        <f>[31]Rqmnt!Y11</f>
        <v>53.334620608993852</v>
      </c>
      <c r="F57" s="18">
        <f>[31]Rqmnt!Z11</f>
        <v>33.998711633531343</v>
      </c>
      <c r="G57" s="18">
        <f>[31]Rqmnt!AA11</f>
        <v>39.758954760453435</v>
      </c>
      <c r="H57" s="18">
        <f>[31]Rqmnt!AB11</f>
        <v>42.294948995424875</v>
      </c>
      <c r="I57" s="18">
        <f>[31]Rqmnt!AC11</f>
        <v>59.849574892356486</v>
      </c>
      <c r="J57" s="18">
        <f>[31]Rqmnt!AD11</f>
        <v>46.049842311298107</v>
      </c>
      <c r="K57" s="18">
        <f>[31]Rqmnt!AE11</f>
        <v>51.302021515714614</v>
      </c>
      <c r="L57" s="18">
        <f>[31]Rqmnt!AF11</f>
        <v>43.842344978305164</v>
      </c>
      <c r="M57" s="18">
        <f>[31]Rqmnt!AG11</f>
        <v>63.345021043281349</v>
      </c>
      <c r="N57" s="18">
        <f>[31]Rqmnt!AH11</f>
        <v>73.175453884668741</v>
      </c>
      <c r="O57" s="18">
        <f>[31]Rqmnt!AI11</f>
        <v>79.959354986918243</v>
      </c>
      <c r="P57" s="18">
        <f>[31]Rqmnt!AJ11</f>
        <v>94.083773675282828</v>
      </c>
      <c r="Q57" s="90">
        <f>SUM(E57:P57)</f>
        <v>680.99462328622906</v>
      </c>
    </row>
    <row r="58" spans="2:18" ht="27.6" hidden="1" x14ac:dyDescent="0.25">
      <c r="B58" s="63">
        <f>B57+1</f>
        <v>14</v>
      </c>
      <c r="C58" s="345" t="s">
        <v>339</v>
      </c>
      <c r="D58" s="63" t="s">
        <v>306</v>
      </c>
      <c r="E58" s="18">
        <f t="shared" ref="E58:P58" si="10">E54-E55-E57</f>
        <v>1531.8903053910062</v>
      </c>
      <c r="F58" s="18">
        <f t="shared" si="10"/>
        <v>1000.4045983664688</v>
      </c>
      <c r="G58" s="18">
        <f t="shared" si="10"/>
        <v>1212.0368922395464</v>
      </c>
      <c r="H58" s="18">
        <f t="shared" si="10"/>
        <v>1275.9647703684748</v>
      </c>
      <c r="I58" s="18">
        <f t="shared" si="10"/>
        <v>1828.2032532380967</v>
      </c>
      <c r="J58" s="18">
        <f t="shared" si="10"/>
        <v>1466.4354752745942</v>
      </c>
      <c r="K58" s="18">
        <f t="shared" si="10"/>
        <v>1255.3070392484428</v>
      </c>
      <c r="L58" s="18">
        <f t="shared" si="10"/>
        <v>1064.5851201443318</v>
      </c>
      <c r="M58" s="18">
        <f t="shared" si="10"/>
        <v>1555.8827772795414</v>
      </c>
      <c r="N58" s="18">
        <f t="shared" si="10"/>
        <v>1804.1045702141532</v>
      </c>
      <c r="O58" s="18">
        <f t="shared" si="10"/>
        <v>1973.4063923413464</v>
      </c>
      <c r="P58" s="18">
        <f t="shared" si="10"/>
        <v>2317.9367411080448</v>
      </c>
      <c r="Q58" s="90">
        <f>SUM(E58:P58)</f>
        <v>18286.157935214047</v>
      </c>
    </row>
    <row r="59" spans="2:18" hidden="1" x14ac:dyDescent="0.25">
      <c r="B59" s="63"/>
      <c r="C59" s="343" t="s">
        <v>319</v>
      </c>
      <c r="D59" s="63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342"/>
    </row>
    <row r="60" spans="2:18" ht="27.6" hidden="1" x14ac:dyDescent="0.25">
      <c r="B60" s="63">
        <f>B58+1</f>
        <v>15</v>
      </c>
      <c r="C60" s="345" t="s">
        <v>320</v>
      </c>
      <c r="D60" s="63" t="s">
        <v>306</v>
      </c>
      <c r="E60" s="18">
        <f>[31]Rqmnt!Y16</f>
        <v>1531.8903053910062</v>
      </c>
      <c r="F60" s="18">
        <f>[31]Rqmnt!Z16</f>
        <v>1000.4045983664688</v>
      </c>
      <c r="G60" s="18">
        <f>[31]Rqmnt!AA16</f>
        <v>1212.0368922395464</v>
      </c>
      <c r="H60" s="18">
        <f>[31]Rqmnt!AB16</f>
        <v>1275.9647703684748</v>
      </c>
      <c r="I60" s="18">
        <f>[31]Rqmnt!AC16</f>
        <v>1828.2032532380967</v>
      </c>
      <c r="J60" s="18">
        <f>[31]Rqmnt!AD16</f>
        <v>1466.4354752745942</v>
      </c>
      <c r="K60" s="18">
        <f>[31]Rqmnt!AE16</f>
        <v>1255.3070392484428</v>
      </c>
      <c r="L60" s="18">
        <f>[31]Rqmnt!AF16</f>
        <v>1064.5851201443318</v>
      </c>
      <c r="M60" s="18">
        <f>[31]Rqmnt!AG16</f>
        <v>1555.8827772795414</v>
      </c>
      <c r="N60" s="18">
        <f>[31]Rqmnt!AH16</f>
        <v>1804.1045702141532</v>
      </c>
      <c r="O60" s="18">
        <f>[31]Rqmnt!AI16</f>
        <v>1973.4063923413462</v>
      </c>
      <c r="P60" s="18">
        <f>[31]Rqmnt!AJ16</f>
        <v>2317.9367411080448</v>
      </c>
      <c r="Q60" s="90">
        <f>SUM(E60:P60)</f>
        <v>18286.157935214047</v>
      </c>
    </row>
    <row r="61" spans="2:18" hidden="1" x14ac:dyDescent="0.25">
      <c r="B61" s="63">
        <f>B60+1</f>
        <v>16</v>
      </c>
      <c r="C61" s="345" t="s">
        <v>321</v>
      </c>
      <c r="D61" s="63" t="s">
        <v>306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90">
        <f>SUM(E61:P61)</f>
        <v>0</v>
      </c>
    </row>
    <row r="62" spans="2:18" hidden="1" x14ac:dyDescent="0.25">
      <c r="B62" s="63">
        <f>B61+1</f>
        <v>17</v>
      </c>
      <c r="C62" s="344" t="s">
        <v>322</v>
      </c>
      <c r="D62" s="63" t="s">
        <v>306</v>
      </c>
      <c r="E62" s="18">
        <f>[31]Rqmnt!Y20</f>
        <v>202.02283174000004</v>
      </c>
      <c r="F62" s="18">
        <f>[31]Rqmnt!Z20</f>
        <v>151.8007619</v>
      </c>
      <c r="G62" s="18">
        <f>[31]Rqmnt!AA20</f>
        <v>187.94921158</v>
      </c>
      <c r="H62" s="18">
        <f>[31]Rqmnt!AB20</f>
        <v>210.19893706000002</v>
      </c>
      <c r="I62" s="18">
        <f>[31]Rqmnt!AC20</f>
        <v>224.79858078000001</v>
      </c>
      <c r="J62" s="18">
        <f>[31]Rqmnt!AD20</f>
        <v>208.73916088000001</v>
      </c>
      <c r="K62" s="18">
        <f>[31]Rqmnt!AE20</f>
        <v>195.16559425742557</v>
      </c>
      <c r="L62" s="18">
        <f>[31]Rqmnt!AF20</f>
        <v>175.60547713289148</v>
      </c>
      <c r="M62" s="18">
        <f>[31]Rqmnt!AG20</f>
        <v>218.8734599323729</v>
      </c>
      <c r="N62" s="18">
        <f>[31]Rqmnt!AH20</f>
        <v>246.68042355385967</v>
      </c>
      <c r="O62" s="18">
        <f>[31]Rqmnt!AI20</f>
        <v>250.06506170964073</v>
      </c>
      <c r="P62" s="18">
        <f>[31]Rqmnt!AJ20</f>
        <v>351.67557591659948</v>
      </c>
      <c r="Q62" s="90">
        <f>SUM(E62:P62)</f>
        <v>2623.5750764427899</v>
      </c>
    </row>
    <row r="63" spans="2:18" hidden="1" x14ac:dyDescent="0.25">
      <c r="B63" s="63">
        <f>B62+1</f>
        <v>18</v>
      </c>
      <c r="C63" s="344" t="s">
        <v>323</v>
      </c>
      <c r="D63" s="63" t="s">
        <v>308</v>
      </c>
      <c r="E63" s="355">
        <f t="shared" ref="E63:Q63" si="11">E64/E60</f>
        <v>3.8892811022498606E-2</v>
      </c>
      <c r="F63" s="355">
        <f t="shared" si="11"/>
        <v>3.8002049846451988E-2</v>
      </c>
      <c r="G63" s="355">
        <f t="shared" si="11"/>
        <v>3.7853089721670279E-2</v>
      </c>
      <c r="H63" s="355">
        <f t="shared" si="11"/>
        <v>3.7419759795991832E-2</v>
      </c>
      <c r="I63" s="355">
        <f t="shared" si="11"/>
        <v>3.9291345412873706E-2</v>
      </c>
      <c r="J63" s="355">
        <f t="shared" si="11"/>
        <v>3.8423046701654161E-2</v>
      </c>
      <c r="K63" s="355">
        <f t="shared" si="11"/>
        <v>3.710000000000007E-2</v>
      </c>
      <c r="L63" s="355">
        <f t="shared" si="11"/>
        <v>3.7100000000000043E-2</v>
      </c>
      <c r="M63" s="355">
        <f t="shared" si="11"/>
        <v>3.7100000000000084E-2</v>
      </c>
      <c r="N63" s="355">
        <f t="shared" si="11"/>
        <v>3.7100000000000022E-2</v>
      </c>
      <c r="O63" s="355">
        <f t="shared" si="11"/>
        <v>3.7100000000000036E-2</v>
      </c>
      <c r="P63" s="355">
        <f t="shared" si="11"/>
        <v>3.7100000000000057E-2</v>
      </c>
      <c r="Q63" s="355">
        <f t="shared" si="11"/>
        <v>3.769695245276871E-2</v>
      </c>
    </row>
    <row r="64" spans="2:18" hidden="1" x14ac:dyDescent="0.25">
      <c r="B64" s="63">
        <f>B63+1</f>
        <v>19</v>
      </c>
      <c r="C64" s="344" t="s">
        <v>323</v>
      </c>
      <c r="D64" s="63" t="s">
        <v>306</v>
      </c>
      <c r="E64" s="18">
        <f>[31]Rqmnt!Y22</f>
        <v>59.57952015477008</v>
      </c>
      <c r="F64" s="18">
        <f>[31]Rqmnt!Z22</f>
        <v>38.01742541374233</v>
      </c>
      <c r="G64" s="18">
        <f>[31]Rqmnt!AA22</f>
        <v>45.879341227917962</v>
      </c>
      <c r="H64" s="18">
        <f>[31]Rqmnt!AB22</f>
        <v>47.746295215336204</v>
      </c>
      <c r="I64" s="18">
        <f>[31]Rqmnt!AC22</f>
        <v>71.832565507917479</v>
      </c>
      <c r="J64" s="18">
        <f>[31]Rqmnt!AD22</f>
        <v>56.344918751438151</v>
      </c>
      <c r="K64" s="18">
        <f>[31]Rqmnt!AE22</f>
        <v>46.571891156117317</v>
      </c>
      <c r="L64" s="18">
        <f>[31]Rqmnt!AF22</f>
        <v>39.496107957354752</v>
      </c>
      <c r="M64" s="18">
        <f>[31]Rqmnt!AG22</f>
        <v>57.723251037071122</v>
      </c>
      <c r="N64" s="18">
        <f>[31]Rqmnt!AH22</f>
        <v>66.932279554945126</v>
      </c>
      <c r="O64" s="18">
        <f>[31]Rqmnt!AI22</f>
        <v>73.213377155864009</v>
      </c>
      <c r="P64" s="18">
        <f>[31]Rqmnt!AJ22</f>
        <v>85.995453095108587</v>
      </c>
      <c r="Q64" s="90">
        <f>SUM(E64:P64)</f>
        <v>689.33242622758314</v>
      </c>
    </row>
    <row r="65" spans="2:17" ht="27.6" hidden="1" x14ac:dyDescent="0.25">
      <c r="B65" s="63">
        <f>B64+1</f>
        <v>20</v>
      </c>
      <c r="C65" s="345" t="s">
        <v>340</v>
      </c>
      <c r="D65" s="63" t="s">
        <v>306</v>
      </c>
      <c r="E65" s="18">
        <f t="shared" ref="E65:P65" si="12">E60+E61-E62-E64</f>
        <v>1270.287953496236</v>
      </c>
      <c r="F65" s="18">
        <f t="shared" si="12"/>
        <v>810.58641105272648</v>
      </c>
      <c r="G65" s="18">
        <f t="shared" si="12"/>
        <v>978.20833943162859</v>
      </c>
      <c r="H65" s="18">
        <f t="shared" si="12"/>
        <v>1018.0195380931386</v>
      </c>
      <c r="I65" s="18">
        <f t="shared" si="12"/>
        <v>1531.5721069501792</v>
      </c>
      <c r="J65" s="18">
        <f t="shared" si="12"/>
        <v>1201.3513956431559</v>
      </c>
      <c r="K65" s="18">
        <f t="shared" si="12"/>
        <v>1013.5695538349</v>
      </c>
      <c r="L65" s="18">
        <f t="shared" si="12"/>
        <v>849.48353505408556</v>
      </c>
      <c r="M65" s="18">
        <f t="shared" si="12"/>
        <v>1279.2860663100973</v>
      </c>
      <c r="N65" s="18">
        <f t="shared" si="12"/>
        <v>1490.4918671053483</v>
      </c>
      <c r="O65" s="18">
        <f t="shared" si="12"/>
        <v>1650.1279534758414</v>
      </c>
      <c r="P65" s="18">
        <f t="shared" si="12"/>
        <v>1880.2657120963368</v>
      </c>
      <c r="Q65" s="90">
        <f>SUM(E65:P65)</f>
        <v>14973.250432543675</v>
      </c>
    </row>
    <row r="66" spans="2:17" hidden="1" x14ac:dyDescent="0.25">
      <c r="B66" s="63"/>
      <c r="C66" s="343" t="s">
        <v>325</v>
      </c>
      <c r="D66" s="63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342"/>
    </row>
    <row r="67" spans="2:17" ht="27.6" hidden="1" x14ac:dyDescent="0.25">
      <c r="B67" s="63"/>
      <c r="C67" s="345" t="s">
        <v>326</v>
      </c>
      <c r="D67" s="63" t="s">
        <v>306</v>
      </c>
      <c r="E67" s="18">
        <f>[31]Rqmnt!Y27</f>
        <v>1270.287953496236</v>
      </c>
      <c r="F67" s="18">
        <f>[31]Rqmnt!Z27</f>
        <v>810.58641105272648</v>
      </c>
      <c r="G67" s="18">
        <f>[31]Rqmnt!AA27</f>
        <v>978.20833943162859</v>
      </c>
      <c r="H67" s="18">
        <f>[31]Rqmnt!AB27</f>
        <v>1018.0195380931386</v>
      </c>
      <c r="I67" s="18">
        <f>[31]Rqmnt!AC27</f>
        <v>1531.5721069501792</v>
      </c>
      <c r="J67" s="18">
        <f>[31]Rqmnt!AD27</f>
        <v>1201.3513956431559</v>
      </c>
      <c r="K67" s="18">
        <f>[31]Rqmnt!AE27</f>
        <v>1013.5695538349</v>
      </c>
      <c r="L67" s="18">
        <f>[31]Rqmnt!AF27</f>
        <v>849.48353505408545</v>
      </c>
      <c r="M67" s="18">
        <f>[31]Rqmnt!AG27</f>
        <v>1279.2860663100973</v>
      </c>
      <c r="N67" s="18">
        <f>[31]Rqmnt!AH27</f>
        <v>1490.4918671053485</v>
      </c>
      <c r="O67" s="18">
        <f>[31]Rqmnt!AI27</f>
        <v>1650.1279534758414</v>
      </c>
      <c r="P67" s="18">
        <f>[31]Rqmnt!AJ27</f>
        <v>1880.2657120963365</v>
      </c>
      <c r="Q67" s="90">
        <f>SUM(E67:P67)</f>
        <v>14973.250432543675</v>
      </c>
    </row>
    <row r="68" spans="2:17" hidden="1" x14ac:dyDescent="0.25">
      <c r="B68" s="63">
        <f>B65+1</f>
        <v>21</v>
      </c>
      <c r="C68" s="345" t="s">
        <v>321</v>
      </c>
      <c r="D68" s="63" t="s">
        <v>306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90">
        <f>SUM(E68:P68)</f>
        <v>0</v>
      </c>
    </row>
    <row r="69" spans="2:17" hidden="1" x14ac:dyDescent="0.25">
      <c r="B69" s="63">
        <f>B68+1</f>
        <v>22</v>
      </c>
      <c r="C69" s="344" t="s">
        <v>327</v>
      </c>
      <c r="D69" s="63" t="s">
        <v>306</v>
      </c>
      <c r="E69" s="18">
        <f>[31]Rqmnt!Y28+[31]Rqmnt!Y29</f>
        <v>1205.6223004984229</v>
      </c>
      <c r="F69" s="18">
        <f>[31]Rqmnt!Z28+[31]Rqmnt!Z29</f>
        <v>766.982033</v>
      </c>
      <c r="G69" s="18">
        <f>[31]Rqmnt!AA28+[31]Rqmnt!AA29</f>
        <v>926.16957200000002</v>
      </c>
      <c r="H69" s="18">
        <f>[31]Rqmnt!AB28+[31]Rqmnt!AB29</f>
        <v>963.71413000000007</v>
      </c>
      <c r="I69" s="18">
        <f>[31]Rqmnt!AC28+[31]Rqmnt!AC29</f>
        <v>1459.9460700000002</v>
      </c>
      <c r="J69" s="18">
        <f>[31]Rqmnt!AD28+[31]Rqmnt!AD29</f>
        <v>1139.056353379734</v>
      </c>
      <c r="K69" s="18">
        <f>[31]Rqmnt!AE28+[31]Rqmnt!AE29</f>
        <v>968.46570868924698</v>
      </c>
      <c r="L69" s="18">
        <f>[31]Rqmnt!AF28+[31]Rqmnt!AF29</f>
        <v>811.68151774417868</v>
      </c>
      <c r="M69" s="18">
        <f>[31]Rqmnt!AG28+[31]Rqmnt!AG29</f>
        <v>1222.3578363592981</v>
      </c>
      <c r="N69" s="18">
        <f>[31]Rqmnt!AH28+[31]Rqmnt!AH29</f>
        <v>1424.1649790191605</v>
      </c>
      <c r="O69" s="18">
        <f>[31]Rqmnt!AI28+[31]Rqmnt!AI29</f>
        <v>1576.6972595461666</v>
      </c>
      <c r="P69" s="18">
        <f>[31]Rqmnt!AJ28+[31]Rqmnt!AJ29</f>
        <v>1796.5938879080495</v>
      </c>
      <c r="Q69" s="90">
        <f>SUM(E69:P69)</f>
        <v>14261.451648144259</v>
      </c>
    </row>
    <row r="70" spans="2:17" hidden="1" x14ac:dyDescent="0.25">
      <c r="B70" s="63">
        <f>B69+1</f>
        <v>23</v>
      </c>
      <c r="C70" s="344" t="s">
        <v>328</v>
      </c>
      <c r="D70" s="63" t="s">
        <v>308</v>
      </c>
      <c r="E70" s="155">
        <f t="shared" ref="E70:Q70" si="13">E71/E67</f>
        <v>5.0906294765555103E-2</v>
      </c>
      <c r="F70" s="155">
        <f t="shared" si="13"/>
        <v>5.3793620838149141E-2</v>
      </c>
      <c r="G70" s="155">
        <f t="shared" si="13"/>
        <v>5.3198041085874163E-2</v>
      </c>
      <c r="H70" s="155">
        <f t="shared" si="13"/>
        <v>5.3344170775797249E-2</v>
      </c>
      <c r="I70" s="155">
        <f t="shared" si="13"/>
        <v>4.6766349834359414E-2</v>
      </c>
      <c r="J70" s="155">
        <f t="shared" si="13"/>
        <v>5.185413900490924E-2</v>
      </c>
      <c r="K70" s="155">
        <f t="shared" si="13"/>
        <v>4.450000000000006E-2</v>
      </c>
      <c r="L70" s="155">
        <f t="shared" si="13"/>
        <v>4.4499999999999963E-2</v>
      </c>
      <c r="M70" s="155">
        <f t="shared" si="13"/>
        <v>4.4499999999999956E-2</v>
      </c>
      <c r="N70" s="155">
        <f t="shared" si="13"/>
        <v>4.4500000000000053E-2</v>
      </c>
      <c r="O70" s="155">
        <f t="shared" si="13"/>
        <v>4.4499999999999922E-2</v>
      </c>
      <c r="P70" s="155">
        <f t="shared" si="13"/>
        <v>4.4500000000000026E-2</v>
      </c>
      <c r="Q70" s="155">
        <f t="shared" si="13"/>
        <v>4.7538027070752428E-2</v>
      </c>
    </row>
    <row r="71" spans="2:17" hidden="1" x14ac:dyDescent="0.25">
      <c r="B71" s="63">
        <f>B70+1</f>
        <v>24</v>
      </c>
      <c r="C71" s="344" t="s">
        <v>328</v>
      </c>
      <c r="D71" s="63" t="s">
        <v>306</v>
      </c>
      <c r="E71" s="18">
        <f>[31]Rqmnt!Y30</f>
        <v>64.66565299781314</v>
      </c>
      <c r="F71" s="18">
        <f>[31]Rqmnt!Z30</f>
        <v>43.604378052726474</v>
      </c>
      <c r="G71" s="18">
        <f>[31]Rqmnt!AA30</f>
        <v>52.038767431628514</v>
      </c>
      <c r="H71" s="18">
        <f>[31]Rqmnt!AB30</f>
        <v>54.305408093138624</v>
      </c>
      <c r="I71" s="18">
        <f>[31]Rqmnt!AC30</f>
        <v>71.626036950179014</v>
      </c>
      <c r="J71" s="18">
        <f>[31]Rqmnt!AD30</f>
        <v>62.295042263421919</v>
      </c>
      <c r="K71" s="18">
        <f>[31]Rqmnt!AE30</f>
        <v>45.103845145653111</v>
      </c>
      <c r="L71" s="18">
        <f>[31]Rqmnt!AF30</f>
        <v>37.802017309906773</v>
      </c>
      <c r="M71" s="18">
        <f>[31]Rqmnt!AG30</f>
        <v>56.928229950799278</v>
      </c>
      <c r="N71" s="18">
        <f>[31]Rqmnt!AH30</f>
        <v>66.326888086188092</v>
      </c>
      <c r="O71" s="18">
        <f>[31]Rqmnt!AI30</f>
        <v>73.430693929674817</v>
      </c>
      <c r="P71" s="18">
        <f>[31]Rqmnt!AJ30</f>
        <v>83.671824188287019</v>
      </c>
      <c r="Q71" s="90">
        <f>SUM(E71:P71)</f>
        <v>711.79878439941672</v>
      </c>
    </row>
    <row r="72" spans="2:17" hidden="1" x14ac:dyDescent="0.25">
      <c r="B72" s="63"/>
      <c r="C72" s="343" t="s">
        <v>251</v>
      </c>
      <c r="D72" s="63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90"/>
    </row>
    <row r="73" spans="2:17" hidden="1" x14ac:dyDescent="0.25">
      <c r="B73" s="63">
        <f>B71+1</f>
        <v>25</v>
      </c>
      <c r="C73" s="343" t="s">
        <v>329</v>
      </c>
      <c r="D73" s="62" t="s">
        <v>306</v>
      </c>
      <c r="E73" s="18">
        <f t="shared" ref="E73:P73" si="14">E44+E48+E68</f>
        <v>2065.3040124523227</v>
      </c>
      <c r="F73" s="18">
        <f t="shared" si="14"/>
        <v>1304.3270972504681</v>
      </c>
      <c r="G73" s="18">
        <f t="shared" si="14"/>
        <v>1478.3498094663532</v>
      </c>
      <c r="H73" s="18">
        <f t="shared" si="14"/>
        <v>1806.2811947073526</v>
      </c>
      <c r="I73" s="18">
        <f t="shared" si="14"/>
        <v>2131.4998331318584</v>
      </c>
      <c r="J73" s="18">
        <f t="shared" si="14"/>
        <v>1801.9639597646742</v>
      </c>
      <c r="K73" s="18">
        <f t="shared" si="14"/>
        <v>1571.1478668056729</v>
      </c>
      <c r="L73" s="18">
        <f t="shared" si="14"/>
        <v>1341.0989174354079</v>
      </c>
      <c r="M73" s="18">
        <f t="shared" si="14"/>
        <v>1872.711697750701</v>
      </c>
      <c r="N73" s="18">
        <f t="shared" si="14"/>
        <v>2228.8750410791467</v>
      </c>
      <c r="O73" s="18">
        <f t="shared" si="14"/>
        <v>2596.499082190554</v>
      </c>
      <c r="P73" s="18">
        <f t="shared" si="14"/>
        <v>3398.5804337983691</v>
      </c>
      <c r="Q73" s="90">
        <f>SUM(E73:P73)</f>
        <v>23596.638945832881</v>
      </c>
    </row>
    <row r="74" spans="2:17" hidden="1" x14ac:dyDescent="0.25">
      <c r="B74" s="63">
        <f>B73+1</f>
        <v>26</v>
      </c>
      <c r="C74" s="343" t="s">
        <v>330</v>
      </c>
      <c r="D74" s="62" t="s">
        <v>306</v>
      </c>
      <c r="E74" s="18">
        <f t="shared" ref="E74:P74" si="15">E49+E55+E62+E69</f>
        <v>1819.9644943584231</v>
      </c>
      <c r="F74" s="18">
        <f t="shared" si="15"/>
        <v>1143.79016368</v>
      </c>
      <c r="G74" s="18">
        <f t="shared" si="15"/>
        <v>1292.2317980400001</v>
      </c>
      <c r="H74" s="18">
        <f t="shared" si="15"/>
        <v>1603.5537448500002</v>
      </c>
      <c r="I74" s="18">
        <f t="shared" si="15"/>
        <v>1861.5440416000001</v>
      </c>
      <c r="J74" s="18">
        <f t="shared" si="15"/>
        <v>1574.2121279997341</v>
      </c>
      <c r="K74" s="18">
        <f t="shared" si="15"/>
        <v>1372.0197896902953</v>
      </c>
      <c r="L74" s="18">
        <f t="shared" si="15"/>
        <v>1164.7978701296452</v>
      </c>
      <c r="M74" s="18">
        <f t="shared" si="15"/>
        <v>1623.2990385618141</v>
      </c>
      <c r="N74" s="18">
        <f t="shared" si="15"/>
        <v>1934.1181129541624</v>
      </c>
      <c r="O74" s="18">
        <f t="shared" si="15"/>
        <v>2273.3777788222978</v>
      </c>
      <c r="P74" s="18">
        <f t="shared" si="15"/>
        <v>3015.3942451120192</v>
      </c>
      <c r="Q74" s="90">
        <f>SUM(E74:P74)</f>
        <v>20678.303205798391</v>
      </c>
    </row>
    <row r="75" spans="2:17" ht="27.6" hidden="1" x14ac:dyDescent="0.25">
      <c r="B75" s="63">
        <f>B74+1</f>
        <v>27</v>
      </c>
      <c r="C75" s="341" t="s">
        <v>331</v>
      </c>
      <c r="D75" s="62"/>
      <c r="E75" s="18">
        <f t="shared" ref="E75:P75" si="16">E52+E49</f>
        <v>1997.5442881200004</v>
      </c>
      <c r="F75" s="18">
        <f t="shared" si="16"/>
        <v>1259.4106787800001</v>
      </c>
      <c r="G75" s="18">
        <f t="shared" si="16"/>
        <v>1429.90886146</v>
      </c>
      <c r="H75" s="18">
        <f t="shared" si="16"/>
        <v>1747.9003971538996</v>
      </c>
      <c r="I75" s="18">
        <f t="shared" si="16"/>
        <v>2064.8522189504533</v>
      </c>
      <c r="J75" s="18">
        <f t="shared" si="16"/>
        <v>1738.9019313258925</v>
      </c>
      <c r="K75" s="18">
        <f t="shared" si="16"/>
        <v>1514.9975475077804</v>
      </c>
      <c r="L75" s="18">
        <f t="shared" si="16"/>
        <v>1285.9383403752117</v>
      </c>
      <c r="M75" s="18">
        <f t="shared" si="16"/>
        <v>1801.2955405929658</v>
      </c>
      <c r="N75" s="18">
        <f t="shared" si="16"/>
        <v>2140.5527344799643</v>
      </c>
      <c r="O75" s="18">
        <f t="shared" si="16"/>
        <v>2499.9812048947556</v>
      </c>
      <c r="P75" s="18">
        <f t="shared" si="16"/>
        <v>3279.1452960706974</v>
      </c>
      <c r="Q75" s="90">
        <f>SUM(E75:P75)</f>
        <v>22760.429039711627</v>
      </c>
    </row>
    <row r="76" spans="2:17" hidden="1" x14ac:dyDescent="0.25">
      <c r="B76" s="63">
        <f>B75+1</f>
        <v>28</v>
      </c>
      <c r="C76" s="341" t="s">
        <v>332</v>
      </c>
      <c r="D76" s="62" t="s">
        <v>306</v>
      </c>
      <c r="E76" s="18">
        <f t="shared" ref="E76:P76" si="17">E75-E74</f>
        <v>177.57979376157732</v>
      </c>
      <c r="F76" s="18">
        <f t="shared" si="17"/>
        <v>115.62051510000015</v>
      </c>
      <c r="G76" s="18">
        <f t="shared" si="17"/>
        <v>137.67706341999997</v>
      </c>
      <c r="H76" s="18">
        <f t="shared" si="17"/>
        <v>144.34665230389942</v>
      </c>
      <c r="I76" s="18">
        <f t="shared" si="17"/>
        <v>203.30817735045321</v>
      </c>
      <c r="J76" s="18">
        <f t="shared" si="17"/>
        <v>164.68980332615843</v>
      </c>
      <c r="K76" s="18">
        <f t="shared" si="17"/>
        <v>142.9777578174851</v>
      </c>
      <c r="L76" s="18">
        <f t="shared" si="17"/>
        <v>121.14047024556658</v>
      </c>
      <c r="M76" s="18">
        <f t="shared" si="17"/>
        <v>177.99650203115175</v>
      </c>
      <c r="N76" s="18">
        <f t="shared" si="17"/>
        <v>206.43462152580196</v>
      </c>
      <c r="O76" s="18">
        <f t="shared" si="17"/>
        <v>226.60342607245775</v>
      </c>
      <c r="P76" s="18">
        <f t="shared" si="17"/>
        <v>263.75105095867821</v>
      </c>
      <c r="Q76" s="90">
        <f>SUM(E76:P76)</f>
        <v>2082.1258339132301</v>
      </c>
    </row>
    <row r="77" spans="2:17" hidden="1" x14ac:dyDescent="0.25">
      <c r="B77" s="63">
        <f>B76+1</f>
        <v>29</v>
      </c>
      <c r="C77" s="341" t="s">
        <v>333</v>
      </c>
      <c r="D77" s="62" t="s">
        <v>308</v>
      </c>
      <c r="E77" s="155">
        <f t="shared" ref="E77:Q77" si="18">E76/(E75-E49)</f>
        <v>0.10828689888083323</v>
      </c>
      <c r="F77" s="155">
        <f t="shared" si="18"/>
        <v>0.10607970173977849</v>
      </c>
      <c r="G77" s="155">
        <f t="shared" si="18"/>
        <v>0.10571323478543275</v>
      </c>
      <c r="H77" s="155">
        <f t="shared" si="18"/>
        <v>0.10554440117862279</v>
      </c>
      <c r="I77" s="155">
        <f t="shared" si="18"/>
        <v>0.10487920481615123</v>
      </c>
      <c r="J77" s="155">
        <f t="shared" si="18"/>
        <v>0.1053163436028467</v>
      </c>
      <c r="K77" s="155">
        <f t="shared" si="18"/>
        <v>0.10576592790815252</v>
      </c>
      <c r="L77" s="155">
        <f t="shared" si="18"/>
        <v>0.10485937392477873</v>
      </c>
      <c r="M77" s="155">
        <f t="shared" si="18"/>
        <v>0.10663769844620909</v>
      </c>
      <c r="N77" s="155">
        <f t="shared" si="18"/>
        <v>0.10706040715854818</v>
      </c>
      <c r="O77" s="155">
        <f t="shared" si="18"/>
        <v>0.10754964220079971</v>
      </c>
      <c r="P77" s="155">
        <f t="shared" si="18"/>
        <v>0.1063876584970726</v>
      </c>
      <c r="Q77" s="155">
        <f t="shared" si="18"/>
        <v>0.10627050489747834</v>
      </c>
    </row>
    <row r="79" spans="2:17" x14ac:dyDescent="0.25">
      <c r="B79" s="796" t="s">
        <v>4</v>
      </c>
      <c r="C79" s="797" t="s">
        <v>5</v>
      </c>
      <c r="D79" s="798" t="s">
        <v>298</v>
      </c>
      <c r="E79" s="799" t="s">
        <v>1227</v>
      </c>
      <c r="F79" s="799"/>
      <c r="G79" s="799"/>
      <c r="H79" s="799"/>
      <c r="I79" s="799"/>
      <c r="J79" s="799"/>
      <c r="K79" s="799"/>
      <c r="L79" s="799"/>
      <c r="M79" s="799"/>
      <c r="N79" s="799"/>
      <c r="O79" s="799"/>
      <c r="P79" s="799"/>
      <c r="Q79" s="799"/>
    </row>
    <row r="80" spans="2:17" x14ac:dyDescent="0.25">
      <c r="B80" s="796"/>
      <c r="C80" s="797"/>
      <c r="D80" s="798"/>
      <c r="E80" s="594" t="s">
        <v>239</v>
      </c>
      <c r="F80" s="594" t="s">
        <v>240</v>
      </c>
      <c r="G80" s="594" t="s">
        <v>241</v>
      </c>
      <c r="H80" s="594" t="s">
        <v>242</v>
      </c>
      <c r="I80" s="594" t="s">
        <v>243</v>
      </c>
      <c r="J80" s="594" t="s">
        <v>244</v>
      </c>
      <c r="K80" s="594" t="s">
        <v>245</v>
      </c>
      <c r="L80" s="594" t="s">
        <v>246</v>
      </c>
      <c r="M80" s="594" t="s">
        <v>247</v>
      </c>
      <c r="N80" s="594" t="s">
        <v>248</v>
      </c>
      <c r="O80" s="594" t="s">
        <v>249</v>
      </c>
      <c r="P80" s="594" t="s">
        <v>250</v>
      </c>
      <c r="Q80" s="594" t="s">
        <v>251</v>
      </c>
    </row>
    <row r="81" spans="2:17" x14ac:dyDescent="0.25">
      <c r="B81" s="595">
        <v>1</v>
      </c>
      <c r="C81" s="596" t="s">
        <v>305</v>
      </c>
      <c r="D81" s="595" t="s">
        <v>306</v>
      </c>
      <c r="E81" s="596">
        <f>[5]Rqmnt!Y48+[5]Rqmnt!Y49</f>
        <v>415.25124129480997</v>
      </c>
      <c r="F81" s="596">
        <f>[5]Rqmnt!Z48+[5]Rqmnt!Z49</f>
        <v>357.50924018410052</v>
      </c>
      <c r="G81" s="596">
        <f>[5]Rqmnt!AA48+[5]Rqmnt!AA49</f>
        <v>344.55535034397178</v>
      </c>
      <c r="H81" s="596">
        <f>[5]Rqmnt!AB48+[5]Rqmnt!AB49</f>
        <v>392.7237841873964</v>
      </c>
      <c r="I81" s="596">
        <f>[5]Rqmnt!AC48+[5]Rqmnt!AC49</f>
        <v>464.85925596877325</v>
      </c>
      <c r="J81" s="596">
        <f>[5]Rqmnt!AD48+[5]Rqmnt!AD49</f>
        <v>398.51265700848489</v>
      </c>
      <c r="K81" s="596">
        <f>[5]Rqmnt!AE48+[5]Rqmnt!AE49</f>
        <v>481.32882306897102</v>
      </c>
      <c r="L81" s="596">
        <f>[5]Rqmnt!AF48+[5]Rqmnt!AF49</f>
        <v>368.79332858378064</v>
      </c>
      <c r="M81" s="596">
        <f>[5]Rqmnt!AG48+[5]Rqmnt!AG49</f>
        <v>384.61019447314982</v>
      </c>
      <c r="N81" s="596">
        <f>[5]Rqmnt!AH48+[5]Rqmnt!AH49</f>
        <v>453.28647312524294</v>
      </c>
      <c r="O81" s="596">
        <f>[5]Rqmnt!AI48+[5]Rqmnt!AI49</f>
        <v>473.83920620616476</v>
      </c>
      <c r="P81" s="596">
        <f>[5]Rqmnt!AJ48+[5]Rqmnt!AJ49</f>
        <v>544.32534555515258</v>
      </c>
      <c r="Q81" s="597">
        <f>SUM(E81:P81)</f>
        <v>5079.5948999999982</v>
      </c>
    </row>
    <row r="82" spans="2:17" x14ac:dyDescent="0.25">
      <c r="B82" s="595">
        <f t="shared" ref="B82:B89" si="19">B81+1</f>
        <v>2</v>
      </c>
      <c r="C82" s="596" t="s">
        <v>307</v>
      </c>
      <c r="D82" s="595" t="s">
        <v>308</v>
      </c>
      <c r="E82" s="598">
        <f t="shared" ref="E82:P82" si="20">E83/E81</f>
        <v>3.5400000000000001E-2</v>
      </c>
      <c r="F82" s="598">
        <f t="shared" si="20"/>
        <v>3.5400000000000001E-2</v>
      </c>
      <c r="G82" s="598">
        <f t="shared" si="20"/>
        <v>3.5400000000000001E-2</v>
      </c>
      <c r="H82" s="598">
        <f t="shared" si="20"/>
        <v>3.5400000000000001E-2</v>
      </c>
      <c r="I82" s="598">
        <f t="shared" si="20"/>
        <v>3.5400000000000001E-2</v>
      </c>
      <c r="J82" s="598">
        <f t="shared" si="20"/>
        <v>3.5400000000000001E-2</v>
      </c>
      <c r="K82" s="598">
        <f t="shared" si="20"/>
        <v>3.5400000000000001E-2</v>
      </c>
      <c r="L82" s="598">
        <f t="shared" si="20"/>
        <v>3.5400000000000001E-2</v>
      </c>
      <c r="M82" s="598">
        <f t="shared" si="20"/>
        <v>3.5400000000000001E-2</v>
      </c>
      <c r="N82" s="598">
        <f t="shared" si="20"/>
        <v>3.5400000000000001E-2</v>
      </c>
      <c r="O82" s="598">
        <f t="shared" si="20"/>
        <v>3.5400000000000001E-2</v>
      </c>
      <c r="P82" s="598">
        <f t="shared" si="20"/>
        <v>3.5400000000000001E-2</v>
      </c>
      <c r="Q82" s="598">
        <f t="shared" ref="Q82" si="21">Q83/Q81</f>
        <v>3.5400000000000001E-2</v>
      </c>
    </row>
    <row r="83" spans="2:17" x14ac:dyDescent="0.25">
      <c r="B83" s="595">
        <f t="shared" si="19"/>
        <v>3</v>
      </c>
      <c r="C83" s="596" t="s">
        <v>307</v>
      </c>
      <c r="D83" s="595" t="s">
        <v>306</v>
      </c>
      <c r="E83" s="599">
        <f>[5]Rqmnt!Y52</f>
        <v>14.699893941836274</v>
      </c>
      <c r="F83" s="599">
        <f>[5]Rqmnt!Z52</f>
        <v>12.65582710251716</v>
      </c>
      <c r="G83" s="599">
        <f>[5]Rqmnt!AA52</f>
        <v>12.197259402176602</v>
      </c>
      <c r="H83" s="599">
        <f>[5]Rqmnt!AB52</f>
        <v>13.902421960233832</v>
      </c>
      <c r="I83" s="599">
        <f>[5]Rqmnt!AC52</f>
        <v>16.456017661294574</v>
      </c>
      <c r="J83" s="599">
        <f>[5]Rqmnt!AD52</f>
        <v>14.107348058100365</v>
      </c>
      <c r="K83" s="599">
        <f>[5]Rqmnt!AE52</f>
        <v>17.039040336641573</v>
      </c>
      <c r="L83" s="599">
        <f>[5]Rqmnt!AF52</f>
        <v>13.055283831865834</v>
      </c>
      <c r="M83" s="599">
        <f>[5]Rqmnt!AG52</f>
        <v>13.615200884349504</v>
      </c>
      <c r="N83" s="599">
        <f>[5]Rqmnt!AH52</f>
        <v>16.046341148633601</v>
      </c>
      <c r="O83" s="599">
        <f>[5]Rqmnt!AI52</f>
        <v>16.773907899698234</v>
      </c>
      <c r="P83" s="599">
        <f>[5]Rqmnt!AJ52</f>
        <v>19.269117232652402</v>
      </c>
      <c r="Q83" s="597">
        <f>SUM(E83:P83)</f>
        <v>179.81765945999996</v>
      </c>
    </row>
    <row r="84" spans="2:17" ht="27.6" x14ac:dyDescent="0.25">
      <c r="B84" s="595">
        <f t="shared" si="19"/>
        <v>4</v>
      </c>
      <c r="C84" s="600" t="s">
        <v>309</v>
      </c>
      <c r="D84" s="595" t="s">
        <v>306</v>
      </c>
      <c r="E84" s="599">
        <f t="shared" ref="E84:P84" si="22">E81-E83</f>
        <v>400.55134735297372</v>
      </c>
      <c r="F84" s="599">
        <f t="shared" si="22"/>
        <v>344.85341308158337</v>
      </c>
      <c r="G84" s="599">
        <f t="shared" si="22"/>
        <v>332.35809094179518</v>
      </c>
      <c r="H84" s="599">
        <f t="shared" si="22"/>
        <v>378.82136222716258</v>
      </c>
      <c r="I84" s="599">
        <f t="shared" si="22"/>
        <v>448.40323830747866</v>
      </c>
      <c r="J84" s="599">
        <f t="shared" si="22"/>
        <v>384.40530895038455</v>
      </c>
      <c r="K84" s="599">
        <f t="shared" si="22"/>
        <v>464.28978273232946</v>
      </c>
      <c r="L84" s="599">
        <f t="shared" si="22"/>
        <v>355.7380447519148</v>
      </c>
      <c r="M84" s="599">
        <f t="shared" si="22"/>
        <v>370.9949935888003</v>
      </c>
      <c r="N84" s="599">
        <f t="shared" si="22"/>
        <v>437.24013197660935</v>
      </c>
      <c r="O84" s="599">
        <f t="shared" si="22"/>
        <v>457.0652983064665</v>
      </c>
      <c r="P84" s="599">
        <f t="shared" si="22"/>
        <v>525.05622832250015</v>
      </c>
      <c r="Q84" s="597">
        <f>SUM(E84:P84)</f>
        <v>4899.7772405399983</v>
      </c>
    </row>
    <row r="85" spans="2:17" ht="27.6" x14ac:dyDescent="0.25">
      <c r="B85" s="595">
        <f t="shared" si="19"/>
        <v>5</v>
      </c>
      <c r="C85" s="600" t="s">
        <v>310</v>
      </c>
      <c r="D85" s="595" t="s">
        <v>306</v>
      </c>
      <c r="E85" s="599">
        <f>[5]Rqmnt!Y46-E84</f>
        <v>1586.4301995844785</v>
      </c>
      <c r="F85" s="599">
        <f>[5]Rqmnt!Z46-F84</f>
        <v>1183.5394256015111</v>
      </c>
      <c r="G85" s="599">
        <f>[5]Rqmnt!AA46-G84</f>
        <v>1275.0429742182775</v>
      </c>
      <c r="H85" s="599">
        <f>[5]Rqmnt!AB46-H84</f>
        <v>1580.9721216542848</v>
      </c>
      <c r="I85" s="599">
        <f>[5]Rqmnt!AC46-I84</f>
        <v>2162.4691729516662</v>
      </c>
      <c r="J85" s="599">
        <f>[5]Rqmnt!AD46-J84</f>
        <v>1696.0402540065393</v>
      </c>
      <c r="K85" s="599">
        <f>[5]Rqmnt!AE46-K84</f>
        <v>2208.8317122807289</v>
      </c>
      <c r="L85" s="599">
        <f>[5]Rqmnt!AF46-L84</f>
        <v>1487.6252643857724</v>
      </c>
      <c r="M85" s="599">
        <f>[5]Rqmnt!AG46-M84</f>
        <v>1621.4171990124989</v>
      </c>
      <c r="N85" s="599">
        <f>[5]Rqmnt!AH46-N84</f>
        <v>2184.7184581299243</v>
      </c>
      <c r="O85" s="599">
        <f>[5]Rqmnt!AI46-O84</f>
        <v>2383.9433372660042</v>
      </c>
      <c r="P85" s="599">
        <f>[5]Rqmnt!AJ46-P84</f>
        <v>2692.2029641815752</v>
      </c>
      <c r="Q85" s="597">
        <f>SUM(E85:P85)</f>
        <v>22063.233083273262</v>
      </c>
    </row>
    <row r="86" spans="2:17" x14ac:dyDescent="0.25">
      <c r="B86" s="595">
        <f t="shared" si="19"/>
        <v>6</v>
      </c>
      <c r="C86" s="596" t="s">
        <v>311</v>
      </c>
      <c r="D86" s="595" t="s">
        <v>306</v>
      </c>
      <c r="E86" s="599">
        <f>[5]Rqmnt!Y37</f>
        <v>124.73508905713119</v>
      </c>
      <c r="F86" s="599">
        <f>[5]Rqmnt!Z37</f>
        <v>142.17572472467569</v>
      </c>
      <c r="G86" s="599">
        <f>[5]Rqmnt!AA37</f>
        <v>118.22907302460014</v>
      </c>
      <c r="H86" s="599">
        <f>[5]Rqmnt!AB37</f>
        <v>259.32468826258423</v>
      </c>
      <c r="I86" s="599">
        <f>[5]Rqmnt!AC37</f>
        <v>671.55834391603833</v>
      </c>
      <c r="J86" s="599">
        <f>[5]Rqmnt!AD37</f>
        <v>257.31808642352956</v>
      </c>
      <c r="K86" s="599">
        <f>[5]Rqmnt!AE37</f>
        <v>201.25038561499687</v>
      </c>
      <c r="L86" s="599">
        <f>[5]Rqmnt!AF37</f>
        <v>268.29110821930931</v>
      </c>
      <c r="M86" s="599">
        <f>[5]Rqmnt!AG37</f>
        <v>142.34622904145579</v>
      </c>
      <c r="N86" s="599">
        <f>[5]Rqmnt!AH37</f>
        <v>241.71903726477908</v>
      </c>
      <c r="O86" s="599">
        <f>[5]Rqmnt!AI37</f>
        <v>255.77543891338132</v>
      </c>
      <c r="P86" s="599">
        <f>[5]Rqmnt!AJ37</f>
        <v>272.7852273643631</v>
      </c>
      <c r="Q86" s="597">
        <f>SUM(E86:P86)</f>
        <v>2955.5084318268446</v>
      </c>
    </row>
    <row r="87" spans="2:17" x14ac:dyDescent="0.25">
      <c r="B87" s="595">
        <f t="shared" si="19"/>
        <v>7</v>
      </c>
      <c r="C87" s="596" t="s">
        <v>312</v>
      </c>
      <c r="D87" s="595" t="s">
        <v>308</v>
      </c>
      <c r="E87" s="598">
        <f t="shared" ref="E87:P87" si="23">E88/(E85+E81)</f>
        <v>2.441934318639102E-2</v>
      </c>
      <c r="F87" s="598">
        <f t="shared" si="23"/>
        <v>2.4397973059751853E-2</v>
      </c>
      <c r="G87" s="598">
        <f t="shared" si="23"/>
        <v>2.4414736421529155E-2</v>
      </c>
      <c r="H87" s="598">
        <f t="shared" si="23"/>
        <v>2.4426721239472697E-2</v>
      </c>
      <c r="I87" s="598">
        <f t="shared" si="23"/>
        <v>2.4445920277795422E-2</v>
      </c>
      <c r="J87" s="598">
        <f t="shared" si="23"/>
        <v>2.4434312725926121E-2</v>
      </c>
      <c r="K87" s="598">
        <f t="shared" si="23"/>
        <v>2.4444187591493565E-2</v>
      </c>
      <c r="L87" s="598">
        <f t="shared" si="23"/>
        <v>2.4427000233955613E-2</v>
      </c>
      <c r="M87" s="598">
        <f t="shared" si="23"/>
        <v>2.4433036207360394E-2</v>
      </c>
      <c r="N87" s="598">
        <f t="shared" si="23"/>
        <v>2.4450364194706427E-2</v>
      </c>
      <c r="O87" s="598">
        <f t="shared" si="23"/>
        <v>2.4455608980719828E-2</v>
      </c>
      <c r="P87" s="598">
        <f t="shared" si="23"/>
        <v>2.4453540510522426E-2</v>
      </c>
      <c r="Q87" s="598">
        <f>Q88/(Q85+Q84)</f>
        <v>2.4599999999999844E-2</v>
      </c>
    </row>
    <row r="88" spans="2:17" x14ac:dyDescent="0.25">
      <c r="B88" s="595">
        <f t="shared" si="19"/>
        <v>8</v>
      </c>
      <c r="C88" s="596" t="s">
        <v>312</v>
      </c>
      <c r="D88" s="595" t="s">
        <v>306</v>
      </c>
      <c r="E88" s="599">
        <f>[5]Rqmnt!Y47</f>
        <v>48.879746054661013</v>
      </c>
      <c r="F88" s="599">
        <f>[5]Rqmnt!Z47</f>
        <v>37.598463831603887</v>
      </c>
      <c r="G88" s="599">
        <f>[5]Rqmnt!AA47</f>
        <v>39.542066202937541</v>
      </c>
      <c r="H88" s="599">
        <f>[5]Rqmnt!AB47</f>
        <v>48.210919703483299</v>
      </c>
      <c r="I88" s="599">
        <f>[5]Rqmnt!AC47</f>
        <v>64.227461316974555</v>
      </c>
      <c r="J88" s="599">
        <f>[5]Rqmnt!AD47</f>
        <v>51.178960848740005</v>
      </c>
      <c r="K88" s="599">
        <f>[5]Rqmnt!AE47</f>
        <v>65.758788777320817</v>
      </c>
      <c r="L88" s="599">
        <f>[5]Rqmnt!AF47</f>
        <v>45.346737404786822</v>
      </c>
      <c r="M88" s="599">
        <f>[5]Rqmnt!AG47</f>
        <v>49.013339937991653</v>
      </c>
      <c r="N88" s="599">
        <f>[5]Rqmnt!AH47</f>
        <v>64.500181316620328</v>
      </c>
      <c r="O88" s="599">
        <f>[5]Rqmnt!AI47</f>
        <v>69.888812435082329</v>
      </c>
      <c r="P88" s="599">
        <f>[5]Rqmnt!AJ47</f>
        <v>79.144576135599749</v>
      </c>
      <c r="Q88" s="601">
        <f>SUM(E88:P88)</f>
        <v>663.29005396580203</v>
      </c>
    </row>
    <row r="89" spans="2:17" ht="27.6" x14ac:dyDescent="0.25">
      <c r="B89" s="595">
        <f t="shared" si="19"/>
        <v>9</v>
      </c>
      <c r="C89" s="600" t="s">
        <v>313</v>
      </c>
      <c r="D89" s="595" t="s">
        <v>306</v>
      </c>
      <c r="E89" s="599">
        <f t="shared" ref="E89:P89" si="24">E84+E85-E86-E88</f>
        <v>1813.3667118256599</v>
      </c>
      <c r="F89" s="599">
        <f t="shared" si="24"/>
        <v>1348.6186501268148</v>
      </c>
      <c r="G89" s="599">
        <f t="shared" si="24"/>
        <v>1449.6299259325349</v>
      </c>
      <c r="H89" s="599">
        <f t="shared" si="24"/>
        <v>1652.2578759153798</v>
      </c>
      <c r="I89" s="599">
        <f t="shared" si="24"/>
        <v>1875.0866060261321</v>
      </c>
      <c r="J89" s="599">
        <f t="shared" si="24"/>
        <v>1771.9485156846542</v>
      </c>
      <c r="K89" s="599">
        <f t="shared" si="24"/>
        <v>2406.1123206207408</v>
      </c>
      <c r="L89" s="599">
        <f t="shared" si="24"/>
        <v>1529.7254635135912</v>
      </c>
      <c r="M89" s="599">
        <f t="shared" si="24"/>
        <v>1801.0526236218518</v>
      </c>
      <c r="N89" s="599">
        <f t="shared" si="24"/>
        <v>2315.7393715251342</v>
      </c>
      <c r="O89" s="599">
        <f t="shared" si="24"/>
        <v>2515.3443842240067</v>
      </c>
      <c r="P89" s="599">
        <f t="shared" si="24"/>
        <v>2865.3293890041123</v>
      </c>
      <c r="Q89" s="597">
        <f>SUM(E89:P89)</f>
        <v>23344.211838020612</v>
      </c>
    </row>
    <row r="90" spans="2:17" x14ac:dyDescent="0.25">
      <c r="B90" s="595"/>
      <c r="C90" s="602" t="s">
        <v>314</v>
      </c>
      <c r="D90" s="595"/>
      <c r="E90" s="596"/>
      <c r="F90" s="596"/>
      <c r="G90" s="596"/>
      <c r="H90" s="596"/>
      <c r="I90" s="596"/>
      <c r="J90" s="596"/>
      <c r="K90" s="596"/>
      <c r="L90" s="596"/>
      <c r="M90" s="596"/>
      <c r="N90" s="596"/>
      <c r="O90" s="596"/>
      <c r="P90" s="596"/>
      <c r="Q90" s="597"/>
    </row>
    <row r="91" spans="2:17" ht="27.6" x14ac:dyDescent="0.25">
      <c r="B91" s="595">
        <f>B89+1</f>
        <v>10</v>
      </c>
      <c r="C91" s="600" t="s">
        <v>315</v>
      </c>
      <c r="D91" s="595" t="s">
        <v>306</v>
      </c>
      <c r="E91" s="599">
        <f>[5]Rqmnt!Y7</f>
        <v>1813.3667118256599</v>
      </c>
      <c r="F91" s="599">
        <f>[5]Rqmnt!Z7</f>
        <v>1348.6186501268148</v>
      </c>
      <c r="G91" s="599">
        <f>[5]Rqmnt!AA7</f>
        <v>1449.6299259325349</v>
      </c>
      <c r="H91" s="599">
        <f>[5]Rqmnt!AB7</f>
        <v>1652.2578759153798</v>
      </c>
      <c r="I91" s="599">
        <f>[5]Rqmnt!AC7</f>
        <v>1875.0866060261319</v>
      </c>
      <c r="J91" s="599">
        <f>[5]Rqmnt!AD7</f>
        <v>1771.9485156846542</v>
      </c>
      <c r="K91" s="599">
        <f>[5]Rqmnt!AE7</f>
        <v>2406.1123206207408</v>
      </c>
      <c r="L91" s="599">
        <f>[5]Rqmnt!AF7</f>
        <v>1529.7254635135912</v>
      </c>
      <c r="M91" s="599">
        <f>[5]Rqmnt!AG7</f>
        <v>1801.0526236218518</v>
      </c>
      <c r="N91" s="599">
        <f>[5]Rqmnt!AH7</f>
        <v>2315.7393715251342</v>
      </c>
      <c r="O91" s="599">
        <f>[5]Rqmnt!AI7</f>
        <v>2515.3443842240067</v>
      </c>
      <c r="P91" s="599">
        <f>[5]Rqmnt!AJ7</f>
        <v>2865.3293890041123</v>
      </c>
      <c r="Q91" s="601">
        <f>SUM(E91:P91)</f>
        <v>23344.211838020612</v>
      </c>
    </row>
    <row r="92" spans="2:17" x14ac:dyDescent="0.25">
      <c r="B92" s="595">
        <f>B91+1</f>
        <v>11</v>
      </c>
      <c r="C92" s="596" t="s">
        <v>316</v>
      </c>
      <c r="D92" s="595" t="s">
        <v>306</v>
      </c>
      <c r="E92" s="599">
        <f>[5]Rqmnt!Y9</f>
        <v>65.723993698503961</v>
      </c>
      <c r="F92" s="599">
        <f>[5]Rqmnt!Z9</f>
        <v>64.392360172988759</v>
      </c>
      <c r="G92" s="599">
        <f>[5]Rqmnt!AA9</f>
        <v>62.171385919630744</v>
      </c>
      <c r="H92" s="599">
        <f>[5]Rqmnt!AB9</f>
        <v>63.435557692024943</v>
      </c>
      <c r="I92" s="599">
        <f>[5]Rqmnt!AC9</f>
        <v>67.487885021230966</v>
      </c>
      <c r="J92" s="599">
        <f>[5]Rqmnt!AD9</f>
        <v>66.393009631580526</v>
      </c>
      <c r="K92" s="599">
        <f>[5]Rqmnt!AE9</f>
        <v>59.71111768994033</v>
      </c>
      <c r="L92" s="599">
        <f>[5]Rqmnt!AF9</f>
        <v>59.828324823317097</v>
      </c>
      <c r="M92" s="599">
        <f>[5]Rqmnt!AG9</f>
        <v>58.539900917172069</v>
      </c>
      <c r="N92" s="599">
        <f>[5]Rqmnt!AH9</f>
        <v>69.154194817627882</v>
      </c>
      <c r="O92" s="599">
        <f>[5]Rqmnt!AI9</f>
        <v>64.935667301664367</v>
      </c>
      <c r="P92" s="599">
        <f>[5]Rqmnt!AJ9</f>
        <v>75.236974489877511</v>
      </c>
      <c r="Q92" s="601">
        <f>SUM(E92:P92)</f>
        <v>777.01037217555916</v>
      </c>
    </row>
    <row r="93" spans="2:17" x14ac:dyDescent="0.25">
      <c r="B93" s="595">
        <f>B92+1</f>
        <v>12</v>
      </c>
      <c r="C93" s="596" t="s">
        <v>317</v>
      </c>
      <c r="D93" s="595" t="s">
        <v>308</v>
      </c>
      <c r="E93" s="598">
        <f t="shared" ref="E93:P93" si="25">E94/E91</f>
        <v>2.9699999999999976E-2</v>
      </c>
      <c r="F93" s="598">
        <f t="shared" si="25"/>
        <v>2.9699999999999879E-2</v>
      </c>
      <c r="G93" s="598">
        <f t="shared" si="25"/>
        <v>2.9699999999999969E-2</v>
      </c>
      <c r="H93" s="598">
        <f t="shared" si="25"/>
        <v>2.969999999999998E-2</v>
      </c>
      <c r="I93" s="598">
        <f t="shared" si="25"/>
        <v>2.9699999999999907E-2</v>
      </c>
      <c r="J93" s="598">
        <f t="shared" si="25"/>
        <v>2.9699999999999959E-2</v>
      </c>
      <c r="K93" s="598">
        <f t="shared" si="25"/>
        <v>2.9699999999999921E-2</v>
      </c>
      <c r="L93" s="598">
        <f t="shared" si="25"/>
        <v>2.9699999999999983E-2</v>
      </c>
      <c r="M93" s="598">
        <f t="shared" si="25"/>
        <v>2.9699999999999963E-2</v>
      </c>
      <c r="N93" s="598">
        <f t="shared" si="25"/>
        <v>2.9700000000000011E-2</v>
      </c>
      <c r="O93" s="598">
        <f t="shared" si="25"/>
        <v>2.9699999999999952E-2</v>
      </c>
      <c r="P93" s="598">
        <f t="shared" si="25"/>
        <v>2.9699999999999938E-2</v>
      </c>
      <c r="Q93" s="598">
        <f t="shared" ref="Q93" si="26">Q94/Q91</f>
        <v>2.9699999999999956E-2</v>
      </c>
    </row>
    <row r="94" spans="2:17" x14ac:dyDescent="0.25">
      <c r="B94" s="595">
        <f>B93+1</f>
        <v>13</v>
      </c>
      <c r="C94" s="596" t="s">
        <v>317</v>
      </c>
      <c r="D94" s="595" t="s">
        <v>306</v>
      </c>
      <c r="E94" s="599">
        <f>[5]Rqmnt!Y11</f>
        <v>53.856991341222056</v>
      </c>
      <c r="F94" s="599">
        <f>[5]Rqmnt!Z11</f>
        <v>40.053973908766238</v>
      </c>
      <c r="G94" s="599">
        <f>[5]Rqmnt!AA11</f>
        <v>43.054008800196243</v>
      </c>
      <c r="H94" s="599">
        <f>[5]Rqmnt!AB11</f>
        <v>49.07205891468675</v>
      </c>
      <c r="I94" s="599">
        <f>[5]Rqmnt!AC11</f>
        <v>55.69007219897594</v>
      </c>
      <c r="J94" s="599">
        <f>[5]Rqmnt!AD11</f>
        <v>52.626870915834161</v>
      </c>
      <c r="K94" s="599">
        <f>[5]Rqmnt!AE11</f>
        <v>71.461535922435814</v>
      </c>
      <c r="L94" s="599">
        <f>[5]Rqmnt!AF11</f>
        <v>45.432846266353636</v>
      </c>
      <c r="M94" s="599">
        <f>[5]Rqmnt!AG11</f>
        <v>53.491262921568932</v>
      </c>
      <c r="N94" s="599">
        <f>[5]Rqmnt!AH11</f>
        <v>68.777459334296509</v>
      </c>
      <c r="O94" s="599">
        <f>[5]Rqmnt!AI11</f>
        <v>74.705728211452879</v>
      </c>
      <c r="P94" s="599">
        <f>[5]Rqmnt!AJ11</f>
        <v>85.100282853421959</v>
      </c>
      <c r="Q94" s="599">
        <f>SUM(E94:P94)</f>
        <v>693.32309158921112</v>
      </c>
    </row>
    <row r="95" spans="2:17" ht="27.6" x14ac:dyDescent="0.25">
      <c r="B95" s="595">
        <f>B94+1</f>
        <v>14</v>
      </c>
      <c r="C95" s="600" t="s">
        <v>339</v>
      </c>
      <c r="D95" s="595" t="s">
        <v>306</v>
      </c>
      <c r="E95" s="599">
        <f t="shared" ref="E95:P95" si="27">E91-E92-E94</f>
        <v>1693.7857267859338</v>
      </c>
      <c r="F95" s="599">
        <f t="shared" si="27"/>
        <v>1244.1723160450599</v>
      </c>
      <c r="G95" s="599">
        <f t="shared" si="27"/>
        <v>1344.404531212708</v>
      </c>
      <c r="H95" s="599">
        <f t="shared" si="27"/>
        <v>1539.7502593086681</v>
      </c>
      <c r="I95" s="599">
        <f t="shared" si="27"/>
        <v>1751.9086488059249</v>
      </c>
      <c r="J95" s="599">
        <f t="shared" si="27"/>
        <v>1652.9286351372396</v>
      </c>
      <c r="K95" s="599">
        <f t="shared" si="27"/>
        <v>2274.9396670083647</v>
      </c>
      <c r="L95" s="599">
        <f t="shared" si="27"/>
        <v>1424.4642924239204</v>
      </c>
      <c r="M95" s="599">
        <f t="shared" si="27"/>
        <v>1689.0214597831109</v>
      </c>
      <c r="N95" s="599">
        <f t="shared" si="27"/>
        <v>2177.8077173732099</v>
      </c>
      <c r="O95" s="599">
        <f t="shared" si="27"/>
        <v>2375.7029887108893</v>
      </c>
      <c r="P95" s="599">
        <f t="shared" si="27"/>
        <v>2704.9921316608129</v>
      </c>
      <c r="Q95" s="601">
        <f>SUM(E95:P95)</f>
        <v>21873.878374255841</v>
      </c>
    </row>
    <row r="96" spans="2:17" x14ac:dyDescent="0.25">
      <c r="B96" s="595"/>
      <c r="C96" s="602" t="s">
        <v>319</v>
      </c>
      <c r="D96" s="595"/>
      <c r="E96" s="596"/>
      <c r="F96" s="596"/>
      <c r="G96" s="596"/>
      <c r="H96" s="596"/>
      <c r="I96" s="596"/>
      <c r="J96" s="596"/>
      <c r="K96" s="596"/>
      <c r="L96" s="596"/>
      <c r="M96" s="596"/>
      <c r="N96" s="596"/>
      <c r="O96" s="596"/>
      <c r="P96" s="596"/>
      <c r="Q96" s="597"/>
    </row>
    <row r="97" spans="2:17" ht="27.6" x14ac:dyDescent="0.25">
      <c r="B97" s="595">
        <f>B95+1</f>
        <v>15</v>
      </c>
      <c r="C97" s="600" t="s">
        <v>320</v>
      </c>
      <c r="D97" s="595" t="s">
        <v>306</v>
      </c>
      <c r="E97" s="599">
        <f>[5]Rqmnt!Y19</f>
        <v>1693.7857267859338</v>
      </c>
      <c r="F97" s="599">
        <f>[5]Rqmnt!Z19</f>
        <v>1244.1723160450599</v>
      </c>
      <c r="G97" s="599">
        <f>[5]Rqmnt!AA19</f>
        <v>1344.404531212708</v>
      </c>
      <c r="H97" s="599">
        <f>[5]Rqmnt!AB19</f>
        <v>1539.7502593086681</v>
      </c>
      <c r="I97" s="599">
        <f>[5]Rqmnt!AC19</f>
        <v>1751.9086488059249</v>
      </c>
      <c r="J97" s="599">
        <f>[5]Rqmnt!AD19</f>
        <v>1652.9286351372396</v>
      </c>
      <c r="K97" s="599">
        <f>[5]Rqmnt!AE19</f>
        <v>2274.9396670083647</v>
      </c>
      <c r="L97" s="599">
        <f>[5]Rqmnt!AF19</f>
        <v>1424.4642924239204</v>
      </c>
      <c r="M97" s="599">
        <f>[5]Rqmnt!AG19</f>
        <v>1689.0214597831109</v>
      </c>
      <c r="N97" s="599">
        <f>[5]Rqmnt!AH19</f>
        <v>2177.8077173732099</v>
      </c>
      <c r="O97" s="599">
        <f>[5]Rqmnt!AI19</f>
        <v>2375.7029887108893</v>
      </c>
      <c r="P97" s="599">
        <f>[5]Rqmnt!AJ19</f>
        <v>2704.9921316608129</v>
      </c>
      <c r="Q97" s="601">
        <f>SUM(E97:P97)</f>
        <v>21873.878374255841</v>
      </c>
    </row>
    <row r="98" spans="2:17" x14ac:dyDescent="0.25">
      <c r="B98" s="595">
        <f>B97+1</f>
        <v>16</v>
      </c>
      <c r="C98" s="600" t="s">
        <v>321</v>
      </c>
      <c r="D98" s="595" t="s">
        <v>306</v>
      </c>
      <c r="E98" s="599"/>
      <c r="F98" s="599"/>
      <c r="G98" s="599"/>
      <c r="H98" s="599"/>
      <c r="I98" s="599"/>
      <c r="J98" s="599"/>
      <c r="K98" s="599"/>
      <c r="L98" s="599"/>
      <c r="M98" s="599"/>
      <c r="N98" s="599"/>
      <c r="O98" s="599"/>
      <c r="P98" s="599"/>
      <c r="Q98" s="601">
        <f>SUM(E98:P98)</f>
        <v>0</v>
      </c>
    </row>
    <row r="99" spans="2:17" x14ac:dyDescent="0.25">
      <c r="B99" s="595">
        <f>B98+1</f>
        <v>17</v>
      </c>
      <c r="C99" s="596" t="s">
        <v>322</v>
      </c>
      <c r="D99" s="595" t="s">
        <v>306</v>
      </c>
      <c r="E99" s="599">
        <f>[5]Rqmnt!Y20</f>
        <v>217.99462374708668</v>
      </c>
      <c r="F99" s="599">
        <f>[5]Rqmnt!Z20</f>
        <v>188.19377555482177</v>
      </c>
      <c r="G99" s="599">
        <f>[5]Rqmnt!AA20</f>
        <v>211.68101953101498</v>
      </c>
      <c r="H99" s="599">
        <f>[5]Rqmnt!AB20</f>
        <v>241.21354046976006</v>
      </c>
      <c r="I99" s="599">
        <f>[5]Rqmnt!AC20</f>
        <v>237.00893866371177</v>
      </c>
      <c r="J99" s="599">
        <f>[5]Rqmnt!AD20</f>
        <v>222.15774535764552</v>
      </c>
      <c r="K99" s="599">
        <f>[5]Rqmnt!AE20</f>
        <v>247.60035463796532</v>
      </c>
      <c r="L99" s="599">
        <f>[5]Rqmnt!AF20</f>
        <v>200.33138780186877</v>
      </c>
      <c r="M99" s="599">
        <f>[5]Rqmnt!AG20</f>
        <v>273.43911671914515</v>
      </c>
      <c r="N99" s="599">
        <f>[5]Rqmnt!AH20</f>
        <v>292.60213613935241</v>
      </c>
      <c r="O99" s="599">
        <f>[5]Rqmnt!AI20</f>
        <v>293.35712114909848</v>
      </c>
      <c r="P99" s="599">
        <f>[5]Rqmnt!AJ20</f>
        <v>296.92414246574242</v>
      </c>
      <c r="Q99" s="601">
        <f>SUM(E99:P99)</f>
        <v>2922.5039022372134</v>
      </c>
    </row>
    <row r="100" spans="2:17" x14ac:dyDescent="0.25">
      <c r="B100" s="595">
        <f>B99+1</f>
        <v>18</v>
      </c>
      <c r="C100" s="596" t="s">
        <v>323</v>
      </c>
      <c r="D100" s="595" t="s">
        <v>308</v>
      </c>
      <c r="E100" s="598">
        <f t="shared" ref="E100:P100" si="28">E101/E97</f>
        <v>3.709999999999998E-2</v>
      </c>
      <c r="F100" s="598">
        <f t="shared" si="28"/>
        <v>3.7099999999999946E-2</v>
      </c>
      <c r="G100" s="598">
        <f t="shared" si="28"/>
        <v>3.7099999999999959E-2</v>
      </c>
      <c r="H100" s="598">
        <f t="shared" si="28"/>
        <v>3.7099999999999973E-2</v>
      </c>
      <c r="I100" s="598">
        <f t="shared" si="28"/>
        <v>3.7100000000000029E-2</v>
      </c>
      <c r="J100" s="598">
        <f t="shared" si="28"/>
        <v>3.7100000000000063E-2</v>
      </c>
      <c r="K100" s="598">
        <f t="shared" si="28"/>
        <v>3.7099999999999952E-2</v>
      </c>
      <c r="L100" s="598">
        <f t="shared" si="28"/>
        <v>3.7100000000000001E-2</v>
      </c>
      <c r="M100" s="598">
        <f t="shared" si="28"/>
        <v>3.7099999999999994E-2</v>
      </c>
      <c r="N100" s="598">
        <f t="shared" si="28"/>
        <v>3.710000000000005E-2</v>
      </c>
      <c r="O100" s="598">
        <f t="shared" si="28"/>
        <v>3.7100000000000098E-2</v>
      </c>
      <c r="P100" s="598">
        <f t="shared" si="28"/>
        <v>3.7099999999999994E-2</v>
      </c>
      <c r="Q100" s="598">
        <f t="shared" ref="Q100" si="29">Q101/Q97</f>
        <v>3.7100000000000008E-2</v>
      </c>
    </row>
    <row r="101" spans="2:17" x14ac:dyDescent="0.25">
      <c r="B101" s="595">
        <f>B100+1</f>
        <v>19</v>
      </c>
      <c r="C101" s="596" t="s">
        <v>323</v>
      </c>
      <c r="D101" s="595" t="s">
        <v>306</v>
      </c>
      <c r="E101" s="599">
        <f>[5]Rqmnt!Y22</f>
        <v>62.839450463758112</v>
      </c>
      <c r="F101" s="599">
        <f>[5]Rqmnt!Z22</f>
        <v>46.158792925271655</v>
      </c>
      <c r="G101" s="599">
        <f>[5]Rqmnt!AA22</f>
        <v>49.877408107991414</v>
      </c>
      <c r="H101" s="599">
        <f>[5]Rqmnt!AB22</f>
        <v>57.124734620351546</v>
      </c>
      <c r="I101" s="599">
        <f>[5]Rqmnt!AC22</f>
        <v>64.99581087069987</v>
      </c>
      <c r="J101" s="599">
        <f>[5]Rqmnt!AD22</f>
        <v>61.323652363591691</v>
      </c>
      <c r="K101" s="599">
        <f>[5]Rqmnt!AE22</f>
        <v>84.400261646010222</v>
      </c>
      <c r="L101" s="599">
        <f>[5]Rqmnt!AF22</f>
        <v>52.847625248927443</v>
      </c>
      <c r="M101" s="599">
        <f>[5]Rqmnt!AG22</f>
        <v>62.662696157953405</v>
      </c>
      <c r="N101" s="599">
        <f>[5]Rqmnt!AH22</f>
        <v>80.796666314546201</v>
      </c>
      <c r="O101" s="599">
        <f>[5]Rqmnt!AI22</f>
        <v>88.138580881174221</v>
      </c>
      <c r="P101" s="599">
        <f>[5]Rqmnt!AJ22</f>
        <v>100.35520808461615</v>
      </c>
      <c r="Q101" s="601">
        <f>SUM(E101:P101)</f>
        <v>811.52088768489193</v>
      </c>
    </row>
    <row r="102" spans="2:17" ht="27.6" x14ac:dyDescent="0.25">
      <c r="B102" s="595">
        <f>B101+1</f>
        <v>20</v>
      </c>
      <c r="C102" s="600" t="s">
        <v>340</v>
      </c>
      <c r="D102" s="595" t="s">
        <v>306</v>
      </c>
      <c r="E102" s="599">
        <f t="shared" ref="E102:P102" si="30">E97+E98-E99-E101</f>
        <v>1412.9516525750889</v>
      </c>
      <c r="F102" s="599">
        <f t="shared" si="30"/>
        <v>1009.8197475649665</v>
      </c>
      <c r="G102" s="599">
        <f t="shared" si="30"/>
        <v>1082.8461035737016</v>
      </c>
      <c r="H102" s="599">
        <f t="shared" si="30"/>
        <v>1241.4119842185564</v>
      </c>
      <c r="I102" s="599">
        <f t="shared" si="30"/>
        <v>1449.9038992715134</v>
      </c>
      <c r="J102" s="599">
        <f t="shared" si="30"/>
        <v>1369.4472374160023</v>
      </c>
      <c r="K102" s="599">
        <f t="shared" si="30"/>
        <v>1942.9390507243893</v>
      </c>
      <c r="L102" s="599">
        <f t="shared" si="30"/>
        <v>1171.2852793731242</v>
      </c>
      <c r="M102" s="599">
        <f t="shared" si="30"/>
        <v>1352.9196469060123</v>
      </c>
      <c r="N102" s="599">
        <f t="shared" si="30"/>
        <v>1804.4089149193114</v>
      </c>
      <c r="O102" s="599">
        <f t="shared" si="30"/>
        <v>1994.2072866806166</v>
      </c>
      <c r="P102" s="599">
        <f t="shared" si="30"/>
        <v>2307.7127811104542</v>
      </c>
      <c r="Q102" s="601">
        <f>SUM(E102:P102)</f>
        <v>18139.853584333738</v>
      </c>
    </row>
    <row r="103" spans="2:17" x14ac:dyDescent="0.25">
      <c r="B103" s="595"/>
      <c r="C103" s="602" t="s">
        <v>325</v>
      </c>
      <c r="D103" s="595"/>
      <c r="E103" s="596"/>
      <c r="F103" s="596"/>
      <c r="G103" s="596"/>
      <c r="H103" s="596"/>
      <c r="I103" s="596"/>
      <c r="J103" s="596"/>
      <c r="K103" s="596"/>
      <c r="L103" s="596"/>
      <c r="M103" s="596"/>
      <c r="N103" s="596"/>
      <c r="O103" s="596"/>
      <c r="P103" s="596"/>
      <c r="Q103" s="597"/>
    </row>
    <row r="104" spans="2:17" ht="27.6" x14ac:dyDescent="0.25">
      <c r="B104" s="595"/>
      <c r="C104" s="600" t="s">
        <v>326</v>
      </c>
      <c r="D104" s="595" t="s">
        <v>306</v>
      </c>
      <c r="E104" s="599">
        <f>[5]Rqmnt!Y27</f>
        <v>1412.9516525750889</v>
      </c>
      <c r="F104" s="599">
        <f>[5]Rqmnt!Z27</f>
        <v>1009.8197475649665</v>
      </c>
      <c r="G104" s="599">
        <f>[5]Rqmnt!AA27</f>
        <v>1082.8461035737016</v>
      </c>
      <c r="H104" s="599">
        <f>[5]Rqmnt!AB27</f>
        <v>1241.4119842185564</v>
      </c>
      <c r="I104" s="599">
        <f>[5]Rqmnt!AC27</f>
        <v>1449.9038992715132</v>
      </c>
      <c r="J104" s="599">
        <f>[5]Rqmnt!AD27</f>
        <v>1369.4472374160023</v>
      </c>
      <c r="K104" s="599">
        <f>[5]Rqmnt!AE27</f>
        <v>1942.9390507243891</v>
      </c>
      <c r="L104" s="599">
        <f>[5]Rqmnt!AF27</f>
        <v>1171.2852793731242</v>
      </c>
      <c r="M104" s="599">
        <f>[5]Rqmnt!AG27</f>
        <v>1352.9196469060123</v>
      </c>
      <c r="N104" s="599">
        <f>[5]Rqmnt!AH27</f>
        <v>1804.4089149193114</v>
      </c>
      <c r="O104" s="599">
        <f>[5]Rqmnt!AI27</f>
        <v>1994.2072866806166</v>
      </c>
      <c r="P104" s="599">
        <f>[5]Rqmnt!AJ27</f>
        <v>2307.7127811104542</v>
      </c>
      <c r="Q104" s="597">
        <f>SUM(E104:P104)</f>
        <v>18139.853584333738</v>
      </c>
    </row>
    <row r="105" spans="2:17" x14ac:dyDescent="0.25">
      <c r="B105" s="595">
        <f>B102+1</f>
        <v>21</v>
      </c>
      <c r="C105" s="600" t="s">
        <v>321</v>
      </c>
      <c r="D105" s="595" t="s">
        <v>306</v>
      </c>
      <c r="E105" s="596"/>
      <c r="F105" s="596"/>
      <c r="G105" s="596"/>
      <c r="H105" s="596"/>
      <c r="I105" s="596"/>
      <c r="J105" s="596"/>
      <c r="K105" s="596"/>
      <c r="L105" s="596"/>
      <c r="M105" s="596"/>
      <c r="N105" s="596"/>
      <c r="O105" s="596"/>
      <c r="P105" s="596"/>
      <c r="Q105" s="597">
        <f>SUM(E105:P105)</f>
        <v>0</v>
      </c>
    </row>
    <row r="106" spans="2:17" x14ac:dyDescent="0.25">
      <c r="B106" s="595">
        <f>B105+1</f>
        <v>22</v>
      </c>
      <c r="C106" s="596" t="s">
        <v>327</v>
      </c>
      <c r="D106" s="595" t="s">
        <v>306</v>
      </c>
      <c r="E106" s="599">
        <f>[5]Rqmnt!Y28+[5]Rqmnt!Y29</f>
        <v>1347.2494007303474</v>
      </c>
      <c r="F106" s="599">
        <f>[5]Rqmnt!Z28+[5]Rqmnt!Z29</f>
        <v>962.86312930319559</v>
      </c>
      <c r="G106" s="599">
        <f>[5]Rqmnt!AA28+[5]Rqmnt!AA29</f>
        <v>1032.4937597575245</v>
      </c>
      <c r="H106" s="599">
        <f>[5]Rqmnt!AB28+[5]Rqmnt!AB29</f>
        <v>1183.6863269523935</v>
      </c>
      <c r="I106" s="599">
        <f>[5]Rqmnt!AC28+[5]Rqmnt!AC29</f>
        <v>1382.4833679553878</v>
      </c>
      <c r="J106" s="599">
        <f>[5]Rqmnt!AD28+[5]Rqmnt!AD29</f>
        <v>1305.7679408761583</v>
      </c>
      <c r="K106" s="599">
        <f>[5]Rqmnt!AE28+[5]Rqmnt!AE29</f>
        <v>1852.5923848657051</v>
      </c>
      <c r="L106" s="599">
        <f>[5]Rqmnt!AF28+[5]Rqmnt!AF29</f>
        <v>1116.8205138822739</v>
      </c>
      <c r="M106" s="599">
        <f>[5]Rqmnt!AG28+[5]Rqmnt!AG29</f>
        <v>1290.0088833248828</v>
      </c>
      <c r="N106" s="599">
        <f>[5]Rqmnt!AH28+[5]Rqmnt!AH29</f>
        <v>1720.5039003755635</v>
      </c>
      <c r="O106" s="599">
        <f>[5]Rqmnt!AI28+[5]Rqmnt!AI29</f>
        <v>1901.476647849968</v>
      </c>
      <c r="P106" s="599">
        <f>[5]Rqmnt!AJ28+[5]Rqmnt!AJ29</f>
        <v>2200.4041367888181</v>
      </c>
      <c r="Q106" s="601">
        <f>SUM(E106:P106)</f>
        <v>17296.350392662218</v>
      </c>
    </row>
    <row r="107" spans="2:17" x14ac:dyDescent="0.25">
      <c r="B107" s="595">
        <f>B106+1</f>
        <v>23</v>
      </c>
      <c r="C107" s="596" t="s">
        <v>328</v>
      </c>
      <c r="D107" s="595" t="s">
        <v>308</v>
      </c>
      <c r="E107" s="598">
        <f t="shared" ref="E107:P107" si="31">E108/E104</f>
        <v>4.6499999999999951E-2</v>
      </c>
      <c r="F107" s="598">
        <f t="shared" si="31"/>
        <v>4.6500000000000041E-2</v>
      </c>
      <c r="G107" s="598">
        <f t="shared" si="31"/>
        <v>4.6500000000000076E-2</v>
      </c>
      <c r="H107" s="598">
        <f t="shared" si="31"/>
        <v>4.650000000000002E-2</v>
      </c>
      <c r="I107" s="598">
        <f t="shared" si="31"/>
        <v>4.6499999999999979E-2</v>
      </c>
      <c r="J107" s="598">
        <f t="shared" si="31"/>
        <v>4.6499999999999937E-2</v>
      </c>
      <c r="K107" s="598">
        <f t="shared" si="31"/>
        <v>4.6499999999999951E-2</v>
      </c>
      <c r="L107" s="598">
        <f t="shared" si="31"/>
        <v>4.6500000000000076E-2</v>
      </c>
      <c r="M107" s="598">
        <f t="shared" si="31"/>
        <v>4.6499999999999916E-2</v>
      </c>
      <c r="N107" s="598">
        <f t="shared" si="31"/>
        <v>4.6499999999999979E-2</v>
      </c>
      <c r="O107" s="598">
        <f t="shared" si="31"/>
        <v>4.6499999999999944E-2</v>
      </c>
      <c r="P107" s="598">
        <f t="shared" si="31"/>
        <v>4.650000000000002E-2</v>
      </c>
      <c r="Q107" s="598">
        <f t="shared" ref="Q107" si="32">Q108/Q104</f>
        <v>4.6499999999999986E-2</v>
      </c>
    </row>
    <row r="108" spans="2:17" x14ac:dyDescent="0.25">
      <c r="B108" s="595">
        <f>B107+1</f>
        <v>24</v>
      </c>
      <c r="C108" s="596" t="s">
        <v>328</v>
      </c>
      <c r="D108" s="595" t="s">
        <v>306</v>
      </c>
      <c r="E108" s="599">
        <f>[5]Rqmnt!Y30</f>
        <v>65.702251844741568</v>
      </c>
      <c r="F108" s="599">
        <f>[5]Rqmnt!Z30</f>
        <v>46.956618261770984</v>
      </c>
      <c r="G108" s="599">
        <f>[5]Rqmnt!AA30</f>
        <v>50.352343816177211</v>
      </c>
      <c r="H108" s="599">
        <f>[5]Rqmnt!AB30</f>
        <v>57.725657266162898</v>
      </c>
      <c r="I108" s="599">
        <f>[5]Rqmnt!AC30</f>
        <v>67.420531316125334</v>
      </c>
      <c r="J108" s="599">
        <f>[5]Rqmnt!AD30</f>
        <v>63.679296539844017</v>
      </c>
      <c r="K108" s="599">
        <f>[5]Rqmnt!AE30</f>
        <v>90.346665858683991</v>
      </c>
      <c r="L108" s="599">
        <f>[5]Rqmnt!AF30</f>
        <v>54.464765490850368</v>
      </c>
      <c r="M108" s="599">
        <f>[5]Rqmnt!AG30</f>
        <v>62.910763581129459</v>
      </c>
      <c r="N108" s="599">
        <f>[5]Rqmnt!AH30</f>
        <v>83.905014543747939</v>
      </c>
      <c r="O108" s="599">
        <f>[5]Rqmnt!AI30</f>
        <v>92.730638830648559</v>
      </c>
      <c r="P108" s="599">
        <f>[5]Rqmnt!AJ30</f>
        <v>107.30864432163617</v>
      </c>
      <c r="Q108" s="601">
        <f t="shared" ref="Q108:Q113" si="33">SUM(E108:P108)</f>
        <v>843.50319167151849</v>
      </c>
    </row>
    <row r="109" spans="2:17" x14ac:dyDescent="0.25">
      <c r="B109" s="595"/>
      <c r="C109" s="602" t="s">
        <v>251</v>
      </c>
      <c r="D109" s="595"/>
      <c r="E109" s="596"/>
      <c r="F109" s="596"/>
      <c r="G109" s="596"/>
      <c r="H109" s="596"/>
      <c r="I109" s="596"/>
      <c r="J109" s="596"/>
      <c r="K109" s="596"/>
      <c r="L109" s="596"/>
      <c r="M109" s="596"/>
      <c r="N109" s="596"/>
      <c r="O109" s="596"/>
      <c r="P109" s="596"/>
      <c r="Q109" s="597">
        <f t="shared" si="33"/>
        <v>0</v>
      </c>
    </row>
    <row r="110" spans="2:17" x14ac:dyDescent="0.25">
      <c r="B110" s="595">
        <f>B108+1</f>
        <v>25</v>
      </c>
      <c r="C110" s="602" t="s">
        <v>329</v>
      </c>
      <c r="D110" s="603" t="s">
        <v>306</v>
      </c>
      <c r="E110" s="599">
        <f t="shared" ref="E110:P110" si="34">E81+E85+E105</f>
        <v>2001.6814408792884</v>
      </c>
      <c r="F110" s="599">
        <f t="shared" si="34"/>
        <v>1541.0486657856115</v>
      </c>
      <c r="G110" s="599">
        <f t="shared" si="34"/>
        <v>1619.5983245622492</v>
      </c>
      <c r="H110" s="599">
        <f t="shared" si="34"/>
        <v>1973.6959058416812</v>
      </c>
      <c r="I110" s="599">
        <f t="shared" si="34"/>
        <v>2627.3284289204394</v>
      </c>
      <c r="J110" s="599">
        <f t="shared" si="34"/>
        <v>2094.5529110150242</v>
      </c>
      <c r="K110" s="599">
        <f t="shared" si="34"/>
        <v>2690.1605353496998</v>
      </c>
      <c r="L110" s="599">
        <f t="shared" si="34"/>
        <v>1856.4185929695532</v>
      </c>
      <c r="M110" s="599">
        <f t="shared" si="34"/>
        <v>2006.0273934856486</v>
      </c>
      <c r="N110" s="599">
        <f t="shared" si="34"/>
        <v>2638.0049312551673</v>
      </c>
      <c r="O110" s="599">
        <f t="shared" si="34"/>
        <v>2857.782543472169</v>
      </c>
      <c r="P110" s="599">
        <f t="shared" si="34"/>
        <v>3236.5283097367278</v>
      </c>
      <c r="Q110" s="597">
        <f t="shared" si="33"/>
        <v>27142.827983273259</v>
      </c>
    </row>
    <row r="111" spans="2:17" x14ac:dyDescent="0.25">
      <c r="B111" s="595">
        <f>B110+1</f>
        <v>26</v>
      </c>
      <c r="C111" s="602" t="s">
        <v>330</v>
      </c>
      <c r="D111" s="603" t="s">
        <v>306</v>
      </c>
      <c r="E111" s="599">
        <f t="shared" ref="E111:P111" si="35">E86+E92+E99+E106</f>
        <v>1755.7031072330692</v>
      </c>
      <c r="F111" s="599">
        <f t="shared" si="35"/>
        <v>1357.6249897556818</v>
      </c>
      <c r="G111" s="599">
        <f t="shared" si="35"/>
        <v>1424.5752382327703</v>
      </c>
      <c r="H111" s="599">
        <f t="shared" si="35"/>
        <v>1747.6601133767626</v>
      </c>
      <c r="I111" s="599">
        <f t="shared" si="35"/>
        <v>2358.538535556369</v>
      </c>
      <c r="J111" s="599">
        <f t="shared" si="35"/>
        <v>1851.6367822889138</v>
      </c>
      <c r="K111" s="599">
        <f t="shared" si="35"/>
        <v>2361.1542428086077</v>
      </c>
      <c r="L111" s="599">
        <f t="shared" si="35"/>
        <v>1645.2713347267691</v>
      </c>
      <c r="M111" s="599">
        <f t="shared" si="35"/>
        <v>1764.3341300026559</v>
      </c>
      <c r="N111" s="599">
        <f t="shared" si="35"/>
        <v>2323.979268597323</v>
      </c>
      <c r="O111" s="599">
        <f t="shared" si="35"/>
        <v>2515.5448752141119</v>
      </c>
      <c r="P111" s="599">
        <f t="shared" si="35"/>
        <v>2845.350481108801</v>
      </c>
      <c r="Q111" s="601">
        <f t="shared" si="33"/>
        <v>23951.373098901837</v>
      </c>
    </row>
    <row r="112" spans="2:17" ht="27.6" x14ac:dyDescent="0.25">
      <c r="B112" s="595">
        <f>B111+1</f>
        <v>27</v>
      </c>
      <c r="C112" s="604" t="s">
        <v>331</v>
      </c>
      <c r="D112" s="603"/>
      <c r="E112" s="599">
        <f t="shared" ref="E112:P112" si="36">E89+E86</f>
        <v>1938.1018008827912</v>
      </c>
      <c r="F112" s="599">
        <f t="shared" si="36"/>
        <v>1490.7943748514906</v>
      </c>
      <c r="G112" s="599">
        <f t="shared" si="36"/>
        <v>1567.8589989571351</v>
      </c>
      <c r="H112" s="599">
        <f t="shared" si="36"/>
        <v>1911.5825641779641</v>
      </c>
      <c r="I112" s="599">
        <f t="shared" si="36"/>
        <v>2546.6449499421706</v>
      </c>
      <c r="J112" s="599">
        <f t="shared" si="36"/>
        <v>2029.2666021081839</v>
      </c>
      <c r="K112" s="599">
        <f t="shared" si="36"/>
        <v>2607.3627062357377</v>
      </c>
      <c r="L112" s="599">
        <f t="shared" si="36"/>
        <v>1798.0165717329005</v>
      </c>
      <c r="M112" s="599">
        <f t="shared" si="36"/>
        <v>1943.3988526633075</v>
      </c>
      <c r="N112" s="599">
        <f t="shared" si="36"/>
        <v>2557.4584087899134</v>
      </c>
      <c r="O112" s="599">
        <f t="shared" si="36"/>
        <v>2771.1198231373883</v>
      </c>
      <c r="P112" s="599">
        <f t="shared" si="36"/>
        <v>3138.1146163684753</v>
      </c>
      <c r="Q112" s="601">
        <f t="shared" si="33"/>
        <v>26299.720269847458</v>
      </c>
    </row>
    <row r="113" spans="2:17" x14ac:dyDescent="0.25">
      <c r="B113" s="595">
        <f>B112+1</f>
        <v>28</v>
      </c>
      <c r="C113" s="604" t="s">
        <v>332</v>
      </c>
      <c r="D113" s="603" t="s">
        <v>306</v>
      </c>
      <c r="E113" s="599">
        <f t="shared" ref="E113:P113" si="37">E112-E111</f>
        <v>182.39869364972196</v>
      </c>
      <c r="F113" s="599">
        <f t="shared" si="37"/>
        <v>133.16938509580882</v>
      </c>
      <c r="G113" s="599">
        <f t="shared" si="37"/>
        <v>143.28376072436481</v>
      </c>
      <c r="H113" s="599">
        <f t="shared" si="37"/>
        <v>163.92245080120142</v>
      </c>
      <c r="I113" s="599">
        <f t="shared" si="37"/>
        <v>188.1064143858016</v>
      </c>
      <c r="J113" s="599">
        <f t="shared" si="37"/>
        <v>177.6298198192701</v>
      </c>
      <c r="K113" s="599">
        <f t="shared" si="37"/>
        <v>246.20846342713003</v>
      </c>
      <c r="L113" s="599">
        <f t="shared" si="37"/>
        <v>152.74523700613145</v>
      </c>
      <c r="M113" s="599">
        <f t="shared" si="37"/>
        <v>179.06472266065157</v>
      </c>
      <c r="N113" s="599">
        <f t="shared" si="37"/>
        <v>233.47914019259042</v>
      </c>
      <c r="O113" s="599">
        <f t="shared" si="37"/>
        <v>255.57494792327634</v>
      </c>
      <c r="P113" s="599">
        <f t="shared" si="37"/>
        <v>292.76413525967428</v>
      </c>
      <c r="Q113" s="601">
        <f t="shared" si="33"/>
        <v>2348.347170945623</v>
      </c>
    </row>
    <row r="114" spans="2:17" x14ac:dyDescent="0.25">
      <c r="B114" s="595">
        <f>B113+1</f>
        <v>29</v>
      </c>
      <c r="C114" s="604" t="s">
        <v>333</v>
      </c>
      <c r="D114" s="603" t="s">
        <v>308</v>
      </c>
      <c r="E114" s="598">
        <f t="shared" ref="E114:P114" si="38">E113/(E112-E86)</f>
        <v>0.10058566337422548</v>
      </c>
      <c r="F114" s="598">
        <f t="shared" si="38"/>
        <v>9.8745027056600834E-2</v>
      </c>
      <c r="G114" s="598">
        <f t="shared" si="38"/>
        <v>9.8841613408464618E-2</v>
      </c>
      <c r="H114" s="598">
        <f t="shared" si="38"/>
        <v>9.9211178346107445E-2</v>
      </c>
      <c r="I114" s="598">
        <f t="shared" si="38"/>
        <v>0.10031878729295346</v>
      </c>
      <c r="J114" s="598">
        <f t="shared" si="38"/>
        <v>0.1002454745422649</v>
      </c>
      <c r="K114" s="598">
        <f t="shared" si="38"/>
        <v>0.10232625522802358</v>
      </c>
      <c r="L114" s="598">
        <f t="shared" si="38"/>
        <v>9.9851405137294652E-2</v>
      </c>
      <c r="M114" s="598">
        <f t="shared" si="38"/>
        <v>9.9422260244988792E-2</v>
      </c>
      <c r="N114" s="598">
        <f t="shared" si="38"/>
        <v>0.10082271911230764</v>
      </c>
      <c r="O114" s="598">
        <f t="shared" si="38"/>
        <v>0.10160634445375248</v>
      </c>
      <c r="P114" s="598">
        <f t="shared" si="38"/>
        <v>0.102174687623411</v>
      </c>
      <c r="Q114" s="598">
        <f t="shared" ref="Q114" si="39">Q113/(Q112-Q86)</f>
        <v>0.10059654989597382</v>
      </c>
    </row>
    <row r="116" spans="2:17" hidden="1" x14ac:dyDescent="0.25">
      <c r="B116" s="794" t="s">
        <v>4</v>
      </c>
      <c r="C116" s="760" t="s">
        <v>5</v>
      </c>
      <c r="D116" s="729" t="s">
        <v>298</v>
      </c>
      <c r="E116" s="795" t="s">
        <v>341</v>
      </c>
      <c r="F116" s="795"/>
      <c r="G116" s="795"/>
      <c r="H116" s="795"/>
      <c r="I116" s="795"/>
      <c r="J116" s="795"/>
      <c r="K116" s="795"/>
      <c r="L116" s="795"/>
      <c r="M116" s="795"/>
      <c r="N116" s="795"/>
      <c r="O116" s="795"/>
      <c r="P116" s="795"/>
      <c r="Q116" s="795"/>
    </row>
    <row r="117" spans="2:17" hidden="1" x14ac:dyDescent="0.25">
      <c r="B117" s="794"/>
      <c r="C117" s="760"/>
      <c r="D117" s="729"/>
      <c r="E117" s="13" t="s">
        <v>239</v>
      </c>
      <c r="F117" s="13" t="s">
        <v>240</v>
      </c>
      <c r="G117" s="13" t="s">
        <v>241</v>
      </c>
      <c r="H117" s="13" t="s">
        <v>242</v>
      </c>
      <c r="I117" s="13" t="s">
        <v>243</v>
      </c>
      <c r="J117" s="13" t="s">
        <v>244</v>
      </c>
      <c r="K117" s="13" t="s">
        <v>245</v>
      </c>
      <c r="L117" s="13" t="s">
        <v>246</v>
      </c>
      <c r="M117" s="13" t="s">
        <v>247</v>
      </c>
      <c r="N117" s="13" t="s">
        <v>248</v>
      </c>
      <c r="O117" s="13" t="s">
        <v>249</v>
      </c>
      <c r="P117" s="13" t="s">
        <v>250</v>
      </c>
      <c r="Q117" s="13" t="s">
        <v>251</v>
      </c>
    </row>
    <row r="118" spans="2:17" hidden="1" x14ac:dyDescent="0.25">
      <c r="B118" s="63">
        <v>1</v>
      </c>
      <c r="C118" s="344" t="s">
        <v>305</v>
      </c>
      <c r="D118" s="63" t="s">
        <v>306</v>
      </c>
      <c r="E118" s="18">
        <f>[32]Rqmnt!Y48+[32]Rqmnt!Y49</f>
        <v>355.54098338954805</v>
      </c>
      <c r="F118" s="18">
        <f>[32]Rqmnt!Z48+[32]Rqmnt!Z49</f>
        <v>361.71206552720895</v>
      </c>
      <c r="G118" s="18">
        <f>[32]Rqmnt!AA48+[32]Rqmnt!AA49</f>
        <v>321.345974277533</v>
      </c>
      <c r="H118" s="18">
        <f>[32]Rqmnt!AB48+[32]Rqmnt!AB49</f>
        <v>347.30404246635197</v>
      </c>
      <c r="I118" s="18">
        <f>[32]Rqmnt!AC48+[32]Rqmnt!AC49</f>
        <v>362.82452616724703</v>
      </c>
      <c r="J118" s="18">
        <f>[32]Rqmnt!AD48+[32]Rqmnt!AD49</f>
        <v>342.37060218184797</v>
      </c>
      <c r="K118" s="18">
        <f>[32]Rqmnt!AE48+[32]Rqmnt!AE49</f>
        <v>344.93016211265893</v>
      </c>
      <c r="L118" s="18">
        <f>[32]Rqmnt!AF48+[32]Rqmnt!AF49</f>
        <v>332.69072838954798</v>
      </c>
      <c r="M118" s="18">
        <f>[32]Rqmnt!AG48+[32]Rqmnt!AG49</f>
        <v>339.160907112659</v>
      </c>
      <c r="N118" s="18">
        <f>[32]Rqmnt!AH48+[32]Rqmnt!AH49</f>
        <v>362.71207211265903</v>
      </c>
      <c r="O118" s="18">
        <f>[32]Rqmnt!AI48+[32]Rqmnt!AI49</f>
        <v>333.74206594332594</v>
      </c>
      <c r="P118" s="18">
        <f>[32]Rqmnt!AJ48+[32]Rqmnt!AJ49</f>
        <v>369.30887211265895</v>
      </c>
      <c r="Q118" s="90">
        <f>SUM(E118:P118)</f>
        <v>4173.6430017932471</v>
      </c>
    </row>
    <row r="119" spans="2:17" hidden="1" x14ac:dyDescent="0.25">
      <c r="B119" s="430">
        <f>B118+1</f>
        <v>2</v>
      </c>
      <c r="C119" s="344" t="s">
        <v>307</v>
      </c>
      <c r="D119" s="63" t="s">
        <v>308</v>
      </c>
      <c r="E119" s="155">
        <f t="shared" ref="E119" si="40">E120/E118</f>
        <v>3.9300000000000002E-2</v>
      </c>
      <c r="F119" s="155">
        <f t="shared" ref="F119" si="41">F120/F118</f>
        <v>3.5799999999999998E-2</v>
      </c>
      <c r="G119" s="155">
        <f t="shared" ref="G119" si="42">G120/G118</f>
        <v>3.2899999999999999E-2</v>
      </c>
      <c r="H119" s="155">
        <f t="shared" ref="H119" si="43">H120/H118</f>
        <v>3.5099999999999999E-2</v>
      </c>
      <c r="I119" s="155">
        <f t="shared" ref="I119" si="44">I120/I118</f>
        <v>3.3700000000000001E-2</v>
      </c>
      <c r="J119" s="155">
        <f t="shared" ref="J119" si="45">J120/J118</f>
        <v>3.5000000000000003E-2</v>
      </c>
      <c r="K119" s="155">
        <f t="shared" ref="K119" si="46">K120/K118</f>
        <v>3.32E-2</v>
      </c>
      <c r="L119" s="155">
        <f t="shared" ref="L119" si="47">L120/L118</f>
        <v>3.2774999999999999E-2</v>
      </c>
      <c r="M119" s="155">
        <f t="shared" ref="M119" si="48">M120/M118</f>
        <v>3.9399999999999998E-2</v>
      </c>
      <c r="N119" s="155">
        <f t="shared" ref="N119" si="49">N120/N118</f>
        <v>3.8850000000000003E-2</v>
      </c>
      <c r="O119" s="155">
        <f t="shared" ref="O119" si="50">O120/O118</f>
        <v>3.755E-2</v>
      </c>
      <c r="P119" s="155">
        <f t="shared" ref="P119:Q119" si="51">P120/P118</f>
        <v>3.5549999999999998E-2</v>
      </c>
      <c r="Q119" s="155">
        <f t="shared" si="51"/>
        <v>3.5787855671438051E-2</v>
      </c>
    </row>
    <row r="120" spans="2:17" hidden="1" x14ac:dyDescent="0.25">
      <c r="B120" s="63">
        <f t="shared" ref="B120:B126" si="52">B119+1</f>
        <v>3</v>
      </c>
      <c r="C120" s="344" t="s">
        <v>307</v>
      </c>
      <c r="D120" s="63" t="s">
        <v>306</v>
      </c>
      <c r="E120" s="351">
        <f>[32]Rqmnt!Y52</f>
        <v>13.972760647209238</v>
      </c>
      <c r="F120" s="351">
        <f>[32]Rqmnt!Z52</f>
        <v>12.94929194587408</v>
      </c>
      <c r="G120" s="351">
        <f>[32]Rqmnt!AA52</f>
        <v>10.572282553730835</v>
      </c>
      <c r="H120" s="351">
        <f>[32]Rqmnt!AB52</f>
        <v>12.190371890568954</v>
      </c>
      <c r="I120" s="351">
        <f>[32]Rqmnt!AC52</f>
        <v>12.227186531836225</v>
      </c>
      <c r="J120" s="351">
        <f>[32]Rqmnt!AD52</f>
        <v>11.982971076364681</v>
      </c>
      <c r="K120" s="351">
        <f>[32]Rqmnt!AE52</f>
        <v>11.451681382140277</v>
      </c>
      <c r="L120" s="351">
        <f>[32]Rqmnt!AF52</f>
        <v>10.903938622967434</v>
      </c>
      <c r="M120" s="351">
        <f>[32]Rqmnt!AG52</f>
        <v>13.362939740238764</v>
      </c>
      <c r="N120" s="351">
        <f>[32]Rqmnt!AH52</f>
        <v>14.091364001576805</v>
      </c>
      <c r="O120" s="351">
        <f>[32]Rqmnt!AI52</f>
        <v>12.532014576171889</v>
      </c>
      <c r="P120" s="351">
        <f>[32]Rqmnt!AJ52</f>
        <v>13.128930403605025</v>
      </c>
      <c r="Q120" s="90">
        <f>SUM(E120:P120)</f>
        <v>149.36573337228418</v>
      </c>
    </row>
    <row r="121" spans="2:17" ht="27.6" hidden="1" x14ac:dyDescent="0.25">
      <c r="B121" s="430">
        <f t="shared" si="52"/>
        <v>4</v>
      </c>
      <c r="C121" s="345" t="s">
        <v>309</v>
      </c>
      <c r="D121" s="63" t="s">
        <v>306</v>
      </c>
      <c r="E121" s="351">
        <f t="shared" ref="E121" si="53">E118-E120</f>
        <v>341.56822274233883</v>
      </c>
      <c r="F121" s="351">
        <f t="shared" ref="F121" si="54">F118-F120</f>
        <v>348.76277358133484</v>
      </c>
      <c r="G121" s="351">
        <f t="shared" ref="G121" si="55">G118-G120</f>
        <v>310.77369172380219</v>
      </c>
      <c r="H121" s="351">
        <f t="shared" ref="H121" si="56">H118-H120</f>
        <v>335.11367057578303</v>
      </c>
      <c r="I121" s="351">
        <f t="shared" ref="I121" si="57">I118-I120</f>
        <v>350.59733963541078</v>
      </c>
      <c r="J121" s="351">
        <f t="shared" ref="J121" si="58">J118-J120</f>
        <v>330.38763110548331</v>
      </c>
      <c r="K121" s="351">
        <f t="shared" ref="K121" si="59">K118-K120</f>
        <v>333.47848073051864</v>
      </c>
      <c r="L121" s="351">
        <f t="shared" ref="L121" si="60">L118-L120</f>
        <v>321.78678976658057</v>
      </c>
      <c r="M121" s="351">
        <f t="shared" ref="M121" si="61">M118-M120</f>
        <v>325.79796737242026</v>
      </c>
      <c r="N121" s="351">
        <f t="shared" ref="N121" si="62">N118-N120</f>
        <v>348.62070811108225</v>
      </c>
      <c r="O121" s="351">
        <f t="shared" ref="O121" si="63">O118-O120</f>
        <v>321.21005136715405</v>
      </c>
      <c r="P121" s="351">
        <f t="shared" ref="P121" si="64">P118-P120</f>
        <v>356.17994170905394</v>
      </c>
      <c r="Q121" s="90">
        <f>SUM(E121:P121)</f>
        <v>4024.2772684209626</v>
      </c>
    </row>
    <row r="122" spans="2:17" ht="27.6" hidden="1" x14ac:dyDescent="0.25">
      <c r="B122" s="63">
        <f t="shared" si="52"/>
        <v>5</v>
      </c>
      <c r="C122" s="345" t="s">
        <v>310</v>
      </c>
      <c r="D122" s="63" t="s">
        <v>306</v>
      </c>
      <c r="E122" s="354">
        <f>[32]Rqmnt!Y46-E121</f>
        <v>2004.6949154242886</v>
      </c>
      <c r="F122" s="354">
        <f>[32]Rqmnt!Z46-F121</f>
        <v>1069.8514102648346</v>
      </c>
      <c r="G122" s="354">
        <f>[32]Rqmnt!AA46-G121</f>
        <v>1125.9608354044842</v>
      </c>
      <c r="H122" s="354">
        <f>[32]Rqmnt!AB46-H121</f>
        <v>1410.7514196962036</v>
      </c>
      <c r="I122" s="354">
        <f>[32]Rqmnt!AC46-I121</f>
        <v>1609.5982707987182</v>
      </c>
      <c r="J122" s="354">
        <f>[32]Rqmnt!AD46-J121</f>
        <v>1587.533923624894</v>
      </c>
      <c r="K122" s="354">
        <f>[32]Rqmnt!AE46-K121</f>
        <v>1407.0218143227</v>
      </c>
      <c r="L122" s="354">
        <f>[32]Rqmnt!AF46-L121</f>
        <v>1304.5927902692604</v>
      </c>
      <c r="M122" s="354">
        <f>[32]Rqmnt!AG46-M121</f>
        <v>1722.9081822860426</v>
      </c>
      <c r="N122" s="354">
        <f>[32]Rqmnt!AH46-N121</f>
        <v>1978.1991177199513</v>
      </c>
      <c r="O122" s="354">
        <f>[32]Rqmnt!AI46-O121</f>
        <v>2270.5641055799642</v>
      </c>
      <c r="P122" s="354">
        <f>[32]Rqmnt!AJ46-P121</f>
        <v>2531.2692030544499</v>
      </c>
      <c r="Q122" s="353">
        <f>SUM(E122:P122)</f>
        <v>20022.94598844579</v>
      </c>
    </row>
    <row r="123" spans="2:17" hidden="1" x14ac:dyDescent="0.25">
      <c r="B123" s="63">
        <f t="shared" si="52"/>
        <v>6</v>
      </c>
      <c r="C123" s="344" t="s">
        <v>311</v>
      </c>
      <c r="D123" s="63" t="s">
        <v>306</v>
      </c>
      <c r="E123" s="351">
        <f>[32]Rqmnt!Y37</f>
        <v>373.52198799598858</v>
      </c>
      <c r="F123" s="351">
        <f>[32]Rqmnt!Z37</f>
        <v>181.34259852040014</v>
      </c>
      <c r="G123" s="351">
        <f>[32]Rqmnt!AA37</f>
        <v>138.50599763128096</v>
      </c>
      <c r="H123" s="351">
        <f>[32]Rqmnt!AB37</f>
        <v>396.31308511941262</v>
      </c>
      <c r="I123" s="351">
        <f>[32]Rqmnt!AC37</f>
        <v>137.4459193873694</v>
      </c>
      <c r="J123" s="351">
        <f>[32]Rqmnt!AD37</f>
        <v>186.97202504618028</v>
      </c>
      <c r="K123" s="351">
        <f>[32]Rqmnt!AE37</f>
        <v>203.68451932254339</v>
      </c>
      <c r="L123" s="351">
        <f>[32]Rqmnt!AF37</f>
        <v>270.71178607226773</v>
      </c>
      <c r="M123" s="351">
        <f>[32]Rqmnt!AG37</f>
        <v>144.49676346877729</v>
      </c>
      <c r="N123" s="351">
        <f>[32]Rqmnt!AH37</f>
        <v>243.98831815695223</v>
      </c>
      <c r="O123" s="351">
        <f>[32]Rqmnt!AI37</f>
        <v>258.01536800760334</v>
      </c>
      <c r="P123" s="351">
        <f>[32]Rqmnt!AJ37</f>
        <v>275.18263566505249</v>
      </c>
      <c r="Q123" s="90">
        <f>SUM(E123:P123)</f>
        <v>2810.1810043938285</v>
      </c>
    </row>
    <row r="124" spans="2:17" hidden="1" x14ac:dyDescent="0.25">
      <c r="B124" s="430">
        <f t="shared" si="52"/>
        <v>7</v>
      </c>
      <c r="C124" s="344" t="s">
        <v>312</v>
      </c>
      <c r="D124" s="63" t="s">
        <v>308</v>
      </c>
      <c r="E124" s="155">
        <f t="shared" ref="E124" si="65">E125/(E122+E118)</f>
        <v>2.4454366289363729E-2</v>
      </c>
      <c r="F124" s="155">
        <f t="shared" ref="F124" si="66">F125/(F122+F118)</f>
        <v>2.4377479247511422E-2</v>
      </c>
      <c r="G124" s="155">
        <f t="shared" ref="G124" si="67">G125/(G122+G118)</f>
        <v>2.4420301991891526E-2</v>
      </c>
      <c r="H124" s="155">
        <f t="shared" ref="H124" si="68">H125/(H122+H118)</f>
        <v>2.4429423385688299E-2</v>
      </c>
      <c r="I124" s="155">
        <f t="shared" ref="I124" si="69">I125/(I122+I118)</f>
        <v>2.4447502883689173E-2</v>
      </c>
      <c r="J124" s="155">
        <f t="shared" ref="J124" si="70">J125/(J122+J118)</f>
        <v>2.4447256128716927E-2</v>
      </c>
      <c r="K124" s="155">
        <f t="shared" ref="K124" si="71">K125/(K122+K118)</f>
        <v>2.4439201436004126E-2</v>
      </c>
      <c r="L124" s="155">
        <f t="shared" ref="L124" si="72">L125/(L122+L118)</f>
        <v>2.4436169553368116E-2</v>
      </c>
      <c r="M124" s="155">
        <f t="shared" ref="M124" si="73">M125/(M122+M118)</f>
        <v>2.4440583266923614E-2</v>
      </c>
      <c r="N124" s="155">
        <f t="shared" ref="N124" si="74">N125/(N122+N118)</f>
        <v>2.4451917682334873E-2</v>
      </c>
      <c r="O124" s="155">
        <f t="shared" ref="O124" si="75">O125/(O122+O118)</f>
        <v>2.4481623918898389E-2</v>
      </c>
      <c r="P124" s="155">
        <f t="shared" ref="P124" si="76">P125/(P122+P118)</f>
        <v>2.4488652648003661E-2</v>
      </c>
      <c r="Q124" s="155">
        <f>Q125/(Q122+Q121)</f>
        <v>2.460000000000007E-2</v>
      </c>
    </row>
    <row r="125" spans="2:17" hidden="1" x14ac:dyDescent="0.25">
      <c r="B125" s="63">
        <f t="shared" si="52"/>
        <v>8</v>
      </c>
      <c r="C125" s="344" t="s">
        <v>312</v>
      </c>
      <c r="D125" s="63" t="s">
        <v>306</v>
      </c>
      <c r="E125" s="351">
        <f>[32]Rqmnt!Y47</f>
        <v>57.718073198899191</v>
      </c>
      <c r="F125" s="351">
        <f>[32]Rqmnt!Z47</f>
        <v>34.897908922615862</v>
      </c>
      <c r="G125" s="351">
        <f>[32]Rqmnt!AA47</f>
        <v>35.343669367355936</v>
      </c>
      <c r="H125" s="351">
        <f>[32]Rqmnt!AB47</f>
        <v>42.948281220690987</v>
      </c>
      <c r="I125" s="351">
        <f>[32]Rqmnt!AC47</f>
        <v>48.220812016679702</v>
      </c>
      <c r="J125" s="351">
        <f>[32]Rqmnt!AD47</f>
        <v>47.180870246367405</v>
      </c>
      <c r="K125" s="351">
        <f>[32]Rqmnt!AE47</f>
        <v>42.816307258309294</v>
      </c>
      <c r="L125" s="351">
        <f>[32]Rqmnt!AF47</f>
        <v>40.008937668881792</v>
      </c>
      <c r="M125" s="351">
        <f>[32]Rqmnt!AG47</f>
        <v>50.398171281598323</v>
      </c>
      <c r="N125" s="351">
        <f>[32]Rqmnt!AH47</f>
        <v>57.239767715443577</v>
      </c>
      <c r="O125" s="351">
        <f>[32]Rqmnt!AI47</f>
        <v>63.757644260899276</v>
      </c>
      <c r="P125" s="351">
        <f>[32]Rqmnt!AJ47</f>
        <v>71.031248961182385</v>
      </c>
      <c r="Q125" s="352">
        <f>SUM(E125:P125)</f>
        <v>591.56169211892382</v>
      </c>
    </row>
    <row r="126" spans="2:17" ht="27.6" hidden="1" x14ac:dyDescent="0.25">
      <c r="B126" s="430">
        <f t="shared" si="52"/>
        <v>9</v>
      </c>
      <c r="C126" s="345" t="s">
        <v>313</v>
      </c>
      <c r="D126" s="63" t="s">
        <v>306</v>
      </c>
      <c r="E126" s="351">
        <f t="shared" ref="E126" si="77">E121+E122-E123-E125</f>
        <v>1915.0230769717396</v>
      </c>
      <c r="F126" s="351">
        <f t="shared" ref="F126" si="78">F121+F122-F123-F125</f>
        <v>1202.3736764031535</v>
      </c>
      <c r="G126" s="351">
        <f t="shared" ref="G126" si="79">G121+G122-G123-G125</f>
        <v>1262.8848601296495</v>
      </c>
      <c r="H126" s="351">
        <f t="shared" ref="H126" si="80">H121+H122-H123-H125</f>
        <v>1306.6037239318832</v>
      </c>
      <c r="I126" s="351">
        <f t="shared" ref="I126" si="81">I121+I122-I123-I125</f>
        <v>1774.5288790300797</v>
      </c>
      <c r="J126" s="351">
        <f t="shared" ref="J126" si="82">J121+J122-J123-J125</f>
        <v>1683.7686594378295</v>
      </c>
      <c r="K126" s="351">
        <f t="shared" ref="K126" si="83">K121+K122-K123-K125</f>
        <v>1493.9994684723661</v>
      </c>
      <c r="L126" s="351">
        <f t="shared" ref="L126" si="84">L121+L122-L123-L125</f>
        <v>1315.6588562946915</v>
      </c>
      <c r="M126" s="351">
        <f t="shared" ref="M126" si="85">M121+M122-M123-M125</f>
        <v>1853.8112149080873</v>
      </c>
      <c r="N126" s="351">
        <f t="shared" ref="N126" si="86">N121+N122-N123-N125</f>
        <v>2025.5917399586378</v>
      </c>
      <c r="O126" s="351">
        <f t="shared" ref="O126" si="87">O121+O122-O123-O125</f>
        <v>2270.0011446786157</v>
      </c>
      <c r="P126" s="351">
        <f t="shared" ref="P126" si="88">P121+P122-P123-P125</f>
        <v>2541.2352601372686</v>
      </c>
      <c r="Q126" s="90">
        <f>SUM(E126:P126)</f>
        <v>20645.480560354001</v>
      </c>
    </row>
    <row r="127" spans="2:17" hidden="1" x14ac:dyDescent="0.25">
      <c r="B127" s="63"/>
      <c r="C127" s="343" t="s">
        <v>314</v>
      </c>
      <c r="D127" s="63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342"/>
    </row>
    <row r="128" spans="2:17" ht="27.6" hidden="1" x14ac:dyDescent="0.25">
      <c r="B128" s="63">
        <f>B126+1</f>
        <v>10</v>
      </c>
      <c r="C128" s="345" t="s">
        <v>315</v>
      </c>
      <c r="D128" s="63" t="s">
        <v>306</v>
      </c>
      <c r="E128" s="351">
        <f>[32]Rqmnt!Y7</f>
        <v>1915.0230769717396</v>
      </c>
      <c r="F128" s="351">
        <f>[32]Rqmnt!Z7</f>
        <v>1202.3736764031535</v>
      </c>
      <c r="G128" s="351">
        <f>[32]Rqmnt!AA7</f>
        <v>1262.8848601296495</v>
      </c>
      <c r="H128" s="351">
        <f>[32]Rqmnt!AB7</f>
        <v>1306.6037239318832</v>
      </c>
      <c r="I128" s="351">
        <f>[32]Rqmnt!AC7</f>
        <v>1774.5288790300797</v>
      </c>
      <c r="J128" s="351">
        <f>[32]Rqmnt!AD7</f>
        <v>1683.7686594378295</v>
      </c>
      <c r="K128" s="351">
        <f>[32]Rqmnt!AE7</f>
        <v>1493.9994684723661</v>
      </c>
      <c r="L128" s="351">
        <f>[32]Rqmnt!AF7</f>
        <v>1315.6588562946915</v>
      </c>
      <c r="M128" s="351">
        <f>[32]Rqmnt!AG7</f>
        <v>1853.8112149080873</v>
      </c>
      <c r="N128" s="351">
        <f>[32]Rqmnt!AH7</f>
        <v>2025.5917399586376</v>
      </c>
      <c r="O128" s="351">
        <f>[32]Rqmnt!AI7</f>
        <v>2270.0011446786157</v>
      </c>
      <c r="P128" s="351">
        <f>[32]Rqmnt!AJ7</f>
        <v>2541.2352601372686</v>
      </c>
      <c r="Q128" s="352">
        <f>SUM(E128:P128)</f>
        <v>20645.480560354001</v>
      </c>
    </row>
    <row r="129" spans="2:17" hidden="1" x14ac:dyDescent="0.25">
      <c r="B129" s="63">
        <f t="shared" ref="B129:B132" si="89">B128+1</f>
        <v>11</v>
      </c>
      <c r="C129" s="344" t="s">
        <v>316</v>
      </c>
      <c r="D129" s="63" t="s">
        <v>306</v>
      </c>
      <c r="E129" s="351">
        <f>[32]Rqmnt!Y9</f>
        <v>66.486750779731622</v>
      </c>
      <c r="F129" s="351">
        <f>[32]Rqmnt!Z9</f>
        <v>67.642909677457169</v>
      </c>
      <c r="G129" s="351">
        <f>[32]Rqmnt!AA9</f>
        <v>62.271300332090831</v>
      </c>
      <c r="H129" s="351">
        <f>[32]Rqmnt!AB9</f>
        <v>61.198128591320469</v>
      </c>
      <c r="I129" s="351">
        <f>[32]Rqmnt!AC9</f>
        <v>62.404914618688125</v>
      </c>
      <c r="J129" s="351">
        <f>[32]Rqmnt!AD9</f>
        <v>62.779594091361162</v>
      </c>
      <c r="K129" s="351">
        <f>[32]Rqmnt!AE9</f>
        <v>62.042741811206582</v>
      </c>
      <c r="L129" s="351">
        <f>[32]Rqmnt!AF9</f>
        <v>61.950158003252582</v>
      </c>
      <c r="M129" s="351">
        <f>[32]Rqmnt!AG9</f>
        <v>60.710454930945971</v>
      </c>
      <c r="N129" s="351">
        <f>[32]Rqmnt!AH9</f>
        <v>71.377460582612244</v>
      </c>
      <c r="O129" s="351">
        <f>[32]Rqmnt!AI9</f>
        <v>66.640797059744827</v>
      </c>
      <c r="P129" s="351">
        <f>[32]Rqmnt!AJ9</f>
        <v>77.821905332042533</v>
      </c>
      <c r="Q129" s="352">
        <f>SUM(E129:P129)</f>
        <v>783.32711581045407</v>
      </c>
    </row>
    <row r="130" spans="2:17" hidden="1" x14ac:dyDescent="0.25">
      <c r="B130" s="430">
        <f t="shared" si="89"/>
        <v>12</v>
      </c>
      <c r="C130" s="344" t="s">
        <v>317</v>
      </c>
      <c r="D130" s="63" t="s">
        <v>308</v>
      </c>
      <c r="E130" s="155">
        <f t="shared" ref="E130" si="90">E131/E128</f>
        <v>2.9699999999999949E-2</v>
      </c>
      <c r="F130" s="155">
        <f t="shared" ref="F130" si="91">F131/F128</f>
        <v>2.9700000000000015E-2</v>
      </c>
      <c r="G130" s="155">
        <f t="shared" ref="G130" si="92">G131/G128</f>
        <v>2.9699999999999952E-2</v>
      </c>
      <c r="H130" s="155">
        <f t="shared" ref="H130" si="93">H131/H128</f>
        <v>2.9699999999999973E-2</v>
      </c>
      <c r="I130" s="155">
        <f t="shared" ref="I130" si="94">I131/I128</f>
        <v>2.9699999999999928E-2</v>
      </c>
      <c r="J130" s="155">
        <f t="shared" ref="J130" si="95">J131/J128</f>
        <v>2.9699999999999987E-2</v>
      </c>
      <c r="K130" s="155">
        <f t="shared" ref="K130" si="96">K131/K128</f>
        <v>2.9699999999999883E-2</v>
      </c>
      <c r="L130" s="155">
        <f t="shared" ref="L130" si="97">L131/L128</f>
        <v>2.9699999999999928E-2</v>
      </c>
      <c r="M130" s="155">
        <f t="shared" ref="M130" si="98">M131/M128</f>
        <v>2.9699999999999897E-2</v>
      </c>
      <c r="N130" s="155">
        <f t="shared" ref="N130" si="99">N131/N128</f>
        <v>2.9699999999999983E-2</v>
      </c>
      <c r="O130" s="155">
        <f t="shared" ref="O130" si="100">O131/O128</f>
        <v>2.9699999999999858E-2</v>
      </c>
      <c r="P130" s="155">
        <f t="shared" ref="P130:Q130" si="101">P131/P128</f>
        <v>2.9699999999999907E-2</v>
      </c>
      <c r="Q130" s="155">
        <f t="shared" si="101"/>
        <v>2.9699999999999935E-2</v>
      </c>
    </row>
    <row r="131" spans="2:17" hidden="1" x14ac:dyDescent="0.25">
      <c r="B131" s="63">
        <f t="shared" si="89"/>
        <v>13</v>
      </c>
      <c r="C131" s="344" t="s">
        <v>317</v>
      </c>
      <c r="D131" s="63" t="s">
        <v>306</v>
      </c>
      <c r="E131" s="351">
        <f>[32]Rqmnt!Y11</f>
        <v>56.87618538606057</v>
      </c>
      <c r="F131" s="351">
        <f>[32]Rqmnt!Z11</f>
        <v>35.710498189173677</v>
      </c>
      <c r="G131" s="351">
        <f>[32]Rqmnt!AA11</f>
        <v>37.507680345850531</v>
      </c>
      <c r="H131" s="351">
        <f>[32]Rqmnt!AB11</f>
        <v>38.806130600776896</v>
      </c>
      <c r="I131" s="351">
        <f>[32]Rqmnt!AC11</f>
        <v>52.703507707193239</v>
      </c>
      <c r="J131" s="351">
        <f>[32]Rqmnt!AD11</f>
        <v>50.00792918530351</v>
      </c>
      <c r="K131" s="351">
        <f>[32]Rqmnt!AE11</f>
        <v>44.371784213629098</v>
      </c>
      <c r="L131" s="351">
        <f>[32]Rqmnt!AF11</f>
        <v>39.075068031952242</v>
      </c>
      <c r="M131" s="351">
        <f>[32]Rqmnt!AG11</f>
        <v>55.058193082770003</v>
      </c>
      <c r="N131" s="351">
        <f>[32]Rqmnt!AH11</f>
        <v>60.160074676771501</v>
      </c>
      <c r="O131" s="351">
        <f>[32]Rqmnt!AI11</f>
        <v>67.419033996954568</v>
      </c>
      <c r="P131" s="351">
        <f>[32]Rqmnt!AJ11</f>
        <v>75.474687226076639</v>
      </c>
      <c r="Q131" s="351">
        <f>SUM(E131:P131)</f>
        <v>613.17077264251247</v>
      </c>
    </row>
    <row r="132" spans="2:17" ht="27.6" hidden="1" x14ac:dyDescent="0.25">
      <c r="B132" s="430">
        <f t="shared" si="89"/>
        <v>14</v>
      </c>
      <c r="C132" s="345" t="s">
        <v>339</v>
      </c>
      <c r="D132" s="63" t="s">
        <v>306</v>
      </c>
      <c r="E132" s="351">
        <f t="shared" ref="E132" si="102">E128-E129-E131</f>
        <v>1791.6601408059473</v>
      </c>
      <c r="F132" s="351">
        <f t="shared" ref="F132" si="103">F128-F129-F131</f>
        <v>1099.0202685365227</v>
      </c>
      <c r="G132" s="351">
        <f t="shared" ref="G132" si="104">G128-G129-G131</f>
        <v>1163.1058794517082</v>
      </c>
      <c r="H132" s="351">
        <f t="shared" ref="H132" si="105">H128-H129-H131</f>
        <v>1206.5994647397858</v>
      </c>
      <c r="I132" s="351">
        <f t="shared" ref="I132" si="106">I128-I129-I131</f>
        <v>1659.4204567041984</v>
      </c>
      <c r="J132" s="351">
        <f t="shared" ref="J132" si="107">J128-J129-J131</f>
        <v>1570.9811361611648</v>
      </c>
      <c r="K132" s="351">
        <f t="shared" ref="K132" si="108">K128-K129-K131</f>
        <v>1387.5849424475305</v>
      </c>
      <c r="L132" s="351">
        <f t="shared" ref="L132" si="109">L128-L129-L131</f>
        <v>1214.6336302594866</v>
      </c>
      <c r="M132" s="351">
        <f t="shared" ref="M132" si="110">M128-M129-M131</f>
        <v>1738.0425668943712</v>
      </c>
      <c r="N132" s="351">
        <f t="shared" ref="N132" si="111">N128-N129-N131</f>
        <v>1894.0542046992539</v>
      </c>
      <c r="O132" s="351">
        <f t="shared" ref="O132" si="112">O128-O129-O131</f>
        <v>2135.9413136219164</v>
      </c>
      <c r="P132" s="351">
        <f t="shared" ref="P132" si="113">P128-P129-P131</f>
        <v>2387.9386675791493</v>
      </c>
      <c r="Q132" s="352">
        <f>SUM(E132:P132)</f>
        <v>19248.982671901038</v>
      </c>
    </row>
    <row r="133" spans="2:17" hidden="1" x14ac:dyDescent="0.25">
      <c r="B133" s="63"/>
      <c r="C133" s="343" t="s">
        <v>319</v>
      </c>
      <c r="D133" s="63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342"/>
    </row>
    <row r="134" spans="2:17" ht="27.6" hidden="1" x14ac:dyDescent="0.25">
      <c r="B134" s="63">
        <f>B132+1</f>
        <v>15</v>
      </c>
      <c r="C134" s="345" t="s">
        <v>320</v>
      </c>
      <c r="D134" s="63" t="s">
        <v>306</v>
      </c>
      <c r="E134" s="351">
        <f>[32]Rqmnt!Y19</f>
        <v>1791.6601408059473</v>
      </c>
      <c r="F134" s="351">
        <f>[32]Rqmnt!Z19</f>
        <v>1099.0202685365225</v>
      </c>
      <c r="G134" s="351">
        <f>[32]Rqmnt!AA19</f>
        <v>1163.1058794517082</v>
      </c>
      <c r="H134" s="351">
        <f>[32]Rqmnt!AB19</f>
        <v>1206.5994647397858</v>
      </c>
      <c r="I134" s="351">
        <f>[32]Rqmnt!AC19</f>
        <v>1659.4204567041984</v>
      </c>
      <c r="J134" s="351">
        <f>[32]Rqmnt!AD19</f>
        <v>1570.9811361611648</v>
      </c>
      <c r="K134" s="351">
        <f>[32]Rqmnt!AE19</f>
        <v>1387.5849424475305</v>
      </c>
      <c r="L134" s="351">
        <f>[32]Rqmnt!AF19</f>
        <v>1214.6336302594866</v>
      </c>
      <c r="M134" s="351">
        <f>[32]Rqmnt!AG19</f>
        <v>1738.0425668943712</v>
      </c>
      <c r="N134" s="351">
        <f>[32]Rqmnt!AH19</f>
        <v>1894.0542046992539</v>
      </c>
      <c r="O134" s="351">
        <f>[32]Rqmnt!AI19</f>
        <v>2135.9413136219164</v>
      </c>
      <c r="P134" s="351">
        <f>[32]Rqmnt!AJ19</f>
        <v>2387.9386675791493</v>
      </c>
      <c r="Q134" s="352">
        <f>SUM(E134:P134)</f>
        <v>19248.982671901038</v>
      </c>
    </row>
    <row r="135" spans="2:17" hidden="1" x14ac:dyDescent="0.25">
      <c r="B135" s="63">
        <f t="shared" ref="B135:B139" si="114">B134+1</f>
        <v>16</v>
      </c>
      <c r="C135" s="345" t="s">
        <v>321</v>
      </c>
      <c r="D135" s="63" t="s">
        <v>306</v>
      </c>
      <c r="E135" s="351"/>
      <c r="F135" s="351"/>
      <c r="G135" s="351"/>
      <c r="H135" s="351"/>
      <c r="I135" s="351"/>
      <c r="J135" s="351"/>
      <c r="K135" s="351"/>
      <c r="L135" s="351"/>
      <c r="M135" s="351"/>
      <c r="N135" s="351"/>
      <c r="O135" s="351"/>
      <c r="P135" s="351"/>
      <c r="Q135" s="352">
        <f>SUM(E135:P135)</f>
        <v>0</v>
      </c>
    </row>
    <row r="136" spans="2:17" hidden="1" x14ac:dyDescent="0.25">
      <c r="B136" s="63">
        <f t="shared" si="114"/>
        <v>17</v>
      </c>
      <c r="C136" s="344" t="s">
        <v>322</v>
      </c>
      <c r="D136" s="63" t="s">
        <v>306</v>
      </c>
      <c r="E136" s="351">
        <f>[32]Rqmnt!Y20</f>
        <v>234.13761035751676</v>
      </c>
      <c r="F136" s="351">
        <f>[32]Rqmnt!Z20</f>
        <v>177.7353158318432</v>
      </c>
      <c r="G136" s="351">
        <f>[32]Rqmnt!AA20</f>
        <v>218.6416516475808</v>
      </c>
      <c r="H136" s="351">
        <f>[32]Rqmnt!AB20</f>
        <v>243.01298935497942</v>
      </c>
      <c r="I136" s="351">
        <f>[32]Rqmnt!AC20</f>
        <v>259.57108228642977</v>
      </c>
      <c r="J136" s="351">
        <f>[32]Rqmnt!AD20</f>
        <v>241.36225938098346</v>
      </c>
      <c r="K136" s="351">
        <f>[32]Rqmnt!AE20</f>
        <v>251.0047656316506</v>
      </c>
      <c r="L136" s="351">
        <f>[32]Rqmnt!AF20</f>
        <v>205.93410147111001</v>
      </c>
      <c r="M136" s="351">
        <f>[32]Rqmnt!AG20</f>
        <v>277.65505599786957</v>
      </c>
      <c r="N136" s="351">
        <f>[32]Rqmnt!AH20</f>
        <v>296.98346528292427</v>
      </c>
      <c r="O136" s="351">
        <f>[32]Rqmnt!AI20</f>
        <v>296.34975126765676</v>
      </c>
      <c r="P136" s="351">
        <f>[32]Rqmnt!AJ20</f>
        <v>298.24033317190555</v>
      </c>
      <c r="Q136" s="352">
        <f>SUM(E136:P136)</f>
        <v>3000.6283816824503</v>
      </c>
    </row>
    <row r="137" spans="2:17" hidden="1" x14ac:dyDescent="0.25">
      <c r="B137" s="430">
        <f t="shared" si="114"/>
        <v>18</v>
      </c>
      <c r="C137" s="344" t="s">
        <v>323</v>
      </c>
      <c r="D137" s="63" t="s">
        <v>308</v>
      </c>
      <c r="E137" s="155">
        <f t="shared" ref="E137" si="115">E138/E134</f>
        <v>3.7100000000000077E-2</v>
      </c>
      <c r="F137" s="155">
        <f t="shared" ref="F137" si="116">F138/F134</f>
        <v>3.7100000000000119E-2</v>
      </c>
      <c r="G137" s="155">
        <f t="shared" ref="G137" si="117">G138/G134</f>
        <v>3.7100000000000057E-2</v>
      </c>
      <c r="H137" s="155">
        <f t="shared" ref="H137" si="118">H138/H134</f>
        <v>3.7099999999999939E-2</v>
      </c>
      <c r="I137" s="155">
        <f t="shared" ref="I137" si="119">I138/I134</f>
        <v>3.7100000000000001E-2</v>
      </c>
      <c r="J137" s="155">
        <f t="shared" ref="J137" si="120">J138/J134</f>
        <v>3.7099999999999952E-2</v>
      </c>
      <c r="K137" s="155">
        <f t="shared" ref="K137" si="121">K138/K134</f>
        <v>3.7100000000000001E-2</v>
      </c>
      <c r="L137" s="155">
        <f t="shared" ref="L137" si="122">L138/L134</f>
        <v>3.709999999999998E-2</v>
      </c>
      <c r="M137" s="155">
        <f t="shared" ref="M137" si="123">M138/M134</f>
        <v>3.7099999999999987E-2</v>
      </c>
      <c r="N137" s="155">
        <f t="shared" ref="N137" si="124">N138/N134</f>
        <v>3.7099999999999966E-2</v>
      </c>
      <c r="O137" s="155">
        <f t="shared" ref="O137" si="125">O138/O134</f>
        <v>3.7100000000000105E-2</v>
      </c>
      <c r="P137" s="155">
        <f t="shared" ref="P137:Q137" si="126">P138/P134</f>
        <v>3.7100000000000029E-2</v>
      </c>
      <c r="Q137" s="155">
        <f t="shared" si="126"/>
        <v>3.7100000000000015E-2</v>
      </c>
    </row>
    <row r="138" spans="2:17" hidden="1" x14ac:dyDescent="0.25">
      <c r="B138" s="63">
        <f t="shared" si="114"/>
        <v>19</v>
      </c>
      <c r="C138" s="344" t="s">
        <v>323</v>
      </c>
      <c r="D138" s="63" t="s">
        <v>306</v>
      </c>
      <c r="E138" s="351">
        <f>[32]Rqmnt!Y22</f>
        <v>66.470591223900783</v>
      </c>
      <c r="F138" s="351">
        <f>[32]Rqmnt!Z22</f>
        <v>40.773651962705117</v>
      </c>
      <c r="G138" s="351">
        <f>[32]Rqmnt!AA22</f>
        <v>43.151228127658442</v>
      </c>
      <c r="H138" s="351">
        <f>[32]Rqmnt!AB22</f>
        <v>44.76484014184598</v>
      </c>
      <c r="I138" s="351">
        <f>[32]Rqmnt!AC22</f>
        <v>61.564498943725766</v>
      </c>
      <c r="J138" s="351">
        <f>[32]Rqmnt!AD22</f>
        <v>58.283400151579144</v>
      </c>
      <c r="K138" s="351">
        <f>[32]Rqmnt!AE22</f>
        <v>51.47940136480338</v>
      </c>
      <c r="L138" s="351">
        <f>[32]Rqmnt!AF22</f>
        <v>45.062907682626928</v>
      </c>
      <c r="M138" s="351">
        <f>[32]Rqmnt!AG22</f>
        <v>64.481379231781148</v>
      </c>
      <c r="N138" s="351">
        <f>[32]Rqmnt!AH22</f>
        <v>70.269410994342252</v>
      </c>
      <c r="O138" s="351">
        <f>[32]Rqmnt!AI22</f>
        <v>79.243422735373315</v>
      </c>
      <c r="P138" s="351">
        <f>[32]Rqmnt!AJ22</f>
        <v>88.592524567186501</v>
      </c>
      <c r="Q138" s="352">
        <f>SUM(E138:P138)</f>
        <v>714.13725712752876</v>
      </c>
    </row>
    <row r="139" spans="2:17" ht="27.6" hidden="1" x14ac:dyDescent="0.25">
      <c r="B139" s="430">
        <f t="shared" si="114"/>
        <v>20</v>
      </c>
      <c r="C139" s="345" t="s">
        <v>340</v>
      </c>
      <c r="D139" s="63" t="s">
        <v>306</v>
      </c>
      <c r="E139" s="351">
        <f t="shared" ref="E139" si="127">E134+E135-E136-E138</f>
        <v>1491.0519392245299</v>
      </c>
      <c r="F139" s="351">
        <f t="shared" ref="F139" si="128">F134+F135-F136-F138</f>
        <v>880.5113007419742</v>
      </c>
      <c r="G139" s="351">
        <f t="shared" ref="G139" si="129">G134+G135-G136-G138</f>
        <v>901.31299967646896</v>
      </c>
      <c r="H139" s="351">
        <f t="shared" ref="H139" si="130">H134+H135-H136-H138</f>
        <v>918.82163524296038</v>
      </c>
      <c r="I139" s="351">
        <f t="shared" ref="I139" si="131">I134+I135-I136-I138</f>
        <v>1338.2848754740428</v>
      </c>
      <c r="J139" s="351">
        <f t="shared" ref="J139" si="132">J134+J135-J136-J138</f>
        <v>1271.3354766286022</v>
      </c>
      <c r="K139" s="351">
        <f t="shared" ref="K139" si="133">K134+K135-K136-K138</f>
        <v>1085.1007754510765</v>
      </c>
      <c r="L139" s="351">
        <f t="shared" ref="L139" si="134">L134+L135-L136-L138</f>
        <v>963.63662110574967</v>
      </c>
      <c r="M139" s="351">
        <f t="shared" ref="M139" si="135">M134+M135-M136-M138</f>
        <v>1395.9061316647205</v>
      </c>
      <c r="N139" s="351">
        <f t="shared" ref="N139" si="136">N134+N135-N136-N138</f>
        <v>1526.8013284219874</v>
      </c>
      <c r="O139" s="351">
        <f t="shared" ref="O139" si="137">O134+O135-O136-O138</f>
        <v>1760.3481396188863</v>
      </c>
      <c r="P139" s="351">
        <f t="shared" ref="P139" si="138">P134+P135-P136-P138</f>
        <v>2001.1058098400572</v>
      </c>
      <c r="Q139" s="352">
        <f>SUM(E139:P139)</f>
        <v>15534.217033091056</v>
      </c>
    </row>
    <row r="140" spans="2:17" hidden="1" x14ac:dyDescent="0.25">
      <c r="B140" s="63"/>
      <c r="C140" s="343" t="s">
        <v>325</v>
      </c>
      <c r="D140" s="63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342"/>
    </row>
    <row r="141" spans="2:17" ht="27.6" hidden="1" x14ac:dyDescent="0.25">
      <c r="B141" s="63"/>
      <c r="C141" s="345" t="s">
        <v>326</v>
      </c>
      <c r="D141" s="63" t="s">
        <v>306</v>
      </c>
      <c r="E141" s="351">
        <f>[32]Rqmnt!Y27</f>
        <v>1491.0519392245299</v>
      </c>
      <c r="F141" s="351">
        <f>[32]Rqmnt!Z27</f>
        <v>880.51130074197431</v>
      </c>
      <c r="G141" s="351">
        <f>[32]Rqmnt!AA27</f>
        <v>901.31299967646896</v>
      </c>
      <c r="H141" s="351">
        <f>[32]Rqmnt!AB27</f>
        <v>918.8216352429605</v>
      </c>
      <c r="I141" s="351">
        <f>[32]Rqmnt!AC27</f>
        <v>1338.2848754740428</v>
      </c>
      <c r="J141" s="351">
        <f>[32]Rqmnt!AD27</f>
        <v>1271.3354766286022</v>
      </c>
      <c r="K141" s="351">
        <f>[32]Rqmnt!AE27</f>
        <v>1085.1007754510765</v>
      </c>
      <c r="L141" s="351">
        <f>[32]Rqmnt!AF27</f>
        <v>963.63662110574955</v>
      </c>
      <c r="M141" s="351">
        <f>[32]Rqmnt!AG27</f>
        <v>1395.9061316647205</v>
      </c>
      <c r="N141" s="351">
        <f>[32]Rqmnt!AH27</f>
        <v>1526.8013284219874</v>
      </c>
      <c r="O141" s="351">
        <f>[32]Rqmnt!AI27</f>
        <v>1760.3481396188861</v>
      </c>
      <c r="P141" s="351">
        <f>[32]Rqmnt!AJ27</f>
        <v>2001.1058098400574</v>
      </c>
      <c r="Q141" s="342">
        <f>SUM(E141:P141)</f>
        <v>15534.217033091054</v>
      </c>
    </row>
    <row r="142" spans="2:17" hidden="1" x14ac:dyDescent="0.25">
      <c r="B142" s="63">
        <f>B139+1</f>
        <v>21</v>
      </c>
      <c r="C142" s="345" t="s">
        <v>321</v>
      </c>
      <c r="D142" s="63" t="s">
        <v>306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90">
        <f>SUM(E142:P142)</f>
        <v>0</v>
      </c>
    </row>
    <row r="143" spans="2:17" hidden="1" x14ac:dyDescent="0.25">
      <c r="B143" s="63">
        <f t="shared" ref="B143:B145" si="139">B142+1</f>
        <v>22</v>
      </c>
      <c r="C143" s="344" t="s">
        <v>327</v>
      </c>
      <c r="D143" s="63" t="s">
        <v>306</v>
      </c>
      <c r="E143" s="351">
        <f>[32]Rqmnt!Y28+[32]Rqmnt!Y29</f>
        <v>1421.7180240505893</v>
      </c>
      <c r="F143" s="351">
        <f>[32]Rqmnt!Z28+[32]Rqmnt!Z29</f>
        <v>839.56752525747254</v>
      </c>
      <c r="G143" s="351">
        <f>[32]Rqmnt!AA28+[32]Rqmnt!AA29</f>
        <v>859.40194519151316</v>
      </c>
      <c r="H143" s="351">
        <f>[32]Rqmnt!AB28+[32]Rqmnt!AB29</f>
        <v>876.09642920416286</v>
      </c>
      <c r="I143" s="351">
        <f>[32]Rqmnt!AC28+[32]Rqmnt!AC29</f>
        <v>1276.0546287644997</v>
      </c>
      <c r="J143" s="351">
        <f>[32]Rqmnt!AD28+[32]Rqmnt!AD29</f>
        <v>1212.2183769653723</v>
      </c>
      <c r="K143" s="351">
        <f>[32]Rqmnt!AE28+[32]Rqmnt!AE29</f>
        <v>1034.6435893926014</v>
      </c>
      <c r="L143" s="351">
        <f>[32]Rqmnt!AF28+[32]Rqmnt!AF29</f>
        <v>918.82751822433227</v>
      </c>
      <c r="M143" s="351">
        <f>[32]Rqmnt!AG28+[32]Rqmnt!AG29</f>
        <v>1330.996496542311</v>
      </c>
      <c r="N143" s="351">
        <f>[32]Rqmnt!AH28+[32]Rqmnt!AH29</f>
        <v>1455.805066650365</v>
      </c>
      <c r="O143" s="351">
        <f>[32]Rqmnt!AI28+[32]Rqmnt!AI29</f>
        <v>1678.491951126608</v>
      </c>
      <c r="P143" s="351">
        <f>[32]Rqmnt!AJ28+[32]Rqmnt!AJ29</f>
        <v>1908.0543896824947</v>
      </c>
      <c r="Q143" s="352">
        <f>SUM(E143:P143)</f>
        <v>14811.875941052325</v>
      </c>
    </row>
    <row r="144" spans="2:17" hidden="1" x14ac:dyDescent="0.25">
      <c r="B144" s="430">
        <f t="shared" si="139"/>
        <v>23</v>
      </c>
      <c r="C144" s="344" t="s">
        <v>328</v>
      </c>
      <c r="D144" s="63" t="s">
        <v>308</v>
      </c>
      <c r="E144" s="155">
        <f t="shared" ref="E144" si="140">E145/E141</f>
        <v>4.6499999999999951E-2</v>
      </c>
      <c r="F144" s="155">
        <f t="shared" ref="F144" si="141">F145/F141</f>
        <v>4.6499999999999958E-2</v>
      </c>
      <c r="G144" s="155">
        <f t="shared" ref="G144" si="142">G145/G141</f>
        <v>4.6499999999999958E-2</v>
      </c>
      <c r="H144" s="155">
        <f t="shared" ref="H144" si="143">H145/H141</f>
        <v>4.6500000000000034E-2</v>
      </c>
      <c r="I144" s="155">
        <f t="shared" ref="I144" si="144">I145/I141</f>
        <v>4.6500000000000048E-2</v>
      </c>
      <c r="J144" s="155">
        <f t="shared" ref="J144" si="145">J145/J141</f>
        <v>4.6499999999999972E-2</v>
      </c>
      <c r="K144" s="155">
        <f t="shared" ref="K144" si="146">K145/K141</f>
        <v>4.6500000000000083E-2</v>
      </c>
      <c r="L144" s="155">
        <f t="shared" ref="L144" si="147">L145/L141</f>
        <v>4.649999999999993E-2</v>
      </c>
      <c r="M144" s="155">
        <f t="shared" ref="M144" si="148">M145/M141</f>
        <v>4.6500000000000034E-2</v>
      </c>
      <c r="N144" s="155">
        <f t="shared" ref="N144" si="149">N145/N141</f>
        <v>4.6499999999999965E-2</v>
      </c>
      <c r="O144" s="155">
        <f t="shared" ref="O144" si="150">O145/O141</f>
        <v>4.649999999999993E-2</v>
      </c>
      <c r="P144" s="155">
        <f t="shared" ref="P144:Q144" si="151">P145/P141</f>
        <v>4.6500000000000007E-2</v>
      </c>
      <c r="Q144" s="155">
        <f t="shared" si="151"/>
        <v>4.6499999999999993E-2</v>
      </c>
    </row>
    <row r="145" spans="2:18" hidden="1" x14ac:dyDescent="0.25">
      <c r="B145" s="63">
        <f t="shared" si="139"/>
        <v>24</v>
      </c>
      <c r="C145" s="344" t="s">
        <v>328</v>
      </c>
      <c r="D145" s="63" t="s">
        <v>306</v>
      </c>
      <c r="E145" s="351">
        <f>[32]Rqmnt!Y30</f>
        <v>69.333915173940568</v>
      </c>
      <c r="F145" s="351">
        <f>[32]Rqmnt!Z30</f>
        <v>40.943775484501771</v>
      </c>
      <c r="G145" s="351">
        <f>[32]Rqmnt!AA30</f>
        <v>41.91105448495577</v>
      </c>
      <c r="H145" s="351">
        <f>[32]Rqmnt!AB30</f>
        <v>42.725206038797694</v>
      </c>
      <c r="I145" s="351">
        <f>[32]Rqmnt!AC30</f>
        <v>62.230246709543053</v>
      </c>
      <c r="J145" s="351">
        <f>[32]Rqmnt!AD30</f>
        <v>59.117099663229965</v>
      </c>
      <c r="K145" s="351">
        <f>[32]Rqmnt!AE30</f>
        <v>50.457186058475145</v>
      </c>
      <c r="L145" s="351">
        <f>[32]Rqmnt!AF30</f>
        <v>44.809102881417289</v>
      </c>
      <c r="M145" s="351">
        <f>[32]Rqmnt!AG30</f>
        <v>64.909635122409554</v>
      </c>
      <c r="N145" s="351">
        <f>[32]Rqmnt!AH30</f>
        <v>70.996261771622358</v>
      </c>
      <c r="O145" s="351">
        <f>[32]Rqmnt!AI30</f>
        <v>81.856188492278079</v>
      </c>
      <c r="P145" s="351">
        <f>[32]Rqmnt!AJ30</f>
        <v>93.051420157562688</v>
      </c>
      <c r="Q145" s="352">
        <f t="shared" ref="Q145:Q146" si="152">SUM(E145:P145)</f>
        <v>722.3410920387339</v>
      </c>
    </row>
    <row r="146" spans="2:18" hidden="1" x14ac:dyDescent="0.25">
      <c r="B146" s="63"/>
      <c r="C146" s="343" t="s">
        <v>251</v>
      </c>
      <c r="D146" s="63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90">
        <f t="shared" si="152"/>
        <v>0</v>
      </c>
    </row>
    <row r="147" spans="2:18" hidden="1" x14ac:dyDescent="0.25">
      <c r="B147" s="430">
        <f>B145+1</f>
        <v>25</v>
      </c>
      <c r="C147" s="343" t="s">
        <v>329</v>
      </c>
      <c r="D147" s="62" t="s">
        <v>306</v>
      </c>
      <c r="E147" s="351">
        <f t="shared" ref="E147:P147" si="153">E118+E122+E142</f>
        <v>2360.2358988138367</v>
      </c>
      <c r="F147" s="351">
        <f t="shared" si="153"/>
        <v>1431.5634757920436</v>
      </c>
      <c r="G147" s="351">
        <f t="shared" si="153"/>
        <v>1447.3068096820173</v>
      </c>
      <c r="H147" s="351">
        <f t="shared" si="153"/>
        <v>1758.0554621625556</v>
      </c>
      <c r="I147" s="351">
        <f t="shared" si="153"/>
        <v>1972.4227969659653</v>
      </c>
      <c r="J147" s="351">
        <f t="shared" si="153"/>
        <v>1929.904525806742</v>
      </c>
      <c r="K147" s="351">
        <f t="shared" si="153"/>
        <v>1751.951976435359</v>
      </c>
      <c r="L147" s="351">
        <f t="shared" si="153"/>
        <v>1637.2835186588084</v>
      </c>
      <c r="M147" s="351">
        <f t="shared" si="153"/>
        <v>2062.0690893987016</v>
      </c>
      <c r="N147" s="351">
        <f t="shared" si="153"/>
        <v>2340.9111898326105</v>
      </c>
      <c r="O147" s="351">
        <f t="shared" si="153"/>
        <v>2604.3061715232902</v>
      </c>
      <c r="P147" s="351">
        <f t="shared" si="153"/>
        <v>2900.5780751671091</v>
      </c>
      <c r="Q147" s="90">
        <f t="shared" ref="Q147:Q150" si="154">SUM(E147:P147)</f>
        <v>24196.588990239041</v>
      </c>
      <c r="R147" s="431"/>
    </row>
    <row r="148" spans="2:18" hidden="1" x14ac:dyDescent="0.25">
      <c r="B148" s="430">
        <f>B147+1</f>
        <v>26</v>
      </c>
      <c r="C148" s="343" t="s">
        <v>330</v>
      </c>
      <c r="D148" s="62" t="s">
        <v>306</v>
      </c>
      <c r="E148" s="351">
        <f t="shared" ref="E148:P148" si="155">E123+E129+E136+E143</f>
        <v>2095.8643731838265</v>
      </c>
      <c r="F148" s="351">
        <f t="shared" si="155"/>
        <v>1266.2883492871731</v>
      </c>
      <c r="G148" s="351">
        <f t="shared" si="155"/>
        <v>1278.8208948024658</v>
      </c>
      <c r="H148" s="351">
        <f t="shared" si="155"/>
        <v>1576.6206322698754</v>
      </c>
      <c r="I148" s="351">
        <f t="shared" si="155"/>
        <v>1735.4765450569871</v>
      </c>
      <c r="J148" s="351">
        <f t="shared" si="155"/>
        <v>1703.3322554838971</v>
      </c>
      <c r="K148" s="351">
        <f t="shared" si="155"/>
        <v>1551.3756161580018</v>
      </c>
      <c r="L148" s="351">
        <f t="shared" si="155"/>
        <v>1457.4235637709626</v>
      </c>
      <c r="M148" s="351">
        <f t="shared" si="155"/>
        <v>1813.8587709399039</v>
      </c>
      <c r="N148" s="351">
        <f t="shared" si="155"/>
        <v>2068.1543106728536</v>
      </c>
      <c r="O148" s="351">
        <f t="shared" si="155"/>
        <v>2299.4978674616132</v>
      </c>
      <c r="P148" s="351">
        <f t="shared" si="155"/>
        <v>2559.2992638514952</v>
      </c>
      <c r="Q148" s="352">
        <f t="shared" si="154"/>
        <v>21406.012442939056</v>
      </c>
    </row>
    <row r="149" spans="2:18" ht="27.6" hidden="1" x14ac:dyDescent="0.25">
      <c r="B149" s="430">
        <f>B148+1</f>
        <v>27</v>
      </c>
      <c r="C149" s="341" t="s">
        <v>331</v>
      </c>
      <c r="D149" s="62"/>
      <c r="E149" s="351">
        <f t="shared" ref="E149:P149" si="156">E126+E123</f>
        <v>2288.5450649677282</v>
      </c>
      <c r="F149" s="351">
        <f t="shared" si="156"/>
        <v>1383.7162749235536</v>
      </c>
      <c r="G149" s="351">
        <f t="shared" si="156"/>
        <v>1401.3908577609304</v>
      </c>
      <c r="H149" s="351">
        <f t="shared" si="156"/>
        <v>1702.9168090512958</v>
      </c>
      <c r="I149" s="351">
        <f t="shared" si="156"/>
        <v>1911.9747984174492</v>
      </c>
      <c r="J149" s="351">
        <f t="shared" si="156"/>
        <v>1870.7406844840098</v>
      </c>
      <c r="K149" s="351">
        <f t="shared" si="156"/>
        <v>1697.6839877949094</v>
      </c>
      <c r="L149" s="351">
        <f t="shared" si="156"/>
        <v>1586.3706423669591</v>
      </c>
      <c r="M149" s="351">
        <f t="shared" si="156"/>
        <v>1998.3079783768646</v>
      </c>
      <c r="N149" s="351">
        <f t="shared" si="156"/>
        <v>2269.58005811559</v>
      </c>
      <c r="O149" s="351">
        <f t="shared" si="156"/>
        <v>2528.0165126862189</v>
      </c>
      <c r="P149" s="351">
        <f t="shared" si="156"/>
        <v>2816.4178958023213</v>
      </c>
      <c r="Q149" s="352">
        <f t="shared" si="154"/>
        <v>23455.661564747832</v>
      </c>
    </row>
    <row r="150" spans="2:18" hidden="1" x14ac:dyDescent="0.25">
      <c r="B150" s="430">
        <f>B149+1</f>
        <v>28</v>
      </c>
      <c r="C150" s="341" t="s">
        <v>332</v>
      </c>
      <c r="D150" s="62" t="s">
        <v>306</v>
      </c>
      <c r="E150" s="351">
        <f t="shared" ref="E150" si="157">E149-E148</f>
        <v>192.68069178390169</v>
      </c>
      <c r="F150" s="351">
        <f t="shared" ref="F150" si="158">F149-F148</f>
        <v>117.42792563638045</v>
      </c>
      <c r="G150" s="351">
        <f t="shared" ref="G150" si="159">G149-G148</f>
        <v>122.56996295846466</v>
      </c>
      <c r="H150" s="351">
        <f t="shared" ref="H150" si="160">H149-H148</f>
        <v>126.2961767814204</v>
      </c>
      <c r="I150" s="351">
        <f t="shared" ref="I150" si="161">I149-I148</f>
        <v>176.49825336046206</v>
      </c>
      <c r="J150" s="351">
        <f t="shared" ref="J150" si="162">J149-J148</f>
        <v>167.40842900011262</v>
      </c>
      <c r="K150" s="351">
        <f t="shared" ref="K150" si="163">K149-K148</f>
        <v>146.30837163690762</v>
      </c>
      <c r="L150" s="351">
        <f t="shared" ref="L150" si="164">L149-L148</f>
        <v>128.94707859599657</v>
      </c>
      <c r="M150" s="351">
        <f t="shared" ref="M150" si="165">M149-M148</f>
        <v>184.44920743696071</v>
      </c>
      <c r="N150" s="351">
        <f t="shared" ref="N150" si="166">N149-N148</f>
        <v>201.42574744273634</v>
      </c>
      <c r="O150" s="351">
        <f t="shared" ref="O150" si="167">O149-O148</f>
        <v>228.51864522460573</v>
      </c>
      <c r="P150" s="351">
        <f t="shared" ref="P150" si="168">P149-P148</f>
        <v>257.11863195082606</v>
      </c>
      <c r="Q150" s="352">
        <f t="shared" si="154"/>
        <v>2049.6491218087749</v>
      </c>
    </row>
    <row r="151" spans="2:18" hidden="1" x14ac:dyDescent="0.25">
      <c r="B151" s="430">
        <f t="shared" ref="B151" si="169">B150+1</f>
        <v>29</v>
      </c>
      <c r="C151" s="341" t="s">
        <v>333</v>
      </c>
      <c r="D151" s="62" t="s">
        <v>308</v>
      </c>
      <c r="E151" s="155">
        <f t="shared" ref="E151" si="170">E150/(E149-E123)</f>
        <v>0.10061533675541452</v>
      </c>
      <c r="F151" s="155">
        <f t="shared" ref="F151" si="171">F150/(F149-F123)</f>
        <v>9.766342023360057E-2</v>
      </c>
      <c r="G151" s="155">
        <f t="shared" ref="G151" si="172">G150/(G149-G123)</f>
        <v>9.7055532794875263E-2</v>
      </c>
      <c r="H151" s="155">
        <f t="shared" ref="H151" si="173">H150/(H149-H123)</f>
        <v>9.6659893484280751E-2</v>
      </c>
      <c r="I151" s="155">
        <f t="shared" ref="I151" si="174">I150/(I149-I123)</f>
        <v>9.9462034935679552E-2</v>
      </c>
      <c r="J151" s="155">
        <f t="shared" ref="J151" si="175">J150/(J149-J123)</f>
        <v>9.9424839666517092E-2</v>
      </c>
      <c r="K151" s="155">
        <f t="shared" ref="K151" si="176">K150/(K149-K123)</f>
        <v>9.7930671813765663E-2</v>
      </c>
      <c r="L151" s="155">
        <f t="shared" ref="L151" si="177">L150/(L149-L123)</f>
        <v>9.8009509060085723E-2</v>
      </c>
      <c r="M151" s="155">
        <f t="shared" ref="M151" si="178">M150/(M149-M123)</f>
        <v>9.9497298297499925E-2</v>
      </c>
      <c r="N151" s="155">
        <f t="shared" ref="N151" si="179">N150/(N149-N123)</f>
        <v>9.9440446694776419E-2</v>
      </c>
      <c r="O151" s="155">
        <f t="shared" ref="O151" si="180">O150/(O149-O123)</f>
        <v>0.10066895594317384</v>
      </c>
      <c r="P151" s="155">
        <f t="shared" ref="P151:Q151" si="181">P150/(P149-P123)</f>
        <v>0.10117860238447085</v>
      </c>
      <c r="Q151" s="155">
        <f t="shared" si="181"/>
        <v>9.9278344033549099E-2</v>
      </c>
    </row>
    <row r="152" spans="2:18" hidden="1" x14ac:dyDescent="0.25"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</row>
    <row r="153" spans="2:18" hidden="1" x14ac:dyDescent="0.25">
      <c r="B153" s="794" t="s">
        <v>4</v>
      </c>
      <c r="C153" s="760" t="s">
        <v>5</v>
      </c>
      <c r="D153" s="729" t="s">
        <v>298</v>
      </c>
      <c r="E153" s="795" t="s">
        <v>342</v>
      </c>
      <c r="F153" s="795"/>
      <c r="G153" s="795"/>
      <c r="H153" s="795"/>
      <c r="I153" s="795"/>
      <c r="J153" s="795"/>
      <c r="K153" s="795"/>
      <c r="L153" s="795"/>
      <c r="M153" s="795"/>
      <c r="N153" s="795"/>
      <c r="O153" s="795"/>
      <c r="P153" s="795"/>
      <c r="Q153" s="795"/>
    </row>
    <row r="154" spans="2:18" hidden="1" x14ac:dyDescent="0.25">
      <c r="B154" s="794"/>
      <c r="C154" s="760"/>
      <c r="D154" s="729"/>
      <c r="E154" s="13" t="s">
        <v>239</v>
      </c>
      <c r="F154" s="13" t="s">
        <v>240</v>
      </c>
      <c r="G154" s="13" t="s">
        <v>241</v>
      </c>
      <c r="H154" s="13" t="s">
        <v>242</v>
      </c>
      <c r="I154" s="13" t="s">
        <v>243</v>
      </c>
      <c r="J154" s="13" t="s">
        <v>244</v>
      </c>
      <c r="K154" s="13" t="s">
        <v>245</v>
      </c>
      <c r="L154" s="13" t="s">
        <v>246</v>
      </c>
      <c r="M154" s="13" t="s">
        <v>247</v>
      </c>
      <c r="N154" s="13" t="s">
        <v>248</v>
      </c>
      <c r="O154" s="13" t="s">
        <v>249</v>
      </c>
      <c r="P154" s="13" t="s">
        <v>250</v>
      </c>
      <c r="Q154" s="13" t="s">
        <v>251</v>
      </c>
    </row>
    <row r="155" spans="2:18" hidden="1" x14ac:dyDescent="0.25">
      <c r="B155" s="63">
        <v>1</v>
      </c>
      <c r="C155" s="344" t="s">
        <v>305</v>
      </c>
      <c r="D155" s="63" t="s">
        <v>306</v>
      </c>
      <c r="E155" s="18">
        <f>[33]Rqmnt!Y48+[33]Rqmnt!Y49</f>
        <v>355.54098338954805</v>
      </c>
      <c r="F155" s="18">
        <f>[33]Rqmnt!Z48+[33]Rqmnt!Z49</f>
        <v>361.71206552720895</v>
      </c>
      <c r="G155" s="18">
        <f>[33]Rqmnt!AA48+[33]Rqmnt!AA49</f>
        <v>321.345974277533</v>
      </c>
      <c r="H155" s="18">
        <f>[33]Rqmnt!AB48+[33]Rqmnt!AB49</f>
        <v>347.30404246635197</v>
      </c>
      <c r="I155" s="18">
        <f>[33]Rqmnt!AC48+[33]Rqmnt!AC49</f>
        <v>362.82452616724703</v>
      </c>
      <c r="J155" s="18">
        <f>[33]Rqmnt!AD48+[33]Rqmnt!AD49</f>
        <v>342.37060218184797</v>
      </c>
      <c r="K155" s="18">
        <f>[33]Rqmnt!AE48+[33]Rqmnt!AE49</f>
        <v>367.89527211265892</v>
      </c>
      <c r="L155" s="18">
        <f>[33]Rqmnt!AF48+[33]Rqmnt!AF49</f>
        <v>332.69072838954798</v>
      </c>
      <c r="M155" s="18">
        <f>[33]Rqmnt!AG48+[33]Rqmnt!AG49</f>
        <v>339.160907112659</v>
      </c>
      <c r="N155" s="18">
        <f>[33]Rqmnt!AH48+[33]Rqmnt!AH49</f>
        <v>362.71207211265903</v>
      </c>
      <c r="O155" s="18">
        <f>[33]Rqmnt!AI48+[33]Rqmnt!AI49</f>
        <v>333.74206594332594</v>
      </c>
      <c r="P155" s="18">
        <f>[33]Rqmnt!AJ48+[33]Rqmnt!AJ49</f>
        <v>369.30887211265895</v>
      </c>
      <c r="Q155" s="90">
        <f>SUM(E155:P155)</f>
        <v>4196.6081117932472</v>
      </c>
    </row>
    <row r="156" spans="2:18" hidden="1" x14ac:dyDescent="0.25">
      <c r="B156" s="430">
        <f>B155+1</f>
        <v>2</v>
      </c>
      <c r="C156" s="344" t="s">
        <v>307</v>
      </c>
      <c r="D156" s="63" t="s">
        <v>308</v>
      </c>
      <c r="E156" s="155">
        <f t="shared" ref="E156" si="182">E157/E155</f>
        <v>3.9300000000000002E-2</v>
      </c>
      <c r="F156" s="155">
        <f t="shared" ref="F156" si="183">F157/F155</f>
        <v>3.5799999999999998E-2</v>
      </c>
      <c r="G156" s="155">
        <f t="shared" ref="G156" si="184">G157/G155</f>
        <v>3.2899999999999999E-2</v>
      </c>
      <c r="H156" s="155">
        <f t="shared" ref="H156" si="185">H157/H155</f>
        <v>3.5099999999999999E-2</v>
      </c>
      <c r="I156" s="155">
        <f t="shared" ref="I156" si="186">I157/I155</f>
        <v>3.3700000000000001E-2</v>
      </c>
      <c r="J156" s="155">
        <f t="shared" ref="J156" si="187">J157/J155</f>
        <v>3.5000000000000003E-2</v>
      </c>
      <c r="K156" s="155">
        <f t="shared" ref="K156" si="188">K157/K155</f>
        <v>3.32E-2</v>
      </c>
      <c r="L156" s="155">
        <f t="shared" ref="L156" si="189">L157/L155</f>
        <v>3.2774999999999999E-2</v>
      </c>
      <c r="M156" s="155">
        <f t="shared" ref="M156" si="190">M157/M155</f>
        <v>3.9399999999999998E-2</v>
      </c>
      <c r="N156" s="155">
        <f t="shared" ref="N156" si="191">N157/N155</f>
        <v>3.8850000000000003E-2</v>
      </c>
      <c r="O156" s="155">
        <f t="shared" ref="O156" si="192">O157/O155</f>
        <v>3.755E-2</v>
      </c>
      <c r="P156" s="155">
        <f t="shared" ref="P156" si="193">P157/P155</f>
        <v>3.5549999999999998E-2</v>
      </c>
      <c r="Q156" s="155">
        <f t="shared" ref="Q156" si="194">Q157/Q155</f>
        <v>3.5773694141798984E-2</v>
      </c>
    </row>
    <row r="157" spans="2:18" hidden="1" x14ac:dyDescent="0.25">
      <c r="B157" s="63">
        <f t="shared" ref="B157:B163" si="195">B156+1</f>
        <v>3</v>
      </c>
      <c r="C157" s="344" t="s">
        <v>307</v>
      </c>
      <c r="D157" s="63" t="s">
        <v>306</v>
      </c>
      <c r="E157" s="351">
        <f>[33]Rqmnt!Y52</f>
        <v>13.972760647209238</v>
      </c>
      <c r="F157" s="351">
        <f>[33]Rqmnt!Z52</f>
        <v>12.94929194587408</v>
      </c>
      <c r="G157" s="351">
        <f>[33]Rqmnt!AA52</f>
        <v>10.572282553730835</v>
      </c>
      <c r="H157" s="351">
        <f>[33]Rqmnt!AB52</f>
        <v>12.190371890568954</v>
      </c>
      <c r="I157" s="351">
        <f>[33]Rqmnt!AC52</f>
        <v>12.227186531836225</v>
      </c>
      <c r="J157" s="351">
        <f>[33]Rqmnt!AD52</f>
        <v>11.982971076364681</v>
      </c>
      <c r="K157" s="351">
        <f>[33]Rqmnt!AE52</f>
        <v>12.214123034140275</v>
      </c>
      <c r="L157" s="351">
        <f>[33]Rqmnt!AF52</f>
        <v>10.903938622967434</v>
      </c>
      <c r="M157" s="351">
        <f>[33]Rqmnt!AG52</f>
        <v>13.362939740238764</v>
      </c>
      <c r="N157" s="351">
        <f>[33]Rqmnt!AH52</f>
        <v>14.091364001576805</v>
      </c>
      <c r="O157" s="351">
        <f>[33]Rqmnt!AI52</f>
        <v>12.532014576171889</v>
      </c>
      <c r="P157" s="351">
        <f>[33]Rqmnt!AJ52</f>
        <v>13.128930403605025</v>
      </c>
      <c r="Q157" s="90">
        <f>SUM(E157:P157)</f>
        <v>150.12817502428419</v>
      </c>
    </row>
    <row r="158" spans="2:18" ht="27.6" hidden="1" x14ac:dyDescent="0.25">
      <c r="B158" s="430">
        <f t="shared" si="195"/>
        <v>4</v>
      </c>
      <c r="C158" s="345" t="s">
        <v>309</v>
      </c>
      <c r="D158" s="63" t="s">
        <v>306</v>
      </c>
      <c r="E158" s="351">
        <f t="shared" ref="E158" si="196">E155-E157</f>
        <v>341.56822274233883</v>
      </c>
      <c r="F158" s="351">
        <f t="shared" ref="F158" si="197">F155-F157</f>
        <v>348.76277358133484</v>
      </c>
      <c r="G158" s="351">
        <f t="shared" ref="G158" si="198">G155-G157</f>
        <v>310.77369172380219</v>
      </c>
      <c r="H158" s="351">
        <f t="shared" ref="H158" si="199">H155-H157</f>
        <v>335.11367057578303</v>
      </c>
      <c r="I158" s="351">
        <f t="shared" ref="I158" si="200">I155-I157</f>
        <v>350.59733963541078</v>
      </c>
      <c r="J158" s="351">
        <f t="shared" ref="J158" si="201">J155-J157</f>
        <v>330.38763110548331</v>
      </c>
      <c r="K158" s="351">
        <f t="shared" ref="K158" si="202">K155-K157</f>
        <v>355.68114907851862</v>
      </c>
      <c r="L158" s="351">
        <f t="shared" ref="L158" si="203">L155-L157</f>
        <v>321.78678976658057</v>
      </c>
      <c r="M158" s="351">
        <f t="shared" ref="M158" si="204">M155-M157</f>
        <v>325.79796737242026</v>
      </c>
      <c r="N158" s="351">
        <f t="shared" ref="N158" si="205">N155-N157</f>
        <v>348.62070811108225</v>
      </c>
      <c r="O158" s="351">
        <f t="shared" ref="O158" si="206">O155-O157</f>
        <v>321.21005136715405</v>
      </c>
      <c r="P158" s="351">
        <f t="shared" ref="P158" si="207">P155-P157</f>
        <v>356.17994170905394</v>
      </c>
      <c r="Q158" s="90">
        <f>SUM(E158:P158)</f>
        <v>4046.4799367689625</v>
      </c>
    </row>
    <row r="159" spans="2:18" ht="27.6" hidden="1" x14ac:dyDescent="0.25">
      <c r="B159" s="63">
        <f t="shared" si="195"/>
        <v>5</v>
      </c>
      <c r="C159" s="345" t="s">
        <v>310</v>
      </c>
      <c r="D159" s="63" t="s">
        <v>306</v>
      </c>
      <c r="E159" s="354">
        <f>[33]Rqmnt!Y46-E158</f>
        <v>2091.2640166333226</v>
      </c>
      <c r="F159" s="354">
        <f>[33]Rqmnt!Z46-F158</f>
        <v>1139.7700607692911</v>
      </c>
      <c r="G159" s="354">
        <f>[33]Rqmnt!AA46-G158</f>
        <v>1202.2662460582324</v>
      </c>
      <c r="H159" s="354">
        <f>[33]Rqmnt!AB46-H158</f>
        <v>1491.1370371883606</v>
      </c>
      <c r="I159" s="354">
        <f>[33]Rqmnt!AC46-I158</f>
        <v>1689.7631834184067</v>
      </c>
      <c r="J159" s="354">
        <f>[33]Rqmnt!AD46-J158</f>
        <v>1667.799875229332</v>
      </c>
      <c r="K159" s="354">
        <f>[33]Rqmnt!AE46-K158</f>
        <v>1462.6592742002194</v>
      </c>
      <c r="L159" s="354">
        <f>[33]Rqmnt!AF46-L158</f>
        <v>1379.3590186891151</v>
      </c>
      <c r="M159" s="354">
        <f>[33]Rqmnt!AG46-M158</f>
        <v>1804.4834338470332</v>
      </c>
      <c r="N159" s="354">
        <f>[33]Rqmnt!AH46-N158</f>
        <v>2063.6425190093205</v>
      </c>
      <c r="O159" s="354">
        <f>[33]Rqmnt!AI46-O158</f>
        <v>2360.4690084363092</v>
      </c>
      <c r="P159" s="354">
        <f>[33]Rqmnt!AJ46-P158</f>
        <v>2627.1400865189066</v>
      </c>
      <c r="Q159" s="353">
        <f>SUM(E159:P159)</f>
        <v>20979.75375999785</v>
      </c>
    </row>
    <row r="160" spans="2:18" hidden="1" x14ac:dyDescent="0.25">
      <c r="B160" s="63">
        <f t="shared" si="195"/>
        <v>6</v>
      </c>
      <c r="C160" s="344" t="s">
        <v>311</v>
      </c>
      <c r="D160" s="63" t="s">
        <v>306</v>
      </c>
      <c r="E160" s="351">
        <f>[33]Rqmnt!Y37</f>
        <v>390.53339697585562</v>
      </c>
      <c r="F160" s="351">
        <f>[33]Rqmnt!Z37</f>
        <v>194.2533026163</v>
      </c>
      <c r="G160" s="351">
        <f>[33]Rqmnt!AA37</f>
        <v>150.37210232579753</v>
      </c>
      <c r="H160" s="351">
        <f>[33]Rqmnt!AB37</f>
        <v>413.40708913092107</v>
      </c>
      <c r="I160" s="351">
        <f>[33]Rqmnt!AC37</f>
        <v>149.47730453639511</v>
      </c>
      <c r="J160" s="351">
        <f>[33]Rqmnt!AD37</f>
        <v>199.53010358048749</v>
      </c>
      <c r="K160" s="351">
        <f>[33]Rqmnt!AE37</f>
        <v>217.06418100609312</v>
      </c>
      <c r="L160" s="351">
        <f>[33]Rqmnt!AF37</f>
        <v>285.56898583280901</v>
      </c>
      <c r="M160" s="351">
        <f>[33]Rqmnt!AG37</f>
        <v>156.67132311050787</v>
      </c>
      <c r="N160" s="351">
        <f>[33]Rqmnt!AH37</f>
        <v>258.48946472349337</v>
      </c>
      <c r="O160" s="351">
        <f>[33]Rqmnt!AI37</f>
        <v>272.29670268168587</v>
      </c>
      <c r="P160" s="351">
        <f>[33]Rqmnt!AJ37</f>
        <v>290.53475021999446</v>
      </c>
      <c r="Q160" s="90">
        <f>SUM(E160:P160)</f>
        <v>2978.1987067403402</v>
      </c>
    </row>
    <row r="161" spans="2:17" hidden="1" x14ac:dyDescent="0.25">
      <c r="B161" s="430">
        <f t="shared" si="195"/>
        <v>7</v>
      </c>
      <c r="C161" s="344" t="s">
        <v>312</v>
      </c>
      <c r="D161" s="63" t="s">
        <v>308</v>
      </c>
      <c r="E161" s="155">
        <f t="shared" ref="E161" si="208">E162/(E159+E155)</f>
        <v>2.4260661000860811E-2</v>
      </c>
      <c r="F161" s="155">
        <f t="shared" ref="F161" si="209">F162/(F159+F155)</f>
        <v>2.4189566110747716E-2</v>
      </c>
      <c r="G161" s="155">
        <f t="shared" ref="G161" si="210">G162/(G159+G155)</f>
        <v>2.4230689403203776E-2</v>
      </c>
      <c r="H161" s="155">
        <f t="shared" ref="H161" si="211">H162/(H159+H155)</f>
        <v>2.4238207991856997E-2</v>
      </c>
      <c r="I161" s="155">
        <f t="shared" ref="I161" si="212">I162/(I159+I155)</f>
        <v>2.4254650132618658E-2</v>
      </c>
      <c r="J161" s="155">
        <f t="shared" ref="J161" si="213">J162/(J159+J155)</f>
        <v>2.4254547413988543E-2</v>
      </c>
      <c r="K161" s="155">
        <f t="shared" ref="K161" si="214">K162/(K159+K155)</f>
        <v>2.4237194361329824E-2</v>
      </c>
      <c r="L161" s="155">
        <f t="shared" ref="L161" si="215">L162/(L159+L155)</f>
        <v>2.4244597913784673E-2</v>
      </c>
      <c r="M161" s="155">
        <f t="shared" ref="M161" si="216">M162/(M159+M155)</f>
        <v>2.4247896536084945E-2</v>
      </c>
      <c r="N161" s="155">
        <f t="shared" ref="N161" si="217">N162/(N159+N155)</f>
        <v>2.4258293885445849E-2</v>
      </c>
      <c r="O161" s="155">
        <f t="shared" ref="O161" si="218">O162/(O159+O155)</f>
        <v>2.4286504380237148E-2</v>
      </c>
      <c r="P161" s="155">
        <f t="shared" ref="P161" si="219">P162/(P159+P155)</f>
        <v>2.4293091487200127E-2</v>
      </c>
      <c r="Q161" s="155">
        <f>Q162/(Q159+Q158)</f>
        <v>2.4399999999999974E-2</v>
      </c>
    </row>
    <row r="162" spans="2:17" hidden="1" x14ac:dyDescent="0.25">
      <c r="B162" s="63">
        <f t="shared" si="195"/>
        <v>8</v>
      </c>
      <c r="C162" s="344" t="s">
        <v>312</v>
      </c>
      <c r="D162" s="63" t="s">
        <v>306</v>
      </c>
      <c r="E162" s="351">
        <f>[33]Rqmnt!Y47</f>
        <v>59.361106640766089</v>
      </c>
      <c r="F162" s="351">
        <f>[33]Rqmnt!Z47</f>
        <v>36.320201158155243</v>
      </c>
      <c r="G162" s="351">
        <f>[33]Rqmnt!AA47</f>
        <v>36.918174481881607</v>
      </c>
      <c r="H162" s="351">
        <f>[33]Rqmnt!AB47</f>
        <v>44.560517269445064</v>
      </c>
      <c r="I162" s="351">
        <f>[33]Rqmnt!AC47</f>
        <v>49.784796762513103</v>
      </c>
      <c r="J162" s="351">
        <f>[33]Rqmnt!AD47</f>
        <v>48.755775154569449</v>
      </c>
      <c r="K162" s="351">
        <f>[33]Rqmnt!AE47</f>
        <v>44.36750632800117</v>
      </c>
      <c r="L162" s="351">
        <f>[33]Rqmnt!AF47</f>
        <v>41.507957726318935</v>
      </c>
      <c r="M162" s="351">
        <f>[33]Rqmnt!AG47</f>
        <v>51.978866189754619</v>
      </c>
      <c r="N162" s="351">
        <f>[33]Rqmnt!AH47</f>
        <v>58.859222741737774</v>
      </c>
      <c r="O162" s="351">
        <f>[33]Rqmnt!AI47</f>
        <v>65.432969059204439</v>
      </c>
      <c r="P162" s="351">
        <f>[33]Rqmnt!AJ47</f>
        <v>72.793008688762171</v>
      </c>
      <c r="Q162" s="352">
        <f>SUM(E162:P162)</f>
        <v>610.64010220110958</v>
      </c>
    </row>
    <row r="163" spans="2:17" ht="27.6" hidden="1" x14ac:dyDescent="0.25">
      <c r="B163" s="430">
        <f t="shared" si="195"/>
        <v>9</v>
      </c>
      <c r="C163" s="345" t="s">
        <v>313</v>
      </c>
      <c r="D163" s="63" t="s">
        <v>306</v>
      </c>
      <c r="E163" s="351">
        <f t="shared" ref="E163" si="220">E158+E159-E160-E162</f>
        <v>1982.9377357590399</v>
      </c>
      <c r="F163" s="351">
        <f t="shared" ref="F163" si="221">F158+F159-F160-F162</f>
        <v>1257.9593305761707</v>
      </c>
      <c r="G163" s="351">
        <f t="shared" ref="G163" si="222">G158+G159-G160-G162</f>
        <v>1325.7496609743553</v>
      </c>
      <c r="H163" s="351">
        <f t="shared" ref="H163" si="223">H158+H159-H160-H162</f>
        <v>1368.2831013637776</v>
      </c>
      <c r="I163" s="351">
        <f t="shared" ref="I163" si="224">I158+I159-I160-I162</f>
        <v>1841.0984217549092</v>
      </c>
      <c r="J163" s="351">
        <f t="shared" ref="J163" si="225">J158+J159-J160-J162</f>
        <v>1749.9016275997583</v>
      </c>
      <c r="K163" s="351">
        <f t="shared" ref="K163" si="226">K158+K159-K160-K162</f>
        <v>1556.9087359446437</v>
      </c>
      <c r="L163" s="351">
        <f t="shared" ref="L163" si="227">L158+L159-L160-L162</f>
        <v>1374.0688648965679</v>
      </c>
      <c r="M163" s="351">
        <f t="shared" ref="M163" si="228">M158+M159-M160-M162</f>
        <v>1921.6312119191909</v>
      </c>
      <c r="N163" s="351">
        <f t="shared" ref="N163" si="229">N158+N159-N160-N162</f>
        <v>2094.9145396551717</v>
      </c>
      <c r="O163" s="351">
        <f t="shared" ref="O163" si="230">O158+O159-O160-O162</f>
        <v>2343.9493880625728</v>
      </c>
      <c r="P163" s="351">
        <f t="shared" ref="P163" si="231">P158+P159-P160-P162</f>
        <v>2619.9922693192038</v>
      </c>
      <c r="Q163" s="90">
        <f>SUM(E163:P163)</f>
        <v>21437.394887825365</v>
      </c>
    </row>
    <row r="164" spans="2:17" hidden="1" x14ac:dyDescent="0.25">
      <c r="B164" s="63"/>
      <c r="C164" s="343" t="s">
        <v>314</v>
      </c>
      <c r="D164" s="63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342"/>
    </row>
    <row r="165" spans="2:17" ht="27.6" hidden="1" x14ac:dyDescent="0.25">
      <c r="B165" s="63">
        <f>B163+1</f>
        <v>10</v>
      </c>
      <c r="C165" s="345" t="s">
        <v>315</v>
      </c>
      <c r="D165" s="63" t="s">
        <v>306</v>
      </c>
      <c r="E165" s="351">
        <f>[33]Rqmnt!Y7</f>
        <v>1982.9377357590397</v>
      </c>
      <c r="F165" s="351">
        <f>[33]Rqmnt!Z7</f>
        <v>1257.9593305761707</v>
      </c>
      <c r="G165" s="351">
        <f>[33]Rqmnt!AA7</f>
        <v>1325.7496609743555</v>
      </c>
      <c r="H165" s="351">
        <f>[33]Rqmnt!AB7</f>
        <v>1368.2831013637776</v>
      </c>
      <c r="I165" s="351">
        <f>[33]Rqmnt!AC7</f>
        <v>1841.0984217549094</v>
      </c>
      <c r="J165" s="351">
        <f>[33]Rqmnt!AD7</f>
        <v>1749.9016275997583</v>
      </c>
      <c r="K165" s="351">
        <f>[33]Rqmnt!AE7</f>
        <v>1556.9087359446439</v>
      </c>
      <c r="L165" s="351">
        <f>[33]Rqmnt!AF7</f>
        <v>1374.0688648965679</v>
      </c>
      <c r="M165" s="351">
        <f>[33]Rqmnt!AG7</f>
        <v>1921.6312119191909</v>
      </c>
      <c r="N165" s="351">
        <f>[33]Rqmnt!AH7</f>
        <v>2094.9145396551717</v>
      </c>
      <c r="O165" s="351">
        <f>[33]Rqmnt!AI7</f>
        <v>2343.9493880625728</v>
      </c>
      <c r="P165" s="351">
        <f>[33]Rqmnt!AJ7</f>
        <v>2619.9922693192038</v>
      </c>
      <c r="Q165" s="352">
        <f>SUM(E165:P165)</f>
        <v>21437.394887825365</v>
      </c>
    </row>
    <row r="166" spans="2:17" hidden="1" x14ac:dyDescent="0.25">
      <c r="B166" s="63">
        <f t="shared" ref="B166:B169" si="232">B165+1</f>
        <v>11</v>
      </c>
      <c r="C166" s="344" t="s">
        <v>316</v>
      </c>
      <c r="D166" s="63" t="s">
        <v>306</v>
      </c>
      <c r="E166" s="351">
        <f>[33]Rqmnt!Y9</f>
        <v>69.346618677964045</v>
      </c>
      <c r="F166" s="351">
        <f>[33]Rqmnt!Z9</f>
        <v>70.537991921814637</v>
      </c>
      <c r="G166" s="351">
        <f>[33]Rqmnt!AA9</f>
        <v>65.126674154528175</v>
      </c>
      <c r="H166" s="351">
        <f>[33]Rqmnt!AB9</f>
        <v>63.979060876511056</v>
      </c>
      <c r="I166" s="351">
        <f>[33]Rqmnt!AC9</f>
        <v>65.299376574939203</v>
      </c>
      <c r="J166" s="351">
        <f>[33]Rqmnt!AD9</f>
        <v>65.48495040030248</v>
      </c>
      <c r="K166" s="351">
        <f>[33]Rqmnt!AE9</f>
        <v>64.919264814931324</v>
      </c>
      <c r="L166" s="351">
        <f>[33]Rqmnt!AF9</f>
        <v>64.808763875496908</v>
      </c>
      <c r="M166" s="351">
        <f>[33]Rqmnt!AG9</f>
        <v>63.489602395511767</v>
      </c>
      <c r="N166" s="351">
        <f>[33]Rqmnt!AH9</f>
        <v>74.326498792455837</v>
      </c>
      <c r="O166" s="351">
        <f>[33]Rqmnt!AI9</f>
        <v>69.387774177746124</v>
      </c>
      <c r="P166" s="351">
        <f>[33]Rqmnt!AJ9</f>
        <v>81.300069191163715</v>
      </c>
      <c r="Q166" s="352">
        <f>SUM(E166:P166)</f>
        <v>818.00664585336517</v>
      </c>
    </row>
    <row r="167" spans="2:17" hidden="1" x14ac:dyDescent="0.25">
      <c r="B167" s="430">
        <f t="shared" si="232"/>
        <v>12</v>
      </c>
      <c r="C167" s="344" t="s">
        <v>317</v>
      </c>
      <c r="D167" s="63" t="s">
        <v>308</v>
      </c>
      <c r="E167" s="155">
        <f t="shared" ref="E167" si="233">E168/E165</f>
        <v>2.9499999999999936E-2</v>
      </c>
      <c r="F167" s="155">
        <f t="shared" ref="F167" si="234">F168/F165</f>
        <v>2.9500000000000016E-2</v>
      </c>
      <c r="G167" s="155">
        <f t="shared" ref="G167" si="235">G168/G165</f>
        <v>2.9499999999999922E-2</v>
      </c>
      <c r="H167" s="155">
        <f t="shared" ref="H167" si="236">H168/H165</f>
        <v>2.9500000000000012E-2</v>
      </c>
      <c r="I167" s="155">
        <f t="shared" ref="I167" si="237">I168/I165</f>
        <v>2.9499999999999919E-2</v>
      </c>
      <c r="J167" s="155">
        <f t="shared" ref="J167" si="238">J168/J165</f>
        <v>2.9499999999999912E-2</v>
      </c>
      <c r="K167" s="155">
        <f t="shared" ref="K167" si="239">K168/K165</f>
        <v>2.9499999999999992E-2</v>
      </c>
      <c r="L167" s="155">
        <f t="shared" ref="L167" si="240">L168/L165</f>
        <v>2.9499999999999995E-2</v>
      </c>
      <c r="M167" s="155">
        <f t="shared" ref="M167" si="241">M168/M165</f>
        <v>2.9499999999999929E-2</v>
      </c>
      <c r="N167" s="155">
        <f t="shared" ref="N167" si="242">N168/N165</f>
        <v>2.949999999999996E-2</v>
      </c>
      <c r="O167" s="155">
        <f t="shared" ref="O167" si="243">O168/O165</f>
        <v>2.9499999999999985E-2</v>
      </c>
      <c r="P167" s="155">
        <f t="shared" ref="P167" si="244">P168/P165</f>
        <v>2.9500000000000009E-2</v>
      </c>
      <c r="Q167" s="155">
        <f t="shared" ref="Q167" si="245">Q168/Q165</f>
        <v>2.949999999999996E-2</v>
      </c>
    </row>
    <row r="168" spans="2:17" hidden="1" x14ac:dyDescent="0.25">
      <c r="B168" s="63">
        <f t="shared" si="232"/>
        <v>13</v>
      </c>
      <c r="C168" s="344" t="s">
        <v>317</v>
      </c>
      <c r="D168" s="63" t="s">
        <v>306</v>
      </c>
      <c r="E168" s="351">
        <f>[33]Rqmnt!Y11</f>
        <v>58.496663204891547</v>
      </c>
      <c r="F168" s="351">
        <f>[33]Rqmnt!Z11</f>
        <v>37.109800251997058</v>
      </c>
      <c r="G168" s="351">
        <f>[33]Rqmnt!AA11</f>
        <v>39.109614998743382</v>
      </c>
      <c r="H168" s="351">
        <f>[33]Rqmnt!AB11</f>
        <v>40.364351490231456</v>
      </c>
      <c r="I168" s="351">
        <f>[33]Rqmnt!AC11</f>
        <v>54.312403441769675</v>
      </c>
      <c r="J168" s="351">
        <f>[33]Rqmnt!AD11</f>
        <v>51.622098014192716</v>
      </c>
      <c r="K168" s="351">
        <f>[33]Rqmnt!AE11</f>
        <v>45.928807710366982</v>
      </c>
      <c r="L168" s="351">
        <f>[33]Rqmnt!AF11</f>
        <v>40.535031514448747</v>
      </c>
      <c r="M168" s="351">
        <f>[33]Rqmnt!AG11</f>
        <v>56.688120751615998</v>
      </c>
      <c r="N168" s="351">
        <f>[33]Rqmnt!AH11</f>
        <v>61.799978919827481</v>
      </c>
      <c r="O168" s="351">
        <f>[33]Rqmnt!AI11</f>
        <v>69.146506947845864</v>
      </c>
      <c r="P168" s="351">
        <f>[33]Rqmnt!AJ11</f>
        <v>77.289771944916538</v>
      </c>
      <c r="Q168" s="351">
        <f>SUM(E168:P168)</f>
        <v>632.40314919084744</v>
      </c>
    </row>
    <row r="169" spans="2:17" ht="27.6" hidden="1" x14ac:dyDescent="0.25">
      <c r="B169" s="430">
        <f t="shared" si="232"/>
        <v>14</v>
      </c>
      <c r="C169" s="345" t="s">
        <v>339</v>
      </c>
      <c r="D169" s="63" t="s">
        <v>306</v>
      </c>
      <c r="E169" s="351">
        <f t="shared" ref="E169" si="246">E165-E166-E168</f>
        <v>1855.0944538761842</v>
      </c>
      <c r="F169" s="351">
        <f t="shared" ref="F169" si="247">F165-F166-F168</f>
        <v>1150.311538402359</v>
      </c>
      <c r="G169" s="351">
        <f t="shared" ref="G169" si="248">G165-G166-G168</f>
        <v>1221.5133718210839</v>
      </c>
      <c r="H169" s="351">
        <f t="shared" ref="H169" si="249">H165-H166-H168</f>
        <v>1263.9396889970351</v>
      </c>
      <c r="I169" s="351">
        <f t="shared" ref="I169" si="250">I165-I166-I168</f>
        <v>1721.4866417382004</v>
      </c>
      <c r="J169" s="351">
        <f t="shared" ref="J169" si="251">J165-J166-J168</f>
        <v>1632.794579185263</v>
      </c>
      <c r="K169" s="351">
        <f t="shared" ref="K169" si="252">K165-K166-K168</f>
        <v>1446.0606634193457</v>
      </c>
      <c r="L169" s="351">
        <f t="shared" ref="L169" si="253">L165-L166-L168</f>
        <v>1268.7250695066223</v>
      </c>
      <c r="M169" s="351">
        <f t="shared" ref="M169" si="254">M165-M166-M168</f>
        <v>1801.4534887720631</v>
      </c>
      <c r="N169" s="351">
        <f t="shared" ref="N169" si="255">N165-N166-N168</f>
        <v>1958.7880619428884</v>
      </c>
      <c r="O169" s="351">
        <f t="shared" ref="O169" si="256">O165-O166-O168</f>
        <v>2205.4151069369809</v>
      </c>
      <c r="P169" s="351">
        <f t="shared" ref="P169" si="257">P165-P166-P168</f>
        <v>2461.4024281831234</v>
      </c>
      <c r="Q169" s="352">
        <f>SUM(E169:P169)</f>
        <v>19986.985092781149</v>
      </c>
    </row>
    <row r="170" spans="2:17" hidden="1" x14ac:dyDescent="0.25">
      <c r="B170" s="63"/>
      <c r="C170" s="343" t="s">
        <v>319</v>
      </c>
      <c r="D170" s="63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342"/>
    </row>
    <row r="171" spans="2:17" ht="27.6" hidden="1" x14ac:dyDescent="0.25">
      <c r="B171" s="63">
        <f>B169+1</f>
        <v>15</v>
      </c>
      <c r="C171" s="345" t="s">
        <v>320</v>
      </c>
      <c r="D171" s="63" t="s">
        <v>306</v>
      </c>
      <c r="E171" s="351">
        <f>[33]Rqmnt!Y19</f>
        <v>1855.0944538761842</v>
      </c>
      <c r="F171" s="351">
        <f>[33]Rqmnt!Z19</f>
        <v>1150.311538402359</v>
      </c>
      <c r="G171" s="351">
        <f>[33]Rqmnt!AA19</f>
        <v>1221.5133718210839</v>
      </c>
      <c r="H171" s="351">
        <f>[33]Rqmnt!AB19</f>
        <v>1263.9396889970351</v>
      </c>
      <c r="I171" s="351">
        <f>[33]Rqmnt!AC19</f>
        <v>1721.4866417382004</v>
      </c>
      <c r="J171" s="351">
        <f>[33]Rqmnt!AD19</f>
        <v>1632.794579185263</v>
      </c>
      <c r="K171" s="351">
        <f>[33]Rqmnt!AE19</f>
        <v>1446.0606634193457</v>
      </c>
      <c r="L171" s="351">
        <f>[33]Rqmnt!AF19</f>
        <v>1268.7250695066223</v>
      </c>
      <c r="M171" s="351">
        <f>[33]Rqmnt!AG19</f>
        <v>1801.4534887720631</v>
      </c>
      <c r="N171" s="351">
        <f>[33]Rqmnt!AH19</f>
        <v>1958.7880619428884</v>
      </c>
      <c r="O171" s="351">
        <f>[33]Rqmnt!AI19</f>
        <v>2205.4151069369809</v>
      </c>
      <c r="P171" s="351">
        <f>[33]Rqmnt!AJ19</f>
        <v>2461.4024281831234</v>
      </c>
      <c r="Q171" s="352">
        <f>SUM(E171:P171)</f>
        <v>19986.985092781149</v>
      </c>
    </row>
    <row r="172" spans="2:17" hidden="1" x14ac:dyDescent="0.25">
      <c r="B172" s="63">
        <f t="shared" ref="B172:B176" si="258">B171+1</f>
        <v>16</v>
      </c>
      <c r="C172" s="345" t="s">
        <v>321</v>
      </c>
      <c r="D172" s="63" t="s">
        <v>306</v>
      </c>
      <c r="E172" s="351"/>
      <c r="F172" s="351"/>
      <c r="G172" s="351"/>
      <c r="H172" s="351"/>
      <c r="I172" s="351"/>
      <c r="J172" s="351"/>
      <c r="K172" s="351"/>
      <c r="L172" s="351"/>
      <c r="M172" s="351"/>
      <c r="N172" s="351"/>
      <c r="O172" s="351"/>
      <c r="P172" s="351"/>
      <c r="Q172" s="352">
        <f>SUM(E172:P172)</f>
        <v>0</v>
      </c>
    </row>
    <row r="173" spans="2:17" hidden="1" x14ac:dyDescent="0.25">
      <c r="B173" s="63">
        <f t="shared" si="258"/>
        <v>17</v>
      </c>
      <c r="C173" s="344" t="s">
        <v>322</v>
      </c>
      <c r="D173" s="63" t="s">
        <v>306</v>
      </c>
      <c r="E173" s="351">
        <f>[33]Rqmnt!Y20</f>
        <v>255.39140482634531</v>
      </c>
      <c r="F173" s="351">
        <f>[33]Rqmnt!Z20</f>
        <v>195.56926846693642</v>
      </c>
      <c r="G173" s="351">
        <f>[33]Rqmnt!AA20</f>
        <v>239.50424613981744</v>
      </c>
      <c r="H173" s="351">
        <f>[33]Rqmnt!AB20</f>
        <v>264.54156083582666</v>
      </c>
      <c r="I173" s="351">
        <f>[33]Rqmnt!AC20</f>
        <v>282.42808122049541</v>
      </c>
      <c r="J173" s="351">
        <f>[33]Rqmnt!AD20</f>
        <v>262.90777578417038</v>
      </c>
      <c r="K173" s="351">
        <f>[33]Rqmnt!AE20</f>
        <v>273.42287973518717</v>
      </c>
      <c r="L173" s="351">
        <f>[33]Rqmnt!AF20</f>
        <v>225.83964237561813</v>
      </c>
      <c r="M173" s="351">
        <f>[33]Rqmnt!AG20</f>
        <v>301.9246810023995</v>
      </c>
      <c r="N173" s="351">
        <f>[33]Rqmnt!AH20</f>
        <v>322.71328318622</v>
      </c>
      <c r="O173" s="351">
        <f>[33]Rqmnt!AI20</f>
        <v>321.5806971324339</v>
      </c>
      <c r="P173" s="351">
        <f>[33]Rqmnt!AJ20</f>
        <v>323.15707674964597</v>
      </c>
      <c r="Q173" s="352">
        <f>SUM(E173:P173)</f>
        <v>3268.9805974550964</v>
      </c>
    </row>
    <row r="174" spans="2:17" hidden="1" x14ac:dyDescent="0.25">
      <c r="B174" s="430">
        <f t="shared" si="258"/>
        <v>18</v>
      </c>
      <c r="C174" s="344" t="s">
        <v>323</v>
      </c>
      <c r="D174" s="63" t="s">
        <v>308</v>
      </c>
      <c r="E174" s="155">
        <f t="shared" ref="E174" si="259">E175/E171</f>
        <v>3.6799999999999999E-2</v>
      </c>
      <c r="F174" s="155">
        <f t="shared" ref="F174" si="260">F175/F171</f>
        <v>3.6799999999999868E-2</v>
      </c>
      <c r="G174" s="155">
        <f t="shared" ref="G174" si="261">G175/G171</f>
        <v>3.6799999999999944E-2</v>
      </c>
      <c r="H174" s="155">
        <f t="shared" ref="H174" si="262">H175/H171</f>
        <v>3.6799999999999874E-2</v>
      </c>
      <c r="I174" s="155">
        <f t="shared" ref="I174" si="263">I175/I171</f>
        <v>3.6799999999999986E-2</v>
      </c>
      <c r="J174" s="155">
        <f t="shared" ref="J174" si="264">J175/J171</f>
        <v>3.6800000000000006E-2</v>
      </c>
      <c r="K174" s="155">
        <f t="shared" ref="K174" si="265">K175/K171</f>
        <v>3.6799999999999881E-2</v>
      </c>
      <c r="L174" s="155">
        <f t="shared" ref="L174" si="266">L175/L171</f>
        <v>3.6799999999999979E-2</v>
      </c>
      <c r="M174" s="155">
        <f t="shared" ref="M174" si="267">M175/M171</f>
        <v>3.6799999999999909E-2</v>
      </c>
      <c r="N174" s="155">
        <f t="shared" ref="N174" si="268">N175/N171</f>
        <v>3.6799999999999979E-2</v>
      </c>
      <c r="O174" s="155">
        <f t="shared" ref="O174" si="269">O175/O171</f>
        <v>3.6799999999999902E-2</v>
      </c>
      <c r="P174" s="155">
        <f t="shared" ref="P174" si="270">P175/P171</f>
        <v>3.6799999999999986E-2</v>
      </c>
      <c r="Q174" s="155">
        <f t="shared" ref="Q174" si="271">Q175/Q171</f>
        <v>3.6799999999999951E-2</v>
      </c>
    </row>
    <row r="175" spans="2:17" hidden="1" x14ac:dyDescent="0.25">
      <c r="B175" s="63">
        <f t="shared" si="258"/>
        <v>19</v>
      </c>
      <c r="C175" s="344" t="s">
        <v>323</v>
      </c>
      <c r="D175" s="63" t="s">
        <v>306</v>
      </c>
      <c r="E175" s="351">
        <f>[33]Rqmnt!Y22</f>
        <v>68.267475902643582</v>
      </c>
      <c r="F175" s="351">
        <f>[33]Rqmnt!Z22</f>
        <v>42.331464613206663</v>
      </c>
      <c r="G175" s="351">
        <f>[33]Rqmnt!AA22</f>
        <v>44.951692083015814</v>
      </c>
      <c r="H175" s="351">
        <f>[33]Rqmnt!AB22</f>
        <v>46.512980555090735</v>
      </c>
      <c r="I175" s="351">
        <f>[33]Rqmnt!AC22</f>
        <v>63.350708415965755</v>
      </c>
      <c r="J175" s="351">
        <f>[33]Rqmnt!AD22</f>
        <v>60.086840514017695</v>
      </c>
      <c r="K175" s="351">
        <f>[33]Rqmnt!AE22</f>
        <v>53.21503241383175</v>
      </c>
      <c r="L175" s="351">
        <f>[33]Rqmnt!AF22</f>
        <v>46.689082557843676</v>
      </c>
      <c r="M175" s="351">
        <f>[33]Rqmnt!AG22</f>
        <v>66.293488386811759</v>
      </c>
      <c r="N175" s="351">
        <f>[33]Rqmnt!AH22</f>
        <v>72.083400679498254</v>
      </c>
      <c r="O175" s="351">
        <f>[33]Rqmnt!AI22</f>
        <v>81.159275935280675</v>
      </c>
      <c r="P175" s="351">
        <f>[33]Rqmnt!AJ22</f>
        <v>90.579609357138906</v>
      </c>
      <c r="Q175" s="352">
        <f>SUM(E175:P175)</f>
        <v>735.52105141434527</v>
      </c>
    </row>
    <row r="176" spans="2:17" ht="27.6" hidden="1" x14ac:dyDescent="0.25">
      <c r="B176" s="430">
        <f t="shared" si="258"/>
        <v>20</v>
      </c>
      <c r="C176" s="345" t="s">
        <v>340</v>
      </c>
      <c r="D176" s="63" t="s">
        <v>306</v>
      </c>
      <c r="E176" s="351">
        <f t="shared" ref="E176" si="272">E171+E172-E173-E175</f>
        <v>1531.4355731471953</v>
      </c>
      <c r="F176" s="351">
        <f t="shared" ref="F176" si="273">F171+F172-F173-F175</f>
        <v>912.41080532221599</v>
      </c>
      <c r="G176" s="351">
        <f t="shared" ref="G176" si="274">G171+G172-G173-G175</f>
        <v>937.05743359825055</v>
      </c>
      <c r="H176" s="351">
        <f t="shared" ref="H176" si="275">H171+H172-H173-H175</f>
        <v>952.8851476061177</v>
      </c>
      <c r="I176" s="351">
        <f t="shared" ref="I176" si="276">I171+I172-I173-I175</f>
        <v>1375.7078521017393</v>
      </c>
      <c r="J176" s="351">
        <f t="shared" ref="J176" si="277">J171+J172-J173-J175</f>
        <v>1309.799962887075</v>
      </c>
      <c r="K176" s="351">
        <f t="shared" ref="K176" si="278">K171+K172-K173-K175</f>
        <v>1119.4227512703267</v>
      </c>
      <c r="L176" s="351">
        <f t="shared" ref="L176" si="279">L171+L172-L173-L175</f>
        <v>996.19634457316056</v>
      </c>
      <c r="M176" s="351">
        <f t="shared" ref="M176" si="280">M171+M172-M173-M175</f>
        <v>1433.2353193828519</v>
      </c>
      <c r="N176" s="351">
        <f t="shared" ref="N176" si="281">N171+N172-N173-N175</f>
        <v>1563.9913780771701</v>
      </c>
      <c r="O176" s="351">
        <f t="shared" ref="O176" si="282">O171+O172-O173-O175</f>
        <v>1802.6751338692663</v>
      </c>
      <c r="P176" s="351">
        <f t="shared" ref="P176" si="283">P171+P172-P173-P175</f>
        <v>2047.6657420763386</v>
      </c>
      <c r="Q176" s="352">
        <f>SUM(E176:P176)</f>
        <v>15982.483443911706</v>
      </c>
    </row>
    <row r="177" spans="2:18" hidden="1" x14ac:dyDescent="0.25">
      <c r="B177" s="63"/>
      <c r="C177" s="343" t="s">
        <v>325</v>
      </c>
      <c r="D177" s="63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342"/>
    </row>
    <row r="178" spans="2:18" ht="27.6" hidden="1" x14ac:dyDescent="0.25">
      <c r="B178" s="63"/>
      <c r="C178" s="345" t="s">
        <v>326</v>
      </c>
      <c r="D178" s="63" t="s">
        <v>306</v>
      </c>
      <c r="E178" s="351">
        <f>[33]Rqmnt!Y27</f>
        <v>1531.4355731471953</v>
      </c>
      <c r="F178" s="351">
        <f>[33]Rqmnt!Z27</f>
        <v>912.41080532221588</v>
      </c>
      <c r="G178" s="351">
        <f>[33]Rqmnt!AA27</f>
        <v>937.05743359825067</v>
      </c>
      <c r="H178" s="351">
        <f>[33]Rqmnt!AB27</f>
        <v>952.8851476061177</v>
      </c>
      <c r="I178" s="351">
        <f>[33]Rqmnt!AC27</f>
        <v>1375.7078521017393</v>
      </c>
      <c r="J178" s="351">
        <f>[33]Rqmnt!AD27</f>
        <v>1309.799962887075</v>
      </c>
      <c r="K178" s="351">
        <f>[33]Rqmnt!AE27</f>
        <v>1119.4227512703269</v>
      </c>
      <c r="L178" s="351">
        <f>[33]Rqmnt!AF27</f>
        <v>996.19634457316056</v>
      </c>
      <c r="M178" s="351">
        <f>[33]Rqmnt!AG27</f>
        <v>1433.2353193828519</v>
      </c>
      <c r="N178" s="351">
        <f>[33]Rqmnt!AH27</f>
        <v>1563.9913780771701</v>
      </c>
      <c r="O178" s="351">
        <f>[33]Rqmnt!AI27</f>
        <v>1802.6751338692663</v>
      </c>
      <c r="P178" s="351">
        <f>[33]Rqmnt!AJ27</f>
        <v>2047.6657420763386</v>
      </c>
      <c r="Q178" s="342">
        <f>SUM(E178:P178)</f>
        <v>15982.483443911706</v>
      </c>
    </row>
    <row r="179" spans="2:18" hidden="1" x14ac:dyDescent="0.25">
      <c r="B179" s="63">
        <f>B176+1</f>
        <v>21</v>
      </c>
      <c r="C179" s="345" t="s">
        <v>321</v>
      </c>
      <c r="D179" s="63" t="s">
        <v>306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90">
        <f>SUM(E179:P179)</f>
        <v>0</v>
      </c>
    </row>
    <row r="180" spans="2:18" hidden="1" x14ac:dyDescent="0.25">
      <c r="B180" s="63">
        <f t="shared" ref="B180:B182" si="284">B179+1</f>
        <v>22</v>
      </c>
      <c r="C180" s="344" t="s">
        <v>327</v>
      </c>
      <c r="D180" s="63" t="s">
        <v>306</v>
      </c>
      <c r="E180" s="351">
        <f>[33]Rqmnt!Y28+[33]Rqmnt!Y29</f>
        <v>1460.9895367824242</v>
      </c>
      <c r="F180" s="351">
        <f>[33]Rqmnt!Z28+[33]Rqmnt!Z29</f>
        <v>870.4399082773939</v>
      </c>
      <c r="G180" s="351">
        <f>[33]Rqmnt!AA28+[33]Rqmnt!AA29</f>
        <v>893.95279165273109</v>
      </c>
      <c r="H180" s="351">
        <f>[33]Rqmnt!AB28+[33]Rqmnt!AB29</f>
        <v>909.05243081623621</v>
      </c>
      <c r="I180" s="351">
        <f>[33]Rqmnt!AC28+[33]Rqmnt!AC29</f>
        <v>1312.4252909050592</v>
      </c>
      <c r="J180" s="351">
        <f>[33]Rqmnt!AD28+[33]Rqmnt!AD29</f>
        <v>1249.5491645942695</v>
      </c>
      <c r="K180" s="351">
        <f>[33]Rqmnt!AE28+[33]Rqmnt!AE29</f>
        <v>1067.9293047118917</v>
      </c>
      <c r="L180" s="351">
        <f>[33]Rqmnt!AF28+[33]Rqmnt!AF29</f>
        <v>950.3713127227951</v>
      </c>
      <c r="M180" s="351">
        <f>[33]Rqmnt!AG28+[33]Rqmnt!AG29</f>
        <v>1367.3064946912407</v>
      </c>
      <c r="N180" s="351">
        <f>[33]Rqmnt!AH28+[33]Rqmnt!AH29</f>
        <v>1492.0477746856202</v>
      </c>
      <c r="O180" s="351">
        <f>[33]Rqmnt!AI28+[33]Rqmnt!AI29</f>
        <v>1719.75207771128</v>
      </c>
      <c r="P180" s="351">
        <f>[33]Rqmnt!AJ28+[33]Rqmnt!AJ29</f>
        <v>1953.473117940827</v>
      </c>
      <c r="Q180" s="352">
        <f>SUM(E180:P180)</f>
        <v>15247.289205491767</v>
      </c>
    </row>
    <row r="181" spans="2:18" hidden="1" x14ac:dyDescent="0.25">
      <c r="B181" s="430">
        <f t="shared" si="284"/>
        <v>23</v>
      </c>
      <c r="C181" s="344" t="s">
        <v>328</v>
      </c>
      <c r="D181" s="63" t="s">
        <v>308</v>
      </c>
      <c r="E181" s="155">
        <f t="shared" ref="E181" si="285">E182/E178</f>
        <v>4.6000000000000069E-2</v>
      </c>
      <c r="F181" s="155">
        <f t="shared" ref="F181" si="286">F182/F178</f>
        <v>4.6000000000000117E-2</v>
      </c>
      <c r="G181" s="155">
        <f t="shared" ref="G181" si="287">G182/G178</f>
        <v>4.600000000000011E-2</v>
      </c>
      <c r="H181" s="155">
        <f t="shared" ref="H181" si="288">H182/H178</f>
        <v>4.6000000000000076E-2</v>
      </c>
      <c r="I181" s="155">
        <f t="shared" ref="I181" si="289">I182/I178</f>
        <v>4.600000000000002E-2</v>
      </c>
      <c r="J181" s="155">
        <f t="shared" ref="J181" si="290">J182/J178</f>
        <v>4.6000000000000027E-2</v>
      </c>
      <c r="K181" s="155">
        <f t="shared" ref="K181" si="291">K182/K178</f>
        <v>4.6000000000000103E-2</v>
      </c>
      <c r="L181" s="155">
        <f t="shared" ref="L181" si="292">L182/L178</f>
        <v>4.6000000000000076E-2</v>
      </c>
      <c r="M181" s="155">
        <f t="shared" ref="M181" si="293">M182/M178</f>
        <v>4.6000000000000027E-2</v>
      </c>
      <c r="N181" s="155">
        <f t="shared" ref="N181" si="294">N182/N178</f>
        <v>4.6000000000000055E-2</v>
      </c>
      <c r="O181" s="155">
        <f t="shared" ref="O181" si="295">O182/O178</f>
        <v>4.6000000000000062E-2</v>
      </c>
      <c r="P181" s="155">
        <f t="shared" ref="P181" si="296">P182/P178</f>
        <v>4.5999999999999985E-2</v>
      </c>
      <c r="Q181" s="155">
        <f t="shared" ref="Q181" si="297">Q182/Q178</f>
        <v>4.6000000000000062E-2</v>
      </c>
    </row>
    <row r="182" spans="2:18" hidden="1" x14ac:dyDescent="0.25">
      <c r="B182" s="63">
        <f t="shared" si="284"/>
        <v>24</v>
      </c>
      <c r="C182" s="344" t="s">
        <v>328</v>
      </c>
      <c r="D182" s="63" t="s">
        <v>306</v>
      </c>
      <c r="E182" s="351">
        <f>[33]Rqmnt!Y30</f>
        <v>70.446036364771089</v>
      </c>
      <c r="F182" s="351">
        <f>[33]Rqmnt!Z30</f>
        <v>41.970897044822038</v>
      </c>
      <c r="G182" s="351">
        <f>[33]Rqmnt!AA30</f>
        <v>43.104641945519631</v>
      </c>
      <c r="H182" s="351">
        <f>[33]Rqmnt!AB30</f>
        <v>43.832716789881488</v>
      </c>
      <c r="I182" s="351">
        <f>[33]Rqmnt!AC30</f>
        <v>63.282561196680035</v>
      </c>
      <c r="J182" s="351">
        <f>[33]Rqmnt!AD30</f>
        <v>60.250798292805484</v>
      </c>
      <c r="K182" s="351">
        <f>[33]Rqmnt!AE30</f>
        <v>51.493446558435153</v>
      </c>
      <c r="L182" s="351">
        <f>[33]Rqmnt!AF30</f>
        <v>45.825031850365463</v>
      </c>
      <c r="M182" s="351">
        <f>[33]Rqmnt!AG30</f>
        <v>65.928824691611226</v>
      </c>
      <c r="N182" s="351">
        <f>[33]Rqmnt!AH30</f>
        <v>71.943603391549914</v>
      </c>
      <c r="O182" s="351">
        <f>[33]Rqmnt!AI30</f>
        <v>82.923056157986366</v>
      </c>
      <c r="P182" s="351">
        <f>[33]Rqmnt!AJ30</f>
        <v>94.192624135511551</v>
      </c>
      <c r="Q182" s="352">
        <f t="shared" ref="Q182:Q183" si="298">SUM(E182:P182)</f>
        <v>735.19423841993944</v>
      </c>
    </row>
    <row r="183" spans="2:18" hidden="1" x14ac:dyDescent="0.25">
      <c r="B183" s="63"/>
      <c r="C183" s="343" t="s">
        <v>251</v>
      </c>
      <c r="D183" s="63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90">
        <f t="shared" si="298"/>
        <v>0</v>
      </c>
    </row>
    <row r="184" spans="2:18" hidden="1" x14ac:dyDescent="0.25">
      <c r="B184" s="430">
        <f>B182+1</f>
        <v>25</v>
      </c>
      <c r="C184" s="343" t="s">
        <v>329</v>
      </c>
      <c r="D184" s="62" t="s">
        <v>306</v>
      </c>
      <c r="E184" s="351">
        <f t="shared" ref="E184:P184" si="299">E155+E159+E179</f>
        <v>2446.8050000228704</v>
      </c>
      <c r="F184" s="351">
        <f t="shared" si="299"/>
        <v>1501.4821262965002</v>
      </c>
      <c r="G184" s="351">
        <f t="shared" si="299"/>
        <v>1523.6122203357654</v>
      </c>
      <c r="H184" s="351">
        <f t="shared" si="299"/>
        <v>1838.4410796547127</v>
      </c>
      <c r="I184" s="351">
        <f t="shared" si="299"/>
        <v>2052.5877095856536</v>
      </c>
      <c r="J184" s="351">
        <f t="shared" si="299"/>
        <v>2010.1704774111799</v>
      </c>
      <c r="K184" s="351">
        <f t="shared" si="299"/>
        <v>1830.5545463128783</v>
      </c>
      <c r="L184" s="351">
        <f t="shared" si="299"/>
        <v>1712.0497470786631</v>
      </c>
      <c r="M184" s="351">
        <f t="shared" si="299"/>
        <v>2143.6443409596923</v>
      </c>
      <c r="N184" s="351">
        <f t="shared" si="299"/>
        <v>2426.3545911219794</v>
      </c>
      <c r="O184" s="351">
        <f t="shared" si="299"/>
        <v>2694.2110743796352</v>
      </c>
      <c r="P184" s="351">
        <f t="shared" si="299"/>
        <v>2996.4489586315658</v>
      </c>
      <c r="Q184" s="90">
        <f t="shared" ref="Q184:Q187" si="300">SUM(E184:P184)</f>
        <v>25176.361871791101</v>
      </c>
      <c r="R184" s="431"/>
    </row>
    <row r="185" spans="2:18" hidden="1" x14ac:dyDescent="0.25">
      <c r="B185" s="430">
        <f>B184+1</f>
        <v>26</v>
      </c>
      <c r="C185" s="343" t="s">
        <v>330</v>
      </c>
      <c r="D185" s="62" t="s">
        <v>306</v>
      </c>
      <c r="E185" s="351">
        <f t="shared" ref="E185:P185" si="301">E160+E166+E173+E180</f>
        <v>2176.2609572625893</v>
      </c>
      <c r="F185" s="351">
        <f t="shared" si="301"/>
        <v>1330.800471282445</v>
      </c>
      <c r="G185" s="351">
        <f t="shared" si="301"/>
        <v>1348.9558142728742</v>
      </c>
      <c r="H185" s="351">
        <f t="shared" si="301"/>
        <v>1650.9801416594951</v>
      </c>
      <c r="I185" s="351">
        <f t="shared" si="301"/>
        <v>1809.6300532368889</v>
      </c>
      <c r="J185" s="351">
        <f t="shared" si="301"/>
        <v>1777.4719943592299</v>
      </c>
      <c r="K185" s="351">
        <f t="shared" si="301"/>
        <v>1623.3356302681034</v>
      </c>
      <c r="L185" s="351">
        <f t="shared" si="301"/>
        <v>1526.5887048067193</v>
      </c>
      <c r="M185" s="351">
        <f t="shared" si="301"/>
        <v>1889.3921011996599</v>
      </c>
      <c r="N185" s="351">
        <f t="shared" si="301"/>
        <v>2147.5770213877895</v>
      </c>
      <c r="O185" s="351">
        <f t="shared" si="301"/>
        <v>2383.017251703146</v>
      </c>
      <c r="P185" s="351">
        <f t="shared" si="301"/>
        <v>2648.4650141016309</v>
      </c>
      <c r="Q185" s="352">
        <f t="shared" si="300"/>
        <v>22312.475155540575</v>
      </c>
    </row>
    <row r="186" spans="2:18" ht="27.6" hidden="1" x14ac:dyDescent="0.25">
      <c r="B186" s="430">
        <f>B185+1</f>
        <v>27</v>
      </c>
      <c r="C186" s="341" t="s">
        <v>331</v>
      </c>
      <c r="D186" s="62"/>
      <c r="E186" s="351">
        <f t="shared" ref="E186:P186" si="302">E163+E160</f>
        <v>2373.4711327348955</v>
      </c>
      <c r="F186" s="351">
        <f t="shared" si="302"/>
        <v>1452.2126331924708</v>
      </c>
      <c r="G186" s="351">
        <f t="shared" si="302"/>
        <v>1476.1217633001529</v>
      </c>
      <c r="H186" s="351">
        <f t="shared" si="302"/>
        <v>1781.6901904946988</v>
      </c>
      <c r="I186" s="351">
        <f t="shared" si="302"/>
        <v>1990.5757262913044</v>
      </c>
      <c r="J186" s="351">
        <f t="shared" si="302"/>
        <v>1949.4317311802458</v>
      </c>
      <c r="K186" s="351">
        <f t="shared" si="302"/>
        <v>1773.9729169507368</v>
      </c>
      <c r="L186" s="351">
        <f t="shared" si="302"/>
        <v>1659.6378507293769</v>
      </c>
      <c r="M186" s="351">
        <f t="shared" si="302"/>
        <v>2078.3025350296989</v>
      </c>
      <c r="N186" s="351">
        <f t="shared" si="302"/>
        <v>2353.4040043786649</v>
      </c>
      <c r="O186" s="351">
        <f t="shared" si="302"/>
        <v>2616.2460907442587</v>
      </c>
      <c r="P186" s="351">
        <f t="shared" si="302"/>
        <v>2910.5270195391981</v>
      </c>
      <c r="Q186" s="352">
        <f t="shared" si="300"/>
        <v>24415.593594565704</v>
      </c>
    </row>
    <row r="187" spans="2:18" hidden="1" x14ac:dyDescent="0.25">
      <c r="B187" s="430">
        <f>B186+1</f>
        <v>28</v>
      </c>
      <c r="C187" s="341" t="s">
        <v>332</v>
      </c>
      <c r="D187" s="62" t="s">
        <v>306</v>
      </c>
      <c r="E187" s="351">
        <f t="shared" ref="E187" si="303">E186-E185</f>
        <v>197.21017547230622</v>
      </c>
      <c r="F187" s="351">
        <f t="shared" ref="F187" si="304">F186-F185</f>
        <v>121.41216191002582</v>
      </c>
      <c r="G187" s="351">
        <f t="shared" ref="G187" si="305">G186-G185</f>
        <v>127.16594902727866</v>
      </c>
      <c r="H187" s="351">
        <f t="shared" ref="H187" si="306">H186-H185</f>
        <v>130.71004883520368</v>
      </c>
      <c r="I187" s="351">
        <f t="shared" ref="I187" si="307">I186-I185</f>
        <v>180.94567305441547</v>
      </c>
      <c r="J187" s="351">
        <f t="shared" ref="J187" si="308">J186-J185</f>
        <v>171.95973682101589</v>
      </c>
      <c r="K187" s="351">
        <f t="shared" ref="K187" si="309">K186-K185</f>
        <v>150.63728668263343</v>
      </c>
      <c r="L187" s="351">
        <f t="shared" ref="L187" si="310">L186-L185</f>
        <v>133.04914592265754</v>
      </c>
      <c r="M187" s="351">
        <f t="shared" ref="M187" si="311">M186-M185</f>
        <v>188.91043383003898</v>
      </c>
      <c r="N187" s="351">
        <f t="shared" ref="N187" si="312">N186-N185</f>
        <v>205.82698299087542</v>
      </c>
      <c r="O187" s="351">
        <f t="shared" ref="O187" si="313">O186-O185</f>
        <v>233.22883904111268</v>
      </c>
      <c r="P187" s="351">
        <f t="shared" ref="P187" si="314">P186-P185</f>
        <v>262.06200543756722</v>
      </c>
      <c r="Q187" s="352">
        <f t="shared" si="300"/>
        <v>2103.118439025131</v>
      </c>
    </row>
    <row r="188" spans="2:18" hidden="1" x14ac:dyDescent="0.25">
      <c r="B188" s="430">
        <f t="shared" ref="B188" si="315">B187+1</f>
        <v>29</v>
      </c>
      <c r="C188" s="341" t="s">
        <v>333</v>
      </c>
      <c r="D188" s="62" t="s">
        <v>308</v>
      </c>
      <c r="E188" s="155">
        <f t="shared" ref="E188" si="316">E187/(E186-E160)</f>
        <v>9.9453539017359524E-2</v>
      </c>
      <c r="F188" s="155">
        <f t="shared" ref="F188" si="317">F187/(F186-F160)</f>
        <v>9.6515172596570831E-2</v>
      </c>
      <c r="G188" s="155">
        <f t="shared" ref="G188" si="318">G187/(G186-G160)</f>
        <v>9.5920031338207895E-2</v>
      </c>
      <c r="H188" s="155">
        <f t="shared" ref="H188" si="319">H187/(H186-H160)</f>
        <v>9.5528512122179998E-2</v>
      </c>
      <c r="I188" s="155">
        <f t="shared" ref="I188" si="320">I187/(I186-I160)</f>
        <v>9.8281368837381644E-2</v>
      </c>
      <c r="J188" s="155">
        <f t="shared" ref="J188" si="321">J187/(J186-J160)</f>
        <v>9.8268230687277774E-2</v>
      </c>
      <c r="K188" s="155">
        <f t="shared" ref="K188" si="322">K187/(K186-K160)</f>
        <v>9.6754089179951375E-2</v>
      </c>
      <c r="L188" s="155">
        <f t="shared" ref="L188" si="323">L187/(L186-L160)</f>
        <v>9.6828586486218601E-2</v>
      </c>
      <c r="M188" s="155">
        <f t="shared" ref="M188" si="324">M187/(M186-M160)</f>
        <v>9.8307330073686958E-2</v>
      </c>
      <c r="N188" s="155">
        <f t="shared" ref="N188" si="325">N187/(N186-N160)</f>
        <v>9.8250777821588406E-2</v>
      </c>
      <c r="O188" s="155">
        <f t="shared" ref="O188" si="326">O187/(O186-O160)</f>
        <v>9.9502506423097964E-2</v>
      </c>
      <c r="P188" s="155">
        <f t="shared" ref="P188" si="327">P187/(P186-P160)</f>
        <v>0.10002396133239858</v>
      </c>
      <c r="Q188" s="155">
        <f t="shared" ref="Q188" si="328">Q187/(Q186-Q160)</f>
        <v>9.8105131245192725E-2</v>
      </c>
    </row>
    <row r="189" spans="2:18" hidden="1" x14ac:dyDescent="0.25"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</row>
    <row r="190" spans="2:18" hidden="1" x14ac:dyDescent="0.25">
      <c r="B190" s="794" t="s">
        <v>4</v>
      </c>
      <c r="C190" s="760" t="s">
        <v>5</v>
      </c>
      <c r="D190" s="729" t="s">
        <v>298</v>
      </c>
      <c r="E190" s="795" t="s">
        <v>343</v>
      </c>
      <c r="F190" s="795"/>
      <c r="G190" s="795"/>
      <c r="H190" s="795"/>
      <c r="I190" s="795"/>
      <c r="J190" s="795"/>
      <c r="K190" s="795"/>
      <c r="L190" s="795"/>
      <c r="M190" s="795"/>
      <c r="N190" s="795"/>
      <c r="O190" s="795"/>
      <c r="P190" s="795"/>
      <c r="Q190" s="795"/>
    </row>
    <row r="191" spans="2:18" hidden="1" x14ac:dyDescent="0.25">
      <c r="B191" s="794"/>
      <c r="C191" s="760"/>
      <c r="D191" s="729"/>
      <c r="E191" s="13" t="s">
        <v>239</v>
      </c>
      <c r="F191" s="13" t="s">
        <v>240</v>
      </c>
      <c r="G191" s="13" t="s">
        <v>241</v>
      </c>
      <c r="H191" s="13" t="s">
        <v>242</v>
      </c>
      <c r="I191" s="13" t="s">
        <v>243</v>
      </c>
      <c r="J191" s="13" t="s">
        <v>244</v>
      </c>
      <c r="K191" s="13" t="s">
        <v>245</v>
      </c>
      <c r="L191" s="13" t="s">
        <v>246</v>
      </c>
      <c r="M191" s="13" t="s">
        <v>247</v>
      </c>
      <c r="N191" s="13" t="s">
        <v>248</v>
      </c>
      <c r="O191" s="13" t="s">
        <v>249</v>
      </c>
      <c r="P191" s="13" t="s">
        <v>250</v>
      </c>
      <c r="Q191" s="13" t="s">
        <v>251</v>
      </c>
    </row>
    <row r="192" spans="2:18" hidden="1" x14ac:dyDescent="0.25">
      <c r="B192" s="63">
        <v>1</v>
      </c>
      <c r="C192" s="344" t="s">
        <v>305</v>
      </c>
      <c r="D192" s="63" t="s">
        <v>306</v>
      </c>
      <c r="E192" s="18">
        <f>[34]Rqmnt!Y48+[34]Rqmnt!Y49</f>
        <v>355.54098338954805</v>
      </c>
      <c r="F192" s="18">
        <f>[34]Rqmnt!Z48+[34]Rqmnt!Z49</f>
        <v>361.71206552720895</v>
      </c>
      <c r="G192" s="18">
        <f>[34]Rqmnt!AA48+[34]Rqmnt!AA49</f>
        <v>321.345974277533</v>
      </c>
      <c r="H192" s="18">
        <f>[34]Rqmnt!AB48+[34]Rqmnt!AB49</f>
        <v>347.30404246635197</v>
      </c>
      <c r="I192" s="18">
        <f>[34]Rqmnt!AC48+[34]Rqmnt!AC49</f>
        <v>362.82452616724703</v>
      </c>
      <c r="J192" s="18">
        <f>[34]Rqmnt!AD48+[34]Rqmnt!AD49</f>
        <v>342.37060218184797</v>
      </c>
      <c r="K192" s="18">
        <f>[34]Rqmnt!AE48+[34]Rqmnt!AE49</f>
        <v>367.89527211265892</v>
      </c>
      <c r="L192" s="18">
        <f>[34]Rqmnt!AF48+[34]Rqmnt!AF49</f>
        <v>332.69072838954798</v>
      </c>
      <c r="M192" s="18">
        <f>[34]Rqmnt!AG48+[34]Rqmnt!AG49</f>
        <v>339.160907112659</v>
      </c>
      <c r="N192" s="18">
        <f>[34]Rqmnt!AH48+[34]Rqmnt!AH49</f>
        <v>362.71207211265903</v>
      </c>
      <c r="O192" s="18">
        <f>[34]Rqmnt!AI48+[34]Rqmnt!AI49</f>
        <v>333.74206594332594</v>
      </c>
      <c r="P192" s="18">
        <f>[34]Rqmnt!AJ48+[34]Rqmnt!AJ49</f>
        <v>369.30887211265895</v>
      </c>
      <c r="Q192" s="90">
        <f>SUM(E192:P192)</f>
        <v>4196.6081117932472</v>
      </c>
    </row>
    <row r="193" spans="2:17" hidden="1" x14ac:dyDescent="0.25">
      <c r="B193" s="430">
        <f>B192+1</f>
        <v>2</v>
      </c>
      <c r="C193" s="344" t="s">
        <v>307</v>
      </c>
      <c r="D193" s="63" t="s">
        <v>308</v>
      </c>
      <c r="E193" s="155">
        <f>E194/E192</f>
        <v>3.9300000000000002E-2</v>
      </c>
      <c r="F193" s="155">
        <f t="shared" ref="F193" si="329">F194/F192</f>
        <v>3.5799999999999998E-2</v>
      </c>
      <c r="G193" s="155">
        <f t="shared" ref="G193" si="330">G194/G192</f>
        <v>3.2899999999999999E-2</v>
      </c>
      <c r="H193" s="155">
        <f t="shared" ref="H193" si="331">H194/H192</f>
        <v>3.5099999999999999E-2</v>
      </c>
      <c r="I193" s="155">
        <f t="shared" ref="I193" si="332">I194/I192</f>
        <v>3.3700000000000001E-2</v>
      </c>
      <c r="J193" s="155">
        <f t="shared" ref="J193" si="333">J194/J192</f>
        <v>3.5000000000000003E-2</v>
      </c>
      <c r="K193" s="155">
        <f t="shared" ref="K193" si="334">K194/K192</f>
        <v>3.32E-2</v>
      </c>
      <c r="L193" s="155">
        <f t="shared" ref="L193" si="335">L194/L192</f>
        <v>3.2774999999999999E-2</v>
      </c>
      <c r="M193" s="155">
        <f t="shared" ref="M193" si="336">M194/M192</f>
        <v>3.9399999999999998E-2</v>
      </c>
      <c r="N193" s="155">
        <f t="shared" ref="N193" si="337">N194/N192</f>
        <v>3.8850000000000003E-2</v>
      </c>
      <c r="O193" s="155">
        <f t="shared" ref="O193" si="338">O194/O192</f>
        <v>3.755E-2</v>
      </c>
      <c r="P193" s="155">
        <f t="shared" ref="P193" si="339">P194/P192</f>
        <v>3.5549999999999998E-2</v>
      </c>
      <c r="Q193" s="155">
        <f t="shared" ref="Q193" si="340">Q194/Q192</f>
        <v>3.5773694141798984E-2</v>
      </c>
    </row>
    <row r="194" spans="2:17" hidden="1" x14ac:dyDescent="0.25">
      <c r="B194" s="63">
        <f t="shared" ref="B194:B200" si="341">B193+1</f>
        <v>3</v>
      </c>
      <c r="C194" s="344" t="s">
        <v>307</v>
      </c>
      <c r="D194" s="63" t="s">
        <v>306</v>
      </c>
      <c r="E194" s="351">
        <f>[34]Rqmnt!Y52</f>
        <v>13.972760647209238</v>
      </c>
      <c r="F194" s="351">
        <f>[34]Rqmnt!Z52</f>
        <v>12.94929194587408</v>
      </c>
      <c r="G194" s="351">
        <f>[34]Rqmnt!AA52</f>
        <v>10.572282553730835</v>
      </c>
      <c r="H194" s="351">
        <f>[34]Rqmnt!AB52</f>
        <v>12.190371890568954</v>
      </c>
      <c r="I194" s="351">
        <f>[34]Rqmnt!AC52</f>
        <v>12.227186531836225</v>
      </c>
      <c r="J194" s="351">
        <f>[34]Rqmnt!AD52</f>
        <v>11.982971076364681</v>
      </c>
      <c r="K194" s="351">
        <f>[34]Rqmnt!AE52</f>
        <v>12.214123034140275</v>
      </c>
      <c r="L194" s="351">
        <f>[34]Rqmnt!AF52</f>
        <v>10.903938622967434</v>
      </c>
      <c r="M194" s="351">
        <f>[34]Rqmnt!AG52</f>
        <v>13.362939740238764</v>
      </c>
      <c r="N194" s="351">
        <f>[34]Rqmnt!AH52</f>
        <v>14.091364001576805</v>
      </c>
      <c r="O194" s="351">
        <f>[34]Rqmnt!AI52</f>
        <v>12.532014576171889</v>
      </c>
      <c r="P194" s="351">
        <f>[34]Rqmnt!AJ52</f>
        <v>13.128930403605025</v>
      </c>
      <c r="Q194" s="90">
        <f>SUM(E194:P194)</f>
        <v>150.12817502428419</v>
      </c>
    </row>
    <row r="195" spans="2:17" ht="27.6" hidden="1" x14ac:dyDescent="0.25">
      <c r="B195" s="430">
        <f t="shared" si="341"/>
        <v>4</v>
      </c>
      <c r="C195" s="345" t="s">
        <v>309</v>
      </c>
      <c r="D195" s="63" t="s">
        <v>306</v>
      </c>
      <c r="E195" s="351">
        <f t="shared" ref="E195" si="342">E192-E194</f>
        <v>341.56822274233883</v>
      </c>
      <c r="F195" s="351">
        <f t="shared" ref="F195" si="343">F192-F194</f>
        <v>348.76277358133484</v>
      </c>
      <c r="G195" s="351">
        <f t="shared" ref="G195" si="344">G192-G194</f>
        <v>310.77369172380219</v>
      </c>
      <c r="H195" s="351">
        <f t="shared" ref="H195" si="345">H192-H194</f>
        <v>335.11367057578303</v>
      </c>
      <c r="I195" s="351">
        <f t="shared" ref="I195" si="346">I192-I194</f>
        <v>350.59733963541078</v>
      </c>
      <c r="J195" s="351">
        <f t="shared" ref="J195" si="347">J192-J194</f>
        <v>330.38763110548331</v>
      </c>
      <c r="K195" s="351">
        <f t="shared" ref="K195" si="348">K192-K194</f>
        <v>355.68114907851862</v>
      </c>
      <c r="L195" s="351">
        <f t="shared" ref="L195" si="349">L192-L194</f>
        <v>321.78678976658057</v>
      </c>
      <c r="M195" s="351">
        <f t="shared" ref="M195" si="350">M192-M194</f>
        <v>325.79796737242026</v>
      </c>
      <c r="N195" s="351">
        <f t="shared" ref="N195" si="351">N192-N194</f>
        <v>348.62070811108225</v>
      </c>
      <c r="O195" s="351">
        <f t="shared" ref="O195" si="352">O192-O194</f>
        <v>321.21005136715405</v>
      </c>
      <c r="P195" s="351">
        <f t="shared" ref="P195" si="353">P192-P194</f>
        <v>356.17994170905394</v>
      </c>
      <c r="Q195" s="90">
        <f>SUM(E195:P195)</f>
        <v>4046.4799367689625</v>
      </c>
    </row>
    <row r="196" spans="2:17" ht="27.6" hidden="1" x14ac:dyDescent="0.25">
      <c r="B196" s="63">
        <f t="shared" si="341"/>
        <v>5</v>
      </c>
      <c r="C196" s="345" t="s">
        <v>310</v>
      </c>
      <c r="D196" s="63" t="s">
        <v>306</v>
      </c>
      <c r="E196" s="354">
        <f>[34]Rqmnt!Y46-E195</f>
        <v>2195.5527783929037</v>
      </c>
      <c r="F196" s="354">
        <f>[34]Rqmnt!Z46-F195</f>
        <v>1214.9491117110001</v>
      </c>
      <c r="G196" s="354">
        <f>[34]Rqmnt!AA46-G195</f>
        <v>1282.506447927198</v>
      </c>
      <c r="H196" s="354">
        <f>[34]Rqmnt!AB46-H195</f>
        <v>1577.7453212066741</v>
      </c>
      <c r="I196" s="354">
        <f>[34]Rqmnt!AC46-I195</f>
        <v>1785.3188123222726</v>
      </c>
      <c r="J196" s="354">
        <f>[34]Rqmnt!AD46-J195</f>
        <v>1761.5839147994748</v>
      </c>
      <c r="K196" s="354">
        <f>[34]Rqmnt!AE46-K195</f>
        <v>1551.0763395711451</v>
      </c>
      <c r="L196" s="354">
        <f>[34]Rqmnt!AF46-L195</f>
        <v>1461.2614748311059</v>
      </c>
      <c r="M196" s="354">
        <f>[34]Rqmnt!AG46-M195</f>
        <v>1903.0537274459448</v>
      </c>
      <c r="N196" s="354">
        <f>[34]Rqmnt!AH46-N195</f>
        <v>2170.1697403347675</v>
      </c>
      <c r="O196" s="354">
        <f>[34]Rqmnt!AI46-O195</f>
        <v>2475.0935070726218</v>
      </c>
      <c r="P196" s="354">
        <f>[34]Rqmnt!AJ46-P195</f>
        <v>2751.9948707636204</v>
      </c>
      <c r="Q196" s="353">
        <f>SUM(E196:P196)</f>
        <v>22130.30604637873</v>
      </c>
    </row>
    <row r="197" spans="2:17" hidden="1" x14ac:dyDescent="0.25">
      <c r="B197" s="63">
        <f t="shared" si="341"/>
        <v>6</v>
      </c>
      <c r="C197" s="344" t="s">
        <v>311</v>
      </c>
      <c r="D197" s="63" t="s">
        <v>306</v>
      </c>
      <c r="E197" s="351">
        <f>[34]Rqmnt!Y37</f>
        <v>405.45238066283213</v>
      </c>
      <c r="F197" s="351">
        <f>[34]Rqmnt!Z37</f>
        <v>205.02654296554218</v>
      </c>
      <c r="G197" s="351">
        <f>[34]Rqmnt!AA37</f>
        <v>160.12681865429843</v>
      </c>
      <c r="H197" s="351">
        <f>[34]Rqmnt!AB37</f>
        <v>428.47649438451549</v>
      </c>
      <c r="I197" s="351">
        <f>[34]Rqmnt!AC37</f>
        <v>159.31876919353272</v>
      </c>
      <c r="J197" s="351">
        <f>[34]Rqmnt!AD37</f>
        <v>210.040829349245</v>
      </c>
      <c r="K197" s="351">
        <f>[34]Rqmnt!AE37</f>
        <v>228.28179709093274</v>
      </c>
      <c r="L197" s="351">
        <f>[34]Rqmnt!AF37</f>
        <v>298.26325926365325</v>
      </c>
      <c r="M197" s="351">
        <f>[34]Rqmnt!AG37</f>
        <v>166.6731113153449</v>
      </c>
      <c r="N197" s="351">
        <f>[34]Rqmnt!AH37</f>
        <v>270.79248280146237</v>
      </c>
      <c r="O197" s="351">
        <f>[34]Rqmnt!AI37</f>
        <v>284.4837075802522</v>
      </c>
      <c r="P197" s="351">
        <f>[34]Rqmnt!AJ37</f>
        <v>303.62049896215757</v>
      </c>
      <c r="Q197" s="90">
        <f>SUM(E197:P197)</f>
        <v>3120.556692223769</v>
      </c>
    </row>
    <row r="198" spans="2:17" hidden="1" x14ac:dyDescent="0.25">
      <c r="B198" s="430">
        <f t="shared" si="341"/>
        <v>7</v>
      </c>
      <c r="C198" s="344" t="s">
        <v>312</v>
      </c>
      <c r="D198" s="63" t="s">
        <v>308</v>
      </c>
      <c r="E198" s="155">
        <f t="shared" ref="E198" si="354">E199/(E196+E192)</f>
        <v>2.4067452614745841E-2</v>
      </c>
      <c r="F198" s="155">
        <f t="shared" ref="F198" si="355">F199/(F196+F192)</f>
        <v>2.4001242733940414E-2</v>
      </c>
      <c r="G198" s="155">
        <f t="shared" ref="G198" si="356">G199/(G196+G192)</f>
        <v>2.4040478316921084E-2</v>
      </c>
      <c r="H198" s="155">
        <f t="shared" ref="H198" si="357">H199/(H196+H192)</f>
        <v>2.4046753540289019E-2</v>
      </c>
      <c r="I198" s="155">
        <f t="shared" ref="I198" si="358">I199/(I196+I192)</f>
        <v>2.4062254110901883E-2</v>
      </c>
      <c r="J198" s="155">
        <f t="shared" ref="J198" si="359">J199/(J196+J192)</f>
        <v>2.4062170071782685E-2</v>
      </c>
      <c r="K198" s="155">
        <f t="shared" ref="K198" si="360">K199/(K196+K192)</f>
        <v>2.4045968655488949E-2</v>
      </c>
      <c r="L198" s="155">
        <f t="shared" ref="L198" si="361">L199/(L196+L192)</f>
        <v>2.4052908391760896E-2</v>
      </c>
      <c r="M198" s="155">
        <f t="shared" ref="M198" si="362">M199/(M196+M192)</f>
        <v>2.4055775117720859E-2</v>
      </c>
      <c r="N198" s="155">
        <f t="shared" ref="N198" si="363">N199/(N196+N192)</f>
        <v>2.406536639524106E-2</v>
      </c>
      <c r="O198" s="155">
        <f t="shared" ref="O198" si="364">O199/(O196+O192)</f>
        <v>2.409202829967803E-2</v>
      </c>
      <c r="P198" s="155">
        <f t="shared" ref="P198" si="365">P199/(P196+P192)</f>
        <v>2.4098209164522238E-2</v>
      </c>
      <c r="Q198" s="155">
        <f>Q199/(Q196+Q195)</f>
        <v>2.4199999999999996E-2</v>
      </c>
    </row>
    <row r="199" spans="2:17" hidden="1" x14ac:dyDescent="0.25">
      <c r="B199" s="63">
        <f t="shared" si="341"/>
        <v>8</v>
      </c>
      <c r="C199" s="344" t="s">
        <v>312</v>
      </c>
      <c r="D199" s="63" t="s">
        <v>306</v>
      </c>
      <c r="E199" s="351">
        <f>[34]Rqmnt!Y47</f>
        <v>61.398328227472874</v>
      </c>
      <c r="F199" s="351">
        <f>[34]Rqmnt!Z47</f>
        <v>37.841827624074504</v>
      </c>
      <c r="G199" s="351">
        <f>[34]Rqmnt!AA47</f>
        <v>38.557379379554199</v>
      </c>
      <c r="H199" s="351">
        <f>[34]Rqmnt!AB47</f>
        <v>46.291187601135462</v>
      </c>
      <c r="I199" s="351">
        <f>[34]Rqmnt!AC47</f>
        <v>51.689170877375936</v>
      </c>
      <c r="J199" s="351">
        <f>[34]Rqmnt!AD47</f>
        <v>50.625711410899982</v>
      </c>
      <c r="K199" s="351">
        <f>[34]Rqmnt!AE47</f>
        <v>46.143531225321858</v>
      </c>
      <c r="L199" s="351">
        <f>[34]Rqmnt!AF47</f>
        <v>43.149768003264015</v>
      </c>
      <c r="M199" s="351">
        <f>[34]Rqmnt!AG47</f>
        <v>53.938211014604434</v>
      </c>
      <c r="N199" s="351">
        <f>[34]Rqmnt!AH47</f>
        <v>60.954728852389565</v>
      </c>
      <c r="O199" s="351">
        <f>[34]Rqmnt!AI47</f>
        <v>67.670546114242569</v>
      </c>
      <c r="P199" s="351">
        <f>[34]Rqmnt!AJ47</f>
        <v>75.217830461838716</v>
      </c>
      <c r="Q199" s="352">
        <f>SUM(E199:P199)</f>
        <v>633.47822079217406</v>
      </c>
    </row>
    <row r="200" spans="2:17" ht="27.6" hidden="1" x14ac:dyDescent="0.25">
      <c r="B200" s="430">
        <f t="shared" si="341"/>
        <v>9</v>
      </c>
      <c r="C200" s="345" t="s">
        <v>313</v>
      </c>
      <c r="D200" s="63" t="s">
        <v>306</v>
      </c>
      <c r="E200" s="351">
        <f t="shared" ref="E200" si="366">E195+E196-E197-E199</f>
        <v>2070.2702922449375</v>
      </c>
      <c r="F200" s="351">
        <f t="shared" ref="F200" si="367">F195+F196-F197-F199</f>
        <v>1320.8435147027183</v>
      </c>
      <c r="G200" s="351">
        <f t="shared" ref="G200" si="368">G195+G196-G197-G199</f>
        <v>1394.5959416171474</v>
      </c>
      <c r="H200" s="351">
        <f t="shared" ref="H200" si="369">H195+H196-H197-H199</f>
        <v>1438.0913097968062</v>
      </c>
      <c r="I200" s="351">
        <f t="shared" ref="I200" si="370">I195+I196-I197-I199</f>
        <v>1924.9082118867746</v>
      </c>
      <c r="J200" s="351">
        <f t="shared" ref="J200" si="371">J195+J196-J197-J199</f>
        <v>1831.3050051448129</v>
      </c>
      <c r="K200" s="351">
        <f t="shared" ref="K200" si="372">K195+K196-K197-K199</f>
        <v>1632.3321603334091</v>
      </c>
      <c r="L200" s="351">
        <f t="shared" ref="L200" si="373">L195+L196-L197-L199</f>
        <v>1441.6352373307693</v>
      </c>
      <c r="M200" s="351">
        <f t="shared" ref="M200" si="374">M195+M196-M197-M199</f>
        <v>2008.2403724884157</v>
      </c>
      <c r="N200" s="351">
        <f t="shared" ref="N200" si="375">N195+N196-N197-N199</f>
        <v>2187.043236791998</v>
      </c>
      <c r="O200" s="351">
        <f t="shared" ref="O200" si="376">O195+O196-O197-O199</f>
        <v>2444.1493047452814</v>
      </c>
      <c r="P200" s="351">
        <f t="shared" ref="P200" si="377">P195+P196-P197-P199</f>
        <v>2729.336483048678</v>
      </c>
      <c r="Q200" s="90">
        <f>SUM(E200:P200)</f>
        <v>22422.751070131748</v>
      </c>
    </row>
    <row r="201" spans="2:17" hidden="1" x14ac:dyDescent="0.25">
      <c r="B201" s="63"/>
      <c r="C201" s="343" t="s">
        <v>314</v>
      </c>
      <c r="D201" s="63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342"/>
    </row>
    <row r="202" spans="2:17" ht="27.6" hidden="1" x14ac:dyDescent="0.25">
      <c r="B202" s="63">
        <f>B200+1</f>
        <v>10</v>
      </c>
      <c r="C202" s="345" t="s">
        <v>315</v>
      </c>
      <c r="D202" s="63" t="s">
        <v>306</v>
      </c>
      <c r="E202" s="351">
        <f>[34]Rqmnt!Y7</f>
        <v>2070.2702922449375</v>
      </c>
      <c r="F202" s="351">
        <f>[34]Rqmnt!Z7</f>
        <v>1320.8435147027183</v>
      </c>
      <c r="G202" s="351">
        <f>[34]Rqmnt!AA7</f>
        <v>1394.5959416171474</v>
      </c>
      <c r="H202" s="351">
        <f>[34]Rqmnt!AB7</f>
        <v>1438.0913097968062</v>
      </c>
      <c r="I202" s="351">
        <f>[34]Rqmnt!AC7</f>
        <v>1924.9082118867743</v>
      </c>
      <c r="J202" s="351">
        <f>[34]Rqmnt!AD7</f>
        <v>1831.3050051448129</v>
      </c>
      <c r="K202" s="351">
        <f>[34]Rqmnt!AE7</f>
        <v>1632.3321603334091</v>
      </c>
      <c r="L202" s="351">
        <f>[34]Rqmnt!AF7</f>
        <v>1441.6352373307693</v>
      </c>
      <c r="M202" s="351">
        <f>[34]Rqmnt!AG7</f>
        <v>2008.2403724884157</v>
      </c>
      <c r="N202" s="351">
        <f>[34]Rqmnt!AH7</f>
        <v>2187.043236791998</v>
      </c>
      <c r="O202" s="351">
        <f>[34]Rqmnt!AI7</f>
        <v>2444.1493047452814</v>
      </c>
      <c r="P202" s="351">
        <f>[34]Rqmnt!AJ7</f>
        <v>2729.336483048678</v>
      </c>
      <c r="Q202" s="352">
        <f>SUM(E202:P202)</f>
        <v>22422.751070131748</v>
      </c>
    </row>
    <row r="203" spans="2:17" hidden="1" x14ac:dyDescent="0.25">
      <c r="B203" s="63">
        <f t="shared" ref="B203:B206" si="378">B202+1</f>
        <v>11</v>
      </c>
      <c r="C203" s="344" t="s">
        <v>316</v>
      </c>
      <c r="D203" s="63" t="s">
        <v>306</v>
      </c>
      <c r="E203" s="351">
        <f>[34]Rqmnt!Y9</f>
        <v>72.332095322053817</v>
      </c>
      <c r="F203" s="351">
        <f>[34]Rqmnt!Z9</f>
        <v>73.541754059891474</v>
      </c>
      <c r="G203" s="351">
        <f>[34]Rqmnt!AA9</f>
        <v>67.78416854061129</v>
      </c>
      <c r="H203" s="351">
        <f>[34]Rqmnt!AB9</f>
        <v>66.609666169737238</v>
      </c>
      <c r="I203" s="351">
        <f>[34]Rqmnt!AC9</f>
        <v>68.048468279255175</v>
      </c>
      <c r="J203" s="351">
        <f>[34]Rqmnt!AD9</f>
        <v>68.344280140077984</v>
      </c>
      <c r="K203" s="351">
        <f>[34]Rqmnt!AE9</f>
        <v>67.796406807045727</v>
      </c>
      <c r="L203" s="351">
        <f>[34]Rqmnt!AF9</f>
        <v>67.565139265576448</v>
      </c>
      <c r="M203" s="351">
        <f>[34]Rqmnt!AG9</f>
        <v>66.09507549582068</v>
      </c>
      <c r="N203" s="351">
        <f>[34]Rqmnt!AH9</f>
        <v>77.75362017200564</v>
      </c>
      <c r="O203" s="351">
        <f>[34]Rqmnt!AI9</f>
        <v>72.519916757554938</v>
      </c>
      <c r="P203" s="351">
        <f>[34]Rqmnt!AJ9</f>
        <v>84.918506034437542</v>
      </c>
      <c r="Q203" s="352">
        <f>SUM(E203:P203)</f>
        <v>853.30909704406804</v>
      </c>
    </row>
    <row r="204" spans="2:17" hidden="1" x14ac:dyDescent="0.25">
      <c r="B204" s="430">
        <f t="shared" si="378"/>
        <v>12</v>
      </c>
      <c r="C204" s="344" t="s">
        <v>317</v>
      </c>
      <c r="D204" s="63" t="s">
        <v>308</v>
      </c>
      <c r="E204" s="155">
        <f t="shared" ref="E204" si="379">E205/E202</f>
        <v>2.9300000000000097E-2</v>
      </c>
      <c r="F204" s="155">
        <f t="shared" ref="F204" si="380">F205/F202</f>
        <v>2.9299999999999965E-2</v>
      </c>
      <c r="G204" s="155">
        <f t="shared" ref="G204" si="381">G205/G202</f>
        <v>2.929999999999993E-2</v>
      </c>
      <c r="H204" s="155">
        <f t="shared" ref="H204" si="382">H205/H202</f>
        <v>2.9299999999999972E-2</v>
      </c>
      <c r="I204" s="155">
        <f t="shared" ref="I204" si="383">I205/I202</f>
        <v>2.9299999999999982E-2</v>
      </c>
      <c r="J204" s="155">
        <f t="shared" ref="J204" si="384">J205/J202</f>
        <v>2.93E-2</v>
      </c>
      <c r="K204" s="155">
        <f t="shared" ref="K204" si="385">K205/K202</f>
        <v>2.9299999999999986E-2</v>
      </c>
      <c r="L204" s="155">
        <f t="shared" ref="L204" si="386">L205/L202</f>
        <v>2.9299999999999955E-2</v>
      </c>
      <c r="M204" s="155">
        <f t="shared" ref="M204" si="387">M205/M202</f>
        <v>2.9300000000000045E-2</v>
      </c>
      <c r="N204" s="155">
        <f t="shared" ref="N204" si="388">N205/N202</f>
        <v>2.9299999999999923E-2</v>
      </c>
      <c r="O204" s="155">
        <f t="shared" ref="O204" si="389">O205/O202</f>
        <v>2.9299999999999909E-2</v>
      </c>
      <c r="P204" s="155">
        <f t="shared" ref="P204" si="390">P205/P202</f>
        <v>2.9299999999999982E-2</v>
      </c>
      <c r="Q204" s="155">
        <f t="shared" ref="Q204" si="391">Q205/Q202</f>
        <v>2.9299999999999979E-2</v>
      </c>
    </row>
    <row r="205" spans="2:17" hidden="1" x14ac:dyDescent="0.25">
      <c r="B205" s="63">
        <f t="shared" si="378"/>
        <v>13</v>
      </c>
      <c r="C205" s="344" t="s">
        <v>317</v>
      </c>
      <c r="D205" s="63" t="s">
        <v>306</v>
      </c>
      <c r="E205" s="351">
        <f>[34]Rqmnt!Y11</f>
        <v>60.658919562776873</v>
      </c>
      <c r="F205" s="351">
        <f>[34]Rqmnt!Z11</f>
        <v>38.700714980789598</v>
      </c>
      <c r="G205" s="351">
        <f>[34]Rqmnt!AA11</f>
        <v>40.861661089382324</v>
      </c>
      <c r="H205" s="351">
        <f>[34]Rqmnt!AB11</f>
        <v>42.136075377046382</v>
      </c>
      <c r="I205" s="351">
        <f>[34]Rqmnt!AC11</f>
        <v>56.399810608282451</v>
      </c>
      <c r="J205" s="351">
        <f>[34]Rqmnt!AD11</f>
        <v>53.657236650743016</v>
      </c>
      <c r="K205" s="351">
        <f>[34]Rqmnt!AE11</f>
        <v>47.827332297768862</v>
      </c>
      <c r="L205" s="351">
        <f>[34]Rqmnt!AF11</f>
        <v>42.239912453791476</v>
      </c>
      <c r="M205" s="351">
        <f>[34]Rqmnt!AG11</f>
        <v>58.841442913910669</v>
      </c>
      <c r="N205" s="351">
        <f>[34]Rqmnt!AH11</f>
        <v>64.080366838005375</v>
      </c>
      <c r="O205" s="351">
        <f>[34]Rqmnt!AI11</f>
        <v>71.61357462903652</v>
      </c>
      <c r="P205" s="351">
        <f>[34]Rqmnt!AJ11</f>
        <v>79.969558953326214</v>
      </c>
      <c r="Q205" s="351">
        <f>SUM(E205:P205)</f>
        <v>656.98660635485976</v>
      </c>
    </row>
    <row r="206" spans="2:17" ht="27.6" hidden="1" x14ac:dyDescent="0.25">
      <c r="B206" s="430">
        <f t="shared" si="378"/>
        <v>14</v>
      </c>
      <c r="C206" s="345" t="s">
        <v>339</v>
      </c>
      <c r="D206" s="63" t="s">
        <v>306</v>
      </c>
      <c r="E206" s="351">
        <f t="shared" ref="E206" si="392">E202-E203-E205</f>
        <v>1937.2792773601068</v>
      </c>
      <c r="F206" s="351">
        <f t="shared" ref="F206" si="393">F202-F203-F205</f>
        <v>1208.6010456620372</v>
      </c>
      <c r="G206" s="351">
        <f t="shared" ref="G206" si="394">G202-G203-G205</f>
        <v>1285.9501119871538</v>
      </c>
      <c r="H206" s="351">
        <f t="shared" ref="H206" si="395">H202-H203-H205</f>
        <v>1329.3455682500226</v>
      </c>
      <c r="I206" s="351">
        <f t="shared" ref="I206" si="396">I202-I203-I205</f>
        <v>1800.4599329992368</v>
      </c>
      <c r="J206" s="351">
        <f t="shared" ref="J206" si="397">J202-J203-J205</f>
        <v>1709.303488353992</v>
      </c>
      <c r="K206" s="351">
        <f t="shared" ref="K206" si="398">K202-K203-K205</f>
        <v>1516.7084212285945</v>
      </c>
      <c r="L206" s="351">
        <f t="shared" ref="L206" si="399">L202-L203-L205</f>
        <v>1331.8301856114015</v>
      </c>
      <c r="M206" s="351">
        <f t="shared" ref="M206" si="400">M202-M203-M205</f>
        <v>1883.3038540786843</v>
      </c>
      <c r="N206" s="351">
        <f t="shared" ref="N206" si="401">N202-N203-N205</f>
        <v>2045.2092497819872</v>
      </c>
      <c r="O206" s="351">
        <f t="shared" ref="O206" si="402">O202-O203-O205</f>
        <v>2300.0158133586901</v>
      </c>
      <c r="P206" s="351">
        <f t="shared" ref="P206" si="403">P202-P203-P205</f>
        <v>2564.4484180609143</v>
      </c>
      <c r="Q206" s="352">
        <f>SUM(E206:P206)</f>
        <v>20912.455366732822</v>
      </c>
    </row>
    <row r="207" spans="2:17" hidden="1" x14ac:dyDescent="0.25">
      <c r="B207" s="63"/>
      <c r="C207" s="343" t="s">
        <v>319</v>
      </c>
      <c r="D207" s="63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342"/>
    </row>
    <row r="208" spans="2:17" ht="27.6" hidden="1" x14ac:dyDescent="0.25">
      <c r="B208" s="63">
        <f>B206+1</f>
        <v>15</v>
      </c>
      <c r="C208" s="345" t="s">
        <v>320</v>
      </c>
      <c r="D208" s="63" t="s">
        <v>306</v>
      </c>
      <c r="E208" s="351">
        <f>[34]Rqmnt!Y19</f>
        <v>1937.2792773601068</v>
      </c>
      <c r="F208" s="351">
        <f>[34]Rqmnt!Z19</f>
        <v>1208.6010456620372</v>
      </c>
      <c r="G208" s="351">
        <f>[34]Rqmnt!AA19</f>
        <v>1285.9501119871538</v>
      </c>
      <c r="H208" s="351">
        <f>[34]Rqmnt!AB19</f>
        <v>1329.3455682500226</v>
      </c>
      <c r="I208" s="351">
        <f>[34]Rqmnt!AC19</f>
        <v>1800.4599329992368</v>
      </c>
      <c r="J208" s="351">
        <f>[34]Rqmnt!AD19</f>
        <v>1709.303488353992</v>
      </c>
      <c r="K208" s="351">
        <f>[34]Rqmnt!AE19</f>
        <v>1516.7084212285945</v>
      </c>
      <c r="L208" s="351">
        <f>[34]Rqmnt!AF19</f>
        <v>1331.8301856114015</v>
      </c>
      <c r="M208" s="351">
        <f>[34]Rqmnt!AG19</f>
        <v>1883.3038540786843</v>
      </c>
      <c r="N208" s="351">
        <f>[34]Rqmnt!AH19</f>
        <v>2045.2092497819872</v>
      </c>
      <c r="O208" s="351">
        <f>[34]Rqmnt!AI19</f>
        <v>2300.0158133586897</v>
      </c>
      <c r="P208" s="351">
        <f>[34]Rqmnt!AJ19</f>
        <v>2564.4484180609143</v>
      </c>
      <c r="Q208" s="352">
        <f>SUM(E208:P208)</f>
        <v>20912.455366732818</v>
      </c>
    </row>
    <row r="209" spans="2:18" hidden="1" x14ac:dyDescent="0.25">
      <c r="B209" s="63">
        <f t="shared" ref="B209:B213" si="404">B208+1</f>
        <v>16</v>
      </c>
      <c r="C209" s="345" t="s">
        <v>321</v>
      </c>
      <c r="D209" s="63" t="s">
        <v>306</v>
      </c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2">
        <f>SUM(E209:P209)</f>
        <v>0</v>
      </c>
    </row>
    <row r="210" spans="2:18" hidden="1" x14ac:dyDescent="0.25">
      <c r="B210" s="63">
        <f t="shared" si="404"/>
        <v>17</v>
      </c>
      <c r="C210" s="344" t="s">
        <v>322</v>
      </c>
      <c r="D210" s="63" t="s">
        <v>306</v>
      </c>
      <c r="E210" s="351">
        <f>[34]Rqmnt!Y20</f>
        <v>277.67388676463571</v>
      </c>
      <c r="F210" s="351">
        <f>[34]Rqmnt!Z20</f>
        <v>213.676119028507</v>
      </c>
      <c r="G210" s="351">
        <f>[34]Rqmnt!AA20</f>
        <v>261.1738618580743</v>
      </c>
      <c r="H210" s="351">
        <f>[34]Rqmnt!AB20</f>
        <v>287.44955929240069</v>
      </c>
      <c r="I210" s="351">
        <f>[34]Rqmnt!AC20</f>
        <v>306.8121910316986</v>
      </c>
      <c r="J210" s="351">
        <f>[34]Rqmnt!AD20</f>
        <v>285.77183509327324</v>
      </c>
      <c r="K210" s="351">
        <f>[34]Rqmnt!AE20</f>
        <v>297.16650332681206</v>
      </c>
      <c r="L210" s="351">
        <f>[34]Rqmnt!AF20</f>
        <v>246.17392345724096</v>
      </c>
      <c r="M210" s="351">
        <f>[34]Rqmnt!AG20</f>
        <v>327.66700119989508</v>
      </c>
      <c r="N210" s="351">
        <f>[34]Rqmnt!AH20</f>
        <v>350.02377239741742</v>
      </c>
      <c r="O210" s="351">
        <f>[34]Rqmnt!AI20</f>
        <v>348.69022870572462</v>
      </c>
      <c r="P210" s="351">
        <f>[34]Rqmnt!AJ20</f>
        <v>350.31180177609457</v>
      </c>
      <c r="Q210" s="352">
        <f>SUM(E210:P210)</f>
        <v>3552.5906839317736</v>
      </c>
    </row>
    <row r="211" spans="2:18" hidden="1" x14ac:dyDescent="0.25">
      <c r="B211" s="430">
        <f t="shared" si="404"/>
        <v>18</v>
      </c>
      <c r="C211" s="344" t="s">
        <v>323</v>
      </c>
      <c r="D211" s="63" t="s">
        <v>308</v>
      </c>
      <c r="E211" s="155">
        <f t="shared" ref="E211" si="405">E212/E208</f>
        <v>3.6500000000000012E-2</v>
      </c>
      <c r="F211" s="155">
        <f t="shared" ref="F211" si="406">F212/F208</f>
        <v>3.6500000000000046E-2</v>
      </c>
      <c r="G211" s="155">
        <f t="shared" ref="G211" si="407">G212/G208</f>
        <v>3.6500000000000025E-2</v>
      </c>
      <c r="H211" s="155">
        <f t="shared" ref="H211" si="408">H212/H208</f>
        <v>3.6499999999999908E-2</v>
      </c>
      <c r="I211" s="155">
        <f t="shared" ref="I211" si="409">I212/I208</f>
        <v>3.6500000000000005E-2</v>
      </c>
      <c r="J211" s="155">
        <f t="shared" ref="J211" si="410">J212/J208</f>
        <v>3.6500000000000032E-2</v>
      </c>
      <c r="K211" s="155">
        <f t="shared" ref="K211" si="411">K212/K208</f>
        <v>3.6499999999999942E-2</v>
      </c>
      <c r="L211" s="155">
        <f t="shared" ref="L211" si="412">L212/L208</f>
        <v>3.6499999999999928E-2</v>
      </c>
      <c r="M211" s="155">
        <f t="shared" ref="M211" si="413">M212/M208</f>
        <v>3.6500000000000025E-2</v>
      </c>
      <c r="N211" s="155">
        <f t="shared" ref="N211" si="414">N212/N208</f>
        <v>3.6499999999999956E-2</v>
      </c>
      <c r="O211" s="155">
        <f t="shared" ref="O211" si="415">O212/O208</f>
        <v>3.6499999999999921E-2</v>
      </c>
      <c r="P211" s="155">
        <f t="shared" ref="P211" si="416">P212/P208</f>
        <v>3.6499999999999942E-2</v>
      </c>
      <c r="Q211" s="155">
        <f t="shared" ref="Q211" si="417">Q212/Q208</f>
        <v>3.6499999999999977E-2</v>
      </c>
    </row>
    <row r="212" spans="2:18" hidden="1" x14ac:dyDescent="0.25">
      <c r="B212" s="63">
        <f t="shared" si="404"/>
        <v>19</v>
      </c>
      <c r="C212" s="344" t="s">
        <v>323</v>
      </c>
      <c r="D212" s="63" t="s">
        <v>306</v>
      </c>
      <c r="E212" s="351">
        <f>[34]Rqmnt!Y22</f>
        <v>70.71069362364392</v>
      </c>
      <c r="F212" s="351">
        <f>[34]Rqmnt!Z22</f>
        <v>44.113938166664411</v>
      </c>
      <c r="G212" s="351">
        <f>[34]Rqmnt!AA22</f>
        <v>46.937179087531149</v>
      </c>
      <c r="H212" s="351">
        <f>[34]Rqmnt!AB22</f>
        <v>48.521113241125704</v>
      </c>
      <c r="I212" s="351">
        <f>[34]Rqmnt!AC22</f>
        <v>65.716787554472148</v>
      </c>
      <c r="J212" s="351">
        <f>[34]Rqmnt!AD22</f>
        <v>62.389577324920765</v>
      </c>
      <c r="K212" s="351">
        <f>[34]Rqmnt!AE22</f>
        <v>55.359857374843614</v>
      </c>
      <c r="L212" s="351">
        <f>[34]Rqmnt!AF22</f>
        <v>48.611801774816058</v>
      </c>
      <c r="M212" s="351">
        <f>[34]Rqmnt!AG22</f>
        <v>68.74059067387202</v>
      </c>
      <c r="N212" s="351">
        <f>[34]Rqmnt!AH22</f>
        <v>74.650137617042446</v>
      </c>
      <c r="O212" s="351">
        <f>[34]Rqmnt!AI22</f>
        <v>83.950577187591989</v>
      </c>
      <c r="P212" s="351">
        <f>[34]Rqmnt!AJ22</f>
        <v>93.602367259223229</v>
      </c>
      <c r="Q212" s="352">
        <f>SUM(E212:P212)</f>
        <v>763.30462088574745</v>
      </c>
    </row>
    <row r="213" spans="2:18" ht="27.6" hidden="1" x14ac:dyDescent="0.25">
      <c r="B213" s="430">
        <f t="shared" si="404"/>
        <v>20</v>
      </c>
      <c r="C213" s="345" t="s">
        <v>340</v>
      </c>
      <c r="D213" s="63" t="s">
        <v>306</v>
      </c>
      <c r="E213" s="351">
        <f t="shared" ref="E213" si="418">E208+E209-E210-E212</f>
        <v>1588.8946969718272</v>
      </c>
      <c r="F213" s="351">
        <f t="shared" ref="F213" si="419">F208+F209-F210-F212</f>
        <v>950.81098846686587</v>
      </c>
      <c r="G213" s="351">
        <f t="shared" ref="G213" si="420">G208+G209-G210-G212</f>
        <v>977.83907104154832</v>
      </c>
      <c r="H213" s="351">
        <f t="shared" ref="H213" si="421">H208+H209-H210-H212</f>
        <v>993.37489571649621</v>
      </c>
      <c r="I213" s="351">
        <f t="shared" ref="I213" si="422">I208+I209-I210-I212</f>
        <v>1427.930954413066</v>
      </c>
      <c r="J213" s="351">
        <f t="shared" ref="J213" si="423">J208+J209-J210-J212</f>
        <v>1361.1420759357979</v>
      </c>
      <c r="K213" s="351">
        <f t="shared" ref="K213" si="424">K208+K209-K210-K212</f>
        <v>1164.1820605269388</v>
      </c>
      <c r="L213" s="351">
        <f t="shared" ref="L213" si="425">L208+L209-L210-L212</f>
        <v>1037.0444603793444</v>
      </c>
      <c r="M213" s="351">
        <f t="shared" ref="M213" si="426">M208+M209-M210-M212</f>
        <v>1486.8962622049171</v>
      </c>
      <c r="N213" s="351">
        <f t="shared" ref="N213" si="427">N208+N209-N210-N212</f>
        <v>1620.5353397675274</v>
      </c>
      <c r="O213" s="351">
        <f t="shared" ref="O213" si="428">O208+O209-O210-O212</f>
        <v>1867.3750074653731</v>
      </c>
      <c r="P213" s="351">
        <f t="shared" ref="P213" si="429">P208+P209-P210-P212</f>
        <v>2120.5342490255966</v>
      </c>
      <c r="Q213" s="352">
        <f>SUM(E213:P213)</f>
        <v>16596.560061915297</v>
      </c>
    </row>
    <row r="214" spans="2:18" hidden="1" x14ac:dyDescent="0.25">
      <c r="B214" s="63"/>
      <c r="C214" s="343" t="s">
        <v>325</v>
      </c>
      <c r="D214" s="63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342"/>
    </row>
    <row r="215" spans="2:18" ht="27.6" hidden="1" x14ac:dyDescent="0.25">
      <c r="B215" s="63"/>
      <c r="C215" s="345" t="s">
        <v>326</v>
      </c>
      <c r="D215" s="63" t="s">
        <v>306</v>
      </c>
      <c r="E215" s="351">
        <f>[34]Rqmnt!Y27</f>
        <v>1588.8946969718272</v>
      </c>
      <c r="F215" s="351">
        <f>[34]Rqmnt!Z27</f>
        <v>950.81098846686575</v>
      </c>
      <c r="G215" s="351">
        <f>[34]Rqmnt!AA27</f>
        <v>977.83907104154832</v>
      </c>
      <c r="H215" s="351">
        <f>[34]Rqmnt!AB27</f>
        <v>993.37489571649621</v>
      </c>
      <c r="I215" s="351">
        <f>[34]Rqmnt!AC27</f>
        <v>1427.930954413066</v>
      </c>
      <c r="J215" s="351">
        <f>[34]Rqmnt!AD27</f>
        <v>1361.1420759357979</v>
      </c>
      <c r="K215" s="351">
        <f>[34]Rqmnt!AE27</f>
        <v>1164.1820605269388</v>
      </c>
      <c r="L215" s="351">
        <f>[34]Rqmnt!AF27</f>
        <v>1037.0444603793444</v>
      </c>
      <c r="M215" s="351">
        <f>[34]Rqmnt!AG27</f>
        <v>1486.8962622049171</v>
      </c>
      <c r="N215" s="351">
        <f>[34]Rqmnt!AH27</f>
        <v>1620.5353397675274</v>
      </c>
      <c r="O215" s="351">
        <f>[34]Rqmnt!AI27</f>
        <v>1867.3750074653731</v>
      </c>
      <c r="P215" s="351">
        <f>[34]Rqmnt!AJ27</f>
        <v>2120.5342490255966</v>
      </c>
      <c r="Q215" s="342">
        <f>SUM(E215:P215)</f>
        <v>16596.560061915297</v>
      </c>
    </row>
    <row r="216" spans="2:18" hidden="1" x14ac:dyDescent="0.25">
      <c r="B216" s="63">
        <f>B213+1</f>
        <v>21</v>
      </c>
      <c r="C216" s="345" t="s">
        <v>321</v>
      </c>
      <c r="D216" s="63" t="s">
        <v>306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90">
        <f>SUM(E216:P216)</f>
        <v>0</v>
      </c>
    </row>
    <row r="217" spans="2:18" hidden="1" x14ac:dyDescent="0.25">
      <c r="B217" s="63">
        <f t="shared" ref="B217:B219" si="430">B216+1</f>
        <v>22</v>
      </c>
      <c r="C217" s="344" t="s">
        <v>327</v>
      </c>
      <c r="D217" s="63" t="s">
        <v>306</v>
      </c>
      <c r="E217" s="351">
        <f>[34]Rqmnt!Y28+[34]Rqmnt!Y29</f>
        <v>1516.5999882596091</v>
      </c>
      <c r="F217" s="351">
        <f>[34]Rqmnt!Z28+[34]Rqmnt!Z29</f>
        <v>907.54908849162337</v>
      </c>
      <c r="G217" s="351">
        <f>[34]Rqmnt!AA28+[34]Rqmnt!AA29</f>
        <v>933.34739330915784</v>
      </c>
      <c r="H217" s="351">
        <f>[34]Rqmnt!AB28+[34]Rqmnt!AB29</f>
        <v>948.17633796139569</v>
      </c>
      <c r="I217" s="351">
        <f>[34]Rqmnt!AC28+[34]Rqmnt!AC29</f>
        <v>1362.9600959872716</v>
      </c>
      <c r="J217" s="351">
        <f>[34]Rqmnt!AD28+[34]Rqmnt!AD29</f>
        <v>1299.2101114807192</v>
      </c>
      <c r="K217" s="351">
        <f>[34]Rqmnt!AE28+[34]Rqmnt!AE29</f>
        <v>1111.211776772963</v>
      </c>
      <c r="L217" s="351">
        <f>[34]Rqmnt!AF28+[34]Rqmnt!AF29</f>
        <v>989.8589374320843</v>
      </c>
      <c r="M217" s="351">
        <f>[34]Rqmnt!AG28+[34]Rqmnt!AG29</f>
        <v>1419.2424822745934</v>
      </c>
      <c r="N217" s="351">
        <f>[34]Rqmnt!AH28+[34]Rqmnt!AH29</f>
        <v>1546.800981808105</v>
      </c>
      <c r="O217" s="351">
        <f>[34]Rqmnt!AI28+[34]Rqmnt!AI29</f>
        <v>1782.4094446256986</v>
      </c>
      <c r="P217" s="351">
        <f>[34]Rqmnt!AJ28+[34]Rqmnt!AJ29</f>
        <v>2024.0499406949318</v>
      </c>
      <c r="Q217" s="352">
        <f>SUM(E217:P217)</f>
        <v>15841.416579098151</v>
      </c>
    </row>
    <row r="218" spans="2:18" hidden="1" x14ac:dyDescent="0.25">
      <c r="B218" s="430">
        <f t="shared" si="430"/>
        <v>23</v>
      </c>
      <c r="C218" s="344" t="s">
        <v>328</v>
      </c>
      <c r="D218" s="63" t="s">
        <v>308</v>
      </c>
      <c r="E218" s="155">
        <f t="shared" ref="E218" si="431">E219/E215</f>
        <v>4.5500000000000006E-2</v>
      </c>
      <c r="F218" s="155">
        <f t="shared" ref="F218" si="432">F219/F215</f>
        <v>4.5499999999999992E-2</v>
      </c>
      <c r="G218" s="155">
        <f t="shared" ref="G218" si="433">G219/G215</f>
        <v>4.550000000000004E-2</v>
      </c>
      <c r="H218" s="155">
        <f t="shared" ref="H218" si="434">H219/H215</f>
        <v>4.5499999999999943E-2</v>
      </c>
      <c r="I218" s="155">
        <f t="shared" ref="I218" si="435">I219/I215</f>
        <v>4.5499999999999929E-2</v>
      </c>
      <c r="J218" s="155">
        <f t="shared" ref="J218" si="436">J219/J215</f>
        <v>4.549999999999995E-2</v>
      </c>
      <c r="K218" s="155">
        <f t="shared" ref="K218" si="437">K219/K215</f>
        <v>4.550000000000004E-2</v>
      </c>
      <c r="L218" s="155">
        <f t="shared" ref="L218" si="438">L219/L215</f>
        <v>4.5499999999999985E-2</v>
      </c>
      <c r="M218" s="155">
        <f t="shared" ref="M218" si="439">M219/M215</f>
        <v>4.5499999999999985E-2</v>
      </c>
      <c r="N218" s="155">
        <f t="shared" ref="N218" si="440">N219/N215</f>
        <v>4.5499999999999922E-2</v>
      </c>
      <c r="O218" s="155">
        <f t="shared" ref="O218" si="441">O219/O215</f>
        <v>4.5499999999999999E-2</v>
      </c>
      <c r="P218" s="155">
        <f t="shared" ref="P218" si="442">P219/P215</f>
        <v>4.5500000000000082E-2</v>
      </c>
      <c r="Q218" s="155">
        <f t="shared" ref="Q218" si="443">Q219/Q215</f>
        <v>4.5499999999999992E-2</v>
      </c>
    </row>
    <row r="219" spans="2:18" hidden="1" x14ac:dyDescent="0.25">
      <c r="B219" s="63">
        <f t="shared" si="430"/>
        <v>24</v>
      </c>
      <c r="C219" s="344" t="s">
        <v>328</v>
      </c>
      <c r="D219" s="63" t="s">
        <v>306</v>
      </c>
      <c r="E219" s="351">
        <f>[34]Rqmnt!Y30</f>
        <v>72.294708712218153</v>
      </c>
      <c r="F219" s="351">
        <f>[34]Rqmnt!Z30</f>
        <v>43.261899975242386</v>
      </c>
      <c r="G219" s="351">
        <f>[34]Rqmnt!AA30</f>
        <v>44.491677732390485</v>
      </c>
      <c r="H219" s="351">
        <f>[34]Rqmnt!AB30</f>
        <v>45.198557755100524</v>
      </c>
      <c r="I219" s="351">
        <f>[34]Rqmnt!AC30</f>
        <v>64.970858425794404</v>
      </c>
      <c r="J219" s="351">
        <f>[34]Rqmnt!AD30</f>
        <v>61.931964455078742</v>
      </c>
      <c r="K219" s="351">
        <f>[34]Rqmnt!AE30</f>
        <v>52.970283753975764</v>
      </c>
      <c r="L219" s="351">
        <f>[34]Rqmnt!AF30</f>
        <v>47.185522947260154</v>
      </c>
      <c r="M219" s="351">
        <f>[34]Rqmnt!AG30</f>
        <v>67.653779930323708</v>
      </c>
      <c r="N219" s="351">
        <f>[34]Rqmnt!AH30</f>
        <v>73.734357959422368</v>
      </c>
      <c r="O219" s="351">
        <f>[34]Rqmnt!AI30</f>
        <v>84.965562839674476</v>
      </c>
      <c r="P219" s="351">
        <f>[34]Rqmnt!AJ30</f>
        <v>96.484308330664817</v>
      </c>
      <c r="Q219" s="352">
        <f t="shared" ref="Q219:Q220" si="444">SUM(E219:P219)</f>
        <v>755.14348281714592</v>
      </c>
    </row>
    <row r="220" spans="2:18" hidden="1" x14ac:dyDescent="0.25">
      <c r="B220" s="63"/>
      <c r="C220" s="343" t="s">
        <v>251</v>
      </c>
      <c r="D220" s="63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90">
        <f t="shared" si="444"/>
        <v>0</v>
      </c>
    </row>
    <row r="221" spans="2:18" hidden="1" x14ac:dyDescent="0.25">
      <c r="B221" s="430">
        <f>B219+1</f>
        <v>25</v>
      </c>
      <c r="C221" s="343" t="s">
        <v>329</v>
      </c>
      <c r="D221" s="62" t="s">
        <v>306</v>
      </c>
      <c r="E221" s="351">
        <f t="shared" ref="E221:P221" si="445">E192+E196+E216</f>
        <v>2551.093761782452</v>
      </c>
      <c r="F221" s="351">
        <f t="shared" si="445"/>
        <v>1576.6611772382091</v>
      </c>
      <c r="G221" s="351">
        <f t="shared" si="445"/>
        <v>1603.8524222047311</v>
      </c>
      <c r="H221" s="351">
        <f t="shared" si="445"/>
        <v>1925.0493636730262</v>
      </c>
      <c r="I221" s="351">
        <f t="shared" si="445"/>
        <v>2148.1433384895195</v>
      </c>
      <c r="J221" s="351">
        <f t="shared" si="445"/>
        <v>2103.9545169813227</v>
      </c>
      <c r="K221" s="351">
        <f t="shared" si="445"/>
        <v>1918.971611683804</v>
      </c>
      <c r="L221" s="351">
        <f t="shared" si="445"/>
        <v>1793.9522032206539</v>
      </c>
      <c r="M221" s="351">
        <f t="shared" si="445"/>
        <v>2242.2146345586038</v>
      </c>
      <c r="N221" s="351">
        <f t="shared" si="445"/>
        <v>2532.8818124474265</v>
      </c>
      <c r="O221" s="351">
        <f t="shared" si="445"/>
        <v>2808.8355730159478</v>
      </c>
      <c r="P221" s="351">
        <f t="shared" si="445"/>
        <v>3121.3037428762791</v>
      </c>
      <c r="Q221" s="90">
        <f t="shared" ref="Q221:Q224" si="446">SUM(E221:P221)</f>
        <v>26326.914158171978</v>
      </c>
      <c r="R221" s="431"/>
    </row>
    <row r="222" spans="2:18" hidden="1" x14ac:dyDescent="0.25">
      <c r="B222" s="430">
        <f>B221+1</f>
        <v>26</v>
      </c>
      <c r="C222" s="343" t="s">
        <v>330</v>
      </c>
      <c r="D222" s="62" t="s">
        <v>306</v>
      </c>
      <c r="E222" s="351">
        <f t="shared" ref="E222:P222" si="447">E197+E203+E210+E217</f>
        <v>2272.058351009131</v>
      </c>
      <c r="F222" s="351">
        <f t="shared" si="447"/>
        <v>1399.793504545564</v>
      </c>
      <c r="G222" s="351">
        <f t="shared" si="447"/>
        <v>1422.432242362142</v>
      </c>
      <c r="H222" s="351">
        <f t="shared" si="447"/>
        <v>1730.7120578080489</v>
      </c>
      <c r="I222" s="351">
        <f t="shared" si="447"/>
        <v>1897.139524491758</v>
      </c>
      <c r="J222" s="351">
        <f t="shared" si="447"/>
        <v>1863.3670560633154</v>
      </c>
      <c r="K222" s="351">
        <f t="shared" si="447"/>
        <v>1704.4564839977536</v>
      </c>
      <c r="L222" s="351">
        <f t="shared" si="447"/>
        <v>1601.8612594185549</v>
      </c>
      <c r="M222" s="351">
        <f t="shared" si="447"/>
        <v>1979.6776702856541</v>
      </c>
      <c r="N222" s="351">
        <f t="shared" si="447"/>
        <v>2245.3708571789903</v>
      </c>
      <c r="O222" s="351">
        <f t="shared" si="447"/>
        <v>2488.1032976692304</v>
      </c>
      <c r="P222" s="351">
        <f t="shared" si="447"/>
        <v>2762.9007474676214</v>
      </c>
      <c r="Q222" s="352">
        <f t="shared" si="446"/>
        <v>23367.873052297764</v>
      </c>
    </row>
    <row r="223" spans="2:18" ht="27.6" hidden="1" x14ac:dyDescent="0.25">
      <c r="B223" s="430">
        <f>B222+1</f>
        <v>27</v>
      </c>
      <c r="C223" s="341" t="s">
        <v>331</v>
      </c>
      <c r="D223" s="62"/>
      <c r="E223" s="351">
        <f t="shared" ref="E223:P223" si="448">E200+E197</f>
        <v>2475.7226729077697</v>
      </c>
      <c r="F223" s="351">
        <f t="shared" si="448"/>
        <v>1525.8700576682604</v>
      </c>
      <c r="G223" s="351">
        <f t="shared" si="448"/>
        <v>1554.7227602714458</v>
      </c>
      <c r="H223" s="351">
        <f t="shared" si="448"/>
        <v>1866.5678041813217</v>
      </c>
      <c r="I223" s="351">
        <f t="shared" si="448"/>
        <v>2084.2269810803073</v>
      </c>
      <c r="J223" s="351">
        <f t="shared" si="448"/>
        <v>2041.345834494058</v>
      </c>
      <c r="K223" s="351">
        <f t="shared" si="448"/>
        <v>1860.6139574243418</v>
      </c>
      <c r="L223" s="351">
        <f t="shared" si="448"/>
        <v>1739.8984965944226</v>
      </c>
      <c r="M223" s="351">
        <f t="shared" si="448"/>
        <v>2174.9134838037608</v>
      </c>
      <c r="N223" s="351">
        <f t="shared" si="448"/>
        <v>2457.8357195934605</v>
      </c>
      <c r="O223" s="351">
        <f t="shared" si="448"/>
        <v>2728.6330123255334</v>
      </c>
      <c r="P223" s="351">
        <f t="shared" si="448"/>
        <v>3032.9569820108354</v>
      </c>
      <c r="Q223" s="352">
        <f t="shared" si="446"/>
        <v>25543.307762355515</v>
      </c>
    </row>
    <row r="224" spans="2:18" hidden="1" x14ac:dyDescent="0.25">
      <c r="B224" s="430">
        <f>B223+1</f>
        <v>28</v>
      </c>
      <c r="C224" s="341" t="s">
        <v>332</v>
      </c>
      <c r="D224" s="62" t="s">
        <v>306</v>
      </c>
      <c r="E224" s="351">
        <f t="shared" ref="E224" si="449">E223-E222</f>
        <v>203.66432189863872</v>
      </c>
      <c r="F224" s="351">
        <f t="shared" ref="F224" si="450">F223-F222</f>
        <v>126.0765531226964</v>
      </c>
      <c r="G224" s="351">
        <f t="shared" ref="G224" si="451">G223-G222</f>
        <v>132.29051790930384</v>
      </c>
      <c r="H224" s="351">
        <f t="shared" ref="H224" si="452">H223-H222</f>
        <v>135.85574637327272</v>
      </c>
      <c r="I224" s="351">
        <f t="shared" ref="I224" si="453">I223-I222</f>
        <v>187.08745658854923</v>
      </c>
      <c r="J224" s="351">
        <f t="shared" ref="J224" si="454">J223-J222</f>
        <v>177.97877843074252</v>
      </c>
      <c r="K224" s="351">
        <f t="shared" ref="K224" si="455">K223-K222</f>
        <v>156.15747342658824</v>
      </c>
      <c r="L224" s="351">
        <f t="shared" ref="L224" si="456">L223-L222</f>
        <v>138.03723717586763</v>
      </c>
      <c r="M224" s="351">
        <f t="shared" ref="M224" si="457">M223-M222</f>
        <v>195.23581351810662</v>
      </c>
      <c r="N224" s="351">
        <f t="shared" ref="N224" si="458">N223-N222</f>
        <v>212.46486241447019</v>
      </c>
      <c r="O224" s="351">
        <f t="shared" ref="O224" si="459">O223-O222</f>
        <v>240.52971465630299</v>
      </c>
      <c r="P224" s="351">
        <f t="shared" ref="P224" si="460">P223-P222</f>
        <v>270.05623454321403</v>
      </c>
      <c r="Q224" s="352">
        <f t="shared" si="446"/>
        <v>2175.4347100577534</v>
      </c>
    </row>
    <row r="225" spans="2:17" hidden="1" x14ac:dyDescent="0.25">
      <c r="B225" s="430">
        <f t="shared" ref="B225" si="461">B224+1</f>
        <v>29</v>
      </c>
      <c r="C225" s="341" t="s">
        <v>333</v>
      </c>
      <c r="D225" s="62" t="s">
        <v>308</v>
      </c>
      <c r="E225" s="155">
        <f t="shared" ref="E225" si="462">E224/(E223-E197)</f>
        <v>9.8375715799791236E-2</v>
      </c>
      <c r="F225" s="155">
        <f t="shared" ref="F225" si="463">F224/(F223-F197)</f>
        <v>9.5451544198309063E-2</v>
      </c>
      <c r="G225" s="155">
        <f t="shared" ref="G225" si="464">G224/(G223-G197)</f>
        <v>9.4859388272636319E-2</v>
      </c>
      <c r="H225" s="155">
        <f t="shared" ref="H225" si="465">H224/(H223-H197)</f>
        <v>9.4469485663235347E-2</v>
      </c>
      <c r="I225" s="155">
        <f t="shared" ref="I225" si="466">I224/(I223-I197)</f>
        <v>9.7192923503177375E-2</v>
      </c>
      <c r="J225" s="155">
        <f t="shared" ref="J225" si="467">J224/(J223-J197)</f>
        <v>9.7186857421748055E-2</v>
      </c>
      <c r="K225" s="155">
        <f t="shared" ref="K225" si="468">K224/(K223-K197)</f>
        <v>9.5665255651578032E-2</v>
      </c>
      <c r="L225" s="155">
        <f t="shared" ref="L225" si="469">L224/(L223-L197)</f>
        <v>9.5750460034153786E-2</v>
      </c>
      <c r="M225" s="155">
        <f t="shared" ref="M225" si="470">M224/(M223-M197)</f>
        <v>9.7217353157873929E-2</v>
      </c>
      <c r="N225" s="155">
        <f t="shared" ref="N225" si="471">N224/(N223-N197)</f>
        <v>9.7147079143308668E-2</v>
      </c>
      <c r="O225" s="155">
        <f t="shared" ref="O225" si="472">O224/(O223-O197)</f>
        <v>9.8410401602438094E-2</v>
      </c>
      <c r="P225" s="155">
        <f t="shared" ref="P225" si="473">P224/(P223-P197)</f>
        <v>9.8945746052373981E-2</v>
      </c>
      <c r="Q225" s="155">
        <f t="shared" ref="Q225" si="474">Q224/(Q223-Q197)</f>
        <v>9.7019081345265615E-2</v>
      </c>
    </row>
    <row r="226" spans="2:17" hidden="1" x14ac:dyDescent="0.25"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</row>
    <row r="227" spans="2:17" hidden="1" x14ac:dyDescent="0.25">
      <c r="B227" s="794" t="s">
        <v>4</v>
      </c>
      <c r="C227" s="760" t="s">
        <v>5</v>
      </c>
      <c r="D227" s="729" t="s">
        <v>298</v>
      </c>
      <c r="E227" s="795" t="s">
        <v>344</v>
      </c>
      <c r="F227" s="795"/>
      <c r="G227" s="795"/>
      <c r="H227" s="795"/>
      <c r="I227" s="795"/>
      <c r="J227" s="795"/>
      <c r="K227" s="795"/>
      <c r="L227" s="795"/>
      <c r="M227" s="795"/>
      <c r="N227" s="795"/>
      <c r="O227" s="795"/>
      <c r="P227" s="795"/>
      <c r="Q227" s="795"/>
    </row>
    <row r="228" spans="2:17" hidden="1" x14ac:dyDescent="0.25">
      <c r="B228" s="794"/>
      <c r="C228" s="760"/>
      <c r="D228" s="729"/>
      <c r="E228" s="13" t="s">
        <v>239</v>
      </c>
      <c r="F228" s="13" t="s">
        <v>240</v>
      </c>
      <c r="G228" s="13" t="s">
        <v>241</v>
      </c>
      <c r="H228" s="13" t="s">
        <v>242</v>
      </c>
      <c r="I228" s="13" t="s">
        <v>243</v>
      </c>
      <c r="J228" s="13" t="s">
        <v>244</v>
      </c>
      <c r="K228" s="13" t="s">
        <v>245</v>
      </c>
      <c r="L228" s="13" t="s">
        <v>246</v>
      </c>
      <c r="M228" s="13" t="s">
        <v>247</v>
      </c>
      <c r="N228" s="13" t="s">
        <v>248</v>
      </c>
      <c r="O228" s="13" t="s">
        <v>249</v>
      </c>
      <c r="P228" s="13" t="s">
        <v>250</v>
      </c>
      <c r="Q228" s="13" t="s">
        <v>251</v>
      </c>
    </row>
    <row r="229" spans="2:17" hidden="1" x14ac:dyDescent="0.25">
      <c r="B229" s="63">
        <v>1</v>
      </c>
      <c r="C229" s="344" t="s">
        <v>305</v>
      </c>
      <c r="D229" s="63" t="s">
        <v>306</v>
      </c>
      <c r="E229" s="18">
        <f>[35]Rqmnt!Y48+[35]Rqmnt!Y49</f>
        <v>355.54098338954805</v>
      </c>
      <c r="F229" s="18">
        <f>[35]Rqmnt!Z48+[35]Rqmnt!Z49</f>
        <v>361.71206552720895</v>
      </c>
      <c r="G229" s="18">
        <f>[35]Rqmnt!AA48+[35]Rqmnt!AA49</f>
        <v>321.345974277533</v>
      </c>
      <c r="H229" s="18">
        <f>[35]Rqmnt!AB48+[35]Rqmnt!AB49</f>
        <v>347.30404246635197</v>
      </c>
      <c r="I229" s="18">
        <f>[35]Rqmnt!AC48+[35]Rqmnt!AC49</f>
        <v>362.82452616724703</v>
      </c>
      <c r="J229" s="18">
        <f>[35]Rqmnt!AD48+[35]Rqmnt!AD49</f>
        <v>342.37060218184797</v>
      </c>
      <c r="K229" s="18">
        <f>[35]Rqmnt!AE48+[35]Rqmnt!AE49</f>
        <v>367.89527211265892</v>
      </c>
      <c r="L229" s="18">
        <f>[35]Rqmnt!AF48+[35]Rqmnt!AF49</f>
        <v>332.69072838954798</v>
      </c>
      <c r="M229" s="18">
        <f>[35]Rqmnt!AG48+[35]Rqmnt!AG49</f>
        <v>339.160907112659</v>
      </c>
      <c r="N229" s="18">
        <f>[35]Rqmnt!AH48+[35]Rqmnt!AH49</f>
        <v>362.71207211265903</v>
      </c>
      <c r="O229" s="18">
        <f>[35]Rqmnt!AI48+[35]Rqmnt!AI49</f>
        <v>333.74206594332594</v>
      </c>
      <c r="P229" s="18">
        <f>[35]Rqmnt!AJ48+[35]Rqmnt!AJ49</f>
        <v>369.30887211265895</v>
      </c>
      <c r="Q229" s="90">
        <f>SUM(E229:P229)</f>
        <v>4196.6081117932472</v>
      </c>
    </row>
    <row r="230" spans="2:17" hidden="1" x14ac:dyDescent="0.25">
      <c r="B230" s="430">
        <f>B229+1</f>
        <v>2</v>
      </c>
      <c r="C230" s="344" t="s">
        <v>307</v>
      </c>
      <c r="D230" s="63" t="s">
        <v>308</v>
      </c>
      <c r="E230" s="155">
        <f t="shared" ref="E230" si="475">E231/E229</f>
        <v>3.9300000000000002E-2</v>
      </c>
      <c r="F230" s="155">
        <f t="shared" ref="F230" si="476">F231/F229</f>
        <v>3.5799999999999998E-2</v>
      </c>
      <c r="G230" s="155">
        <f t="shared" ref="G230" si="477">G231/G229</f>
        <v>3.2899999999999999E-2</v>
      </c>
      <c r="H230" s="155">
        <f t="shared" ref="H230" si="478">H231/H229</f>
        <v>3.5099999999999999E-2</v>
      </c>
      <c r="I230" s="155">
        <f t="shared" ref="I230" si="479">I231/I229</f>
        <v>3.3700000000000001E-2</v>
      </c>
      <c r="J230" s="155">
        <f t="shared" ref="J230" si="480">J231/J229</f>
        <v>3.5000000000000003E-2</v>
      </c>
      <c r="K230" s="155">
        <f t="shared" ref="K230" si="481">K231/K229</f>
        <v>3.32E-2</v>
      </c>
      <c r="L230" s="155">
        <f t="shared" ref="L230" si="482">L231/L229</f>
        <v>3.2774999999999999E-2</v>
      </c>
      <c r="M230" s="155">
        <f t="shared" ref="M230" si="483">M231/M229</f>
        <v>3.9399999999999998E-2</v>
      </c>
      <c r="N230" s="155">
        <f t="shared" ref="N230" si="484">N231/N229</f>
        <v>3.8850000000000003E-2</v>
      </c>
      <c r="O230" s="155">
        <f t="shared" ref="O230" si="485">O231/O229</f>
        <v>3.755E-2</v>
      </c>
      <c r="P230" s="155">
        <f t="shared" ref="P230" si="486">P231/P229</f>
        <v>3.5549999999999998E-2</v>
      </c>
      <c r="Q230" s="155">
        <f t="shared" ref="Q230" si="487">Q231/Q229</f>
        <v>3.5773694141798984E-2</v>
      </c>
    </row>
    <row r="231" spans="2:17" hidden="1" x14ac:dyDescent="0.25">
      <c r="B231" s="63">
        <f t="shared" ref="B231:B237" si="488">B230+1</f>
        <v>3</v>
      </c>
      <c r="C231" s="344" t="s">
        <v>307</v>
      </c>
      <c r="D231" s="63" t="s">
        <v>306</v>
      </c>
      <c r="E231" s="351">
        <f>[35]Rqmnt!Y52</f>
        <v>13.972760647209238</v>
      </c>
      <c r="F231" s="351">
        <f>[35]Rqmnt!Z52</f>
        <v>12.94929194587408</v>
      </c>
      <c r="G231" s="351">
        <f>[35]Rqmnt!AA52</f>
        <v>10.572282553730835</v>
      </c>
      <c r="H231" s="351">
        <f>[35]Rqmnt!AB52</f>
        <v>12.190371890568954</v>
      </c>
      <c r="I231" s="351">
        <f>[35]Rqmnt!AC52</f>
        <v>12.227186531836225</v>
      </c>
      <c r="J231" s="351">
        <f>[35]Rqmnt!AD52</f>
        <v>11.982971076364681</v>
      </c>
      <c r="K231" s="351">
        <f>[35]Rqmnt!AE52</f>
        <v>12.214123034140275</v>
      </c>
      <c r="L231" s="351">
        <f>[35]Rqmnt!AF52</f>
        <v>10.903938622967434</v>
      </c>
      <c r="M231" s="351">
        <f>[35]Rqmnt!AG52</f>
        <v>13.362939740238764</v>
      </c>
      <c r="N231" s="351">
        <f>[35]Rqmnt!AH52</f>
        <v>14.091364001576805</v>
      </c>
      <c r="O231" s="351">
        <f>[35]Rqmnt!AI52</f>
        <v>12.532014576171889</v>
      </c>
      <c r="P231" s="351">
        <f>[35]Rqmnt!AJ52</f>
        <v>13.128930403605025</v>
      </c>
      <c r="Q231" s="90">
        <f>SUM(E231:P231)</f>
        <v>150.12817502428419</v>
      </c>
    </row>
    <row r="232" spans="2:17" ht="27.6" hidden="1" x14ac:dyDescent="0.25">
      <c r="B232" s="430">
        <f t="shared" si="488"/>
        <v>4</v>
      </c>
      <c r="C232" s="345" t="s">
        <v>309</v>
      </c>
      <c r="D232" s="63" t="s">
        <v>306</v>
      </c>
      <c r="E232" s="351">
        <f t="shared" ref="E232" si="489">E229-E231</f>
        <v>341.56822274233883</v>
      </c>
      <c r="F232" s="351">
        <f t="shared" ref="F232" si="490">F229-F231</f>
        <v>348.76277358133484</v>
      </c>
      <c r="G232" s="351">
        <f t="shared" ref="G232" si="491">G229-G231</f>
        <v>310.77369172380219</v>
      </c>
      <c r="H232" s="351">
        <f t="shared" ref="H232" si="492">H229-H231</f>
        <v>335.11367057578303</v>
      </c>
      <c r="I232" s="351">
        <f t="shared" ref="I232" si="493">I229-I231</f>
        <v>350.59733963541078</v>
      </c>
      <c r="J232" s="351">
        <f t="shared" ref="J232" si="494">J229-J231</f>
        <v>330.38763110548331</v>
      </c>
      <c r="K232" s="351">
        <f t="shared" ref="K232" si="495">K229-K231</f>
        <v>355.68114907851862</v>
      </c>
      <c r="L232" s="351">
        <f t="shared" ref="L232" si="496">L229-L231</f>
        <v>321.78678976658057</v>
      </c>
      <c r="M232" s="351">
        <f t="shared" ref="M232" si="497">M229-M231</f>
        <v>325.79796737242026</v>
      </c>
      <c r="N232" s="351">
        <f t="shared" ref="N232" si="498">N229-N231</f>
        <v>348.62070811108225</v>
      </c>
      <c r="O232" s="351">
        <f t="shared" ref="O232" si="499">O229-O231</f>
        <v>321.21005136715405</v>
      </c>
      <c r="P232" s="351">
        <f t="shared" ref="P232" si="500">P229-P231</f>
        <v>356.17994170905394</v>
      </c>
      <c r="Q232" s="90">
        <f>SUM(E232:P232)</f>
        <v>4046.4799367689625</v>
      </c>
    </row>
    <row r="233" spans="2:17" ht="27.6" hidden="1" x14ac:dyDescent="0.25">
      <c r="B233" s="63">
        <f t="shared" si="488"/>
        <v>5</v>
      </c>
      <c r="C233" s="345" t="s">
        <v>310</v>
      </c>
      <c r="D233" s="63" t="s">
        <v>306</v>
      </c>
      <c r="E233" s="354">
        <f>[35]Rqmnt!Y46-E232</f>
        <v>2298.0943501390275</v>
      </c>
      <c r="F233" s="354">
        <f>[35]Rqmnt!Z46-F232</f>
        <v>1292.4030924382889</v>
      </c>
      <c r="G233" s="354">
        <f>[35]Rqmnt!AA46-G232</f>
        <v>1365.908897253435</v>
      </c>
      <c r="H233" s="354">
        <f>[35]Rqmnt!AB46-H232</f>
        <v>1666.5230327728136</v>
      </c>
      <c r="I233" s="354">
        <f>[35]Rqmnt!AC46-I232</f>
        <v>1879.4679620155207</v>
      </c>
      <c r="J233" s="354">
        <f>[35]Rqmnt!AD46-J232</f>
        <v>1855.1912049432685</v>
      </c>
      <c r="K233" s="354">
        <f>[35]Rqmnt!AE46-K232</f>
        <v>1639.6088002193965</v>
      </c>
      <c r="L233" s="354">
        <f>[35]Rqmnt!AF46-L232</f>
        <v>1544.5024148836487</v>
      </c>
      <c r="M233" s="354">
        <f>[35]Rqmnt!AG46-M232</f>
        <v>1999.3616967118865</v>
      </c>
      <c r="N233" s="354">
        <f>[35]Rqmnt!AH46-N232</f>
        <v>2273.6707173737927</v>
      </c>
      <c r="O233" s="354">
        <f>[35]Rqmnt!AI46-O232</f>
        <v>2585.9003469361137</v>
      </c>
      <c r="P233" s="354">
        <f>[35]Rqmnt!AJ46-P232</f>
        <v>2871.2364192683995</v>
      </c>
      <c r="Q233" s="353">
        <f>SUM(E233:P233)</f>
        <v>23271.86893495559</v>
      </c>
    </row>
    <row r="234" spans="2:17" hidden="1" x14ac:dyDescent="0.25">
      <c r="B234" s="63">
        <f t="shared" si="488"/>
        <v>6</v>
      </c>
      <c r="C234" s="344" t="s">
        <v>311</v>
      </c>
      <c r="D234" s="63" t="s">
        <v>306</v>
      </c>
      <c r="E234" s="351">
        <f>[35]Rqmnt!Y37</f>
        <v>420.14901763885621</v>
      </c>
      <c r="F234" s="351">
        <f>[35]Rqmnt!Z37</f>
        <v>215.56904243492971</v>
      </c>
      <c r="G234" s="351">
        <f>[35]Rqmnt!AA37</f>
        <v>169.60631402329224</v>
      </c>
      <c r="H234" s="351">
        <f>[35]Rqmnt!AB37</f>
        <v>443.37719850142236</v>
      </c>
      <c r="I234" s="351">
        <f>[35]Rqmnt!AC37</f>
        <v>168.9166147590395</v>
      </c>
      <c r="J234" s="351">
        <f>[35]Rqmnt!AD37</f>
        <v>220.32382912638741</v>
      </c>
      <c r="K234" s="351">
        <f>[35]Rqmnt!AE37</f>
        <v>239.27401792122893</v>
      </c>
      <c r="L234" s="351">
        <f>[35]Rqmnt!AF37</f>
        <v>310.75912881985437</v>
      </c>
      <c r="M234" s="351">
        <f>[35]Rqmnt!AG37</f>
        <v>176.40928444108525</v>
      </c>
      <c r="N234" s="351">
        <f>[35]Rqmnt!AH37</f>
        <v>282.86310444267838</v>
      </c>
      <c r="O234" s="351">
        <f>[35]Rqmnt!AI37</f>
        <v>296.47006268898446</v>
      </c>
      <c r="P234" s="351">
        <f>[35]Rqmnt!AJ37</f>
        <v>316.49763233201617</v>
      </c>
      <c r="Q234" s="90">
        <f>SUM(E234:P234)</f>
        <v>3260.215247129775</v>
      </c>
    </row>
    <row r="235" spans="2:17" hidden="1" x14ac:dyDescent="0.25">
      <c r="B235" s="430">
        <f t="shared" si="488"/>
        <v>7</v>
      </c>
      <c r="C235" s="344" t="s">
        <v>312</v>
      </c>
      <c r="D235" s="63" t="s">
        <v>308</v>
      </c>
      <c r="E235" s="155">
        <f t="shared" ref="E235" si="501">E236/(E233+E229)</f>
        <v>2.3873627603877529E-2</v>
      </c>
      <c r="F235" s="155">
        <f t="shared" ref="F235" si="502">F236/(F233+F229)</f>
        <v>2.3812115253762995E-2</v>
      </c>
      <c r="G235" s="155">
        <f t="shared" ref="G235" si="503">G236/(G233+G229)</f>
        <v>2.384961680326372E-2</v>
      </c>
      <c r="H235" s="155">
        <f t="shared" ref="H235" si="504">H236/(H233+H229)</f>
        <v>2.3854719936497484E-2</v>
      </c>
      <c r="I235" s="155">
        <f t="shared" ref="I235" si="505">I236/(I233+I229)</f>
        <v>2.386912836826114E-2</v>
      </c>
      <c r="J235" s="155">
        <f t="shared" ref="J235" si="506">J236/(J233+J229)</f>
        <v>2.3869131641758381E-2</v>
      </c>
      <c r="K235" s="155">
        <f t="shared" ref="K235" si="507">K236/(K233+K229)</f>
        <v>2.385397840190729E-2</v>
      </c>
      <c r="L235" s="155">
        <f t="shared" ref="L235" si="508">L236/(L233+L229)</f>
        <v>2.3860592647118303E-2</v>
      </c>
      <c r="M235" s="155">
        <f t="shared" ref="M235" si="509">M236/(M233+M229)</f>
        <v>2.3862857620772435E-2</v>
      </c>
      <c r="N235" s="155">
        <f t="shared" ref="N235" si="510">N236/(N233+N229)</f>
        <v>2.3871720928619798E-2</v>
      </c>
      <c r="O235" s="155">
        <f t="shared" ref="O235" si="511">O236/(O233+O229)</f>
        <v>2.3896984525056356E-2</v>
      </c>
      <c r="P235" s="155">
        <f t="shared" ref="P235" si="512">P236/(P233+P229)</f>
        <v>2.3902765028304067E-2</v>
      </c>
      <c r="Q235" s="155">
        <f>Q236/(Q233+Q232)</f>
        <v>2.3999999999999914E-2</v>
      </c>
    </row>
    <row r="236" spans="2:17" hidden="1" x14ac:dyDescent="0.25">
      <c r="B236" s="63">
        <f t="shared" si="488"/>
        <v>8</v>
      </c>
      <c r="C236" s="344" t="s">
        <v>312</v>
      </c>
      <c r="D236" s="63" t="s">
        <v>306</v>
      </c>
      <c r="E236" s="351">
        <f>[35]Rqmnt!Y47</f>
        <v>63.35190174915256</v>
      </c>
      <c r="F236" s="351">
        <f>[35]Rqmnt!Z47</f>
        <v>39.38798078447082</v>
      </c>
      <c r="G236" s="351">
        <f>[35]Rqmnt!AA47</f>
        <v>40.240382135453544</v>
      </c>
      <c r="H236" s="351">
        <f>[35]Rqmnt!AB47</f>
        <v>48.039280880366142</v>
      </c>
      <c r="I236" s="351">
        <f>[35]Rqmnt!AC47</f>
        <v>53.521567239622151</v>
      </c>
      <c r="J236" s="351">
        <f>[35]Rqmnt!AD47</f>
        <v>52.453892065169846</v>
      </c>
      <c r="K236" s="351">
        <f>[35]Rqmnt!AE47</f>
        <v>47.88695878314978</v>
      </c>
      <c r="L236" s="351">
        <f>[35]Rqmnt!AF47</f>
        <v>44.790940911605333</v>
      </c>
      <c r="M236" s="351">
        <f>[35]Rqmnt!AG47</f>
        <v>55.803831938023151</v>
      </c>
      <c r="N236" s="351">
        <f>[35]Rqmnt!AH47</f>
        <v>62.93499421163677</v>
      </c>
      <c r="O236" s="351">
        <f>[35]Rqmnt!AI47</f>
        <v>69.770649559278169</v>
      </c>
      <c r="P236" s="351">
        <f>[35]Rqmnt!AJ47</f>
        <v>77.457992663458583</v>
      </c>
      <c r="Q236" s="352">
        <f>SUM(E236:P236)</f>
        <v>655.64037292138687</v>
      </c>
    </row>
    <row r="237" spans="2:17" ht="27.6" hidden="1" x14ac:dyDescent="0.25">
      <c r="B237" s="430">
        <f t="shared" si="488"/>
        <v>9</v>
      </c>
      <c r="C237" s="345" t="s">
        <v>313</v>
      </c>
      <c r="D237" s="63" t="s">
        <v>306</v>
      </c>
      <c r="E237" s="351">
        <f t="shared" ref="E237" si="513">E232+E233-E234-E236</f>
        <v>2156.1616534933578</v>
      </c>
      <c r="F237" s="351">
        <f t="shared" ref="F237" si="514">F232+F233-F234-F236</f>
        <v>1386.2088428002232</v>
      </c>
      <c r="G237" s="351">
        <f t="shared" ref="G237" si="515">G232+G233-G234-G236</f>
        <v>1466.8358928184914</v>
      </c>
      <c r="H237" s="351">
        <f t="shared" ref="H237" si="516">H232+H233-H234-H236</f>
        <v>1510.2202239668084</v>
      </c>
      <c r="I237" s="351">
        <f t="shared" ref="I237" si="517">I232+I233-I234-I236</f>
        <v>2007.6271196522698</v>
      </c>
      <c r="J237" s="351">
        <f t="shared" ref="J237" si="518">J232+J233-J234-J236</f>
        <v>1912.8011148571945</v>
      </c>
      <c r="K237" s="351">
        <f t="shared" ref="K237" si="519">K232+K233-K234-K236</f>
        <v>1708.1289725935362</v>
      </c>
      <c r="L237" s="351">
        <f t="shared" ref="L237" si="520">L232+L233-L234-L236</f>
        <v>1510.7391349187697</v>
      </c>
      <c r="M237" s="351">
        <f t="shared" ref="M237" si="521">M232+M233-M234-M236</f>
        <v>2092.9465477051986</v>
      </c>
      <c r="N237" s="351">
        <f t="shared" ref="N237" si="522">N232+N233-N234-N236</f>
        <v>2276.4933268305599</v>
      </c>
      <c r="O237" s="351">
        <f t="shared" ref="O237" si="523">O232+O233-O234-O236</f>
        <v>2540.8696860550049</v>
      </c>
      <c r="P237" s="351">
        <f t="shared" ref="P237" si="524">P232+P233-P234-P236</f>
        <v>2833.4607359819784</v>
      </c>
      <c r="Q237" s="90">
        <f>SUM(E237:P237)</f>
        <v>23402.493251673393</v>
      </c>
    </row>
    <row r="238" spans="2:17" hidden="1" x14ac:dyDescent="0.25">
      <c r="B238" s="63"/>
      <c r="C238" s="343" t="s">
        <v>314</v>
      </c>
      <c r="D238" s="63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342"/>
    </row>
    <row r="239" spans="2:17" ht="27.6" hidden="1" x14ac:dyDescent="0.25">
      <c r="B239" s="63">
        <f>B237+1</f>
        <v>10</v>
      </c>
      <c r="C239" s="345" t="s">
        <v>315</v>
      </c>
      <c r="D239" s="63" t="s">
        <v>306</v>
      </c>
      <c r="E239" s="351">
        <f>[35]Rqmnt!Y7</f>
        <v>2156.1616534933578</v>
      </c>
      <c r="F239" s="351">
        <f>[35]Rqmnt!Z7</f>
        <v>1386.2088428002232</v>
      </c>
      <c r="G239" s="351">
        <f>[35]Rqmnt!AA7</f>
        <v>1466.8358928184914</v>
      </c>
      <c r="H239" s="351">
        <f>[35]Rqmnt!AB7</f>
        <v>1510.2202239668084</v>
      </c>
      <c r="I239" s="351">
        <f>[35]Rqmnt!AC7</f>
        <v>2007.6271196522696</v>
      </c>
      <c r="J239" s="351">
        <f>[35]Rqmnt!AD7</f>
        <v>1912.8011148571943</v>
      </c>
      <c r="K239" s="351">
        <f>[35]Rqmnt!AE7</f>
        <v>1708.1289725935362</v>
      </c>
      <c r="L239" s="351">
        <f>[35]Rqmnt!AF7</f>
        <v>1510.7391349187697</v>
      </c>
      <c r="M239" s="351">
        <f>[35]Rqmnt!AG7</f>
        <v>2092.9465477051986</v>
      </c>
      <c r="N239" s="351">
        <f>[35]Rqmnt!AH7</f>
        <v>2276.4933268305599</v>
      </c>
      <c r="O239" s="351">
        <f>[35]Rqmnt!AI7</f>
        <v>2540.8696860550049</v>
      </c>
      <c r="P239" s="351">
        <f>[35]Rqmnt!AJ7</f>
        <v>2833.4607359819784</v>
      </c>
      <c r="Q239" s="352">
        <f>SUM(E239:P239)</f>
        <v>23402.493251673393</v>
      </c>
    </row>
    <row r="240" spans="2:17" hidden="1" x14ac:dyDescent="0.25">
      <c r="B240" s="63">
        <f t="shared" ref="B240:B243" si="525">B239+1</f>
        <v>11</v>
      </c>
      <c r="C240" s="344" t="s">
        <v>316</v>
      </c>
      <c r="D240" s="63" t="s">
        <v>306</v>
      </c>
      <c r="E240" s="351">
        <f>[35]Rqmnt!Y9</f>
        <v>77.132159823343216</v>
      </c>
      <c r="F240" s="351">
        <f>[35]Rqmnt!Z9</f>
        <v>78.311118799144509</v>
      </c>
      <c r="G240" s="351">
        <f>[35]Rqmnt!AA9</f>
        <v>71.874313476149055</v>
      </c>
      <c r="H240" s="351">
        <f>[35]Rqmnt!AB9</f>
        <v>70.706011405322513</v>
      </c>
      <c r="I240" s="351">
        <f>[35]Rqmnt!AC9</f>
        <v>72.362257972170184</v>
      </c>
      <c r="J240" s="351">
        <f>[35]Rqmnt!AD9</f>
        <v>73.006527468194861</v>
      </c>
      <c r="K240" s="351">
        <f>[35]Rqmnt!AE9</f>
        <v>72.232467180297476</v>
      </c>
      <c r="L240" s="351">
        <f>[35]Rqmnt!AF9</f>
        <v>71.828035148215932</v>
      </c>
      <c r="M240" s="351">
        <f>[35]Rqmnt!AG9</f>
        <v>70.091300394201284</v>
      </c>
      <c r="N240" s="351">
        <f>[35]Rqmnt!AH9</f>
        <v>83.181482792092183</v>
      </c>
      <c r="O240" s="351">
        <f>[35]Rqmnt!AI9</f>
        <v>77.621009371292601</v>
      </c>
      <c r="P240" s="351">
        <f>[35]Rqmnt!AJ9</f>
        <v>90.457386913729607</v>
      </c>
      <c r="Q240" s="352">
        <f>SUM(E240:P240)</f>
        <v>908.80407074415348</v>
      </c>
    </row>
    <row r="241" spans="2:17" hidden="1" x14ac:dyDescent="0.25">
      <c r="B241" s="430">
        <f t="shared" si="525"/>
        <v>12</v>
      </c>
      <c r="C241" s="344" t="s">
        <v>317</v>
      </c>
      <c r="D241" s="63" t="s">
        <v>308</v>
      </c>
      <c r="E241" s="155">
        <f t="shared" ref="E241" si="526">E242/E239</f>
        <v>2.9099999999999959E-2</v>
      </c>
      <c r="F241" s="155">
        <f t="shared" ref="F241" si="527">F242/F239</f>
        <v>2.9100000000000015E-2</v>
      </c>
      <c r="G241" s="155">
        <f t="shared" ref="G241" si="528">G242/G239</f>
        <v>2.9099999999999942E-2</v>
      </c>
      <c r="H241" s="155">
        <f t="shared" ref="H241" si="529">H242/H239</f>
        <v>2.9099999999999945E-2</v>
      </c>
      <c r="I241" s="155">
        <f t="shared" ref="I241" si="530">I242/I239</f>
        <v>2.9099999999999987E-2</v>
      </c>
      <c r="J241" s="155">
        <f t="shared" ref="J241" si="531">J242/J239</f>
        <v>2.9100000000000049E-2</v>
      </c>
      <c r="K241" s="155">
        <f t="shared" ref="K241" si="532">K242/K239</f>
        <v>2.9099999999999966E-2</v>
      </c>
      <c r="L241" s="155">
        <f t="shared" ref="L241" si="533">L242/L239</f>
        <v>2.9099999999999984E-2</v>
      </c>
      <c r="M241" s="155">
        <f t="shared" ref="M241" si="534">M242/M239</f>
        <v>2.9100000000000056E-2</v>
      </c>
      <c r="N241" s="155">
        <f t="shared" ref="N241" si="535">N242/N239</f>
        <v>2.9100000000000036E-2</v>
      </c>
      <c r="O241" s="155">
        <f t="shared" ref="O241" si="536">O242/O239</f>
        <v>2.9099999999999984E-2</v>
      </c>
      <c r="P241" s="155">
        <f t="shared" ref="P241" si="537">P242/P239</f>
        <v>2.9100000000000063E-2</v>
      </c>
      <c r="Q241" s="155">
        <f t="shared" ref="Q241" si="538">Q242/Q239</f>
        <v>2.9100000000000001E-2</v>
      </c>
    </row>
    <row r="242" spans="2:17" hidden="1" x14ac:dyDescent="0.25">
      <c r="B242" s="63">
        <f t="shared" si="525"/>
        <v>13</v>
      </c>
      <c r="C242" s="344" t="s">
        <v>317</v>
      </c>
      <c r="D242" s="63" t="s">
        <v>306</v>
      </c>
      <c r="E242" s="351">
        <f>[35]Rqmnt!Y11</f>
        <v>62.744304116656622</v>
      </c>
      <c r="F242" s="351">
        <f>[35]Rqmnt!Z11</f>
        <v>40.338677325486515</v>
      </c>
      <c r="G242" s="351">
        <f>[35]Rqmnt!AA11</f>
        <v>42.684924481018015</v>
      </c>
      <c r="H242" s="351">
        <f>[35]Rqmnt!AB11</f>
        <v>43.947408517434042</v>
      </c>
      <c r="I242" s="351">
        <f>[35]Rqmnt!AC11</f>
        <v>58.421949181881018</v>
      </c>
      <c r="J242" s="351">
        <f>[35]Rqmnt!AD11</f>
        <v>55.66251244234445</v>
      </c>
      <c r="K242" s="351">
        <f>[35]Rqmnt!AE11</f>
        <v>49.706553102471844</v>
      </c>
      <c r="L242" s="351">
        <f>[35]Rqmnt!AF11</f>
        <v>43.962508826136173</v>
      </c>
      <c r="M242" s="351">
        <f>[35]Rqmnt!AG11</f>
        <v>60.904744538221394</v>
      </c>
      <c r="N242" s="351">
        <f>[35]Rqmnt!AH11</f>
        <v>66.245955810769374</v>
      </c>
      <c r="O242" s="351">
        <f>[35]Rqmnt!AI11</f>
        <v>73.9393078642006</v>
      </c>
      <c r="P242" s="351">
        <f>[35]Rqmnt!AJ11</f>
        <v>82.453707417075748</v>
      </c>
      <c r="Q242" s="351">
        <f>SUM(E242:P242)</f>
        <v>681.01255362369579</v>
      </c>
    </row>
    <row r="243" spans="2:17" ht="27.6" hidden="1" x14ac:dyDescent="0.25">
      <c r="B243" s="430">
        <f t="shared" si="525"/>
        <v>14</v>
      </c>
      <c r="C243" s="345" t="s">
        <v>339</v>
      </c>
      <c r="D243" s="63" t="s">
        <v>306</v>
      </c>
      <c r="E243" s="351">
        <f t="shared" ref="E243" si="539">E239-E240-E242</f>
        <v>2016.2851895533581</v>
      </c>
      <c r="F243" s="351">
        <f t="shared" ref="F243" si="540">F239-F240-F242</f>
        <v>1267.5590466755923</v>
      </c>
      <c r="G243" s="351">
        <f t="shared" ref="G243" si="541">G239-G240-G242</f>
        <v>1352.2766548613242</v>
      </c>
      <c r="H243" s="351">
        <f t="shared" ref="H243" si="542">H239-H240-H242</f>
        <v>1395.5668040440519</v>
      </c>
      <c r="I243" s="351">
        <f t="shared" ref="I243" si="543">I239-I240-I242</f>
        <v>1876.8429124982183</v>
      </c>
      <c r="J243" s="351">
        <f t="shared" ref="J243" si="544">J239-J240-J242</f>
        <v>1784.1320749466549</v>
      </c>
      <c r="K243" s="351">
        <f t="shared" ref="K243" si="545">K239-K240-K242</f>
        <v>1586.1899523107668</v>
      </c>
      <c r="L243" s="351">
        <f t="shared" ref="L243" si="546">L239-L240-L242</f>
        <v>1394.9485909444174</v>
      </c>
      <c r="M243" s="351">
        <f t="shared" ref="M243" si="547">M239-M240-M242</f>
        <v>1961.950502772776</v>
      </c>
      <c r="N243" s="351">
        <f t="shared" ref="N243" si="548">N239-N240-N242</f>
        <v>2127.0658882276985</v>
      </c>
      <c r="O243" s="351">
        <f t="shared" ref="O243" si="549">O239-O240-O242</f>
        <v>2389.3093688195117</v>
      </c>
      <c r="P243" s="351">
        <f t="shared" ref="P243" si="550">P239-P240-P242</f>
        <v>2660.5496416511728</v>
      </c>
      <c r="Q243" s="352">
        <f>SUM(E243:P243)</f>
        <v>21812.676627305544</v>
      </c>
    </row>
    <row r="244" spans="2:17" hidden="1" x14ac:dyDescent="0.25">
      <c r="B244" s="63"/>
      <c r="C244" s="343" t="s">
        <v>319</v>
      </c>
      <c r="D244" s="63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342"/>
    </row>
    <row r="245" spans="2:17" ht="27.6" hidden="1" x14ac:dyDescent="0.25">
      <c r="B245" s="63">
        <f>B243+1</f>
        <v>15</v>
      </c>
      <c r="C245" s="345" t="s">
        <v>320</v>
      </c>
      <c r="D245" s="63" t="s">
        <v>306</v>
      </c>
      <c r="E245" s="351">
        <f>[35]Rqmnt!Y19</f>
        <v>2016.2851895533579</v>
      </c>
      <c r="F245" s="351">
        <f>[35]Rqmnt!Z19</f>
        <v>1267.5590466755923</v>
      </c>
      <c r="G245" s="351">
        <f>[35]Rqmnt!AA19</f>
        <v>1352.2766548613242</v>
      </c>
      <c r="H245" s="351">
        <f>[35]Rqmnt!AB19</f>
        <v>1395.5668040440519</v>
      </c>
      <c r="I245" s="351">
        <f>[35]Rqmnt!AC19</f>
        <v>1876.8429124982183</v>
      </c>
      <c r="J245" s="351">
        <f>[35]Rqmnt!AD19</f>
        <v>1784.1320749466549</v>
      </c>
      <c r="K245" s="351">
        <f>[35]Rqmnt!AE19</f>
        <v>1586.189952310767</v>
      </c>
      <c r="L245" s="351">
        <f>[35]Rqmnt!AF19</f>
        <v>1394.9485909444174</v>
      </c>
      <c r="M245" s="351">
        <f>[35]Rqmnt!AG19</f>
        <v>1961.950502772776</v>
      </c>
      <c r="N245" s="351">
        <f>[35]Rqmnt!AH19</f>
        <v>2127.0658882276985</v>
      </c>
      <c r="O245" s="351">
        <f>[35]Rqmnt!AI19</f>
        <v>2389.3093688195117</v>
      </c>
      <c r="P245" s="351">
        <f>[35]Rqmnt!AJ19</f>
        <v>2660.5496416511728</v>
      </c>
      <c r="Q245" s="352">
        <f>SUM(E245:P245)</f>
        <v>21812.676627305544</v>
      </c>
    </row>
    <row r="246" spans="2:17" hidden="1" x14ac:dyDescent="0.25">
      <c r="B246" s="63">
        <f t="shared" ref="B246:B250" si="551">B245+1</f>
        <v>16</v>
      </c>
      <c r="C246" s="345" t="s">
        <v>321</v>
      </c>
      <c r="D246" s="63" t="s">
        <v>306</v>
      </c>
      <c r="E246" s="351"/>
      <c r="F246" s="351"/>
      <c r="G246" s="351"/>
      <c r="H246" s="351"/>
      <c r="I246" s="351"/>
      <c r="J246" s="351"/>
      <c r="K246" s="351"/>
      <c r="L246" s="351"/>
      <c r="M246" s="351"/>
      <c r="N246" s="351"/>
      <c r="O246" s="351"/>
      <c r="P246" s="351"/>
      <c r="Q246" s="352">
        <f>SUM(E246:P246)</f>
        <v>0</v>
      </c>
    </row>
    <row r="247" spans="2:17" hidden="1" x14ac:dyDescent="0.25">
      <c r="B247" s="63">
        <f t="shared" si="551"/>
        <v>17</v>
      </c>
      <c r="C247" s="344" t="s">
        <v>322</v>
      </c>
      <c r="D247" s="63" t="s">
        <v>306</v>
      </c>
      <c r="E247" s="351">
        <f>[35]Rqmnt!Y20</f>
        <v>299.8447667167955</v>
      </c>
      <c r="F247" s="351">
        <f>[35]Rqmnt!Z20</f>
        <v>231.7647684333111</v>
      </c>
      <c r="G247" s="351">
        <f>[35]Rqmnt!AA20</f>
        <v>282.65885980106953</v>
      </c>
      <c r="H247" s="351">
        <f>[35]Rqmnt!AB20</f>
        <v>310.12956849522186</v>
      </c>
      <c r="I247" s="351">
        <f>[35]Rqmnt!AC20</f>
        <v>330.91535713526935</v>
      </c>
      <c r="J247" s="351">
        <f>[35]Rqmnt!AD20</f>
        <v>308.39109775741753</v>
      </c>
      <c r="K247" s="351">
        <f>[35]Rqmnt!AE20</f>
        <v>320.67497119215352</v>
      </c>
      <c r="L247" s="351">
        <f>[35]Rqmnt!AF20</f>
        <v>266.65125360220179</v>
      </c>
      <c r="M247" s="351">
        <f>[35]Rqmnt!AG20</f>
        <v>353.41785160613875</v>
      </c>
      <c r="N247" s="351">
        <f>[35]Rqmnt!AH20</f>
        <v>377.34703737482562</v>
      </c>
      <c r="O247" s="351">
        <f>[35]Rqmnt!AI20</f>
        <v>375.58573829980941</v>
      </c>
      <c r="P247" s="351">
        <f>[35]Rqmnt!AJ20</f>
        <v>376.92098480430991</v>
      </c>
      <c r="Q247" s="352">
        <f>SUM(E247:P247)</f>
        <v>3834.3022552185239</v>
      </c>
    </row>
    <row r="248" spans="2:17" hidden="1" x14ac:dyDescent="0.25">
      <c r="B248" s="430">
        <f t="shared" si="551"/>
        <v>18</v>
      </c>
      <c r="C248" s="344" t="s">
        <v>323</v>
      </c>
      <c r="D248" s="63" t="s">
        <v>308</v>
      </c>
      <c r="E248" s="155">
        <f t="shared" ref="E248" si="552">E249/E245</f>
        <v>3.6200000000000065E-2</v>
      </c>
      <c r="F248" s="155">
        <f t="shared" ref="F248" si="553">F249/F245</f>
        <v>3.6199999999999927E-2</v>
      </c>
      <c r="G248" s="155">
        <f t="shared" ref="G248" si="554">G249/G245</f>
        <v>3.6200000000000086E-2</v>
      </c>
      <c r="H248" s="155">
        <f t="shared" ref="H248" si="555">H249/H245</f>
        <v>3.6200000000000038E-2</v>
      </c>
      <c r="I248" s="155">
        <f t="shared" ref="I248" si="556">I249/I245</f>
        <v>3.6200000000000031E-2</v>
      </c>
      <c r="J248" s="155">
        <f t="shared" ref="J248" si="557">J249/J245</f>
        <v>3.6199999999999989E-2</v>
      </c>
      <c r="K248" s="155">
        <f t="shared" ref="K248" si="558">K249/K245</f>
        <v>3.620000000000001E-2</v>
      </c>
      <c r="L248" s="155">
        <f t="shared" ref="L248" si="559">L249/L245</f>
        <v>3.6200000000000031E-2</v>
      </c>
      <c r="M248" s="155">
        <f t="shared" ref="M248" si="560">M249/M245</f>
        <v>3.6199999999999954E-2</v>
      </c>
      <c r="N248" s="155">
        <f t="shared" ref="N248" si="561">N249/N245</f>
        <v>3.6200000000000065E-2</v>
      </c>
      <c r="O248" s="155">
        <f t="shared" ref="O248" si="562">O249/O245</f>
        <v>3.6199999999999989E-2</v>
      </c>
      <c r="P248" s="155">
        <f t="shared" ref="P248" si="563">P249/P245</f>
        <v>3.6199999999999968E-2</v>
      </c>
      <c r="Q248" s="155">
        <f t="shared" ref="Q248" si="564">Q249/Q245</f>
        <v>3.620000000000001E-2</v>
      </c>
    </row>
    <row r="249" spans="2:17" hidden="1" x14ac:dyDescent="0.25">
      <c r="B249" s="63">
        <f t="shared" si="551"/>
        <v>19</v>
      </c>
      <c r="C249" s="344" t="s">
        <v>323</v>
      </c>
      <c r="D249" s="63" t="s">
        <v>306</v>
      </c>
      <c r="E249" s="351">
        <f>[35]Rqmnt!Y22</f>
        <v>72.989523861831685</v>
      </c>
      <c r="F249" s="351">
        <f>[35]Rqmnt!Z22</f>
        <v>45.885637489656347</v>
      </c>
      <c r="G249" s="351">
        <f>[35]Rqmnt!AA22</f>
        <v>48.952414905980049</v>
      </c>
      <c r="H249" s="351">
        <f>[35]Rqmnt!AB22</f>
        <v>50.51951830639473</v>
      </c>
      <c r="I249" s="351">
        <f>[35]Rqmnt!AC22</f>
        <v>67.941713432435563</v>
      </c>
      <c r="J249" s="351">
        <f>[35]Rqmnt!AD22</f>
        <v>64.585581113068883</v>
      </c>
      <c r="K249" s="351">
        <f>[35]Rqmnt!AE22</f>
        <v>57.420076273649784</v>
      </c>
      <c r="L249" s="351">
        <f>[35]Rqmnt!AF22</f>
        <v>50.497138992187956</v>
      </c>
      <c r="M249" s="351">
        <f>[35]Rqmnt!AG22</f>
        <v>71.022608200374407</v>
      </c>
      <c r="N249" s="351">
        <f>[35]Rqmnt!AH22</f>
        <v>76.999785153842822</v>
      </c>
      <c r="O249" s="351">
        <f>[35]Rqmnt!AI22</f>
        <v>86.492999151266304</v>
      </c>
      <c r="P249" s="351">
        <f>[35]Rqmnt!AJ22</f>
        <v>96.311897027772375</v>
      </c>
      <c r="Q249" s="352">
        <f>SUM(E249:P249)</f>
        <v>789.6188939084609</v>
      </c>
    </row>
    <row r="250" spans="2:17" ht="27.6" hidden="1" x14ac:dyDescent="0.25">
      <c r="B250" s="430">
        <f t="shared" si="551"/>
        <v>20</v>
      </c>
      <c r="C250" s="345" t="s">
        <v>340</v>
      </c>
      <c r="D250" s="63" t="s">
        <v>306</v>
      </c>
      <c r="E250" s="351">
        <f t="shared" ref="E250" si="565">E245+E246-E247-E249</f>
        <v>1643.4508989747308</v>
      </c>
      <c r="F250" s="351">
        <f t="shared" ref="F250" si="566">F245+F246-F247-F249</f>
        <v>989.90864075262493</v>
      </c>
      <c r="G250" s="351">
        <f t="shared" ref="G250" si="567">G245+G246-G247-G249</f>
        <v>1020.6653801542745</v>
      </c>
      <c r="H250" s="351">
        <f t="shared" ref="H250" si="568">H245+H246-H247-H249</f>
        <v>1034.9177172424352</v>
      </c>
      <c r="I250" s="351">
        <f t="shared" ref="I250" si="569">I245+I246-I247-I249</f>
        <v>1477.9858419305135</v>
      </c>
      <c r="J250" s="351">
        <f t="shared" ref="J250" si="570">J245+J246-J247-J249</f>
        <v>1411.1553960761685</v>
      </c>
      <c r="K250" s="351">
        <f t="shared" ref="K250" si="571">K245+K246-K247-K249</f>
        <v>1208.0949048449636</v>
      </c>
      <c r="L250" s="351">
        <f t="shared" ref="L250" si="572">L245+L246-L247-L249</f>
        <v>1077.8001983500276</v>
      </c>
      <c r="M250" s="351">
        <f t="shared" ref="M250" si="573">M245+M246-M247-M249</f>
        <v>1537.5100429662627</v>
      </c>
      <c r="N250" s="351">
        <f t="shared" ref="N250" si="574">N245+N246-N247-N249</f>
        <v>1672.7190656990301</v>
      </c>
      <c r="O250" s="351">
        <f t="shared" ref="O250" si="575">O245+O246-O247-O249</f>
        <v>1927.230631368436</v>
      </c>
      <c r="P250" s="351">
        <f t="shared" ref="P250" si="576">P245+P246-P247-P249</f>
        <v>2187.3167598190907</v>
      </c>
      <c r="Q250" s="352">
        <f>SUM(E250:P250)</f>
        <v>17188.755478178558</v>
      </c>
    </row>
    <row r="251" spans="2:17" hidden="1" x14ac:dyDescent="0.25">
      <c r="B251" s="63"/>
      <c r="C251" s="343" t="s">
        <v>325</v>
      </c>
      <c r="D251" s="63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342"/>
    </row>
    <row r="252" spans="2:17" ht="27.6" hidden="1" x14ac:dyDescent="0.25">
      <c r="B252" s="63"/>
      <c r="C252" s="345" t="s">
        <v>326</v>
      </c>
      <c r="D252" s="63" t="s">
        <v>306</v>
      </c>
      <c r="E252" s="351">
        <f>[35]Rqmnt!Y27</f>
        <v>1643.4508989747308</v>
      </c>
      <c r="F252" s="351">
        <f>[35]Rqmnt!Z27</f>
        <v>989.90864075262482</v>
      </c>
      <c r="G252" s="351">
        <f>[35]Rqmnt!AA27</f>
        <v>1020.6653801542747</v>
      </c>
      <c r="H252" s="351">
        <f>[35]Rqmnt!AB27</f>
        <v>1034.9177172424354</v>
      </c>
      <c r="I252" s="351">
        <f>[35]Rqmnt!AC27</f>
        <v>1477.9858419305135</v>
      </c>
      <c r="J252" s="351">
        <f>[35]Rqmnt!AD27</f>
        <v>1411.1553960761685</v>
      </c>
      <c r="K252" s="351">
        <f>[35]Rqmnt!AE27</f>
        <v>1208.0949048449636</v>
      </c>
      <c r="L252" s="351">
        <f>[35]Rqmnt!AF27</f>
        <v>1077.8001983500276</v>
      </c>
      <c r="M252" s="351">
        <f>[35]Rqmnt!AG27</f>
        <v>1537.5100429662627</v>
      </c>
      <c r="N252" s="351">
        <f>[35]Rqmnt!AH27</f>
        <v>1672.7190656990301</v>
      </c>
      <c r="O252" s="351">
        <f>[35]Rqmnt!AI27</f>
        <v>1927.2306313684362</v>
      </c>
      <c r="P252" s="351">
        <f>[35]Rqmnt!AJ27</f>
        <v>2187.3167598190903</v>
      </c>
      <c r="Q252" s="342">
        <f>SUM(E252:P252)</f>
        <v>17188.755478178558</v>
      </c>
    </row>
    <row r="253" spans="2:17" hidden="1" x14ac:dyDescent="0.25">
      <c r="B253" s="63">
        <f>B250+1</f>
        <v>21</v>
      </c>
      <c r="C253" s="345" t="s">
        <v>321</v>
      </c>
      <c r="D253" s="63" t="s">
        <v>306</v>
      </c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90">
        <f>SUM(E253:P253)</f>
        <v>0</v>
      </c>
    </row>
    <row r="254" spans="2:17" hidden="1" x14ac:dyDescent="0.25">
      <c r="B254" s="63">
        <f t="shared" ref="B254:B256" si="577">B253+1</f>
        <v>22</v>
      </c>
      <c r="C254" s="344" t="s">
        <v>327</v>
      </c>
      <c r="D254" s="63" t="s">
        <v>306</v>
      </c>
      <c r="E254" s="351">
        <f>[35]Rqmnt!Y28+[35]Rqmnt!Y29</f>
        <v>1569.4956085208678</v>
      </c>
      <c r="F254" s="351">
        <f>[35]Rqmnt!Z28+[35]Rqmnt!Z29</f>
        <v>945.36275191875666</v>
      </c>
      <c r="G254" s="351">
        <f>[35]Rqmnt!AA28+[35]Rqmnt!AA29</f>
        <v>974.73543804733231</v>
      </c>
      <c r="H254" s="351">
        <f>[35]Rqmnt!AB28+[35]Rqmnt!AB29</f>
        <v>988.34641996652567</v>
      </c>
      <c r="I254" s="351">
        <f>[35]Rqmnt!AC28+[35]Rqmnt!AC29</f>
        <v>1411.4764790436404</v>
      </c>
      <c r="J254" s="351">
        <f>[35]Rqmnt!AD28+[35]Rqmnt!AD29</f>
        <v>1347.6534032527409</v>
      </c>
      <c r="K254" s="351">
        <f>[35]Rqmnt!AE28+[35]Rqmnt!AE29</f>
        <v>1153.7306341269402</v>
      </c>
      <c r="L254" s="351">
        <f>[35]Rqmnt!AF28+[35]Rqmnt!AF29</f>
        <v>1029.2991894242764</v>
      </c>
      <c r="M254" s="351">
        <f>[35]Rqmnt!AG28+[35]Rqmnt!AG29</f>
        <v>1468.3220910327809</v>
      </c>
      <c r="N254" s="351">
        <f>[35]Rqmnt!AH28+[35]Rqmnt!AH29</f>
        <v>1597.4467077425736</v>
      </c>
      <c r="O254" s="351">
        <f>[35]Rqmnt!AI28+[35]Rqmnt!AI29</f>
        <v>1840.5052529568566</v>
      </c>
      <c r="P254" s="351">
        <f>[35]Rqmnt!AJ28+[35]Rqmnt!AJ29</f>
        <v>2088.8875056272313</v>
      </c>
      <c r="Q254" s="352">
        <f>SUM(E254:P254)</f>
        <v>16415.261481660524</v>
      </c>
    </row>
    <row r="255" spans="2:17" hidden="1" x14ac:dyDescent="0.25">
      <c r="B255" s="430">
        <f t="shared" si="577"/>
        <v>23</v>
      </c>
      <c r="C255" s="344" t="s">
        <v>328</v>
      </c>
      <c r="D255" s="63" t="s">
        <v>308</v>
      </c>
      <c r="E255" s="155">
        <f t="shared" ref="E255" si="578">E256/E252</f>
        <v>4.5000000000000123E-2</v>
      </c>
      <c r="F255" s="155">
        <f t="shared" ref="F255" si="579">F256/F252</f>
        <v>4.4999999999999991E-2</v>
      </c>
      <c r="G255" s="155">
        <f t="shared" ref="G255" si="580">G256/G252</f>
        <v>4.5000000000000019E-2</v>
      </c>
      <c r="H255" s="155">
        <f t="shared" ref="H255" si="581">H256/H252</f>
        <v>4.500000000000013E-2</v>
      </c>
      <c r="I255" s="155">
        <f t="shared" ref="I255" si="582">I256/I252</f>
        <v>4.4999999999999978E-2</v>
      </c>
      <c r="J255" s="155">
        <f t="shared" ref="J255" si="583">J256/J252</f>
        <v>4.5000000000000012E-2</v>
      </c>
      <c r="K255" s="155">
        <f t="shared" ref="K255" si="584">K256/K252</f>
        <v>4.4999999999999998E-2</v>
      </c>
      <c r="L255" s="155">
        <f t="shared" ref="L255" si="585">L256/L252</f>
        <v>4.4999999999999957E-2</v>
      </c>
      <c r="M255" s="155">
        <f t="shared" ref="M255" si="586">M256/M252</f>
        <v>4.5000000000000005E-2</v>
      </c>
      <c r="N255" s="155">
        <f t="shared" ref="N255" si="587">N256/N252</f>
        <v>4.5000000000000095E-2</v>
      </c>
      <c r="O255" s="155">
        <f t="shared" ref="O255" si="588">O256/O252</f>
        <v>4.5000000000000005E-2</v>
      </c>
      <c r="P255" s="155">
        <f t="shared" ref="P255" si="589">P256/P252</f>
        <v>4.4999999999999943E-2</v>
      </c>
      <c r="Q255" s="155">
        <f t="shared" ref="Q255" si="590">Q256/Q252</f>
        <v>4.5000000000000019E-2</v>
      </c>
    </row>
    <row r="256" spans="2:17" hidden="1" x14ac:dyDescent="0.25">
      <c r="B256" s="63">
        <f t="shared" si="577"/>
        <v>24</v>
      </c>
      <c r="C256" s="344" t="s">
        <v>328</v>
      </c>
      <c r="D256" s="63" t="s">
        <v>306</v>
      </c>
      <c r="E256" s="351">
        <f>[35]Rqmnt!Y30</f>
        <v>73.955290453863086</v>
      </c>
      <c r="F256" s="351">
        <f>[35]Rqmnt!Z30</f>
        <v>44.545888833868105</v>
      </c>
      <c r="G256" s="351">
        <f>[35]Rqmnt!AA30</f>
        <v>45.929942106942377</v>
      </c>
      <c r="H256" s="351">
        <f>[35]Rqmnt!AB30</f>
        <v>46.571297275909728</v>
      </c>
      <c r="I256" s="351">
        <f>[35]Rqmnt!AC30</f>
        <v>66.509362886873078</v>
      </c>
      <c r="J256" s="351">
        <f>[35]Rqmnt!AD30</f>
        <v>63.501992823427599</v>
      </c>
      <c r="K256" s="351">
        <f>[35]Rqmnt!AE30</f>
        <v>54.364270718023363</v>
      </c>
      <c r="L256" s="351">
        <f>[35]Rqmnt!AF30</f>
        <v>48.501008925751194</v>
      </c>
      <c r="M256" s="351">
        <f>[35]Rqmnt!AG30</f>
        <v>69.187951933481827</v>
      </c>
      <c r="N256" s="351">
        <f>[35]Rqmnt!AH30</f>
        <v>75.272357956456517</v>
      </c>
      <c r="O256" s="351">
        <f>[35]Rqmnt!AI30</f>
        <v>86.725378411579641</v>
      </c>
      <c r="P256" s="351">
        <f>[35]Rqmnt!AJ30</f>
        <v>98.429254191858945</v>
      </c>
      <c r="Q256" s="352">
        <f t="shared" ref="Q256:Q257" si="591">SUM(E256:P256)</f>
        <v>773.49399651803549</v>
      </c>
    </row>
    <row r="257" spans="2:18" hidden="1" x14ac:dyDescent="0.25">
      <c r="B257" s="63"/>
      <c r="C257" s="343" t="s">
        <v>251</v>
      </c>
      <c r="D257" s="63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90">
        <f t="shared" si="591"/>
        <v>0</v>
      </c>
    </row>
    <row r="258" spans="2:18" hidden="1" x14ac:dyDescent="0.25">
      <c r="B258" s="430">
        <f>B256+1</f>
        <v>25</v>
      </c>
      <c r="C258" s="343" t="s">
        <v>329</v>
      </c>
      <c r="D258" s="62" t="s">
        <v>306</v>
      </c>
      <c r="E258" s="351">
        <f t="shared" ref="E258:P258" si="592">E229+E233+E253</f>
        <v>2653.6353335285758</v>
      </c>
      <c r="F258" s="351">
        <f t="shared" si="592"/>
        <v>1654.1151579654979</v>
      </c>
      <c r="G258" s="351">
        <f t="shared" si="592"/>
        <v>1687.2548715309681</v>
      </c>
      <c r="H258" s="351">
        <f t="shared" si="592"/>
        <v>2013.8270752391657</v>
      </c>
      <c r="I258" s="351">
        <f t="shared" si="592"/>
        <v>2242.2924881827676</v>
      </c>
      <c r="J258" s="351">
        <f t="shared" si="592"/>
        <v>2197.5618071251165</v>
      </c>
      <c r="K258" s="351">
        <f t="shared" si="592"/>
        <v>2007.5040723320553</v>
      </c>
      <c r="L258" s="351">
        <f t="shared" si="592"/>
        <v>1877.1931432731967</v>
      </c>
      <c r="M258" s="351">
        <f t="shared" si="592"/>
        <v>2338.5226038245455</v>
      </c>
      <c r="N258" s="351">
        <f t="shared" si="592"/>
        <v>2636.3827894864517</v>
      </c>
      <c r="O258" s="351">
        <f t="shared" si="592"/>
        <v>2919.6424128794397</v>
      </c>
      <c r="P258" s="351">
        <f t="shared" si="592"/>
        <v>3240.5452913810586</v>
      </c>
      <c r="Q258" s="90">
        <f t="shared" ref="Q258:Q261" si="593">SUM(E258:P258)</f>
        <v>27468.477046748842</v>
      </c>
      <c r="R258" s="431"/>
    </row>
    <row r="259" spans="2:18" hidden="1" x14ac:dyDescent="0.25">
      <c r="B259" s="430">
        <f>B258+1</f>
        <v>26</v>
      </c>
      <c r="C259" s="343" t="s">
        <v>330</v>
      </c>
      <c r="D259" s="62" t="s">
        <v>306</v>
      </c>
      <c r="E259" s="351">
        <f t="shared" ref="E259:P259" si="594">E234+E240+E247+E254</f>
        <v>2366.6215526998626</v>
      </c>
      <c r="F259" s="351">
        <f t="shared" si="594"/>
        <v>1471.0076815861421</v>
      </c>
      <c r="G259" s="351">
        <f t="shared" si="594"/>
        <v>1498.8749253478431</v>
      </c>
      <c r="H259" s="351">
        <f t="shared" si="594"/>
        <v>1812.5591983684924</v>
      </c>
      <c r="I259" s="351">
        <f t="shared" si="594"/>
        <v>1983.6707089101194</v>
      </c>
      <c r="J259" s="351">
        <f t="shared" si="594"/>
        <v>1949.3748576047406</v>
      </c>
      <c r="K259" s="351">
        <f t="shared" si="594"/>
        <v>1785.9120904206202</v>
      </c>
      <c r="L259" s="351">
        <f t="shared" si="594"/>
        <v>1678.5376069945485</v>
      </c>
      <c r="M259" s="351">
        <f t="shared" si="594"/>
        <v>2068.2405274742059</v>
      </c>
      <c r="N259" s="351">
        <f t="shared" si="594"/>
        <v>2340.8383323521698</v>
      </c>
      <c r="O259" s="351">
        <f t="shared" si="594"/>
        <v>2590.1820633169427</v>
      </c>
      <c r="P259" s="351">
        <f t="shared" si="594"/>
        <v>2872.7635096772869</v>
      </c>
      <c r="Q259" s="352">
        <f t="shared" si="593"/>
        <v>24418.583054752977</v>
      </c>
    </row>
    <row r="260" spans="2:18" ht="27.6" hidden="1" x14ac:dyDescent="0.25">
      <c r="B260" s="430">
        <f>B259+1</f>
        <v>27</v>
      </c>
      <c r="C260" s="341" t="s">
        <v>331</v>
      </c>
      <c r="D260" s="62"/>
      <c r="E260" s="351">
        <f t="shared" ref="E260:P260" si="595">E237+E234</f>
        <v>2576.3106711322139</v>
      </c>
      <c r="F260" s="351">
        <f t="shared" si="595"/>
        <v>1601.777885235153</v>
      </c>
      <c r="G260" s="351">
        <f t="shared" si="595"/>
        <v>1636.4422068417837</v>
      </c>
      <c r="H260" s="351">
        <f t="shared" si="595"/>
        <v>1953.5974224682307</v>
      </c>
      <c r="I260" s="351">
        <f t="shared" si="595"/>
        <v>2176.5437344113093</v>
      </c>
      <c r="J260" s="351">
        <f t="shared" si="595"/>
        <v>2133.1249439835819</v>
      </c>
      <c r="K260" s="351">
        <f t="shared" si="595"/>
        <v>1947.4029905147652</v>
      </c>
      <c r="L260" s="351">
        <f t="shared" si="595"/>
        <v>1821.498263738624</v>
      </c>
      <c r="M260" s="351">
        <f t="shared" si="595"/>
        <v>2269.3558321462838</v>
      </c>
      <c r="N260" s="351">
        <f t="shared" si="595"/>
        <v>2559.3564312732383</v>
      </c>
      <c r="O260" s="351">
        <f t="shared" si="595"/>
        <v>2837.3397487439893</v>
      </c>
      <c r="P260" s="351">
        <f t="shared" si="595"/>
        <v>3149.9583683139945</v>
      </c>
      <c r="Q260" s="352">
        <f t="shared" si="593"/>
        <v>26662.708498803167</v>
      </c>
    </row>
    <row r="261" spans="2:18" hidden="1" x14ac:dyDescent="0.25">
      <c r="B261" s="430">
        <f>B260+1</f>
        <v>28</v>
      </c>
      <c r="C261" s="341" t="s">
        <v>332</v>
      </c>
      <c r="D261" s="62" t="s">
        <v>306</v>
      </c>
      <c r="E261" s="351">
        <f t="shared" ref="E261" si="596">E260-E259</f>
        <v>209.68911843235128</v>
      </c>
      <c r="F261" s="351">
        <f t="shared" ref="F261" si="597">F260-F259</f>
        <v>130.77020364901091</v>
      </c>
      <c r="G261" s="351">
        <f t="shared" ref="G261" si="598">G260-G259</f>
        <v>137.56728149394053</v>
      </c>
      <c r="H261" s="351">
        <f t="shared" ref="H261" si="599">H260-H259</f>
        <v>141.03822409973827</v>
      </c>
      <c r="I261" s="351">
        <f t="shared" ref="I261" si="600">I260-I259</f>
        <v>192.87302550118989</v>
      </c>
      <c r="J261" s="351">
        <f t="shared" ref="J261" si="601">J260-J259</f>
        <v>183.75008637884139</v>
      </c>
      <c r="K261" s="351">
        <f t="shared" ref="K261" si="602">K260-K259</f>
        <v>161.49090009414499</v>
      </c>
      <c r="L261" s="351">
        <f t="shared" ref="L261" si="603">L260-L259</f>
        <v>142.96065674407555</v>
      </c>
      <c r="M261" s="351">
        <f t="shared" ref="M261" si="604">M260-M259</f>
        <v>201.11530467207785</v>
      </c>
      <c r="N261" s="351">
        <f t="shared" ref="N261" si="605">N260-N259</f>
        <v>218.51809892106849</v>
      </c>
      <c r="O261" s="351">
        <f t="shared" ref="O261" si="606">O260-O259</f>
        <v>247.15768542704654</v>
      </c>
      <c r="P261" s="351">
        <f t="shared" ref="P261" si="607">P260-P259</f>
        <v>277.19485863670752</v>
      </c>
      <c r="Q261" s="352">
        <f t="shared" si="593"/>
        <v>2244.1254440501934</v>
      </c>
    </row>
    <row r="262" spans="2:18" hidden="1" x14ac:dyDescent="0.25">
      <c r="B262" s="430">
        <f t="shared" ref="B262" si="608">B261+1</f>
        <v>29</v>
      </c>
      <c r="C262" s="341" t="s">
        <v>333</v>
      </c>
      <c r="D262" s="62" t="s">
        <v>308</v>
      </c>
      <c r="E262" s="155">
        <f t="shared" ref="E262" si="609">E261/(E260-E234)</f>
        <v>9.7251111989965291E-2</v>
      </c>
      <c r="F262" s="155">
        <f t="shared" ref="F262" si="610">F261/(F260-F234)</f>
        <v>9.4336581625642651E-2</v>
      </c>
      <c r="G262" s="155">
        <f t="shared" ref="G262" si="611">G261/(G260-G234)</f>
        <v>9.3785052688892256E-2</v>
      </c>
      <c r="H262" s="155">
        <f t="shared" ref="H262" si="612">H261/(H260-H234)</f>
        <v>9.3389177195151912E-2</v>
      </c>
      <c r="I262" s="155">
        <f t="shared" ref="I262" si="613">I261/(I260-I234)</f>
        <v>9.6070143510811098E-2</v>
      </c>
      <c r="J262" s="155">
        <f t="shared" ref="J262" si="614">J261/(J260-J234)</f>
        <v>9.6063351778504044E-2</v>
      </c>
      <c r="K262" s="155">
        <f t="shared" ref="K262" si="615">K261/(K260-K234)</f>
        <v>9.4542568321960729E-2</v>
      </c>
      <c r="L262" s="155">
        <f t="shared" ref="L262" si="616">L261/(L260-L234)</f>
        <v>9.4629611055758039E-2</v>
      </c>
      <c r="M262" s="155">
        <f t="shared" ref="M262" si="617">M261/(M260-M234)</f>
        <v>9.6091945058314934E-2</v>
      </c>
      <c r="N262" s="155">
        <f t="shared" ref="N262" si="618">N261/(N260-N234)</f>
        <v>9.5988903787080096E-2</v>
      </c>
      <c r="O262" s="155">
        <f t="shared" ref="O262" si="619">O261/(O260-O234)</f>
        <v>9.727286951531447E-2</v>
      </c>
      <c r="P262" s="155">
        <f t="shared" ref="P262" si="620">P261/(P260-P234)</f>
        <v>9.7829080571551125E-2</v>
      </c>
      <c r="Q262" s="155">
        <f t="shared" ref="Q262" si="621">Q261/(Q260-Q234)</f>
        <v>9.5892579475040651E-2</v>
      </c>
    </row>
    <row r="263" spans="2:18" x14ac:dyDescent="0.25"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</row>
  </sheetData>
  <mergeCells count="28">
    <mergeCell ref="B190:B191"/>
    <mergeCell ref="C190:C191"/>
    <mergeCell ref="D190:D191"/>
    <mergeCell ref="E190:Q190"/>
    <mergeCell ref="B227:B228"/>
    <mergeCell ref="C227:C228"/>
    <mergeCell ref="D227:D228"/>
    <mergeCell ref="E227:Q227"/>
    <mergeCell ref="E5:Q5"/>
    <mergeCell ref="B5:B6"/>
    <mergeCell ref="C5:C6"/>
    <mergeCell ref="D5:D6"/>
    <mergeCell ref="E41:Q41"/>
    <mergeCell ref="B41:B43"/>
    <mergeCell ref="C41:C43"/>
    <mergeCell ref="D41:D43"/>
    <mergeCell ref="B153:B154"/>
    <mergeCell ref="C153:C154"/>
    <mergeCell ref="D153:D154"/>
    <mergeCell ref="E153:Q153"/>
    <mergeCell ref="B79:B80"/>
    <mergeCell ref="C79:C80"/>
    <mergeCell ref="D79:D80"/>
    <mergeCell ref="E79:Q79"/>
    <mergeCell ref="B116:B117"/>
    <mergeCell ref="C116:C117"/>
    <mergeCell ref="D116:D117"/>
    <mergeCell ref="E116:Q116"/>
  </mergeCells>
  <pageMargins left="0.7" right="0.7" top="0.75" bottom="0.75" header="0.3" footer="0.3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164"/>
  <sheetViews>
    <sheetView showGridLines="0" topLeftCell="A3" zoomScale="85" zoomScaleNormal="85" workbookViewId="0">
      <selection activeCell="K17" sqref="K17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22.33203125" style="4" customWidth="1"/>
    <col min="4" max="4" width="37.6640625" style="4" customWidth="1"/>
    <col min="5" max="7" width="16.44140625" style="4" hidden="1" customWidth="1"/>
    <col min="8" max="8" width="16.6640625" style="4" hidden="1" customWidth="1"/>
    <col min="9" max="9" width="13.6640625" style="4" hidden="1" customWidth="1"/>
    <col min="10" max="10" width="12.5546875" style="4" hidden="1" customWidth="1"/>
    <col min="11" max="11" width="13.44140625" style="4" hidden="1" customWidth="1"/>
    <col min="12" max="12" width="17.5546875" style="4" customWidth="1"/>
    <col min="13" max="13" width="12.5546875" style="4" hidden="1" customWidth="1"/>
    <col min="14" max="14" width="14.6640625" style="4" hidden="1" customWidth="1"/>
    <col min="15" max="15" width="12.5546875" style="4" hidden="1" customWidth="1"/>
    <col min="16" max="16" width="11.6640625" style="4" hidden="1" customWidth="1"/>
    <col min="17" max="17" width="13.6640625" style="4" bestFit="1" customWidth="1"/>
    <col min="18" max="20" width="11.6640625" style="4" bestFit="1" customWidth="1"/>
    <col min="21" max="21" width="11.44140625" style="4" bestFit="1" customWidth="1"/>
    <col min="22" max="22" width="12.44140625" style="4" customWidth="1"/>
    <col min="23" max="23" width="12.6640625" style="4" customWidth="1"/>
    <col min="24" max="16384" width="9.33203125" style="4"/>
  </cols>
  <sheetData>
    <row r="2" spans="2:16" x14ac:dyDescent="0.25">
      <c r="D2" s="23" t="s">
        <v>160</v>
      </c>
      <c r="I2" s="23"/>
    </row>
    <row r="3" spans="2:16" x14ac:dyDescent="0.25">
      <c r="D3" s="25" t="s">
        <v>345</v>
      </c>
      <c r="I3" s="25"/>
    </row>
    <row r="4" spans="2:16" hidden="1" x14ac:dyDescent="0.25">
      <c r="B4" s="60"/>
      <c r="C4" s="762" t="s">
        <v>346</v>
      </c>
      <c r="D4" s="762" t="s">
        <v>347</v>
      </c>
      <c r="E4" s="755" t="s">
        <v>7</v>
      </c>
      <c r="F4" s="756"/>
      <c r="G4" s="757"/>
      <c r="H4" s="755" t="s">
        <v>131</v>
      </c>
      <c r="I4" s="756"/>
      <c r="J4" s="756"/>
      <c r="K4" s="756"/>
      <c r="L4" s="768" t="s">
        <v>9</v>
      </c>
      <c r="M4" s="768"/>
      <c r="N4" s="768"/>
      <c r="O4" s="768"/>
      <c r="P4" s="768"/>
    </row>
    <row r="5" spans="2:16" ht="27.6" x14ac:dyDescent="0.25">
      <c r="B5" s="60"/>
      <c r="C5" s="764"/>
      <c r="D5" s="764"/>
      <c r="E5" s="7" t="s">
        <v>10</v>
      </c>
      <c r="F5" s="7" t="s">
        <v>11</v>
      </c>
      <c r="G5" s="7" t="s">
        <v>12</v>
      </c>
      <c r="H5" s="7" t="s">
        <v>10</v>
      </c>
      <c r="I5" s="7" t="s">
        <v>13</v>
      </c>
      <c r="J5" s="7" t="s">
        <v>14</v>
      </c>
      <c r="K5" s="7" t="s">
        <v>15</v>
      </c>
      <c r="L5" s="513" t="s">
        <v>1234</v>
      </c>
      <c r="M5" s="7" t="s">
        <v>136</v>
      </c>
      <c r="N5" s="7" t="s">
        <v>137</v>
      </c>
      <c r="O5" s="7" t="s">
        <v>138</v>
      </c>
      <c r="P5" s="7" t="s">
        <v>139</v>
      </c>
    </row>
    <row r="6" spans="2:16" ht="15" customHeight="1" x14ac:dyDescent="0.25">
      <c r="B6" s="60"/>
      <c r="C6" s="766"/>
      <c r="D6" s="766"/>
      <c r="E6" s="7" t="s">
        <v>21</v>
      </c>
      <c r="F6" s="7" t="s">
        <v>22</v>
      </c>
      <c r="G6" s="7" t="s">
        <v>23</v>
      </c>
      <c r="H6" s="7" t="s">
        <v>21</v>
      </c>
      <c r="I6" s="7" t="s">
        <v>24</v>
      </c>
      <c r="J6" s="7" t="s">
        <v>25</v>
      </c>
      <c r="K6" s="7" t="s">
        <v>25</v>
      </c>
      <c r="L6" s="7" t="s">
        <v>26</v>
      </c>
      <c r="M6" s="7" t="s">
        <v>26</v>
      </c>
      <c r="N6" s="7" t="s">
        <v>26</v>
      </c>
      <c r="O6" s="7" t="s">
        <v>26</v>
      </c>
      <c r="P6" s="7" t="s">
        <v>26</v>
      </c>
    </row>
    <row r="7" spans="2:16" x14ac:dyDescent="0.25">
      <c r="B7" s="60"/>
      <c r="C7" s="800" t="s">
        <v>348</v>
      </c>
      <c r="D7" s="801"/>
      <c r="E7" s="59"/>
      <c r="F7" s="59"/>
      <c r="G7" s="58"/>
      <c r="H7" s="59"/>
      <c r="I7" s="17"/>
      <c r="J7" s="17"/>
      <c r="K7" s="17"/>
      <c r="L7" s="17"/>
      <c r="M7" s="17"/>
      <c r="N7" s="17"/>
      <c r="O7" s="17"/>
      <c r="P7" s="17"/>
    </row>
    <row r="8" spans="2:16" x14ac:dyDescent="0.25">
      <c r="C8" s="753" t="s">
        <v>349</v>
      </c>
      <c r="D8" s="754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2:16" ht="14.25" customHeight="1" x14ac:dyDescent="0.25">
      <c r="B9" s="60"/>
      <c r="C9" s="802" t="s">
        <v>350</v>
      </c>
      <c r="D9" s="59" t="s">
        <v>351</v>
      </c>
      <c r="E9" s="59">
        <f>3187.93*29.45/100</f>
        <v>938.84538499999996</v>
      </c>
      <c r="F9" s="59">
        <f>'F9-Year(n-1)'!U9</f>
        <v>934.63660127299988</v>
      </c>
      <c r="G9" s="59"/>
      <c r="H9" s="133">
        <f>[36]F8!H9*29.45/70.55</f>
        <v>897.72140499999989</v>
      </c>
      <c r="I9" s="108">
        <f>SUM('F9-Year(n)'!I9:N9)</f>
        <v>549.71370000000002</v>
      </c>
      <c r="J9" s="108">
        <f>SUM('F9-Year(n)'!O9:T9)</f>
        <v>546.70979999999997</v>
      </c>
      <c r="K9" s="66">
        <f>I9+J9</f>
        <v>1096.4234999999999</v>
      </c>
      <c r="L9" s="108">
        <f>'F9-Year(n+2)'!U9</f>
        <v>1096.4234999999999</v>
      </c>
      <c r="M9" s="108" t="e">
        <f>#REF!</f>
        <v>#REF!</v>
      </c>
      <c r="N9" s="108">
        <f>'F9-Year(n+3)'!U9</f>
        <v>1096.4234999999999</v>
      </c>
      <c r="O9" s="108">
        <f>'F9-Year(n+4)'!U9</f>
        <v>1096.4234999999999</v>
      </c>
      <c r="P9" s="108">
        <f>'F9-Year(n+5)'!U9</f>
        <v>1096.4234999999999</v>
      </c>
    </row>
    <row r="10" spans="2:16" ht="14.25" customHeight="1" x14ac:dyDescent="0.25">
      <c r="B10" s="60"/>
      <c r="C10" s="803"/>
      <c r="D10" s="59" t="s">
        <v>352</v>
      </c>
      <c r="E10" s="59">
        <f>3241.2*29.45/100</f>
        <v>954.53339999999992</v>
      </c>
      <c r="F10" s="59">
        <f>'F9-Year(n-1)'!U10</f>
        <v>1019.5803217999999</v>
      </c>
      <c r="G10" s="59"/>
      <c r="H10" s="133">
        <f>[36]F8!H10*29.45/70.55</f>
        <v>898.08952999999985</v>
      </c>
      <c r="I10" s="108">
        <f>SUM('F9-Year(n)'!I10:N10)</f>
        <v>549.71370000000002</v>
      </c>
      <c r="J10" s="108">
        <f>SUM('F9-Year(n)'!O10:T10)</f>
        <v>546.70979999999997</v>
      </c>
      <c r="K10" s="66">
        <f t="shared" ref="K10:K26" si="0">I10+J10</f>
        <v>1096.4234999999999</v>
      </c>
      <c r="L10" s="108">
        <f>'F9-Year(n+2)'!U10</f>
        <v>1096.4234999999999</v>
      </c>
      <c r="M10" s="108" t="e">
        <f>#REF!</f>
        <v>#REF!</v>
      </c>
      <c r="N10" s="108">
        <f>'F9-Year(n+3)'!U10</f>
        <v>1096.4234999999999</v>
      </c>
      <c r="O10" s="108">
        <f>'F9-Year(n+4)'!U10</f>
        <v>1096.4234999999999</v>
      </c>
      <c r="P10" s="108">
        <f>'F9-Year(n+5)'!U10</f>
        <v>1096.4234999999999</v>
      </c>
    </row>
    <row r="11" spans="2:16" ht="14.25" customHeight="1" x14ac:dyDescent="0.25">
      <c r="B11" s="60"/>
      <c r="C11" s="803"/>
      <c r="D11" s="59" t="s">
        <v>353</v>
      </c>
      <c r="E11" s="59">
        <f>5644.07*29.45/100</f>
        <v>1662.178615</v>
      </c>
      <c r="F11" s="59">
        <f>'F9-Year(n-1)'!U11</f>
        <v>1181.9244928640001</v>
      </c>
      <c r="G11" s="59"/>
      <c r="H11" s="133">
        <f>[36]F8!H11*29.45/70.55</f>
        <v>1577.0622249999999</v>
      </c>
      <c r="I11" s="108">
        <f>SUM('F9-Year(n)'!I11:N11)</f>
        <v>879.54191999999989</v>
      </c>
      <c r="J11" s="108">
        <f>SUM('F9-Year(n)'!O11:T11)</f>
        <v>874.73568</v>
      </c>
      <c r="K11" s="66">
        <f t="shared" si="0"/>
        <v>1754.2775999999999</v>
      </c>
      <c r="L11" s="108">
        <f>'F9-Year(n+2)'!U11</f>
        <v>1754.2775999999999</v>
      </c>
      <c r="M11" s="108" t="e">
        <f>#REF!</f>
        <v>#REF!</v>
      </c>
      <c r="N11" s="108">
        <f>'F9-Year(n+3)'!U11</f>
        <v>1754.2775999999999</v>
      </c>
      <c r="O11" s="108">
        <f>'F9-Year(n+4)'!U11</f>
        <v>1754.2775999999999</v>
      </c>
      <c r="P11" s="108">
        <f>'F9-Year(n+5)'!U11</f>
        <v>1754.2775999999999</v>
      </c>
    </row>
    <row r="12" spans="2:16" ht="14.25" customHeight="1" x14ac:dyDescent="0.25">
      <c r="B12" s="60"/>
      <c r="C12" s="803"/>
      <c r="D12" s="59" t="s">
        <v>354</v>
      </c>
      <c r="E12" s="59">
        <f>369.66*29.45/100</f>
        <v>108.86487000000001</v>
      </c>
      <c r="F12" s="59">
        <f>'F9-Year(n-1)'!U12</f>
        <v>68.3791407075</v>
      </c>
      <c r="G12" s="59"/>
      <c r="H12" s="133">
        <f>[36]F8!H12*29.45/70.55</f>
        <v>89.174600000000012</v>
      </c>
      <c r="I12" s="108">
        <f>SUM('F9-Year(n)'!I12:N12)</f>
        <v>68.714212500000002</v>
      </c>
      <c r="J12" s="108">
        <f>SUM('F9-Year(n)'!O12:T12)</f>
        <v>68.338724999999997</v>
      </c>
      <c r="K12" s="66">
        <f t="shared" si="0"/>
        <v>137.05293749999998</v>
      </c>
      <c r="L12" s="108">
        <f>'F9-Year(n+2)'!U12</f>
        <v>0</v>
      </c>
      <c r="M12" s="108" t="e">
        <f>#REF!</f>
        <v>#REF!</v>
      </c>
      <c r="N12" s="108">
        <f>'F9-Year(n+3)'!U12</f>
        <v>137.05293749999998</v>
      </c>
      <c r="O12" s="108">
        <f>'F9-Year(n+4)'!U12</f>
        <v>137.05293749999998</v>
      </c>
      <c r="P12" s="108">
        <f>'F9-Year(n+5)'!U12</f>
        <v>137.05293749999998</v>
      </c>
    </row>
    <row r="13" spans="2:16" ht="14.25" customHeight="1" x14ac:dyDescent="0.25">
      <c r="B13" s="60"/>
      <c r="C13" s="803"/>
      <c r="D13" s="59" t="s">
        <v>355</v>
      </c>
      <c r="E13" s="59">
        <f>3241.2*29.45/100</f>
        <v>954.53339999999992</v>
      </c>
      <c r="F13" s="59">
        <f>'F9-Year(n-1)'!U13</f>
        <v>877.25719547899996</v>
      </c>
      <c r="G13" s="59"/>
      <c r="H13" s="133">
        <f>[36]F8!H13*29.45/70.55</f>
        <v>783.15796</v>
      </c>
      <c r="I13" s="108">
        <f>SUM('F9-Year(n)'!I13:N13)</f>
        <v>549.71370000000002</v>
      </c>
      <c r="J13" s="108">
        <f>SUM('F9-Year(n)'!O13:T13)</f>
        <v>546.70979999999997</v>
      </c>
      <c r="K13" s="66">
        <f t="shared" si="0"/>
        <v>1096.4234999999999</v>
      </c>
      <c r="L13" s="108">
        <f>'F9-Year(n+2)'!U13</f>
        <v>1096.4234999999999</v>
      </c>
      <c r="M13" s="108" t="e">
        <f>#REF!</f>
        <v>#REF!</v>
      </c>
      <c r="N13" s="108">
        <f>'F9-Year(n+3)'!U13</f>
        <v>1096.4234999999999</v>
      </c>
      <c r="O13" s="108">
        <f>'F9-Year(n+4)'!U13</f>
        <v>1096.4234999999999</v>
      </c>
      <c r="P13" s="108">
        <f>'F9-Year(n+5)'!U13</f>
        <v>1096.4234999999999</v>
      </c>
    </row>
    <row r="14" spans="2:16" ht="14.25" customHeight="1" x14ac:dyDescent="0.25">
      <c r="B14" s="60"/>
      <c r="C14" s="803"/>
      <c r="D14" s="59" t="s">
        <v>356</v>
      </c>
      <c r="E14" s="59">
        <f>3910.46*29.45/100</f>
        <v>1151.6304699999998</v>
      </c>
      <c r="F14" s="59">
        <f>'F9-Year(n-1)'!U14</f>
        <v>1227.0477466405</v>
      </c>
      <c r="G14" s="59"/>
      <c r="H14" s="133">
        <f>[36]F8!H14*29.45/70.55</f>
        <v>1070.751935</v>
      </c>
      <c r="I14" s="108">
        <f>SUM('F9-Year(n)'!I14:N14)</f>
        <v>659.65644000000009</v>
      </c>
      <c r="J14" s="108">
        <f>SUM('F9-Year(n)'!O14:T14)</f>
        <v>656.05176000000006</v>
      </c>
      <c r="K14" s="66">
        <f t="shared" si="0"/>
        <v>1315.7082</v>
      </c>
      <c r="L14" s="108">
        <f>'F9-Year(n+2)'!U14</f>
        <v>1315.7082</v>
      </c>
      <c r="M14" s="108" t="e">
        <f>#REF!</f>
        <v>#REF!</v>
      </c>
      <c r="N14" s="108">
        <f>'F9-Year(n+3)'!U14</f>
        <v>1315.7082</v>
      </c>
      <c r="O14" s="108">
        <f>'F9-Year(n+4)'!U14</f>
        <v>1315.7082</v>
      </c>
      <c r="P14" s="108">
        <f>'F9-Year(n+5)'!U14</f>
        <v>1315.7082</v>
      </c>
    </row>
    <row r="15" spans="2:16" ht="14.25" customHeight="1" x14ac:dyDescent="0.25">
      <c r="B15" s="60"/>
      <c r="C15" s="803"/>
      <c r="D15" s="59" t="s">
        <v>357</v>
      </c>
      <c r="E15" s="59">
        <f>7361.1*29.45/100</f>
        <v>2167.8439500000004</v>
      </c>
      <c r="F15" s="59">
        <f>'F9-Year(n-1)'!U15</f>
        <v>1658.9564905</v>
      </c>
      <c r="G15" s="59"/>
      <c r="H15" s="133">
        <f>[36]F8!H15*29.45/70.55</f>
        <v>2136.6033900000002</v>
      </c>
      <c r="I15" s="108">
        <f>SUM('F9-Year(n)'!I15:N15)</f>
        <v>1187.381592</v>
      </c>
      <c r="J15" s="108">
        <f>SUM('F9-Year(n)'!O15:T15)</f>
        <v>1180.8931679999998</v>
      </c>
      <c r="K15" s="66">
        <f t="shared" si="0"/>
        <v>2368.2747599999998</v>
      </c>
      <c r="L15" s="108">
        <f>'F9-Year(n+2)'!U15</f>
        <v>2368.2747599999998</v>
      </c>
      <c r="M15" s="108" t="e">
        <f>#REF!</f>
        <v>#REF!</v>
      </c>
      <c r="N15" s="108">
        <f>'F9-Year(n+3)'!U15</f>
        <v>2368.2747599999998</v>
      </c>
      <c r="O15" s="108">
        <f>'F9-Year(n+4)'!U15</f>
        <v>2368.2747599999998</v>
      </c>
      <c r="P15" s="108">
        <f>'F9-Year(n+5)'!U15</f>
        <v>2368.2747599999998</v>
      </c>
    </row>
    <row r="16" spans="2:16" ht="14.25" customHeight="1" x14ac:dyDescent="0.25">
      <c r="B16" s="60"/>
      <c r="C16" s="803"/>
      <c r="D16" s="59" t="s">
        <v>358</v>
      </c>
      <c r="E16" s="59">
        <f>0*29.45/100</f>
        <v>0</v>
      </c>
      <c r="F16" s="59">
        <f>'F9-Year(n-1)'!U16</f>
        <v>0</v>
      </c>
      <c r="G16" s="59"/>
      <c r="H16" s="133">
        <f>[36]F8!H16*29.45/70.55</f>
        <v>266.66975000000002</v>
      </c>
      <c r="I16" s="108">
        <f>SUM('F9-Year(n)'!I16:N16)</f>
        <v>0</v>
      </c>
      <c r="J16" s="108">
        <f>SUM('F9-Year(n)'!O16:T16)</f>
        <v>0</v>
      </c>
      <c r="K16" s="66">
        <f t="shared" si="0"/>
        <v>0</v>
      </c>
      <c r="L16" s="108">
        <f>'F9-Year(n+2)'!U16</f>
        <v>8332.8201599999993</v>
      </c>
      <c r="M16" s="108" t="e">
        <f>#REF!</f>
        <v>#REF!</v>
      </c>
      <c r="N16" s="108">
        <f>'F9-Year(n+3)'!U16</f>
        <v>8798.2181280000004</v>
      </c>
      <c r="O16" s="108">
        <f>'F9-Year(n+4)'!U16</f>
        <v>8798.2181280000004</v>
      </c>
      <c r="P16" s="108">
        <f>'F9-Year(n+5)'!U16</f>
        <v>8798.2181280000004</v>
      </c>
    </row>
    <row r="17" spans="2:16" ht="14.25" hidden="1" customHeight="1" x14ac:dyDescent="0.25">
      <c r="B17" s="60"/>
      <c r="C17" s="803"/>
      <c r="D17" s="59"/>
      <c r="E17" s="59"/>
      <c r="F17" s="59">
        <f>'F9-Year(n-1)'!U17</f>
        <v>0</v>
      </c>
      <c r="G17" s="59"/>
      <c r="H17" s="59"/>
      <c r="I17" s="108">
        <f>SUM('F9-Year(n)'!I17:N17)</f>
        <v>0</v>
      </c>
      <c r="J17" s="108">
        <f>SUM('F9-Year(n)'!O17:T17)</f>
        <v>0</v>
      </c>
      <c r="K17" s="66">
        <f t="shared" si="0"/>
        <v>0</v>
      </c>
      <c r="L17" s="108">
        <f>'F9-Year(n+2)'!U17</f>
        <v>0</v>
      </c>
      <c r="M17" s="108" t="e">
        <f>#REF!</f>
        <v>#REF!</v>
      </c>
      <c r="N17" s="108">
        <f>'F9-Year(n+3)'!U17</f>
        <v>0</v>
      </c>
      <c r="O17" s="108">
        <f>'F9-Year(n+4)'!U17</f>
        <v>0</v>
      </c>
      <c r="P17" s="108">
        <f>'F9-Year(n+5)'!U17</f>
        <v>0</v>
      </c>
    </row>
    <row r="18" spans="2:16" ht="14.25" hidden="1" customHeight="1" x14ac:dyDescent="0.25">
      <c r="B18" s="60"/>
      <c r="C18" s="803"/>
      <c r="D18" s="59"/>
      <c r="E18" s="59"/>
      <c r="F18" s="59">
        <f>'F9-Year(n-1)'!U18</f>
        <v>0</v>
      </c>
      <c r="G18" s="59"/>
      <c r="H18" s="59"/>
      <c r="I18" s="108">
        <f>SUM('F9-Year(n)'!I18:N18)</f>
        <v>0</v>
      </c>
      <c r="J18" s="108">
        <f>SUM('F9-Year(n)'!O18:T18)</f>
        <v>0</v>
      </c>
      <c r="K18" s="66">
        <f t="shared" si="0"/>
        <v>0</v>
      </c>
      <c r="L18" s="108">
        <f>'F9-Year(n+2)'!U18</f>
        <v>0</v>
      </c>
      <c r="M18" s="108" t="e">
        <f>#REF!</f>
        <v>#REF!</v>
      </c>
      <c r="N18" s="108">
        <f>'F9-Year(n+3)'!U18</f>
        <v>0</v>
      </c>
      <c r="O18" s="108">
        <f>'F9-Year(n+4)'!U18</f>
        <v>0</v>
      </c>
      <c r="P18" s="108">
        <f>'F9-Year(n+5)'!U18</f>
        <v>0</v>
      </c>
    </row>
    <row r="19" spans="2:16" ht="14.25" hidden="1" customHeight="1" x14ac:dyDescent="0.25">
      <c r="B19" s="60"/>
      <c r="C19" s="803"/>
      <c r="D19" s="59"/>
      <c r="E19" s="59"/>
      <c r="F19" s="59">
        <f>'F9-Year(n-1)'!U19</f>
        <v>0</v>
      </c>
      <c r="G19" s="59"/>
      <c r="H19" s="59"/>
      <c r="I19" s="108">
        <f>SUM('F9-Year(n)'!I19:N19)</f>
        <v>0</v>
      </c>
      <c r="J19" s="108">
        <f>SUM('F9-Year(n)'!O19:T19)</f>
        <v>0</v>
      </c>
      <c r="K19" s="66">
        <f t="shared" si="0"/>
        <v>0</v>
      </c>
      <c r="L19" s="108">
        <f>'F9-Year(n+2)'!U19</f>
        <v>0</v>
      </c>
      <c r="M19" s="108" t="e">
        <f>#REF!</f>
        <v>#REF!</v>
      </c>
      <c r="N19" s="108">
        <f>'F9-Year(n+3)'!U19</f>
        <v>0</v>
      </c>
      <c r="O19" s="108">
        <f>'F9-Year(n+4)'!U19</f>
        <v>0</v>
      </c>
      <c r="P19" s="108">
        <f>'F9-Year(n+5)'!U19</f>
        <v>0</v>
      </c>
    </row>
    <row r="20" spans="2:16" ht="14.25" hidden="1" customHeight="1" x14ac:dyDescent="0.25">
      <c r="B20" s="60"/>
      <c r="C20" s="803"/>
      <c r="D20" s="59"/>
      <c r="E20" s="59"/>
      <c r="F20" s="59">
        <f>'F9-Year(n-1)'!U20</f>
        <v>0</v>
      </c>
      <c r="G20" s="59"/>
      <c r="H20" s="59"/>
      <c r="I20" s="108">
        <f>SUM('F9-Year(n)'!I20:N20)</f>
        <v>0</v>
      </c>
      <c r="J20" s="108">
        <f>SUM('F9-Year(n)'!O20:T20)</f>
        <v>0</v>
      </c>
      <c r="K20" s="66">
        <f t="shared" si="0"/>
        <v>0</v>
      </c>
      <c r="L20" s="108">
        <f>'F9-Year(n+2)'!U20</f>
        <v>0</v>
      </c>
      <c r="M20" s="108" t="e">
        <f>#REF!</f>
        <v>#REF!</v>
      </c>
      <c r="N20" s="108">
        <f>'F9-Year(n+3)'!U20</f>
        <v>0</v>
      </c>
      <c r="O20" s="108">
        <f>'F9-Year(n+4)'!U20</f>
        <v>0</v>
      </c>
      <c r="P20" s="108">
        <f>'F9-Year(n+5)'!U20</f>
        <v>0</v>
      </c>
    </row>
    <row r="21" spans="2:16" ht="14.25" hidden="1" customHeight="1" x14ac:dyDescent="0.25">
      <c r="B21" s="60"/>
      <c r="C21" s="803"/>
      <c r="D21" s="59"/>
      <c r="E21" s="59"/>
      <c r="F21" s="59">
        <f>'F9-Year(n-1)'!U21</f>
        <v>0</v>
      </c>
      <c r="G21" s="59"/>
      <c r="H21" s="59"/>
      <c r="I21" s="108">
        <f>SUM('F9-Year(n)'!I21:N21)</f>
        <v>0</v>
      </c>
      <c r="J21" s="108">
        <f>SUM('F9-Year(n)'!O21:T21)</f>
        <v>0</v>
      </c>
      <c r="K21" s="66">
        <f t="shared" si="0"/>
        <v>0</v>
      </c>
      <c r="L21" s="108">
        <f>'F9-Year(n+2)'!U21</f>
        <v>0</v>
      </c>
      <c r="M21" s="108" t="e">
        <f>#REF!</f>
        <v>#REF!</v>
      </c>
      <c r="N21" s="108">
        <f>'F9-Year(n+3)'!U21</f>
        <v>0</v>
      </c>
      <c r="O21" s="108">
        <f>'F9-Year(n+4)'!U21</f>
        <v>0</v>
      </c>
      <c r="P21" s="108">
        <f>'F9-Year(n+5)'!U21</f>
        <v>0</v>
      </c>
    </row>
    <row r="22" spans="2:16" ht="14.25" hidden="1" customHeight="1" x14ac:dyDescent="0.25">
      <c r="B22" s="60"/>
      <c r="C22" s="803"/>
      <c r="D22" s="59"/>
      <c r="E22" s="59"/>
      <c r="F22" s="59">
        <f>'F9-Year(n-1)'!U22</f>
        <v>0</v>
      </c>
      <c r="G22" s="59"/>
      <c r="H22" s="59"/>
      <c r="I22" s="108">
        <f>SUM('F9-Year(n)'!I22:N22)</f>
        <v>0</v>
      </c>
      <c r="J22" s="108">
        <f>SUM('F9-Year(n)'!O22:T22)</f>
        <v>0</v>
      </c>
      <c r="K22" s="66">
        <f t="shared" si="0"/>
        <v>0</v>
      </c>
      <c r="L22" s="108">
        <f>'F9-Year(n+2)'!U22</f>
        <v>0</v>
      </c>
      <c r="M22" s="108" t="e">
        <f>#REF!</f>
        <v>#REF!</v>
      </c>
      <c r="N22" s="108">
        <f>'F9-Year(n+3)'!U22</f>
        <v>0</v>
      </c>
      <c r="O22" s="108">
        <f>'F9-Year(n+4)'!U22</f>
        <v>0</v>
      </c>
      <c r="P22" s="108">
        <f>'F9-Year(n+5)'!U22</f>
        <v>0</v>
      </c>
    </row>
    <row r="23" spans="2:16" ht="14.25" hidden="1" customHeight="1" x14ac:dyDescent="0.25">
      <c r="B23" s="60"/>
      <c r="C23" s="803"/>
      <c r="D23" s="59"/>
      <c r="E23" s="59"/>
      <c r="F23" s="59">
        <f>'F9-Year(n-1)'!U23</f>
        <v>0</v>
      </c>
      <c r="G23" s="59"/>
      <c r="H23" s="59"/>
      <c r="I23" s="108">
        <f>SUM('F9-Year(n)'!I23:N23)</f>
        <v>0</v>
      </c>
      <c r="J23" s="108">
        <f>SUM('F9-Year(n)'!O23:T23)</f>
        <v>0</v>
      </c>
      <c r="K23" s="66">
        <f t="shared" si="0"/>
        <v>0</v>
      </c>
      <c r="L23" s="108">
        <f>'F9-Year(n+2)'!U23</f>
        <v>0</v>
      </c>
      <c r="M23" s="108" t="e">
        <f>#REF!</f>
        <v>#REF!</v>
      </c>
      <c r="N23" s="108">
        <f>'F9-Year(n+3)'!U23</f>
        <v>0</v>
      </c>
      <c r="O23" s="108">
        <f>'F9-Year(n+4)'!U23</f>
        <v>0</v>
      </c>
      <c r="P23" s="108">
        <f>'F9-Year(n+5)'!U23</f>
        <v>0</v>
      </c>
    </row>
    <row r="24" spans="2:16" ht="14.25" hidden="1" customHeight="1" x14ac:dyDescent="0.25">
      <c r="B24" s="60"/>
      <c r="C24" s="803"/>
      <c r="D24" s="59"/>
      <c r="E24" s="59"/>
      <c r="F24" s="59">
        <f>'F9-Year(n-1)'!U24</f>
        <v>0</v>
      </c>
      <c r="G24" s="59"/>
      <c r="H24" s="59"/>
      <c r="I24" s="108">
        <f>SUM('F9-Year(n)'!I24:N24)</f>
        <v>0</v>
      </c>
      <c r="J24" s="108">
        <f>SUM('F9-Year(n)'!O24:T24)</f>
        <v>0</v>
      </c>
      <c r="K24" s="66">
        <f t="shared" si="0"/>
        <v>0</v>
      </c>
      <c r="L24" s="108">
        <f>'F9-Year(n+2)'!U24</f>
        <v>0</v>
      </c>
      <c r="M24" s="108" t="e">
        <f>#REF!</f>
        <v>#REF!</v>
      </c>
      <c r="N24" s="108">
        <f>'F9-Year(n+3)'!U24</f>
        <v>0</v>
      </c>
      <c r="O24" s="108">
        <f>'F9-Year(n+4)'!U24</f>
        <v>0</v>
      </c>
      <c r="P24" s="108">
        <f>'F9-Year(n+5)'!U24</f>
        <v>0</v>
      </c>
    </row>
    <row r="25" spans="2:16" ht="14.25" hidden="1" customHeight="1" x14ac:dyDescent="0.25">
      <c r="B25" s="60"/>
      <c r="C25" s="803"/>
      <c r="D25" s="59"/>
      <c r="E25" s="59"/>
      <c r="F25" s="59">
        <f>'F9-Year(n-1)'!U25</f>
        <v>0</v>
      </c>
      <c r="G25" s="59"/>
      <c r="H25" s="59"/>
      <c r="I25" s="108">
        <f>SUM('F9-Year(n)'!I25:N25)</f>
        <v>0</v>
      </c>
      <c r="J25" s="108">
        <f>SUM('F9-Year(n)'!O25:T25)</f>
        <v>0</v>
      </c>
      <c r="K25" s="66">
        <f t="shared" si="0"/>
        <v>0</v>
      </c>
      <c r="L25" s="108">
        <f>'F9-Year(n+2)'!U25</f>
        <v>0</v>
      </c>
      <c r="M25" s="108" t="e">
        <f>#REF!</f>
        <v>#REF!</v>
      </c>
      <c r="N25" s="108">
        <f>'F9-Year(n+3)'!U25</f>
        <v>0</v>
      </c>
      <c r="O25" s="108">
        <f>'F9-Year(n+4)'!U25</f>
        <v>0</v>
      </c>
      <c r="P25" s="108">
        <f>'F9-Year(n+5)'!U25</f>
        <v>0</v>
      </c>
    </row>
    <row r="26" spans="2:16" ht="14.25" hidden="1" customHeight="1" x14ac:dyDescent="0.25">
      <c r="B26" s="60"/>
      <c r="C26" s="804"/>
      <c r="D26" s="59"/>
      <c r="E26" s="59"/>
      <c r="F26" s="59">
        <f>'F9-Year(n-1)'!U26</f>
        <v>0</v>
      </c>
      <c r="G26" s="59"/>
      <c r="H26" s="59"/>
      <c r="I26" s="108">
        <f>SUM('F9-Year(n)'!I26:N26)</f>
        <v>0</v>
      </c>
      <c r="J26" s="108">
        <f>SUM('F9-Year(n)'!O26:T26)</f>
        <v>0</v>
      </c>
      <c r="K26" s="66">
        <f t="shared" si="0"/>
        <v>0</v>
      </c>
      <c r="L26" s="108">
        <f>'F9-Year(n+2)'!U26</f>
        <v>0</v>
      </c>
      <c r="M26" s="108" t="e">
        <f>#REF!</f>
        <v>#REF!</v>
      </c>
      <c r="N26" s="108">
        <f>'F9-Year(n+3)'!U26</f>
        <v>0</v>
      </c>
      <c r="O26" s="108">
        <f>'F9-Year(n+4)'!U26</f>
        <v>0</v>
      </c>
      <c r="P26" s="108">
        <f>'F9-Year(n+5)'!U26</f>
        <v>0</v>
      </c>
    </row>
    <row r="27" spans="2:16" x14ac:dyDescent="0.25">
      <c r="C27" s="751" t="s">
        <v>212</v>
      </c>
      <c r="D27" s="752"/>
      <c r="E27" s="86">
        <f>SUM(E9:E26)</f>
        <v>7938.4300899999998</v>
      </c>
      <c r="F27" s="86">
        <f>'F9-Year(n-1)'!U27</f>
        <v>6967.781989264</v>
      </c>
      <c r="G27" s="86">
        <f>F27-E27</f>
        <v>-970.64810073599983</v>
      </c>
      <c r="H27" s="86">
        <f>SUM(H9:H26)</f>
        <v>7719.2307950000004</v>
      </c>
      <c r="I27" s="86">
        <f>SUM('F9-Year(n)'!I27:N27)</f>
        <v>4444.4352644999999</v>
      </c>
      <c r="J27" s="86">
        <f>SUM('F9-Year(n)'!O27:T27)</f>
        <v>4420.148733</v>
      </c>
      <c r="K27" s="86">
        <f>I27+J27</f>
        <v>8864.5839974999999</v>
      </c>
      <c r="L27" s="86">
        <f>'F9-Year(n+2)'!U27</f>
        <v>17060.35122</v>
      </c>
      <c r="M27" s="86" t="e">
        <f>#REF!</f>
        <v>#REF!</v>
      </c>
      <c r="N27" s="86">
        <f>'F9-Year(n+3)'!U27</f>
        <v>17662.802125499999</v>
      </c>
      <c r="O27" s="86">
        <f>'F9-Year(n+4)'!U27</f>
        <v>17662.802125499999</v>
      </c>
      <c r="P27" s="86">
        <f>'F9-Year(n+5)'!U27</f>
        <v>17662.802125499999</v>
      </c>
    </row>
    <row r="28" spans="2:16" x14ac:dyDescent="0.25">
      <c r="C28" s="753" t="s">
        <v>359</v>
      </c>
      <c r="D28" s="75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</row>
    <row r="29" spans="2:16" x14ac:dyDescent="0.25">
      <c r="C29" s="805" t="s">
        <v>350</v>
      </c>
      <c r="D29" s="17" t="s">
        <v>360</v>
      </c>
      <c r="E29" s="17">
        <f>157.49*29.45/100</f>
        <v>46.380805000000002</v>
      </c>
      <c r="F29" s="59">
        <f>'F9-Year(n-1)'!U29</f>
        <v>0</v>
      </c>
      <c r="G29" s="17"/>
      <c r="H29" s="17">
        <f>[36]F8!H29*29.45/70.55</f>
        <v>49.98254</v>
      </c>
      <c r="I29" s="108">
        <f>SUM('F9-Year(n)'!I29:N29)</f>
        <v>0</v>
      </c>
      <c r="J29" s="108">
        <f>SUM('F9-Year(n)'!O29:T29)</f>
        <v>0</v>
      </c>
      <c r="K29" s="66">
        <f>I29+J29</f>
        <v>0</v>
      </c>
      <c r="L29" s="108">
        <f>'F9-Year(n+2)'!U29</f>
        <v>85.515742997927092</v>
      </c>
      <c r="M29" s="108" t="e">
        <f>#REF!</f>
        <v>#REF!</v>
      </c>
      <c r="N29" s="108">
        <f>'F9-Year(n+3)'!U29</f>
        <v>162.79852083096515</v>
      </c>
      <c r="O29" s="108">
        <f>'F9-Year(n+4)'!U29</f>
        <v>163.44990721640008</v>
      </c>
      <c r="P29" s="108">
        <f>'F9-Year(n+5)'!U29</f>
        <v>162.79866946433313</v>
      </c>
    </row>
    <row r="30" spans="2:16" x14ac:dyDescent="0.25">
      <c r="C30" s="806"/>
      <c r="D30" s="17" t="s">
        <v>361</v>
      </c>
      <c r="E30" s="17">
        <f>1552.76*29.45/100</f>
        <v>457.28782000000001</v>
      </c>
      <c r="F30" s="59">
        <f>'F9-Year(n-1)'!U30</f>
        <v>0</v>
      </c>
      <c r="G30" s="17"/>
      <c r="H30" s="17">
        <f>[36]F8!H30*29.45/70.55</f>
        <v>734.88057499999991</v>
      </c>
      <c r="I30" s="108">
        <f>SUM('F9-Year(n)'!I30:N30)</f>
        <v>0</v>
      </c>
      <c r="J30" s="108">
        <f>SUM('F9-Year(n)'!O30:T30)</f>
        <v>0</v>
      </c>
      <c r="K30" s="66">
        <f t="shared" ref="K30:K46" si="1">I30+J30</f>
        <v>0</v>
      </c>
      <c r="L30" s="108">
        <f>'F9-Year(n+2)'!U30</f>
        <v>596.12512811204567</v>
      </c>
      <c r="M30" s="108" t="e">
        <f>#REF!</f>
        <v>#REF!</v>
      </c>
      <c r="N30" s="108">
        <f>'F9-Year(n+3)'!U30</f>
        <v>567.42937431510745</v>
      </c>
      <c r="O30" s="108">
        <f>'F9-Year(n+4)'!U30</f>
        <v>569.69976207562365</v>
      </c>
      <c r="P30" s="108">
        <f>'F9-Year(n+5)'!U30</f>
        <v>567.42989237226539</v>
      </c>
    </row>
    <row r="31" spans="2:16" x14ac:dyDescent="0.25">
      <c r="C31" s="806"/>
      <c r="D31" s="17" t="s">
        <v>362</v>
      </c>
      <c r="E31" s="17">
        <f>1408.6*29.45/100</f>
        <v>414.83269999999999</v>
      </c>
      <c r="F31" s="59">
        <f>'F9-Year(n-1)'!U31</f>
        <v>0</v>
      </c>
      <c r="G31" s="17"/>
      <c r="H31" s="17">
        <f>[36]F8!H31*29.45/70.55</f>
        <v>635.86378500000012</v>
      </c>
      <c r="I31" s="108">
        <f>SUM('F9-Year(n)'!I31:N31)</f>
        <v>0</v>
      </c>
      <c r="J31" s="108">
        <f>SUM('F9-Year(n)'!O31:T31)</f>
        <v>0</v>
      </c>
      <c r="K31" s="66">
        <f t="shared" si="1"/>
        <v>0</v>
      </c>
      <c r="L31" s="108">
        <f>'F9-Year(n+2)'!U31</f>
        <v>657.8134076763622</v>
      </c>
      <c r="M31" s="108" t="e">
        <f>#REF!</f>
        <v>#REF!</v>
      </c>
      <c r="N31" s="108">
        <f>'F9-Year(n+3)'!U31</f>
        <v>626.14815704217358</v>
      </c>
      <c r="O31" s="108">
        <f>'F9-Year(n+4)'!U31</f>
        <v>628.65348929384652</v>
      </c>
      <c r="P31" s="108">
        <f>'F9-Year(n+5)'!U31</f>
        <v>626.14872870897364</v>
      </c>
    </row>
    <row r="32" spans="2:16" x14ac:dyDescent="0.25">
      <c r="C32" s="806"/>
      <c r="D32" s="17" t="s">
        <v>363</v>
      </c>
      <c r="E32" s="17">
        <f>316.66*29.45/100</f>
        <v>93.256370000000004</v>
      </c>
      <c r="F32" s="59">
        <f>'F9-Year(n-1)'!U32</f>
        <v>0</v>
      </c>
      <c r="G32" s="17"/>
      <c r="H32" s="17">
        <f>[36]F8!H32*29.45/70.55</f>
        <v>110.81151499999999</v>
      </c>
      <c r="I32" s="108">
        <f>SUM('F9-Year(n)'!I32:N32)</f>
        <v>0</v>
      </c>
      <c r="J32" s="108">
        <f>SUM('F9-Year(n)'!O32:T32)</f>
        <v>0</v>
      </c>
      <c r="K32" s="66">
        <f t="shared" si="1"/>
        <v>0</v>
      </c>
      <c r="L32" s="108">
        <f>'F9-Year(n+2)'!U32</f>
        <v>175.41690871369659</v>
      </c>
      <c r="M32" s="108" t="e">
        <f>#REF!</f>
        <v>#REF!</v>
      </c>
      <c r="N32" s="108">
        <f>'F9-Year(n+3)'!U32</f>
        <v>166.972841877913</v>
      </c>
      <c r="O32" s="108">
        <f>'F9-Year(n+4)'!U32</f>
        <v>167.64093047835914</v>
      </c>
      <c r="P32" s="108">
        <f>'F9-Year(n+5)'!U32</f>
        <v>166.97299432239302</v>
      </c>
    </row>
    <row r="33" spans="3:16" x14ac:dyDescent="0.25">
      <c r="C33" s="806"/>
      <c r="D33" s="17" t="s">
        <v>364</v>
      </c>
      <c r="E33" s="17">
        <f>168.95*29.45/100</f>
        <v>49.755774999999993</v>
      </c>
      <c r="F33" s="59">
        <f>'F9-Year(n-1)'!U33</f>
        <v>0</v>
      </c>
      <c r="G33" s="17"/>
      <c r="H33" s="17">
        <f>[36]F8!H33*29.45/70.55</f>
        <v>95.635929999999988</v>
      </c>
      <c r="I33" s="108">
        <f>SUM('F9-Year(n)'!I33:N33)</f>
        <v>0</v>
      </c>
      <c r="J33" s="108">
        <f>SUM('F9-Year(n)'!O33:T33)</f>
        <v>0</v>
      </c>
      <c r="K33" s="66">
        <f t="shared" si="1"/>
        <v>0</v>
      </c>
      <c r="L33" s="108">
        <f>'F9-Year(n+2)'!U33</f>
        <v>87.708454356848293</v>
      </c>
      <c r="M33" s="108" t="e">
        <f>#REF!</f>
        <v>#REF!</v>
      </c>
      <c r="N33" s="108">
        <f>'F9-Year(n+3)'!U33</f>
        <v>83.486420938956485</v>
      </c>
      <c r="O33" s="108">
        <f>'F9-Year(n+4)'!U33</f>
        <v>83.820465239179569</v>
      </c>
      <c r="P33" s="108">
        <f>'F9-Year(n+5)'!U33</f>
        <v>83.486497161196482</v>
      </c>
    </row>
    <row r="34" spans="3:16" x14ac:dyDescent="0.25">
      <c r="C34" s="806"/>
      <c r="D34" s="17" t="s">
        <v>365</v>
      </c>
      <c r="E34" s="17">
        <f>18.26*29.45/100</f>
        <v>5.3775700000000004</v>
      </c>
      <c r="F34" s="59">
        <f>'F9-Year(n-1)'!U34</f>
        <v>0</v>
      </c>
      <c r="G34" s="17"/>
      <c r="H34" s="17">
        <f>[36]F8!H34*29.45/70.55</f>
        <v>5.118409999999999</v>
      </c>
      <c r="I34" s="108">
        <f>SUM('F9-Year(n)'!I34:N34)</f>
        <v>0</v>
      </c>
      <c r="J34" s="108">
        <f>SUM('F9-Year(n)'!O34:T34)</f>
        <v>0</v>
      </c>
      <c r="K34" s="66">
        <f t="shared" si="1"/>
        <v>0</v>
      </c>
      <c r="L34" s="108">
        <f>'F9-Year(n+2)'!U34</f>
        <v>13.156268153527243</v>
      </c>
      <c r="M34" s="108" t="e">
        <f>#REF!</f>
        <v>#REF!</v>
      </c>
      <c r="N34" s="108">
        <f>'F9-Year(n+3)'!U34</f>
        <v>12.522963140843471</v>
      </c>
      <c r="O34" s="108">
        <f>'F9-Year(n+4)'!U34</f>
        <v>12.573069785876934</v>
      </c>
      <c r="P34" s="108">
        <f>'F9-Year(n+5)'!U34</f>
        <v>12.522974574179473</v>
      </c>
    </row>
    <row r="35" spans="3:16" x14ac:dyDescent="0.25">
      <c r="C35" s="806"/>
      <c r="D35" s="17" t="s">
        <v>366</v>
      </c>
      <c r="E35" s="17">
        <f>93.12*29.45/100</f>
        <v>27.423839999999998</v>
      </c>
      <c r="F35" s="59">
        <f>'F9-Year(n-1)'!U35</f>
        <v>0</v>
      </c>
      <c r="G35" s="17"/>
      <c r="H35" s="17">
        <f>[36]F8!H35*29.45/70.55</f>
        <v>38.441085000000001</v>
      </c>
      <c r="I35" s="108">
        <f>SUM('F9-Year(n)'!I35:N35)</f>
        <v>0</v>
      </c>
      <c r="J35" s="108">
        <f>SUM('F9-Year(n)'!O35:T35)</f>
        <v>0</v>
      </c>
      <c r="K35" s="66">
        <f t="shared" si="1"/>
        <v>0</v>
      </c>
      <c r="L35" s="108">
        <f>'F9-Year(n+2)'!U35</f>
        <v>43.854227178424146</v>
      </c>
      <c r="M35" s="108" t="e">
        <f>#REF!</f>
        <v>#REF!</v>
      </c>
      <c r="N35" s="108">
        <f>'F9-Year(n+3)'!U35</f>
        <v>41.743210469478242</v>
      </c>
      <c r="O35" s="108">
        <f>'F9-Year(n+4)'!U35</f>
        <v>41.910232619589785</v>
      </c>
      <c r="P35" s="108">
        <f>'F9-Year(n+5)'!U35</f>
        <v>41.743248580598241</v>
      </c>
    </row>
    <row r="36" spans="3:16" x14ac:dyDescent="0.25">
      <c r="C36" s="806"/>
      <c r="D36" s="17" t="s">
        <v>367</v>
      </c>
      <c r="E36" s="17">
        <f>2.7*29.45/100</f>
        <v>0.79515000000000002</v>
      </c>
      <c r="F36" s="59">
        <f>'F9-Year(n-1)'!U36</f>
        <v>0</v>
      </c>
      <c r="G36" s="17"/>
      <c r="H36" s="17">
        <f>[36]F8!H36*29.45/70.55</f>
        <v>1.03664</v>
      </c>
      <c r="I36" s="108">
        <f>SUM('F9-Year(n)'!I36:N36)</f>
        <v>0</v>
      </c>
      <c r="J36" s="108">
        <f>SUM('F9-Year(n)'!O36:T36)</f>
        <v>0</v>
      </c>
      <c r="K36" s="66">
        <f t="shared" si="1"/>
        <v>0</v>
      </c>
      <c r="L36" s="108">
        <f>'F9-Year(n+2)'!U36</f>
        <v>10.963556794606037</v>
      </c>
      <c r="M36" s="108" t="e">
        <f>#REF!</f>
        <v>#REF!</v>
      </c>
      <c r="N36" s="108">
        <f>'F9-Year(n+3)'!U36</f>
        <v>10.435802617369561</v>
      </c>
      <c r="O36" s="108">
        <f>'F9-Year(n+4)'!U36</f>
        <v>10.477558154897446</v>
      </c>
      <c r="P36" s="108">
        <f>'F9-Year(n+5)'!U36</f>
        <v>10.43581214514956</v>
      </c>
    </row>
    <row r="37" spans="3:16" hidden="1" x14ac:dyDescent="0.25">
      <c r="C37" s="806"/>
      <c r="D37" s="17"/>
      <c r="E37" s="17"/>
      <c r="F37" s="59">
        <f>'F9-Year(n-1)'!U37</f>
        <v>1690.9095478969998</v>
      </c>
      <c r="G37" s="17"/>
      <c r="H37" s="17"/>
      <c r="I37" s="108">
        <f>SUM('F9-Year(n)'!I37:N37)</f>
        <v>208.6224911242</v>
      </c>
      <c r="J37" s="108">
        <f>SUM('F9-Year(n)'!O37:T37)</f>
        <v>139.05564269540002</v>
      </c>
      <c r="K37" s="66">
        <f t="shared" si="1"/>
        <v>347.67813381960002</v>
      </c>
      <c r="L37" s="108">
        <f>'F9-Year(n+2)'!U37</f>
        <v>0</v>
      </c>
      <c r="M37" s="108" t="e">
        <f>#REF!</f>
        <v>#REF!</v>
      </c>
      <c r="N37" s="108">
        <f>'F9-Year(n+3)'!U37</f>
        <v>0</v>
      </c>
      <c r="O37" s="108">
        <f>'F9-Year(n+4)'!U37</f>
        <v>0</v>
      </c>
      <c r="P37" s="108">
        <f>'F9-Year(n+5)'!U37</f>
        <v>0</v>
      </c>
    </row>
    <row r="38" spans="3:16" hidden="1" x14ac:dyDescent="0.25">
      <c r="C38" s="806"/>
      <c r="D38" s="17"/>
      <c r="E38" s="17"/>
      <c r="F38" s="59">
        <f>'F9-Year(n-1)'!U38</f>
        <v>0</v>
      </c>
      <c r="G38" s="17"/>
      <c r="H38" s="17"/>
      <c r="I38" s="108">
        <f>SUM('F9-Year(n)'!I38:N38)</f>
        <v>0</v>
      </c>
      <c r="J38" s="108">
        <f>SUM('F9-Year(n)'!O38:T38)</f>
        <v>0</v>
      </c>
      <c r="K38" s="66">
        <f t="shared" si="1"/>
        <v>0</v>
      </c>
      <c r="L38" s="108">
        <f>'F9-Year(n+2)'!U38</f>
        <v>13.156268153527243</v>
      </c>
      <c r="M38" s="108" t="e">
        <f>#REF!</f>
        <v>#REF!</v>
      </c>
      <c r="N38" s="108">
        <f>'F9-Year(n+3)'!U38</f>
        <v>12.522963140843471</v>
      </c>
      <c r="O38" s="108">
        <f>'F9-Year(n+4)'!U38</f>
        <v>12.573069785876934</v>
      </c>
      <c r="P38" s="108">
        <f>'F9-Year(n+5)'!U38</f>
        <v>12.522974574179473</v>
      </c>
    </row>
    <row r="39" spans="3:16" hidden="1" x14ac:dyDescent="0.25">
      <c r="C39" s="806"/>
      <c r="D39" s="17"/>
      <c r="E39" s="17"/>
      <c r="F39" s="59">
        <f>'F9-Year(n-1)'!U39</f>
        <v>0</v>
      </c>
      <c r="G39" s="17"/>
      <c r="H39" s="17"/>
      <c r="I39" s="108">
        <f>SUM('F9-Year(n)'!I39:N39)</f>
        <v>0</v>
      </c>
      <c r="J39" s="108">
        <f>SUM('F9-Year(n)'!O39:T39)</f>
        <v>0</v>
      </c>
      <c r="K39" s="66">
        <f t="shared" si="1"/>
        <v>0</v>
      </c>
      <c r="L39" s="108">
        <f>'F9-Year(n+2)'!U39</f>
        <v>7.3090378630706923</v>
      </c>
      <c r="M39" s="108" t="e">
        <f>#REF!</f>
        <v>#REF!</v>
      </c>
      <c r="N39" s="108">
        <f>'F9-Year(n+3)'!U39</f>
        <v>6.9572017449130401</v>
      </c>
      <c r="O39" s="108">
        <f>'F9-Year(n+4)'!U39</f>
        <v>6.985038769931629</v>
      </c>
      <c r="P39" s="108">
        <f>'F9-Year(n+5)'!U39</f>
        <v>6.9572080967663741</v>
      </c>
    </row>
    <row r="40" spans="3:16" hidden="1" x14ac:dyDescent="0.25">
      <c r="C40" s="806"/>
      <c r="D40" s="17"/>
      <c r="E40" s="17"/>
      <c r="F40" s="59">
        <f>'F9-Year(n-1)'!U40</f>
        <v>0</v>
      </c>
      <c r="G40" s="17"/>
      <c r="H40" s="17"/>
      <c r="I40" s="108">
        <f>SUM('F9-Year(n)'!I40:N40)</f>
        <v>0</v>
      </c>
      <c r="J40" s="108">
        <f>SUM('F9-Year(n)'!O40:T40)</f>
        <v>0</v>
      </c>
      <c r="K40" s="66">
        <f t="shared" si="1"/>
        <v>0</v>
      </c>
      <c r="L40" s="108">
        <f>'F9-Year(n+2)'!U40</f>
        <v>0</v>
      </c>
      <c r="M40" s="108" t="e">
        <f>#REF!</f>
        <v>#REF!</v>
      </c>
      <c r="N40" s="108">
        <f>'F9-Year(n+3)'!U40</f>
        <v>0</v>
      </c>
      <c r="O40" s="108">
        <f>'F9-Year(n+4)'!U40</f>
        <v>0</v>
      </c>
      <c r="P40" s="108">
        <f>'F9-Year(n+5)'!U40</f>
        <v>0</v>
      </c>
    </row>
    <row r="41" spans="3:16" hidden="1" x14ac:dyDescent="0.25">
      <c r="C41" s="806"/>
      <c r="D41" s="17"/>
      <c r="E41" s="17"/>
      <c r="F41" s="59">
        <f>'F9-Year(n-1)'!U41</f>
        <v>0</v>
      </c>
      <c r="G41" s="17"/>
      <c r="H41" s="17"/>
      <c r="I41" s="108">
        <f>SUM('F9-Year(n)'!I41:N41)</f>
        <v>0</v>
      </c>
      <c r="J41" s="108">
        <f>SUM('F9-Year(n)'!O41:T41)</f>
        <v>0</v>
      </c>
      <c r="K41" s="66">
        <f t="shared" si="1"/>
        <v>0</v>
      </c>
      <c r="L41" s="108">
        <f>'F9-Year(n+2)'!U41</f>
        <v>0</v>
      </c>
      <c r="M41" s="108" t="e">
        <f>#REF!</f>
        <v>#REF!</v>
      </c>
      <c r="N41" s="108">
        <f>'F9-Year(n+3)'!U41</f>
        <v>0</v>
      </c>
      <c r="O41" s="108">
        <f>'F9-Year(n+4)'!U41</f>
        <v>0</v>
      </c>
      <c r="P41" s="108">
        <f>'F9-Year(n+5)'!U41</f>
        <v>0</v>
      </c>
    </row>
    <row r="42" spans="3:16" hidden="1" x14ac:dyDescent="0.25">
      <c r="C42" s="806"/>
      <c r="D42" s="17"/>
      <c r="E42" s="17"/>
      <c r="F42" s="59">
        <f>'F9-Year(n-1)'!U42</f>
        <v>0</v>
      </c>
      <c r="G42" s="17"/>
      <c r="H42" s="17"/>
      <c r="I42" s="108">
        <f>SUM('F9-Year(n)'!I42:N42)</f>
        <v>0</v>
      </c>
      <c r="J42" s="108">
        <f>SUM('F9-Year(n)'!O42:T42)</f>
        <v>0</v>
      </c>
      <c r="K42" s="66">
        <f t="shared" si="1"/>
        <v>0</v>
      </c>
      <c r="L42" s="108">
        <f>'F9-Year(n+2)'!U42</f>
        <v>0</v>
      </c>
      <c r="M42" s="108" t="e">
        <f>#REF!</f>
        <v>#REF!</v>
      </c>
      <c r="N42" s="108">
        <f>'F9-Year(n+3)'!U42</f>
        <v>0</v>
      </c>
      <c r="O42" s="108">
        <f>'F9-Year(n+4)'!U42</f>
        <v>0</v>
      </c>
      <c r="P42" s="108">
        <f>'F9-Year(n+5)'!U42</f>
        <v>0</v>
      </c>
    </row>
    <row r="43" spans="3:16" hidden="1" x14ac:dyDescent="0.25">
      <c r="C43" s="806"/>
      <c r="D43" s="17"/>
      <c r="E43" s="17"/>
      <c r="F43" s="59">
        <f>'F9-Year(n-1)'!U43</f>
        <v>0</v>
      </c>
      <c r="G43" s="17"/>
      <c r="H43" s="17"/>
      <c r="I43" s="108">
        <f>SUM('F9-Year(n)'!I43:N43)</f>
        <v>0</v>
      </c>
      <c r="J43" s="108">
        <f>SUM('F9-Year(n)'!O43:T43)</f>
        <v>0</v>
      </c>
      <c r="K43" s="66">
        <f t="shared" si="1"/>
        <v>0</v>
      </c>
      <c r="L43" s="108">
        <f>'F9-Year(n+2)'!U43</f>
        <v>0</v>
      </c>
      <c r="M43" s="108" t="e">
        <f>#REF!</f>
        <v>#REF!</v>
      </c>
      <c r="N43" s="108">
        <f>'F9-Year(n+3)'!U43</f>
        <v>0</v>
      </c>
      <c r="O43" s="108">
        <f>'F9-Year(n+4)'!U43</f>
        <v>0</v>
      </c>
      <c r="P43" s="108">
        <f>'F9-Year(n+5)'!U43</f>
        <v>0</v>
      </c>
    </row>
    <row r="44" spans="3:16" hidden="1" x14ac:dyDescent="0.25">
      <c r="C44" s="806"/>
      <c r="D44" s="17"/>
      <c r="E44" s="17"/>
      <c r="F44" s="59">
        <f>'F9-Year(n-1)'!U44</f>
        <v>0</v>
      </c>
      <c r="G44" s="17"/>
      <c r="H44" s="17"/>
      <c r="I44" s="108">
        <f>SUM('F9-Year(n)'!I44:N44)</f>
        <v>0</v>
      </c>
      <c r="J44" s="108">
        <f>SUM('F9-Year(n)'!O44:T44)</f>
        <v>0</v>
      </c>
      <c r="K44" s="66">
        <f t="shared" si="1"/>
        <v>0</v>
      </c>
      <c r="L44" s="108">
        <f>'F9-Year(n+2)'!U44</f>
        <v>0</v>
      </c>
      <c r="M44" s="108" t="e">
        <f>#REF!</f>
        <v>#REF!</v>
      </c>
      <c r="N44" s="108">
        <f>'F9-Year(n+3)'!U44</f>
        <v>0</v>
      </c>
      <c r="O44" s="108">
        <f>'F9-Year(n+4)'!U44</f>
        <v>0</v>
      </c>
      <c r="P44" s="108">
        <f>'F9-Year(n+5)'!U44</f>
        <v>0</v>
      </c>
    </row>
    <row r="45" spans="3:16" hidden="1" x14ac:dyDescent="0.25">
      <c r="C45" s="806"/>
      <c r="D45" s="17"/>
      <c r="E45" s="17"/>
      <c r="F45" s="59">
        <f>'F9-Year(n-1)'!U45</f>
        <v>0</v>
      </c>
      <c r="G45" s="17"/>
      <c r="H45" s="17"/>
      <c r="I45" s="108">
        <f>SUM('F9-Year(n)'!I45:N45)</f>
        <v>0</v>
      </c>
      <c r="J45" s="108">
        <f>SUM('F9-Year(n)'!O45:T45)</f>
        <v>0</v>
      </c>
      <c r="K45" s="66">
        <f t="shared" si="1"/>
        <v>0</v>
      </c>
      <c r="L45" s="108">
        <f>'F9-Year(n+2)'!U45</f>
        <v>0</v>
      </c>
      <c r="M45" s="108" t="e">
        <f>#REF!</f>
        <v>#REF!</v>
      </c>
      <c r="N45" s="108">
        <f>'F9-Year(n+3)'!U45</f>
        <v>0</v>
      </c>
      <c r="O45" s="108">
        <f>'F9-Year(n+4)'!U45</f>
        <v>0</v>
      </c>
      <c r="P45" s="108">
        <f>'F9-Year(n+5)'!U45</f>
        <v>0</v>
      </c>
    </row>
    <row r="46" spans="3:16" hidden="1" x14ac:dyDescent="0.25">
      <c r="C46" s="807"/>
      <c r="D46" s="107"/>
      <c r="E46" s="17"/>
      <c r="F46" s="59">
        <f>'F9-Year(n-1)'!U46</f>
        <v>0</v>
      </c>
      <c r="G46" s="17"/>
      <c r="H46" s="17"/>
      <c r="I46" s="108">
        <f>SUM('F9-Year(n)'!I46:N46)</f>
        <v>0</v>
      </c>
      <c r="J46" s="108">
        <f>SUM('F9-Year(n)'!O46:T46)</f>
        <v>0</v>
      </c>
      <c r="K46" s="66">
        <f t="shared" si="1"/>
        <v>0</v>
      </c>
      <c r="L46" s="108">
        <f>'F9-Year(n+2)'!U46</f>
        <v>0</v>
      </c>
      <c r="M46" s="108" t="e">
        <f>#REF!</f>
        <v>#REF!</v>
      </c>
      <c r="N46" s="108">
        <f>'F9-Year(n+3)'!U46</f>
        <v>0</v>
      </c>
      <c r="O46" s="108">
        <f>'F9-Year(n+4)'!U46</f>
        <v>0</v>
      </c>
      <c r="P46" s="108">
        <f>'F9-Year(n+5)'!U46</f>
        <v>0</v>
      </c>
    </row>
    <row r="47" spans="3:16" x14ac:dyDescent="0.25">
      <c r="C47" s="751" t="s">
        <v>212</v>
      </c>
      <c r="D47" s="752"/>
      <c r="E47" s="86">
        <f>SUM(E29:E45)</f>
        <v>1095.1100300000001</v>
      </c>
      <c r="F47" s="86">
        <f>'F9-Year(n-1)'!U47</f>
        <v>1690.9095478969998</v>
      </c>
      <c r="G47" s="86">
        <f t="shared" ref="G47:G48" si="2">F47-E47</f>
        <v>595.79951789699976</v>
      </c>
      <c r="H47" s="86">
        <f>SUM(H29:H45)</f>
        <v>1671.7704799999999</v>
      </c>
      <c r="I47" s="86">
        <f>SUM('F9-Year(n)'!I47:N47)</f>
        <v>208.6224911242</v>
      </c>
      <c r="J47" s="86">
        <f>SUM('F9-Year(n)'!O47:T47)</f>
        <v>139.05564269540002</v>
      </c>
      <c r="K47" s="86">
        <f t="shared" ref="K47:K48" si="3">I47+J47</f>
        <v>347.67813381960002</v>
      </c>
      <c r="L47" s="86">
        <f>'F9-Year(n+2)'!U47</f>
        <v>1691.0190000000355</v>
      </c>
      <c r="M47" s="86" t="e">
        <f>#REF!</f>
        <v>#REF!</v>
      </c>
      <c r="N47" s="86">
        <f>'F9-Year(n+3)'!U47</f>
        <v>1691.0174561185631</v>
      </c>
      <c r="O47" s="86">
        <f>'F9-Year(n+4)'!U47</f>
        <v>1697.7835234195813</v>
      </c>
      <c r="P47" s="86">
        <f>'F9-Year(n+5)'!U47</f>
        <v>1691.0190000000346</v>
      </c>
    </row>
    <row r="48" spans="3:16" x14ac:dyDescent="0.25">
      <c r="C48" s="753" t="s">
        <v>368</v>
      </c>
      <c r="D48" s="754"/>
      <c r="E48" s="86">
        <f t="shared" ref="E48" si="4">SUM(E45:E47)</f>
        <v>1095.1100300000001</v>
      </c>
      <c r="F48" s="86">
        <f>'F9-Year(n-1)'!U48</f>
        <v>8658.6915371609994</v>
      </c>
      <c r="G48" s="86">
        <f t="shared" si="2"/>
        <v>7563.5815071609995</v>
      </c>
      <c r="H48" s="86">
        <f t="shared" ref="H48" si="5">SUM(H45:H47)</f>
        <v>1671.7704799999999</v>
      </c>
      <c r="I48" s="86">
        <f>SUM('F9-Year(n)'!I48:N48)</f>
        <v>4653.0577556241997</v>
      </c>
      <c r="J48" s="86">
        <f>SUM('F9-Year(n)'!O48:T48)</f>
        <v>4559.2043756953999</v>
      </c>
      <c r="K48" s="86">
        <f t="shared" si="3"/>
        <v>9212.2621313195996</v>
      </c>
      <c r="L48" s="86">
        <f>'F9-Year(n+2)'!U48</f>
        <v>18751.370220000037</v>
      </c>
      <c r="M48" s="86" t="e">
        <f>#REF!</f>
        <v>#REF!</v>
      </c>
      <c r="N48" s="86">
        <f>'F9-Year(n+3)'!U48</f>
        <v>19353.819581618562</v>
      </c>
      <c r="O48" s="86">
        <f>'F9-Year(n+4)'!U48</f>
        <v>19360.585648919579</v>
      </c>
      <c r="P48" s="86">
        <f>'F9-Year(n+5)'!U48</f>
        <v>19353.821125500031</v>
      </c>
    </row>
    <row r="49" spans="3:16" x14ac:dyDescent="0.25">
      <c r="C49" s="800" t="s">
        <v>369</v>
      </c>
      <c r="D49" s="801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</row>
    <row r="50" spans="3:16" x14ac:dyDescent="0.25">
      <c r="C50" s="753" t="s">
        <v>349</v>
      </c>
      <c r="D50" s="75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</row>
    <row r="51" spans="3:16" x14ac:dyDescent="0.25">
      <c r="C51" s="805" t="s">
        <v>370</v>
      </c>
      <c r="D51" s="17" t="s">
        <v>371</v>
      </c>
      <c r="E51" s="17">
        <f>2785.22*29.45/100</f>
        <v>820.24728999999991</v>
      </c>
      <c r="F51" s="59">
        <f>'F9-Year(n-1)'!U51</f>
        <v>584.17637036399992</v>
      </c>
      <c r="G51" s="17"/>
      <c r="H51" s="66">
        <f>[36]F8!H51*29.45/70.55</f>
        <v>582.58578999999997</v>
      </c>
      <c r="I51" s="108">
        <f>SUM('F9-Year(n)'!I51:N51)</f>
        <v>388.10886647399997</v>
      </c>
      <c r="J51" s="108">
        <f>SUM('F9-Year(n)'!O51:T51)</f>
        <v>385.98805299599996</v>
      </c>
      <c r="K51" s="66">
        <f>I51+J51</f>
        <v>774.09691946999988</v>
      </c>
      <c r="L51" s="108">
        <f>'F9-Year(n+2)'!U51</f>
        <v>774.09691946999988</v>
      </c>
      <c r="M51" s="108" t="e">
        <f>#REF!</f>
        <v>#REF!</v>
      </c>
      <c r="N51" s="108">
        <f>'F9-Year(n+3)'!U51</f>
        <v>772.97856750000017</v>
      </c>
      <c r="O51" s="108">
        <f>'F9-Year(n+4)'!U51</f>
        <v>772.97856750000017</v>
      </c>
      <c r="P51" s="108">
        <f>'F9-Year(n+5)'!U51</f>
        <v>772.97856750000017</v>
      </c>
    </row>
    <row r="52" spans="3:16" x14ac:dyDescent="0.25">
      <c r="C52" s="806"/>
      <c r="D52" s="17" t="s">
        <v>372</v>
      </c>
      <c r="E52" s="17">
        <f>747.77*29.45/100</f>
        <v>220.218265</v>
      </c>
      <c r="F52" s="59">
        <f>'F9-Year(n-1)'!U52</f>
        <v>139.32433206749999</v>
      </c>
      <c r="G52" s="17"/>
      <c r="H52" s="66">
        <f>[36]F8!H52*29.45/70.55</f>
        <v>134.0564</v>
      </c>
      <c r="I52" s="108">
        <f>SUM('F9-Year(n)'!I52:N52)</f>
        <v>97.299324900000002</v>
      </c>
      <c r="J52" s="108">
        <f>SUM('F9-Year(n)'!O52:T52)</f>
        <v>96.767634599999994</v>
      </c>
      <c r="K52" s="66">
        <f t="shared" ref="K52:K75" si="6">I52+J52</f>
        <v>194.0669595</v>
      </c>
      <c r="L52" s="108">
        <f>'F9-Year(n+2)'!U52</f>
        <v>192.97053599999998</v>
      </c>
      <c r="M52" s="108" t="e">
        <f>#REF!</f>
        <v>#REF!</v>
      </c>
      <c r="N52" s="108">
        <f>'F9-Year(n+3)'!U52</f>
        <v>194.0669595</v>
      </c>
      <c r="O52" s="108">
        <f>'F9-Year(n+4)'!U52</f>
        <v>194.0669595</v>
      </c>
      <c r="P52" s="108">
        <f>'F9-Year(n+5)'!U52</f>
        <v>194.0669595</v>
      </c>
    </row>
    <row r="53" spans="3:16" x14ac:dyDescent="0.25">
      <c r="C53" s="806"/>
      <c r="D53" s="17" t="s">
        <v>373</v>
      </c>
      <c r="E53" s="17">
        <f>1638.93*29.45/100</f>
        <v>482.66488499999997</v>
      </c>
      <c r="F53" s="59">
        <f>'F9-Year(n-1)'!U53</f>
        <v>503.92866938349994</v>
      </c>
      <c r="G53" s="17"/>
      <c r="H53" s="66">
        <f>[36]F8!H53*29.45/70.55</f>
        <v>470.39306999999997</v>
      </c>
      <c r="I53" s="108">
        <f>SUM('F9-Year(n)'!I53:N53)</f>
        <v>239.01551676</v>
      </c>
      <c r="J53" s="108">
        <f>SUM('F9-Year(n)'!O53:T53)</f>
        <v>237.70942104</v>
      </c>
      <c r="K53" s="66">
        <f t="shared" si="6"/>
        <v>476.72493780000002</v>
      </c>
      <c r="L53" s="108">
        <f>'F9-Year(n+2)'!U53</f>
        <v>474.97066020000005</v>
      </c>
      <c r="M53" s="108" t="e">
        <f>#REF!</f>
        <v>#REF!</v>
      </c>
      <c r="N53" s="108">
        <f>'F9-Year(n+3)'!U53</f>
        <v>476.72493779999991</v>
      </c>
      <c r="O53" s="108">
        <f>'F9-Year(n+4)'!U53</f>
        <v>476.72493779999991</v>
      </c>
      <c r="P53" s="108">
        <f>'F9-Year(n+5)'!U53</f>
        <v>476.72493779999991</v>
      </c>
    </row>
    <row r="54" spans="3:16" x14ac:dyDescent="0.25">
      <c r="C54" s="806"/>
      <c r="D54" s="17" t="s">
        <v>374</v>
      </c>
      <c r="E54" s="17">
        <f>4170.55*29.45/100</f>
        <v>1228.226975</v>
      </c>
      <c r="F54" s="59">
        <f>'F9-Year(n-1)'!U54</f>
        <v>948.36397427700012</v>
      </c>
      <c r="G54" s="17"/>
      <c r="H54" s="66">
        <f>[36]F8!H54*29.45/70.55</f>
        <v>817.16092999999989</v>
      </c>
      <c r="I54" s="108">
        <f>SUM('F9-Year(n)'!I54:N54)</f>
        <v>592.48142586000006</v>
      </c>
      <c r="J54" s="108">
        <f>SUM('F9-Year(n)'!O54:T54)</f>
        <v>589.24382244000003</v>
      </c>
      <c r="K54" s="66">
        <f t="shared" si="6"/>
        <v>1181.7252483000002</v>
      </c>
      <c r="L54" s="108">
        <f>'F9-Year(n+2)'!U54</f>
        <v>1181.7252483</v>
      </c>
      <c r="M54" s="108" t="e">
        <f>#REF!</f>
        <v>#REF!</v>
      </c>
      <c r="N54" s="108">
        <f>'F9-Year(n+3)'!U54</f>
        <v>1181.7252483</v>
      </c>
      <c r="O54" s="108">
        <f>'F9-Year(n+4)'!U54</f>
        <v>1181.7252483</v>
      </c>
      <c r="P54" s="108">
        <f>'F9-Year(n+5)'!U54</f>
        <v>1181.7252483</v>
      </c>
    </row>
    <row r="55" spans="3:16" x14ac:dyDescent="0.25">
      <c r="C55" s="806"/>
      <c r="D55" s="17" t="s">
        <v>375</v>
      </c>
      <c r="E55" s="17">
        <f>1911.53*29.45/100</f>
        <v>562.94558499999994</v>
      </c>
      <c r="F55" s="59">
        <f>'F9-Year(n-1)'!U55</f>
        <v>452.4472392385</v>
      </c>
      <c r="G55" s="17"/>
      <c r="H55" s="66">
        <f>[36]F8!H55*29.45/70.55</f>
        <v>423.98281500000002</v>
      </c>
      <c r="I55" s="108">
        <f>SUM('F9-Year(n)'!I55:N55)</f>
        <v>282.33295631999999</v>
      </c>
      <c r="J55" s="108">
        <f>SUM('F9-Year(n)'!O55:T55)</f>
        <v>280.79015328000003</v>
      </c>
      <c r="K55" s="66">
        <f t="shared" si="6"/>
        <v>563.12310960000002</v>
      </c>
      <c r="L55" s="108">
        <f>'F9-Year(n+2)'!U55</f>
        <v>562.24597080000001</v>
      </c>
      <c r="M55" s="108" t="e">
        <f>#REF!</f>
        <v>#REF!</v>
      </c>
      <c r="N55" s="108">
        <f>'F9-Year(n+3)'!U55</f>
        <v>562.9038248999999</v>
      </c>
      <c r="O55" s="108">
        <f>'F9-Year(n+4)'!U55</f>
        <v>562.9038248999999</v>
      </c>
      <c r="P55" s="108">
        <f>'F9-Year(n+5)'!U55</f>
        <v>562.9038248999999</v>
      </c>
    </row>
    <row r="56" spans="3:16" x14ac:dyDescent="0.25">
      <c r="C56" s="806"/>
      <c r="D56" s="17" t="s">
        <v>376</v>
      </c>
      <c r="E56" s="17">
        <f>2136.69*29.45/100</f>
        <v>629.25520499999993</v>
      </c>
      <c r="F56" s="59">
        <f>'F9-Year(n-1)'!U56</f>
        <v>334.20528691700002</v>
      </c>
      <c r="G56" s="17"/>
      <c r="H56" s="66">
        <f>[36]F8!H56*29.45/70.55</f>
        <v>422.75180499999999</v>
      </c>
      <c r="I56" s="108">
        <f>SUM('F9-Year(n)'!I56:N56)</f>
        <v>308.98307649599997</v>
      </c>
      <c r="J56" s="108">
        <f>SUM('F9-Year(n)'!O56:T56)</f>
        <v>307.29464438400004</v>
      </c>
      <c r="K56" s="66">
        <f t="shared" si="6"/>
        <v>616.27772088000006</v>
      </c>
      <c r="L56" s="108">
        <f>'F9-Year(n+2)'!U56</f>
        <v>611.54117136000002</v>
      </c>
      <c r="M56" s="108" t="e">
        <f>#REF!</f>
        <v>#REF!</v>
      </c>
      <c r="N56" s="108">
        <f>'F9-Year(n+3)'!U56</f>
        <v>616.27772087999995</v>
      </c>
      <c r="O56" s="108">
        <f>'F9-Year(n+4)'!U56</f>
        <v>616.27772087999995</v>
      </c>
      <c r="P56" s="108">
        <f>'F9-Year(n+5)'!U56</f>
        <v>616.27772087999995</v>
      </c>
    </row>
    <row r="57" spans="3:16" x14ac:dyDescent="0.25">
      <c r="C57" s="806"/>
      <c r="D57" s="17" t="s">
        <v>377</v>
      </c>
      <c r="E57" s="17">
        <f>336.36*29.45/100</f>
        <v>99.058019999999999</v>
      </c>
      <c r="F57" s="59">
        <f>'F9-Year(n-1)'!U57</f>
        <v>446.57273858266399</v>
      </c>
      <c r="G57" s="17"/>
      <c r="H57" s="66">
        <f>[36]F8!H57*29.45/70.55</f>
        <v>99.058020000000013</v>
      </c>
      <c r="I57" s="108">
        <f>SUM('F9-Year(n)'!I57:N57)</f>
        <v>50.364769194000004</v>
      </c>
      <c r="J57" s="108">
        <f>SUM('F9-Year(n)'!O57:T57)</f>
        <v>50.089551876000009</v>
      </c>
      <c r="K57" s="66">
        <f t="shared" si="6"/>
        <v>100.45432107000002</v>
      </c>
      <c r="L57" s="108">
        <f>'F9-Year(n+2)'!U57</f>
        <v>100.44664610549999</v>
      </c>
      <c r="M57" s="108" t="e">
        <f>#REF!</f>
        <v>#REF!</v>
      </c>
      <c r="N57" s="108">
        <f>'F9-Year(n+3)'!U57</f>
        <v>100.45432107000001</v>
      </c>
      <c r="O57" s="108">
        <f>'F9-Year(n+4)'!U57</f>
        <v>100.45432107000001</v>
      </c>
      <c r="P57" s="108">
        <f>'F9-Year(n+5)'!U57</f>
        <v>100.45432107000001</v>
      </c>
    </row>
    <row r="58" spans="3:16" x14ac:dyDescent="0.25">
      <c r="C58" s="806"/>
      <c r="D58" s="17" t="s">
        <v>378</v>
      </c>
      <c r="E58" s="17">
        <f>1390.7*29.45/100</f>
        <v>409.56115</v>
      </c>
      <c r="F58" s="59">
        <f>'F9-Year(n-1)'!U58</f>
        <v>74.338359987499999</v>
      </c>
      <c r="G58" s="17"/>
      <c r="H58" s="66">
        <f>[36]F8!H58*29.45/70.55</f>
        <v>410.74209500000001</v>
      </c>
      <c r="I58" s="108">
        <f>SUM('F9-Year(n)'!I58:N58)</f>
        <v>219.88547999999997</v>
      </c>
      <c r="J58" s="108">
        <f>SUM('F9-Year(n)'!O58:T58)</f>
        <v>218.68392</v>
      </c>
      <c r="K58" s="66">
        <f t="shared" si="6"/>
        <v>438.56939999999997</v>
      </c>
      <c r="L58" s="108">
        <f>'F9-Year(n+2)'!U58</f>
        <v>438.56939999999997</v>
      </c>
      <c r="M58" s="108" t="e">
        <f>#REF!</f>
        <v>#REF!</v>
      </c>
      <c r="N58" s="108">
        <f>'F9-Year(n+3)'!U58</f>
        <v>438.56939999999997</v>
      </c>
      <c r="O58" s="108">
        <f>'F9-Year(n+4)'!U58</f>
        <v>438.56939999999997</v>
      </c>
      <c r="P58" s="108">
        <f>'F9-Year(n+5)'!U58</f>
        <v>438.56939999999997</v>
      </c>
    </row>
    <row r="59" spans="3:16" x14ac:dyDescent="0.25">
      <c r="C59" s="807"/>
      <c r="D59" s="17" t="s">
        <v>379</v>
      </c>
      <c r="E59" s="17">
        <f>3499.63*29.45/100</f>
        <v>1030.6410349999999</v>
      </c>
      <c r="F59" s="59">
        <f>'F9-Year(n-1)'!U59</f>
        <v>0</v>
      </c>
      <c r="G59" s="17"/>
      <c r="H59" s="66">
        <f>[36]F8!H59*29.45/70.55</f>
        <v>2331.2796699999999</v>
      </c>
      <c r="I59" s="108">
        <f>SUM('F9-Year(n)'!I59:N59)</f>
        <v>0</v>
      </c>
      <c r="J59" s="108">
        <f>SUM('F9-Year(n)'!O59:T59)</f>
        <v>1487.0506559999999</v>
      </c>
      <c r="K59" s="66">
        <f t="shared" si="6"/>
        <v>1487.0506559999999</v>
      </c>
      <c r="L59" s="108">
        <f>'F9-Year(n+2)'!U59</f>
        <v>1491.1359600000001</v>
      </c>
      <c r="M59" s="108" t="e">
        <f>#REF!</f>
        <v>#REF!</v>
      </c>
      <c r="N59" s="108">
        <f>'F9-Year(n+3)'!U59</f>
        <v>3049.7677506599998</v>
      </c>
      <c r="O59" s="108">
        <f>'F9-Year(n+4)'!U59</f>
        <v>3049.7677506599998</v>
      </c>
      <c r="P59" s="108">
        <f>'F9-Year(n+5)'!U59</f>
        <v>3049.7677506599998</v>
      </c>
    </row>
    <row r="60" spans="3:16" x14ac:dyDescent="0.25">
      <c r="C60" s="17"/>
      <c r="D60" s="17" t="s">
        <v>380</v>
      </c>
      <c r="E60" s="17">
        <f>395.74*29.45/100</f>
        <v>116.54543</v>
      </c>
      <c r="F60" s="59">
        <f>'F9-Year(n-1)'!U60</f>
        <v>20.079217328000002</v>
      </c>
      <c r="G60" s="17"/>
      <c r="H60" s="66">
        <f>[36]F8!H60*29.45/70.55</f>
        <v>10.280994999999999</v>
      </c>
      <c r="I60" s="108">
        <f>SUM('F9-Year(n)'!I60:N60)</f>
        <v>5.7500053019999982</v>
      </c>
      <c r="J60" s="108">
        <f>SUM('F9-Year(n)'!O60:T60)</f>
        <v>5.7185845079999993</v>
      </c>
      <c r="K60" s="66">
        <f t="shared" si="6"/>
        <v>11.468589809999997</v>
      </c>
      <c r="L60" s="108">
        <f>'F9-Year(n+2)'!U61</f>
        <v>11.880845046000001</v>
      </c>
      <c r="M60" s="108" t="e">
        <f>#REF!</f>
        <v>#REF!</v>
      </c>
      <c r="N60" s="108">
        <f>'F9-Year(n+3)'!U60</f>
        <v>0</v>
      </c>
      <c r="O60" s="108">
        <f>'F9-Year(n+4)'!U60</f>
        <v>0</v>
      </c>
      <c r="P60" s="108">
        <f>'F9-Year(n+5)'!U60</f>
        <v>0</v>
      </c>
    </row>
    <row r="61" spans="3:16" x14ac:dyDescent="0.25">
      <c r="C61" s="17"/>
      <c r="D61" s="17" t="s">
        <v>381</v>
      </c>
      <c r="E61" s="17">
        <f>710.26*29.45/100</f>
        <v>209.17157</v>
      </c>
      <c r="F61" s="59">
        <f>'F9-Year(n-1)'!U61</f>
        <v>30.220128985499993</v>
      </c>
      <c r="G61" s="17"/>
      <c r="H61" s="66">
        <f>[36]F8!H61*29.45/70.55</f>
        <v>13.152369999999999</v>
      </c>
      <c r="I61" s="108">
        <f>SUM('F9-Year(n)'!I61:N61)</f>
        <v>7.575054785999999</v>
      </c>
      <c r="J61" s="108">
        <f>SUM('F9-Year(n)'!O61:T61)</f>
        <v>7.5336610439999996</v>
      </c>
      <c r="K61" s="66">
        <f t="shared" si="6"/>
        <v>15.108715829999998</v>
      </c>
      <c r="L61" s="108">
        <f>'F9-Year(n+2)'!U62</f>
        <v>15.65692758</v>
      </c>
      <c r="M61" s="108" t="e">
        <f>#REF!</f>
        <v>#REF!</v>
      </c>
      <c r="N61" s="108">
        <f>'F9-Year(n+3)'!U61</f>
        <v>11.468589809999999</v>
      </c>
      <c r="O61" s="108">
        <f>'F9-Year(n+4)'!U61</f>
        <v>11.468589809999999</v>
      </c>
      <c r="P61" s="108">
        <f>'F9-Year(n+5)'!U61</f>
        <v>11.468589809999999</v>
      </c>
    </row>
    <row r="62" spans="3:16" x14ac:dyDescent="0.25">
      <c r="C62" s="17"/>
      <c r="D62" s="17" t="s">
        <v>382</v>
      </c>
      <c r="E62" s="17">
        <f>402.72*29.45/100</f>
        <v>118.60104000000001</v>
      </c>
      <c r="F62" s="59">
        <f>'F9-Year(n-1)'!U62</f>
        <v>130.38149117399999</v>
      </c>
      <c r="G62" s="17"/>
      <c r="H62" s="66">
        <f>[36]F8!H62*29.45/70.55</f>
        <v>108.45845999999999</v>
      </c>
      <c r="I62" s="108">
        <f>SUM('F9-Year(n)'!I62:N62)</f>
        <v>68.054556059999996</v>
      </c>
      <c r="J62" s="108">
        <f>SUM('F9-Year(n)'!O62:T62)</f>
        <v>67.68267324</v>
      </c>
      <c r="K62" s="66">
        <f t="shared" si="6"/>
        <v>135.7372293</v>
      </c>
      <c r="L62" s="108">
        <f>'F9-Year(n+2)'!U63</f>
        <v>135.73722929999997</v>
      </c>
      <c r="M62" s="108" t="e">
        <f>#REF!</f>
        <v>#REF!</v>
      </c>
      <c r="N62" s="108">
        <f>'F9-Year(n+3)'!U62</f>
        <v>15.108715829999998</v>
      </c>
      <c r="O62" s="108">
        <f>'F9-Year(n+4)'!U62</f>
        <v>15.108715829999998</v>
      </c>
      <c r="P62" s="108">
        <f>'F9-Year(n+5)'!U62</f>
        <v>15.108715829999998</v>
      </c>
    </row>
    <row r="63" spans="3:16" x14ac:dyDescent="0.25">
      <c r="C63" s="17"/>
      <c r="D63" s="17" t="s">
        <v>383</v>
      </c>
      <c r="E63" s="17"/>
      <c r="F63" s="59">
        <f>'F9-Year(n-1)'!U63</f>
        <v>7.2034334819999994</v>
      </c>
      <c r="G63" s="17"/>
      <c r="H63" s="66">
        <f>[36]F8!H63*29.45/70.55</f>
        <v>12.003820000000001</v>
      </c>
      <c r="I63" s="108">
        <f>SUM('F9-Year(n)'!I63:N63)</f>
        <v>0</v>
      </c>
      <c r="J63" s="108">
        <f>SUM('F9-Year(n)'!O64:T64)</f>
        <v>13.077298415999998</v>
      </c>
      <c r="K63" s="66">
        <f t="shared" si="6"/>
        <v>13.077298415999998</v>
      </c>
      <c r="L63" s="108">
        <f>'F9-Year(n+2)'!U64</f>
        <v>0</v>
      </c>
      <c r="M63" s="108" t="e">
        <f>#REF!</f>
        <v>#REF!</v>
      </c>
      <c r="N63" s="108">
        <f>'F9-Year(n+3)'!U63</f>
        <v>145.27611374999998</v>
      </c>
      <c r="O63" s="108">
        <f>'F9-Year(n+4)'!U63</f>
        <v>145.27611374999998</v>
      </c>
      <c r="P63" s="108">
        <f>'F9-Year(n+5)'!U63</f>
        <v>145.27611374999998</v>
      </c>
    </row>
    <row r="64" spans="3:16" x14ac:dyDescent="0.25">
      <c r="C64" s="17"/>
      <c r="D64" s="17" t="s">
        <v>384</v>
      </c>
      <c r="E64" s="17"/>
      <c r="F64" s="59">
        <f>'F9-Year(n-1)'!U64</f>
        <v>3.0111744444999999</v>
      </c>
      <c r="G64" s="17"/>
      <c r="H64" s="66">
        <f>[36]F8!H64*29.45/70.55</f>
        <v>8.8408900000000017</v>
      </c>
      <c r="I64" s="108">
        <f>SUM('F9-Year(n)'!I64:N64)</f>
        <v>13.149151704000001</v>
      </c>
      <c r="J64" s="108">
        <f>SUM('F9-Year(n)'!O63:T63)</f>
        <v>0</v>
      </c>
      <c r="K64" s="66">
        <f t="shared" si="6"/>
        <v>13.149151704000001</v>
      </c>
      <c r="L64" s="108">
        <f>'F9-Year(n+2)'!U65</f>
        <v>0</v>
      </c>
      <c r="M64" s="108" t="e">
        <f>#REF!</f>
        <v>#REF!</v>
      </c>
      <c r="N64" s="108">
        <f>'F9-Year(n+3)'!U64</f>
        <v>0</v>
      </c>
      <c r="O64" s="108">
        <f>'F9-Year(n+4)'!U64</f>
        <v>0</v>
      </c>
      <c r="P64" s="108">
        <f>'F9-Year(n+5)'!U64</f>
        <v>0</v>
      </c>
    </row>
    <row r="65" spans="3:16" x14ac:dyDescent="0.25">
      <c r="C65" s="17"/>
      <c r="D65" s="17" t="s">
        <v>385</v>
      </c>
      <c r="E65" s="17">
        <f>0*29.45/100</f>
        <v>0</v>
      </c>
      <c r="F65" s="59">
        <f>'F9-Year(n-1)'!U65</f>
        <v>207.61512866499999</v>
      </c>
      <c r="G65" s="17"/>
      <c r="H65" s="66">
        <f>[36]F8!H65*29.45/70.55</f>
        <v>0</v>
      </c>
      <c r="I65" s="108">
        <f>SUM('F9-Year(n)'!I65:N65)</f>
        <v>0</v>
      </c>
      <c r="J65" s="108">
        <f>SUM('F9-Year(n)'!O64:T64)</f>
        <v>13.077298415999998</v>
      </c>
      <c r="K65" s="66">
        <f t="shared" si="6"/>
        <v>13.077298415999998</v>
      </c>
      <c r="L65" s="108">
        <f>'F9-Year(n+2)'!U66</f>
        <v>226.30181040000002</v>
      </c>
      <c r="M65" s="108" t="e">
        <f>#REF!</f>
        <v>#REF!</v>
      </c>
      <c r="N65" s="108">
        <f>'F9-Year(n+3)'!U65</f>
        <v>0</v>
      </c>
      <c r="O65" s="108">
        <f>'F9-Year(n+4)'!U65</f>
        <v>0</v>
      </c>
      <c r="P65" s="108">
        <f>'F9-Year(n+5)'!U65</f>
        <v>0</v>
      </c>
    </row>
    <row r="66" spans="3:16" x14ac:dyDescent="0.25">
      <c r="C66" s="17"/>
      <c r="D66" s="17" t="s">
        <v>386</v>
      </c>
      <c r="E66" s="17">
        <f>0*29.45/100</f>
        <v>0</v>
      </c>
      <c r="F66" s="59">
        <f>'F9-Year(n-1)'!U66</f>
        <v>273.88269789349999</v>
      </c>
      <c r="G66" s="17"/>
      <c r="H66" s="66">
        <f>[36]F8!H66*29.45/70.55</f>
        <v>0</v>
      </c>
      <c r="I66" s="108">
        <f>SUM('F9-Year(n)'!I65:N65)</f>
        <v>0</v>
      </c>
      <c r="J66" s="108">
        <f>SUM('F9-Year(n)'!O65:T65)</f>
        <v>0</v>
      </c>
      <c r="K66" s="66">
        <f t="shared" si="6"/>
        <v>0</v>
      </c>
      <c r="L66" s="108">
        <f>'F9-Year(n+2)'!U67</f>
        <v>316.64710679999996</v>
      </c>
      <c r="M66" s="108" t="e">
        <f>#REF!</f>
        <v>#REF!</v>
      </c>
      <c r="N66" s="108">
        <f>'F9-Year(n+3)'!U66</f>
        <v>233.34084926999992</v>
      </c>
      <c r="O66" s="108">
        <f>'F9-Year(n+4)'!U66</f>
        <v>233.34084926999992</v>
      </c>
      <c r="P66" s="108">
        <f>'F9-Year(n+5)'!U66</f>
        <v>233.34084926999992</v>
      </c>
    </row>
    <row r="67" spans="3:16" hidden="1" x14ac:dyDescent="0.25">
      <c r="C67" s="17"/>
      <c r="D67" s="17"/>
      <c r="E67" s="17"/>
      <c r="F67" s="59">
        <f>'F9-Year(n-1)'!U67</f>
        <v>0</v>
      </c>
      <c r="G67" s="17"/>
      <c r="H67" s="66">
        <f>[36]F8!H67*29.45/70.55</f>
        <v>0</v>
      </c>
      <c r="I67" s="108">
        <f>SUM('F9-Year(n)'!I66:N66)</f>
        <v>0</v>
      </c>
      <c r="J67" s="108">
        <f>SUM('F9-Year(n)'!O66:T66)</f>
        <v>0</v>
      </c>
      <c r="K67" s="66">
        <f t="shared" si="6"/>
        <v>0</v>
      </c>
      <c r="L67" s="108">
        <f>'F9-Year(n+2)'!U68</f>
        <v>0</v>
      </c>
      <c r="M67" s="108" t="e">
        <f>#REF!</f>
        <v>#REF!</v>
      </c>
      <c r="N67" s="108">
        <f>'F9-Year(n+3)'!U67</f>
        <v>324.34399977000004</v>
      </c>
      <c r="O67" s="108">
        <f>'F9-Year(n+4)'!U67</f>
        <v>324.34399977000004</v>
      </c>
      <c r="P67" s="108">
        <f>'F9-Year(n+5)'!U67</f>
        <v>324.34399977000004</v>
      </c>
    </row>
    <row r="68" spans="3:16" hidden="1" x14ac:dyDescent="0.25">
      <c r="C68" s="17"/>
      <c r="D68" s="17"/>
      <c r="E68" s="17"/>
      <c r="F68" s="59">
        <f>'F9-Year(n-1)'!U68</f>
        <v>0</v>
      </c>
      <c r="G68" s="17"/>
      <c r="H68" s="66">
        <f>[36]F8!H68*29.45/70.55</f>
        <v>0</v>
      </c>
      <c r="I68" s="108">
        <f>SUM('F9-Year(n)'!I67:N67)</f>
        <v>0</v>
      </c>
      <c r="J68" s="108">
        <f>SUM('F9-Year(n)'!O67:T67)</f>
        <v>0</v>
      </c>
      <c r="K68" s="66">
        <f t="shared" si="6"/>
        <v>0</v>
      </c>
      <c r="L68" s="108">
        <f>'F9-Year(n+2)'!U69</f>
        <v>0</v>
      </c>
      <c r="M68" s="108" t="e">
        <f>#REF!</f>
        <v>#REF!</v>
      </c>
      <c r="N68" s="108">
        <f>'F9-Year(n+3)'!U68</f>
        <v>0</v>
      </c>
      <c r="O68" s="108">
        <f>'F9-Year(n+4)'!U68</f>
        <v>0</v>
      </c>
      <c r="P68" s="108">
        <f>'F9-Year(n+5)'!U68</f>
        <v>0</v>
      </c>
    </row>
    <row r="69" spans="3:16" hidden="1" x14ac:dyDescent="0.25">
      <c r="C69" s="17"/>
      <c r="D69" s="17"/>
      <c r="E69" s="17"/>
      <c r="F69" s="59">
        <f>'F9-Year(n-1)'!U69</f>
        <v>0</v>
      </c>
      <c r="G69" s="17"/>
      <c r="H69" s="66">
        <f>[36]F8!H69*29.45/70.55</f>
        <v>0</v>
      </c>
      <c r="I69" s="108">
        <f>SUM('F9-Year(n)'!I68:N68)</f>
        <v>0</v>
      </c>
      <c r="J69" s="108">
        <f>SUM('F9-Year(n)'!O68:T68)</f>
        <v>0</v>
      </c>
      <c r="K69" s="66">
        <f t="shared" si="6"/>
        <v>0</v>
      </c>
      <c r="L69" s="108">
        <f>'F9-Year(n+2)'!U70</f>
        <v>0</v>
      </c>
      <c r="M69" s="108" t="e">
        <f>#REF!</f>
        <v>#REF!</v>
      </c>
      <c r="N69" s="108">
        <f>'F9-Year(n+3)'!U69</f>
        <v>0</v>
      </c>
      <c r="O69" s="108">
        <f>'F9-Year(n+4)'!U69</f>
        <v>0</v>
      </c>
      <c r="P69" s="108">
        <f>'F9-Year(n+5)'!U69</f>
        <v>0</v>
      </c>
    </row>
    <row r="70" spans="3:16" hidden="1" x14ac:dyDescent="0.25">
      <c r="C70" s="17"/>
      <c r="D70" s="17"/>
      <c r="E70" s="17"/>
      <c r="F70" s="59">
        <f>'F9-Year(n-1)'!U70</f>
        <v>0</v>
      </c>
      <c r="G70" s="17"/>
      <c r="H70" s="66">
        <f>[36]F8!H70*29.45/70.55</f>
        <v>0</v>
      </c>
      <c r="I70" s="108">
        <f>SUM('F9-Year(n)'!I69:N69)</f>
        <v>0</v>
      </c>
      <c r="J70" s="108">
        <f>SUM('F9-Year(n)'!O69:T69)</f>
        <v>0</v>
      </c>
      <c r="K70" s="66">
        <f t="shared" si="6"/>
        <v>0</v>
      </c>
      <c r="L70" s="108">
        <f>'F9-Year(n+2)'!U71</f>
        <v>0</v>
      </c>
      <c r="M70" s="108" t="e">
        <f>#REF!</f>
        <v>#REF!</v>
      </c>
      <c r="N70" s="108">
        <f>'F9-Year(n+3)'!U70</f>
        <v>0</v>
      </c>
      <c r="O70" s="108">
        <f>'F9-Year(n+4)'!U70</f>
        <v>0</v>
      </c>
      <c r="P70" s="108">
        <f>'F9-Year(n+5)'!U70</f>
        <v>0</v>
      </c>
    </row>
    <row r="71" spans="3:16" hidden="1" x14ac:dyDescent="0.25">
      <c r="C71" s="17"/>
      <c r="D71" s="17"/>
      <c r="E71" s="17"/>
      <c r="F71" s="59">
        <f>'F9-Year(n-1)'!U71</f>
        <v>0</v>
      </c>
      <c r="G71" s="17"/>
      <c r="H71" s="66">
        <f>[36]F8!H71*29.45/70.55</f>
        <v>0</v>
      </c>
      <c r="I71" s="108">
        <f>SUM('F9-Year(n)'!I70:N70)</f>
        <v>0</v>
      </c>
      <c r="J71" s="108">
        <f>SUM('F9-Year(n)'!O70:T70)</f>
        <v>0</v>
      </c>
      <c r="K71" s="66">
        <f t="shared" si="6"/>
        <v>0</v>
      </c>
      <c r="L71" s="108">
        <f>'F9-Year(n+2)'!U72</f>
        <v>0</v>
      </c>
      <c r="M71" s="108" t="e">
        <f>#REF!</f>
        <v>#REF!</v>
      </c>
      <c r="N71" s="108">
        <f>'F9-Year(n+3)'!U71</f>
        <v>0</v>
      </c>
      <c r="O71" s="108">
        <f>'F9-Year(n+4)'!U71</f>
        <v>0</v>
      </c>
      <c r="P71" s="108">
        <f>'F9-Year(n+5)'!U71</f>
        <v>0</v>
      </c>
    </row>
    <row r="72" spans="3:16" hidden="1" x14ac:dyDescent="0.25">
      <c r="C72" s="17"/>
      <c r="D72" s="17"/>
      <c r="E72" s="17"/>
      <c r="F72" s="59">
        <f>'F9-Year(n-1)'!U72</f>
        <v>0</v>
      </c>
      <c r="G72" s="17"/>
      <c r="H72" s="66">
        <f>[36]F8!H72*29.45/70.55</f>
        <v>0</v>
      </c>
      <c r="I72" s="108">
        <f>SUM('F9-Year(n)'!I71:N71)</f>
        <v>0</v>
      </c>
      <c r="J72" s="108">
        <f>SUM('F9-Year(n)'!O71:T71)</f>
        <v>0</v>
      </c>
      <c r="K72" s="66">
        <f t="shared" si="6"/>
        <v>0</v>
      </c>
      <c r="L72" s="108">
        <f>'F9-Year(n+2)'!U73</f>
        <v>0</v>
      </c>
      <c r="M72" s="108" t="e">
        <f>#REF!</f>
        <v>#REF!</v>
      </c>
      <c r="N72" s="108">
        <f>'F9-Year(n+3)'!U72</f>
        <v>0</v>
      </c>
      <c r="O72" s="108">
        <f>'F9-Year(n+4)'!U72</f>
        <v>0</v>
      </c>
      <c r="P72" s="108">
        <f>'F9-Year(n+5)'!U72</f>
        <v>0</v>
      </c>
    </row>
    <row r="73" spans="3:16" hidden="1" x14ac:dyDescent="0.25">
      <c r="C73" s="17"/>
      <c r="D73" s="17"/>
      <c r="E73" s="17"/>
      <c r="F73" s="59">
        <f>'F9-Year(n-1)'!U73</f>
        <v>0</v>
      </c>
      <c r="G73" s="17"/>
      <c r="H73" s="66">
        <f>[36]F8!H73*29.45/70.55</f>
        <v>0</v>
      </c>
      <c r="I73" s="108">
        <f>SUM('F9-Year(n)'!I72:N72)</f>
        <v>0</v>
      </c>
      <c r="J73" s="108">
        <f>SUM('F9-Year(n)'!O72:T72)</f>
        <v>0</v>
      </c>
      <c r="K73" s="66">
        <f t="shared" si="6"/>
        <v>0</v>
      </c>
      <c r="L73" s="108">
        <f>'F9-Year(n+2)'!U74</f>
        <v>0</v>
      </c>
      <c r="M73" s="108" t="e">
        <f>#REF!</f>
        <v>#REF!</v>
      </c>
      <c r="N73" s="108">
        <f>'F9-Year(n+3)'!U73</f>
        <v>0</v>
      </c>
      <c r="O73" s="108">
        <f>'F9-Year(n+4)'!U73</f>
        <v>0</v>
      </c>
      <c r="P73" s="108">
        <f>'F9-Year(n+5)'!U73</f>
        <v>0</v>
      </c>
    </row>
    <row r="74" spans="3:16" hidden="1" x14ac:dyDescent="0.25">
      <c r="C74" s="17"/>
      <c r="D74" s="17"/>
      <c r="E74" s="17"/>
      <c r="F74" s="59">
        <f>'F9-Year(n-1)'!U74</f>
        <v>0</v>
      </c>
      <c r="G74" s="17"/>
      <c r="H74" s="66">
        <f>[36]F8!H74*29.45/70.55</f>
        <v>0</v>
      </c>
      <c r="I74" s="108">
        <f>SUM('F9-Year(n)'!I73:N73)</f>
        <v>0</v>
      </c>
      <c r="J74" s="108">
        <f>SUM('F9-Year(n)'!O73:T73)</f>
        <v>0</v>
      </c>
      <c r="K74" s="66">
        <f t="shared" si="6"/>
        <v>0</v>
      </c>
      <c r="L74" s="108">
        <f>'F9-Year(n+2)'!U75</f>
        <v>0</v>
      </c>
      <c r="M74" s="108" t="e">
        <f>#REF!</f>
        <v>#REF!</v>
      </c>
      <c r="N74" s="108">
        <f>'F9-Year(n+3)'!U74</f>
        <v>0</v>
      </c>
      <c r="O74" s="108">
        <f>'F9-Year(n+4)'!U74</f>
        <v>0</v>
      </c>
      <c r="P74" s="108">
        <f>'F9-Year(n+5)'!U74</f>
        <v>0</v>
      </c>
    </row>
    <row r="75" spans="3:16" hidden="1" x14ac:dyDescent="0.25">
      <c r="C75" s="17"/>
      <c r="D75" s="17"/>
      <c r="E75" s="17"/>
      <c r="F75" s="59">
        <f>'F9-Year(n-1)'!U75</f>
        <v>0</v>
      </c>
      <c r="G75" s="17"/>
      <c r="H75" s="66">
        <f>[36]F8!H75*29.45/70.55</f>
        <v>0</v>
      </c>
      <c r="I75" s="108">
        <f>SUM('F9-Year(n)'!I74:N74)</f>
        <v>0</v>
      </c>
      <c r="J75" s="108">
        <f>SUM('F9-Year(n)'!O74:T74)</f>
        <v>0</v>
      </c>
      <c r="K75" s="66">
        <f t="shared" si="6"/>
        <v>0</v>
      </c>
      <c r="L75" s="108">
        <f>'F9-Year(n+2)'!U76</f>
        <v>0</v>
      </c>
      <c r="M75" s="108" t="e">
        <f>#REF!</f>
        <v>#REF!</v>
      </c>
      <c r="N75" s="108">
        <f>'F9-Year(n+3)'!U75</f>
        <v>0</v>
      </c>
      <c r="O75" s="108">
        <f>'F9-Year(n+4)'!U75</f>
        <v>0</v>
      </c>
      <c r="P75" s="108">
        <f>'F9-Year(n+5)'!U75</f>
        <v>0</v>
      </c>
    </row>
    <row r="76" spans="3:16" hidden="1" x14ac:dyDescent="0.25">
      <c r="C76" s="17"/>
      <c r="D76" s="17"/>
      <c r="E76" s="17"/>
      <c r="F76" s="59">
        <f>'F9-Year(n-1)'!U76</f>
        <v>0</v>
      </c>
      <c r="G76" s="17"/>
      <c r="H76" s="66">
        <f>[36]F8!H76*29.45/70.55</f>
        <v>0</v>
      </c>
      <c r="I76" s="108">
        <f>SUM('F9-Year(n)'!I75:N75)</f>
        <v>0</v>
      </c>
      <c r="J76" s="108">
        <f>SUM('F9-Year(n)'!O75:T75)</f>
        <v>0</v>
      </c>
      <c r="K76" s="66">
        <f>I76+J76</f>
        <v>0</v>
      </c>
      <c r="L76" s="108">
        <f>'F9-Year(n+2)'!U77</f>
        <v>0</v>
      </c>
      <c r="M76" s="108" t="e">
        <f>#REF!</f>
        <v>#REF!</v>
      </c>
      <c r="N76" s="108">
        <f>'F9-Year(n+3)'!U76</f>
        <v>0</v>
      </c>
      <c r="O76" s="108">
        <f>'F9-Year(n+4)'!U76</f>
        <v>0</v>
      </c>
      <c r="P76" s="108">
        <f>'F9-Year(n+5)'!U76</f>
        <v>0</v>
      </c>
    </row>
    <row r="77" spans="3:16" x14ac:dyDescent="0.25">
      <c r="C77" s="751" t="s">
        <v>212</v>
      </c>
      <c r="D77" s="752"/>
      <c r="E77" s="86">
        <f>SUM(E51:E76)</f>
        <v>5927.13645</v>
      </c>
      <c r="F77" s="86">
        <f>'F9-Year(n-1)'!U77</f>
        <v>4155.7502427901636</v>
      </c>
      <c r="G77" s="86">
        <f>F77-E77</f>
        <v>-1771.3862072098364</v>
      </c>
      <c r="H77" s="86">
        <f>SUM(H29:H76)</f>
        <v>10860.058569999999</v>
      </c>
      <c r="I77" s="86">
        <f>SUM('F9-Year(n)'!I76:N76)</f>
        <v>2273.0001838559997</v>
      </c>
      <c r="J77" s="86">
        <f>SUM('F9-Year(n)'!O76:T76)</f>
        <v>3747.6300738240002</v>
      </c>
      <c r="K77" s="86">
        <f>I77+J77</f>
        <v>6020.6302576799999</v>
      </c>
      <c r="L77" s="86">
        <f>'F9-Year(n+2)'!U78</f>
        <v>8025.0623913615</v>
      </c>
      <c r="M77" s="86" t="e">
        <f>#REF!</f>
        <v>#REF!</v>
      </c>
      <c r="N77" s="86">
        <f>'F9-Year(n+3)'!U77</f>
        <v>8123.0069990399998</v>
      </c>
      <c r="O77" s="86">
        <f>'F9-Year(n+4)'!U77</f>
        <v>8123.0069990399998</v>
      </c>
      <c r="P77" s="86">
        <f>'F9-Year(n+5)'!U77</f>
        <v>8123.0069990399998</v>
      </c>
    </row>
    <row r="78" spans="3:16" x14ac:dyDescent="0.25">
      <c r="C78" s="753" t="s">
        <v>387</v>
      </c>
      <c r="D78" s="754"/>
      <c r="E78" s="17"/>
      <c r="F78" s="17"/>
      <c r="G78" s="17"/>
      <c r="H78" s="66"/>
      <c r="I78" s="17"/>
      <c r="J78" s="17"/>
      <c r="K78" s="17"/>
      <c r="L78" s="17"/>
      <c r="M78" s="17"/>
      <c r="N78" s="17"/>
      <c r="O78" s="17"/>
      <c r="P78" s="17"/>
    </row>
    <row r="79" spans="3:16" x14ac:dyDescent="0.25">
      <c r="C79" s="808" t="s">
        <v>388</v>
      </c>
      <c r="D79" s="17" t="s">
        <v>389</v>
      </c>
      <c r="E79" s="17">
        <f>58.75*29.45/100</f>
        <v>17.301874999999999</v>
      </c>
      <c r="F79" s="59">
        <f>'F9-Year(n-1)'!U79</f>
        <v>21.418250811499998</v>
      </c>
      <c r="G79" s="17"/>
      <c r="H79" s="66">
        <f>[36]F8!H79*29.45/70.55</f>
        <v>16.621579999999998</v>
      </c>
      <c r="I79" s="108">
        <f>SUM('F9-Year(n)'!I78:N78)</f>
        <v>24.231379895999996</v>
      </c>
      <c r="J79" s="108">
        <f>SUM('F9-Year(n)'!O78:T78)</f>
        <v>24.098967983999994</v>
      </c>
      <c r="K79" s="66">
        <f t="shared" ref="K79:K92" si="7">I79+J79</f>
        <v>48.330347879999991</v>
      </c>
      <c r="L79" s="108">
        <f>'F9-Year(n+2)'!U80</f>
        <v>56.983064159999998</v>
      </c>
      <c r="M79" s="108" t="e">
        <f>#REF!</f>
        <v>#REF!</v>
      </c>
      <c r="N79" s="108">
        <f>'F9-Year(n+3)'!U79</f>
        <v>56.869552079999991</v>
      </c>
      <c r="O79" s="108">
        <f>'F9-Year(n+4)'!U79</f>
        <v>56.869552079999991</v>
      </c>
      <c r="P79" s="108">
        <f>'F9-Year(n+5)'!U79</f>
        <v>56.869552079999991</v>
      </c>
    </row>
    <row r="80" spans="3:16" x14ac:dyDescent="0.25">
      <c r="C80" s="809"/>
      <c r="D80" s="17" t="s">
        <v>390</v>
      </c>
      <c r="E80" s="17">
        <f>450.72*29.45/100</f>
        <v>132.73704000000001</v>
      </c>
      <c r="F80" s="59">
        <f>'F9-Year(n-1)'!U80</f>
        <v>320.11212400349996</v>
      </c>
      <c r="G80" s="17"/>
      <c r="H80" s="66">
        <f>[36]F8!H80*29.45/70.55</f>
        <v>125.71026999999998</v>
      </c>
      <c r="I80" s="108">
        <f>SUM('F9-Year(n)'!I79:N79)</f>
        <v>74.453223527999981</v>
      </c>
      <c r="J80" s="108">
        <f>SUM('F9-Year(n)'!O79:T79)</f>
        <v>74.046375311999981</v>
      </c>
      <c r="K80" s="66">
        <f t="shared" si="7"/>
        <v>148.49959883999998</v>
      </c>
      <c r="L80" s="108">
        <f>'F9-Year(n+2)'!U81</f>
        <v>175.14913943999997</v>
      </c>
      <c r="M80" s="108" t="e">
        <f>#REF!</f>
        <v>#REF!</v>
      </c>
      <c r="N80" s="108">
        <f>'F9-Year(n+3)'!U80</f>
        <v>174.69509112000006</v>
      </c>
      <c r="O80" s="108">
        <f>'F9-Year(n+4)'!U80</f>
        <v>174.69509112000006</v>
      </c>
      <c r="P80" s="108">
        <f>'F9-Year(n+5)'!U80</f>
        <v>174.69509112000006</v>
      </c>
    </row>
    <row r="81" spans="3:16" x14ac:dyDescent="0.25">
      <c r="C81" s="809"/>
      <c r="D81" s="17" t="s">
        <v>391</v>
      </c>
      <c r="E81" s="17">
        <f>448.3*29.45/100</f>
        <v>132.02435</v>
      </c>
      <c r="F81" s="59">
        <f>'F9-Year(n-1)'!U81</f>
        <v>0</v>
      </c>
      <c r="G81" s="17"/>
      <c r="H81" s="66">
        <f>[36]F8!H81*29.45/70.55</f>
        <v>136.21803000000003</v>
      </c>
      <c r="I81" s="108">
        <f>SUM('F9-Year(n)'!I80:N80)</f>
        <v>79.191755622000002</v>
      </c>
      <c r="J81" s="108">
        <f>SUM('F9-Year(n)'!O80:T80)</f>
        <v>78.759013788000004</v>
      </c>
      <c r="K81" s="66">
        <f t="shared" si="7"/>
        <v>157.95076941000002</v>
      </c>
      <c r="L81" s="108">
        <f>'F9-Year(n+2)'!U82</f>
        <v>186.27332327999997</v>
      </c>
      <c r="M81" s="108" t="e">
        <f>#REF!</f>
        <v>#REF!</v>
      </c>
      <c r="N81" s="108">
        <f>'F9-Year(n+3)'!U81</f>
        <v>185.81927496</v>
      </c>
      <c r="O81" s="108">
        <f>'F9-Year(n+4)'!U81</f>
        <v>185.81927496</v>
      </c>
      <c r="P81" s="108">
        <f>'F9-Year(n+5)'!U81</f>
        <v>185.81927496</v>
      </c>
    </row>
    <row r="82" spans="3:16" x14ac:dyDescent="0.25">
      <c r="C82" s="809"/>
      <c r="D82" s="17" t="s">
        <v>392</v>
      </c>
      <c r="E82" s="17">
        <f>287.66*29.45/100</f>
        <v>84.71587000000001</v>
      </c>
      <c r="F82" s="59">
        <f>'F9-Year(n-1)'!U82</f>
        <v>103.50376048849999</v>
      </c>
      <c r="G82" s="17"/>
      <c r="H82" s="66">
        <f>[36]F8!H82*29.45/70.55</f>
        <v>98.598600000000005</v>
      </c>
      <c r="I82" s="108">
        <f>SUM('F9-Year(n)'!I81:N81)</f>
        <v>54.971369999999993</v>
      </c>
      <c r="J82" s="108">
        <f>SUM('F9-Year(n)'!O81:T81)</f>
        <v>54.67098</v>
      </c>
      <c r="K82" s="66">
        <f t="shared" si="7"/>
        <v>109.64234999999999</v>
      </c>
      <c r="L82" s="108">
        <f>'F9-Year(n+2)'!U83</f>
        <v>140.60018999999994</v>
      </c>
      <c r="M82" s="108" t="e">
        <f>#REF!</f>
        <v>#REF!</v>
      </c>
      <c r="N82" s="108">
        <f>'F9-Year(n+3)'!U82</f>
        <v>128.99100000000001</v>
      </c>
      <c r="O82" s="108">
        <f>'F9-Year(n+4)'!U82</f>
        <v>128.99100000000001</v>
      </c>
      <c r="P82" s="108">
        <f>'F9-Year(n+5)'!U82</f>
        <v>128.99100000000001</v>
      </c>
    </row>
    <row r="83" spans="3:16" x14ac:dyDescent="0.25">
      <c r="C83" s="810"/>
      <c r="D83" s="17" t="s">
        <v>393</v>
      </c>
      <c r="E83" s="17"/>
      <c r="F83" s="59">
        <f>'F9-Year(n-1)'!U83</f>
        <v>0</v>
      </c>
      <c r="G83" s="17"/>
      <c r="H83" s="66">
        <f>[36]F8!H83*29.45/70.55</f>
        <v>0</v>
      </c>
      <c r="I83" s="108">
        <f>SUM('F9-Year(n)'!I82:N82)</f>
        <v>4.7275378200000002</v>
      </c>
      <c r="J83" s="108">
        <f>SUM('F9-Year(n)'!O82:T82)</f>
        <v>4.7017042799999995</v>
      </c>
      <c r="K83" s="66">
        <f t="shared" si="7"/>
        <v>9.4292420999999997</v>
      </c>
      <c r="L83" s="108">
        <f>'F9-Year(n+2)'!U84</f>
        <v>0</v>
      </c>
      <c r="M83" s="108" t="e">
        <f>#REF!</f>
        <v>#REF!</v>
      </c>
      <c r="N83" s="108">
        <f>'F9-Year(n+3)'!U83</f>
        <v>11.688164422395467</v>
      </c>
      <c r="O83" s="108">
        <f>'F9-Year(n+4)'!U83</f>
        <v>11.688164422395467</v>
      </c>
      <c r="P83" s="108">
        <f>'F9-Year(n+5)'!U83</f>
        <v>11.688164422395467</v>
      </c>
    </row>
    <row r="84" spans="3:16" hidden="1" x14ac:dyDescent="0.25">
      <c r="C84" s="17"/>
      <c r="D84" s="17"/>
      <c r="E84" s="17"/>
      <c r="F84" s="59">
        <f>'F9-Year(n-1)'!U84</f>
        <v>0</v>
      </c>
      <c r="G84" s="17"/>
      <c r="H84" s="17"/>
      <c r="I84" s="108">
        <f>SUM('F9-Year(n)'!I83:N83)</f>
        <v>0</v>
      </c>
      <c r="J84" s="108">
        <f>SUM('F9-Year(n)'!O83:T83)</f>
        <v>0</v>
      </c>
      <c r="K84" s="66">
        <f t="shared" si="7"/>
        <v>0</v>
      </c>
      <c r="L84" s="108">
        <f>'F9-Year(n+2)'!U85</f>
        <v>0</v>
      </c>
      <c r="M84" s="108" t="e">
        <f>#REF!</f>
        <v>#REF!</v>
      </c>
      <c r="N84" s="108">
        <f>'F9-Year(n+3)'!U84</f>
        <v>0</v>
      </c>
      <c r="O84" s="108">
        <f>'F9-Year(n+4)'!U84</f>
        <v>0</v>
      </c>
      <c r="P84" s="108">
        <f>'F9-Year(n+5)'!U84</f>
        <v>0</v>
      </c>
    </row>
    <row r="85" spans="3:16" hidden="1" x14ac:dyDescent="0.25">
      <c r="C85" s="17"/>
      <c r="D85" s="17"/>
      <c r="E85" s="17"/>
      <c r="F85" s="59">
        <f>'F9-Year(n-1)'!U85</f>
        <v>0</v>
      </c>
      <c r="G85" s="17"/>
      <c r="H85" s="17"/>
      <c r="I85" s="108">
        <f>SUM('F9-Year(n)'!I84:N84)</f>
        <v>0</v>
      </c>
      <c r="J85" s="108">
        <f>SUM('F9-Year(n)'!O84:T84)</f>
        <v>0</v>
      </c>
      <c r="K85" s="66">
        <f t="shared" si="7"/>
        <v>0</v>
      </c>
      <c r="L85" s="108">
        <f>'F9-Year(n+2)'!U86</f>
        <v>0</v>
      </c>
      <c r="M85" s="108" t="e">
        <f>#REF!</f>
        <v>#REF!</v>
      </c>
      <c r="N85" s="108">
        <f>'F9-Year(n+3)'!U85</f>
        <v>0</v>
      </c>
      <c r="O85" s="108">
        <f>'F9-Year(n+4)'!U85</f>
        <v>0</v>
      </c>
      <c r="P85" s="108">
        <f>'F9-Year(n+5)'!U85</f>
        <v>0</v>
      </c>
    </row>
    <row r="86" spans="3:16" hidden="1" x14ac:dyDescent="0.25">
      <c r="C86" s="17"/>
      <c r="D86" s="17"/>
      <c r="E86" s="17"/>
      <c r="F86" s="59">
        <f>'F9-Year(n-1)'!U86</f>
        <v>0</v>
      </c>
      <c r="G86" s="17"/>
      <c r="H86" s="17"/>
      <c r="I86" s="108">
        <f>SUM('F9-Year(n)'!I85:N85)</f>
        <v>0</v>
      </c>
      <c r="J86" s="108">
        <f>SUM('F9-Year(n)'!O85:T85)</f>
        <v>0</v>
      </c>
      <c r="K86" s="66">
        <f t="shared" si="7"/>
        <v>0</v>
      </c>
      <c r="L86" s="108">
        <f>'F9-Year(n+2)'!U87</f>
        <v>0</v>
      </c>
      <c r="M86" s="108" t="e">
        <f>#REF!</f>
        <v>#REF!</v>
      </c>
      <c r="N86" s="108">
        <f>'F9-Year(n+3)'!U86</f>
        <v>0</v>
      </c>
      <c r="O86" s="108">
        <f>'F9-Year(n+4)'!U86</f>
        <v>0</v>
      </c>
      <c r="P86" s="108">
        <f>'F9-Year(n+5)'!U86</f>
        <v>0</v>
      </c>
    </row>
    <row r="87" spans="3:16" hidden="1" x14ac:dyDescent="0.25">
      <c r="C87" s="17"/>
      <c r="D87" s="17"/>
      <c r="E87" s="17"/>
      <c r="F87" s="59">
        <f>'F9-Year(n-1)'!U87</f>
        <v>0</v>
      </c>
      <c r="G87" s="17"/>
      <c r="H87" s="17"/>
      <c r="I87" s="108">
        <f>SUM('F9-Year(n)'!I86:N86)</f>
        <v>0</v>
      </c>
      <c r="J87" s="108">
        <f>SUM('F9-Year(n)'!O86:T86)</f>
        <v>0</v>
      </c>
      <c r="K87" s="66">
        <f t="shared" si="7"/>
        <v>0</v>
      </c>
      <c r="L87" s="108">
        <f>'F9-Year(n+2)'!U88</f>
        <v>0</v>
      </c>
      <c r="M87" s="108" t="e">
        <f>#REF!</f>
        <v>#REF!</v>
      </c>
      <c r="N87" s="108">
        <f>'F9-Year(n+3)'!U87</f>
        <v>0</v>
      </c>
      <c r="O87" s="108">
        <f>'F9-Year(n+4)'!U87</f>
        <v>0</v>
      </c>
      <c r="P87" s="108">
        <f>'F9-Year(n+5)'!U87</f>
        <v>0</v>
      </c>
    </row>
    <row r="88" spans="3:16" hidden="1" x14ac:dyDescent="0.25">
      <c r="C88" s="17"/>
      <c r="D88" s="17"/>
      <c r="E88" s="17"/>
      <c r="F88" s="59">
        <f>'F9-Year(n-1)'!U88</f>
        <v>0</v>
      </c>
      <c r="G88" s="17"/>
      <c r="H88" s="17"/>
      <c r="I88" s="108">
        <f>SUM('F9-Year(n)'!I87:N87)</f>
        <v>0</v>
      </c>
      <c r="J88" s="108">
        <f>SUM('F9-Year(n)'!O87:T87)</f>
        <v>0</v>
      </c>
      <c r="K88" s="66">
        <f t="shared" si="7"/>
        <v>0</v>
      </c>
      <c r="L88" s="108">
        <f>'F9-Year(n+2)'!U89</f>
        <v>0</v>
      </c>
      <c r="M88" s="108" t="e">
        <f>#REF!</f>
        <v>#REF!</v>
      </c>
      <c r="N88" s="108">
        <f>'F9-Year(n+3)'!U88</f>
        <v>0</v>
      </c>
      <c r="O88" s="108">
        <f>'F9-Year(n+4)'!U88</f>
        <v>0</v>
      </c>
      <c r="P88" s="108">
        <f>'F9-Year(n+5)'!U88</f>
        <v>0</v>
      </c>
    </row>
    <row r="89" spans="3:16" hidden="1" x14ac:dyDescent="0.25">
      <c r="C89" s="17"/>
      <c r="D89" s="17"/>
      <c r="E89" s="17"/>
      <c r="F89" s="59">
        <f>'F9-Year(n-1)'!U89</f>
        <v>0</v>
      </c>
      <c r="G89" s="17"/>
      <c r="H89" s="17"/>
      <c r="I89" s="108">
        <f>SUM('F9-Year(n)'!I88:N88)</f>
        <v>0</v>
      </c>
      <c r="J89" s="108">
        <f>SUM('F9-Year(n)'!O88:T88)</f>
        <v>0</v>
      </c>
      <c r="K89" s="66">
        <f t="shared" si="7"/>
        <v>0</v>
      </c>
      <c r="L89" s="108">
        <f>'F9-Year(n+2)'!U90</f>
        <v>0</v>
      </c>
      <c r="M89" s="108" t="e">
        <f>#REF!</f>
        <v>#REF!</v>
      </c>
      <c r="N89" s="108">
        <f>'F9-Year(n+3)'!U89</f>
        <v>0</v>
      </c>
      <c r="O89" s="108">
        <f>'F9-Year(n+4)'!U89</f>
        <v>0</v>
      </c>
      <c r="P89" s="108">
        <f>'F9-Year(n+5)'!U89</f>
        <v>0</v>
      </c>
    </row>
    <row r="90" spans="3:16" hidden="1" x14ac:dyDescent="0.25">
      <c r="C90" s="17"/>
      <c r="D90" s="17"/>
      <c r="E90" s="17"/>
      <c r="F90" s="59">
        <f>'F9-Year(n-1)'!U90</f>
        <v>0</v>
      </c>
      <c r="G90" s="17"/>
      <c r="H90" s="17"/>
      <c r="I90" s="108">
        <f>SUM('F9-Year(n)'!I89:N89)</f>
        <v>0</v>
      </c>
      <c r="J90" s="108">
        <f>SUM('F9-Year(n)'!O89:T89)</f>
        <v>0</v>
      </c>
      <c r="K90" s="66">
        <f t="shared" si="7"/>
        <v>0</v>
      </c>
      <c r="L90" s="108">
        <f>'F9-Year(n+2)'!U91</f>
        <v>0</v>
      </c>
      <c r="M90" s="108" t="e">
        <f>#REF!</f>
        <v>#REF!</v>
      </c>
      <c r="N90" s="108">
        <f>'F9-Year(n+3)'!U90</f>
        <v>0</v>
      </c>
      <c r="O90" s="108">
        <f>'F9-Year(n+4)'!U90</f>
        <v>0</v>
      </c>
      <c r="P90" s="108">
        <f>'F9-Year(n+5)'!U90</f>
        <v>0</v>
      </c>
    </row>
    <row r="91" spans="3:16" hidden="1" x14ac:dyDescent="0.25">
      <c r="C91" s="17"/>
      <c r="D91" s="17"/>
      <c r="E91" s="17"/>
      <c r="F91" s="59">
        <f>'F9-Year(n-1)'!U91</f>
        <v>0</v>
      </c>
      <c r="G91" s="17"/>
      <c r="H91" s="17"/>
      <c r="I91" s="108">
        <f>SUM('F9-Year(n)'!I90:N90)</f>
        <v>0</v>
      </c>
      <c r="J91" s="108">
        <f>SUM('F9-Year(n)'!O90:T90)</f>
        <v>0</v>
      </c>
      <c r="K91" s="66">
        <f t="shared" si="7"/>
        <v>0</v>
      </c>
      <c r="L91" s="108">
        <f>'F9-Year(n+2)'!U92</f>
        <v>0</v>
      </c>
      <c r="M91" s="108" t="e">
        <f>#REF!</f>
        <v>#REF!</v>
      </c>
      <c r="N91" s="108">
        <f>'F9-Year(n+3)'!U91</f>
        <v>0</v>
      </c>
      <c r="O91" s="108">
        <f>'F9-Year(n+4)'!U91</f>
        <v>0</v>
      </c>
      <c r="P91" s="108">
        <f>'F9-Year(n+5)'!U91</f>
        <v>0</v>
      </c>
    </row>
    <row r="92" spans="3:16" hidden="1" x14ac:dyDescent="0.25">
      <c r="C92" s="17"/>
      <c r="D92" s="17"/>
      <c r="E92" s="17"/>
      <c r="F92" s="59">
        <f>'F9-Year(n-1)'!U92</f>
        <v>0</v>
      </c>
      <c r="G92" s="17"/>
      <c r="H92" s="17"/>
      <c r="I92" s="108">
        <f>SUM('F9-Year(n)'!I91:N91)</f>
        <v>0</v>
      </c>
      <c r="J92" s="108">
        <f>SUM('F9-Year(n)'!O91:T91)</f>
        <v>0</v>
      </c>
      <c r="K92" s="66">
        <f t="shared" si="7"/>
        <v>0</v>
      </c>
      <c r="L92" s="108">
        <f>'F9-Year(n+2)'!U93</f>
        <v>0</v>
      </c>
      <c r="M92" s="108" t="e">
        <f>#REF!</f>
        <v>#REF!</v>
      </c>
      <c r="N92" s="108">
        <f>'F9-Year(n+3)'!U92</f>
        <v>0</v>
      </c>
      <c r="O92" s="108">
        <f>'F9-Year(n+4)'!U92</f>
        <v>0</v>
      </c>
      <c r="P92" s="108">
        <f>'F9-Year(n+5)'!U92</f>
        <v>0</v>
      </c>
    </row>
    <row r="93" spans="3:16" x14ac:dyDescent="0.25">
      <c r="C93" s="751" t="s">
        <v>212</v>
      </c>
      <c r="D93" s="752"/>
      <c r="E93" s="86">
        <f>SUM(E79:E92)</f>
        <v>366.779135</v>
      </c>
      <c r="F93" s="86">
        <f>'F9-Year(n-1)'!U93</f>
        <v>445.03413530349997</v>
      </c>
      <c r="G93" s="86">
        <f t="shared" ref="G93:G94" si="8">F93-E93</f>
        <v>78.255000303499969</v>
      </c>
      <c r="H93" s="86">
        <f>SUM(H79:H92)</f>
        <v>377.14848000000006</v>
      </c>
      <c r="I93" s="86">
        <f>SUM('F9-Year(n)'!I92:N92)</f>
        <v>237.57526686599996</v>
      </c>
      <c r="J93" s="86">
        <f>SUM('F9-Year(n)'!O92:T92)</f>
        <v>236.27704136399998</v>
      </c>
      <c r="K93" s="86">
        <f t="shared" ref="K93:K94" si="9">I93+J93</f>
        <v>473.85230822999995</v>
      </c>
      <c r="L93" s="86">
        <f>'F9-Year(n+2)'!U94</f>
        <v>559.0057168799998</v>
      </c>
      <c r="M93" s="86" t="e">
        <f>#REF!</f>
        <v>#REF!</v>
      </c>
      <c r="N93" s="86">
        <f>'F9-Year(n+3)'!U93</f>
        <v>558.06308258239551</v>
      </c>
      <c r="O93" s="86">
        <f>'F9-Year(n+4)'!U93</f>
        <v>558.06308258239551</v>
      </c>
      <c r="P93" s="86">
        <f>'F9-Year(n+5)'!U93</f>
        <v>558.06308258239551</v>
      </c>
    </row>
    <row r="94" spans="3:16" x14ac:dyDescent="0.25">
      <c r="C94" s="753" t="s">
        <v>394</v>
      </c>
      <c r="D94" s="754"/>
      <c r="E94" s="86">
        <f>SUM(E93:E93)</f>
        <v>366.779135</v>
      </c>
      <c r="F94" s="86">
        <f>'F9-Year(n-1)'!U94</f>
        <v>4600.7843780936637</v>
      </c>
      <c r="G94" s="86">
        <f t="shared" si="8"/>
        <v>4234.0052430936639</v>
      </c>
      <c r="H94" s="86">
        <f>SUM(H93:H93)</f>
        <v>377.14848000000006</v>
      </c>
      <c r="I94" s="86">
        <f>SUM('F9-Year(n)'!I93:N93)</f>
        <v>2510.5754507219999</v>
      </c>
      <c r="J94" s="86">
        <f>SUM('F9-Year(n)'!O93:T93)</f>
        <v>3983.9071151880003</v>
      </c>
      <c r="K94" s="86">
        <f t="shared" si="9"/>
        <v>6494.4825659100006</v>
      </c>
      <c r="L94" s="86">
        <f>'F9-Year(n+2)'!U95</f>
        <v>8584.0681082414994</v>
      </c>
      <c r="M94" s="86" t="e">
        <f>#REF!</f>
        <v>#REF!</v>
      </c>
      <c r="N94" s="86">
        <f>'F9-Year(n+3)'!U94</f>
        <v>8681.0700816223944</v>
      </c>
      <c r="O94" s="86">
        <f>'F9-Year(n+4)'!U94</f>
        <v>8681.0700816223944</v>
      </c>
      <c r="P94" s="86">
        <f>'F9-Year(n+5)'!U94</f>
        <v>8681.0700816223944</v>
      </c>
    </row>
    <row r="95" spans="3:16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</row>
    <row r="96" spans="3:16" x14ac:dyDescent="0.25">
      <c r="C96" s="17" t="s">
        <v>396</v>
      </c>
      <c r="D96" s="17" t="s">
        <v>396</v>
      </c>
      <c r="E96" s="17">
        <f>2360.38*29.45/100</f>
        <v>695.13191000000006</v>
      </c>
      <c r="F96" s="59">
        <f>'F9-Year(n-1)'!U96</f>
        <v>643.91757250700005</v>
      </c>
      <c r="G96" s="17"/>
      <c r="H96" s="17">
        <f>[36]F8!H96*29.45/70.55</f>
        <v>652.88882999999998</v>
      </c>
      <c r="I96" s="108">
        <f>SUM('F9-Year(n)'!I95:N95)</f>
        <v>296.24071293000003</v>
      </c>
      <c r="J96" s="108">
        <f>SUM('F9-Year(n)'!O95:T95)</f>
        <v>294.62191122000002</v>
      </c>
      <c r="K96" s="66">
        <f t="shared" ref="K96:K102" si="10">I96+J96</f>
        <v>590.8626241500001</v>
      </c>
      <c r="L96" s="108">
        <f>'F9-Year(n+2)'!U97</f>
        <v>590.86262414999999</v>
      </c>
      <c r="M96" s="108" t="e">
        <f>#REF!</f>
        <v>#REF!</v>
      </c>
      <c r="N96" s="108">
        <f>'F9-Year(n+3)'!U96</f>
        <v>590.86262414999999</v>
      </c>
      <c r="O96" s="108">
        <f>'F9-Year(n+4)'!U96</f>
        <v>590.86262414999999</v>
      </c>
      <c r="P96" s="108">
        <f>'F9-Year(n+5)'!U96</f>
        <v>590.86262414999999</v>
      </c>
    </row>
    <row r="97" spans="3:16" x14ac:dyDescent="0.25">
      <c r="C97" s="17" t="s">
        <v>397</v>
      </c>
      <c r="D97" s="17" t="s">
        <v>397</v>
      </c>
      <c r="E97" s="17">
        <f>4993.2*29.45/100</f>
        <v>1470.4974</v>
      </c>
      <c r="F97" s="59">
        <f>'F9-Year(n-1)'!U97</f>
        <v>1188.7809518942502</v>
      </c>
      <c r="G97" s="17"/>
      <c r="H97" s="17">
        <f>[36]F8!H97*29.45/70.55</f>
        <v>1328.2450650000001</v>
      </c>
      <c r="I97" s="108">
        <f>SUM('F9-Year(n)'!I96:N96)</f>
        <v>626.67361799999992</v>
      </c>
      <c r="J97" s="108">
        <f>SUM('F9-Year(n)'!O96:T96)</f>
        <v>623.24917199999993</v>
      </c>
      <c r="K97" s="66">
        <f t="shared" si="10"/>
        <v>1249.9227899999998</v>
      </c>
      <c r="L97" s="108">
        <f>'F9-Year(n+2)'!U98</f>
        <v>0</v>
      </c>
      <c r="M97" s="108" t="e">
        <f>#REF!</f>
        <v>#REF!</v>
      </c>
      <c r="N97" s="108">
        <f>'F9-Year(n+3)'!U97</f>
        <v>0</v>
      </c>
      <c r="O97" s="108">
        <f>'F9-Year(n+4)'!U97</f>
        <v>0</v>
      </c>
      <c r="P97" s="108">
        <f>'F9-Year(n+5)'!U97</f>
        <v>0</v>
      </c>
    </row>
    <row r="98" spans="3:16" hidden="1" x14ac:dyDescent="0.25">
      <c r="C98" s="17"/>
      <c r="D98" s="17"/>
      <c r="E98" s="17"/>
      <c r="F98" s="59">
        <f>'F9-Year(n-1)'!U98</f>
        <v>0</v>
      </c>
      <c r="G98" s="17"/>
      <c r="H98" s="17"/>
      <c r="I98" s="108">
        <f>SUM('F9-Year(n)'!I97:N97)</f>
        <v>0</v>
      </c>
      <c r="J98" s="108">
        <f>SUM('F9-Year(n)'!O97:T97)</f>
        <v>0</v>
      </c>
      <c r="K98" s="66">
        <f t="shared" si="10"/>
        <v>0</v>
      </c>
      <c r="L98" s="108">
        <f>'F9-Year(n+2)'!U99</f>
        <v>0</v>
      </c>
      <c r="M98" s="108" t="e">
        <f>#REF!</f>
        <v>#REF!</v>
      </c>
      <c r="N98" s="108">
        <f>'F9-Year(n+3)'!U98</f>
        <v>0</v>
      </c>
      <c r="O98" s="108">
        <f>'F9-Year(n+4)'!U98</f>
        <v>0</v>
      </c>
      <c r="P98" s="108">
        <f>'F9-Year(n+5)'!U98</f>
        <v>0</v>
      </c>
    </row>
    <row r="99" spans="3:16" hidden="1" x14ac:dyDescent="0.25">
      <c r="C99" s="17"/>
      <c r="D99" s="17"/>
      <c r="E99" s="17"/>
      <c r="F99" s="59">
        <f>'F9-Year(n-1)'!U99</f>
        <v>0</v>
      </c>
      <c r="G99" s="17"/>
      <c r="H99" s="17"/>
      <c r="I99" s="108">
        <f>SUM('F9-Year(n)'!I98:N98)</f>
        <v>0</v>
      </c>
      <c r="J99" s="108">
        <f>SUM('F9-Year(n)'!O98:T98)</f>
        <v>0</v>
      </c>
      <c r="K99" s="66">
        <f t="shared" si="10"/>
        <v>0</v>
      </c>
      <c r="L99" s="108">
        <f>'F9-Year(n+2)'!U100</f>
        <v>0</v>
      </c>
      <c r="M99" s="108" t="e">
        <f>#REF!</f>
        <v>#REF!</v>
      </c>
      <c r="N99" s="108">
        <f>'F9-Year(n+3)'!U99</f>
        <v>0</v>
      </c>
      <c r="O99" s="108">
        <f>'F9-Year(n+4)'!U99</f>
        <v>0</v>
      </c>
      <c r="P99" s="108">
        <f>'F9-Year(n+5)'!U99</f>
        <v>0</v>
      </c>
    </row>
    <row r="100" spans="3:16" hidden="1" x14ac:dyDescent="0.25">
      <c r="C100" s="17"/>
      <c r="D100" s="17"/>
      <c r="E100" s="17"/>
      <c r="F100" s="59">
        <f>'F9-Year(n-1)'!U100</f>
        <v>0</v>
      </c>
      <c r="G100" s="17"/>
      <c r="H100" s="17"/>
      <c r="I100" s="108">
        <f>SUM('F9-Year(n)'!I99:N99)</f>
        <v>0</v>
      </c>
      <c r="J100" s="108">
        <f>SUM('F9-Year(n)'!O99:T99)</f>
        <v>0</v>
      </c>
      <c r="K100" s="66">
        <f t="shared" si="10"/>
        <v>0</v>
      </c>
      <c r="L100" s="108">
        <f>'F9-Year(n+2)'!U101</f>
        <v>0</v>
      </c>
      <c r="M100" s="108" t="e">
        <f>#REF!</f>
        <v>#REF!</v>
      </c>
      <c r="N100" s="108">
        <f>'F9-Year(n+3)'!U100</f>
        <v>0</v>
      </c>
      <c r="O100" s="108">
        <f>'F9-Year(n+4)'!U100</f>
        <v>0</v>
      </c>
      <c r="P100" s="108">
        <f>'F9-Year(n+5)'!U100</f>
        <v>0</v>
      </c>
    </row>
    <row r="101" spans="3:16" hidden="1" x14ac:dyDescent="0.25">
      <c r="C101" s="17"/>
      <c r="D101" s="17"/>
      <c r="E101" s="17"/>
      <c r="F101" s="59">
        <f>'F9-Year(n-1)'!U101</f>
        <v>0</v>
      </c>
      <c r="G101" s="17"/>
      <c r="H101" s="17"/>
      <c r="I101" s="108">
        <f>SUM('F9-Year(n)'!I100:N100)</f>
        <v>0</v>
      </c>
      <c r="J101" s="108">
        <f>SUM('F9-Year(n)'!O100:T100)</f>
        <v>0</v>
      </c>
      <c r="K101" s="66">
        <f t="shared" si="10"/>
        <v>0</v>
      </c>
      <c r="L101" s="108">
        <f>'F9-Year(n+2)'!U102</f>
        <v>0</v>
      </c>
      <c r="M101" s="108" t="e">
        <f>#REF!</f>
        <v>#REF!</v>
      </c>
      <c r="N101" s="108">
        <f>'F9-Year(n+3)'!U101</f>
        <v>0</v>
      </c>
      <c r="O101" s="108">
        <f>'F9-Year(n+4)'!U101</f>
        <v>0</v>
      </c>
      <c r="P101" s="108">
        <f>'F9-Year(n+5)'!U101</f>
        <v>0</v>
      </c>
    </row>
    <row r="102" spans="3:16" hidden="1" x14ac:dyDescent="0.25">
      <c r="C102" s="17"/>
      <c r="D102" s="17"/>
      <c r="E102" s="17"/>
      <c r="F102" s="59">
        <f>'F9-Year(n-1)'!U102</f>
        <v>0</v>
      </c>
      <c r="G102" s="17"/>
      <c r="H102" s="17"/>
      <c r="I102" s="108">
        <f>SUM('F9-Year(n)'!I101:N101)</f>
        <v>0</v>
      </c>
      <c r="J102" s="108">
        <f>SUM('F9-Year(n)'!O101:T101)</f>
        <v>0</v>
      </c>
      <c r="K102" s="66">
        <f t="shared" si="10"/>
        <v>0</v>
      </c>
      <c r="L102" s="108">
        <f>'F9-Year(n+2)'!U103</f>
        <v>0</v>
      </c>
      <c r="M102" s="108" t="e">
        <f>#REF!</f>
        <v>#REF!</v>
      </c>
      <c r="N102" s="108">
        <f>'F9-Year(n+3)'!U102</f>
        <v>0</v>
      </c>
      <c r="O102" s="108">
        <f>'F9-Year(n+4)'!U102</f>
        <v>0</v>
      </c>
      <c r="P102" s="108">
        <f>'F9-Year(n+5)'!U102</f>
        <v>0</v>
      </c>
    </row>
    <row r="103" spans="3:16" x14ac:dyDescent="0.25">
      <c r="C103" s="753" t="s">
        <v>398</v>
      </c>
      <c r="D103" s="754"/>
      <c r="E103" s="86">
        <f>SUM(E96:E102)</f>
        <v>2165.6293100000003</v>
      </c>
      <c r="F103" s="86">
        <f>'F9-Year(n-1)'!U103</f>
        <v>1832.6985244012499</v>
      </c>
      <c r="G103" s="86">
        <f>F103-E103</f>
        <v>-332.93078559875039</v>
      </c>
      <c r="H103" s="86">
        <f t="shared" ref="H103" si="11">SUM(H96:H102)</f>
        <v>1981.1338949999999</v>
      </c>
      <c r="I103" s="86">
        <f>SUM('F9-Year(n)'!I102:N102)</f>
        <v>922.91433092999978</v>
      </c>
      <c r="J103" s="86">
        <f>SUM('F9-Year(n)'!O102:T102)</f>
        <v>917.87108321999972</v>
      </c>
      <c r="K103" s="86">
        <f>I103+J103</f>
        <v>1840.7854141499995</v>
      </c>
      <c r="L103" s="86">
        <f>'F9-Year(n+2)'!U104</f>
        <v>590.86262414999999</v>
      </c>
      <c r="M103" s="86" t="e">
        <f>#REF!</f>
        <v>#REF!</v>
      </c>
      <c r="N103" s="86">
        <f>'F9-Year(n+3)'!U103</f>
        <v>590.86262414999999</v>
      </c>
      <c r="O103" s="86">
        <f>'F9-Year(n+4)'!U103</f>
        <v>590.86262414999999</v>
      </c>
      <c r="P103" s="86">
        <f>'F9-Year(n+5)'!U103</f>
        <v>590.86262414999999</v>
      </c>
    </row>
    <row r="104" spans="3:16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</row>
    <row r="105" spans="3:16" x14ac:dyDescent="0.25">
      <c r="C105" s="17" t="s">
        <v>400</v>
      </c>
      <c r="D105" s="17" t="s">
        <v>400</v>
      </c>
      <c r="E105" s="17">
        <f>9044.38*29.45/100</f>
        <v>2663.5699099999997</v>
      </c>
      <c r="F105" s="59">
        <f>'F9-Year(n-1)'!U105</f>
        <v>2568.4735039999996</v>
      </c>
      <c r="G105" s="17"/>
      <c r="H105" s="17">
        <f>[36]F8!H105*29.45/70.55</f>
        <v>2330.145845</v>
      </c>
      <c r="I105" s="108">
        <f>SUM('F9-Year(n)'!I104:N104)</f>
        <v>1222.8267284999999</v>
      </c>
      <c r="J105" s="108">
        <f>SUM('F9-Year(n)'!O104:T104)</f>
        <v>1369.93496798</v>
      </c>
      <c r="K105" s="66">
        <f t="shared" ref="K105:K112" si="12">I105+J105</f>
        <v>2592.76169648</v>
      </c>
      <c r="L105" s="108">
        <f>'F9-Year(n+2)'!U106</f>
        <v>2631.4164000000001</v>
      </c>
      <c r="M105" s="108" t="e">
        <f>#REF!</f>
        <v>#REF!</v>
      </c>
      <c r="N105" s="108">
        <f>'F9-Year(n+3)'!U105</f>
        <v>2631.4164000000001</v>
      </c>
      <c r="O105" s="108">
        <f>'F9-Year(n+4)'!U105</f>
        <v>4385.6939999999995</v>
      </c>
      <c r="P105" s="108">
        <f>'F9-Year(n+5)'!U105</f>
        <v>4385.6939999999995</v>
      </c>
    </row>
    <row r="106" spans="3:16" x14ac:dyDescent="0.25">
      <c r="C106" s="17" t="s">
        <v>401</v>
      </c>
      <c r="D106" s="17" t="s">
        <v>401</v>
      </c>
      <c r="E106" s="17">
        <f>6349.58*29.45/100</f>
        <v>1869.9513099999999</v>
      </c>
      <c r="F106" s="59">
        <f>'F9-Year(n-1)'!U106</f>
        <v>0</v>
      </c>
      <c r="G106" s="17"/>
      <c r="H106" s="17">
        <f>[36]F8!H106*29.45/70.55</f>
        <v>2009.8829849999997</v>
      </c>
      <c r="I106" s="108">
        <f>SUM('F9-Year(n)'!I105:N105)</f>
        <v>0</v>
      </c>
      <c r="J106" s="108">
        <f>SUM('F9-Year(n)'!O105:T105)</f>
        <v>0</v>
      </c>
      <c r="K106" s="66">
        <f t="shared" si="12"/>
        <v>0</v>
      </c>
      <c r="L106" s="108">
        <f>'F9-Year(n+2)'!U107</f>
        <v>0</v>
      </c>
      <c r="M106" s="108" t="e">
        <f>#REF!</f>
        <v>#REF!</v>
      </c>
      <c r="N106" s="108">
        <f>'F9-Year(n+3)'!U106</f>
        <v>0</v>
      </c>
      <c r="O106" s="108">
        <f>'F9-Year(n+4)'!U106</f>
        <v>0</v>
      </c>
      <c r="P106" s="108">
        <f>'F9-Year(n+5)'!U106</f>
        <v>0</v>
      </c>
    </row>
    <row r="107" spans="3:16" x14ac:dyDescent="0.25">
      <c r="C107" s="17" t="s">
        <v>402</v>
      </c>
      <c r="D107" s="17" t="s">
        <v>402</v>
      </c>
      <c r="E107" s="17">
        <f>0*29.45/100</f>
        <v>0</v>
      </c>
      <c r="F107" s="59">
        <f>'F9-Year(n-1)'!U107</f>
        <v>0</v>
      </c>
      <c r="G107" s="17"/>
      <c r="H107" s="17"/>
      <c r="I107" s="108">
        <f>SUM('F9-Year(n)'!I106:N106)</f>
        <v>0</v>
      </c>
      <c r="J107" s="108">
        <f>SUM('F9-Year(n)'!O106:T106)</f>
        <v>0</v>
      </c>
      <c r="K107" s="66">
        <f t="shared" si="12"/>
        <v>0</v>
      </c>
      <c r="L107" s="108">
        <f>'F9-Year(n+2)'!U108</f>
        <v>0</v>
      </c>
      <c r="M107" s="108" t="e">
        <f>#REF!</f>
        <v>#REF!</v>
      </c>
      <c r="N107" s="108">
        <f>'F9-Year(n+3)'!U107</f>
        <v>0</v>
      </c>
      <c r="O107" s="108">
        <f>'F9-Year(n+4)'!U107</f>
        <v>0</v>
      </c>
      <c r="P107" s="108">
        <f>'F9-Year(n+5)'!U107</f>
        <v>0</v>
      </c>
    </row>
    <row r="108" spans="3:16" hidden="1" x14ac:dyDescent="0.25">
      <c r="C108" s="17"/>
      <c r="D108" s="17"/>
      <c r="E108" s="17"/>
      <c r="F108" s="59">
        <f>'F9-Year(n-1)'!U108</f>
        <v>0</v>
      </c>
      <c r="G108" s="17"/>
      <c r="H108" s="17"/>
      <c r="I108" s="108">
        <f>SUM('F9-Year(n)'!I107:N107)</f>
        <v>0</v>
      </c>
      <c r="J108" s="108">
        <f>SUM('F9-Year(n)'!O107:T107)</f>
        <v>0</v>
      </c>
      <c r="K108" s="66">
        <f t="shared" si="12"/>
        <v>0</v>
      </c>
      <c r="L108" s="108">
        <f>'F9-Year(n+2)'!U109</f>
        <v>0</v>
      </c>
      <c r="M108" s="108" t="e">
        <f>#REF!</f>
        <v>#REF!</v>
      </c>
      <c r="N108" s="108">
        <f>'F9-Year(n+3)'!U108</f>
        <v>0</v>
      </c>
      <c r="O108" s="108">
        <f>'F9-Year(n+4)'!U108</f>
        <v>0</v>
      </c>
      <c r="P108" s="108">
        <f>'F9-Year(n+5)'!U108</f>
        <v>0</v>
      </c>
    </row>
    <row r="109" spans="3:16" hidden="1" x14ac:dyDescent="0.25">
      <c r="C109" s="17"/>
      <c r="D109" s="17"/>
      <c r="E109" s="17"/>
      <c r="F109" s="59">
        <f>'F9-Year(n-1)'!U109</f>
        <v>0</v>
      </c>
      <c r="G109" s="17"/>
      <c r="H109" s="17"/>
      <c r="I109" s="108">
        <f>SUM('F9-Year(n)'!I108:N108)</f>
        <v>0</v>
      </c>
      <c r="J109" s="108">
        <f>SUM('F9-Year(n)'!O108:T108)</f>
        <v>0</v>
      </c>
      <c r="K109" s="66">
        <f t="shared" si="12"/>
        <v>0</v>
      </c>
      <c r="L109" s="108">
        <f>'F9-Year(n+2)'!U110</f>
        <v>0</v>
      </c>
      <c r="M109" s="108" t="e">
        <f>#REF!</f>
        <v>#REF!</v>
      </c>
      <c r="N109" s="108">
        <f>'F9-Year(n+3)'!U109</f>
        <v>0</v>
      </c>
      <c r="O109" s="108">
        <f>'F9-Year(n+4)'!U109</f>
        <v>0</v>
      </c>
      <c r="P109" s="108">
        <f>'F9-Year(n+5)'!U109</f>
        <v>0</v>
      </c>
    </row>
    <row r="110" spans="3:16" hidden="1" x14ac:dyDescent="0.25">
      <c r="C110" s="17"/>
      <c r="D110" s="17"/>
      <c r="E110" s="17"/>
      <c r="F110" s="59">
        <f>'F9-Year(n-1)'!U110</f>
        <v>0</v>
      </c>
      <c r="G110" s="17"/>
      <c r="H110" s="17"/>
      <c r="I110" s="108">
        <f>SUM('F9-Year(n)'!I109:N109)</f>
        <v>0</v>
      </c>
      <c r="J110" s="108">
        <f>SUM('F9-Year(n)'!O109:T109)</f>
        <v>0</v>
      </c>
      <c r="K110" s="66">
        <f t="shared" si="12"/>
        <v>0</v>
      </c>
      <c r="L110" s="108">
        <f>'F9-Year(n+2)'!U111</f>
        <v>0</v>
      </c>
      <c r="M110" s="108" t="e">
        <f>#REF!</f>
        <v>#REF!</v>
      </c>
      <c r="N110" s="108">
        <f>'F9-Year(n+3)'!U110</f>
        <v>0</v>
      </c>
      <c r="O110" s="108">
        <f>'F9-Year(n+4)'!U110</f>
        <v>0</v>
      </c>
      <c r="P110" s="108">
        <f>'F9-Year(n+5)'!U110</f>
        <v>0</v>
      </c>
    </row>
    <row r="111" spans="3:16" hidden="1" x14ac:dyDescent="0.25">
      <c r="C111" s="17"/>
      <c r="D111" s="17"/>
      <c r="E111" s="17"/>
      <c r="F111" s="59">
        <f>'F9-Year(n-1)'!U111</f>
        <v>0</v>
      </c>
      <c r="G111" s="17"/>
      <c r="H111" s="17"/>
      <c r="I111" s="108">
        <f>SUM('F9-Year(n)'!I110:N110)</f>
        <v>0</v>
      </c>
      <c r="J111" s="108">
        <f>SUM('F9-Year(n)'!O110:T110)</f>
        <v>0</v>
      </c>
      <c r="K111" s="66">
        <f t="shared" si="12"/>
        <v>0</v>
      </c>
      <c r="L111" s="108">
        <f>'F9-Year(n+2)'!U112</f>
        <v>0</v>
      </c>
      <c r="M111" s="108" t="e">
        <f>#REF!</f>
        <v>#REF!</v>
      </c>
      <c r="N111" s="108">
        <f>'F9-Year(n+3)'!U111</f>
        <v>0</v>
      </c>
      <c r="O111" s="108">
        <f>'F9-Year(n+4)'!U111</f>
        <v>0</v>
      </c>
      <c r="P111" s="108">
        <f>'F9-Year(n+5)'!U111</f>
        <v>0</v>
      </c>
    </row>
    <row r="112" spans="3:16" hidden="1" x14ac:dyDescent="0.25">
      <c r="C112" s="17"/>
      <c r="D112" s="17"/>
      <c r="E112" s="17"/>
      <c r="F112" s="59">
        <f>'F9-Year(n-1)'!U112</f>
        <v>0</v>
      </c>
      <c r="G112" s="17"/>
      <c r="H112" s="17"/>
      <c r="I112" s="108">
        <f>SUM('F9-Year(n)'!I111:N111)</f>
        <v>0</v>
      </c>
      <c r="J112" s="108">
        <f>SUM('F9-Year(n)'!O111:T111)</f>
        <v>0</v>
      </c>
      <c r="K112" s="66">
        <f t="shared" si="12"/>
        <v>0</v>
      </c>
      <c r="L112" s="108">
        <f>'F9-Year(n+2)'!U113</f>
        <v>0</v>
      </c>
      <c r="M112" s="108" t="e">
        <f>#REF!</f>
        <v>#REF!</v>
      </c>
      <c r="N112" s="108">
        <f>'F9-Year(n+3)'!U112</f>
        <v>0</v>
      </c>
      <c r="O112" s="108">
        <f>'F9-Year(n+4)'!U112</f>
        <v>0</v>
      </c>
      <c r="P112" s="108">
        <f>'F9-Year(n+5)'!U112</f>
        <v>0</v>
      </c>
    </row>
    <row r="113" spans="3:16" x14ac:dyDescent="0.25">
      <c r="C113" s="753" t="s">
        <v>403</v>
      </c>
      <c r="D113" s="754"/>
      <c r="E113" s="86">
        <f>SUM(E105:E112)</f>
        <v>4533.5212199999996</v>
      </c>
      <c r="F113" s="86">
        <f>'F9-Year(n-1)'!U113</f>
        <v>2568.4735039999996</v>
      </c>
      <c r="G113" s="86">
        <f>F113-E113</f>
        <v>-1965.047716</v>
      </c>
      <c r="H113" s="86">
        <f>SUM(H105:H112)</f>
        <v>4340.0288299999993</v>
      </c>
      <c r="I113" s="86">
        <f>SUM('F9-Year(n)'!I112:N112)</f>
        <v>1222.8267284999999</v>
      </c>
      <c r="J113" s="86">
        <f>SUM('F9-Year(n)'!O112:T112)</f>
        <v>1369.93496798</v>
      </c>
      <c r="K113" s="86">
        <f>I113+J113</f>
        <v>2592.76169648</v>
      </c>
      <c r="L113" s="86">
        <f>'F9-Year(n+2)'!U114</f>
        <v>2631.4164000000001</v>
      </c>
      <c r="M113" s="86" t="e">
        <f>#REF!</f>
        <v>#REF!</v>
      </c>
      <c r="N113" s="86">
        <f>'F9-Year(n+3)'!U113</f>
        <v>2631.4164000000001</v>
      </c>
      <c r="O113" s="86">
        <f>'F9-Year(n+4)'!U113</f>
        <v>4385.6939999999995</v>
      </c>
      <c r="P113" s="86">
        <f>'F9-Year(n+5)'!U113</f>
        <v>4385.6939999999995</v>
      </c>
    </row>
    <row r="114" spans="3:16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</row>
    <row r="115" spans="3:16" x14ac:dyDescent="0.25">
      <c r="C115" s="17"/>
      <c r="D115" s="17" t="s">
        <v>405</v>
      </c>
      <c r="E115" s="17">
        <v>62.57</v>
      </c>
      <c r="F115" s="59">
        <f>'F9-Year(n-1)'!U115</f>
        <v>19.46697600000001</v>
      </c>
      <c r="G115" s="17"/>
      <c r="H115" s="17">
        <v>0</v>
      </c>
      <c r="I115" s="108">
        <f>SUM('F9-Year(n)'!I114:N114)</f>
        <v>0</v>
      </c>
      <c r="J115" s="108">
        <f>SUM('F9-Year(n)'!O114:T114)</f>
        <v>0</v>
      </c>
      <c r="K115" s="66">
        <f t="shared" ref="K115:K138" si="13">I115+J115</f>
        <v>0</v>
      </c>
      <c r="L115" s="108">
        <f>'F9-Year(n+2)'!U116</f>
        <v>0.52000000000000013</v>
      </c>
      <c r="M115" s="108" t="e">
        <f>#REF!</f>
        <v>#REF!</v>
      </c>
      <c r="N115" s="108">
        <f>'F9-Year(n+3)'!U115</f>
        <v>0.38958156089252499</v>
      </c>
      <c r="O115" s="108">
        <f>'F9-Year(n+4)'!U115</f>
        <v>0.38958156089252499</v>
      </c>
      <c r="P115" s="108">
        <f>'F9-Year(n+5)'!U115</f>
        <v>0.38958156089252499</v>
      </c>
    </row>
    <row r="116" spans="3:16" x14ac:dyDescent="0.25">
      <c r="C116" s="17"/>
      <c r="D116" s="17" t="s">
        <v>406</v>
      </c>
      <c r="E116" s="17">
        <v>14.38</v>
      </c>
      <c r="F116" s="59">
        <f>'F9-Year(n-1)'!U116</f>
        <v>97.256071000000006</v>
      </c>
      <c r="G116" s="17"/>
      <c r="H116" s="17">
        <v>46.95</v>
      </c>
      <c r="I116" s="108">
        <f>SUM('F9-Year(n)'!I115:N115)</f>
        <v>0</v>
      </c>
      <c r="J116" s="108">
        <f>SUM('F9-Year(n)'!O115:T115)</f>
        <v>0</v>
      </c>
      <c r="K116" s="66">
        <f t="shared" si="13"/>
        <v>0</v>
      </c>
      <c r="L116" s="108">
        <f>'F9-Year(n+2)'!U117</f>
        <v>0</v>
      </c>
      <c r="M116" s="108" t="e">
        <f>#REF!</f>
        <v>#REF!</v>
      </c>
      <c r="N116" s="108">
        <f>'F9-Year(n+3)'!U116</f>
        <v>0</v>
      </c>
      <c r="O116" s="108">
        <f>'F9-Year(n+4)'!U116</f>
        <v>0</v>
      </c>
      <c r="P116" s="108">
        <f>'F9-Year(n+5)'!U116</f>
        <v>0</v>
      </c>
    </row>
    <row r="117" spans="3:16" x14ac:dyDescent="0.25">
      <c r="C117" s="17"/>
      <c r="D117" s="17" t="s">
        <v>407</v>
      </c>
      <c r="E117" s="17">
        <v>0</v>
      </c>
      <c r="F117" s="59">
        <f>'F9-Year(n-1)'!U117</f>
        <v>0</v>
      </c>
      <c r="G117" s="17"/>
      <c r="H117" s="17">
        <v>0</v>
      </c>
      <c r="I117" s="108">
        <f>SUM('F9-Year(n)'!I116:N116)</f>
        <v>0</v>
      </c>
      <c r="J117" s="108">
        <f>SUM('F9-Year(n)'!O116:T116)</f>
        <v>0</v>
      </c>
      <c r="K117" s="66">
        <f t="shared" si="13"/>
        <v>0</v>
      </c>
      <c r="L117" s="108">
        <f>'F9-Year(n+2)'!U118</f>
        <v>0</v>
      </c>
      <c r="M117" s="108" t="e">
        <f>#REF!</f>
        <v>#REF!</v>
      </c>
      <c r="N117" s="108">
        <f>'F9-Year(n+3)'!U117</f>
        <v>0</v>
      </c>
      <c r="O117" s="108">
        <f>'F9-Year(n+4)'!U117</f>
        <v>0</v>
      </c>
      <c r="P117" s="108">
        <f>'F9-Year(n+5)'!U117</f>
        <v>0</v>
      </c>
    </row>
    <row r="118" spans="3:16" x14ac:dyDescent="0.25">
      <c r="C118" s="17"/>
      <c r="D118" s="17" t="s">
        <v>408</v>
      </c>
      <c r="E118" s="17">
        <v>34.6</v>
      </c>
      <c r="F118" s="59">
        <f>'F9-Year(n-1)'!U118</f>
        <v>0</v>
      </c>
      <c r="G118" s="17"/>
      <c r="H118" s="17">
        <v>25.11</v>
      </c>
      <c r="I118" s="108">
        <f>SUM('F9-Year(n)'!I117:N117)</f>
        <v>0</v>
      </c>
      <c r="J118" s="108">
        <f>SUM('F9-Year(n)'!O117:T117)</f>
        <v>0</v>
      </c>
      <c r="K118" s="66">
        <f t="shared" si="13"/>
        <v>0</v>
      </c>
      <c r="L118" s="108">
        <f>'F9-Year(n+2)'!U119</f>
        <v>41.433251364245336</v>
      </c>
      <c r="M118" s="108" t="e">
        <f>#REF!</f>
        <v>#REF!</v>
      </c>
      <c r="N118" s="108">
        <f>'F9-Year(n+3)'!U118</f>
        <v>39.029791187128396</v>
      </c>
      <c r="O118" s="108">
        <f>'F9-Year(n+4)'!U118</f>
        <v>39.76610002807783</v>
      </c>
      <c r="P118" s="108">
        <f>'F9-Year(n+5)'!U118</f>
        <v>40.45116538799244</v>
      </c>
    </row>
    <row r="119" spans="3:16" x14ac:dyDescent="0.25">
      <c r="C119" s="17"/>
      <c r="D119" s="17" t="s">
        <v>409</v>
      </c>
      <c r="E119" s="17">
        <v>0</v>
      </c>
      <c r="F119" s="59">
        <f>'F9-Year(n-1)'!U119</f>
        <v>0</v>
      </c>
      <c r="G119" s="17"/>
      <c r="H119" s="17">
        <v>0</v>
      </c>
      <c r="I119" s="108">
        <f>SUM('F9-Year(n)'!I118:N118)</f>
        <v>0</v>
      </c>
      <c r="J119" s="108">
        <f>SUM('F9-Year(n)'!O118:T118)</f>
        <v>0</v>
      </c>
      <c r="K119" s="66">
        <f t="shared" si="13"/>
        <v>0</v>
      </c>
      <c r="L119" s="108">
        <f>'F9-Year(n+2)'!U120</f>
        <v>0</v>
      </c>
      <c r="M119" s="108" t="e">
        <f>#REF!</f>
        <v>#REF!</v>
      </c>
      <c r="N119" s="108">
        <f>'F9-Year(n+3)'!U119</f>
        <v>0</v>
      </c>
      <c r="O119" s="108">
        <f>'F9-Year(n+4)'!U119</f>
        <v>0</v>
      </c>
      <c r="P119" s="108">
        <f>'F9-Year(n+5)'!U119</f>
        <v>0</v>
      </c>
    </row>
    <row r="120" spans="3:16" x14ac:dyDescent="0.25">
      <c r="C120" s="17"/>
      <c r="D120" s="17" t="s">
        <v>367</v>
      </c>
      <c r="E120" s="17">
        <v>0</v>
      </c>
      <c r="F120" s="59">
        <f>'F9-Year(n-1)'!U120</f>
        <v>1.361</v>
      </c>
      <c r="G120" s="17"/>
      <c r="H120" s="17">
        <v>1.46</v>
      </c>
      <c r="I120" s="108">
        <f>SUM('F9-Year(n)'!I119:N119)</f>
        <v>0</v>
      </c>
      <c r="J120" s="108">
        <f>SUM('F9-Year(n)'!O119:T119)</f>
        <v>0</v>
      </c>
      <c r="K120" s="66">
        <f t="shared" si="13"/>
        <v>0</v>
      </c>
      <c r="L120" s="108">
        <f>'F9-Year(n+2)'!U121</f>
        <v>0.29104225352112673</v>
      </c>
      <c r="M120" s="108" t="e">
        <f>#REF!</f>
        <v>#REF!</v>
      </c>
      <c r="N120" s="108">
        <f>'F9-Year(n+3)'!U120</f>
        <v>0.12229113956975383</v>
      </c>
      <c r="O120" s="108">
        <f>'F9-Year(n+4)'!U120</f>
        <v>0.12180389177507824</v>
      </c>
      <c r="P120" s="108">
        <f>'F9-Year(n+5)'!U120</f>
        <v>0.12229113956975385</v>
      </c>
    </row>
    <row r="121" spans="3:16" x14ac:dyDescent="0.25">
      <c r="C121" s="17"/>
      <c r="D121" s="17" t="s">
        <v>410</v>
      </c>
      <c r="E121" s="17">
        <v>1788.73</v>
      </c>
      <c r="F121" s="59">
        <f>'F9-Year(n-1)'!U121</f>
        <v>1635.5849860000001</v>
      </c>
      <c r="G121" s="17"/>
      <c r="H121" s="17">
        <v>1597.39</v>
      </c>
      <c r="I121" s="108">
        <f>SUM('F9-Year(n)'!I120:N120)</f>
        <v>0</v>
      </c>
      <c r="J121" s="108">
        <f>SUM('F9-Year(n)'!O120:T120)</f>
        <v>0</v>
      </c>
      <c r="K121" s="66">
        <f t="shared" si="13"/>
        <v>0</v>
      </c>
      <c r="L121" s="108">
        <f>'F9-Year(n+2)'!U122</f>
        <v>2040.730719817361</v>
      </c>
      <c r="M121" s="108" t="e">
        <f>#REF!</f>
        <v>#REF!</v>
      </c>
      <c r="N121" s="108">
        <f>'F9-Year(n+3)'!U121</f>
        <v>2397.4601641120967</v>
      </c>
      <c r="O121" s="108">
        <f>'F9-Year(n+4)'!U121</f>
        <v>2439.7119642545467</v>
      </c>
      <c r="P121" s="108">
        <f>'F9-Year(n+5)'!U121</f>
        <v>2484.7700861285903</v>
      </c>
    </row>
    <row r="122" spans="3:16" x14ac:dyDescent="0.25">
      <c r="C122" s="17"/>
      <c r="D122" s="17" t="s">
        <v>411</v>
      </c>
      <c r="E122" s="17">
        <v>24.97</v>
      </c>
      <c r="F122" s="59">
        <f>'F9-Year(n-1)'!U122</f>
        <v>241.08477035599998</v>
      </c>
      <c r="G122" s="17"/>
      <c r="H122" s="17">
        <v>10.96</v>
      </c>
      <c r="I122" s="108">
        <f>SUM('F9-Year(n)'!I121:N121)</f>
        <v>0</v>
      </c>
      <c r="J122" s="108">
        <f>SUM('F9-Year(n)'!O121:T121)</f>
        <v>0</v>
      </c>
      <c r="K122" s="66">
        <f t="shared" si="13"/>
        <v>0</v>
      </c>
      <c r="L122" s="108">
        <f>'F9-Year(n+2)'!U123</f>
        <v>54.35007325227869</v>
      </c>
      <c r="M122" s="108" t="e">
        <f>#REF!</f>
        <v>#REF!</v>
      </c>
      <c r="N122" s="108">
        <f>'F9-Year(n+3)'!U122</f>
        <v>64.58295786123071</v>
      </c>
      <c r="O122" s="108">
        <f>'F9-Year(n+4)'!U122</f>
        <v>65.721139954517582</v>
      </c>
      <c r="P122" s="108">
        <f>'F9-Year(n+5)'!U122</f>
        <v>66.934918948578684</v>
      </c>
    </row>
    <row r="123" spans="3:16" x14ac:dyDescent="0.25">
      <c r="C123" s="17"/>
      <c r="D123" s="17" t="s">
        <v>412</v>
      </c>
      <c r="E123" s="17">
        <v>241.85</v>
      </c>
      <c r="F123" s="59">
        <f>'F9-Year(n-1)'!U123</f>
        <v>423.69978665849999</v>
      </c>
      <c r="G123" s="17"/>
      <c r="H123" s="17">
        <f>235.57</f>
        <v>235.57</v>
      </c>
      <c r="I123" s="108">
        <f>SUM('F9-Year(n)'!I122:N122)</f>
        <v>0</v>
      </c>
      <c r="J123" s="108">
        <f>SUM('F9-Year(n)'!O122:T122)</f>
        <v>0</v>
      </c>
      <c r="K123" s="66">
        <f t="shared" si="13"/>
        <v>0</v>
      </c>
      <c r="L123" s="108">
        <f>'F9-Year(n+2)'!U124</f>
        <v>272.56018003909878</v>
      </c>
      <c r="M123" s="108" t="e">
        <f>#REF!</f>
        <v>#REF!</v>
      </c>
      <c r="N123" s="108">
        <f>'F9-Year(n+3)'!U123</f>
        <v>323.87707262890495</v>
      </c>
      <c r="O123" s="108">
        <f>'F9-Year(n+4)'!U123</f>
        <v>329.58494196007535</v>
      </c>
      <c r="P123" s="108">
        <f>'F9-Year(n+5)'!U123</f>
        <v>335.67192218572023</v>
      </c>
    </row>
    <row r="124" spans="3:16" x14ac:dyDescent="0.25">
      <c r="C124" s="17"/>
      <c r="D124" s="17" t="s">
        <v>413</v>
      </c>
      <c r="E124" s="17">
        <v>208.74</v>
      </c>
      <c r="F124" s="59">
        <f>'F9-Year(n-1)'!U124</f>
        <v>181.75577426749999</v>
      </c>
      <c r="G124" s="17"/>
      <c r="H124" s="17">
        <v>233.24</v>
      </c>
      <c r="I124" s="108">
        <f>SUM('F9-Year(n)'!I123:N123)</f>
        <v>0</v>
      </c>
      <c r="J124" s="108">
        <f>SUM('F9-Year(n)'!O123:T123)</f>
        <v>0</v>
      </c>
      <c r="K124" s="66">
        <f t="shared" si="13"/>
        <v>0</v>
      </c>
      <c r="L124" s="108">
        <f>'F9-Year(n+2)'!U125</f>
        <v>272.56018003909878</v>
      </c>
      <c r="M124" s="108" t="e">
        <f>#REF!</f>
        <v>#REF!</v>
      </c>
      <c r="N124" s="108">
        <f>'F9-Year(n+3)'!U124</f>
        <v>323.87707262890495</v>
      </c>
      <c r="O124" s="108">
        <f>'F9-Year(n+4)'!U124</f>
        <v>329.58494196007535</v>
      </c>
      <c r="P124" s="108">
        <f>'F9-Year(n+5)'!U124</f>
        <v>335.67192218572018</v>
      </c>
    </row>
    <row r="125" spans="3:16" x14ac:dyDescent="0.25">
      <c r="C125" s="17"/>
      <c r="D125" s="17" t="s">
        <v>414</v>
      </c>
      <c r="E125" s="17"/>
      <c r="F125" s="59">
        <f>'F9-Year(n-1)'!U125</f>
        <v>0</v>
      </c>
      <c r="G125" s="17"/>
      <c r="H125" s="17">
        <v>359.91</v>
      </c>
      <c r="I125" s="108">
        <f>SUM('F9-Year(n)'!I124:N124)</f>
        <v>0</v>
      </c>
      <c r="J125" s="108">
        <f>SUM('F9-Year(n)'!O124:T124)</f>
        <v>0</v>
      </c>
      <c r="K125" s="66">
        <f t="shared" si="13"/>
        <v>0</v>
      </c>
      <c r="L125" s="108">
        <f>'F9-Year(n+2)'!U126</f>
        <v>1052.7636954010188</v>
      </c>
      <c r="M125" s="108" t="e">
        <f>#REF!</f>
        <v>#REF!</v>
      </c>
      <c r="N125" s="108">
        <f>'F9-Year(n+3)'!U125</f>
        <v>1250.9751930291454</v>
      </c>
      <c r="O125" s="108">
        <f>'F9-Year(n+4)'!U125</f>
        <v>1273.0218383207912</v>
      </c>
      <c r="P125" s="108">
        <f>'F9-Year(n+5)'!U125</f>
        <v>1296.5327994423446</v>
      </c>
    </row>
    <row r="126" spans="3:16" x14ac:dyDescent="0.25">
      <c r="C126" s="17"/>
      <c r="D126" s="17" t="s">
        <v>415</v>
      </c>
      <c r="E126" s="17"/>
      <c r="F126" s="59">
        <f>'F9-Year(n-1)'!U126</f>
        <v>0</v>
      </c>
      <c r="G126" s="17"/>
      <c r="H126" s="17"/>
      <c r="I126" s="108">
        <f>SUM('F9-Year(n)'!I125:N125)</f>
        <v>0</v>
      </c>
      <c r="J126" s="108">
        <f>SUM('F9-Year(n)'!O125:T125)</f>
        <v>0</v>
      </c>
      <c r="K126" s="66">
        <f t="shared" si="13"/>
        <v>0</v>
      </c>
      <c r="L126" s="108">
        <f>'F9-Year(n+2)'!U127</f>
        <v>0</v>
      </c>
      <c r="M126" s="108" t="e">
        <f>#REF!</f>
        <v>#REF!</v>
      </c>
      <c r="N126" s="108">
        <f>'F9-Year(n+3)'!U126</f>
        <v>0</v>
      </c>
      <c r="O126" s="108">
        <f>'F9-Year(n+4)'!U126</f>
        <v>0</v>
      </c>
      <c r="P126" s="108">
        <f>'F9-Year(n+5)'!U126</f>
        <v>0</v>
      </c>
    </row>
    <row r="127" spans="3:16" x14ac:dyDescent="0.25">
      <c r="C127" s="17"/>
      <c r="D127" s="17" t="s">
        <v>416</v>
      </c>
      <c r="E127" s="17">
        <v>0</v>
      </c>
      <c r="F127" s="59">
        <f>'F9-Year(n-1)'!U127</f>
        <v>0</v>
      </c>
      <c r="G127" s="17"/>
      <c r="H127" s="17">
        <v>828.53</v>
      </c>
      <c r="I127" s="108">
        <f>SUM('F9-Year(n)'!I126:N126)</f>
        <v>0</v>
      </c>
      <c r="J127" s="108">
        <f>SUM('F9-Year(n)'!O126:T126)</f>
        <v>0</v>
      </c>
      <c r="K127" s="66">
        <f t="shared" si="13"/>
        <v>0</v>
      </c>
      <c r="L127" s="108">
        <f>'F9-Year(n+2)'!U128</f>
        <v>1152.929561565388</v>
      </c>
      <c r="M127" s="108" t="e">
        <f>#REF!</f>
        <v>#REF!</v>
      </c>
      <c r="N127" s="108">
        <f>'F9-Year(n+3)'!U127</f>
        <v>1370.0000172202676</v>
      </c>
      <c r="O127" s="108">
        <f>'F9-Year(n+4)'!U127</f>
        <v>1394.1443044911189</v>
      </c>
      <c r="P127" s="108">
        <f>'F9-Year(n+5)'!U127</f>
        <v>1419.8922308455967</v>
      </c>
    </row>
    <row r="128" spans="3:16" x14ac:dyDescent="0.25">
      <c r="C128" s="17"/>
      <c r="D128" s="17" t="s">
        <v>417</v>
      </c>
      <c r="E128" s="17"/>
      <c r="F128" s="59">
        <f>'F9-Year(n-1)'!U128</f>
        <v>0</v>
      </c>
      <c r="G128" s="17"/>
      <c r="H128" s="17">
        <v>613.38</v>
      </c>
      <c r="I128" s="108">
        <f>SUM('F9-Year(n)'!I127:N127)</f>
        <v>0</v>
      </c>
      <c r="J128" s="108">
        <f>SUM('F9-Year(n)'!O127:T127)</f>
        <v>0</v>
      </c>
      <c r="K128" s="66">
        <f t="shared" si="13"/>
        <v>0</v>
      </c>
      <c r="L128" s="108">
        <f>'F9-Year(n+2)'!U129</f>
        <v>681.4004500977469</v>
      </c>
      <c r="M128" s="108" t="e">
        <f>#REF!</f>
        <v>#REF!</v>
      </c>
      <c r="N128" s="108">
        <f>'F9-Year(n+3)'!U128</f>
        <v>809.69268157226225</v>
      </c>
      <c r="O128" s="108">
        <f>'F9-Year(n+4)'!U128</f>
        <v>823.96235490018842</v>
      </c>
      <c r="P128" s="108">
        <f>'F9-Year(n+5)'!U128</f>
        <v>839.17980546430044</v>
      </c>
    </row>
    <row r="129" spans="3:16" x14ac:dyDescent="0.25">
      <c r="C129" s="17"/>
      <c r="D129" s="114" t="s">
        <v>418</v>
      </c>
      <c r="E129" s="17"/>
      <c r="F129" s="59">
        <f>'F9-Year(n-1)'!U129</f>
        <v>12.18394812725</v>
      </c>
      <c r="G129" s="17"/>
      <c r="H129" s="17"/>
      <c r="I129" s="108">
        <f>SUM('F9-Year(n)'!I128:N128)</f>
        <v>0</v>
      </c>
      <c r="J129" s="108">
        <f>SUM('F9-Year(n)'!O128:T128)</f>
        <v>0</v>
      </c>
      <c r="K129" s="66">
        <f t="shared" si="13"/>
        <v>0</v>
      </c>
      <c r="L129" s="108">
        <f>'F9-Year(n+2)'!U130</f>
        <v>0</v>
      </c>
      <c r="M129" s="108" t="e">
        <f>#REF!</f>
        <v>#REF!</v>
      </c>
      <c r="N129" s="108">
        <f>'F9-Year(n+3)'!U129</f>
        <v>0</v>
      </c>
      <c r="O129" s="108">
        <f>'F9-Year(n+4)'!U129</f>
        <v>0</v>
      </c>
      <c r="P129" s="108">
        <f>'F9-Year(n+5)'!U129</f>
        <v>0</v>
      </c>
    </row>
    <row r="130" spans="3:16" x14ac:dyDescent="0.25">
      <c r="C130" s="17"/>
      <c r="D130" s="114" t="s">
        <v>419</v>
      </c>
      <c r="E130" s="17"/>
      <c r="F130" s="59">
        <f>'F9-Year(n-1)'!U130</f>
        <v>81.904524407500006</v>
      </c>
      <c r="G130" s="17"/>
      <c r="H130" s="17"/>
      <c r="I130" s="108">
        <f>SUM('F9-Year(n)'!I129:N129)</f>
        <v>0</v>
      </c>
      <c r="J130" s="108">
        <f>SUM('F9-Year(n)'!O129:T129)</f>
        <v>0</v>
      </c>
      <c r="K130" s="66">
        <f t="shared" si="13"/>
        <v>0</v>
      </c>
      <c r="L130" s="108">
        <f>'F9-Year(n+2)'!U131</f>
        <v>0</v>
      </c>
      <c r="M130" s="108" t="e">
        <f>#REF!</f>
        <v>#REF!</v>
      </c>
      <c r="N130" s="108">
        <f>'F9-Year(n+3)'!U130</f>
        <v>0</v>
      </c>
      <c r="O130" s="108">
        <f>'F9-Year(n+4)'!U130</f>
        <v>0</v>
      </c>
      <c r="P130" s="108">
        <f>'F9-Year(n+5)'!U130</f>
        <v>0</v>
      </c>
    </row>
    <row r="131" spans="3:16" hidden="1" x14ac:dyDescent="0.25">
      <c r="C131" s="17"/>
      <c r="D131" s="17"/>
      <c r="E131" s="17"/>
      <c r="F131" s="59">
        <f>'F9-Year(n-1)'!U131</f>
        <v>0</v>
      </c>
      <c r="G131" s="17"/>
      <c r="H131" s="17"/>
      <c r="I131" s="108">
        <f>SUM('F9-Year(n)'!I130:N130)</f>
        <v>1607.4356743385274</v>
      </c>
      <c r="J131" s="108">
        <f>SUM('F9-Year(n)'!O130:T130)</f>
        <v>1631.001634023</v>
      </c>
      <c r="K131" s="66">
        <f t="shared" si="13"/>
        <v>3238.4373083615274</v>
      </c>
      <c r="L131" s="108">
        <f>'F9-Year(n+2)'!U132</f>
        <v>0</v>
      </c>
      <c r="M131" s="108" t="e">
        <f>#REF!</f>
        <v>#REF!</v>
      </c>
      <c r="N131" s="108">
        <f>'F9-Year(n+3)'!U131</f>
        <v>0</v>
      </c>
      <c r="O131" s="108">
        <f>'F9-Year(n+4)'!U131</f>
        <v>0</v>
      </c>
      <c r="P131" s="108">
        <f>'F9-Year(n+5)'!U131</f>
        <v>0</v>
      </c>
    </row>
    <row r="132" spans="3:16" hidden="1" x14ac:dyDescent="0.25">
      <c r="C132" s="17"/>
      <c r="D132" s="17"/>
      <c r="E132" s="17"/>
      <c r="F132" s="59">
        <f>'F9-Year(n-1)'!U132</f>
        <v>0</v>
      </c>
      <c r="G132" s="17"/>
      <c r="H132" s="17"/>
      <c r="I132" s="108">
        <f>SUM('F9-Year(n)'!I131:N131)</f>
        <v>0</v>
      </c>
      <c r="J132" s="108">
        <f>SUM('F9-Year(n)'!O131:T131)</f>
        <v>0</v>
      </c>
      <c r="K132" s="66">
        <f t="shared" si="13"/>
        <v>0</v>
      </c>
      <c r="L132" s="108">
        <f>'F9-Year(n+2)'!U133</f>
        <v>0</v>
      </c>
      <c r="M132" s="108" t="e">
        <f>#REF!</f>
        <v>#REF!</v>
      </c>
      <c r="N132" s="108">
        <f>'F9-Year(n+3)'!U132</f>
        <v>0</v>
      </c>
      <c r="O132" s="108">
        <f>'F9-Year(n+4)'!U132</f>
        <v>0</v>
      </c>
      <c r="P132" s="108">
        <f>'F9-Year(n+5)'!U132</f>
        <v>0</v>
      </c>
    </row>
    <row r="133" spans="3:16" hidden="1" x14ac:dyDescent="0.25">
      <c r="C133" s="17"/>
      <c r="D133" s="17"/>
      <c r="E133" s="17"/>
      <c r="F133" s="59">
        <f>'F9-Year(n-1)'!U133</f>
        <v>0</v>
      </c>
      <c r="G133" s="17"/>
      <c r="H133" s="17"/>
      <c r="I133" s="108">
        <f>SUM('F9-Year(n)'!I132:N132)</f>
        <v>0</v>
      </c>
      <c r="J133" s="108">
        <f>SUM('F9-Year(n)'!O132:T132)</f>
        <v>0</v>
      </c>
      <c r="K133" s="66">
        <f t="shared" si="13"/>
        <v>0</v>
      </c>
      <c r="L133" s="108">
        <f>'F9-Year(n+2)'!U134</f>
        <v>0</v>
      </c>
      <c r="M133" s="108" t="e">
        <f>#REF!</f>
        <v>#REF!</v>
      </c>
      <c r="N133" s="108">
        <f>'F9-Year(n+3)'!U133</f>
        <v>0</v>
      </c>
      <c r="O133" s="108">
        <f>'F9-Year(n+4)'!U133</f>
        <v>0</v>
      </c>
      <c r="P133" s="108">
        <f>'F9-Year(n+5)'!U133</f>
        <v>0</v>
      </c>
    </row>
    <row r="134" spans="3:16" hidden="1" x14ac:dyDescent="0.25">
      <c r="C134" s="17"/>
      <c r="D134" s="17"/>
      <c r="E134" s="17"/>
      <c r="F134" s="59">
        <f>'F9-Year(n-1)'!U134</f>
        <v>0</v>
      </c>
      <c r="G134" s="17"/>
      <c r="H134" s="17"/>
      <c r="I134" s="108">
        <f>SUM('F9-Year(n)'!I133:N133)</f>
        <v>0</v>
      </c>
      <c r="J134" s="108">
        <f>SUM('F9-Year(n)'!O133:T133)</f>
        <v>0</v>
      </c>
      <c r="K134" s="66">
        <f t="shared" si="13"/>
        <v>0</v>
      </c>
      <c r="L134" s="108">
        <f>'F9-Year(n+2)'!U135</f>
        <v>0</v>
      </c>
      <c r="M134" s="108" t="e">
        <f>#REF!</f>
        <v>#REF!</v>
      </c>
      <c r="N134" s="108">
        <f>'F9-Year(n+3)'!U134</f>
        <v>0</v>
      </c>
      <c r="O134" s="108">
        <f>'F9-Year(n+4)'!U134</f>
        <v>0</v>
      </c>
      <c r="P134" s="108">
        <f>'F9-Year(n+5)'!U134</f>
        <v>0</v>
      </c>
    </row>
    <row r="135" spans="3:16" hidden="1" x14ac:dyDescent="0.25">
      <c r="C135" s="17"/>
      <c r="D135" s="17"/>
      <c r="E135" s="17"/>
      <c r="F135" s="59">
        <f>'F9-Year(n-1)'!U135</f>
        <v>0</v>
      </c>
      <c r="G135" s="17"/>
      <c r="H135" s="17"/>
      <c r="I135" s="108">
        <f>SUM('F9-Year(n)'!I134:N134)</f>
        <v>0</v>
      </c>
      <c r="J135" s="108">
        <f>SUM('F9-Year(n)'!O134:T134)</f>
        <v>0</v>
      </c>
      <c r="K135" s="66">
        <f t="shared" si="13"/>
        <v>0</v>
      </c>
      <c r="L135" s="108">
        <f>'F9-Year(n+2)'!U136</f>
        <v>0</v>
      </c>
      <c r="M135" s="108" t="e">
        <f>#REF!</f>
        <v>#REF!</v>
      </c>
      <c r="N135" s="108">
        <f>'F9-Year(n+3)'!U135</f>
        <v>0</v>
      </c>
      <c r="O135" s="108">
        <f>'F9-Year(n+4)'!U135</f>
        <v>0</v>
      </c>
      <c r="P135" s="108">
        <f>'F9-Year(n+5)'!U135</f>
        <v>0</v>
      </c>
    </row>
    <row r="136" spans="3:16" hidden="1" x14ac:dyDescent="0.25">
      <c r="C136" s="17"/>
      <c r="D136" s="17"/>
      <c r="E136" s="17"/>
      <c r="F136" s="59">
        <f>'F9-Year(n-1)'!U136</f>
        <v>0</v>
      </c>
      <c r="G136" s="17"/>
      <c r="H136" s="17"/>
      <c r="I136" s="108">
        <f>SUM('F9-Year(n)'!I135:N135)</f>
        <v>0</v>
      </c>
      <c r="J136" s="108">
        <f>SUM('F9-Year(n)'!O135:T135)</f>
        <v>0</v>
      </c>
      <c r="K136" s="66">
        <f t="shared" si="13"/>
        <v>0</v>
      </c>
      <c r="L136" s="108">
        <f>'F9-Year(n+2)'!U137</f>
        <v>0</v>
      </c>
      <c r="M136" s="108" t="e">
        <f>#REF!</f>
        <v>#REF!</v>
      </c>
      <c r="N136" s="108">
        <f>'F9-Year(n+3)'!U136</f>
        <v>0</v>
      </c>
      <c r="O136" s="108">
        <f>'F9-Year(n+4)'!U136</f>
        <v>0</v>
      </c>
      <c r="P136" s="108">
        <f>'F9-Year(n+5)'!U136</f>
        <v>0</v>
      </c>
    </row>
    <row r="137" spans="3:16" hidden="1" x14ac:dyDescent="0.25">
      <c r="C137" s="17"/>
      <c r="D137" s="17"/>
      <c r="E137" s="17"/>
      <c r="F137" s="59">
        <f>'F9-Year(n-1)'!U137</f>
        <v>0</v>
      </c>
      <c r="G137" s="17"/>
      <c r="H137" s="17"/>
      <c r="I137" s="108">
        <f>SUM('F9-Year(n)'!I136:N136)</f>
        <v>0</v>
      </c>
      <c r="J137" s="108">
        <f>SUM('F9-Year(n)'!O136:T136)</f>
        <v>0</v>
      </c>
      <c r="K137" s="66">
        <f t="shared" si="13"/>
        <v>0</v>
      </c>
      <c r="L137" s="108">
        <f>'F9-Year(n+2)'!U138</f>
        <v>0</v>
      </c>
      <c r="M137" s="108" t="e">
        <f>#REF!</f>
        <v>#REF!</v>
      </c>
      <c r="N137" s="108">
        <f>'F9-Year(n+3)'!U137</f>
        <v>0</v>
      </c>
      <c r="O137" s="108">
        <f>'F9-Year(n+4)'!U137</f>
        <v>0</v>
      </c>
      <c r="P137" s="108">
        <f>'F9-Year(n+5)'!U137</f>
        <v>0</v>
      </c>
    </row>
    <row r="138" spans="3:16" hidden="1" x14ac:dyDescent="0.25">
      <c r="C138" s="17"/>
      <c r="D138" s="17"/>
      <c r="E138" s="17"/>
      <c r="F138" s="59">
        <f>'F9-Year(n-1)'!U138</f>
        <v>0</v>
      </c>
      <c r="G138" s="17"/>
      <c r="H138" s="17"/>
      <c r="I138" s="108">
        <f>SUM('F9-Year(n)'!I137:N137)</f>
        <v>0</v>
      </c>
      <c r="J138" s="108">
        <f>SUM('F9-Year(n)'!O137:T137)</f>
        <v>0</v>
      </c>
      <c r="K138" s="66">
        <f t="shared" si="13"/>
        <v>0</v>
      </c>
      <c r="L138" s="108">
        <f>'F9-Year(n+2)'!U139</f>
        <v>0</v>
      </c>
      <c r="M138" s="108" t="e">
        <f>#REF!</f>
        <v>#REF!</v>
      </c>
      <c r="N138" s="108">
        <f>'F9-Year(n+3)'!U138</f>
        <v>0</v>
      </c>
      <c r="O138" s="108">
        <f>'F9-Year(n+4)'!U138</f>
        <v>0</v>
      </c>
      <c r="P138" s="108">
        <f>'F9-Year(n+5)'!U138</f>
        <v>0</v>
      </c>
    </row>
    <row r="139" spans="3:16" x14ac:dyDescent="0.25">
      <c r="C139" s="753" t="s">
        <v>420</v>
      </c>
      <c r="D139" s="754"/>
      <c r="E139" s="86">
        <f>SUM(E115:E138)</f>
        <v>2375.84</v>
      </c>
      <c r="F139" s="86">
        <f>'F9-Year(n-1)'!U139</f>
        <v>2694.2978368167496</v>
      </c>
      <c r="G139" s="86">
        <f>F139-E139</f>
        <v>318.45783681674948</v>
      </c>
      <c r="H139" s="86">
        <f>SUM(H115:H138)</f>
        <v>3952.5</v>
      </c>
      <c r="I139" s="86">
        <f>SUM('F9-Year(n)'!I138:N138)</f>
        <v>1607.4356743385274</v>
      </c>
      <c r="J139" s="86">
        <f>SUM('F9-Year(n)'!O138:T138)</f>
        <v>1631.001634023</v>
      </c>
      <c r="K139" s="86">
        <f>I139+J139</f>
        <v>3238.4373083615274</v>
      </c>
      <c r="L139" s="86">
        <f>'F9-Year(n+2)'!U140</f>
        <v>5569.539153829759</v>
      </c>
      <c r="M139" s="86" t="e">
        <f>#REF!</f>
        <v>#REF!</v>
      </c>
      <c r="N139" s="86">
        <f>'F9-Year(n+3)'!U139</f>
        <v>6580.0068229404042</v>
      </c>
      <c r="O139" s="86">
        <f>'F9-Year(n+4)'!U139</f>
        <v>6696.0089713220605</v>
      </c>
      <c r="P139" s="86">
        <f>'F9-Year(n+5)'!U139</f>
        <v>6819.6167232893067</v>
      </c>
    </row>
    <row r="140" spans="3:16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</row>
    <row r="141" spans="3:16" x14ac:dyDescent="0.25">
      <c r="C141" s="17"/>
      <c r="D141" s="17" t="s">
        <v>422</v>
      </c>
      <c r="E141" s="17"/>
      <c r="F141" s="59">
        <f>'F9-Year(n-1)'!U141</f>
        <v>2769.5951385529997</v>
      </c>
      <c r="G141" s="17"/>
      <c r="H141" s="17"/>
      <c r="I141" s="108">
        <f>SUM('F9-Year(n)'!I140:N140)</f>
        <v>1918.5323819275</v>
      </c>
      <c r="J141" s="108">
        <f>SUM('F9-Year(n)'!O140:T140)</f>
        <v>2880.0325806837495</v>
      </c>
      <c r="K141" s="66">
        <f t="shared" ref="K141:K151" si="14">I141+J141</f>
        <v>4798.5649626112499</v>
      </c>
      <c r="L141" s="108">
        <f>'F9-Year(n+2)'!U142</f>
        <v>438.91457470296291</v>
      </c>
      <c r="M141" s="108" t="e">
        <f>#REF!</f>
        <v>#REF!</v>
      </c>
      <c r="N141" s="108">
        <f>'F9-Year(n+3)'!U141</f>
        <v>52.233245543080557</v>
      </c>
      <c r="O141" s="108">
        <f>'F9-Year(n+4)'!U141</f>
        <v>0</v>
      </c>
      <c r="P141" s="108">
        <f>'F9-Year(n+5)'!U141</f>
        <v>0</v>
      </c>
    </row>
    <row r="142" spans="3:16" hidden="1" x14ac:dyDescent="0.25">
      <c r="C142" s="17"/>
      <c r="D142" s="17"/>
      <c r="E142" s="17"/>
      <c r="F142" s="59">
        <f>'F9-Year(n-1)'!U142</f>
        <v>0</v>
      </c>
      <c r="G142" s="17"/>
      <c r="H142" s="17"/>
      <c r="I142" s="108">
        <f>SUM('F9-Year(n)'!I141:N141)</f>
        <v>0</v>
      </c>
      <c r="J142" s="108">
        <f>SUM('F9-Year(n)'!O141:T141)</f>
        <v>0</v>
      </c>
      <c r="K142" s="66">
        <f t="shared" si="14"/>
        <v>0</v>
      </c>
      <c r="L142" s="108">
        <f>'F9-Year(n+2)'!U143</f>
        <v>0</v>
      </c>
      <c r="M142" s="108" t="e">
        <f>#REF!</f>
        <v>#REF!</v>
      </c>
      <c r="N142" s="108">
        <f>'F9-Year(n+3)'!U142</f>
        <v>-693.74232006329726</v>
      </c>
      <c r="O142" s="108">
        <f>'F9-Year(n+4)'!U142</f>
        <v>-309.90620000486388</v>
      </c>
      <c r="P142" s="108">
        <f>'F9-Year(n+5)'!U142</f>
        <v>-98.813848208658783</v>
      </c>
    </row>
    <row r="143" spans="3:16" hidden="1" x14ac:dyDescent="0.25">
      <c r="C143" s="17"/>
      <c r="D143" s="17"/>
      <c r="E143" s="17"/>
      <c r="F143" s="59">
        <f>'F9-Year(n-1)'!U143</f>
        <v>0</v>
      </c>
      <c r="G143" s="17"/>
      <c r="H143" s="17"/>
      <c r="I143" s="108">
        <f>SUM('F9-Year(n)'!I142:N142)</f>
        <v>0</v>
      </c>
      <c r="J143" s="108">
        <f>SUM('F9-Year(n)'!O142:T142)</f>
        <v>0</v>
      </c>
      <c r="K143" s="66">
        <f t="shared" si="14"/>
        <v>0</v>
      </c>
      <c r="L143" s="108">
        <f>'F9-Year(n+2)'!U144</f>
        <v>0</v>
      </c>
      <c r="M143" s="108" t="e">
        <f>#REF!</f>
        <v>#REF!</v>
      </c>
      <c r="N143" s="108">
        <f>'F9-Year(n+3)'!U143</f>
        <v>0</v>
      </c>
      <c r="O143" s="108">
        <f>'F9-Year(n+4)'!U143</f>
        <v>0</v>
      </c>
      <c r="P143" s="108">
        <f>'F9-Year(n+5)'!U143</f>
        <v>0</v>
      </c>
    </row>
    <row r="144" spans="3:16" hidden="1" x14ac:dyDescent="0.25">
      <c r="C144" s="17"/>
      <c r="D144" s="17"/>
      <c r="E144" s="17"/>
      <c r="F144" s="59">
        <f>'F9-Year(n-1)'!U144</f>
        <v>0</v>
      </c>
      <c r="G144" s="17"/>
      <c r="H144" s="17"/>
      <c r="I144" s="108">
        <f>SUM('F9-Year(n)'!I143:N143)</f>
        <v>0</v>
      </c>
      <c r="J144" s="108">
        <f>SUM('F9-Year(n)'!O143:T143)</f>
        <v>0</v>
      </c>
      <c r="K144" s="66">
        <f t="shared" si="14"/>
        <v>0</v>
      </c>
      <c r="L144" s="108">
        <f>'F9-Year(n+2)'!U145</f>
        <v>0</v>
      </c>
      <c r="M144" s="108" t="e">
        <f>#REF!</f>
        <v>#REF!</v>
      </c>
      <c r="N144" s="108">
        <f>'F9-Year(n+3)'!U144</f>
        <v>0</v>
      </c>
      <c r="O144" s="108">
        <f>'F9-Year(n+4)'!U144</f>
        <v>0</v>
      </c>
      <c r="P144" s="108">
        <f>'F9-Year(n+5)'!U144</f>
        <v>0</v>
      </c>
    </row>
    <row r="145" spans="3:16" hidden="1" x14ac:dyDescent="0.25">
      <c r="C145" s="17"/>
      <c r="D145" s="17"/>
      <c r="E145" s="17"/>
      <c r="F145" s="59">
        <f>'F9-Year(n-1)'!U145</f>
        <v>0</v>
      </c>
      <c r="G145" s="17"/>
      <c r="H145" s="17"/>
      <c r="I145" s="108">
        <f>SUM('F9-Year(n)'!I144:N144)</f>
        <v>0</v>
      </c>
      <c r="J145" s="108">
        <f>SUM('F9-Year(n)'!O144:T144)</f>
        <v>0</v>
      </c>
      <c r="K145" s="66">
        <f t="shared" si="14"/>
        <v>0</v>
      </c>
      <c r="L145" s="108">
        <f>'F9-Year(n+2)'!U146</f>
        <v>0</v>
      </c>
      <c r="M145" s="108" t="e">
        <f>#REF!</f>
        <v>#REF!</v>
      </c>
      <c r="N145" s="108">
        <f>'F9-Year(n+3)'!U145</f>
        <v>0</v>
      </c>
      <c r="O145" s="108">
        <f>'F9-Year(n+4)'!U145</f>
        <v>0</v>
      </c>
      <c r="P145" s="108">
        <f>'F9-Year(n+5)'!U145</f>
        <v>0</v>
      </c>
    </row>
    <row r="146" spans="3:16" hidden="1" x14ac:dyDescent="0.25">
      <c r="C146" s="17"/>
      <c r="D146" s="17"/>
      <c r="E146" s="17"/>
      <c r="F146" s="59">
        <f>'F9-Year(n-1)'!U146</f>
        <v>0</v>
      </c>
      <c r="G146" s="17"/>
      <c r="H146" s="17"/>
      <c r="I146" s="108">
        <f>SUM('F9-Year(n)'!I145:N145)</f>
        <v>0</v>
      </c>
      <c r="J146" s="108">
        <f>SUM('F9-Year(n)'!O145:T145)</f>
        <v>0</v>
      </c>
      <c r="K146" s="66">
        <f t="shared" si="14"/>
        <v>0</v>
      </c>
      <c r="L146" s="108">
        <f>'F9-Year(n+2)'!U147</f>
        <v>0</v>
      </c>
      <c r="M146" s="108" t="e">
        <f>#REF!</f>
        <v>#REF!</v>
      </c>
      <c r="N146" s="108">
        <f>'F9-Year(n+3)'!U146</f>
        <v>0</v>
      </c>
      <c r="O146" s="108">
        <f>'F9-Year(n+4)'!U146</f>
        <v>0</v>
      </c>
      <c r="P146" s="108">
        <f>'F9-Year(n+5)'!U146</f>
        <v>0</v>
      </c>
    </row>
    <row r="147" spans="3:16" hidden="1" x14ac:dyDescent="0.25">
      <c r="C147" s="17"/>
      <c r="D147" s="17"/>
      <c r="E147" s="17"/>
      <c r="F147" s="59">
        <f>'F9-Year(n-1)'!U147</f>
        <v>0</v>
      </c>
      <c r="G147" s="17"/>
      <c r="H147" s="17"/>
      <c r="I147" s="108">
        <f>SUM('F9-Year(n)'!I146:N146)</f>
        <v>0</v>
      </c>
      <c r="J147" s="108">
        <f>SUM('F9-Year(n)'!O146:T146)</f>
        <v>0</v>
      </c>
      <c r="K147" s="66">
        <f t="shared" si="14"/>
        <v>0</v>
      </c>
      <c r="L147" s="108">
        <f>'F9-Year(n+2)'!U148</f>
        <v>0</v>
      </c>
      <c r="M147" s="108" t="e">
        <f>#REF!</f>
        <v>#REF!</v>
      </c>
      <c r="N147" s="108">
        <f>'F9-Year(n+3)'!U147</f>
        <v>0</v>
      </c>
      <c r="O147" s="108">
        <f>'F9-Year(n+4)'!U147</f>
        <v>0</v>
      </c>
      <c r="P147" s="108">
        <f>'F9-Year(n+5)'!U147</f>
        <v>0</v>
      </c>
    </row>
    <row r="148" spans="3:16" hidden="1" x14ac:dyDescent="0.25">
      <c r="C148" s="17"/>
      <c r="D148" s="17"/>
      <c r="E148" s="17"/>
      <c r="F148" s="59">
        <f>'F9-Year(n-1)'!U148</f>
        <v>0</v>
      </c>
      <c r="G148" s="17"/>
      <c r="H148" s="17"/>
      <c r="I148" s="108">
        <f>SUM('F9-Year(n)'!I147:N147)</f>
        <v>0</v>
      </c>
      <c r="J148" s="108">
        <f>SUM('F9-Year(n)'!O147:T147)</f>
        <v>0</v>
      </c>
      <c r="K148" s="66">
        <f t="shared" si="14"/>
        <v>0</v>
      </c>
      <c r="L148" s="108">
        <f>'F9-Year(n+2)'!U149</f>
        <v>0</v>
      </c>
      <c r="M148" s="108" t="e">
        <f>#REF!</f>
        <v>#REF!</v>
      </c>
      <c r="N148" s="108">
        <f>'F9-Year(n+3)'!U148</f>
        <v>0</v>
      </c>
      <c r="O148" s="108">
        <f>'F9-Year(n+4)'!U148</f>
        <v>0</v>
      </c>
      <c r="P148" s="108">
        <f>'F9-Year(n+5)'!U148</f>
        <v>0</v>
      </c>
    </row>
    <row r="149" spans="3:16" hidden="1" x14ac:dyDescent="0.25">
      <c r="C149" s="17"/>
      <c r="D149" s="17"/>
      <c r="E149" s="17"/>
      <c r="F149" s="59">
        <f>'F9-Year(n-1)'!U149</f>
        <v>0</v>
      </c>
      <c r="G149" s="17"/>
      <c r="H149" s="17"/>
      <c r="I149" s="108">
        <f>SUM('F9-Year(n)'!I148:N148)</f>
        <v>0</v>
      </c>
      <c r="J149" s="108">
        <f>SUM('F9-Year(n)'!O148:T148)</f>
        <v>0</v>
      </c>
      <c r="K149" s="66">
        <f t="shared" si="14"/>
        <v>0</v>
      </c>
      <c r="L149" s="108">
        <f>'F9-Year(n+2)'!U150</f>
        <v>0</v>
      </c>
      <c r="M149" s="108" t="e">
        <f>#REF!</f>
        <v>#REF!</v>
      </c>
      <c r="N149" s="108">
        <f>'F9-Year(n+3)'!U149</f>
        <v>0</v>
      </c>
      <c r="O149" s="108">
        <f>'F9-Year(n+4)'!U149</f>
        <v>0</v>
      </c>
      <c r="P149" s="108">
        <f>'F9-Year(n+5)'!U149</f>
        <v>0</v>
      </c>
    </row>
    <row r="150" spans="3:16" hidden="1" x14ac:dyDescent="0.25">
      <c r="C150" s="17"/>
      <c r="D150" s="17"/>
      <c r="E150" s="17"/>
      <c r="F150" s="59">
        <f>'F9-Year(n-1)'!U150</f>
        <v>0</v>
      </c>
      <c r="G150" s="17"/>
      <c r="H150" s="17"/>
      <c r="I150" s="108">
        <f>SUM('F9-Year(n)'!I149:N149)</f>
        <v>0</v>
      </c>
      <c r="J150" s="108">
        <f>SUM('F9-Year(n)'!O149:T149)</f>
        <v>0</v>
      </c>
      <c r="K150" s="66">
        <f t="shared" si="14"/>
        <v>0</v>
      </c>
      <c r="L150" s="108">
        <f>'F9-Year(n+2)'!U151</f>
        <v>0</v>
      </c>
      <c r="M150" s="108" t="e">
        <f>#REF!</f>
        <v>#REF!</v>
      </c>
      <c r="N150" s="108">
        <f>'F9-Year(n+3)'!U150</f>
        <v>0</v>
      </c>
      <c r="O150" s="108">
        <f>'F9-Year(n+4)'!U150</f>
        <v>0</v>
      </c>
      <c r="P150" s="108">
        <f>'F9-Year(n+5)'!U150</f>
        <v>0</v>
      </c>
    </row>
    <row r="151" spans="3:16" hidden="1" x14ac:dyDescent="0.25">
      <c r="C151" s="17"/>
      <c r="D151" s="17"/>
      <c r="E151" s="17"/>
      <c r="F151" s="59">
        <f>'F9-Year(n-1)'!U151</f>
        <v>0</v>
      </c>
      <c r="G151" s="17"/>
      <c r="H151" s="17"/>
      <c r="I151" s="108">
        <f>SUM('F9-Year(n)'!I150:N150)</f>
        <v>0</v>
      </c>
      <c r="J151" s="108">
        <f>SUM('F9-Year(n)'!O150:T150)</f>
        <v>0</v>
      </c>
      <c r="K151" s="66">
        <f t="shared" si="14"/>
        <v>0</v>
      </c>
      <c r="L151" s="108">
        <f>'F9-Year(n+2)'!U152</f>
        <v>0</v>
      </c>
      <c r="M151" s="108" t="e">
        <f>#REF!</f>
        <v>#REF!</v>
      </c>
      <c r="N151" s="108">
        <f>'F9-Year(n+3)'!U151</f>
        <v>0</v>
      </c>
      <c r="O151" s="108">
        <f>'F9-Year(n+4)'!U151</f>
        <v>0</v>
      </c>
      <c r="P151" s="108">
        <f>'F9-Year(n+5)'!U151</f>
        <v>0</v>
      </c>
    </row>
    <row r="152" spans="3:16" x14ac:dyDescent="0.25">
      <c r="C152" s="753" t="s">
        <v>423</v>
      </c>
      <c r="D152" s="754"/>
      <c r="E152" s="86">
        <f>SUM(E141:E151)</f>
        <v>0</v>
      </c>
      <c r="F152" s="86">
        <f>'F9-Year(n-1)'!U152</f>
        <v>2769.5951385529997</v>
      </c>
      <c r="G152" s="86">
        <f>F152-E152</f>
        <v>2769.5951385529997</v>
      </c>
      <c r="H152" s="86">
        <f t="shared" ref="H152" si="15">SUM(H141:H151)</f>
        <v>0</v>
      </c>
      <c r="I152" s="86">
        <f>SUM('F9-Year(n)'!I151:N151)</f>
        <v>1918.5323819275</v>
      </c>
      <c r="J152" s="86">
        <f>SUM('F9-Year(n)'!O151:T151)</f>
        <v>2880.0325806837495</v>
      </c>
      <c r="K152" s="86">
        <f>I152+J152</f>
        <v>4798.5649626112499</v>
      </c>
      <c r="L152" s="86">
        <f>'F9-Year(n+2)'!U153</f>
        <v>438.91457470296291</v>
      </c>
      <c r="M152" s="86" t="e">
        <f>#REF!</f>
        <v>#REF!</v>
      </c>
      <c r="N152" s="86">
        <f>'F9-Year(n+3)'!U152</f>
        <v>-641.5090745202167</v>
      </c>
      <c r="O152" s="86">
        <f>'F9-Year(n+4)'!U152</f>
        <v>-309.90620000486388</v>
      </c>
      <c r="P152" s="86">
        <f>'F9-Year(n+5)'!U152</f>
        <v>-98.813848208658783</v>
      </c>
    </row>
    <row r="153" spans="3:16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</row>
    <row r="154" spans="3:16" x14ac:dyDescent="0.25">
      <c r="C154" s="17" t="s">
        <v>425</v>
      </c>
      <c r="D154" s="17" t="s">
        <v>426</v>
      </c>
      <c r="E154" s="17"/>
      <c r="F154" s="59">
        <f>'F9-Year(n-1)'!U154</f>
        <v>0</v>
      </c>
      <c r="G154" s="17"/>
      <c r="H154" s="17">
        <v>137.16999999999999</v>
      </c>
      <c r="I154" s="108">
        <f>SUM('F9-Year(n)'!I153:N153)</f>
        <v>0</v>
      </c>
      <c r="J154" s="108">
        <f>SUM('F9-Year(n)'!O153:T153)</f>
        <v>0</v>
      </c>
      <c r="K154" s="66">
        <f t="shared" ref="K154:K155" si="16">I154+J154</f>
        <v>0</v>
      </c>
      <c r="L154" s="108">
        <f>'F9-Year(n+2)'!U155</f>
        <v>0</v>
      </c>
      <c r="M154" s="108" t="e">
        <f>#REF!</f>
        <v>#REF!</v>
      </c>
      <c r="N154" s="108">
        <f>'F9-Year(n+3)'!U154</f>
        <v>-3452.0283649937569</v>
      </c>
      <c r="O154" s="108">
        <f>'F9-Year(n+4)'!U154</f>
        <v>-4755.0712006643253</v>
      </c>
      <c r="P154" s="108">
        <f>'F9-Year(n+5)'!U154</f>
        <v>-5556.4645060556313</v>
      </c>
    </row>
    <row r="155" spans="3:16" x14ac:dyDescent="0.25">
      <c r="C155" s="17" t="s">
        <v>425</v>
      </c>
      <c r="D155" s="17" t="s">
        <v>427</v>
      </c>
      <c r="E155" s="17"/>
      <c r="F155" s="59">
        <f>'F9-Year(n-1)'!U155</f>
        <v>0</v>
      </c>
      <c r="G155" s="17"/>
      <c r="H155" s="17">
        <v>-1271.0899999999999</v>
      </c>
      <c r="I155" s="108">
        <f>SUM('F9-Year(n)'!I154:N154)</f>
        <v>0</v>
      </c>
      <c r="J155" s="108">
        <f>SUM('F9-Year(n)'!O154:T154)</f>
        <v>0</v>
      </c>
      <c r="K155" s="66">
        <f t="shared" si="16"/>
        <v>0</v>
      </c>
      <c r="L155" s="108">
        <f>'F9-Year(n+2)'!U156</f>
        <v>0</v>
      </c>
      <c r="M155" s="108" t="e">
        <f>#REF!</f>
        <v>#REF!</v>
      </c>
      <c r="N155" s="108">
        <f>'F9-Year(n+3)'!U155</f>
        <v>0</v>
      </c>
      <c r="O155" s="108">
        <f>'F9-Year(n+4)'!U155</f>
        <v>0</v>
      </c>
      <c r="P155" s="108">
        <f>'F9-Year(n+5)'!U155</f>
        <v>0</v>
      </c>
    </row>
    <row r="156" spans="3:16" x14ac:dyDescent="0.25">
      <c r="C156" s="753" t="s">
        <v>428</v>
      </c>
      <c r="D156" s="754"/>
      <c r="E156" s="86">
        <f t="shared" ref="E156:E157" si="17">SUM(E154:E155)</f>
        <v>0</v>
      </c>
      <c r="F156" s="86">
        <f>'F9-Year(n-1)'!U156</f>
        <v>0</v>
      </c>
      <c r="G156" s="86">
        <f t="shared" ref="G156:G157" si="18">F156-E156</f>
        <v>0</v>
      </c>
      <c r="H156" s="86">
        <f t="shared" ref="H156:H157" si="19">SUM(H154:H155)</f>
        <v>-1133.9199999999998</v>
      </c>
      <c r="I156" s="86">
        <f>SUM('F9-Year(n)'!I155:N155)</f>
        <v>0</v>
      </c>
      <c r="J156" s="86">
        <f>SUM('F9-Year(n)'!O155:T155)</f>
        <v>0</v>
      </c>
      <c r="K156" s="86">
        <f t="shared" ref="K156:K157" si="20">I156+J156</f>
        <v>0</v>
      </c>
      <c r="L156" s="86">
        <f>'F9-Year(n+2)'!U157</f>
        <v>0</v>
      </c>
      <c r="M156" s="86" t="e">
        <f>#REF!</f>
        <v>#REF!</v>
      </c>
      <c r="N156" s="86">
        <f>'F9-Year(n+3)'!U156</f>
        <v>-3452.0283649937569</v>
      </c>
      <c r="O156" s="86">
        <f>'F9-Year(n+4)'!U156</f>
        <v>-4755.0712006643253</v>
      </c>
      <c r="P156" s="86">
        <f>'F9-Year(n+5)'!U156</f>
        <v>-5556.4645060556313</v>
      </c>
    </row>
    <row r="157" spans="3:16" x14ac:dyDescent="0.25">
      <c r="C157" s="753" t="s">
        <v>220</v>
      </c>
      <c r="D157" s="754"/>
      <c r="E157" s="86">
        <f t="shared" si="17"/>
        <v>0</v>
      </c>
      <c r="F157" s="86">
        <f>'F9-Year(n-1)'!U157</f>
        <v>23124.540919025661</v>
      </c>
      <c r="G157" s="86">
        <f t="shared" si="18"/>
        <v>23124.540919025661</v>
      </c>
      <c r="H157" s="86">
        <f t="shared" si="19"/>
        <v>-2405.0099999999998</v>
      </c>
      <c r="I157" s="86">
        <f>SUM('F9-Year(n)'!I156:N156)</f>
        <v>12835.342322042228</v>
      </c>
      <c r="J157" s="86">
        <f>SUM('F9-Year(n)'!O156:T156)</f>
        <v>15341.951756790149</v>
      </c>
      <c r="K157" s="86">
        <f t="shared" si="20"/>
        <v>28177.294078832376</v>
      </c>
      <c r="L157" s="86">
        <f>'F9-Year(n+2)'!U158</f>
        <v>36566.171080924258</v>
      </c>
      <c r="M157" s="86" t="e">
        <f>#REF!</f>
        <v>#REF!</v>
      </c>
      <c r="N157" s="86">
        <f>'F9-Year(n+3)'!U157</f>
        <v>33743.638070817389</v>
      </c>
      <c r="O157" s="86">
        <f>'F9-Year(n+4)'!U157</f>
        <v>34649.243925344847</v>
      </c>
      <c r="P157" s="86">
        <f>'F9-Year(n+5)'!U157</f>
        <v>34175.786200297443</v>
      </c>
    </row>
    <row r="161" spans="4:9" x14ac:dyDescent="0.25">
      <c r="D161" s="22"/>
      <c r="E161" s="22"/>
      <c r="F161" s="22"/>
      <c r="G161" s="22"/>
      <c r="H161" s="22"/>
      <c r="I161" s="22"/>
    </row>
    <row r="162" spans="4:9" x14ac:dyDescent="0.25">
      <c r="D162" s="24"/>
      <c r="E162" s="24"/>
      <c r="F162" s="24"/>
      <c r="G162" s="24"/>
      <c r="H162" s="24"/>
      <c r="I162" s="24"/>
    </row>
    <row r="163" spans="4:9" x14ac:dyDescent="0.25">
      <c r="E163" s="24"/>
      <c r="F163" s="24"/>
      <c r="G163" s="24"/>
      <c r="H163" s="24"/>
      <c r="I163" s="24"/>
    </row>
    <row r="164" spans="4:9" x14ac:dyDescent="0.25">
      <c r="E164" s="24"/>
      <c r="F164" s="24"/>
      <c r="G164" s="24"/>
      <c r="H164" s="24"/>
      <c r="I164" s="24"/>
    </row>
  </sheetData>
  <mergeCells count="32">
    <mergeCell ref="C48:D48"/>
    <mergeCell ref="C47:D47"/>
    <mergeCell ref="C79:C83"/>
    <mergeCell ref="C51:C59"/>
    <mergeCell ref="C156:D156"/>
    <mergeCell ref="C157:D157"/>
    <mergeCell ref="C77:D77"/>
    <mergeCell ref="C94:D94"/>
    <mergeCell ref="C140:D140"/>
    <mergeCell ref="C103:D103"/>
    <mergeCell ref="L4:P4"/>
    <mergeCell ref="E4:G4"/>
    <mergeCell ref="H4:K4"/>
    <mergeCell ref="C7:D7"/>
    <mergeCell ref="C4:C6"/>
    <mergeCell ref="D4:D6"/>
    <mergeCell ref="C28:D28"/>
    <mergeCell ref="C27:D27"/>
    <mergeCell ref="C49:D49"/>
    <mergeCell ref="C153:D153"/>
    <mergeCell ref="C8:D8"/>
    <mergeCell ref="C50:D50"/>
    <mergeCell ref="C78:D78"/>
    <mergeCell ref="C93:D93"/>
    <mergeCell ref="C95:D95"/>
    <mergeCell ref="C104:D104"/>
    <mergeCell ref="C113:D113"/>
    <mergeCell ref="C114:D114"/>
    <mergeCell ref="C139:D139"/>
    <mergeCell ref="C152:D152"/>
    <mergeCell ref="C9:C26"/>
    <mergeCell ref="C29:C46"/>
  </mergeCells>
  <pageMargins left="0.7" right="0.7" top="0.75" bottom="0.75" header="0.3" footer="0.3"/>
  <pageSetup paperSize="9" scale="60" orientation="landscape" r:id="rId1"/>
  <rowBreaks count="1" manualBreakCount="1">
    <brk id="9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U163"/>
  <sheetViews>
    <sheetView showGridLines="0" zoomScale="70" zoomScaleNormal="90" workbookViewId="0">
      <selection activeCell="N25" sqref="N25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22.33203125" style="4" customWidth="1"/>
    <col min="4" max="4" width="41.33203125" style="4" customWidth="1"/>
    <col min="5" max="7" width="16.44140625" style="4" customWidth="1"/>
    <col min="8" max="8" width="16.6640625" style="4" customWidth="1"/>
    <col min="9" max="9" width="13.6640625" style="4" bestFit="1" customWidth="1"/>
    <col min="10" max="10" width="12.5546875" style="4" bestFit="1" customWidth="1"/>
    <col min="11" max="11" width="13.44140625" style="4" bestFit="1" customWidth="1"/>
    <col min="12" max="12" width="13.6640625" style="4" bestFit="1" customWidth="1"/>
    <col min="13" max="13" width="12.5546875" style="4" bestFit="1" customWidth="1"/>
    <col min="14" max="14" width="14.6640625" style="4" customWidth="1"/>
    <col min="15" max="15" width="12.5546875" style="4" customWidth="1"/>
    <col min="16" max="16" width="11.6640625" style="4" bestFit="1" customWidth="1"/>
    <col min="17" max="17" width="13.6640625" style="4" bestFit="1" customWidth="1"/>
    <col min="18" max="20" width="11.6640625" style="4" bestFit="1" customWidth="1"/>
    <col min="21" max="21" width="14.6640625" style="4" customWidth="1"/>
    <col min="22" max="22" width="12.44140625" style="4" customWidth="1"/>
    <col min="23" max="23" width="12.6640625" style="4" customWidth="1"/>
    <col min="24" max="16384" width="9.33203125" style="4"/>
  </cols>
  <sheetData>
    <row r="2" spans="2:21" x14ac:dyDescent="0.25">
      <c r="I2" s="23" t="s">
        <v>38</v>
      </c>
    </row>
    <row r="3" spans="2:21" x14ac:dyDescent="0.25">
      <c r="I3" s="25" t="s">
        <v>429</v>
      </c>
    </row>
    <row r="4" spans="2:21" x14ac:dyDescent="0.25">
      <c r="C4" s="14"/>
      <c r="U4" s="25" t="s">
        <v>229</v>
      </c>
    </row>
    <row r="5" spans="2:21" x14ac:dyDescent="0.25">
      <c r="C5" s="762" t="s">
        <v>346</v>
      </c>
      <c r="D5" s="762" t="s">
        <v>347</v>
      </c>
      <c r="E5" s="758" t="s">
        <v>430</v>
      </c>
      <c r="F5" s="758" t="s">
        <v>431</v>
      </c>
      <c r="G5" s="758" t="s">
        <v>432</v>
      </c>
      <c r="H5" s="758" t="s">
        <v>433</v>
      </c>
      <c r="I5" s="768" t="s">
        <v>255</v>
      </c>
      <c r="J5" s="768"/>
      <c r="K5" s="768"/>
      <c r="L5" s="768"/>
      <c r="M5" s="768"/>
      <c r="N5" s="768"/>
      <c r="O5" s="768"/>
      <c r="P5" s="768"/>
      <c r="Q5" s="768"/>
      <c r="R5" s="768"/>
      <c r="S5" s="768"/>
      <c r="T5" s="768"/>
      <c r="U5" s="768"/>
    </row>
    <row r="6" spans="2:21" x14ac:dyDescent="0.25">
      <c r="C6" s="764"/>
      <c r="D6" s="764"/>
      <c r="E6" s="792"/>
      <c r="F6" s="792"/>
      <c r="G6" s="792"/>
      <c r="H6" s="792"/>
      <c r="I6" s="13" t="s">
        <v>239</v>
      </c>
      <c r="J6" s="13" t="s">
        <v>240</v>
      </c>
      <c r="K6" s="13" t="s">
        <v>241</v>
      </c>
      <c r="L6" s="13" t="s">
        <v>242</v>
      </c>
      <c r="M6" s="13" t="s">
        <v>243</v>
      </c>
      <c r="N6" s="13" t="s">
        <v>244</v>
      </c>
      <c r="O6" s="13" t="s">
        <v>245</v>
      </c>
      <c r="P6" s="13" t="s">
        <v>246</v>
      </c>
      <c r="Q6" s="13" t="s">
        <v>247</v>
      </c>
      <c r="R6" s="13" t="s">
        <v>248</v>
      </c>
      <c r="S6" s="13" t="s">
        <v>249</v>
      </c>
      <c r="T6" s="13" t="s">
        <v>250</v>
      </c>
      <c r="U6" s="13" t="s">
        <v>251</v>
      </c>
    </row>
    <row r="7" spans="2:21" x14ac:dyDescent="0.25">
      <c r="B7" s="60"/>
      <c r="C7" s="800" t="s">
        <v>348</v>
      </c>
      <c r="D7" s="801"/>
      <c r="E7" s="59"/>
      <c r="F7" s="59"/>
      <c r="G7" s="58"/>
      <c r="H7" s="59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2:21" x14ac:dyDescent="0.25">
      <c r="C8" s="753" t="s">
        <v>349</v>
      </c>
      <c r="D8" s="754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2:21" ht="14.25" customHeight="1" x14ac:dyDescent="0.25">
      <c r="B9" s="60"/>
      <c r="C9" s="802" t="s">
        <v>350</v>
      </c>
      <c r="D9" s="59" t="s">
        <v>351</v>
      </c>
      <c r="E9" s="110">
        <f>[37]Capacity!F9</f>
        <v>500</v>
      </c>
      <c r="F9" s="59"/>
      <c r="G9" s="110">
        <f>[37]Capacity!H9</f>
        <v>500</v>
      </c>
      <c r="H9" s="59">
        <f>G9*29.45/100</f>
        <v>147.25</v>
      </c>
      <c r="I9" s="66">
        <f>'[38]4.1|Energy Availability'!G1597</f>
        <v>88.621249225</v>
      </c>
      <c r="J9" s="66">
        <f>'[38]4.1|Energy Availability'!H1597</f>
        <v>89.172086148000005</v>
      </c>
      <c r="K9" s="66">
        <f>'[38]4.1|Energy Availability'!I1597</f>
        <v>79.844103750000002</v>
      </c>
      <c r="L9" s="66">
        <f>'[38]4.1|Energy Availability'!J1597</f>
        <v>38.591927900000002</v>
      </c>
      <c r="M9" s="66">
        <f>'[38]4.1|Energy Availability'!K1597</f>
        <v>67.32318592499999</v>
      </c>
      <c r="N9" s="66">
        <f>'[38]4.1|Energy Availability'!L1597</f>
        <v>79.275041399999992</v>
      </c>
      <c r="O9" s="66">
        <f>'[38]4.1|Energy Availability'!M1597</f>
        <v>76.798104975000001</v>
      </c>
      <c r="P9" s="66">
        <f>'[38]4.1|Energy Availability'!N1597</f>
        <v>76.178889274999989</v>
      </c>
      <c r="Q9" s="66">
        <f>'[38]4.1|Energy Availability'!O1597</f>
        <v>84.276829399999997</v>
      </c>
      <c r="R9" s="66">
        <f>'[38]4.1|Energy Availability'!P1597</f>
        <v>87.613720549999996</v>
      </c>
      <c r="S9" s="66">
        <f>'[38]4.1|Energy Availability'!Q1597</f>
        <v>80.32952809999999</v>
      </c>
      <c r="T9" s="66">
        <f>'[38]4.1|Energy Availability'!R1597</f>
        <v>86.611934625000004</v>
      </c>
      <c r="U9" s="17">
        <f>+SUM(I9:T9)</f>
        <v>934.63660127299988</v>
      </c>
    </row>
    <row r="10" spans="2:21" ht="14.25" customHeight="1" x14ac:dyDescent="0.25">
      <c r="B10" s="60"/>
      <c r="C10" s="803"/>
      <c r="D10" s="59" t="s">
        <v>352</v>
      </c>
      <c r="E10" s="110">
        <f>[37]Capacity!F10</f>
        <v>500</v>
      </c>
      <c r="F10" s="59"/>
      <c r="G10" s="110">
        <f>[37]Capacity!H10</f>
        <v>500</v>
      </c>
      <c r="H10" s="59">
        <f t="shared" ref="H10:H15" si="0">G10*29.45/100</f>
        <v>147.25</v>
      </c>
      <c r="I10" s="66">
        <f>'[38]4.1|Energy Availability'!G1598</f>
        <v>87.162546550000002</v>
      </c>
      <c r="J10" s="66">
        <f>'[38]4.1|Energy Availability'!H1598</f>
        <v>79.160687049999993</v>
      </c>
      <c r="K10" s="66">
        <f>'[38]4.1|Energy Availability'!I1598</f>
        <v>83.574299649999986</v>
      </c>
      <c r="L10" s="66">
        <f>'[38]4.1|Energy Availability'!J1598</f>
        <v>88.440028649999988</v>
      </c>
      <c r="M10" s="66">
        <f>'[38]4.1|Energy Availability'!K1598</f>
        <v>90.767314899999988</v>
      </c>
      <c r="N10" s="66">
        <f>'[38]4.1|Energy Availability'!L1598</f>
        <v>85.884063149999989</v>
      </c>
      <c r="O10" s="66">
        <f>'[38]4.1|Energy Availability'!M1598</f>
        <v>71.159180950000007</v>
      </c>
      <c r="P10" s="66">
        <f>'[38]4.1|Energy Availability'!N1598</f>
        <v>86.48840659999999</v>
      </c>
      <c r="Q10" s="66">
        <f>'[38]4.1|Energy Availability'!O1598</f>
        <v>88.355919449999988</v>
      </c>
      <c r="R10" s="66">
        <f>'[38]4.1|Energy Availability'!P1598</f>
        <v>84.304041199999986</v>
      </c>
      <c r="S10" s="66">
        <f>'[38]4.1|Energy Availability'!Q1598</f>
        <v>80.900828649999994</v>
      </c>
      <c r="T10" s="66">
        <f>'[38]4.1|Energy Availability'!R1598</f>
        <v>93.383004999999997</v>
      </c>
      <c r="U10" s="17">
        <f t="shared" ref="U10:U46" si="1">+SUM(I10:T10)</f>
        <v>1019.5803217999999</v>
      </c>
    </row>
    <row r="11" spans="2:21" ht="14.25" customHeight="1" x14ac:dyDescent="0.25">
      <c r="B11" s="60"/>
      <c r="C11" s="803"/>
      <c r="D11" s="59" t="s">
        <v>353</v>
      </c>
      <c r="E11" s="110">
        <f>[37]Capacity!F11</f>
        <v>800</v>
      </c>
      <c r="F11" s="59"/>
      <c r="G11" s="110">
        <f>[37]Capacity!H11</f>
        <v>800</v>
      </c>
      <c r="H11" s="59">
        <f t="shared" si="0"/>
        <v>235.6</v>
      </c>
      <c r="I11" s="66">
        <f>'[38]4.1|Energy Availability'!G1602</f>
        <v>126.1089655725</v>
      </c>
      <c r="J11" s="66">
        <f>'[38]4.1|Energy Availability'!H1602</f>
        <v>146.675338616</v>
      </c>
      <c r="K11" s="66">
        <f>'[38]4.1|Energy Availability'!I1602</f>
        <v>144.30261072149997</v>
      </c>
      <c r="L11" s="66">
        <f>'[38]4.1|Energy Availability'!J1602</f>
        <v>6.3491255000000004</v>
      </c>
      <c r="M11" s="66">
        <f>'[38]4.1|Energy Availability'!K1602</f>
        <v>-0.51024009800000003</v>
      </c>
      <c r="N11" s="66">
        <f>'[38]4.1|Energy Availability'!L1602</f>
        <v>8.0293590264999999</v>
      </c>
      <c r="O11" s="66">
        <f>'[38]4.1|Energy Availability'!M1602</f>
        <v>112.376974514</v>
      </c>
      <c r="P11" s="66">
        <f>'[38]4.1|Energy Availability'!N1602</f>
        <v>100.9880967245</v>
      </c>
      <c r="Q11" s="66">
        <f>'[38]4.1|Energy Availability'!O1602</f>
        <v>131.70665459099999</v>
      </c>
      <c r="R11" s="66">
        <f>'[38]4.1|Energy Availability'!P1602</f>
        <v>137.08209299999999</v>
      </c>
      <c r="S11" s="66">
        <f>'[38]4.1|Energy Availability'!Q1602</f>
        <v>131.35028485300001</v>
      </c>
      <c r="T11" s="66">
        <f>'[38]4.1|Energy Availability'!R1602</f>
        <v>137.465229843</v>
      </c>
      <c r="U11" s="17">
        <f t="shared" si="1"/>
        <v>1181.9244928640001</v>
      </c>
    </row>
    <row r="12" spans="2:21" ht="14.25" customHeight="1" x14ac:dyDescent="0.25">
      <c r="B12" s="60"/>
      <c r="C12" s="803"/>
      <c r="D12" s="59" t="s">
        <v>354</v>
      </c>
      <c r="E12" s="109">
        <f>[37]Capacity!F12</f>
        <v>62.5</v>
      </c>
      <c r="F12" s="59"/>
      <c r="G12" s="110">
        <f>[37]Capacity!H12</f>
        <v>62.5</v>
      </c>
      <c r="H12" s="59">
        <f t="shared" si="0"/>
        <v>18.40625</v>
      </c>
      <c r="I12" s="66">
        <f>'[38]4.1|Energy Availability'!G1599</f>
        <v>3.3536275849999999</v>
      </c>
      <c r="J12" s="66">
        <f>'[38]4.1|Energy Availability'!H1599</f>
        <v>8.4656292649999987</v>
      </c>
      <c r="K12" s="66">
        <f>'[38]4.1|Energy Availability'!I1599</f>
        <v>7.9720929125</v>
      </c>
      <c r="L12" s="66">
        <f>'[38]4.1|Energy Availability'!J1599</f>
        <v>6.4291013924999998</v>
      </c>
      <c r="M12" s="66">
        <f>'[38]4.1|Energy Availability'!K1599</f>
        <v>8.0933002774999991</v>
      </c>
      <c r="N12" s="66">
        <f>'[38]4.1|Energy Availability'!L1599</f>
        <v>7.1999978449999995</v>
      </c>
      <c r="O12" s="66">
        <f>'[38]4.1|Energy Availability'!M1599</f>
        <v>1.8320359074999999</v>
      </c>
      <c r="P12" s="66">
        <f>'[38]4.1|Energy Availability'!N1599</f>
        <v>5.2841840499999995</v>
      </c>
      <c r="Q12" s="66">
        <f>'[38]4.1|Energy Availability'!O1599</f>
        <v>3.0431642124999998</v>
      </c>
      <c r="R12" s="66">
        <f>'[38]4.1|Energy Availability'!P1599</f>
        <v>5.5016222349999993</v>
      </c>
      <c r="S12" s="66">
        <f>'[38]4.1|Energy Availability'!Q1599</f>
        <v>5.885279165</v>
      </c>
      <c r="T12" s="66">
        <f>'[38]4.1|Energy Availability'!R1599</f>
        <v>5.3191058599999996</v>
      </c>
      <c r="U12" s="17">
        <f t="shared" si="1"/>
        <v>68.3791407075</v>
      </c>
    </row>
    <row r="13" spans="2:21" ht="14.25" customHeight="1" x14ac:dyDescent="0.25">
      <c r="B13" s="60"/>
      <c r="C13" s="803"/>
      <c r="D13" s="59" t="s">
        <v>355</v>
      </c>
      <c r="E13" s="110">
        <f>[37]Capacity!F13</f>
        <v>500</v>
      </c>
      <c r="F13" s="59"/>
      <c r="G13" s="110">
        <f>[37]Capacity!H13</f>
        <v>500</v>
      </c>
      <c r="H13" s="59">
        <f t="shared" si="0"/>
        <v>147.25</v>
      </c>
      <c r="I13" s="66">
        <f>'[38]4.1|Energy Availability'!G1600</f>
        <v>83.395329054999991</v>
      </c>
      <c r="J13" s="66">
        <f>'[38]4.1|Energy Availability'!H1600</f>
        <v>71.051990606999993</v>
      </c>
      <c r="K13" s="66">
        <f>'[38]4.1|Energy Availability'!I1600</f>
        <v>-1.0461711979999999</v>
      </c>
      <c r="L13" s="66">
        <f>'[38]4.1|Energy Availability'!J1600</f>
        <v>18.469222346000002</v>
      </c>
      <c r="M13" s="66">
        <f>'[38]4.1|Energy Availability'!K1600</f>
        <v>81.836657177000006</v>
      </c>
      <c r="N13" s="66">
        <f>'[38]4.1|Energy Availability'!L1600</f>
        <v>83.709595011499999</v>
      </c>
      <c r="O13" s="66">
        <f>'[38]4.1|Energy Availability'!M1600</f>
        <v>80.240306969000002</v>
      </c>
      <c r="P13" s="66">
        <f>'[38]4.1|Energy Availability'!N1600</f>
        <v>88.016252574000006</v>
      </c>
      <c r="Q13" s="66">
        <f>'[38]4.1|Energy Availability'!O1600</f>
        <v>93.709608739499998</v>
      </c>
      <c r="R13" s="66">
        <f>'[38]4.1|Energy Availability'!P1600</f>
        <v>96.568668044000006</v>
      </c>
      <c r="S13" s="66">
        <f>'[38]4.1|Energy Availability'!Q1600</f>
        <v>82.197228251999988</v>
      </c>
      <c r="T13" s="66">
        <f>'[38]4.1|Energy Availability'!R1600</f>
        <v>99.108507901999999</v>
      </c>
      <c r="U13" s="17">
        <f t="shared" si="1"/>
        <v>877.25719547899996</v>
      </c>
    </row>
    <row r="14" spans="2:21" ht="14.25" customHeight="1" x14ac:dyDescent="0.25">
      <c r="B14" s="60"/>
      <c r="C14" s="803"/>
      <c r="D14" s="59" t="s">
        <v>356</v>
      </c>
      <c r="E14" s="110">
        <f>[37]Capacity!F14</f>
        <v>600</v>
      </c>
      <c r="F14" s="59"/>
      <c r="G14" s="110">
        <f>[37]Capacity!H14</f>
        <v>600</v>
      </c>
      <c r="H14" s="59">
        <f t="shared" si="0"/>
        <v>176.7</v>
      </c>
      <c r="I14" s="66">
        <f>'[38]4.1|Energy Availability'!G1601</f>
        <v>95.922121566000001</v>
      </c>
      <c r="J14" s="66">
        <f>'[38]4.1|Energy Availability'!H1601</f>
        <v>117.5160875695</v>
      </c>
      <c r="K14" s="66">
        <f>'[38]4.1|Energy Availability'!I1601</f>
        <v>111.15648052</v>
      </c>
      <c r="L14" s="66">
        <f>'[38]4.1|Energy Availability'!J1601</f>
        <v>108.171910911</v>
      </c>
      <c r="M14" s="66">
        <f>'[38]4.1|Energy Availability'!K1601</f>
        <v>86.620420347999996</v>
      </c>
      <c r="N14" s="66">
        <f>'[38]4.1|Energy Availability'!L1601</f>
        <v>104.613564596</v>
      </c>
      <c r="O14" s="66">
        <f>'[38]4.1|Energy Availability'!M1601</f>
        <v>105.39354254499999</v>
      </c>
      <c r="P14" s="66">
        <f>'[38]4.1|Energy Availability'!N1601</f>
        <v>66.202798371</v>
      </c>
      <c r="Q14" s="66">
        <f>'[38]4.1|Energy Availability'!O1601</f>
        <v>109.58380752299999</v>
      </c>
      <c r="R14" s="66">
        <f>'[38]4.1|Energy Availability'!P1601</f>
        <v>103.19587163499999</v>
      </c>
      <c r="S14" s="66">
        <f>'[38]4.1|Energy Availability'!Q1601</f>
        <v>106.13128683799999</v>
      </c>
      <c r="T14" s="66">
        <f>'[38]4.1|Energy Availability'!R1601</f>
        <v>112.53985421799999</v>
      </c>
      <c r="U14" s="17">
        <f t="shared" si="1"/>
        <v>1227.0477466405</v>
      </c>
    </row>
    <row r="15" spans="2:21" ht="14.25" customHeight="1" x14ac:dyDescent="0.25">
      <c r="B15" s="60"/>
      <c r="C15" s="803"/>
      <c r="D15" s="59" t="s">
        <v>357</v>
      </c>
      <c r="E15" s="110">
        <f>[37]Capacity!F15</f>
        <v>1080</v>
      </c>
      <c r="F15" s="59"/>
      <c r="G15" s="110">
        <f>[37]Capacity!H15</f>
        <v>1080</v>
      </c>
      <c r="H15" s="59">
        <f t="shared" si="0"/>
        <v>318.06</v>
      </c>
      <c r="I15" s="66">
        <f>'[38]4.1|Energy Availability'!G1596</f>
        <v>147.502681</v>
      </c>
      <c r="J15" s="66">
        <f>'[38]4.1|Energy Availability'!H1596</f>
        <v>130.58424500000001</v>
      </c>
      <c r="K15" s="66">
        <f>'[38]4.1|Energy Availability'!I1596</f>
        <v>114.75428100000001</v>
      </c>
      <c r="L15" s="66">
        <f>'[38]4.1|Energy Availability'!J1596</f>
        <v>82.314811500000005</v>
      </c>
      <c r="M15" s="66">
        <f>'[38]4.1|Energy Availability'!K1596</f>
        <v>119.54314549999999</v>
      </c>
      <c r="N15" s="66">
        <f>'[38]4.1|Energy Availability'!L1596</f>
        <v>131.486593</v>
      </c>
      <c r="O15" s="66">
        <f>'[38]4.1|Energy Availability'!M1596</f>
        <v>149.52059499999999</v>
      </c>
      <c r="P15" s="66">
        <f>'[38]4.1|Energy Availability'!N1596</f>
        <v>133.1231295</v>
      </c>
      <c r="Q15" s="66">
        <f>'[38]4.1|Energy Availability'!O1596</f>
        <v>141.58264199999999</v>
      </c>
      <c r="R15" s="66">
        <f>'[38]4.1|Energy Availability'!P1596</f>
        <v>188.11099150000001</v>
      </c>
      <c r="S15" s="66">
        <f>'[38]4.1|Energy Availability'!Q1596</f>
        <v>165.572023</v>
      </c>
      <c r="T15" s="66">
        <f>'[38]4.1|Energy Availability'!R1596</f>
        <v>154.86135250000001</v>
      </c>
      <c r="U15" s="17">
        <f t="shared" si="1"/>
        <v>1658.9564905</v>
      </c>
    </row>
    <row r="16" spans="2:21" ht="14.25" customHeight="1" x14ac:dyDescent="0.25">
      <c r="B16" s="60"/>
      <c r="C16" s="803"/>
      <c r="D16" s="59" t="s">
        <v>358</v>
      </c>
      <c r="E16" s="110" t="str">
        <f>[37]Capacity!F16</f>
        <v>-</v>
      </c>
      <c r="F16" s="59"/>
      <c r="G16" s="110" t="str">
        <f>[37]Capacity!H16</f>
        <v>-</v>
      </c>
      <c r="H16" s="59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>
        <f t="shared" si="1"/>
        <v>0</v>
      </c>
    </row>
    <row r="17" spans="2:21" ht="14.25" customHeight="1" x14ac:dyDescent="0.25">
      <c r="B17" s="60"/>
      <c r="C17" s="803"/>
      <c r="D17" s="59"/>
      <c r="E17" s="59"/>
      <c r="F17" s="59"/>
      <c r="G17" s="59"/>
      <c r="H17" s="59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f t="shared" si="1"/>
        <v>0</v>
      </c>
    </row>
    <row r="18" spans="2:21" ht="14.25" customHeight="1" x14ac:dyDescent="0.25">
      <c r="B18" s="60"/>
      <c r="C18" s="803"/>
      <c r="D18" s="59"/>
      <c r="E18" s="59"/>
      <c r="F18" s="59"/>
      <c r="G18" s="59"/>
      <c r="H18" s="59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>
        <f t="shared" si="1"/>
        <v>0</v>
      </c>
    </row>
    <row r="19" spans="2:21" ht="14.25" customHeight="1" x14ac:dyDescent="0.25">
      <c r="B19" s="60"/>
      <c r="C19" s="803"/>
      <c r="D19" s="59"/>
      <c r="E19" s="59"/>
      <c r="F19" s="59"/>
      <c r="G19" s="59"/>
      <c r="H19" s="59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>
        <f t="shared" si="1"/>
        <v>0</v>
      </c>
    </row>
    <row r="20" spans="2:21" ht="14.25" customHeight="1" x14ac:dyDescent="0.25">
      <c r="B20" s="60"/>
      <c r="C20" s="803"/>
      <c r="D20" s="59"/>
      <c r="E20" s="59"/>
      <c r="F20" s="59"/>
      <c r="G20" s="59"/>
      <c r="H20" s="59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>
        <f t="shared" si="1"/>
        <v>0</v>
      </c>
    </row>
    <row r="21" spans="2:21" ht="14.25" customHeight="1" x14ac:dyDescent="0.25">
      <c r="B21" s="60"/>
      <c r="C21" s="803"/>
      <c r="D21" s="59"/>
      <c r="E21" s="59"/>
      <c r="F21" s="59"/>
      <c r="G21" s="59"/>
      <c r="H21" s="59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>
        <f t="shared" si="1"/>
        <v>0</v>
      </c>
    </row>
    <row r="22" spans="2:21" ht="14.25" customHeight="1" x14ac:dyDescent="0.25">
      <c r="B22" s="60"/>
      <c r="C22" s="803"/>
      <c r="D22" s="59"/>
      <c r="E22" s="59"/>
      <c r="F22" s="59"/>
      <c r="G22" s="59"/>
      <c r="H22" s="59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>
        <f t="shared" si="1"/>
        <v>0</v>
      </c>
    </row>
    <row r="23" spans="2:21" ht="14.25" customHeight="1" x14ac:dyDescent="0.25">
      <c r="B23" s="60"/>
      <c r="C23" s="803"/>
      <c r="D23" s="59"/>
      <c r="E23" s="59"/>
      <c r="F23" s="59"/>
      <c r="G23" s="59"/>
      <c r="H23" s="59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>
        <f t="shared" si="1"/>
        <v>0</v>
      </c>
    </row>
    <row r="24" spans="2:21" ht="14.25" customHeight="1" x14ac:dyDescent="0.25">
      <c r="B24" s="60"/>
      <c r="C24" s="803"/>
      <c r="D24" s="59"/>
      <c r="E24" s="59"/>
      <c r="F24" s="59"/>
      <c r="G24" s="59"/>
      <c r="H24" s="5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>
        <f t="shared" si="1"/>
        <v>0</v>
      </c>
    </row>
    <row r="25" spans="2:21" ht="14.25" customHeight="1" x14ac:dyDescent="0.25">
      <c r="B25" s="60"/>
      <c r="C25" s="803"/>
      <c r="D25" s="59"/>
      <c r="E25" s="59"/>
      <c r="F25" s="59"/>
      <c r="G25" s="59"/>
      <c r="H25" s="5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>
        <f t="shared" si="1"/>
        <v>0</v>
      </c>
    </row>
    <row r="26" spans="2:21" ht="14.25" customHeight="1" x14ac:dyDescent="0.25">
      <c r="B26" s="60"/>
      <c r="C26" s="804"/>
      <c r="D26" s="59"/>
      <c r="E26" s="59"/>
      <c r="F26" s="59"/>
      <c r="G26" s="59"/>
      <c r="H26" s="59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>
        <f t="shared" si="1"/>
        <v>0</v>
      </c>
    </row>
    <row r="27" spans="2:21" x14ac:dyDescent="0.25">
      <c r="C27" s="751" t="s">
        <v>212</v>
      </c>
      <c r="D27" s="752"/>
      <c r="E27" s="17">
        <f>SUM(E9:E26)</f>
        <v>4042.5</v>
      </c>
      <c r="F27" s="17">
        <f t="shared" ref="F27:T27" si="2">SUM(F9:F26)</f>
        <v>0</v>
      </c>
      <c r="G27" s="17">
        <f t="shared" si="2"/>
        <v>4042.5</v>
      </c>
      <c r="H27" s="17">
        <f t="shared" si="2"/>
        <v>1190.5162499999999</v>
      </c>
      <c r="I27" s="17">
        <f t="shared" si="2"/>
        <v>632.06652055349991</v>
      </c>
      <c r="J27" s="17">
        <f t="shared" si="2"/>
        <v>642.62606425550007</v>
      </c>
      <c r="K27" s="17">
        <f t="shared" si="2"/>
        <v>540.55769735599995</v>
      </c>
      <c r="L27" s="17">
        <f t="shared" si="2"/>
        <v>348.76612819950003</v>
      </c>
      <c r="M27" s="17">
        <f t="shared" si="2"/>
        <v>453.67378402949998</v>
      </c>
      <c r="N27" s="17">
        <f t="shared" si="2"/>
        <v>500.19821402900004</v>
      </c>
      <c r="O27" s="17">
        <f t="shared" si="2"/>
        <v>597.3207408605</v>
      </c>
      <c r="P27" s="17">
        <f t="shared" si="2"/>
        <v>556.28175709449999</v>
      </c>
      <c r="Q27" s="17">
        <f t="shared" si="2"/>
        <v>652.25862591599991</v>
      </c>
      <c r="R27" s="17">
        <f t="shared" si="2"/>
        <v>702.37700816400002</v>
      </c>
      <c r="S27" s="17">
        <f t="shared" si="2"/>
        <v>652.36645885799999</v>
      </c>
      <c r="T27" s="17">
        <f t="shared" si="2"/>
        <v>689.28898994799988</v>
      </c>
      <c r="U27" s="86">
        <f>SUM(I27:T27)</f>
        <v>6967.781989264</v>
      </c>
    </row>
    <row r="28" spans="2:21" x14ac:dyDescent="0.25">
      <c r="C28" s="753" t="s">
        <v>359</v>
      </c>
      <c r="D28" s="75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2:21" x14ac:dyDescent="0.25">
      <c r="C29" s="805" t="s">
        <v>350</v>
      </c>
      <c r="D29" s="17" t="s">
        <v>360</v>
      </c>
      <c r="E29" s="111">
        <f>[37]Capacity!F20</f>
        <v>234</v>
      </c>
      <c r="F29" s="17"/>
      <c r="G29" s="111">
        <f>[37]Capacity!$H$20</f>
        <v>117</v>
      </c>
      <c r="H29" s="17">
        <f>G29*29.45/100</f>
        <v>34.456499999999998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>
        <f t="shared" si="1"/>
        <v>0</v>
      </c>
    </row>
    <row r="30" spans="2:21" x14ac:dyDescent="0.25">
      <c r="C30" s="806"/>
      <c r="D30" s="17" t="s">
        <v>361</v>
      </c>
      <c r="E30" s="111">
        <f>[37]Capacity!$F$21+[37]Capacity!$F$22</f>
        <v>875.6</v>
      </c>
      <c r="F30" s="17"/>
      <c r="G30" s="111">
        <f>[37]Capacity!$H$21+[37]Capacity!$H$22</f>
        <v>875.6</v>
      </c>
      <c r="H30" s="17">
        <f t="shared" ref="H30:H36" si="3">G30*29.45/100</f>
        <v>257.86419999999998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>
        <f t="shared" si="1"/>
        <v>0</v>
      </c>
    </row>
    <row r="31" spans="2:21" x14ac:dyDescent="0.25">
      <c r="C31" s="806"/>
      <c r="D31" s="17" t="s">
        <v>362</v>
      </c>
      <c r="E31" s="111">
        <f>[37]Capacity!F23</f>
        <v>900</v>
      </c>
      <c r="F31" s="17"/>
      <c r="G31" s="111">
        <f>[37]Capacity!H23</f>
        <v>900</v>
      </c>
      <c r="H31" s="17">
        <f t="shared" si="3"/>
        <v>265.05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>
        <f t="shared" si="1"/>
        <v>0</v>
      </c>
    </row>
    <row r="32" spans="2:21" x14ac:dyDescent="0.25">
      <c r="C32" s="806"/>
      <c r="D32" s="17" t="s">
        <v>363</v>
      </c>
      <c r="E32" s="111">
        <f>[37]Capacity!F24</f>
        <v>240</v>
      </c>
      <c r="F32" s="17"/>
      <c r="G32" s="111">
        <f>[37]Capacity!H24</f>
        <v>240</v>
      </c>
      <c r="H32" s="17">
        <f t="shared" si="3"/>
        <v>70.680000000000007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>
        <f t="shared" si="1"/>
        <v>0</v>
      </c>
    </row>
    <row r="33" spans="3:21" x14ac:dyDescent="0.25">
      <c r="C33" s="806"/>
      <c r="D33" s="17" t="s">
        <v>364</v>
      </c>
      <c r="E33" s="111">
        <f>[37]Capacity!F25</f>
        <v>120</v>
      </c>
      <c r="F33" s="17"/>
      <c r="G33" s="111">
        <f>[37]Capacity!H25</f>
        <v>120</v>
      </c>
      <c r="H33" s="17">
        <f t="shared" si="3"/>
        <v>35.340000000000003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>
        <f t="shared" si="1"/>
        <v>0</v>
      </c>
    </row>
    <row r="34" spans="3:21" x14ac:dyDescent="0.25">
      <c r="C34" s="806"/>
      <c r="D34" s="17" t="s">
        <v>365</v>
      </c>
      <c r="E34" s="111">
        <f>[37]Capacity!F26</f>
        <v>9</v>
      </c>
      <c r="F34" s="17"/>
      <c r="G34" s="111">
        <f>[37]Capacity!H26</f>
        <v>9</v>
      </c>
      <c r="H34" s="17">
        <f t="shared" si="3"/>
        <v>2.6505000000000001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>
        <f t="shared" si="1"/>
        <v>0</v>
      </c>
    </row>
    <row r="35" spans="3:21" x14ac:dyDescent="0.25">
      <c r="C35" s="806"/>
      <c r="D35" s="17" t="s">
        <v>366</v>
      </c>
      <c r="E35" s="111">
        <f>[37]Capacity!F27</f>
        <v>54</v>
      </c>
      <c r="F35" s="17"/>
      <c r="G35" s="111">
        <f>[37]Capacity!H27</f>
        <v>54</v>
      </c>
      <c r="H35" s="17">
        <f t="shared" si="3"/>
        <v>15.902999999999999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>
        <f t="shared" si="1"/>
        <v>0</v>
      </c>
    </row>
    <row r="36" spans="3:21" x14ac:dyDescent="0.25">
      <c r="C36" s="806"/>
      <c r="D36" s="17" t="s">
        <v>367</v>
      </c>
      <c r="E36" s="111">
        <f>[37]Capacity!F28</f>
        <v>9.16</v>
      </c>
      <c r="F36" s="17"/>
      <c r="G36" s="111">
        <f>[37]Capacity!H28</f>
        <v>9.16</v>
      </c>
      <c r="H36" s="17">
        <f t="shared" si="3"/>
        <v>2.6976200000000001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>
        <f t="shared" si="1"/>
        <v>0</v>
      </c>
    </row>
    <row r="37" spans="3:21" x14ac:dyDescent="0.25">
      <c r="C37" s="806"/>
      <c r="D37" s="17"/>
      <c r="E37" s="17"/>
      <c r="F37" s="17"/>
      <c r="G37" s="17"/>
      <c r="H37" s="17"/>
      <c r="I37" s="17">
        <f>'[39]2022-23'!$G$227/1000000</f>
        <v>20.305911459519997</v>
      </c>
      <c r="J37" s="17">
        <f>'[39]2022-23'!$L$227/1000000</f>
        <v>12.583581535</v>
      </c>
      <c r="K37" s="17">
        <f>'[39]2022-23'!$Q$227/1000000</f>
        <v>21.973274770579998</v>
      </c>
      <c r="L37" s="17">
        <f>'[39]2022-23'!$V$227/1000000</f>
        <v>126.71333779515</v>
      </c>
      <c r="M37" s="17">
        <f>'[39]2022-23'!$AA$227/1000000</f>
        <v>368.89077789524998</v>
      </c>
      <c r="N37" s="17">
        <f>'[39]2022-23'!$AF$227/1000000</f>
        <v>378.34923398294995</v>
      </c>
      <c r="O37" s="17">
        <f>'[39]2022-23'!$AK$227/1000000</f>
        <v>404.25322545094997</v>
      </c>
      <c r="P37" s="17">
        <f>'[39]2022-23'!$AP$227/1000000</f>
        <v>170.77889264235</v>
      </c>
      <c r="Q37" s="17">
        <f>'[39]2022-23'!$AU$227/1000000</f>
        <v>64.237778691399996</v>
      </c>
      <c r="R37" s="17">
        <f>'[39]2022-23'!$AZ$227/1000000</f>
        <v>51.866189683000002</v>
      </c>
      <c r="S37" s="17">
        <f>'[39]2022-23'!$BE$227/1000000</f>
        <v>47.511070908600004</v>
      </c>
      <c r="T37" s="17">
        <f>'[39]2022-23'!$BJ$227/1000000</f>
        <v>23.446273082249999</v>
      </c>
      <c r="U37" s="17">
        <f t="shared" si="1"/>
        <v>1690.9095478969998</v>
      </c>
    </row>
    <row r="38" spans="3:21" x14ac:dyDescent="0.25">
      <c r="C38" s="806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>
        <f t="shared" si="1"/>
        <v>0</v>
      </c>
    </row>
    <row r="39" spans="3:21" x14ac:dyDescent="0.25">
      <c r="C39" s="806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>
        <f t="shared" si="1"/>
        <v>0</v>
      </c>
    </row>
    <row r="40" spans="3:21" x14ac:dyDescent="0.25">
      <c r="C40" s="806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>
        <f t="shared" si="1"/>
        <v>0</v>
      </c>
    </row>
    <row r="41" spans="3:21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>
        <f t="shared" si="1"/>
        <v>0</v>
      </c>
    </row>
    <row r="42" spans="3:21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>
        <f t="shared" si="1"/>
        <v>0</v>
      </c>
    </row>
    <row r="43" spans="3:21" x14ac:dyDescent="0.25">
      <c r="C43" s="806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>
        <f t="shared" si="1"/>
        <v>0</v>
      </c>
    </row>
    <row r="44" spans="3:21" x14ac:dyDescent="0.25">
      <c r="C44" s="806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>
        <f t="shared" si="1"/>
        <v>0</v>
      </c>
    </row>
    <row r="45" spans="3:21" x14ac:dyDescent="0.25">
      <c r="C45" s="80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>
        <f t="shared" si="1"/>
        <v>0</v>
      </c>
    </row>
    <row r="46" spans="3:21" x14ac:dyDescent="0.25">
      <c r="C46" s="807"/>
      <c r="D46" s="10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>
        <f t="shared" si="1"/>
        <v>0</v>
      </c>
    </row>
    <row r="47" spans="3:21" x14ac:dyDescent="0.25">
      <c r="C47" s="751" t="s">
        <v>212</v>
      </c>
      <c r="D47" s="752"/>
      <c r="E47" s="17">
        <f>SUM(E29:E46)</f>
        <v>2441.7599999999998</v>
      </c>
      <c r="F47" s="17">
        <f t="shared" ref="F47:H47" si="4">SUM(F29:F46)</f>
        <v>0</v>
      </c>
      <c r="G47" s="17">
        <f t="shared" si="4"/>
        <v>2324.7599999999998</v>
      </c>
      <c r="H47" s="17">
        <f t="shared" si="4"/>
        <v>684.64182000000005</v>
      </c>
      <c r="I47" s="17">
        <f>SUM(I29:I46)</f>
        <v>20.305911459519997</v>
      </c>
      <c r="J47" s="17">
        <f t="shared" ref="J47:T47" si="5">SUM(J29:J46)</f>
        <v>12.583581535</v>
      </c>
      <c r="K47" s="17">
        <f t="shared" si="5"/>
        <v>21.973274770579998</v>
      </c>
      <c r="L47" s="17">
        <f t="shared" si="5"/>
        <v>126.71333779515</v>
      </c>
      <c r="M47" s="17">
        <f t="shared" si="5"/>
        <v>368.89077789524998</v>
      </c>
      <c r="N47" s="17">
        <f t="shared" si="5"/>
        <v>378.34923398294995</v>
      </c>
      <c r="O47" s="17">
        <f t="shared" si="5"/>
        <v>404.25322545094997</v>
      </c>
      <c r="P47" s="17">
        <f t="shared" si="5"/>
        <v>170.77889264235</v>
      </c>
      <c r="Q47" s="17">
        <f t="shared" si="5"/>
        <v>64.237778691399996</v>
      </c>
      <c r="R47" s="17">
        <f t="shared" si="5"/>
        <v>51.866189683000002</v>
      </c>
      <c r="S47" s="17">
        <f t="shared" si="5"/>
        <v>47.511070908600004</v>
      </c>
      <c r="T47" s="17">
        <f t="shared" si="5"/>
        <v>23.446273082249999</v>
      </c>
      <c r="U47" s="86">
        <f>SUM(I47:T47)</f>
        <v>1690.9095478969998</v>
      </c>
    </row>
    <row r="48" spans="3:21" x14ac:dyDescent="0.25">
      <c r="C48" s="753" t="s">
        <v>368</v>
      </c>
      <c r="D48" s="754"/>
      <c r="E48" s="17">
        <f>E27+E47</f>
        <v>6484.26</v>
      </c>
      <c r="F48" s="17">
        <f t="shared" ref="F48:T48" si="6">F27+F47</f>
        <v>0</v>
      </c>
      <c r="G48" s="17">
        <f t="shared" si="6"/>
        <v>6367.26</v>
      </c>
      <c r="H48" s="17">
        <f t="shared" si="6"/>
        <v>1875.15807</v>
      </c>
      <c r="I48" s="17">
        <f t="shared" si="6"/>
        <v>652.37243201301987</v>
      </c>
      <c r="J48" s="17">
        <f t="shared" si="6"/>
        <v>655.20964579050008</v>
      </c>
      <c r="K48" s="17">
        <f t="shared" si="6"/>
        <v>562.53097212657997</v>
      </c>
      <c r="L48" s="17">
        <f t="shared" si="6"/>
        <v>475.47946599465001</v>
      </c>
      <c r="M48" s="17">
        <f t="shared" si="6"/>
        <v>822.56456192475002</v>
      </c>
      <c r="N48" s="17">
        <f t="shared" si="6"/>
        <v>878.54744801195</v>
      </c>
      <c r="O48" s="17">
        <f t="shared" si="6"/>
        <v>1001.57396631145</v>
      </c>
      <c r="P48" s="17">
        <f t="shared" si="6"/>
        <v>727.06064973685</v>
      </c>
      <c r="Q48" s="17">
        <f t="shared" si="6"/>
        <v>716.49640460739988</v>
      </c>
      <c r="R48" s="17">
        <f t="shared" si="6"/>
        <v>754.24319784700003</v>
      </c>
      <c r="S48" s="17">
        <f t="shared" si="6"/>
        <v>699.87752976659999</v>
      </c>
      <c r="T48" s="17">
        <f t="shared" si="6"/>
        <v>712.73526303024983</v>
      </c>
      <c r="U48" s="86">
        <f>U27+U47</f>
        <v>8658.6915371609994</v>
      </c>
    </row>
    <row r="49" spans="3:21" x14ac:dyDescent="0.25">
      <c r="C49" s="800" t="s">
        <v>369</v>
      </c>
      <c r="D49" s="801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  <row r="50" spans="3:21" x14ac:dyDescent="0.25">
      <c r="C50" s="753" t="s">
        <v>349</v>
      </c>
      <c r="D50" s="75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</row>
    <row r="51" spans="3:21" x14ac:dyDescent="0.25">
      <c r="C51" s="805" t="s">
        <v>370</v>
      </c>
      <c r="D51" s="17" t="s">
        <v>371</v>
      </c>
      <c r="E51" s="111">
        <f>[37]Capacity!F31</f>
        <v>2100</v>
      </c>
      <c r="F51" s="17"/>
      <c r="G51" s="111">
        <f>[37]Capacity!H31</f>
        <v>358.68</v>
      </c>
      <c r="H51" s="17">
        <f>G51*29.45/100</f>
        <v>105.63126</v>
      </c>
      <c r="I51" s="17">
        <f>'[39]2022-23'!$G$13*0.2945/1000000</f>
        <v>62.018201045499993</v>
      </c>
      <c r="J51" s="17">
        <f>'[39]2022-23'!L13*0.2945/1000000</f>
        <v>64.481781011999999</v>
      </c>
      <c r="K51" s="17">
        <f>'[39]2022-23'!Q13*0.2945/1000000</f>
        <v>67.865977107999996</v>
      </c>
      <c r="L51" s="17">
        <f>'[39]2022-23'!V13*0.2945/1000000</f>
        <v>54.720408290999991</v>
      </c>
      <c r="M51" s="17">
        <f>'[39]2022-23'!AA13*0.2945/1000000</f>
        <v>36.526850019499996</v>
      </c>
      <c r="N51" s="17">
        <f>'[39]2022-23'!AF13*0.2945/1000000</f>
        <v>32.007324322999999</v>
      </c>
      <c r="O51" s="17">
        <f>'[39]2022-23'!AK13*0.2945/1000000</f>
        <v>18.867059156500002</v>
      </c>
      <c r="P51" s="17">
        <f>'[39]2022-23'!AP13*0.2945/1000000</f>
        <v>20.946145812999998</v>
      </c>
      <c r="Q51" s="17">
        <f>'[39]2022-23'!AU13*0.2945/1000000</f>
        <v>32.909849023</v>
      </c>
      <c r="R51" s="17">
        <f>'[39]2022-23'!AZ13*0.2945/1000000</f>
        <v>50.185571539499996</v>
      </c>
      <c r="S51" s="17">
        <f>'[39]2022-23'!BE13*0.2945/1000000</f>
        <v>69.923033986500002</v>
      </c>
      <c r="T51" s="17">
        <f>'[39]2022-23'!BJ13*0.2945/1000000</f>
        <v>73.724169046499995</v>
      </c>
      <c r="U51" s="17">
        <f t="shared" ref="U51:U76" si="7">+SUM(I51:T51)</f>
        <v>584.17637036399992</v>
      </c>
    </row>
    <row r="52" spans="3:21" x14ac:dyDescent="0.25">
      <c r="C52" s="806"/>
      <c r="D52" s="17" t="s">
        <v>372</v>
      </c>
      <c r="E52" s="111">
        <f>[37]Capacity!F32</f>
        <v>500</v>
      </c>
      <c r="F52" s="17"/>
      <c r="G52" s="111">
        <f>[37]Capacity!H32</f>
        <v>89.85</v>
      </c>
      <c r="H52" s="17">
        <f t="shared" ref="H52:H62" si="8">G52*29.45/100</f>
        <v>26.460825</v>
      </c>
      <c r="I52" s="17">
        <f>'[39]2022-23'!$G$14*0.2945/1000000</f>
        <v>17.553652179499998</v>
      </c>
      <c r="J52" s="17">
        <f>'[39]2022-23'!L14*0.2945/1000000</f>
        <v>17.646875859999998</v>
      </c>
      <c r="K52" s="17">
        <f>'[39]2022-23'!Q14*0.2945/1000000</f>
        <v>6.5134364739999997</v>
      </c>
      <c r="L52" s="17">
        <f>'[39]2022-23'!V14*0.2945/1000000</f>
        <v>0</v>
      </c>
      <c r="M52" s="17">
        <f>'[39]2022-23'!AA14*0.2945/1000000</f>
        <v>7.3064436920000002</v>
      </c>
      <c r="N52" s="17">
        <f>'[39]2022-23'!AF14*0.2945/1000000</f>
        <v>10.940086000000001</v>
      </c>
      <c r="O52" s="17">
        <f>'[39]2022-23'!AK14*0.2945/1000000</f>
        <v>7.3076911939999993</v>
      </c>
      <c r="P52" s="17">
        <f>'[39]2022-23'!AP14*0.2945/1000000</f>
        <v>8.3440855809999999</v>
      </c>
      <c r="Q52" s="17">
        <f>'[39]2022-23'!AU14*0.2945/1000000</f>
        <v>12.336865927</v>
      </c>
      <c r="R52" s="17">
        <f>'[39]2022-23'!AZ14*0.2945/1000000</f>
        <v>15.703819342499999</v>
      </c>
      <c r="S52" s="17">
        <f>'[39]2022-23'!BE14*0.2945/1000000</f>
        <v>18.258962303999997</v>
      </c>
      <c r="T52" s="17">
        <f>'[39]2022-23'!BJ14*0.2945/1000000</f>
        <v>17.412413513499999</v>
      </c>
      <c r="U52" s="17">
        <f t="shared" si="7"/>
        <v>139.32433206749999</v>
      </c>
    </row>
    <row r="53" spans="3:21" x14ac:dyDescent="0.25">
      <c r="C53" s="806"/>
      <c r="D53" s="17" t="s">
        <v>373</v>
      </c>
      <c r="E53" s="111">
        <f>[37]Capacity!F33</f>
        <v>2000</v>
      </c>
      <c r="F53" s="17"/>
      <c r="G53" s="111">
        <f>[37]Capacity!H33</f>
        <v>219.20000000000002</v>
      </c>
      <c r="H53" s="17">
        <f t="shared" si="8"/>
        <v>64.554400000000001</v>
      </c>
      <c r="I53" s="17">
        <f>'[39]2022-23'!$G$17*0.2945/1000000</f>
        <v>41.357681653</v>
      </c>
      <c r="J53" s="17">
        <f>'[39]2022-23'!$L$17*0.2945/1000000</f>
        <v>48.542606693499998</v>
      </c>
      <c r="K53" s="17">
        <f>'[39]2022-23'!$Q$17*0.2945/1000000</f>
        <v>46.235817938000004</v>
      </c>
      <c r="L53" s="17">
        <f>'[39]2022-23'!$V$17*0.2945/1000000</f>
        <v>54.326884727500001</v>
      </c>
      <c r="M53" s="17">
        <f>'[39]2022-23'!$AA$17*0.2945/1000000</f>
        <v>46.1741711365</v>
      </c>
      <c r="N53" s="17">
        <f>'[39]2022-23'!$AF$17*0.2945/1000000</f>
        <v>43.386847614499999</v>
      </c>
      <c r="O53" s="17">
        <f>'[39]2022-23'!$AK$17*0.2945/1000000</f>
        <v>38.6308499035</v>
      </c>
      <c r="P53" s="17">
        <f>'[39]2022-23'!$AP$17*0.2945/1000000</f>
        <v>31.785288403999999</v>
      </c>
      <c r="Q53" s="17">
        <f>'[39]2022-23'!$AU$17*0.2945/1000000</f>
        <v>36.424853478500005</v>
      </c>
      <c r="R53" s="17">
        <f>'[39]2022-23'!$AZ$17*0.2945/1000000</f>
        <v>36.5828574405</v>
      </c>
      <c r="S53" s="17">
        <f>'[39]2022-23'!$BE$17*0.2945/1000000</f>
        <v>37.240734805999992</v>
      </c>
      <c r="T53" s="17">
        <f>'[39]2022-23'!$BJ$17*0.2945/1000000</f>
        <v>43.240075587999996</v>
      </c>
      <c r="U53" s="17">
        <f t="shared" si="7"/>
        <v>503.92866938349994</v>
      </c>
    </row>
    <row r="54" spans="3:21" x14ac:dyDescent="0.25">
      <c r="C54" s="806"/>
      <c r="D54" s="17" t="s">
        <v>374</v>
      </c>
      <c r="E54" s="111">
        <f>[37]Capacity!F34</f>
        <v>1000</v>
      </c>
      <c r="F54" s="17"/>
      <c r="G54" s="111">
        <f>[37]Capacity!H34</f>
        <v>538.90000000000009</v>
      </c>
      <c r="H54" s="17">
        <f t="shared" si="8"/>
        <v>158.70605000000003</v>
      </c>
      <c r="I54" s="17">
        <f>'[39]2022-23'!G15*0.2945/1000000</f>
        <v>102.7650908765</v>
      </c>
      <c r="J54" s="17">
        <f>'[39]2022-23'!L15*0.2945/1000000</f>
        <v>97.150650403499995</v>
      </c>
      <c r="K54" s="17">
        <f>'[39]2022-23'!Q15*0.2945/1000000</f>
        <v>96.984917583499993</v>
      </c>
      <c r="L54" s="17">
        <f>'[39]2022-23'!V15*0.2945/1000000</f>
        <v>84.455977578499997</v>
      </c>
      <c r="M54" s="17">
        <f>'[39]2022-23'!AA15*0.2945/1000000</f>
        <v>72.686169339999992</v>
      </c>
      <c r="N54" s="17">
        <f>'[39]2022-23'!AF15*0.2945/1000000</f>
        <v>70.750980389999995</v>
      </c>
      <c r="O54" s="17">
        <f>'[39]2022-23'!AK15*0.2945/1000000</f>
        <v>8.3426587285</v>
      </c>
      <c r="P54" s="17">
        <f>'[39]2022-23'!AP15*0.2945/1000000</f>
        <v>11.578033372499998</v>
      </c>
      <c r="Q54" s="17">
        <f>'[39]2022-23'!AU15*0.2945/1000000</f>
        <v>91.484026886500004</v>
      </c>
      <c r="R54" s="17">
        <f>'[39]2022-23'!AZ15*0.2945/1000000</f>
        <v>107.95273664849999</v>
      </c>
      <c r="S54" s="17">
        <f>'[39]2022-23'!BE15*0.2945/1000000</f>
        <v>97.885303918999995</v>
      </c>
      <c r="T54" s="17">
        <f>'[39]2022-23'!BJ15*0.2945/1000000</f>
        <v>106.32742854999999</v>
      </c>
      <c r="U54" s="17">
        <f t="shared" si="7"/>
        <v>948.36397427700012</v>
      </c>
    </row>
    <row r="55" spans="3:21" x14ac:dyDescent="0.25">
      <c r="C55" s="806"/>
      <c r="D55" s="17" t="s">
        <v>375</v>
      </c>
      <c r="E55" s="111">
        <f>[37]Capacity!F35</f>
        <v>1000</v>
      </c>
      <c r="F55" s="17"/>
      <c r="G55" s="111">
        <f>[37]Capacity!H35</f>
        <v>247</v>
      </c>
      <c r="H55" s="17">
        <f t="shared" si="8"/>
        <v>72.741500000000002</v>
      </c>
      <c r="I55" s="17">
        <f>'[39]2022-23'!G16*0.2945/1000000</f>
        <v>47.308698224499999</v>
      </c>
      <c r="J55" s="17">
        <f>'[39]2022-23'!L16*0.2945/1000000</f>
        <v>38.729014999500002</v>
      </c>
      <c r="K55" s="17">
        <f>'[39]2022-23'!Q16*0.2945/1000000</f>
        <v>23.249384370999998</v>
      </c>
      <c r="L55" s="17">
        <f>'[39]2022-23'!V16*0.2945/1000000</f>
        <v>32.271030814</v>
      </c>
      <c r="M55" s="17">
        <f>'[39]2022-23'!AA16*0.2945/1000000</f>
        <v>35.0298122795</v>
      </c>
      <c r="N55" s="17">
        <f>'[39]2022-23'!AF16*0.2945/1000000</f>
        <v>26.336842561499999</v>
      </c>
      <c r="O55" s="17">
        <f>'[39]2022-23'!AK16*0.2945/1000000</f>
        <v>23.157826971499997</v>
      </c>
      <c r="P55" s="17">
        <f>'[39]2022-23'!AP16*0.2945/1000000</f>
        <v>30.347812699999999</v>
      </c>
      <c r="Q55" s="17">
        <f>'[39]2022-23'!AU16*0.2945/1000000</f>
        <v>45.192477768499998</v>
      </c>
      <c r="R55" s="17">
        <f>'[39]2022-23'!AZ16*0.2945/1000000</f>
        <v>48.697393537499991</v>
      </c>
      <c r="S55" s="17">
        <f>'[39]2022-23'!BE16*0.2945/1000000</f>
        <v>47.432076643499997</v>
      </c>
      <c r="T55" s="17">
        <f>'[39]2022-23'!BJ16*0.2945/1000000</f>
        <v>54.6948683675</v>
      </c>
      <c r="U55" s="17">
        <f t="shared" si="7"/>
        <v>452.4472392385</v>
      </c>
    </row>
    <row r="56" spans="3:21" x14ac:dyDescent="0.25">
      <c r="C56" s="806"/>
      <c r="D56" s="17" t="s">
        <v>376</v>
      </c>
      <c r="E56" s="111">
        <f>[37]Capacity!F36</f>
        <v>2400</v>
      </c>
      <c r="F56" s="17"/>
      <c r="G56" s="111">
        <f>[37]Capacity!H36</f>
        <v>289.44</v>
      </c>
      <c r="H56" s="17">
        <f t="shared" si="8"/>
        <v>85.240079999999992</v>
      </c>
      <c r="I56" s="17">
        <f>'[39]2022-23'!$G$18*0.2945/1000000</f>
        <v>40.032094450499997</v>
      </c>
      <c r="J56" s="17">
        <f>'[39]2022-23'!$L$18*0.2945/1000000</f>
        <v>35.068708072499994</v>
      </c>
      <c r="K56" s="17">
        <f>'[39]2022-23'!$Q$18*0.2945/1000000</f>
        <v>45.897551703999994</v>
      </c>
      <c r="L56" s="17">
        <f>'[39]2022-23'!$V$18*0.2945/1000000</f>
        <v>31.370382667999998</v>
      </c>
      <c r="M56" s="17">
        <f>'[39]2022-23'!$AA$18*0.2945/1000000</f>
        <v>28.956089632499996</v>
      </c>
      <c r="N56" s="17">
        <f>'[39]2022-23'!$AF$18*0.2945/1000000</f>
        <v>30.401245307499998</v>
      </c>
      <c r="O56" s="17">
        <f>'[39]2022-23'!$AK$18*0.2945/1000000</f>
        <v>1.2424427844999999</v>
      </c>
      <c r="P56" s="17">
        <f>'[39]2022-23'!$AP$18*0.2945/1000000</f>
        <v>0</v>
      </c>
      <c r="Q56" s="17">
        <f>'[39]2022-23'!$AU$18*0.2945/1000000</f>
        <v>19.70265667</v>
      </c>
      <c r="R56" s="17">
        <f>'[39]2022-23'!$AZ$18*0.2945/1000000</f>
        <v>29.304991144999999</v>
      </c>
      <c r="S56" s="17">
        <f>'[39]2022-23'!$BE$18*0.2945/1000000</f>
        <v>43.743952129999997</v>
      </c>
      <c r="T56" s="17">
        <f>'[39]2022-23'!$BJ$18*0.2945/1000000</f>
        <v>28.485172352499998</v>
      </c>
      <c r="U56" s="17">
        <f t="shared" si="7"/>
        <v>334.20528691700002</v>
      </c>
    </row>
    <row r="57" spans="3:21" x14ac:dyDescent="0.25">
      <c r="C57" s="806"/>
      <c r="D57" s="17" t="s">
        <v>377</v>
      </c>
      <c r="E57" s="111">
        <f>[37]Capacity!F49</f>
        <v>85</v>
      </c>
      <c r="F57" s="17"/>
      <c r="G57" s="111">
        <f>[37]Capacity!H49</f>
        <v>45.806500000000007</v>
      </c>
      <c r="H57" s="17">
        <f t="shared" si="8"/>
        <v>13.490014250000002</v>
      </c>
      <c r="I57" s="17">
        <f>'[39]2022-23'!$G$215/1000000</f>
        <v>35.169108717999997</v>
      </c>
      <c r="J57" s="17">
        <f>'[39]2022-23'!$L$215/1000000</f>
        <v>36.016678339445498</v>
      </c>
      <c r="K57" s="17">
        <f>'[39]2022-23'!$Q$215/1000000</f>
        <v>40.759964338733994</v>
      </c>
      <c r="L57" s="17">
        <f>'[39]2022-23'!$V$215/1000000</f>
        <v>28.459664906754494</v>
      </c>
      <c r="M57" s="17">
        <f>'[39]2022-23'!$AA$215/1000000</f>
        <v>38.733159426436494</v>
      </c>
      <c r="N57" s="17">
        <f>'[39]2022-23'!$AF$215/1000000</f>
        <v>27.7769649855925</v>
      </c>
      <c r="O57" s="17">
        <f>'[39]2022-23'!$AK$215/1000000</f>
        <v>23.989661028859</v>
      </c>
      <c r="P57" s="17">
        <f>'[39]2022-23'!$AP$215/1000000</f>
        <v>25.035750509587999</v>
      </c>
      <c r="Q57" s="17">
        <f>'[39]2022-23'!$AU$215/1000000</f>
        <v>32.1828482881985</v>
      </c>
      <c r="R57" s="17">
        <f>'[39]2022-23'!$AZ$215/1000000</f>
        <v>33.702165953614994</v>
      </c>
      <c r="S57" s="17">
        <f>'[39]2022-23'!$BE$215/1000000</f>
        <v>57.128399321589001</v>
      </c>
      <c r="T57" s="107">
        <f>'[39]2022-23'!$BJ$215/1000000</f>
        <v>67.618372765851504</v>
      </c>
      <c r="U57" s="17">
        <f t="shared" si="7"/>
        <v>446.57273858266399</v>
      </c>
    </row>
    <row r="58" spans="3:21" x14ac:dyDescent="0.25">
      <c r="C58" s="806"/>
      <c r="D58" s="17" t="s">
        <v>378</v>
      </c>
      <c r="E58" s="111">
        <f>[37]Capacity!F50</f>
        <v>200</v>
      </c>
      <c r="F58" s="17"/>
      <c r="G58" s="111">
        <f>[37]Capacity!H50</f>
        <v>200</v>
      </c>
      <c r="H58" s="17">
        <f t="shared" si="8"/>
        <v>58.9</v>
      </c>
      <c r="I58" s="17">
        <f>'[39]2022-23'!$G$213/1000000</f>
        <v>7.8863448199999997</v>
      </c>
      <c r="J58" s="17">
        <f>'[39]2022-23'!$L$213/1000000</f>
        <v>7.0835725709999995</v>
      </c>
      <c r="K58" s="17">
        <f>'[39]2022-23'!$Q$213/1000000</f>
        <v>7.6001023055000001</v>
      </c>
      <c r="L58" s="17">
        <f>'[39]2022-23'!$V$213/1000000</f>
        <v>5.1788157784999997</v>
      </c>
      <c r="M58" s="17">
        <f>'[39]2022-23'!$AA$213/1000000</f>
        <v>4.5625521464999998</v>
      </c>
      <c r="N58" s="17">
        <f>'[39]2022-23'!$AF$213/1000000</f>
        <v>6.1063997780000001</v>
      </c>
      <c r="O58" s="17">
        <f>'[39]2022-23'!$AK$213/1000000</f>
        <v>4.3059236684999993</v>
      </c>
      <c r="P58" s="17">
        <f>'[39]2022-23'!$AP$213/1000000</f>
        <v>5.4044233934999992</v>
      </c>
      <c r="Q58" s="17">
        <f>'[39]2022-23'!$AU$213/1000000</f>
        <v>5.0717935949999999</v>
      </c>
      <c r="R58" s="17">
        <f>'[39]2022-23'!$AZ$213/1000000</f>
        <v>9.0324649004999991</v>
      </c>
      <c r="S58" s="17">
        <f>'[39]2022-23'!$BE$213/1000000</f>
        <v>4.4376249519999993</v>
      </c>
      <c r="T58" s="107">
        <f>'[39]2022-23'!$BJ$213/1000000</f>
        <v>7.6683420785000003</v>
      </c>
      <c r="U58" s="17">
        <f t="shared" si="7"/>
        <v>74.338359987499999</v>
      </c>
    </row>
    <row r="59" spans="3:21" x14ac:dyDescent="0.25">
      <c r="C59" s="807"/>
      <c r="D59" s="17" t="s">
        <v>379</v>
      </c>
      <c r="E59" s="111">
        <f>[37]Capacity!$F$40</f>
        <v>800</v>
      </c>
      <c r="F59" s="17"/>
      <c r="G59" s="111">
        <f>[37]Capacity!$H$40</f>
        <v>680</v>
      </c>
      <c r="H59" s="17">
        <f t="shared" si="8"/>
        <v>200.26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07"/>
      <c r="U59" s="17">
        <f t="shared" si="7"/>
        <v>0</v>
      </c>
    </row>
    <row r="60" spans="3:21" x14ac:dyDescent="0.25">
      <c r="C60" s="17"/>
      <c r="D60" s="17" t="s">
        <v>380</v>
      </c>
      <c r="E60" s="111">
        <f>[37]Capacity!F37</f>
        <v>630</v>
      </c>
      <c r="F60" s="17"/>
      <c r="G60" s="111">
        <f>[37]Capacity!H37</f>
        <v>59.031000000000006</v>
      </c>
      <c r="H60" s="17">
        <f t="shared" si="8"/>
        <v>17.384629500000003</v>
      </c>
      <c r="I60" s="17">
        <f>'[39]2022-23'!G190/1000000</f>
        <v>1.8996819684999999</v>
      </c>
      <c r="J60" s="17">
        <f>'[39]2022-23'!L190/1000000</f>
        <v>3.8886451459999996</v>
      </c>
      <c r="K60" s="17">
        <f>'[39]2022-23'!Q190/1000000</f>
        <v>2.0355524885</v>
      </c>
      <c r="L60" s="17">
        <f>'[39]2022-23'!V190/1000000</f>
        <v>2.3086600085</v>
      </c>
      <c r="M60" s="17">
        <f>'[39]2022-23'!AA190/1000000</f>
        <v>1.3905612649999999</v>
      </c>
      <c r="N60" s="17">
        <f>'[39]2022-23'!AF190/1000000</f>
        <v>0.84474232749999989</v>
      </c>
      <c r="O60" s="17">
        <f>'[39]2022-23'!AK190/1000000</f>
        <v>0.70871866750000001</v>
      </c>
      <c r="P60" s="17">
        <f>'[39]2022-23'!AP190/1000000</f>
        <v>1.0500317985000001</v>
      </c>
      <c r="Q60" s="17">
        <f>'[39]2022-23'!AU190/1000000</f>
        <v>1.3295167160000001</v>
      </c>
      <c r="R60" s="17">
        <f>'[39]2022-23'!AZ190/1000000</f>
        <v>1.8883472525</v>
      </c>
      <c r="S60" s="17">
        <f>'[39]2022-23'!BE190/1000000</f>
        <v>1.5350497384999999</v>
      </c>
      <c r="T60" s="107">
        <f>'[39]2022-23'!BJ190/1000000</f>
        <v>1.1997099509999998</v>
      </c>
      <c r="U60" s="17">
        <f t="shared" si="7"/>
        <v>20.079217328000002</v>
      </c>
    </row>
    <row r="61" spans="3:21" x14ac:dyDescent="0.25">
      <c r="C61" s="17"/>
      <c r="D61" s="17" t="s">
        <v>381</v>
      </c>
      <c r="E61" s="111">
        <f>[37]Capacity!F38</f>
        <v>840</v>
      </c>
      <c r="F61" s="17"/>
      <c r="G61" s="111">
        <f>[37]Capacity!H38</f>
        <v>105.92399999999999</v>
      </c>
      <c r="H61" s="17">
        <f t="shared" si="8"/>
        <v>31.194617999999995</v>
      </c>
      <c r="I61" s="17">
        <f>'[39]2022-23'!G191/1000000</f>
        <v>2.350265496</v>
      </c>
      <c r="J61" s="17">
        <f>'[39]2022-23'!L191/1000000</f>
        <v>6.9648375334999999</v>
      </c>
      <c r="K61" s="17">
        <f>'[39]2022-23'!Q191/1000000</f>
        <v>2.4647102574999997</v>
      </c>
      <c r="L61" s="17">
        <f>'[39]2022-23'!V191/1000000</f>
        <v>4.7781491174999999</v>
      </c>
      <c r="M61" s="17">
        <f>'[39]2022-23'!AA191/1000000</f>
        <v>3.8501966985</v>
      </c>
      <c r="N61" s="17">
        <f>'[39]2022-23'!AF191/1000000</f>
        <v>2.8724581709999994</v>
      </c>
      <c r="O61" s="17">
        <f>'[39]2022-23'!AK191/1000000</f>
        <v>1.0936596175</v>
      </c>
      <c r="P61" s="17">
        <f>'[39]2022-23'!AP191/1000000</f>
        <v>0.87927539749999994</v>
      </c>
      <c r="Q61" s="17">
        <f>'[39]2022-23'!AU191/1000000</f>
        <v>0.98052390849999993</v>
      </c>
      <c r="R61" s="17">
        <f>'[39]2022-23'!AZ191/1000000</f>
        <v>0.74945979750000002</v>
      </c>
      <c r="S61" s="17">
        <f>'[39]2022-23'!BE191/1000000</f>
        <v>1.6795977009999998</v>
      </c>
      <c r="T61" s="107">
        <f>'[39]2022-23'!BJ191/1000000</f>
        <v>1.5569952894999999</v>
      </c>
      <c r="U61" s="17">
        <f t="shared" si="7"/>
        <v>30.220128985499993</v>
      </c>
    </row>
    <row r="62" spans="3:21" x14ac:dyDescent="0.25">
      <c r="C62" s="17"/>
      <c r="D62" s="17" t="s">
        <v>382</v>
      </c>
      <c r="E62" s="111">
        <f>[37]Capacity!F39</f>
        <v>1000</v>
      </c>
      <c r="F62" s="17"/>
      <c r="G62" s="111">
        <f>[37]Capacity!H39</f>
        <v>62.1</v>
      </c>
      <c r="H62" s="17">
        <f t="shared" si="8"/>
        <v>18.288450000000001</v>
      </c>
      <c r="I62" s="17">
        <f>'[39]2022-23'!$G$194/1000000</f>
        <v>10.3763314235</v>
      </c>
      <c r="J62" s="17">
        <f>'[39]2022-23'!$L$194/1000000</f>
        <v>13.285729907499999</v>
      </c>
      <c r="K62" s="17">
        <f>'[39]2022-23'!$Q$194/1000000</f>
        <v>10.644601780999999</v>
      </c>
      <c r="L62" s="17">
        <f>'[39]2022-23'!$V$194/1000000</f>
        <v>13.421444342499999</v>
      </c>
      <c r="M62" s="17">
        <f>'[39]2022-23'!$AA$194/1000000</f>
        <v>11.693151361</v>
      </c>
      <c r="N62" s="17">
        <f>'[39]2022-23'!$AF$194/1000000</f>
        <v>10.764630262499999</v>
      </c>
      <c r="O62" s="17">
        <f>'[39]2022-23'!$AK$194/1000000</f>
        <v>10.631308639999999</v>
      </c>
      <c r="P62" s="17">
        <f>'[39]2022-23'!$AP$194/1000000</f>
        <v>10.3015873235</v>
      </c>
      <c r="Q62" s="17">
        <f>'[39]2022-23'!$AU$194/1000000</f>
        <v>4.3961134099999999</v>
      </c>
      <c r="R62" s="17">
        <f>'[39]2022-23'!$AZ$194/1000000</f>
        <v>10.944557982499999</v>
      </c>
      <c r="S62" s="17">
        <f>'[39]2022-23'!$BE$194/1000000</f>
        <v>10.956860719999998</v>
      </c>
      <c r="T62" s="107">
        <f>'[39]2022-23'!$BJ$194/1000000</f>
        <v>12.965174019999999</v>
      </c>
      <c r="U62" s="17">
        <f t="shared" si="7"/>
        <v>130.38149117399999</v>
      </c>
    </row>
    <row r="63" spans="3:21" x14ac:dyDescent="0.25">
      <c r="C63" s="17"/>
      <c r="D63" s="17" t="s">
        <v>434</v>
      </c>
      <c r="E63" s="111"/>
      <c r="F63" s="17"/>
      <c r="G63" s="111"/>
      <c r="H63" s="17"/>
      <c r="I63" s="17"/>
      <c r="J63" s="17"/>
      <c r="K63" s="17"/>
      <c r="L63" s="17"/>
      <c r="M63" s="17"/>
      <c r="N63" s="17"/>
      <c r="O63" s="17">
        <f>'[39]2022-23'!AK192/1000000</f>
        <v>0.95856804999999989</v>
      </c>
      <c r="P63" s="17">
        <f>'[39]2022-23'!AP192/1000000</f>
        <v>1.3755293959999999</v>
      </c>
      <c r="Q63" s="17">
        <f>'[39]2022-23'!AU192/1000000</f>
        <v>1.3083618975</v>
      </c>
      <c r="R63" s="17">
        <f>'[39]2022-23'!AZ192/1000000</f>
        <v>1.1777299435000002</v>
      </c>
      <c r="S63" s="17">
        <f>'[39]2022-23'!BE192/1000000</f>
        <v>1.3682190224999999</v>
      </c>
      <c r="T63" s="107">
        <f>'[39]2022-23'!BJ192/1000000</f>
        <v>1.0150251724999999</v>
      </c>
      <c r="U63" s="17">
        <f t="shared" si="7"/>
        <v>7.2034334819999994</v>
      </c>
    </row>
    <row r="64" spans="3:21" x14ac:dyDescent="0.25">
      <c r="C64" s="17"/>
      <c r="D64" s="17" t="s">
        <v>384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>
        <f>'[39]2022-23'!AK193/1000000</f>
        <v>0.74572259249999995</v>
      </c>
      <c r="P64" s="17">
        <f>'[39]2022-23'!AP193/1000000</f>
        <v>0.31385984099999997</v>
      </c>
      <c r="Q64" s="17">
        <f>'[39]2022-23'!AU193/1000000</f>
        <v>0.62277767750000002</v>
      </c>
      <c r="R64" s="17">
        <f>'[39]2022-23'!AZ193/1000000</f>
        <v>0.27686239499999998</v>
      </c>
      <c r="S64" s="17">
        <f>'[39]2022-23'!BE193/1000000</f>
        <v>0.70409943499999994</v>
      </c>
      <c r="T64" s="107">
        <f>'[39]2022-23'!BJ193/1000000</f>
        <v>0.34785250349999997</v>
      </c>
      <c r="U64" s="17">
        <f t="shared" si="7"/>
        <v>3.0111744444999999</v>
      </c>
    </row>
    <row r="65" spans="3:21" x14ac:dyDescent="0.25">
      <c r="C65" s="17"/>
      <c r="D65" s="17" t="s">
        <v>385</v>
      </c>
      <c r="E65" s="111" t="str">
        <f>[37]Capacity!F41</f>
        <v>-</v>
      </c>
      <c r="F65" s="17"/>
      <c r="G65" s="111" t="str">
        <f>[37]Capacity!H41</f>
        <v>-</v>
      </c>
      <c r="H65" s="17"/>
      <c r="I65" s="17">
        <f>'[39]2022-23'!$G$202/1000000</f>
        <v>25.149510150999998</v>
      </c>
      <c r="J65" s="17">
        <f>'[39]2022-23'!$L$202/1000000</f>
        <v>27.942195340000001</v>
      </c>
      <c r="K65" s="17">
        <f>'[39]2022-23'!$Q$202/1000000</f>
        <v>22.869150119999997</v>
      </c>
      <c r="L65" s="17">
        <f>'[39]2022-23'!$V$202/1000000</f>
        <v>12.6907009035</v>
      </c>
      <c r="M65" s="17">
        <f>'[39]2022-23'!$AA$202/1000000</f>
        <v>12.373264359999999</v>
      </c>
      <c r="N65" s="17">
        <f>'[39]2022-23'!$AF$202/1000000</f>
        <v>15.234494718499999</v>
      </c>
      <c r="O65" s="17">
        <f>'[39]2022-23'!$AK$202/1000000</f>
        <v>8.9318021500000011</v>
      </c>
      <c r="P65" s="17">
        <f>'[39]2022-23'!$AP$202/1000000</f>
        <v>14.804504692499998</v>
      </c>
      <c r="Q65" s="17">
        <f>'[39]2022-23'!$AU$202/1000000</f>
        <v>15.049453594999999</v>
      </c>
      <c r="R65" s="17">
        <f>'[39]2022-23'!$AZ$202/1000000</f>
        <v>13.394651615999999</v>
      </c>
      <c r="S65" s="17">
        <f>'[39]2022-23'!$BE$202/1000000</f>
        <v>18.562996152499998</v>
      </c>
      <c r="T65" s="107">
        <f>'[39]2022-23'!$BJ$202/1000000</f>
        <v>20.612404866000002</v>
      </c>
      <c r="U65" s="17">
        <f t="shared" si="7"/>
        <v>207.61512866499999</v>
      </c>
    </row>
    <row r="66" spans="3:21" x14ac:dyDescent="0.25">
      <c r="C66" s="17"/>
      <c r="D66" s="17" t="s">
        <v>386</v>
      </c>
      <c r="E66" s="111" t="str">
        <f>[37]Capacity!F42</f>
        <v>-</v>
      </c>
      <c r="F66" s="17"/>
      <c r="G66" s="111" t="str">
        <f>[37]Capacity!H42</f>
        <v>-</v>
      </c>
      <c r="H66" s="17"/>
      <c r="I66" s="17">
        <f>'[39]2022-23'!$G$203/1000000</f>
        <v>17.278716403499999</v>
      </c>
      <c r="J66" s="17">
        <f>'[39]2022-23'!$L$203/1000000</f>
        <v>47.275063084999999</v>
      </c>
      <c r="K66" s="17">
        <f>'[39]2022-23'!$Q$203/1000000</f>
        <v>26.997448763999998</v>
      </c>
      <c r="L66" s="17">
        <f>'[39]2022-23'!$V$203/1000000</f>
        <v>22.598197750999997</v>
      </c>
      <c r="M66" s="17">
        <f>'[39]2022-23'!$AA$203/1000000</f>
        <v>23.601364880999999</v>
      </c>
      <c r="N66" s="17">
        <f>'[39]2022-23'!$AF$203/1000000</f>
        <v>14.790391663499999</v>
      </c>
      <c r="O66" s="17">
        <f>'[39]2022-23'!$AK$203/1000000</f>
        <v>13.289310438499999</v>
      </c>
      <c r="P66" s="17">
        <f>'[39]2022-23'!$AP$203/1000000</f>
        <v>10.571398504999999</v>
      </c>
      <c r="Q66" s="17">
        <f>'[39]2022-23'!$AU$203/1000000</f>
        <v>23.528905217499997</v>
      </c>
      <c r="R66" s="17">
        <f>'[39]2022-23'!$AZ$203/1000000</f>
        <v>24.483074321</v>
      </c>
      <c r="S66" s="17">
        <f>'[39]2022-23'!$BE$203/1000000</f>
        <v>26.028461598499998</v>
      </c>
      <c r="T66" s="107">
        <f>'[39]2022-23'!$BJ$203/1000000</f>
        <v>23.440365264999997</v>
      </c>
      <c r="U66" s="17">
        <f t="shared" si="7"/>
        <v>273.88269789349999</v>
      </c>
    </row>
    <row r="67" spans="3:21" x14ac:dyDescent="0.25">
      <c r="C67" s="17"/>
      <c r="D67" s="114"/>
      <c r="E67" s="17"/>
      <c r="F67" s="17"/>
      <c r="G67" s="111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>
        <f t="shared" si="7"/>
        <v>0</v>
      </c>
    </row>
    <row r="68" spans="3:21" x14ac:dyDescent="0.25"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>
        <f t="shared" si="7"/>
        <v>0</v>
      </c>
    </row>
    <row r="69" spans="3:21" x14ac:dyDescent="0.25"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>
        <f t="shared" si="7"/>
        <v>0</v>
      </c>
    </row>
    <row r="70" spans="3:21" x14ac:dyDescent="0.25"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>
        <f t="shared" si="7"/>
        <v>0</v>
      </c>
    </row>
    <row r="71" spans="3:21" x14ac:dyDescent="0.25"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>
        <f t="shared" si="7"/>
        <v>0</v>
      </c>
    </row>
    <row r="72" spans="3:21" x14ac:dyDescent="0.25"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>
        <f t="shared" si="7"/>
        <v>0</v>
      </c>
    </row>
    <row r="73" spans="3:21" x14ac:dyDescent="0.25"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>
        <f t="shared" si="7"/>
        <v>0</v>
      </c>
    </row>
    <row r="74" spans="3:21" x14ac:dyDescent="0.25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>
        <f t="shared" si="7"/>
        <v>0</v>
      </c>
    </row>
    <row r="75" spans="3:21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>
        <f t="shared" si="7"/>
        <v>0</v>
      </c>
    </row>
    <row r="76" spans="3:21" x14ac:dyDescent="0.25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>
        <f t="shared" si="7"/>
        <v>0</v>
      </c>
    </row>
    <row r="77" spans="3:21" x14ac:dyDescent="0.25">
      <c r="C77" s="751" t="s">
        <v>212</v>
      </c>
      <c r="D77" s="752"/>
      <c r="E77" s="17">
        <f t="shared" ref="E77:T77" si="9">SUM(E51:E76)</f>
        <v>12555</v>
      </c>
      <c r="F77" s="17">
        <f t="shared" si="9"/>
        <v>0</v>
      </c>
      <c r="G77" s="17">
        <f t="shared" si="9"/>
        <v>2895.9315000000001</v>
      </c>
      <c r="H77" s="17">
        <f t="shared" si="9"/>
        <v>852.85182674999987</v>
      </c>
      <c r="I77" s="17">
        <f t="shared" si="9"/>
        <v>411.14537740999992</v>
      </c>
      <c r="J77" s="17">
        <f t="shared" si="9"/>
        <v>444.07635896344544</v>
      </c>
      <c r="K77" s="17">
        <f t="shared" si="9"/>
        <v>400.11861523373398</v>
      </c>
      <c r="L77" s="17">
        <f t="shared" si="9"/>
        <v>346.58031688725447</v>
      </c>
      <c r="M77" s="17">
        <f t="shared" si="9"/>
        <v>322.88378623843641</v>
      </c>
      <c r="N77" s="17">
        <f t="shared" si="9"/>
        <v>292.21340810309249</v>
      </c>
      <c r="O77" s="17">
        <f t="shared" si="9"/>
        <v>162.20320359185897</v>
      </c>
      <c r="P77" s="17">
        <f t="shared" si="9"/>
        <v>172.73772672758795</v>
      </c>
      <c r="Q77" s="17">
        <f t="shared" si="9"/>
        <v>322.5210240586984</v>
      </c>
      <c r="R77" s="17">
        <f t="shared" si="9"/>
        <v>384.07668381561496</v>
      </c>
      <c r="S77" s="17">
        <f t="shared" si="9"/>
        <v>436.88537243058886</v>
      </c>
      <c r="T77" s="17">
        <f t="shared" si="9"/>
        <v>460.30836932985153</v>
      </c>
      <c r="U77" s="86">
        <f>SUM(I77:T77)</f>
        <v>4155.7502427901636</v>
      </c>
    </row>
    <row r="78" spans="3:21" x14ac:dyDescent="0.25">
      <c r="C78" s="753" t="s">
        <v>387</v>
      </c>
      <c r="D78" s="754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</row>
    <row r="79" spans="3:21" x14ac:dyDescent="0.25">
      <c r="C79" s="805" t="s">
        <v>388</v>
      </c>
      <c r="D79" s="17" t="s">
        <v>389</v>
      </c>
      <c r="E79" s="111">
        <f>[37]Capacity!F44</f>
        <v>440</v>
      </c>
      <c r="F79" s="17"/>
      <c r="G79" s="111">
        <f>[37]Capacity!H44</f>
        <v>22.483999999999998</v>
      </c>
      <c r="H79" s="17">
        <f>G79*29.45/100</f>
        <v>6.6215379999999993</v>
      </c>
      <c r="I79" s="17">
        <f>'[39]2022-23'!$G$6*0.2945/1000000</f>
        <v>1.6924576324999998</v>
      </c>
      <c r="J79" s="17">
        <f>'[39]2022-23'!$L$6*0.2945/1000000</f>
        <v>1.2724794284999998</v>
      </c>
      <c r="K79" s="17">
        <f>'[39]2022-23'!$Q$6*0.2945/1000000</f>
        <v>1.4912997019999998</v>
      </c>
      <c r="L79" s="17">
        <f>'[39]2022-23'!$V$6*0.2945/1000000</f>
        <v>2.1237349180000002</v>
      </c>
      <c r="M79" s="17">
        <f>'[39]2022-23'!$AA$6*0.2945/1000000</f>
        <v>1.5410542989999998</v>
      </c>
      <c r="N79" s="17">
        <f>'[39]2022-23'!$AF$6*0.2945/1000000</f>
        <v>1.8951973225000001</v>
      </c>
      <c r="O79" s="17">
        <f>'[39]2022-23'!$AK$6*0.2945/1000000</f>
        <v>1.8189433209999999</v>
      </c>
      <c r="P79" s="17">
        <f>'[39]2022-23'!$AP$6*0.2945/1000000</f>
        <v>2.0132511814999998</v>
      </c>
      <c r="Q79" s="17">
        <f>'[39]2022-23'!$AU$6*0.2945/1000000</f>
        <v>2.098746593</v>
      </c>
      <c r="R79" s="17">
        <f>'[39]2022-23'!$AZ$6*0.2945/1000000</f>
        <v>2.0894957590000001</v>
      </c>
      <c r="S79" s="17">
        <f>'[39]2022-23'!$BE$6*0.2945/1000000</f>
        <v>1.4213194339999999</v>
      </c>
      <c r="T79" s="17">
        <f>'[39]2022-23'!$BJ$6*0.2945/1000000</f>
        <v>1.9602712204999999</v>
      </c>
      <c r="U79" s="17">
        <f t="shared" ref="U79:U92" si="10">+SUM(I79:T79)</f>
        <v>21.418250811499998</v>
      </c>
    </row>
    <row r="80" spans="3:21" x14ac:dyDescent="0.25">
      <c r="C80" s="806"/>
      <c r="D80" s="17" t="s">
        <v>390</v>
      </c>
      <c r="E80" s="111">
        <f>[37]Capacity!F45</f>
        <v>440</v>
      </c>
      <c r="F80" s="17"/>
      <c r="G80" s="111">
        <f>[37]Capacity!H45</f>
        <v>69.432000000000002</v>
      </c>
      <c r="H80" s="17">
        <f t="shared" ref="H80:H82" si="11">G80*29.45/100</f>
        <v>20.447724000000001</v>
      </c>
      <c r="I80" s="17">
        <f>'[39]2022-23'!$G$5*0.2945/1000000</f>
        <v>28.092670114999997</v>
      </c>
      <c r="J80" s="17">
        <f>'[39]2022-23'!$L$5*0.2945/1000000</f>
        <v>29.165248538999997</v>
      </c>
      <c r="K80" s="17">
        <f>'[39]2022-23'!$Q$5*0.2945/1000000</f>
        <v>27.1362775365</v>
      </c>
      <c r="L80" s="17">
        <f>'[39]2022-23'!$V$5*0.2945/1000000</f>
        <v>29.110706255499998</v>
      </c>
      <c r="M80" s="17">
        <f>'[39]2022-23'!$AA$5*0.2945/1000000</f>
        <v>28.637184711999996</v>
      </c>
      <c r="N80" s="17">
        <f>'[39]2022-23'!$AF$5*0.2945/1000000</f>
        <v>22.492672805499996</v>
      </c>
      <c r="O80" s="17">
        <f>'[39]2022-23'!$AK$5*0.2945/1000000</f>
        <v>27.157501562499998</v>
      </c>
      <c r="P80" s="17">
        <f>'[39]2022-23'!$AP$5*0.2945/1000000</f>
        <v>25.645207249999999</v>
      </c>
      <c r="Q80" s="17">
        <f>'[39]2022-23'!$AU$5*0.2945/1000000</f>
        <v>20.669717805499999</v>
      </c>
      <c r="R80" s="17">
        <f>'[39]2022-23'!$AZ$5*0.2945/1000000</f>
        <v>28.5321633615</v>
      </c>
      <c r="S80" s="17">
        <f>'[39]2022-23'!$BE$5*0.2945/1000000</f>
        <v>25.267621143</v>
      </c>
      <c r="T80" s="17">
        <f>'[39]2022-23'!$BJ$5*0.2945/1000000</f>
        <v>28.205152917499998</v>
      </c>
      <c r="U80" s="17">
        <f t="shared" si="10"/>
        <v>320.11212400349996</v>
      </c>
    </row>
    <row r="81" spans="3:21" x14ac:dyDescent="0.25">
      <c r="C81" s="806"/>
      <c r="D81" s="17" t="s">
        <v>391</v>
      </c>
      <c r="E81" s="111">
        <f>[37]Capacity!F46</f>
        <v>440</v>
      </c>
      <c r="F81" s="17"/>
      <c r="G81" s="111">
        <f>[37]Capacity!H46</f>
        <v>73.744</v>
      </c>
      <c r="H81" s="17">
        <f t="shared" si="11"/>
        <v>21.717607999999998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>
        <f t="shared" si="10"/>
        <v>0</v>
      </c>
    </row>
    <row r="82" spans="3:21" x14ac:dyDescent="0.25">
      <c r="C82" s="807"/>
      <c r="D82" s="17" t="s">
        <v>392</v>
      </c>
      <c r="E82" s="111">
        <f>[37]Capacity!F47</f>
        <v>1000</v>
      </c>
      <c r="F82" s="17"/>
      <c r="G82" s="111">
        <f>[37]Capacity!H47</f>
        <v>50</v>
      </c>
      <c r="H82" s="17">
        <f t="shared" si="11"/>
        <v>14.725</v>
      </c>
      <c r="I82" s="17"/>
      <c r="J82" s="17"/>
      <c r="K82" s="17">
        <f>'[39]2022-23'!$Q$7*0.2945/1000000</f>
        <v>9.8494553150000002</v>
      </c>
      <c r="L82" s="17">
        <f>'[39]2022-23'!$V$7*0.2945/1000000</f>
        <v>9.966441906</v>
      </c>
      <c r="M82" s="17">
        <f>'[39]2022-23'!$AA$7*0.2945/1000000</f>
        <v>10.4560561075</v>
      </c>
      <c r="N82" s="17">
        <f>'[39]2022-23'!$AF$7*0.2945/1000000</f>
        <v>10.125374720999998</v>
      </c>
      <c r="O82" s="17">
        <f>'[39]2022-23'!$AK$7*0.2945/1000000</f>
        <v>10.4912753625</v>
      </c>
      <c r="P82" s="17">
        <f>'[39]2022-23'!$AP$7*0.2945/1000000</f>
        <v>10.540473943499999</v>
      </c>
      <c r="Q82" s="17">
        <f>'[39]2022-23'!$AU$7*0.2945/1000000</f>
        <v>10.9610293675</v>
      </c>
      <c r="R82" s="17">
        <f>'[39]2022-23'!$AZ$7*0.2945/1000000</f>
        <v>9.590989746</v>
      </c>
      <c r="S82" s="17">
        <f>'[39]2022-23'!$BE$7*0.2945/1000000</f>
        <v>10.187339877000001</v>
      </c>
      <c r="T82" s="17">
        <f>'[39]2022-23'!$BJ$7*0.2945/1000000</f>
        <v>11.335324142499999</v>
      </c>
      <c r="U82" s="17">
        <f t="shared" si="10"/>
        <v>103.50376048849999</v>
      </c>
    </row>
    <row r="83" spans="3:21" x14ac:dyDescent="0.2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>
        <f t="shared" si="10"/>
        <v>0</v>
      </c>
    </row>
    <row r="84" spans="3:21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>
        <f t="shared" si="10"/>
        <v>0</v>
      </c>
    </row>
    <row r="85" spans="3:21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>
        <f t="shared" si="10"/>
        <v>0</v>
      </c>
    </row>
    <row r="86" spans="3:21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>
        <f t="shared" si="10"/>
        <v>0</v>
      </c>
    </row>
    <row r="87" spans="3:21" x14ac:dyDescent="0.25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>
        <f t="shared" si="10"/>
        <v>0</v>
      </c>
    </row>
    <row r="88" spans="3:21" x14ac:dyDescent="0.25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>
        <f t="shared" si="10"/>
        <v>0</v>
      </c>
    </row>
    <row r="89" spans="3:21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>
        <f t="shared" si="10"/>
        <v>0</v>
      </c>
    </row>
    <row r="90" spans="3:21" x14ac:dyDescent="0.25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>
        <f t="shared" si="10"/>
        <v>0</v>
      </c>
    </row>
    <row r="91" spans="3:21" x14ac:dyDescent="0.25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>
        <f t="shared" si="10"/>
        <v>0</v>
      </c>
    </row>
    <row r="92" spans="3:21" x14ac:dyDescent="0.25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>
        <f t="shared" si="10"/>
        <v>0</v>
      </c>
    </row>
    <row r="93" spans="3:21" x14ac:dyDescent="0.25">
      <c r="C93" s="751" t="s">
        <v>212</v>
      </c>
      <c r="D93" s="752"/>
      <c r="E93" s="17">
        <f>SUM(E79:E92)</f>
        <v>2320</v>
      </c>
      <c r="F93" s="17">
        <f t="shared" ref="F93:T93" si="12">SUM(F79:F92)</f>
        <v>0</v>
      </c>
      <c r="G93" s="17">
        <f t="shared" si="12"/>
        <v>215.66</v>
      </c>
      <c r="H93" s="17">
        <f t="shared" si="12"/>
        <v>63.511870000000002</v>
      </c>
      <c r="I93" s="17">
        <f t="shared" si="12"/>
        <v>29.785127747499995</v>
      </c>
      <c r="J93" s="17">
        <f t="shared" si="12"/>
        <v>30.437727967499995</v>
      </c>
      <c r="K93" s="17">
        <f t="shared" si="12"/>
        <v>38.477032553499996</v>
      </c>
      <c r="L93" s="17">
        <f t="shared" si="12"/>
        <v>41.200883079500002</v>
      </c>
      <c r="M93" s="17">
        <f t="shared" si="12"/>
        <v>40.634295118499992</v>
      </c>
      <c r="N93" s="17">
        <f t="shared" si="12"/>
        <v>34.513244848999996</v>
      </c>
      <c r="O93" s="17">
        <f t="shared" si="12"/>
        <v>39.467720245999999</v>
      </c>
      <c r="P93" s="17">
        <f t="shared" si="12"/>
        <v>38.198932374999998</v>
      </c>
      <c r="Q93" s="17">
        <f t="shared" si="12"/>
        <v>33.729493766000004</v>
      </c>
      <c r="R93" s="17">
        <f t="shared" si="12"/>
        <v>40.212648866499997</v>
      </c>
      <c r="S93" s="17">
        <f t="shared" si="12"/>
        <v>36.876280454000003</v>
      </c>
      <c r="T93" s="17">
        <f t="shared" si="12"/>
        <v>41.500748280499998</v>
      </c>
      <c r="U93" s="86">
        <f>SUM(I93:T93)</f>
        <v>445.03413530349997</v>
      </c>
    </row>
    <row r="94" spans="3:21" x14ac:dyDescent="0.25">
      <c r="C94" s="753" t="s">
        <v>394</v>
      </c>
      <c r="D94" s="754"/>
      <c r="E94" s="17">
        <f>E77+E93</f>
        <v>14875</v>
      </c>
      <c r="F94" s="17">
        <f t="shared" ref="F94:T94" si="13">F77+F93</f>
        <v>0</v>
      </c>
      <c r="G94" s="17">
        <f t="shared" si="13"/>
        <v>3111.5915</v>
      </c>
      <c r="H94" s="17">
        <f t="shared" si="13"/>
        <v>916.36369674999992</v>
      </c>
      <c r="I94" s="17">
        <f t="shared" si="13"/>
        <v>440.93050515749991</v>
      </c>
      <c r="J94" s="17">
        <f t="shared" si="13"/>
        <v>474.51408693094544</v>
      </c>
      <c r="K94" s="17">
        <f t="shared" si="13"/>
        <v>438.59564778723399</v>
      </c>
      <c r="L94" s="17">
        <f t="shared" si="13"/>
        <v>387.78119996675446</v>
      </c>
      <c r="M94" s="17">
        <f t="shared" si="13"/>
        <v>363.51808135693642</v>
      </c>
      <c r="N94" s="17">
        <f t="shared" si="13"/>
        <v>326.72665295209248</v>
      </c>
      <c r="O94" s="17">
        <f t="shared" si="13"/>
        <v>201.67092383785896</v>
      </c>
      <c r="P94" s="17">
        <f t="shared" si="13"/>
        <v>210.93665910258795</v>
      </c>
      <c r="Q94" s="17">
        <f t="shared" si="13"/>
        <v>356.25051782469842</v>
      </c>
      <c r="R94" s="17">
        <f t="shared" si="13"/>
        <v>424.28933268211495</v>
      </c>
      <c r="S94" s="17">
        <f t="shared" si="13"/>
        <v>473.76165288458884</v>
      </c>
      <c r="T94" s="17">
        <f t="shared" si="13"/>
        <v>501.80911761035151</v>
      </c>
      <c r="U94" s="86">
        <f>U77+U93</f>
        <v>4600.7843780936637</v>
      </c>
    </row>
    <row r="95" spans="3:21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</row>
    <row r="96" spans="3:21" x14ac:dyDescent="0.25">
      <c r="C96" s="17" t="s">
        <v>396</v>
      </c>
      <c r="D96" s="17" t="s">
        <v>396</v>
      </c>
      <c r="E96" s="111">
        <f>[37]Capacity!F67</f>
        <v>500</v>
      </c>
      <c r="F96" s="17"/>
      <c r="G96" s="111">
        <f>[37]Capacity!H67</f>
        <v>269.45000000000005</v>
      </c>
      <c r="H96" s="17">
        <f>G96*29.45/100</f>
        <v>79.353025000000017</v>
      </c>
      <c r="I96" s="17">
        <f>'[39]2022-23'!$G$207/1000000</f>
        <v>52.537030938499996</v>
      </c>
      <c r="J96" s="17">
        <f>'[39]2022-23'!$L$207/1000000</f>
        <v>56.280005193499996</v>
      </c>
      <c r="K96" s="17">
        <f>'[39]2022-23'!$Q$207/1000000</f>
        <v>35.735205747499997</v>
      </c>
      <c r="L96" s="17">
        <f>'[39]2022-23'!$V$207/1000000</f>
        <v>56.981752162499994</v>
      </c>
      <c r="M96" s="17">
        <f>'[39]2022-23'!$AA$207/1000000</f>
        <v>58.887272593499993</v>
      </c>
      <c r="N96" s="17">
        <f>'[39]2022-23'!$AF$207/1000000</f>
        <v>51.585241394999997</v>
      </c>
      <c r="O96" s="17">
        <f>'[39]2022-23'!$AK$207/1000000</f>
        <v>59.006170195000003</v>
      </c>
      <c r="P96" s="17">
        <f>'[39]2022-23'!$AP$207/1000000</f>
        <v>52.676018741</v>
      </c>
      <c r="Q96" s="17">
        <f>'[39]2022-23'!$AU$207/1000000</f>
        <v>55.538882690999998</v>
      </c>
      <c r="R96" s="17">
        <f>'[39]2022-23'!$AZ$207/1000000</f>
        <v>52.626854910999995</v>
      </c>
      <c r="S96" s="17">
        <f>'[39]2022-23'!$BE$207/1000000</f>
        <v>53.297830458499995</v>
      </c>
      <c r="T96" s="17">
        <f>'[39]2022-23'!$BJ$207/1000000</f>
        <v>58.765307479999997</v>
      </c>
      <c r="U96" s="17">
        <f t="shared" ref="U96:U102" si="14">+SUM(I96:T96)</f>
        <v>643.91757250700005</v>
      </c>
    </row>
    <row r="97" spans="3:21" x14ac:dyDescent="0.25">
      <c r="C97" s="17" t="s">
        <v>397</v>
      </c>
      <c r="D97" s="17" t="s">
        <v>397</v>
      </c>
      <c r="E97" s="111">
        <f>[37]Capacity!F68</f>
        <v>570</v>
      </c>
      <c r="F97" s="17"/>
      <c r="G97" s="111">
        <f>[37]Capacity!H68</f>
        <v>570</v>
      </c>
      <c r="H97" s="17">
        <f t="shared" ref="H97" si="15">G97*29.45/100</f>
        <v>167.86500000000001</v>
      </c>
      <c r="I97" s="17">
        <f>'[39]2022-23'!$G$206/1000000</f>
        <v>111.13806396249998</v>
      </c>
      <c r="J97" s="17">
        <f>'[39]2022-23'!$L$206/1000000</f>
        <v>95.773577238499996</v>
      </c>
      <c r="K97" s="17">
        <f>'[39]2022-23'!$Q$206/1000000</f>
        <v>74.319576041249988</v>
      </c>
      <c r="L97" s="17">
        <f>'[39]2022-23'!$V$206/1000000</f>
        <v>108.98900027749998</v>
      </c>
      <c r="M97" s="17">
        <f>'[39]2022-23'!$AA$206/1000000</f>
        <v>113.30982476249997</v>
      </c>
      <c r="N97" s="17">
        <f>'[39]2022-23'!$AF$206/1000000</f>
        <v>86.338722557499992</v>
      </c>
      <c r="O97" s="17">
        <f>'[39]2022-23'!$AK$206/1000000</f>
        <v>73.51126792849999</v>
      </c>
      <c r="P97" s="17">
        <f>'[39]2022-23'!$AP$206/1000000</f>
        <v>103.45593943124999</v>
      </c>
      <c r="Q97" s="17">
        <f>'[39]2022-23'!$AU$206/1000000</f>
        <v>96.536728929999995</v>
      </c>
      <c r="R97" s="17">
        <f>'[39]2022-23'!$AZ$206/1000000</f>
        <v>99.972251074999988</v>
      </c>
      <c r="S97" s="17">
        <f>'[39]2022-23'!$BE$206/1000000</f>
        <v>112.74731135624999</v>
      </c>
      <c r="T97" s="17">
        <f>'[39]2022-23'!$BJ$206/1000000</f>
        <v>112.6886883335</v>
      </c>
      <c r="U97" s="17">
        <f t="shared" si="14"/>
        <v>1188.7809518942502</v>
      </c>
    </row>
    <row r="98" spans="3:21" x14ac:dyDescent="0.25"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>
        <f t="shared" si="14"/>
        <v>0</v>
      </c>
    </row>
    <row r="99" spans="3:21" x14ac:dyDescent="0.25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>
        <f t="shared" si="14"/>
        <v>0</v>
      </c>
    </row>
    <row r="100" spans="3:21" x14ac:dyDescent="0.2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>
        <f t="shared" si="14"/>
        <v>0</v>
      </c>
    </row>
    <row r="101" spans="3:21" x14ac:dyDescent="0.2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>
        <f t="shared" si="14"/>
        <v>0</v>
      </c>
    </row>
    <row r="102" spans="3:21" x14ac:dyDescent="0.25"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>
        <f t="shared" si="14"/>
        <v>0</v>
      </c>
    </row>
    <row r="103" spans="3:21" x14ac:dyDescent="0.25">
      <c r="C103" s="753" t="s">
        <v>398</v>
      </c>
      <c r="D103" s="754"/>
      <c r="E103" s="17">
        <f>SUM(E96:E102)</f>
        <v>1070</v>
      </c>
      <c r="F103" s="17">
        <f t="shared" ref="F103:T103" si="16">SUM(F96:F102)</f>
        <v>0</v>
      </c>
      <c r="G103" s="17">
        <f t="shared" si="16"/>
        <v>839.45</v>
      </c>
      <c r="H103" s="17">
        <f t="shared" si="16"/>
        <v>247.21802500000001</v>
      </c>
      <c r="I103" s="17">
        <f t="shared" si="16"/>
        <v>163.67509490099997</v>
      </c>
      <c r="J103" s="17">
        <f t="shared" si="16"/>
        <v>152.05358243199998</v>
      </c>
      <c r="K103" s="17">
        <f t="shared" si="16"/>
        <v>110.05478178874998</v>
      </c>
      <c r="L103" s="17">
        <f t="shared" si="16"/>
        <v>165.97075243999998</v>
      </c>
      <c r="M103" s="17">
        <f t="shared" si="16"/>
        <v>172.19709735599997</v>
      </c>
      <c r="N103" s="17">
        <f t="shared" si="16"/>
        <v>137.9239639525</v>
      </c>
      <c r="O103" s="17">
        <f t="shared" si="16"/>
        <v>132.5174381235</v>
      </c>
      <c r="P103" s="17">
        <f t="shared" si="16"/>
        <v>156.13195817224999</v>
      </c>
      <c r="Q103" s="17">
        <f t="shared" si="16"/>
        <v>152.07561162100001</v>
      </c>
      <c r="R103" s="17">
        <f t="shared" si="16"/>
        <v>152.59910598599998</v>
      </c>
      <c r="S103" s="17">
        <f t="shared" si="16"/>
        <v>166.04514181475</v>
      </c>
      <c r="T103" s="17">
        <f t="shared" si="16"/>
        <v>171.4539958135</v>
      </c>
      <c r="U103" s="86">
        <f>SUM(I103:T103)</f>
        <v>1832.6985244012499</v>
      </c>
    </row>
    <row r="104" spans="3:21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3:21" x14ac:dyDescent="0.25">
      <c r="C105" s="17" t="s">
        <v>400</v>
      </c>
      <c r="D105" s="17" t="s">
        <v>400</v>
      </c>
      <c r="E105" s="111">
        <f>[37]Capacity!F69</f>
        <v>1200</v>
      </c>
      <c r="F105" s="17"/>
      <c r="G105" s="111">
        <f>[37]Capacity!H69</f>
        <v>1200</v>
      </c>
      <c r="H105" s="17"/>
      <c r="I105" s="17">
        <f>'[39]2022-23'!$G$231/1000000</f>
        <v>227.84876</v>
      </c>
      <c r="J105" s="17">
        <f>'[39]2022-23'!$L$231/1000000</f>
        <v>194.690416</v>
      </c>
      <c r="K105" s="17">
        <f>'[39]2022-23'!$Q$231/1000000</f>
        <v>211.74726699999999</v>
      </c>
      <c r="L105" s="17">
        <f>'[39]2022-23'!$V$231/1000000</f>
        <v>227.90059199999999</v>
      </c>
      <c r="M105" s="17">
        <f>'[39]2022-23'!$AA$231/1000000</f>
        <v>211.8641835</v>
      </c>
      <c r="N105" s="17">
        <f>'[39]2022-23'!$AF$231/1000000</f>
        <v>233.84301300000001</v>
      </c>
      <c r="O105" s="17">
        <f>'[39]2022-23'!$AK$231/1000000</f>
        <v>226.89899750000001</v>
      </c>
      <c r="P105" s="17">
        <f>'[39]2022-23'!$AP$231/1000000</f>
        <v>229.5730575</v>
      </c>
      <c r="Q105" s="17">
        <f>'[39]2022-23'!$AU$231/1000000</f>
        <v>228.4286305</v>
      </c>
      <c r="R105" s="17">
        <f>'[39]2022-23'!$AZ$231/1000000</f>
        <v>232.45326750000001</v>
      </c>
      <c r="S105" s="17">
        <f>'[39]2022-23'!$BE$231/1000000</f>
        <v>98.702264</v>
      </c>
      <c r="T105" s="17">
        <f>'[39]2022-23'!$BJ$231/1000000</f>
        <v>244.5230555</v>
      </c>
      <c r="U105" s="17">
        <f t="shared" ref="U105:U112" si="17">+SUM(I105:T105)</f>
        <v>2568.4735039999996</v>
      </c>
    </row>
    <row r="106" spans="3:21" x14ac:dyDescent="0.25">
      <c r="C106" s="17" t="s">
        <v>401</v>
      </c>
      <c r="D106" s="17" t="s">
        <v>401</v>
      </c>
      <c r="E106" s="111">
        <f>[37]Capacity!F70</f>
        <v>1000</v>
      </c>
      <c r="F106" s="17"/>
      <c r="G106" s="111">
        <f>[37]Capacity!H70</f>
        <v>1000</v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>
        <f t="shared" si="17"/>
        <v>0</v>
      </c>
    </row>
    <row r="107" spans="3:21" x14ac:dyDescent="0.25">
      <c r="C107" s="17" t="s">
        <v>402</v>
      </c>
      <c r="D107" s="17" t="s">
        <v>402</v>
      </c>
      <c r="E107" s="111" t="str">
        <f>[37]Capacity!F71</f>
        <v>-</v>
      </c>
      <c r="F107" s="17"/>
      <c r="G107" s="111" t="str">
        <f>[37]Capacity!H71</f>
        <v>-</v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>
        <f t="shared" si="17"/>
        <v>0</v>
      </c>
    </row>
    <row r="108" spans="3:21" x14ac:dyDescent="0.2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>
        <f t="shared" si="17"/>
        <v>0</v>
      </c>
    </row>
    <row r="109" spans="3:21" x14ac:dyDescent="0.2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f t="shared" si="17"/>
        <v>0</v>
      </c>
    </row>
    <row r="110" spans="3:21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>
        <f t="shared" si="17"/>
        <v>0</v>
      </c>
    </row>
    <row r="111" spans="3:21" x14ac:dyDescent="0.25"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f t="shared" si="17"/>
        <v>0</v>
      </c>
    </row>
    <row r="112" spans="3:21" x14ac:dyDescent="0.25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>
        <f t="shared" si="17"/>
        <v>0</v>
      </c>
    </row>
    <row r="113" spans="3:21" x14ac:dyDescent="0.25">
      <c r="C113" s="753" t="s">
        <v>403</v>
      </c>
      <c r="D113" s="754"/>
      <c r="E113" s="17">
        <f>SUM(E105:E112)</f>
        <v>2200</v>
      </c>
      <c r="F113" s="17">
        <f t="shared" ref="F113:T113" si="18">SUM(F105:F112)</f>
        <v>0</v>
      </c>
      <c r="G113" s="17">
        <f t="shared" si="18"/>
        <v>2200</v>
      </c>
      <c r="H113" s="17">
        <f t="shared" si="18"/>
        <v>0</v>
      </c>
      <c r="I113" s="17">
        <f t="shared" si="18"/>
        <v>227.84876</v>
      </c>
      <c r="J113" s="17">
        <f t="shared" si="18"/>
        <v>194.690416</v>
      </c>
      <c r="K113" s="17">
        <f t="shared" si="18"/>
        <v>211.74726699999999</v>
      </c>
      <c r="L113" s="17">
        <f t="shared" si="18"/>
        <v>227.90059199999999</v>
      </c>
      <c r="M113" s="17">
        <f t="shared" si="18"/>
        <v>211.8641835</v>
      </c>
      <c r="N113" s="17">
        <f t="shared" si="18"/>
        <v>233.84301300000001</v>
      </c>
      <c r="O113" s="17">
        <f t="shared" si="18"/>
        <v>226.89899750000001</v>
      </c>
      <c r="P113" s="17">
        <f t="shared" si="18"/>
        <v>229.5730575</v>
      </c>
      <c r="Q113" s="17">
        <f t="shared" si="18"/>
        <v>228.4286305</v>
      </c>
      <c r="R113" s="17">
        <f t="shared" si="18"/>
        <v>232.45326750000001</v>
      </c>
      <c r="S113" s="17">
        <f t="shared" si="18"/>
        <v>98.702264</v>
      </c>
      <c r="T113" s="17">
        <f t="shared" si="18"/>
        <v>244.5230555</v>
      </c>
      <c r="U113" s="86">
        <f>SUM(I113:T113)</f>
        <v>2568.4735039999996</v>
      </c>
    </row>
    <row r="114" spans="3:21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3:21" x14ac:dyDescent="0.25">
      <c r="C115" s="17"/>
      <c r="D115" s="17" t="s">
        <v>405</v>
      </c>
      <c r="E115" s="111">
        <f>[37]Capacity!F55</f>
        <v>24</v>
      </c>
      <c r="F115" s="17"/>
      <c r="G115" s="111">
        <f>[37]Capacity!H55</f>
        <v>24</v>
      </c>
      <c r="H115" s="111">
        <f>[37]Capacity!H79</f>
        <v>12</v>
      </c>
      <c r="I115" s="66">
        <f>'[40]4.1|Energy Availability'!G1713</f>
        <v>6.0083499999999983</v>
      </c>
      <c r="J115" s="66">
        <f>'[40]4.1|Energy Availability'!H1713</f>
        <v>3.4163500000000058</v>
      </c>
      <c r="K115" s="66">
        <f>'[40]4.1|Energy Availability'!I1713</f>
        <v>4.0741500000000013</v>
      </c>
      <c r="L115" s="66">
        <f>'[40]4.1|Energy Availability'!J1713</f>
        <v>2.2565999999999913</v>
      </c>
      <c r="M115" s="66">
        <f>'[40]4.1|Energy Availability'!K1713</f>
        <v>0</v>
      </c>
      <c r="N115" s="66">
        <f>'[40]4.1|Energy Availability'!L1713</f>
        <v>1.4953500000000024</v>
      </c>
      <c r="O115" s="66">
        <f>'[40]4.1|Energy Availability'!M1713</f>
        <v>0.6247500000000058</v>
      </c>
      <c r="P115" s="66">
        <f>'[40]4.1|Energy Availability'!N1713</f>
        <v>1.5914260000000007</v>
      </c>
      <c r="Q115" s="66">
        <f>'[40]4.1|Energy Availability'!O1713</f>
        <v>0</v>
      </c>
      <c r="R115" s="66">
        <f>'[40]4.1|Energy Availability'!P1713</f>
        <v>0</v>
      </c>
      <c r="S115" s="66">
        <f>'[40]4.1|Energy Availability'!Q1713</f>
        <v>0</v>
      </c>
      <c r="T115" s="66">
        <f>'[40]4.1|Energy Availability'!R1713</f>
        <v>0</v>
      </c>
      <c r="U115" s="17">
        <f t="shared" ref="U115:U138" si="19">+SUM(I115:T115)</f>
        <v>19.46697600000001</v>
      </c>
    </row>
    <row r="116" spans="3:21" x14ac:dyDescent="0.25">
      <c r="C116" s="17"/>
      <c r="D116" s="17" t="s">
        <v>406</v>
      </c>
      <c r="E116" s="111">
        <f>[37]Capacity!F56</f>
        <v>35.200000000000003</v>
      </c>
      <c r="F116" s="17"/>
      <c r="G116" s="111">
        <f>[37]Capacity!H56</f>
        <v>35.200000000000003</v>
      </c>
      <c r="H116" s="111">
        <f>[37]Capacity!H80</f>
        <v>22.1</v>
      </c>
      <c r="I116" s="66">
        <f>'[40]4.1|Energy Availability'!G1714</f>
        <v>26.470623</v>
      </c>
      <c r="J116" s="66">
        <f>'[40]4.1|Energy Availability'!H1714</f>
        <v>0</v>
      </c>
      <c r="K116" s="66">
        <f>'[40]4.1|Energy Availability'!I1714</f>
        <v>0</v>
      </c>
      <c r="L116" s="66">
        <f>'[40]4.1|Energy Availability'!J1714</f>
        <v>0</v>
      </c>
      <c r="M116" s="66">
        <f>'[40]4.1|Energy Availability'!K1714</f>
        <v>0</v>
      </c>
      <c r="N116" s="66">
        <f>'[40]4.1|Energy Availability'!L1714</f>
        <v>0</v>
      </c>
      <c r="O116" s="66">
        <f>'[40]4.1|Energy Availability'!M1714</f>
        <v>0</v>
      </c>
      <c r="P116" s="66">
        <f>'[40]4.1|Energy Availability'!N1714</f>
        <v>4.7991058000000271</v>
      </c>
      <c r="Q116" s="66">
        <f>'[40]4.1|Energy Availability'!O1714</f>
        <v>18.614105099999986</v>
      </c>
      <c r="R116" s="66">
        <f>'[40]4.1|Energy Availability'!P1714</f>
        <v>14.911844100000009</v>
      </c>
      <c r="S116" s="66">
        <f>'[40]4.1|Energy Availability'!Q1714</f>
        <v>18.073064700000003</v>
      </c>
      <c r="T116" s="66">
        <f>'[40]4.1|Energy Availability'!R1714</f>
        <v>14.387328299999981</v>
      </c>
      <c r="U116" s="17">
        <f t="shared" si="19"/>
        <v>97.256071000000006</v>
      </c>
    </row>
    <row r="117" spans="3:21" x14ac:dyDescent="0.25">
      <c r="C117" s="17"/>
      <c r="D117" s="17" t="s">
        <v>407</v>
      </c>
      <c r="E117" s="111">
        <f>[37]Capacity!F57</f>
        <v>19.8</v>
      </c>
      <c r="F117" s="17"/>
      <c r="G117" s="111">
        <f>[37]Capacity!H57</f>
        <v>19.8</v>
      </c>
      <c r="H117" s="111">
        <f>[37]Capacity!H81</f>
        <v>0</v>
      </c>
      <c r="I117" s="66">
        <f>'[40]4.1|Energy Availability'!G1715</f>
        <v>0</v>
      </c>
      <c r="J117" s="66">
        <f>'[40]4.1|Energy Availability'!H1715</f>
        <v>0</v>
      </c>
      <c r="K117" s="66">
        <f>'[40]4.1|Energy Availability'!I1715</f>
        <v>0</v>
      </c>
      <c r="L117" s="66">
        <f>'[40]4.1|Energy Availability'!J1715</f>
        <v>0</v>
      </c>
      <c r="M117" s="66">
        <f>'[40]4.1|Energy Availability'!K1715</f>
        <v>0</v>
      </c>
      <c r="N117" s="66">
        <f>'[40]4.1|Energy Availability'!L1715</f>
        <v>0</v>
      </c>
      <c r="O117" s="66">
        <f>'[40]4.1|Energy Availability'!M1715</f>
        <v>0</v>
      </c>
      <c r="P117" s="66">
        <f>'[40]4.1|Energy Availability'!N1715</f>
        <v>0</v>
      </c>
      <c r="Q117" s="66">
        <f>'[40]4.1|Energy Availability'!O1715</f>
        <v>0</v>
      </c>
      <c r="R117" s="66">
        <f>'[40]4.1|Energy Availability'!P1715</f>
        <v>0</v>
      </c>
      <c r="S117" s="66">
        <f>'[40]4.1|Energy Availability'!Q1715</f>
        <v>0</v>
      </c>
      <c r="T117" s="66">
        <f>'[40]4.1|Energy Availability'!R1715</f>
        <v>0</v>
      </c>
      <c r="U117" s="17">
        <f t="shared" si="19"/>
        <v>0</v>
      </c>
    </row>
    <row r="118" spans="3:21" x14ac:dyDescent="0.25">
      <c r="C118" s="17"/>
      <c r="D118" s="17" t="s">
        <v>408</v>
      </c>
      <c r="E118" s="111">
        <f>[37]Capacity!F58</f>
        <v>15</v>
      </c>
      <c r="F118" s="17"/>
      <c r="G118" s="111">
        <f>[37]Capacity!H58</f>
        <v>15</v>
      </c>
      <c r="H118" s="111">
        <f>[37]Capacity!H82</f>
        <v>7.5</v>
      </c>
      <c r="I118" s="66">
        <f>'[40]4.1|Energy Availability'!G1716</f>
        <v>0</v>
      </c>
      <c r="J118" s="66">
        <f>'[40]4.1|Energy Availability'!H1716</f>
        <v>0</v>
      </c>
      <c r="K118" s="66">
        <f>'[40]4.1|Energy Availability'!I1716</f>
        <v>0</v>
      </c>
      <c r="L118" s="66">
        <f>'[40]4.1|Energy Availability'!J1716</f>
        <v>0</v>
      </c>
      <c r="M118" s="66">
        <f>'[40]4.1|Energy Availability'!K1716</f>
        <v>0</v>
      </c>
      <c r="N118" s="66">
        <f>'[40]4.1|Energy Availability'!L1716</f>
        <v>0</v>
      </c>
      <c r="O118" s="66">
        <f>'[40]4.1|Energy Availability'!M1716</f>
        <v>0</v>
      </c>
      <c r="P118" s="66">
        <f>'[40]4.1|Energy Availability'!N1716</f>
        <v>0</v>
      </c>
      <c r="Q118" s="66">
        <f>'[40]4.1|Energy Availability'!O1716</f>
        <v>0</v>
      </c>
      <c r="R118" s="66">
        <f>'[40]4.1|Energy Availability'!P1716</f>
        <v>0</v>
      </c>
      <c r="S118" s="66">
        <f>'[40]4.1|Energy Availability'!Q1716</f>
        <v>0</v>
      </c>
      <c r="T118" s="66">
        <f>'[40]4.1|Energy Availability'!R1716</f>
        <v>0</v>
      </c>
      <c r="U118" s="17">
        <f t="shared" si="19"/>
        <v>0</v>
      </c>
    </row>
    <row r="119" spans="3:21" x14ac:dyDescent="0.25">
      <c r="C119" s="17"/>
      <c r="D119" s="17" t="s">
        <v>409</v>
      </c>
      <c r="E119" s="111">
        <f>[37]Capacity!F59</f>
        <v>128.1</v>
      </c>
      <c r="F119" s="17"/>
      <c r="G119" s="111">
        <f>[37]Capacity!H59</f>
        <v>128.1</v>
      </c>
      <c r="H119" s="111">
        <f>[37]Capacity!H83</f>
        <v>0</v>
      </c>
      <c r="I119" s="66">
        <f>'[40]4.1|Energy Availability'!G1717</f>
        <v>0</v>
      </c>
      <c r="J119" s="66">
        <f>'[40]4.1|Energy Availability'!H1717</f>
        <v>0</v>
      </c>
      <c r="K119" s="66">
        <f>'[40]4.1|Energy Availability'!I1717</f>
        <v>0</v>
      </c>
      <c r="L119" s="66">
        <f>'[40]4.1|Energy Availability'!J1717</f>
        <v>0</v>
      </c>
      <c r="M119" s="66">
        <f>'[40]4.1|Energy Availability'!K1717</f>
        <v>0</v>
      </c>
      <c r="N119" s="66">
        <f>'[40]4.1|Energy Availability'!L1717</f>
        <v>0</v>
      </c>
      <c r="O119" s="66">
        <f>'[40]4.1|Energy Availability'!M1717</f>
        <v>0</v>
      </c>
      <c r="P119" s="66">
        <f>'[40]4.1|Energy Availability'!N1717</f>
        <v>0</v>
      </c>
      <c r="Q119" s="66">
        <f>'[40]4.1|Energy Availability'!O1717</f>
        <v>0</v>
      </c>
      <c r="R119" s="66">
        <f>'[40]4.1|Energy Availability'!P1717</f>
        <v>0</v>
      </c>
      <c r="S119" s="66">
        <f>'[40]4.1|Energy Availability'!Q1717</f>
        <v>0</v>
      </c>
      <c r="T119" s="66">
        <f>'[40]4.1|Energy Availability'!R1717</f>
        <v>0</v>
      </c>
      <c r="U119" s="17">
        <f t="shared" si="19"/>
        <v>0</v>
      </c>
    </row>
    <row r="120" spans="3:21" x14ac:dyDescent="0.25">
      <c r="C120" s="17"/>
      <c r="D120" s="17" t="s">
        <v>367</v>
      </c>
      <c r="E120" s="111">
        <f>[37]Capacity!F60</f>
        <v>4.2</v>
      </c>
      <c r="F120" s="17"/>
      <c r="G120" s="111">
        <f>[37]Capacity!H60</f>
        <v>4.2</v>
      </c>
      <c r="H120" s="111">
        <f>[37]Capacity!H84</f>
        <v>2</v>
      </c>
      <c r="I120" s="66">
        <f>'[40]4.1|Energy Availability'!G1718</f>
        <v>0</v>
      </c>
      <c r="J120" s="66">
        <f>'[40]4.1|Energy Availability'!H1718</f>
        <v>0</v>
      </c>
      <c r="K120" s="66">
        <f>'[40]4.1|Energy Availability'!I1718</f>
        <v>0</v>
      </c>
      <c r="L120" s="66">
        <f>'[40]4.1|Energy Availability'!J1718</f>
        <v>0.23330000000000017</v>
      </c>
      <c r="M120" s="66">
        <f>'[40]4.1|Energy Availability'!K1718</f>
        <v>0.17710000000000034</v>
      </c>
      <c r="N120" s="66">
        <f>'[40]4.1|Energy Availability'!L1718</f>
        <v>0.434</v>
      </c>
      <c r="O120" s="66">
        <f>'[40]4.1|Energy Availability'!M1718</f>
        <v>0.34139999999999965</v>
      </c>
      <c r="P120" s="66">
        <f>'[40]4.1|Energy Availability'!N1718</f>
        <v>0.17519999999999983</v>
      </c>
      <c r="Q120" s="66">
        <f>'[40]4.1|Energy Availability'!O1718</f>
        <v>0</v>
      </c>
      <c r="R120" s="66">
        <f>'[40]4.1|Energy Availability'!P1718</f>
        <v>0</v>
      </c>
      <c r="S120" s="66">
        <f>'[40]4.1|Energy Availability'!Q1718</f>
        <v>0</v>
      </c>
      <c r="T120" s="66">
        <f>'[40]4.1|Energy Availability'!R1718</f>
        <v>0</v>
      </c>
      <c r="U120" s="17">
        <f t="shared" si="19"/>
        <v>1.361</v>
      </c>
    </row>
    <row r="121" spans="3:21" x14ac:dyDescent="0.25">
      <c r="C121" s="17"/>
      <c r="D121" s="17" t="s">
        <v>410</v>
      </c>
      <c r="E121" s="111">
        <f>[37]Capacity!F61</f>
        <v>2764.71</v>
      </c>
      <c r="F121" s="17"/>
      <c r="G121" s="111">
        <f>[37]Capacity!H61</f>
        <v>2764.71</v>
      </c>
      <c r="H121" s="111">
        <f>[37]Capacity!H85</f>
        <v>867</v>
      </c>
      <c r="I121" s="66">
        <f>'[40]4.1|Energy Availability'!G1719</f>
        <v>155.12317199999995</v>
      </c>
      <c r="J121" s="66">
        <f>'[40]4.1|Energy Availability'!H1719</f>
        <v>152.76403200000004</v>
      </c>
      <c r="K121" s="66">
        <f>'[40]4.1|Energy Availability'!I1719</f>
        <v>143.93153799999999</v>
      </c>
      <c r="L121" s="66">
        <f>'[40]4.1|Energy Availability'!J1719</f>
        <v>85.13490400000002</v>
      </c>
      <c r="M121" s="66">
        <f>'[40]4.1|Energy Availability'!K1719</f>
        <v>115.49809199999994</v>
      </c>
      <c r="N121" s="66">
        <f>'[40]4.1|Energy Availability'!L1719</f>
        <v>116.730976</v>
      </c>
      <c r="O121" s="66">
        <f>'[40]4.1|Energy Availability'!M1719</f>
        <v>122.10993999999997</v>
      </c>
      <c r="P121" s="66">
        <f>'[40]4.1|Energy Availability'!N1719</f>
        <v>143.50670400000007</v>
      </c>
      <c r="Q121" s="66">
        <f>'[40]4.1|Energy Availability'!O1719</f>
        <v>125.60572799999993</v>
      </c>
      <c r="R121" s="66">
        <f>'[40]4.1|Energy Availability'!P1719</f>
        <v>138.20777000000004</v>
      </c>
      <c r="S121" s="66">
        <f>'[40]4.1|Energy Availability'!Q1719</f>
        <v>170.44388599999999</v>
      </c>
      <c r="T121" s="66">
        <f>'[40]4.1|Energy Availability'!R1719</f>
        <v>166.52824400000006</v>
      </c>
      <c r="U121" s="17">
        <f t="shared" si="19"/>
        <v>1635.5849860000001</v>
      </c>
    </row>
    <row r="122" spans="3:21" x14ac:dyDescent="0.25">
      <c r="C122" s="17"/>
      <c r="D122" s="17" t="s">
        <v>411</v>
      </c>
      <c r="E122" s="111">
        <f>[37]Capacity!F62</f>
        <v>45.81</v>
      </c>
      <c r="F122" s="17"/>
      <c r="G122" s="111">
        <f>[37]Capacity!H62</f>
        <v>45.81</v>
      </c>
      <c r="H122" s="111">
        <f>[37]Capacity!H86</f>
        <v>13.491045</v>
      </c>
      <c r="I122" s="17">
        <f>'[39]2022-23'!$G$214/1000000</f>
        <v>18.435389597</v>
      </c>
      <c r="J122" s="17">
        <f>'[39]2022-23'!$L$214/1000000</f>
        <v>23.754714270499999</v>
      </c>
      <c r="K122" s="17">
        <f>'[39]2022-23'!$Q$214/1000000</f>
        <v>19.111262090499999</v>
      </c>
      <c r="L122" s="17">
        <f>'[39]2022-23'!$V$214/1000000</f>
        <v>21.092212806499997</v>
      </c>
      <c r="M122" s="17">
        <f>'[39]2022-23'!$AA$214/1000000</f>
        <v>7.7384224765000003</v>
      </c>
      <c r="N122" s="17">
        <f>'[39]2022-23'!$AF$214/1000000</f>
        <v>21.362572347</v>
      </c>
      <c r="O122" s="17">
        <f>'[39]2022-23'!$AK$214/1000000</f>
        <v>19.547275819499998</v>
      </c>
      <c r="P122" s="17">
        <f>'[39]2022-23'!$AP$214/1000000</f>
        <v>17.860040849999997</v>
      </c>
      <c r="Q122" s="17">
        <f>'[39]2022-23'!$AU$214/1000000</f>
        <v>22.540682195499997</v>
      </c>
      <c r="R122" s="17">
        <f>'[39]2022-23'!$AZ$214/1000000</f>
        <v>17.632336394999999</v>
      </c>
      <c r="S122" s="17">
        <f>'[39]2022-23'!$BE$214/1000000</f>
        <v>23.620350117999998</v>
      </c>
      <c r="T122" s="17">
        <f>'[39]2022-23'!$BJ$214/1000000</f>
        <v>28.389511389999996</v>
      </c>
      <c r="U122" s="17">
        <f t="shared" si="19"/>
        <v>241.08477035599998</v>
      </c>
    </row>
    <row r="123" spans="3:21" x14ac:dyDescent="0.25">
      <c r="C123" s="17"/>
      <c r="D123" s="17" t="s">
        <v>412</v>
      </c>
      <c r="E123" s="111">
        <f>[37]Capacity!F63</f>
        <v>400</v>
      </c>
      <c r="F123" s="17"/>
      <c r="G123" s="111">
        <f>[37]Capacity!H63</f>
        <v>400</v>
      </c>
      <c r="H123" s="111">
        <f>[37]Capacity!H87</f>
        <v>117.8</v>
      </c>
      <c r="I123" s="17">
        <f>'[39]2022-23'!$G$216/1000000</f>
        <v>12.86933194</v>
      </c>
      <c r="J123" s="17">
        <f>'[39]2022-23'!$L$216/1000000</f>
        <v>13.47969717875</v>
      </c>
      <c r="K123" s="17">
        <f>'[39]2022-23'!$Q$216/1000000</f>
        <v>16.06278318375</v>
      </c>
      <c r="L123" s="17">
        <f>'[39]2022-23'!$V$216/1000000</f>
        <v>16.051209333749998</v>
      </c>
      <c r="M123" s="17">
        <f>'[39]2022-23'!$AA$216/1000000</f>
        <v>28.923801388749997</v>
      </c>
      <c r="N123" s="17">
        <f>'[39]2022-23'!$AF$216/1000000</f>
        <v>37.927748823499996</v>
      </c>
      <c r="O123" s="17">
        <f>'[39]2022-23'!$AK$216/1000000</f>
        <v>43.797030748499999</v>
      </c>
      <c r="P123" s="17">
        <f>'[39]2022-23'!$AP$216/1000000</f>
        <v>39.889547909999997</v>
      </c>
      <c r="Q123" s="17">
        <f>'[39]2022-23'!$AU$216/1000000</f>
        <v>56.282449837999998</v>
      </c>
      <c r="R123" s="17">
        <f>'[39]2022-23'!$AZ$216/1000000</f>
        <v>76.311080017500004</v>
      </c>
      <c r="S123" s="17">
        <f>'[39]2022-23'!$BE$216/1000000</f>
        <v>78.185419377499997</v>
      </c>
      <c r="T123" s="17">
        <f>'[39]2022-23'!$BJ$216/1000000</f>
        <v>3.9196869184999996</v>
      </c>
      <c r="U123" s="17">
        <f t="shared" si="19"/>
        <v>423.69978665849999</v>
      </c>
    </row>
    <row r="124" spans="3:21" x14ac:dyDescent="0.25">
      <c r="C124" s="17"/>
      <c r="D124" s="17" t="s">
        <v>413</v>
      </c>
      <c r="E124" s="111">
        <f>[37]Capacity!F64</f>
        <v>400</v>
      </c>
      <c r="F124" s="17"/>
      <c r="G124" s="111">
        <f>[37]Capacity!H64</f>
        <v>400</v>
      </c>
      <c r="H124" s="111">
        <f>[37]Capacity!H88</f>
        <v>117.8</v>
      </c>
      <c r="I124" s="17">
        <f>'[39]2022-23'!$G$218/1000000</f>
        <v>15.40181474625</v>
      </c>
      <c r="J124" s="17">
        <f>'[39]2022-23'!$L$218/1000000</f>
        <v>16.062202577000001</v>
      </c>
      <c r="K124" s="17">
        <f>'[39]2022-23'!$Q$218/1000000</f>
        <v>13.827126191250001</v>
      </c>
      <c r="L124" s="17">
        <f>'[39]2022-23'!$V$218/1000000</f>
        <v>12.674202129999999</v>
      </c>
      <c r="M124" s="17">
        <f>'[39]2022-23'!$AA$218/1000000</f>
        <v>13.8754891285</v>
      </c>
      <c r="N124" s="17">
        <f>'[39]2022-23'!$AF$218/1000000</f>
        <v>16.589723934999999</v>
      </c>
      <c r="O124" s="17">
        <f>'[39]2022-23'!$AK$218/1000000</f>
        <v>17.038501588500001</v>
      </c>
      <c r="P124" s="17">
        <f>'[39]2022-23'!$AP$218/1000000</f>
        <v>14.2448545625</v>
      </c>
      <c r="Q124" s="17">
        <f>'[39]2022-23'!$AU$218/1000000</f>
        <v>14.405010436</v>
      </c>
      <c r="R124" s="17">
        <f>'[39]2022-23'!$AZ$218/1000000</f>
        <v>15.749197375</v>
      </c>
      <c r="S124" s="17">
        <f>'[39]2022-23'!$BE$218/1000000</f>
        <v>14.96067288875</v>
      </c>
      <c r="T124" s="17">
        <f>'[39]2022-23'!$BJ$218/1000000</f>
        <v>16.926978708749999</v>
      </c>
      <c r="U124" s="17">
        <f t="shared" si="19"/>
        <v>181.75577426749999</v>
      </c>
    </row>
    <row r="125" spans="3:21" x14ac:dyDescent="0.25">
      <c r="C125" s="17"/>
      <c r="D125" s="17" t="s">
        <v>414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>
        <f t="shared" si="19"/>
        <v>0</v>
      </c>
    </row>
    <row r="126" spans="3:21" x14ac:dyDescent="0.25">
      <c r="C126" s="17"/>
      <c r="D126" s="17" t="s">
        <v>415</v>
      </c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>
        <f t="shared" si="19"/>
        <v>0</v>
      </c>
    </row>
    <row r="127" spans="3:21" x14ac:dyDescent="0.25">
      <c r="C127" s="17"/>
      <c r="D127" s="17" t="s">
        <v>416</v>
      </c>
      <c r="E127" s="111" t="str">
        <f>[37]Capacity!$F$65</f>
        <v>-</v>
      </c>
      <c r="F127" s="17"/>
      <c r="G127" s="111" t="str">
        <f>[37]Capacity!$H$65</f>
        <v>-</v>
      </c>
      <c r="H127" s="111" t="str">
        <f>[37]Capacity!$H$89</f>
        <v>-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>
        <f t="shared" si="19"/>
        <v>0</v>
      </c>
    </row>
    <row r="128" spans="3:21" x14ac:dyDescent="0.25">
      <c r="C128" s="17"/>
      <c r="D128" s="17" t="s">
        <v>417</v>
      </c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>
        <f t="shared" si="19"/>
        <v>0</v>
      </c>
    </row>
    <row r="129" spans="3:21" x14ac:dyDescent="0.25">
      <c r="C129" s="17"/>
      <c r="D129" s="114" t="s">
        <v>418</v>
      </c>
      <c r="E129" s="17"/>
      <c r="F129" s="17"/>
      <c r="G129" s="17"/>
      <c r="H129" s="17"/>
      <c r="I129" s="17">
        <f>'[39]2022-23'!$G$212/1000000</f>
        <v>1.1235395874999998</v>
      </c>
      <c r="J129" s="17">
        <f>'[39]2022-23'!$L$212/1000000</f>
        <v>0.94372230499999998</v>
      </c>
      <c r="K129" s="17">
        <f>'[39]2022-23'!$Q$212/1000000</f>
        <v>1.1627369484999999</v>
      </c>
      <c r="L129" s="17">
        <f>'[39]2022-23'!$V$212/1000000</f>
        <v>0.41952320149999994</v>
      </c>
      <c r="M129" s="17">
        <f>'[39]2022-23'!$AA$212/1000000</f>
        <v>0.74424891449999997</v>
      </c>
      <c r="N129" s="17">
        <f>'[39]2022-23'!$AF$212/1000000</f>
        <v>0.84835598974999993</v>
      </c>
      <c r="O129" s="17">
        <f>'[39]2022-23'!$AK$212/1000000</f>
        <v>0.67126783874999996</v>
      </c>
      <c r="P129" s="17">
        <f>'[39]2022-23'!$AP$212/1000000</f>
        <v>0.82296699749999991</v>
      </c>
      <c r="Q129" s="17">
        <f>'[39]2022-23'!$AU$212/1000000</f>
        <v>0.66144331874999995</v>
      </c>
      <c r="R129" s="17">
        <f>'[39]2022-23'!$AZ$212/1000000</f>
        <v>1.6140302209999999</v>
      </c>
      <c r="S129" s="17">
        <f>'[39]2022-23'!$BE$212/1000000</f>
        <v>1.4843765959999999</v>
      </c>
      <c r="T129" s="17">
        <f>'[39]2022-23'!$BJ$212/1000000</f>
        <v>1.6877362085000001</v>
      </c>
      <c r="U129" s="17">
        <f t="shared" si="19"/>
        <v>12.18394812725</v>
      </c>
    </row>
    <row r="130" spans="3:21" x14ac:dyDescent="0.25">
      <c r="C130" s="17"/>
      <c r="D130" s="114" t="s">
        <v>419</v>
      </c>
      <c r="E130" s="17"/>
      <c r="F130" s="17"/>
      <c r="G130" s="17"/>
      <c r="H130" s="17"/>
      <c r="I130" s="17">
        <f>'[39]2022-23'!$G$217/1000000</f>
        <v>0</v>
      </c>
      <c r="J130" s="17">
        <f>'[39]2022-23'!$L$217/1000000</f>
        <v>0</v>
      </c>
      <c r="K130" s="17">
        <f>'[39]2022-23'!$Q$217/1000000</f>
        <v>0</v>
      </c>
      <c r="L130" s="17">
        <f>'[39]2022-23'!$V$217/1000000</f>
        <v>0</v>
      </c>
      <c r="M130" s="17">
        <f>'[39]2022-23'!$AA$217/1000000</f>
        <v>0</v>
      </c>
      <c r="N130" s="17">
        <f>'[39]2022-23'!$AF$217/1000000</f>
        <v>0</v>
      </c>
      <c r="O130" s="17">
        <f>'[39]2022-23'!$AK$217/1000000</f>
        <v>0</v>
      </c>
      <c r="P130" s="17">
        <f>'[39]2022-23'!$AP$217/1000000</f>
        <v>0</v>
      </c>
      <c r="Q130" s="17">
        <f>'[39]2022-23'!$AU$217/1000000</f>
        <v>0</v>
      </c>
      <c r="R130" s="17">
        <f>'[39]2022-23'!$AZ$217/1000000</f>
        <v>0</v>
      </c>
      <c r="S130" s="17">
        <f>'[39]2022-23'!$BE$217/1000000</f>
        <v>0</v>
      </c>
      <c r="T130" s="17">
        <f>'[39]2022-23'!$BJ$217/1000000</f>
        <v>81.904524407500006</v>
      </c>
      <c r="U130" s="17">
        <f t="shared" si="19"/>
        <v>81.904524407500006</v>
      </c>
    </row>
    <row r="131" spans="3:21" x14ac:dyDescent="0.25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>
        <f t="shared" si="19"/>
        <v>0</v>
      </c>
    </row>
    <row r="132" spans="3:21" x14ac:dyDescent="0.25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>
        <f t="shared" si="19"/>
        <v>0</v>
      </c>
    </row>
    <row r="133" spans="3:21" x14ac:dyDescent="0.25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>
        <f t="shared" si="19"/>
        <v>0</v>
      </c>
    </row>
    <row r="134" spans="3:21" x14ac:dyDescent="0.25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>
        <f t="shared" si="19"/>
        <v>0</v>
      </c>
    </row>
    <row r="135" spans="3:21" x14ac:dyDescent="0.2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>
        <f t="shared" si="19"/>
        <v>0</v>
      </c>
    </row>
    <row r="136" spans="3:21" x14ac:dyDescent="0.25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>
        <f t="shared" si="19"/>
        <v>0</v>
      </c>
    </row>
    <row r="137" spans="3:21" x14ac:dyDescent="0.25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>
        <f t="shared" si="19"/>
        <v>0</v>
      </c>
    </row>
    <row r="138" spans="3:21" x14ac:dyDescent="0.25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>
        <f t="shared" si="19"/>
        <v>0</v>
      </c>
    </row>
    <row r="139" spans="3:21" x14ac:dyDescent="0.25">
      <c r="C139" s="753" t="s">
        <v>420</v>
      </c>
      <c r="D139" s="754"/>
      <c r="E139" s="17">
        <f>SUM(E115:E138)</f>
        <v>3836.82</v>
      </c>
      <c r="F139" s="17">
        <f t="shared" ref="F139:T139" si="20">SUM(F115:F138)</f>
        <v>0</v>
      </c>
      <c r="G139" s="17">
        <f t="shared" si="20"/>
        <v>3836.82</v>
      </c>
      <c r="H139" s="17">
        <f t="shared" si="20"/>
        <v>1159.691045</v>
      </c>
      <c r="I139" s="17">
        <f t="shared" si="20"/>
        <v>235.43222087074997</v>
      </c>
      <c r="J139" s="17">
        <f t="shared" si="20"/>
        <v>210.42071833125001</v>
      </c>
      <c r="K139" s="17">
        <f t="shared" si="20"/>
        <v>198.16959641399998</v>
      </c>
      <c r="L139" s="17">
        <f t="shared" si="20"/>
        <v>137.86195147175002</v>
      </c>
      <c r="M139" s="17">
        <f t="shared" si="20"/>
        <v>166.95715390824992</v>
      </c>
      <c r="N139" s="17">
        <f t="shared" si="20"/>
        <v>195.38872709524998</v>
      </c>
      <c r="O139" s="17">
        <f t="shared" si="20"/>
        <v>204.13016599524994</v>
      </c>
      <c r="P139" s="17">
        <f t="shared" si="20"/>
        <v>222.8898461200001</v>
      </c>
      <c r="Q139" s="17">
        <f t="shared" si="20"/>
        <v>238.10941888824988</v>
      </c>
      <c r="R139" s="17">
        <f t="shared" si="20"/>
        <v>264.42625810850006</v>
      </c>
      <c r="S139" s="17">
        <f t="shared" si="20"/>
        <v>306.76776968025001</v>
      </c>
      <c r="T139" s="17">
        <f t="shared" si="20"/>
        <v>313.74400993325003</v>
      </c>
      <c r="U139" s="86">
        <f>SUM(I139:T139)</f>
        <v>2694.2978368167496</v>
      </c>
    </row>
    <row r="140" spans="3:21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3:21" x14ac:dyDescent="0.25">
      <c r="C141" s="17"/>
      <c r="D141" s="17" t="s">
        <v>422</v>
      </c>
      <c r="E141" s="17"/>
      <c r="F141" s="17"/>
      <c r="G141" s="17"/>
      <c r="H141" s="17"/>
      <c r="I141" s="17">
        <f>'[39]2022-23'!$G$209/1000000</f>
        <v>454.92399587124999</v>
      </c>
      <c r="J141" s="17">
        <f>'[39]2022-23'!$L$209/1000000</f>
        <v>72.748668129999999</v>
      </c>
      <c r="K141" s="17">
        <f>'[39]2022-23'!$Q$209/1000000</f>
        <v>57.773566213749994</v>
      </c>
      <c r="L141" s="17">
        <f>'[39]2022-23'!$V$209/1000000</f>
        <v>147.37327622749999</v>
      </c>
      <c r="M141" s="17">
        <f>'[39]2022-23'!$AA$209/1000000</f>
        <v>214.56023970499999</v>
      </c>
      <c r="N141" s="17">
        <f>'[39]2022-23'!$AF$209/1000000</f>
        <v>220.32940193749999</v>
      </c>
      <c r="O141" s="17">
        <f>'[39]2022-23'!$AK$209/1000000</f>
        <v>44.756057776749998</v>
      </c>
      <c r="P141" s="17">
        <f>'[39]2022-23'!$AP$209/1000000</f>
        <v>10.25467627125</v>
      </c>
      <c r="Q141" s="17">
        <f>'[39]2022-23'!$AU$209/1000000</f>
        <v>177.98825196500002</v>
      </c>
      <c r="R141" s="17">
        <f>'[39]2022-23'!$AZ$209/1000000</f>
        <v>309.73061747874999</v>
      </c>
      <c r="S141" s="17">
        <f>'[39]2022-23'!$BE$209/1000000</f>
        <v>447.58282061624999</v>
      </c>
      <c r="T141" s="17">
        <f>'[39]2022-23'!$BJ$209/1000000</f>
        <v>611.57356635999997</v>
      </c>
      <c r="U141" s="17">
        <f t="shared" ref="U141:U151" si="21">+SUM(I141:T141)</f>
        <v>2769.5951385529997</v>
      </c>
    </row>
    <row r="142" spans="3:21" x14ac:dyDescent="0.25"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>
        <f t="shared" si="21"/>
        <v>0</v>
      </c>
    </row>
    <row r="143" spans="3:21" x14ac:dyDescent="0.25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>
        <f t="shared" si="21"/>
        <v>0</v>
      </c>
    </row>
    <row r="144" spans="3:21" x14ac:dyDescent="0.25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>
        <f t="shared" si="21"/>
        <v>0</v>
      </c>
    </row>
    <row r="145" spans="3:21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>
        <f t="shared" si="21"/>
        <v>0</v>
      </c>
    </row>
    <row r="146" spans="3:21" x14ac:dyDescent="0.25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>
        <f t="shared" si="21"/>
        <v>0</v>
      </c>
    </row>
    <row r="147" spans="3:21" x14ac:dyDescent="0.25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>
        <f t="shared" si="21"/>
        <v>0</v>
      </c>
    </row>
    <row r="148" spans="3:21" x14ac:dyDescent="0.25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>
        <f t="shared" si="21"/>
        <v>0</v>
      </c>
    </row>
    <row r="149" spans="3:21" x14ac:dyDescent="0.25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>
        <f t="shared" si="21"/>
        <v>0</v>
      </c>
    </row>
    <row r="150" spans="3:21" x14ac:dyDescent="0.25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>
        <f t="shared" si="21"/>
        <v>0</v>
      </c>
    </row>
    <row r="151" spans="3:21" x14ac:dyDescent="0.25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>
        <f t="shared" si="21"/>
        <v>0</v>
      </c>
    </row>
    <row r="152" spans="3:21" x14ac:dyDescent="0.25">
      <c r="C152" s="753" t="s">
        <v>423</v>
      </c>
      <c r="D152" s="754"/>
      <c r="E152" s="17">
        <f>SUM(E141:E151)</f>
        <v>0</v>
      </c>
      <c r="F152" s="17">
        <f t="shared" ref="F152:T152" si="22">SUM(F141:F151)</f>
        <v>0</v>
      </c>
      <c r="G152" s="17">
        <f t="shared" si="22"/>
        <v>0</v>
      </c>
      <c r="H152" s="17">
        <f t="shared" si="22"/>
        <v>0</v>
      </c>
      <c r="I152" s="17">
        <f t="shared" si="22"/>
        <v>454.92399587124999</v>
      </c>
      <c r="J152" s="17">
        <f t="shared" si="22"/>
        <v>72.748668129999999</v>
      </c>
      <c r="K152" s="17">
        <f t="shared" si="22"/>
        <v>57.773566213749994</v>
      </c>
      <c r="L152" s="17">
        <f t="shared" si="22"/>
        <v>147.37327622749999</v>
      </c>
      <c r="M152" s="17">
        <f t="shared" si="22"/>
        <v>214.56023970499999</v>
      </c>
      <c r="N152" s="17">
        <f t="shared" si="22"/>
        <v>220.32940193749999</v>
      </c>
      <c r="O152" s="17">
        <f t="shared" si="22"/>
        <v>44.756057776749998</v>
      </c>
      <c r="P152" s="17">
        <f t="shared" si="22"/>
        <v>10.25467627125</v>
      </c>
      <c r="Q152" s="17">
        <f t="shared" si="22"/>
        <v>177.98825196500002</v>
      </c>
      <c r="R152" s="17">
        <f t="shared" si="22"/>
        <v>309.73061747874999</v>
      </c>
      <c r="S152" s="17">
        <f t="shared" si="22"/>
        <v>447.58282061624999</v>
      </c>
      <c r="T152" s="17">
        <f t="shared" si="22"/>
        <v>611.57356635999997</v>
      </c>
      <c r="U152" s="86">
        <f>SUM(I152:T152)</f>
        <v>2769.5951385529997</v>
      </c>
    </row>
    <row r="153" spans="3:21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</row>
    <row r="154" spans="3:21" x14ac:dyDescent="0.25">
      <c r="C154" s="17" t="s">
        <v>425</v>
      </c>
      <c r="D154" s="17" t="s">
        <v>426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>
        <f t="shared" ref="U154:U155" si="23">+SUM(I154:T154)</f>
        <v>0</v>
      </c>
    </row>
    <row r="155" spans="3:21" x14ac:dyDescent="0.25">
      <c r="C155" s="17" t="s">
        <v>425</v>
      </c>
      <c r="D155" s="17" t="s">
        <v>427</v>
      </c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>
        <f t="shared" si="23"/>
        <v>0</v>
      </c>
    </row>
    <row r="156" spans="3:21" x14ac:dyDescent="0.25">
      <c r="C156" s="753" t="s">
        <v>428</v>
      </c>
      <c r="D156" s="754"/>
      <c r="E156" s="17">
        <f>SUM(E154:E155)</f>
        <v>0</v>
      </c>
      <c r="F156" s="17">
        <f t="shared" ref="F156:T156" si="24">SUM(F154:F155)</f>
        <v>0</v>
      </c>
      <c r="G156" s="17">
        <f t="shared" si="24"/>
        <v>0</v>
      </c>
      <c r="H156" s="17">
        <f t="shared" si="24"/>
        <v>0</v>
      </c>
      <c r="I156" s="17">
        <f t="shared" si="24"/>
        <v>0</v>
      </c>
      <c r="J156" s="17">
        <f t="shared" si="24"/>
        <v>0</v>
      </c>
      <c r="K156" s="17">
        <f t="shared" si="24"/>
        <v>0</v>
      </c>
      <c r="L156" s="17">
        <f t="shared" si="24"/>
        <v>0</v>
      </c>
      <c r="M156" s="17">
        <f t="shared" si="24"/>
        <v>0</v>
      </c>
      <c r="N156" s="17">
        <f t="shared" si="24"/>
        <v>0</v>
      </c>
      <c r="O156" s="17">
        <f t="shared" si="24"/>
        <v>0</v>
      </c>
      <c r="P156" s="17">
        <f t="shared" si="24"/>
        <v>0</v>
      </c>
      <c r="Q156" s="17">
        <f t="shared" si="24"/>
        <v>0</v>
      </c>
      <c r="R156" s="17">
        <f t="shared" si="24"/>
        <v>0</v>
      </c>
      <c r="S156" s="17">
        <f t="shared" si="24"/>
        <v>0</v>
      </c>
      <c r="T156" s="17">
        <f t="shared" si="24"/>
        <v>0</v>
      </c>
      <c r="U156" s="86">
        <f>U154-U155</f>
        <v>0</v>
      </c>
    </row>
    <row r="157" spans="3:21" x14ac:dyDescent="0.25">
      <c r="C157" s="753" t="s">
        <v>220</v>
      </c>
      <c r="D157" s="754"/>
      <c r="E157" s="17">
        <f t="shared" ref="E157:U157" si="25">E48+E94+E103+E113+E139+E152+E156</f>
        <v>28466.080000000002</v>
      </c>
      <c r="F157" s="17">
        <f t="shared" si="25"/>
        <v>0</v>
      </c>
      <c r="G157" s="17">
        <f t="shared" si="25"/>
        <v>16355.121500000001</v>
      </c>
      <c r="H157" s="17">
        <f t="shared" si="25"/>
        <v>4198.4308367499998</v>
      </c>
      <c r="I157" s="17">
        <f t="shared" si="25"/>
        <v>2175.1830088135198</v>
      </c>
      <c r="J157" s="17">
        <f t="shared" si="25"/>
        <v>1759.6371176146954</v>
      </c>
      <c r="K157" s="17">
        <f t="shared" si="25"/>
        <v>1578.8718313303139</v>
      </c>
      <c r="L157" s="17">
        <f t="shared" si="25"/>
        <v>1542.3672381006543</v>
      </c>
      <c r="M157" s="17">
        <f t="shared" si="25"/>
        <v>1951.6613177509362</v>
      </c>
      <c r="N157" s="17">
        <f t="shared" si="25"/>
        <v>1992.7592069492925</v>
      </c>
      <c r="O157" s="17">
        <f t="shared" si="25"/>
        <v>1811.5475495448086</v>
      </c>
      <c r="P157" s="17">
        <f t="shared" si="25"/>
        <v>1556.8468469029381</v>
      </c>
      <c r="Q157" s="17">
        <f t="shared" si="25"/>
        <v>1869.3488354063481</v>
      </c>
      <c r="R157" s="17">
        <f t="shared" si="25"/>
        <v>2137.7417796023651</v>
      </c>
      <c r="S157" s="17">
        <f t="shared" si="25"/>
        <v>2192.7371787624388</v>
      </c>
      <c r="T157" s="17">
        <f t="shared" si="25"/>
        <v>2555.8390082473511</v>
      </c>
      <c r="U157" s="86">
        <f t="shared" si="25"/>
        <v>23124.540919025661</v>
      </c>
    </row>
    <row r="160" spans="3:21" x14ac:dyDescent="0.25">
      <c r="D160" s="22"/>
      <c r="E160" s="22"/>
      <c r="F160" s="22"/>
      <c r="G160" s="22"/>
      <c r="H160" s="22"/>
      <c r="I160" s="22"/>
    </row>
    <row r="161" spans="4:9" x14ac:dyDescent="0.25">
      <c r="D161" s="24"/>
      <c r="E161" s="24"/>
      <c r="F161" s="24"/>
      <c r="G161" s="24"/>
      <c r="H161" s="24"/>
      <c r="I161" s="24"/>
    </row>
    <row r="162" spans="4:9" x14ac:dyDescent="0.25">
      <c r="E162" s="24"/>
      <c r="F162" s="24"/>
      <c r="G162" s="24"/>
      <c r="H162" s="24"/>
      <c r="I162" s="24"/>
    </row>
    <row r="163" spans="4:9" x14ac:dyDescent="0.25">
      <c r="E163" s="24"/>
      <c r="F163" s="24"/>
      <c r="G163" s="24"/>
      <c r="H163" s="24"/>
      <c r="I163" s="24"/>
    </row>
  </sheetData>
  <mergeCells count="34">
    <mergeCell ref="C93:D93"/>
    <mergeCell ref="C94:D94"/>
    <mergeCell ref="C95:D95"/>
    <mergeCell ref="I5:U5"/>
    <mergeCell ref="C7:D7"/>
    <mergeCell ref="C5:C6"/>
    <mergeCell ref="D5:D6"/>
    <mergeCell ref="C8:D8"/>
    <mergeCell ref="E5:E6"/>
    <mergeCell ref="F5:F6"/>
    <mergeCell ref="G5:G6"/>
    <mergeCell ref="H5:H6"/>
    <mergeCell ref="C29:C46"/>
    <mergeCell ref="C51:C59"/>
    <mergeCell ref="C9:C26"/>
    <mergeCell ref="C79:C82"/>
    <mergeCell ref="C103:D103"/>
    <mergeCell ref="C156:D156"/>
    <mergeCell ref="C157:D157"/>
    <mergeCell ref="C113:D113"/>
    <mergeCell ref="C114:D114"/>
    <mergeCell ref="C139:D139"/>
    <mergeCell ref="C140:D140"/>
    <mergeCell ref="C152:D152"/>
    <mergeCell ref="C153:D153"/>
    <mergeCell ref="C104:D104"/>
    <mergeCell ref="C50:D50"/>
    <mergeCell ref="C77:D77"/>
    <mergeCell ref="C78:D78"/>
    <mergeCell ref="C27:D27"/>
    <mergeCell ref="C28:D28"/>
    <mergeCell ref="C47:D47"/>
    <mergeCell ref="C48:D48"/>
    <mergeCell ref="C49:D4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V162"/>
  <sheetViews>
    <sheetView showGridLines="0" topLeftCell="A109" zoomScale="68" zoomScaleNormal="70" workbookViewId="0">
      <selection activeCell="E119" sqref="E119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22.33203125" style="4" customWidth="1"/>
    <col min="4" max="4" width="41.33203125" style="4" customWidth="1"/>
    <col min="5" max="7" width="16.44140625" style="4" customWidth="1"/>
    <col min="8" max="8" width="16.6640625" style="4" customWidth="1"/>
    <col min="9" max="9" width="13.6640625" style="4" bestFit="1" customWidth="1"/>
    <col min="10" max="10" width="12.5546875" style="4" bestFit="1" customWidth="1"/>
    <col min="11" max="11" width="13.44140625" style="4" bestFit="1" customWidth="1"/>
    <col min="12" max="12" width="13.6640625" style="4" bestFit="1" customWidth="1"/>
    <col min="13" max="13" width="12.5546875" style="4" bestFit="1" customWidth="1"/>
    <col min="14" max="14" width="14.6640625" style="4" customWidth="1"/>
    <col min="15" max="15" width="12.5546875" style="4" customWidth="1"/>
    <col min="16" max="16" width="11.6640625" style="4" bestFit="1" customWidth="1"/>
    <col min="17" max="17" width="13.6640625" style="4" bestFit="1" customWidth="1"/>
    <col min="18" max="20" width="11.6640625" style="4" bestFit="1" customWidth="1"/>
    <col min="21" max="21" width="13.6640625" style="4" customWidth="1"/>
    <col min="22" max="22" width="12.44140625" style="4" customWidth="1"/>
    <col min="23" max="23" width="12.6640625" style="4" customWidth="1"/>
    <col min="24" max="16384" width="9.33203125" style="4"/>
  </cols>
  <sheetData>
    <row r="2" spans="2:21" x14ac:dyDescent="0.25">
      <c r="I2" s="23" t="s">
        <v>38</v>
      </c>
    </row>
    <row r="3" spans="2:21" x14ac:dyDescent="0.25">
      <c r="I3" s="25" t="s">
        <v>435</v>
      </c>
    </row>
    <row r="4" spans="2:21" x14ac:dyDescent="0.25">
      <c r="C4" s="762" t="s">
        <v>346</v>
      </c>
      <c r="D4" s="762" t="s">
        <v>347</v>
      </c>
      <c r="E4" s="758" t="s">
        <v>430</v>
      </c>
      <c r="F4" s="758" t="s">
        <v>431</v>
      </c>
      <c r="G4" s="758" t="s">
        <v>432</v>
      </c>
      <c r="H4" s="758" t="s">
        <v>433</v>
      </c>
      <c r="I4" s="768" t="s">
        <v>225</v>
      </c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</row>
    <row r="5" spans="2:21" x14ac:dyDescent="0.25">
      <c r="C5" s="764"/>
      <c r="D5" s="764"/>
      <c r="E5" s="792"/>
      <c r="F5" s="792"/>
      <c r="G5" s="792"/>
      <c r="H5" s="792"/>
      <c r="I5" s="13" t="s">
        <v>239</v>
      </c>
      <c r="J5" s="13" t="s">
        <v>240</v>
      </c>
      <c r="K5" s="13" t="s">
        <v>241</v>
      </c>
      <c r="L5" s="13" t="s">
        <v>242</v>
      </c>
      <c r="M5" s="13" t="s">
        <v>243</v>
      </c>
      <c r="N5" s="13" t="s">
        <v>244</v>
      </c>
      <c r="O5" s="13" t="s">
        <v>245</v>
      </c>
      <c r="P5" s="13" t="s">
        <v>246</v>
      </c>
      <c r="Q5" s="13" t="s">
        <v>247</v>
      </c>
      <c r="R5" s="13" t="s">
        <v>248</v>
      </c>
      <c r="S5" s="13" t="s">
        <v>249</v>
      </c>
      <c r="T5" s="13" t="s">
        <v>250</v>
      </c>
      <c r="U5" s="13" t="s">
        <v>251</v>
      </c>
    </row>
    <row r="6" spans="2:21" x14ac:dyDescent="0.25">
      <c r="C6" s="766"/>
      <c r="D6" s="766"/>
      <c r="E6" s="793"/>
      <c r="F6" s="793"/>
      <c r="G6" s="793"/>
      <c r="H6" s="793"/>
      <c r="I6" s="13" t="s">
        <v>24</v>
      </c>
      <c r="J6" s="13" t="s">
        <v>24</v>
      </c>
      <c r="K6" s="13" t="s">
        <v>24</v>
      </c>
      <c r="L6" s="13" t="s">
        <v>24</v>
      </c>
      <c r="M6" s="13" t="s">
        <v>24</v>
      </c>
      <c r="N6" s="13" t="s">
        <v>24</v>
      </c>
      <c r="O6" s="13" t="s">
        <v>25</v>
      </c>
      <c r="P6" s="13" t="s">
        <v>25</v>
      </c>
      <c r="Q6" s="13" t="s">
        <v>25</v>
      </c>
      <c r="R6" s="13" t="s">
        <v>25</v>
      </c>
      <c r="S6" s="13" t="s">
        <v>25</v>
      </c>
      <c r="T6" s="13" t="s">
        <v>25</v>
      </c>
      <c r="U6" s="13" t="s">
        <v>25</v>
      </c>
    </row>
    <row r="7" spans="2:21" x14ac:dyDescent="0.25">
      <c r="B7" s="60"/>
      <c r="C7" s="800" t="s">
        <v>348</v>
      </c>
      <c r="D7" s="801"/>
      <c r="E7" s="59"/>
      <c r="F7" s="59"/>
      <c r="G7" s="58"/>
      <c r="H7" s="59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2:21" x14ac:dyDescent="0.25">
      <c r="C8" s="753" t="s">
        <v>349</v>
      </c>
      <c r="D8" s="754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2:21" ht="14.25" customHeight="1" x14ac:dyDescent="0.25">
      <c r="B9" s="60"/>
      <c r="C9" s="802" t="s">
        <v>350</v>
      </c>
      <c r="D9" s="59" t="s">
        <v>351</v>
      </c>
      <c r="E9" s="110">
        <v>500</v>
      </c>
      <c r="F9" s="110"/>
      <c r="G9" s="110">
        <f>E9</f>
        <v>500</v>
      </c>
      <c r="H9" s="110">
        <f>G9*0.2945</f>
        <v>147.25</v>
      </c>
      <c r="I9" s="66">
        <f t="shared" ref="I9:I15" si="0">$H9*0.85*30*24/1000</f>
        <v>90.117000000000004</v>
      </c>
      <c r="J9" s="66">
        <f t="shared" ref="J9:J15" si="1">$H9*0.85*31*24/1000</f>
        <v>93.120899999999992</v>
      </c>
      <c r="K9" s="66">
        <f t="shared" ref="K9:K15" si="2">$H9*0.85*30*24/1000</f>
        <v>90.117000000000004</v>
      </c>
      <c r="L9" s="66">
        <f t="shared" ref="L9:M15" si="3">$H9*0.85*31*24/1000</f>
        <v>93.120899999999992</v>
      </c>
      <c r="M9" s="66">
        <f t="shared" si="3"/>
        <v>93.120899999999992</v>
      </c>
      <c r="N9" s="66">
        <f t="shared" ref="N9:N15" si="4">$H9*0.85*30*24/1000</f>
        <v>90.117000000000004</v>
      </c>
      <c r="O9" s="66">
        <f t="shared" ref="O9:O15" si="5">$H9*0.85*31*24/1000</f>
        <v>93.120899999999992</v>
      </c>
      <c r="P9" s="66">
        <f t="shared" ref="P9:P15" si="6">$H9*0.85*30*24/1000</f>
        <v>90.117000000000004</v>
      </c>
      <c r="Q9" s="66">
        <f t="shared" ref="Q9:R15" si="7">$H9*0.85*31*24/1000</f>
        <v>93.120899999999992</v>
      </c>
      <c r="R9" s="66">
        <f t="shared" si="7"/>
        <v>93.120899999999992</v>
      </c>
      <c r="S9" s="66">
        <f t="shared" ref="S9:S15" si="8">$H9*0.85*28*24/1000</f>
        <v>84.109200000000001</v>
      </c>
      <c r="T9" s="66">
        <f t="shared" ref="T9:T15" si="9">$H9*0.85*31*24/1000</f>
        <v>93.120899999999992</v>
      </c>
      <c r="U9" s="17">
        <f>+SUM(I9:T9)</f>
        <v>1096.4234999999999</v>
      </c>
    </row>
    <row r="10" spans="2:21" ht="14.25" customHeight="1" x14ac:dyDescent="0.25">
      <c r="B10" s="60"/>
      <c r="C10" s="803"/>
      <c r="D10" s="59" t="s">
        <v>352</v>
      </c>
      <c r="E10" s="110">
        <v>500</v>
      </c>
      <c r="F10" s="110"/>
      <c r="G10" s="110">
        <f t="shared" ref="G10:G16" si="10">E10</f>
        <v>500</v>
      </c>
      <c r="H10" s="110">
        <f t="shared" ref="H10:H16" si="11">G10*0.2945</f>
        <v>147.25</v>
      </c>
      <c r="I10" s="66">
        <f t="shared" si="0"/>
        <v>90.117000000000004</v>
      </c>
      <c r="J10" s="66">
        <f t="shared" si="1"/>
        <v>93.120899999999992</v>
      </c>
      <c r="K10" s="66">
        <f t="shared" si="2"/>
        <v>90.117000000000004</v>
      </c>
      <c r="L10" s="66">
        <f t="shared" si="3"/>
        <v>93.120899999999992</v>
      </c>
      <c r="M10" s="66">
        <f t="shared" si="3"/>
        <v>93.120899999999992</v>
      </c>
      <c r="N10" s="66">
        <f t="shared" si="4"/>
        <v>90.117000000000004</v>
      </c>
      <c r="O10" s="66">
        <f t="shared" si="5"/>
        <v>93.120899999999992</v>
      </c>
      <c r="P10" s="66">
        <f t="shared" si="6"/>
        <v>90.117000000000004</v>
      </c>
      <c r="Q10" s="66">
        <f t="shared" si="7"/>
        <v>93.120899999999992</v>
      </c>
      <c r="R10" s="66">
        <f t="shared" si="7"/>
        <v>93.120899999999992</v>
      </c>
      <c r="S10" s="66">
        <f t="shared" si="8"/>
        <v>84.109200000000001</v>
      </c>
      <c r="T10" s="66">
        <f t="shared" si="9"/>
        <v>93.120899999999992</v>
      </c>
      <c r="U10" s="17">
        <f t="shared" ref="U10:U46" si="12">+SUM(I10:T10)</f>
        <v>1096.4234999999999</v>
      </c>
    </row>
    <row r="11" spans="2:21" ht="14.25" customHeight="1" x14ac:dyDescent="0.25">
      <c r="B11" s="60"/>
      <c r="C11" s="803"/>
      <c r="D11" s="59" t="s">
        <v>353</v>
      </c>
      <c r="E11" s="110">
        <v>800</v>
      </c>
      <c r="F11" s="110"/>
      <c r="G11" s="110">
        <f t="shared" si="10"/>
        <v>800</v>
      </c>
      <c r="H11" s="110">
        <f t="shared" si="11"/>
        <v>235.6</v>
      </c>
      <c r="I11" s="66">
        <f t="shared" si="0"/>
        <v>144.18719999999999</v>
      </c>
      <c r="J11" s="66">
        <f t="shared" si="1"/>
        <v>148.99343999999999</v>
      </c>
      <c r="K11" s="66">
        <f t="shared" si="2"/>
        <v>144.18719999999999</v>
      </c>
      <c r="L11" s="66">
        <f t="shared" si="3"/>
        <v>148.99343999999999</v>
      </c>
      <c r="M11" s="66">
        <f t="shared" si="3"/>
        <v>148.99343999999999</v>
      </c>
      <c r="N11" s="66">
        <f t="shared" si="4"/>
        <v>144.18719999999999</v>
      </c>
      <c r="O11" s="66">
        <f t="shared" si="5"/>
        <v>148.99343999999999</v>
      </c>
      <c r="P11" s="66">
        <f t="shared" si="6"/>
        <v>144.18719999999999</v>
      </c>
      <c r="Q11" s="66">
        <f t="shared" si="7"/>
        <v>148.99343999999999</v>
      </c>
      <c r="R11" s="66">
        <f t="shared" si="7"/>
        <v>148.99343999999999</v>
      </c>
      <c r="S11" s="66">
        <f t="shared" si="8"/>
        <v>134.57472000000001</v>
      </c>
      <c r="T11" s="66">
        <f t="shared" si="9"/>
        <v>148.99343999999999</v>
      </c>
      <c r="U11" s="17">
        <f t="shared" si="12"/>
        <v>1754.2775999999999</v>
      </c>
    </row>
    <row r="12" spans="2:21" ht="14.25" customHeight="1" x14ac:dyDescent="0.25">
      <c r="B12" s="60"/>
      <c r="C12" s="803"/>
      <c r="D12" s="59" t="s">
        <v>354</v>
      </c>
      <c r="E12" s="109">
        <v>62.5</v>
      </c>
      <c r="F12" s="110"/>
      <c r="G12" s="109">
        <f t="shared" si="10"/>
        <v>62.5</v>
      </c>
      <c r="H12" s="109">
        <f t="shared" si="11"/>
        <v>18.40625</v>
      </c>
      <c r="I12" s="66">
        <f t="shared" si="0"/>
        <v>11.264625000000001</v>
      </c>
      <c r="J12" s="66">
        <f t="shared" si="1"/>
        <v>11.640112499999999</v>
      </c>
      <c r="K12" s="66">
        <f t="shared" si="2"/>
        <v>11.264625000000001</v>
      </c>
      <c r="L12" s="66">
        <f t="shared" si="3"/>
        <v>11.640112499999999</v>
      </c>
      <c r="M12" s="66">
        <f t="shared" si="3"/>
        <v>11.640112499999999</v>
      </c>
      <c r="N12" s="66">
        <f t="shared" si="4"/>
        <v>11.264625000000001</v>
      </c>
      <c r="O12" s="66">
        <f t="shared" si="5"/>
        <v>11.640112499999999</v>
      </c>
      <c r="P12" s="66">
        <f t="shared" si="6"/>
        <v>11.264625000000001</v>
      </c>
      <c r="Q12" s="66">
        <f t="shared" si="7"/>
        <v>11.640112499999999</v>
      </c>
      <c r="R12" s="66">
        <f t="shared" si="7"/>
        <v>11.640112499999999</v>
      </c>
      <c r="S12" s="66">
        <f t="shared" si="8"/>
        <v>10.51365</v>
      </c>
      <c r="T12" s="66">
        <f t="shared" si="9"/>
        <v>11.640112499999999</v>
      </c>
      <c r="U12" s="17">
        <f t="shared" si="12"/>
        <v>137.05293749999998</v>
      </c>
    </row>
    <row r="13" spans="2:21" ht="14.25" customHeight="1" x14ac:dyDescent="0.25">
      <c r="B13" s="60"/>
      <c r="C13" s="803"/>
      <c r="D13" s="59" t="s">
        <v>355</v>
      </c>
      <c r="E13" s="110">
        <v>500</v>
      </c>
      <c r="F13" s="110"/>
      <c r="G13" s="110">
        <f t="shared" si="10"/>
        <v>500</v>
      </c>
      <c r="H13" s="110">
        <f t="shared" si="11"/>
        <v>147.25</v>
      </c>
      <c r="I13" s="66">
        <f t="shared" si="0"/>
        <v>90.117000000000004</v>
      </c>
      <c r="J13" s="66">
        <f t="shared" si="1"/>
        <v>93.120899999999992</v>
      </c>
      <c r="K13" s="66">
        <f t="shared" si="2"/>
        <v>90.117000000000004</v>
      </c>
      <c r="L13" s="66">
        <f t="shared" si="3"/>
        <v>93.120899999999992</v>
      </c>
      <c r="M13" s="66">
        <f t="shared" si="3"/>
        <v>93.120899999999992</v>
      </c>
      <c r="N13" s="66">
        <f t="shared" si="4"/>
        <v>90.117000000000004</v>
      </c>
      <c r="O13" s="66">
        <f t="shared" si="5"/>
        <v>93.120899999999992</v>
      </c>
      <c r="P13" s="66">
        <f t="shared" si="6"/>
        <v>90.117000000000004</v>
      </c>
      <c r="Q13" s="66">
        <f t="shared" si="7"/>
        <v>93.120899999999992</v>
      </c>
      <c r="R13" s="66">
        <f t="shared" si="7"/>
        <v>93.120899999999992</v>
      </c>
      <c r="S13" s="66">
        <f t="shared" si="8"/>
        <v>84.109200000000001</v>
      </c>
      <c r="T13" s="66">
        <f t="shared" si="9"/>
        <v>93.120899999999992</v>
      </c>
      <c r="U13" s="17">
        <f t="shared" si="12"/>
        <v>1096.4234999999999</v>
      </c>
    </row>
    <row r="14" spans="2:21" ht="14.25" customHeight="1" x14ac:dyDescent="0.25">
      <c r="B14" s="60"/>
      <c r="C14" s="803"/>
      <c r="D14" s="59" t="s">
        <v>356</v>
      </c>
      <c r="E14" s="110">
        <v>600</v>
      </c>
      <c r="F14" s="110"/>
      <c r="G14" s="110">
        <f t="shared" si="10"/>
        <v>600</v>
      </c>
      <c r="H14" s="110">
        <f t="shared" si="11"/>
        <v>176.7</v>
      </c>
      <c r="I14" s="66">
        <f t="shared" si="0"/>
        <v>108.1404</v>
      </c>
      <c r="J14" s="66">
        <f t="shared" si="1"/>
        <v>111.74508</v>
      </c>
      <c r="K14" s="66">
        <f t="shared" si="2"/>
        <v>108.1404</v>
      </c>
      <c r="L14" s="66">
        <f t="shared" si="3"/>
        <v>111.74508</v>
      </c>
      <c r="M14" s="66">
        <f t="shared" si="3"/>
        <v>111.74508</v>
      </c>
      <c r="N14" s="66">
        <f t="shared" si="4"/>
        <v>108.1404</v>
      </c>
      <c r="O14" s="66">
        <f t="shared" si="5"/>
        <v>111.74508</v>
      </c>
      <c r="P14" s="66">
        <f t="shared" si="6"/>
        <v>108.1404</v>
      </c>
      <c r="Q14" s="66">
        <f t="shared" si="7"/>
        <v>111.74508</v>
      </c>
      <c r="R14" s="66">
        <f t="shared" si="7"/>
        <v>111.74508</v>
      </c>
      <c r="S14" s="66">
        <f t="shared" si="8"/>
        <v>100.93104000000001</v>
      </c>
      <c r="T14" s="66">
        <f t="shared" si="9"/>
        <v>111.74508</v>
      </c>
      <c r="U14" s="17">
        <f t="shared" si="12"/>
        <v>1315.7082</v>
      </c>
    </row>
    <row r="15" spans="2:21" ht="14.25" customHeight="1" x14ac:dyDescent="0.25">
      <c r="B15" s="60"/>
      <c r="C15" s="803"/>
      <c r="D15" s="59" t="s">
        <v>357</v>
      </c>
      <c r="E15" s="110">
        <v>1080</v>
      </c>
      <c r="F15" s="110"/>
      <c r="G15" s="110">
        <f t="shared" si="10"/>
        <v>1080</v>
      </c>
      <c r="H15" s="110">
        <f t="shared" si="11"/>
        <v>318.06</v>
      </c>
      <c r="I15" s="66">
        <f t="shared" si="0"/>
        <v>194.65271999999999</v>
      </c>
      <c r="J15" s="66">
        <f t="shared" si="1"/>
        <v>201.14114399999997</v>
      </c>
      <c r="K15" s="66">
        <f t="shared" si="2"/>
        <v>194.65271999999999</v>
      </c>
      <c r="L15" s="66">
        <f t="shared" si="3"/>
        <v>201.14114399999997</v>
      </c>
      <c r="M15" s="66">
        <f t="shared" si="3"/>
        <v>201.14114399999997</v>
      </c>
      <c r="N15" s="66">
        <f t="shared" si="4"/>
        <v>194.65271999999999</v>
      </c>
      <c r="O15" s="66">
        <f t="shared" si="5"/>
        <v>201.14114399999997</v>
      </c>
      <c r="P15" s="66">
        <f t="shared" si="6"/>
        <v>194.65271999999999</v>
      </c>
      <c r="Q15" s="66">
        <f t="shared" si="7"/>
        <v>201.14114399999997</v>
      </c>
      <c r="R15" s="66">
        <f t="shared" si="7"/>
        <v>201.14114399999997</v>
      </c>
      <c r="S15" s="66">
        <f t="shared" si="8"/>
        <v>181.67587199999997</v>
      </c>
      <c r="T15" s="66">
        <f t="shared" si="9"/>
        <v>201.14114399999997</v>
      </c>
      <c r="U15" s="17">
        <f t="shared" si="12"/>
        <v>2368.2747599999998</v>
      </c>
    </row>
    <row r="16" spans="2:21" ht="14.25" customHeight="1" x14ac:dyDescent="0.25">
      <c r="B16" s="60"/>
      <c r="C16" s="803"/>
      <c r="D16" s="59" t="s">
        <v>358</v>
      </c>
      <c r="E16" s="110">
        <v>1600</v>
      </c>
      <c r="F16" s="110"/>
      <c r="G16" s="110">
        <f t="shared" si="10"/>
        <v>1600</v>
      </c>
      <c r="H16" s="110">
        <f t="shared" si="11"/>
        <v>471.2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>
        <f t="shared" si="12"/>
        <v>0</v>
      </c>
    </row>
    <row r="17" spans="2:21" ht="14.25" customHeight="1" x14ac:dyDescent="0.25">
      <c r="B17" s="60"/>
      <c r="C17" s="803"/>
      <c r="D17" s="59"/>
      <c r="E17" s="110"/>
      <c r="F17" s="59"/>
      <c r="G17" s="59"/>
      <c r="H17" s="59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f t="shared" si="12"/>
        <v>0</v>
      </c>
    </row>
    <row r="18" spans="2:21" ht="14.25" customHeight="1" x14ac:dyDescent="0.25">
      <c r="B18" s="60"/>
      <c r="C18" s="803"/>
      <c r="D18" s="59"/>
      <c r="E18" s="59"/>
      <c r="F18" s="59"/>
      <c r="G18" s="59"/>
      <c r="H18" s="59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>
        <f>+SUM(I18:T18)</f>
        <v>0</v>
      </c>
    </row>
    <row r="19" spans="2:21" ht="14.25" customHeight="1" x14ac:dyDescent="0.25">
      <c r="B19" s="60"/>
      <c r="C19" s="803"/>
      <c r="D19" s="59"/>
      <c r="E19" s="59"/>
      <c r="F19" s="59"/>
      <c r="G19" s="59"/>
      <c r="H19" s="59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>
        <f t="shared" si="12"/>
        <v>0</v>
      </c>
    </row>
    <row r="20" spans="2:21" ht="14.25" customHeight="1" x14ac:dyDescent="0.25">
      <c r="B20" s="60"/>
      <c r="C20" s="803"/>
      <c r="D20" s="59"/>
      <c r="E20" s="59"/>
      <c r="F20" s="59"/>
      <c r="G20" s="59"/>
      <c r="H20" s="59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>
        <f t="shared" si="12"/>
        <v>0</v>
      </c>
    </row>
    <row r="21" spans="2:21" ht="14.25" customHeight="1" x14ac:dyDescent="0.25">
      <c r="B21" s="60"/>
      <c r="C21" s="803"/>
      <c r="D21" s="59"/>
      <c r="E21" s="59"/>
      <c r="F21" s="59"/>
      <c r="G21" s="59"/>
      <c r="H21" s="59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>
        <f t="shared" si="12"/>
        <v>0</v>
      </c>
    </row>
    <row r="22" spans="2:21" ht="14.25" customHeight="1" x14ac:dyDescent="0.25">
      <c r="B22" s="60"/>
      <c r="C22" s="803"/>
      <c r="D22" s="59"/>
      <c r="E22" s="59"/>
      <c r="F22" s="59"/>
      <c r="G22" s="59"/>
      <c r="H22" s="59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>
        <f t="shared" si="12"/>
        <v>0</v>
      </c>
    </row>
    <row r="23" spans="2:21" ht="14.25" customHeight="1" x14ac:dyDescent="0.25">
      <c r="B23" s="60"/>
      <c r="C23" s="803"/>
      <c r="D23" s="59"/>
      <c r="E23" s="59"/>
      <c r="F23" s="59"/>
      <c r="G23" s="59"/>
      <c r="H23" s="59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>
        <f t="shared" si="12"/>
        <v>0</v>
      </c>
    </row>
    <row r="24" spans="2:21" ht="14.25" customHeight="1" x14ac:dyDescent="0.25">
      <c r="B24" s="60"/>
      <c r="C24" s="803"/>
      <c r="D24" s="59"/>
      <c r="E24" s="59"/>
      <c r="F24" s="59"/>
      <c r="G24" s="59"/>
      <c r="H24" s="5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>
        <f t="shared" si="12"/>
        <v>0</v>
      </c>
    </row>
    <row r="25" spans="2:21" ht="14.25" customHeight="1" x14ac:dyDescent="0.25">
      <c r="B25" s="60"/>
      <c r="C25" s="803"/>
      <c r="D25" s="59"/>
      <c r="E25" s="59"/>
      <c r="F25" s="59"/>
      <c r="G25" s="59"/>
      <c r="H25" s="5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>
        <f t="shared" si="12"/>
        <v>0</v>
      </c>
    </row>
    <row r="26" spans="2:21" ht="14.25" customHeight="1" x14ac:dyDescent="0.25">
      <c r="B26" s="60"/>
      <c r="C26" s="804"/>
      <c r="D26" s="59"/>
      <c r="E26" s="59"/>
      <c r="F26" s="59"/>
      <c r="G26" s="59"/>
      <c r="H26" s="59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>
        <f t="shared" si="12"/>
        <v>0</v>
      </c>
    </row>
    <row r="27" spans="2:21" x14ac:dyDescent="0.25">
      <c r="C27" s="751" t="s">
        <v>212</v>
      </c>
      <c r="D27" s="752"/>
      <c r="E27" s="17">
        <f>SUM(E9:E26)</f>
        <v>5642.5</v>
      </c>
      <c r="F27" s="17">
        <f t="shared" ref="F27:T27" si="13">SUM(F9:F26)</f>
        <v>0</v>
      </c>
      <c r="G27" s="17">
        <f t="shared" si="13"/>
        <v>5642.5</v>
      </c>
      <c r="H27" s="17">
        <f t="shared" si="13"/>
        <v>1661.7162499999999</v>
      </c>
      <c r="I27" s="17">
        <f t="shared" si="13"/>
        <v>728.59594500000003</v>
      </c>
      <c r="J27" s="17">
        <f t="shared" si="13"/>
        <v>752.88247649999994</v>
      </c>
      <c r="K27" s="17">
        <f t="shared" si="13"/>
        <v>728.59594500000003</v>
      </c>
      <c r="L27" s="17">
        <f t="shared" si="13"/>
        <v>752.88247649999994</v>
      </c>
      <c r="M27" s="17">
        <f t="shared" si="13"/>
        <v>752.88247649999994</v>
      </c>
      <c r="N27" s="17">
        <f t="shared" si="13"/>
        <v>728.59594500000003</v>
      </c>
      <c r="O27" s="17">
        <f t="shared" si="13"/>
        <v>752.88247649999994</v>
      </c>
      <c r="P27" s="17">
        <f t="shared" si="13"/>
        <v>728.59594500000003</v>
      </c>
      <c r="Q27" s="17">
        <f t="shared" si="13"/>
        <v>752.88247649999994</v>
      </c>
      <c r="R27" s="17">
        <f t="shared" si="13"/>
        <v>752.88247649999994</v>
      </c>
      <c r="S27" s="17">
        <f t="shared" si="13"/>
        <v>680.02288199999998</v>
      </c>
      <c r="T27" s="17">
        <f t="shared" si="13"/>
        <v>752.88247649999994</v>
      </c>
      <c r="U27" s="86">
        <f>SUM(I27:T27)</f>
        <v>8864.5839974999999</v>
      </c>
    </row>
    <row r="28" spans="2:21" x14ac:dyDescent="0.25">
      <c r="C28" s="753" t="s">
        <v>359</v>
      </c>
      <c r="D28" s="75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2:21" x14ac:dyDescent="0.25">
      <c r="C29" s="805" t="s">
        <v>350</v>
      </c>
      <c r="D29" s="17" t="s">
        <v>360</v>
      </c>
      <c r="E29" s="111">
        <v>234</v>
      </c>
      <c r="F29" s="111"/>
      <c r="G29" s="111">
        <f>117</f>
        <v>117</v>
      </c>
      <c r="H29" s="111">
        <f>G29*0.2945</f>
        <v>34.456499999999998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>
        <f t="shared" si="12"/>
        <v>0</v>
      </c>
    </row>
    <row r="30" spans="2:21" x14ac:dyDescent="0.25">
      <c r="C30" s="806"/>
      <c r="D30" s="17" t="s">
        <v>361</v>
      </c>
      <c r="E30" s="66">
        <v>875.6</v>
      </c>
      <c r="F30" s="111"/>
      <c r="G30" s="66">
        <v>875.6</v>
      </c>
      <c r="H30" s="111">
        <f t="shared" ref="H30:H36" si="14">G30*0.2945</f>
        <v>257.86419999999998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>
        <f t="shared" si="12"/>
        <v>0</v>
      </c>
    </row>
    <row r="31" spans="2:21" x14ac:dyDescent="0.25">
      <c r="C31" s="806"/>
      <c r="D31" s="17" t="s">
        <v>362</v>
      </c>
      <c r="E31" s="111">
        <v>900</v>
      </c>
      <c r="F31" s="111"/>
      <c r="G31" s="111">
        <v>900</v>
      </c>
      <c r="H31" s="111">
        <f t="shared" si="14"/>
        <v>265.05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>
        <f t="shared" si="12"/>
        <v>0</v>
      </c>
    </row>
    <row r="32" spans="2:21" x14ac:dyDescent="0.25">
      <c r="C32" s="806"/>
      <c r="D32" s="17" t="s">
        <v>363</v>
      </c>
      <c r="E32" s="111">
        <v>240</v>
      </c>
      <c r="F32" s="111"/>
      <c r="G32" s="111">
        <v>240</v>
      </c>
      <c r="H32" s="111">
        <f t="shared" si="14"/>
        <v>70.679999999999993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>
        <f t="shared" si="12"/>
        <v>0</v>
      </c>
    </row>
    <row r="33" spans="3:21" x14ac:dyDescent="0.25">
      <c r="C33" s="806"/>
      <c r="D33" s="17" t="s">
        <v>364</v>
      </c>
      <c r="E33" s="111">
        <v>120</v>
      </c>
      <c r="F33" s="111"/>
      <c r="G33" s="111">
        <v>120</v>
      </c>
      <c r="H33" s="111">
        <f t="shared" si="14"/>
        <v>35.339999999999996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>
        <f t="shared" si="12"/>
        <v>0</v>
      </c>
    </row>
    <row r="34" spans="3:21" x14ac:dyDescent="0.25">
      <c r="C34" s="806"/>
      <c r="D34" s="17" t="s">
        <v>365</v>
      </c>
      <c r="E34" s="111">
        <v>9</v>
      </c>
      <c r="F34" s="111"/>
      <c r="G34" s="111">
        <v>9</v>
      </c>
      <c r="H34" s="111">
        <f t="shared" si="14"/>
        <v>2.6505000000000001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>
        <f t="shared" si="12"/>
        <v>0</v>
      </c>
    </row>
    <row r="35" spans="3:21" x14ac:dyDescent="0.25">
      <c r="C35" s="806"/>
      <c r="D35" s="17" t="s">
        <v>366</v>
      </c>
      <c r="E35" s="111">
        <v>54</v>
      </c>
      <c r="F35" s="111"/>
      <c r="G35" s="111">
        <v>54</v>
      </c>
      <c r="H35" s="111">
        <f t="shared" si="14"/>
        <v>15.902999999999999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>
        <f t="shared" si="12"/>
        <v>0</v>
      </c>
    </row>
    <row r="36" spans="3:21" x14ac:dyDescent="0.25">
      <c r="C36" s="806"/>
      <c r="D36" s="17" t="s">
        <v>367</v>
      </c>
      <c r="E36" s="66">
        <v>9.16</v>
      </c>
      <c r="F36" s="111"/>
      <c r="G36" s="66">
        <v>9.16</v>
      </c>
      <c r="H36" s="111">
        <f t="shared" si="14"/>
        <v>2.6976199999999997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>
        <f t="shared" si="12"/>
        <v>0</v>
      </c>
    </row>
    <row r="37" spans="3:21" x14ac:dyDescent="0.25">
      <c r="C37" s="806"/>
      <c r="D37" s="17"/>
      <c r="E37" s="17"/>
      <c r="F37" s="17"/>
      <c r="G37" s="17"/>
      <c r="H37" s="17"/>
      <c r="I37" s="66">
        <f>'F11-Year(n)'!E38</f>
        <v>15.247185606999999</v>
      </c>
      <c r="J37" s="66">
        <f>'F11-Year(n)'!F38</f>
        <v>15.0522465152</v>
      </c>
      <c r="K37" s="66">
        <f>'F11-Year(n)'!G38</f>
        <v>16.124947421750001</v>
      </c>
      <c r="L37" s="66">
        <f>'F11-Year(n)'!H38</f>
        <v>33.742132645800005</v>
      </c>
      <c r="M37" s="66">
        <f>'F11-Year(n)'!I38</f>
        <v>84.976902548799998</v>
      </c>
      <c r="N37" s="66">
        <f>'F11-Year(n)'!J38</f>
        <v>43.479076385649996</v>
      </c>
      <c r="O37" s="66">
        <f>'F11-Year(n)'!K38</f>
        <v>45.450074827550004</v>
      </c>
      <c r="P37" s="66">
        <f>'F11-Year(n)'!L38</f>
        <v>16.5754476352</v>
      </c>
      <c r="Q37" s="66">
        <f>'F11-Year(n)'!M38</f>
        <v>27.336370260499997</v>
      </c>
      <c r="R37" s="66">
        <f>'F11-Year(n)'!N38</f>
        <v>28.370194958300001</v>
      </c>
      <c r="S37" s="66">
        <f>'F11-Year(n)'!O38</f>
        <v>13.342600773049998</v>
      </c>
      <c r="T37" s="66">
        <f>'F11-Year(n)'!P38</f>
        <v>7.9809542407999992</v>
      </c>
      <c r="U37" s="17">
        <f>+SUM(I37:T37)</f>
        <v>347.67813381959996</v>
      </c>
    </row>
    <row r="38" spans="3:21" x14ac:dyDescent="0.25">
      <c r="C38" s="806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>
        <f t="shared" si="12"/>
        <v>0</v>
      </c>
    </row>
    <row r="39" spans="3:21" x14ac:dyDescent="0.25">
      <c r="C39" s="806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>
        <f t="shared" si="12"/>
        <v>0</v>
      </c>
    </row>
    <row r="40" spans="3:21" x14ac:dyDescent="0.25">
      <c r="C40" s="806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>
        <f t="shared" si="12"/>
        <v>0</v>
      </c>
    </row>
    <row r="41" spans="3:21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>
        <f t="shared" si="12"/>
        <v>0</v>
      </c>
    </row>
    <row r="42" spans="3:21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>
        <f>+SUM(I42:T42)</f>
        <v>0</v>
      </c>
    </row>
    <row r="43" spans="3:21" x14ac:dyDescent="0.25">
      <c r="C43" s="806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>
        <f t="shared" si="12"/>
        <v>0</v>
      </c>
    </row>
    <row r="44" spans="3:21" x14ac:dyDescent="0.25">
      <c r="C44" s="806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>
        <f t="shared" si="12"/>
        <v>0</v>
      </c>
    </row>
    <row r="45" spans="3:21" x14ac:dyDescent="0.25">
      <c r="C45" s="80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>
        <f t="shared" si="12"/>
        <v>0</v>
      </c>
    </row>
    <row r="46" spans="3:21" x14ac:dyDescent="0.25">
      <c r="C46" s="807"/>
      <c r="D46" s="10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>
        <f t="shared" si="12"/>
        <v>0</v>
      </c>
    </row>
    <row r="47" spans="3:21" x14ac:dyDescent="0.25">
      <c r="C47" s="751" t="s">
        <v>212</v>
      </c>
      <c r="D47" s="752"/>
      <c r="E47" s="17">
        <f>SUM(E29:E46)</f>
        <v>2441.7599999999998</v>
      </c>
      <c r="F47" s="17">
        <f t="shared" ref="F47:T47" si="15">SUM(F29:F46)</f>
        <v>0</v>
      </c>
      <c r="G47" s="17">
        <f t="shared" si="15"/>
        <v>2324.7599999999998</v>
      </c>
      <c r="H47" s="17">
        <f t="shared" si="15"/>
        <v>684.64181999999994</v>
      </c>
      <c r="I47" s="17">
        <f t="shared" si="15"/>
        <v>15.247185606999999</v>
      </c>
      <c r="J47" s="17">
        <f t="shared" si="15"/>
        <v>15.0522465152</v>
      </c>
      <c r="K47" s="17">
        <f t="shared" si="15"/>
        <v>16.124947421750001</v>
      </c>
      <c r="L47" s="17">
        <f t="shared" si="15"/>
        <v>33.742132645800005</v>
      </c>
      <c r="M47" s="17">
        <f t="shared" si="15"/>
        <v>84.976902548799998</v>
      </c>
      <c r="N47" s="17">
        <f t="shared" si="15"/>
        <v>43.479076385649996</v>
      </c>
      <c r="O47" s="17">
        <f t="shared" si="15"/>
        <v>45.450074827550004</v>
      </c>
      <c r="P47" s="17">
        <f t="shared" si="15"/>
        <v>16.5754476352</v>
      </c>
      <c r="Q47" s="17">
        <f t="shared" si="15"/>
        <v>27.336370260499997</v>
      </c>
      <c r="R47" s="17">
        <f t="shared" si="15"/>
        <v>28.370194958300001</v>
      </c>
      <c r="S47" s="17">
        <f t="shared" si="15"/>
        <v>13.342600773049998</v>
      </c>
      <c r="T47" s="17">
        <f t="shared" si="15"/>
        <v>7.9809542407999992</v>
      </c>
      <c r="U47" s="86">
        <f>SUM(I47:T47)</f>
        <v>347.67813381959996</v>
      </c>
    </row>
    <row r="48" spans="3:21" x14ac:dyDescent="0.25">
      <c r="C48" s="753" t="s">
        <v>368</v>
      </c>
      <c r="D48" s="754"/>
      <c r="E48" s="17">
        <f>E27+E47</f>
        <v>8084.26</v>
      </c>
      <c r="F48" s="17">
        <f t="shared" ref="F48:T48" si="16">F27+F47</f>
        <v>0</v>
      </c>
      <c r="G48" s="17">
        <f t="shared" si="16"/>
        <v>7967.26</v>
      </c>
      <c r="H48" s="17">
        <f t="shared" si="16"/>
        <v>2346.3580699999998</v>
      </c>
      <c r="I48" s="17">
        <f t="shared" si="16"/>
        <v>743.84313060700003</v>
      </c>
      <c r="J48" s="17">
        <f t="shared" si="16"/>
        <v>767.93472301519989</v>
      </c>
      <c r="K48" s="17">
        <f t="shared" si="16"/>
        <v>744.72089242175002</v>
      </c>
      <c r="L48" s="17">
        <f t="shared" si="16"/>
        <v>786.62460914579992</v>
      </c>
      <c r="M48" s="17">
        <f t="shared" si="16"/>
        <v>837.85937904879995</v>
      </c>
      <c r="N48" s="17">
        <f t="shared" si="16"/>
        <v>772.07502138565007</v>
      </c>
      <c r="O48" s="17">
        <f t="shared" si="16"/>
        <v>798.33255132754994</v>
      </c>
      <c r="P48" s="17">
        <f t="shared" si="16"/>
        <v>745.17139263520005</v>
      </c>
      <c r="Q48" s="17">
        <f t="shared" si="16"/>
        <v>780.2188467604999</v>
      </c>
      <c r="R48" s="17">
        <f t="shared" si="16"/>
        <v>781.25267145829991</v>
      </c>
      <c r="S48" s="17">
        <f t="shared" si="16"/>
        <v>693.36548277304996</v>
      </c>
      <c r="T48" s="17">
        <f t="shared" si="16"/>
        <v>760.86343074079991</v>
      </c>
      <c r="U48" s="86">
        <f>U27+U47</f>
        <v>9212.2621313195996</v>
      </c>
    </row>
    <row r="49" spans="3:21" x14ac:dyDescent="0.25">
      <c r="C49" s="800" t="s">
        <v>369</v>
      </c>
      <c r="D49" s="801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  <row r="50" spans="3:21" x14ac:dyDescent="0.25">
      <c r="C50" s="753" t="s">
        <v>349</v>
      </c>
      <c r="D50" s="75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</row>
    <row r="51" spans="3:21" x14ac:dyDescent="0.25">
      <c r="C51" s="805" t="s">
        <v>370</v>
      </c>
      <c r="D51" s="17" t="s">
        <v>371</v>
      </c>
      <c r="E51" s="111">
        <v>2100</v>
      </c>
      <c r="F51" s="111">
        <f>'F9-Year(n-1)'!F51</f>
        <v>0</v>
      </c>
      <c r="G51" s="66">
        <v>353.01</v>
      </c>
      <c r="H51" s="111">
        <f>G51*0.2945</f>
        <v>103.961445</v>
      </c>
      <c r="I51" s="66">
        <f t="shared" ref="I51:I58" si="17">$H51*0.85*30*24/1000</f>
        <v>63.624404339999998</v>
      </c>
      <c r="J51" s="66">
        <f t="shared" ref="J51:J58" si="18">$H51*0.85*31*24/1000</f>
        <v>65.745217817999986</v>
      </c>
      <c r="K51" s="66">
        <f t="shared" ref="K51:K58" si="19">$H51*0.85*30*24/1000</f>
        <v>63.624404339999998</v>
      </c>
      <c r="L51" s="66">
        <f t="shared" ref="L51:M58" si="20">$H51*0.85*31*24/1000</f>
        <v>65.745217817999986</v>
      </c>
      <c r="M51" s="66">
        <f t="shared" si="20"/>
        <v>65.745217817999986</v>
      </c>
      <c r="N51" s="66">
        <f t="shared" ref="N51:N58" si="21">$H51*0.85*30*24/1000</f>
        <v>63.624404339999998</v>
      </c>
      <c r="O51" s="66">
        <f t="shared" ref="O51:O66" si="22">$H51*0.85*31*24/1000</f>
        <v>65.745217817999986</v>
      </c>
      <c r="P51" s="66">
        <f t="shared" ref="P51:P66" si="23">$H51*0.85*30*24/1000</f>
        <v>63.624404339999998</v>
      </c>
      <c r="Q51" s="66">
        <f t="shared" ref="Q51:R66" si="24">$H51*0.85*31*24/1000</f>
        <v>65.745217817999986</v>
      </c>
      <c r="R51" s="66">
        <f t="shared" si="24"/>
        <v>65.745217817999986</v>
      </c>
      <c r="S51" s="66">
        <f t="shared" ref="S51:S66" si="25">$H51*0.85*28*24/1000</f>
        <v>59.382777383999994</v>
      </c>
      <c r="T51" s="66">
        <f t="shared" ref="T51:T66" si="26">$H51*0.85*31*24/1000</f>
        <v>65.745217817999986</v>
      </c>
      <c r="U51" s="66">
        <f t="shared" ref="U51:U75" si="27">+SUM(I51:T51)</f>
        <v>774.09691946999988</v>
      </c>
    </row>
    <row r="52" spans="3:21" x14ac:dyDescent="0.25">
      <c r="C52" s="806"/>
      <c r="D52" s="17" t="s">
        <v>372</v>
      </c>
      <c r="E52" s="111">
        <v>500</v>
      </c>
      <c r="F52" s="111">
        <f>'F9-Year(n-1)'!F52</f>
        <v>0</v>
      </c>
      <c r="G52" s="66">
        <v>88.5</v>
      </c>
      <c r="H52" s="111">
        <f t="shared" ref="H52:H66" si="28">G52*0.2945</f>
        <v>26.06325</v>
      </c>
      <c r="I52" s="66">
        <f t="shared" si="17"/>
        <v>15.950709000000002</v>
      </c>
      <c r="J52" s="66">
        <f t="shared" si="18"/>
        <v>16.482399300000001</v>
      </c>
      <c r="K52" s="66">
        <f t="shared" si="19"/>
        <v>15.950709000000002</v>
      </c>
      <c r="L52" s="66">
        <f t="shared" si="20"/>
        <v>16.482399300000001</v>
      </c>
      <c r="M52" s="66">
        <f t="shared" si="20"/>
        <v>16.482399300000001</v>
      </c>
      <c r="N52" s="66">
        <f t="shared" si="21"/>
        <v>15.950709000000002</v>
      </c>
      <c r="O52" s="66">
        <f t="shared" si="22"/>
        <v>16.482399300000001</v>
      </c>
      <c r="P52" s="66">
        <f t="shared" si="23"/>
        <v>15.950709000000002</v>
      </c>
      <c r="Q52" s="66">
        <f t="shared" si="24"/>
        <v>16.482399300000001</v>
      </c>
      <c r="R52" s="66">
        <f t="shared" si="24"/>
        <v>16.482399300000001</v>
      </c>
      <c r="S52" s="66">
        <f t="shared" si="25"/>
        <v>14.887328399999998</v>
      </c>
      <c r="T52" s="66">
        <f t="shared" si="26"/>
        <v>16.482399300000001</v>
      </c>
      <c r="U52" s="66">
        <f t="shared" si="27"/>
        <v>194.0669595</v>
      </c>
    </row>
    <row r="53" spans="3:21" x14ac:dyDescent="0.25">
      <c r="C53" s="806"/>
      <c r="D53" s="17" t="s">
        <v>373</v>
      </c>
      <c r="E53" s="111">
        <v>2000</v>
      </c>
      <c r="F53" s="111">
        <f>'F9-Year(n-1)'!F53</f>
        <v>0</v>
      </c>
      <c r="G53" s="66">
        <v>217.4</v>
      </c>
      <c r="H53" s="111">
        <f t="shared" si="28"/>
        <v>64.024299999999997</v>
      </c>
      <c r="I53" s="66">
        <f t="shared" si="17"/>
        <v>39.182871599999999</v>
      </c>
      <c r="J53" s="66">
        <f t="shared" si="18"/>
        <v>40.488967319999993</v>
      </c>
      <c r="K53" s="66">
        <f t="shared" si="19"/>
        <v>39.182871599999999</v>
      </c>
      <c r="L53" s="66">
        <f t="shared" si="20"/>
        <v>40.488967319999993</v>
      </c>
      <c r="M53" s="66">
        <f t="shared" si="20"/>
        <v>40.488967319999993</v>
      </c>
      <c r="N53" s="66">
        <f t="shared" si="21"/>
        <v>39.182871599999999</v>
      </c>
      <c r="O53" s="66">
        <f t="shared" si="22"/>
        <v>40.488967319999993</v>
      </c>
      <c r="P53" s="66">
        <f t="shared" si="23"/>
        <v>39.182871599999999</v>
      </c>
      <c r="Q53" s="66">
        <f t="shared" si="24"/>
        <v>40.488967319999993</v>
      </c>
      <c r="R53" s="66">
        <f t="shared" si="24"/>
        <v>40.488967319999993</v>
      </c>
      <c r="S53" s="66">
        <f t="shared" si="25"/>
        <v>36.570680159999995</v>
      </c>
      <c r="T53" s="66">
        <f t="shared" si="26"/>
        <v>40.488967319999993</v>
      </c>
      <c r="U53" s="66">
        <f t="shared" si="27"/>
        <v>476.72493779999991</v>
      </c>
    </row>
    <row r="54" spans="3:21" x14ac:dyDescent="0.25">
      <c r="C54" s="806"/>
      <c r="D54" s="17" t="s">
        <v>374</v>
      </c>
      <c r="E54" s="111">
        <v>1000</v>
      </c>
      <c r="F54" s="111">
        <f>'F9-Year(n-1)'!F54</f>
        <v>0</v>
      </c>
      <c r="G54" s="66">
        <v>538.9</v>
      </c>
      <c r="H54" s="111">
        <f t="shared" si="28"/>
        <v>158.70604999999998</v>
      </c>
      <c r="I54" s="66">
        <f t="shared" si="17"/>
        <v>97.128102600000005</v>
      </c>
      <c r="J54" s="66">
        <f t="shared" si="18"/>
        <v>100.36570602</v>
      </c>
      <c r="K54" s="66">
        <f t="shared" si="19"/>
        <v>97.128102600000005</v>
      </c>
      <c r="L54" s="66">
        <f t="shared" si="20"/>
        <v>100.36570602</v>
      </c>
      <c r="M54" s="66">
        <f t="shared" si="20"/>
        <v>100.36570602</v>
      </c>
      <c r="N54" s="66">
        <f t="shared" si="21"/>
        <v>97.128102600000005</v>
      </c>
      <c r="O54" s="66">
        <f t="shared" si="22"/>
        <v>100.36570602</v>
      </c>
      <c r="P54" s="66">
        <f t="shared" si="23"/>
        <v>97.128102600000005</v>
      </c>
      <c r="Q54" s="66">
        <f t="shared" si="24"/>
        <v>100.36570602</v>
      </c>
      <c r="R54" s="66">
        <f t="shared" si="24"/>
        <v>100.36570602</v>
      </c>
      <c r="S54" s="66">
        <f t="shared" si="25"/>
        <v>90.652895759999979</v>
      </c>
      <c r="T54" s="66">
        <f t="shared" si="26"/>
        <v>100.36570602</v>
      </c>
      <c r="U54" s="66">
        <f t="shared" si="27"/>
        <v>1181.7252483</v>
      </c>
    </row>
    <row r="55" spans="3:21" x14ac:dyDescent="0.25">
      <c r="C55" s="806"/>
      <c r="D55" s="17" t="s">
        <v>375</v>
      </c>
      <c r="E55" s="111">
        <v>1000</v>
      </c>
      <c r="F55" s="111">
        <f>'F9-Year(n-1)'!F55</f>
        <v>0</v>
      </c>
      <c r="G55" s="66">
        <v>256.8</v>
      </c>
      <c r="H55" s="111">
        <f t="shared" si="28"/>
        <v>75.627600000000001</v>
      </c>
      <c r="I55" s="66">
        <f t="shared" si="17"/>
        <v>46.284091200000006</v>
      </c>
      <c r="J55" s="66">
        <f t="shared" si="18"/>
        <v>47.826894240000001</v>
      </c>
      <c r="K55" s="66">
        <f t="shared" si="19"/>
        <v>46.284091200000006</v>
      </c>
      <c r="L55" s="66">
        <f t="shared" si="20"/>
        <v>47.826894240000001</v>
      </c>
      <c r="M55" s="66">
        <f t="shared" si="20"/>
        <v>47.826894240000001</v>
      </c>
      <c r="N55" s="66">
        <f t="shared" si="21"/>
        <v>46.284091200000006</v>
      </c>
      <c r="O55" s="66">
        <f t="shared" si="22"/>
        <v>47.826894240000001</v>
      </c>
      <c r="P55" s="66">
        <f t="shared" si="23"/>
        <v>46.284091200000006</v>
      </c>
      <c r="Q55" s="66">
        <f t="shared" si="24"/>
        <v>47.826894240000001</v>
      </c>
      <c r="R55" s="66">
        <f t="shared" si="24"/>
        <v>47.826894240000001</v>
      </c>
      <c r="S55" s="66">
        <f t="shared" si="25"/>
        <v>43.198485120000008</v>
      </c>
      <c r="T55" s="66">
        <f t="shared" si="26"/>
        <v>47.826894240000001</v>
      </c>
      <c r="U55" s="66">
        <f t="shared" si="27"/>
        <v>563.12310960000002</v>
      </c>
    </row>
    <row r="56" spans="3:21" x14ac:dyDescent="0.25">
      <c r="C56" s="806"/>
      <c r="D56" s="17" t="s">
        <v>376</v>
      </c>
      <c r="E56" s="111">
        <v>2400</v>
      </c>
      <c r="F56" s="111">
        <f>'F9-Year(n-1)'!F56</f>
        <v>0</v>
      </c>
      <c r="G56" s="66">
        <v>281.04000000000002</v>
      </c>
      <c r="H56" s="111">
        <f t="shared" si="28"/>
        <v>82.766279999999995</v>
      </c>
      <c r="I56" s="66">
        <f t="shared" si="17"/>
        <v>50.652963360000001</v>
      </c>
      <c r="J56" s="66">
        <f t="shared" si="18"/>
        <v>52.341395472000002</v>
      </c>
      <c r="K56" s="66">
        <f t="shared" si="19"/>
        <v>50.652963360000001</v>
      </c>
      <c r="L56" s="66">
        <f t="shared" si="20"/>
        <v>52.341395472000002</v>
      </c>
      <c r="M56" s="66">
        <f t="shared" si="20"/>
        <v>52.341395472000002</v>
      </c>
      <c r="N56" s="66">
        <f t="shared" si="21"/>
        <v>50.652963360000001</v>
      </c>
      <c r="O56" s="66">
        <f t="shared" si="22"/>
        <v>52.341395472000002</v>
      </c>
      <c r="P56" s="66">
        <f t="shared" si="23"/>
        <v>50.652963360000001</v>
      </c>
      <c r="Q56" s="66">
        <f t="shared" si="24"/>
        <v>52.341395472000002</v>
      </c>
      <c r="R56" s="66">
        <f t="shared" si="24"/>
        <v>52.341395472000002</v>
      </c>
      <c r="S56" s="66">
        <f t="shared" si="25"/>
        <v>47.276099135999999</v>
      </c>
      <c r="T56" s="66">
        <f t="shared" si="26"/>
        <v>52.341395472000002</v>
      </c>
      <c r="U56" s="66">
        <f t="shared" si="27"/>
        <v>616.27772087999995</v>
      </c>
    </row>
    <row r="57" spans="3:21" x14ac:dyDescent="0.25">
      <c r="C57" s="806"/>
      <c r="D57" s="17" t="s">
        <v>377</v>
      </c>
      <c r="E57" s="111">
        <v>85</v>
      </c>
      <c r="F57" s="111">
        <f>'F9-Year(n-1)'!F57</f>
        <v>0</v>
      </c>
      <c r="G57" s="66">
        <v>45.81</v>
      </c>
      <c r="H57" s="111">
        <f t="shared" si="28"/>
        <v>13.491045</v>
      </c>
      <c r="I57" s="66">
        <f t="shared" si="17"/>
        <v>8.2565195399999993</v>
      </c>
      <c r="J57" s="66">
        <f t="shared" si="18"/>
        <v>8.5317368580000004</v>
      </c>
      <c r="K57" s="66">
        <f t="shared" si="19"/>
        <v>8.2565195399999993</v>
      </c>
      <c r="L57" s="66">
        <f t="shared" si="20"/>
        <v>8.5317368580000004</v>
      </c>
      <c r="M57" s="66">
        <f t="shared" si="20"/>
        <v>8.5317368580000004</v>
      </c>
      <c r="N57" s="66">
        <f t="shared" si="21"/>
        <v>8.2565195399999993</v>
      </c>
      <c r="O57" s="66">
        <f t="shared" si="22"/>
        <v>8.5317368580000004</v>
      </c>
      <c r="P57" s="66">
        <f t="shared" si="23"/>
        <v>8.2565195399999993</v>
      </c>
      <c r="Q57" s="66">
        <f t="shared" si="24"/>
        <v>8.5317368580000004</v>
      </c>
      <c r="R57" s="66">
        <f t="shared" si="24"/>
        <v>8.5317368580000004</v>
      </c>
      <c r="S57" s="66">
        <f t="shared" si="25"/>
        <v>7.706084903999999</v>
      </c>
      <c r="T57" s="66">
        <f t="shared" si="26"/>
        <v>8.5317368580000004</v>
      </c>
      <c r="U57" s="66">
        <f>+SUM(I57:T57)</f>
        <v>100.45432107000001</v>
      </c>
    </row>
    <row r="58" spans="3:21" x14ac:dyDescent="0.25">
      <c r="C58" s="806"/>
      <c r="D58" s="17" t="s">
        <v>378</v>
      </c>
      <c r="E58" s="111">
        <v>200</v>
      </c>
      <c r="F58" s="111">
        <f>'F9-Year(n-1)'!F58</f>
        <v>0</v>
      </c>
      <c r="G58" s="111">
        <v>200</v>
      </c>
      <c r="H58" s="111">
        <f t="shared" si="28"/>
        <v>58.9</v>
      </c>
      <c r="I58" s="66">
        <f t="shared" si="17"/>
        <v>36.046799999999998</v>
      </c>
      <c r="J58" s="66">
        <f t="shared" si="18"/>
        <v>37.248359999999998</v>
      </c>
      <c r="K58" s="66">
        <f t="shared" si="19"/>
        <v>36.046799999999998</v>
      </c>
      <c r="L58" s="66">
        <f t="shared" si="20"/>
        <v>37.248359999999998</v>
      </c>
      <c r="M58" s="66">
        <f t="shared" si="20"/>
        <v>37.248359999999998</v>
      </c>
      <c r="N58" s="66">
        <f t="shared" si="21"/>
        <v>36.046799999999998</v>
      </c>
      <c r="O58" s="66">
        <f t="shared" si="22"/>
        <v>37.248359999999998</v>
      </c>
      <c r="P58" s="66">
        <f t="shared" si="23"/>
        <v>36.046799999999998</v>
      </c>
      <c r="Q58" s="66">
        <f t="shared" si="24"/>
        <v>37.248359999999998</v>
      </c>
      <c r="R58" s="66">
        <f t="shared" si="24"/>
        <v>37.248359999999998</v>
      </c>
      <c r="S58" s="66">
        <f t="shared" si="25"/>
        <v>33.643680000000003</v>
      </c>
      <c r="T58" s="66">
        <f t="shared" si="26"/>
        <v>37.248359999999998</v>
      </c>
      <c r="U58" s="66">
        <f>+SUM(I58:T58)</f>
        <v>438.56939999999997</v>
      </c>
    </row>
    <row r="59" spans="3:21" x14ac:dyDescent="0.25">
      <c r="C59" s="807"/>
      <c r="D59" s="17" t="s">
        <v>379</v>
      </c>
      <c r="E59" s="111">
        <v>1600</v>
      </c>
      <c r="F59" s="111">
        <f>'F9-Year(n-1)'!F59</f>
        <v>0</v>
      </c>
      <c r="G59" s="66">
        <v>1360</v>
      </c>
      <c r="H59" s="111">
        <f t="shared" si="28"/>
        <v>400.52</v>
      </c>
      <c r="I59" s="66"/>
      <c r="J59" s="66"/>
      <c r="K59" s="66"/>
      <c r="L59" s="66"/>
      <c r="M59" s="66"/>
      <c r="N59" s="66"/>
      <c r="O59" s="66">
        <f t="shared" si="22"/>
        <v>253.288848</v>
      </c>
      <c r="P59" s="66">
        <f t="shared" si="23"/>
        <v>245.11823999999996</v>
      </c>
      <c r="Q59" s="66">
        <f t="shared" si="24"/>
        <v>253.288848</v>
      </c>
      <c r="R59" s="66">
        <f t="shared" si="24"/>
        <v>253.288848</v>
      </c>
      <c r="S59" s="66">
        <f t="shared" si="25"/>
        <v>228.77702399999998</v>
      </c>
      <c r="T59" s="66">
        <f t="shared" si="26"/>
        <v>253.288848</v>
      </c>
      <c r="U59" s="66">
        <f t="shared" si="27"/>
        <v>1487.0506559999999</v>
      </c>
    </row>
    <row r="60" spans="3:21" x14ac:dyDescent="0.25">
      <c r="C60" s="17"/>
      <c r="D60" s="17" t="s">
        <v>380</v>
      </c>
      <c r="E60" s="111">
        <v>630</v>
      </c>
      <c r="F60" s="111">
        <f>'F9-Year(n-1)'!F60</f>
        <v>0</v>
      </c>
      <c r="G60" s="66">
        <v>5.23</v>
      </c>
      <c r="H60" s="111">
        <f t="shared" si="28"/>
        <v>1.540235</v>
      </c>
      <c r="I60" s="66">
        <f t="shared" ref="I60:I66" si="29">$H60*0.85*30*24/1000</f>
        <v>0.94262381999999978</v>
      </c>
      <c r="J60" s="66">
        <f t="shared" ref="J60:J66" si="30">$H60*0.85*31*24/1000</f>
        <v>0.97404461399999986</v>
      </c>
      <c r="K60" s="66">
        <f t="shared" ref="K60:K66" si="31">$H60*0.85*30*24/1000</f>
        <v>0.94262381999999978</v>
      </c>
      <c r="L60" s="66">
        <f t="shared" ref="L60:M66" si="32">$H60*0.85*31*24/1000</f>
        <v>0.97404461399999986</v>
      </c>
      <c r="M60" s="66">
        <f t="shared" si="32"/>
        <v>0.97404461399999986</v>
      </c>
      <c r="N60" s="66">
        <f t="shared" ref="N60:N66" si="33">$H60*0.85*30*24/1000</f>
        <v>0.94262381999999978</v>
      </c>
      <c r="O60" s="66">
        <f t="shared" si="22"/>
        <v>0.97404461399999986</v>
      </c>
      <c r="P60" s="66">
        <f t="shared" si="23"/>
        <v>0.94262381999999978</v>
      </c>
      <c r="Q60" s="66">
        <f t="shared" si="24"/>
        <v>0.97404461399999986</v>
      </c>
      <c r="R60" s="66">
        <f t="shared" si="24"/>
        <v>0.97404461399999986</v>
      </c>
      <c r="S60" s="66">
        <f t="shared" si="25"/>
        <v>0.87978223200000005</v>
      </c>
      <c r="T60" s="66">
        <f t="shared" si="26"/>
        <v>0.97404461399999986</v>
      </c>
      <c r="U60" s="66">
        <f t="shared" si="27"/>
        <v>11.468589809999999</v>
      </c>
    </row>
    <row r="61" spans="3:21" x14ac:dyDescent="0.25">
      <c r="C61" s="17"/>
      <c r="D61" s="17" t="s">
        <v>381</v>
      </c>
      <c r="E61" s="111">
        <v>840</v>
      </c>
      <c r="F61" s="111">
        <f>'F9-Year(n-1)'!F61</f>
        <v>0</v>
      </c>
      <c r="G61" s="66">
        <v>6.89</v>
      </c>
      <c r="H61" s="111">
        <f t="shared" si="28"/>
        <v>2.0291049999999999</v>
      </c>
      <c r="I61" s="66">
        <f t="shared" si="29"/>
        <v>1.2418122599999999</v>
      </c>
      <c r="J61" s="66">
        <f t="shared" si="30"/>
        <v>1.2832060019999998</v>
      </c>
      <c r="K61" s="66">
        <f t="shared" si="31"/>
        <v>1.2418122599999999</v>
      </c>
      <c r="L61" s="66">
        <f t="shared" si="32"/>
        <v>1.2832060019999998</v>
      </c>
      <c r="M61" s="66">
        <f t="shared" si="32"/>
        <v>1.2832060019999998</v>
      </c>
      <c r="N61" s="66">
        <f t="shared" si="33"/>
        <v>1.2418122599999999</v>
      </c>
      <c r="O61" s="66">
        <f t="shared" si="22"/>
        <v>1.2832060019999998</v>
      </c>
      <c r="P61" s="66">
        <f t="shared" si="23"/>
        <v>1.2418122599999999</v>
      </c>
      <c r="Q61" s="66">
        <f t="shared" si="24"/>
        <v>1.2832060019999998</v>
      </c>
      <c r="R61" s="66">
        <f t="shared" si="24"/>
        <v>1.2832060019999998</v>
      </c>
      <c r="S61" s="66">
        <f t="shared" si="25"/>
        <v>1.1590247759999999</v>
      </c>
      <c r="T61" s="66">
        <f t="shared" si="26"/>
        <v>1.2832060019999998</v>
      </c>
      <c r="U61" s="66">
        <f t="shared" si="27"/>
        <v>15.108715829999998</v>
      </c>
    </row>
    <row r="62" spans="3:21" x14ac:dyDescent="0.25">
      <c r="C62" s="17"/>
      <c r="D62" s="17" t="s">
        <v>382</v>
      </c>
      <c r="E62" s="111">
        <v>1000</v>
      </c>
      <c r="F62" s="111">
        <f>'F9-Year(n-1)'!F62</f>
        <v>0</v>
      </c>
      <c r="G62" s="66">
        <v>61.9</v>
      </c>
      <c r="H62" s="111">
        <f t="shared" si="28"/>
        <v>18.22955</v>
      </c>
      <c r="I62" s="66">
        <f t="shared" si="29"/>
        <v>11.156484600000001</v>
      </c>
      <c r="J62" s="66">
        <f t="shared" si="30"/>
        <v>11.528367419999999</v>
      </c>
      <c r="K62" s="66">
        <f t="shared" si="31"/>
        <v>11.156484600000001</v>
      </c>
      <c r="L62" s="66">
        <f t="shared" si="32"/>
        <v>11.528367419999999</v>
      </c>
      <c r="M62" s="66">
        <f t="shared" si="32"/>
        <v>11.528367419999999</v>
      </c>
      <c r="N62" s="66">
        <f t="shared" si="33"/>
        <v>11.156484600000001</v>
      </c>
      <c r="O62" s="66">
        <f t="shared" si="22"/>
        <v>11.528367419999999</v>
      </c>
      <c r="P62" s="66">
        <f t="shared" si="23"/>
        <v>11.156484600000001</v>
      </c>
      <c r="Q62" s="66">
        <f t="shared" si="24"/>
        <v>11.528367419999999</v>
      </c>
      <c r="R62" s="66">
        <f t="shared" si="24"/>
        <v>11.528367419999999</v>
      </c>
      <c r="S62" s="66">
        <f t="shared" si="25"/>
        <v>10.412718959999999</v>
      </c>
      <c r="T62" s="66">
        <f t="shared" si="26"/>
        <v>11.528367419999999</v>
      </c>
      <c r="U62" s="66">
        <f t="shared" si="27"/>
        <v>135.73722929999997</v>
      </c>
    </row>
    <row r="63" spans="3:21" x14ac:dyDescent="0.25">
      <c r="C63" s="17"/>
      <c r="D63" s="17" t="s">
        <v>436</v>
      </c>
      <c r="E63" s="111"/>
      <c r="F63" s="111"/>
      <c r="G63" s="66"/>
      <c r="H63" s="111"/>
      <c r="I63" s="66">
        <f t="shared" si="29"/>
        <v>0</v>
      </c>
      <c r="J63" s="66">
        <f t="shared" si="30"/>
        <v>0</v>
      </c>
      <c r="K63" s="66">
        <f t="shared" si="31"/>
        <v>0</v>
      </c>
      <c r="L63" s="66">
        <f t="shared" si="32"/>
        <v>0</v>
      </c>
      <c r="M63" s="66">
        <f t="shared" si="32"/>
        <v>0</v>
      </c>
      <c r="N63" s="66">
        <f t="shared" si="33"/>
        <v>0</v>
      </c>
      <c r="O63" s="66">
        <f t="shared" si="22"/>
        <v>0</v>
      </c>
      <c r="P63" s="66">
        <f t="shared" si="23"/>
        <v>0</v>
      </c>
      <c r="Q63" s="66">
        <f t="shared" si="24"/>
        <v>0</v>
      </c>
      <c r="R63" s="66">
        <f t="shared" si="24"/>
        <v>0</v>
      </c>
      <c r="S63" s="66">
        <f t="shared" si="25"/>
        <v>0</v>
      </c>
      <c r="T63" s="66">
        <f t="shared" si="26"/>
        <v>0</v>
      </c>
      <c r="U63" s="66">
        <f t="shared" si="27"/>
        <v>0</v>
      </c>
    </row>
    <row r="64" spans="3:21" x14ac:dyDescent="0.25">
      <c r="C64" s="17"/>
      <c r="D64" s="17" t="s">
        <v>437</v>
      </c>
      <c r="E64" s="111">
        <v>920</v>
      </c>
      <c r="F64" s="111"/>
      <c r="G64" s="111">
        <v>11.96</v>
      </c>
      <c r="H64" s="111">
        <f t="shared" si="28"/>
        <v>3.5222199999999999</v>
      </c>
      <c r="I64" s="66">
        <f t="shared" si="29"/>
        <v>2.15559864</v>
      </c>
      <c r="J64" s="66">
        <f t="shared" si="30"/>
        <v>2.2274519279999998</v>
      </c>
      <c r="K64" s="66">
        <f t="shared" si="31"/>
        <v>2.15559864</v>
      </c>
      <c r="L64" s="66">
        <f t="shared" si="32"/>
        <v>2.2274519279999998</v>
      </c>
      <c r="M64" s="66">
        <f t="shared" si="32"/>
        <v>2.2274519279999998</v>
      </c>
      <c r="N64" s="66">
        <f t="shared" si="33"/>
        <v>2.15559864</v>
      </c>
      <c r="O64" s="66">
        <f t="shared" si="22"/>
        <v>2.2274519279999998</v>
      </c>
      <c r="P64" s="66">
        <f t="shared" si="23"/>
        <v>2.15559864</v>
      </c>
      <c r="Q64" s="66">
        <f t="shared" si="24"/>
        <v>2.2274519279999998</v>
      </c>
      <c r="R64" s="66">
        <f t="shared" si="24"/>
        <v>2.2274519279999998</v>
      </c>
      <c r="S64" s="66">
        <f t="shared" si="25"/>
        <v>2.011892064</v>
      </c>
      <c r="T64" s="66">
        <f t="shared" si="26"/>
        <v>2.2274519279999998</v>
      </c>
      <c r="U64" s="66">
        <f t="shared" si="27"/>
        <v>26.226450120000006</v>
      </c>
    </row>
    <row r="65" spans="3:21" x14ac:dyDescent="0.25">
      <c r="C65" s="17"/>
      <c r="D65" s="17" t="s">
        <v>385</v>
      </c>
      <c r="E65" s="111">
        <v>1500</v>
      </c>
      <c r="F65" s="111"/>
      <c r="G65" s="111">
        <v>0</v>
      </c>
      <c r="H65" s="111">
        <f t="shared" si="28"/>
        <v>0</v>
      </c>
      <c r="I65" s="66">
        <f t="shared" si="29"/>
        <v>0</v>
      </c>
      <c r="J65" s="66">
        <f t="shared" si="30"/>
        <v>0</v>
      </c>
      <c r="K65" s="66">
        <f t="shared" si="31"/>
        <v>0</v>
      </c>
      <c r="L65" s="66">
        <f t="shared" si="32"/>
        <v>0</v>
      </c>
      <c r="M65" s="66">
        <f t="shared" si="32"/>
        <v>0</v>
      </c>
      <c r="N65" s="66">
        <f t="shared" si="33"/>
        <v>0</v>
      </c>
      <c r="O65" s="66">
        <f t="shared" si="22"/>
        <v>0</v>
      </c>
      <c r="P65" s="66">
        <f t="shared" si="23"/>
        <v>0</v>
      </c>
      <c r="Q65" s="66">
        <f t="shared" si="24"/>
        <v>0</v>
      </c>
      <c r="R65" s="66">
        <f t="shared" si="24"/>
        <v>0</v>
      </c>
      <c r="S65" s="66">
        <f t="shared" si="25"/>
        <v>0</v>
      </c>
      <c r="T65" s="66">
        <f t="shared" si="26"/>
        <v>0</v>
      </c>
      <c r="U65" s="66">
        <f t="shared" si="27"/>
        <v>0</v>
      </c>
    </row>
    <row r="66" spans="3:21" x14ac:dyDescent="0.25">
      <c r="C66" s="17"/>
      <c r="D66" s="17" t="s">
        <v>386</v>
      </c>
      <c r="E66" s="111">
        <v>1000</v>
      </c>
      <c r="F66" s="111"/>
      <c r="G66" s="111">
        <v>0</v>
      </c>
      <c r="H66" s="111">
        <f t="shared" si="28"/>
        <v>0</v>
      </c>
      <c r="I66" s="66">
        <f t="shared" si="29"/>
        <v>0</v>
      </c>
      <c r="J66" s="66">
        <f t="shared" si="30"/>
        <v>0</v>
      </c>
      <c r="K66" s="66">
        <f t="shared" si="31"/>
        <v>0</v>
      </c>
      <c r="L66" s="66">
        <f t="shared" si="32"/>
        <v>0</v>
      </c>
      <c r="M66" s="66">
        <f t="shared" si="32"/>
        <v>0</v>
      </c>
      <c r="N66" s="66">
        <f t="shared" si="33"/>
        <v>0</v>
      </c>
      <c r="O66" s="66">
        <f t="shared" si="22"/>
        <v>0</v>
      </c>
      <c r="P66" s="66">
        <f t="shared" si="23"/>
        <v>0</v>
      </c>
      <c r="Q66" s="66">
        <f t="shared" si="24"/>
        <v>0</v>
      </c>
      <c r="R66" s="66">
        <f t="shared" si="24"/>
        <v>0</v>
      </c>
      <c r="S66" s="66">
        <f t="shared" si="25"/>
        <v>0</v>
      </c>
      <c r="T66" s="66">
        <f t="shared" si="26"/>
        <v>0</v>
      </c>
      <c r="U66" s="66">
        <f t="shared" si="27"/>
        <v>0</v>
      </c>
    </row>
    <row r="67" spans="3:21" x14ac:dyDescent="0.25">
      <c r="C67" s="17"/>
      <c r="D67" s="113" t="s">
        <v>438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>
        <f t="shared" si="27"/>
        <v>0</v>
      </c>
    </row>
    <row r="68" spans="3:21" x14ac:dyDescent="0.25">
      <c r="C68" s="17"/>
      <c r="D68" s="113" t="s">
        <v>439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>
        <f t="shared" si="27"/>
        <v>0</v>
      </c>
    </row>
    <row r="69" spans="3:21" x14ac:dyDescent="0.25">
      <c r="C69" s="17"/>
      <c r="D69" s="113" t="s">
        <v>440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>
        <f t="shared" si="27"/>
        <v>0</v>
      </c>
    </row>
    <row r="70" spans="3:21" x14ac:dyDescent="0.25">
      <c r="C70" s="17"/>
      <c r="D70" s="114" t="s">
        <v>441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>
        <f t="shared" si="27"/>
        <v>0</v>
      </c>
    </row>
    <row r="71" spans="3:21" x14ac:dyDescent="0.25">
      <c r="C71" s="17"/>
      <c r="D71" s="114" t="s">
        <v>442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>
        <f t="shared" si="27"/>
        <v>0</v>
      </c>
    </row>
    <row r="72" spans="3:21" x14ac:dyDescent="0.25">
      <c r="C72" s="17"/>
      <c r="D72" s="113" t="s">
        <v>443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>
        <f t="shared" si="27"/>
        <v>0</v>
      </c>
    </row>
    <row r="73" spans="3:21" x14ac:dyDescent="0.25">
      <c r="C73" s="17"/>
      <c r="D73" s="113" t="s">
        <v>444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>
        <f t="shared" si="27"/>
        <v>0</v>
      </c>
    </row>
    <row r="74" spans="3:21" x14ac:dyDescent="0.25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>
        <f t="shared" si="27"/>
        <v>0</v>
      </c>
    </row>
    <row r="75" spans="3:21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>
        <f t="shared" si="27"/>
        <v>0</v>
      </c>
    </row>
    <row r="76" spans="3:21" x14ac:dyDescent="0.25">
      <c r="C76" s="751" t="s">
        <v>212</v>
      </c>
      <c r="D76" s="752"/>
      <c r="E76" s="17">
        <f t="shared" ref="E76:T76" si="34">SUM(E51:E75)</f>
        <v>16775</v>
      </c>
      <c r="F76" s="17">
        <f t="shared" si="34"/>
        <v>0</v>
      </c>
      <c r="G76" s="17">
        <f t="shared" si="34"/>
        <v>3427.44</v>
      </c>
      <c r="H76" s="17">
        <f t="shared" si="34"/>
        <v>1009.38108</v>
      </c>
      <c r="I76" s="17">
        <f t="shared" si="34"/>
        <v>372.62298096000001</v>
      </c>
      <c r="J76" s="17">
        <f t="shared" si="34"/>
        <v>385.04374699199991</v>
      </c>
      <c r="K76" s="17">
        <f t="shared" si="34"/>
        <v>372.62298096000001</v>
      </c>
      <c r="L76" s="17">
        <f t="shared" si="34"/>
        <v>385.04374699199991</v>
      </c>
      <c r="M76" s="17">
        <f t="shared" si="34"/>
        <v>385.04374699199991</v>
      </c>
      <c r="N76" s="17">
        <f t="shared" si="34"/>
        <v>372.62298096000001</v>
      </c>
      <c r="O76" s="17">
        <f t="shared" si="34"/>
        <v>638.33259499200005</v>
      </c>
      <c r="P76" s="17">
        <f t="shared" si="34"/>
        <v>617.74122095999985</v>
      </c>
      <c r="Q76" s="17">
        <f t="shared" si="34"/>
        <v>638.33259499200005</v>
      </c>
      <c r="R76" s="17">
        <f t="shared" si="34"/>
        <v>638.33259499200005</v>
      </c>
      <c r="S76" s="17">
        <f t="shared" si="34"/>
        <v>576.55847289600013</v>
      </c>
      <c r="T76" s="17">
        <f t="shared" si="34"/>
        <v>638.33259499200005</v>
      </c>
      <c r="U76" s="86">
        <f>SUM(I76:T76)</f>
        <v>6020.6302576799999</v>
      </c>
    </row>
    <row r="77" spans="3:21" x14ac:dyDescent="0.25">
      <c r="C77" s="753" t="s">
        <v>387</v>
      </c>
      <c r="D77" s="754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</row>
    <row r="78" spans="3:21" x14ac:dyDescent="0.25">
      <c r="C78" s="805" t="s">
        <v>388</v>
      </c>
      <c r="D78" s="17" t="s">
        <v>389</v>
      </c>
      <c r="E78" s="111">
        <v>440</v>
      </c>
      <c r="F78" s="17"/>
      <c r="G78" s="66">
        <v>22.04</v>
      </c>
      <c r="H78" s="111">
        <f>G78*0.2945</f>
        <v>6.4907799999999991</v>
      </c>
      <c r="I78" s="66">
        <f>$H78*0.85*30*24/1000</f>
        <v>3.9723573599999997</v>
      </c>
      <c r="J78" s="66">
        <f>$H78*0.85*31*24/1000</f>
        <v>4.1047692719999995</v>
      </c>
      <c r="K78" s="66">
        <f>$H78*0.85*30*24/1000</f>
        <v>3.9723573599999997</v>
      </c>
      <c r="L78" s="66">
        <f t="shared" ref="L78:M82" si="35">$H78*0.85*31*24/1000</f>
        <v>4.1047692719999995</v>
      </c>
      <c r="M78" s="66">
        <f t="shared" si="35"/>
        <v>4.1047692719999995</v>
      </c>
      <c r="N78" s="66">
        <f>$H78*0.85*30*24/1000</f>
        <v>3.9723573599999997</v>
      </c>
      <c r="O78" s="66">
        <f>$H78*0.85*31*24/1000</f>
        <v>4.1047692719999995</v>
      </c>
      <c r="P78" s="66">
        <f>$H78*0.85*30*24/1000</f>
        <v>3.9723573599999997</v>
      </c>
      <c r="Q78" s="66">
        <f t="shared" ref="Q78:R82" si="36">$H78*0.85*31*24/1000</f>
        <v>4.1047692719999995</v>
      </c>
      <c r="R78" s="66">
        <f t="shared" si="36"/>
        <v>4.1047692719999995</v>
      </c>
      <c r="S78" s="66">
        <f>$H78*0.85*28*24/1000</f>
        <v>3.7075335360000001</v>
      </c>
      <c r="T78" s="66">
        <f>$H78*0.85*31*24/1000</f>
        <v>4.1047692719999995</v>
      </c>
      <c r="U78" s="17">
        <f t="shared" ref="U78:U91" si="37">+SUM(I78:T78)</f>
        <v>48.330347879999991</v>
      </c>
    </row>
    <row r="79" spans="3:21" x14ac:dyDescent="0.25">
      <c r="C79" s="806"/>
      <c r="D79" s="17" t="s">
        <v>390</v>
      </c>
      <c r="E79" s="111">
        <v>440</v>
      </c>
      <c r="F79" s="17"/>
      <c r="G79" s="66">
        <v>67.72</v>
      </c>
      <c r="H79" s="111">
        <f t="shared" ref="H79:H82" si="38">G79*0.2945</f>
        <v>19.943539999999999</v>
      </c>
      <c r="I79" s="66">
        <f>$H79*0.85*30*24/1000</f>
        <v>12.205446479999997</v>
      </c>
      <c r="J79" s="66">
        <f>$H79*0.85*31*24/1000</f>
        <v>12.612294695999998</v>
      </c>
      <c r="K79" s="66">
        <f>$H79*0.85*30*24/1000</f>
        <v>12.205446479999997</v>
      </c>
      <c r="L79" s="66">
        <f t="shared" si="35"/>
        <v>12.612294695999998</v>
      </c>
      <c r="M79" s="66">
        <f t="shared" si="35"/>
        <v>12.612294695999998</v>
      </c>
      <c r="N79" s="66">
        <f>$H79*0.85*30*24/1000</f>
        <v>12.205446479999997</v>
      </c>
      <c r="O79" s="66">
        <f>$H79*0.85*31*24/1000</f>
        <v>12.612294695999998</v>
      </c>
      <c r="P79" s="66">
        <f>$H79*0.85*30*24/1000</f>
        <v>12.205446479999997</v>
      </c>
      <c r="Q79" s="66">
        <f t="shared" si="36"/>
        <v>12.612294695999998</v>
      </c>
      <c r="R79" s="66">
        <f t="shared" si="36"/>
        <v>12.612294695999998</v>
      </c>
      <c r="S79" s="66">
        <f>$H79*0.85*28*24/1000</f>
        <v>11.391750047999999</v>
      </c>
      <c r="T79" s="66">
        <f>$H79*0.85*31*24/1000</f>
        <v>12.612294695999998</v>
      </c>
      <c r="U79" s="17">
        <f t="shared" si="37"/>
        <v>148.49959883999995</v>
      </c>
    </row>
    <row r="80" spans="3:21" x14ac:dyDescent="0.25">
      <c r="C80" s="806"/>
      <c r="D80" s="17" t="s">
        <v>391</v>
      </c>
      <c r="E80" s="111">
        <v>440</v>
      </c>
      <c r="F80" s="17"/>
      <c r="G80" s="66">
        <v>72.03</v>
      </c>
      <c r="H80" s="111">
        <f t="shared" si="38"/>
        <v>21.212834999999998</v>
      </c>
      <c r="I80" s="66">
        <f>$H80*0.85*30*24/1000</f>
        <v>12.98225502</v>
      </c>
      <c r="J80" s="66">
        <f>$H80*0.85*31*24/1000</f>
        <v>13.414996854000002</v>
      </c>
      <c r="K80" s="66">
        <f>$H80*0.85*30*24/1000</f>
        <v>12.98225502</v>
      </c>
      <c r="L80" s="66">
        <f t="shared" si="35"/>
        <v>13.414996854000002</v>
      </c>
      <c r="M80" s="66">
        <f t="shared" si="35"/>
        <v>13.414996854000002</v>
      </c>
      <c r="N80" s="66">
        <f>$H80*0.85*30*24/1000</f>
        <v>12.98225502</v>
      </c>
      <c r="O80" s="66">
        <f>$H80*0.85*31*24/1000</f>
        <v>13.414996854000002</v>
      </c>
      <c r="P80" s="66">
        <f>$H80*0.85*30*24/1000</f>
        <v>12.98225502</v>
      </c>
      <c r="Q80" s="66">
        <f t="shared" si="36"/>
        <v>13.414996854000002</v>
      </c>
      <c r="R80" s="66">
        <f t="shared" si="36"/>
        <v>13.414996854000002</v>
      </c>
      <c r="S80" s="66">
        <f>$H80*0.85*28*24/1000</f>
        <v>12.116771351999999</v>
      </c>
      <c r="T80" s="66">
        <f>$H80*0.85*31*24/1000</f>
        <v>13.414996854000002</v>
      </c>
      <c r="U80" s="17">
        <f t="shared" si="37"/>
        <v>157.95076941000002</v>
      </c>
    </row>
    <row r="81" spans="3:21" x14ac:dyDescent="0.25">
      <c r="C81" s="807"/>
      <c r="D81" s="17" t="s">
        <v>392</v>
      </c>
      <c r="E81" s="111">
        <v>1000</v>
      </c>
      <c r="F81" s="17"/>
      <c r="G81" s="66">
        <v>50</v>
      </c>
      <c r="H81" s="111">
        <f t="shared" si="38"/>
        <v>14.725</v>
      </c>
      <c r="I81" s="66">
        <f>$H81*0.85*30*24/1000</f>
        <v>9.0116999999999994</v>
      </c>
      <c r="J81" s="66">
        <f>$H81*0.85*31*24/1000</f>
        <v>9.3120899999999995</v>
      </c>
      <c r="K81" s="66">
        <f>$H81*0.85*30*24/1000</f>
        <v>9.0116999999999994</v>
      </c>
      <c r="L81" s="66">
        <f t="shared" si="35"/>
        <v>9.3120899999999995</v>
      </c>
      <c r="M81" s="66">
        <f t="shared" si="35"/>
        <v>9.3120899999999995</v>
      </c>
      <c r="N81" s="66">
        <f>$H81*0.85*30*24/1000</f>
        <v>9.0116999999999994</v>
      </c>
      <c r="O81" s="66">
        <f>$H81*0.85*31*24/1000</f>
        <v>9.3120899999999995</v>
      </c>
      <c r="P81" s="66">
        <f>$H81*0.85*30*24/1000</f>
        <v>9.0116999999999994</v>
      </c>
      <c r="Q81" s="66">
        <f t="shared" si="36"/>
        <v>9.3120899999999995</v>
      </c>
      <c r="R81" s="66">
        <f t="shared" si="36"/>
        <v>9.3120899999999995</v>
      </c>
      <c r="S81" s="66">
        <f>$H81*0.85*28*24/1000</f>
        <v>8.4109200000000008</v>
      </c>
      <c r="T81" s="66">
        <f>$H81*0.85*31*24/1000</f>
        <v>9.3120899999999995</v>
      </c>
      <c r="U81" s="17">
        <f t="shared" si="37"/>
        <v>109.64234999999999</v>
      </c>
    </row>
    <row r="82" spans="3:21" x14ac:dyDescent="0.25">
      <c r="C82" s="17"/>
      <c r="D82" s="17" t="s">
        <v>445</v>
      </c>
      <c r="E82" s="17">
        <v>1000</v>
      </c>
      <c r="F82" s="17"/>
      <c r="G82" s="66">
        <v>4.3</v>
      </c>
      <c r="H82" s="111">
        <f t="shared" si="38"/>
        <v>1.2663499999999999</v>
      </c>
      <c r="I82" s="66">
        <f>$H82*0.85*30*24/1000</f>
        <v>0.77500620000000009</v>
      </c>
      <c r="J82" s="66">
        <f>$H82*0.85*31*24/1000</f>
        <v>0.80083973999999991</v>
      </c>
      <c r="K82" s="66">
        <f>$H82*0.85*30*24/1000</f>
        <v>0.77500620000000009</v>
      </c>
      <c r="L82" s="66">
        <f t="shared" si="35"/>
        <v>0.80083973999999991</v>
      </c>
      <c r="M82" s="66">
        <f t="shared" si="35"/>
        <v>0.80083973999999991</v>
      </c>
      <c r="N82" s="66">
        <f>$H82*0.85*30*24/1000</f>
        <v>0.77500620000000009</v>
      </c>
      <c r="O82" s="66">
        <f>$H82*0.85*31*24/1000</f>
        <v>0.80083973999999991</v>
      </c>
      <c r="P82" s="66">
        <f>$H82*0.85*30*24/1000</f>
        <v>0.77500620000000009</v>
      </c>
      <c r="Q82" s="66">
        <f t="shared" si="36"/>
        <v>0.80083973999999991</v>
      </c>
      <c r="R82" s="66">
        <f t="shared" si="36"/>
        <v>0.80083973999999991</v>
      </c>
      <c r="S82" s="66">
        <f>$H82*0.85*28*24/1000</f>
        <v>0.72333912</v>
      </c>
      <c r="T82" s="66">
        <f>$H82*0.85*31*24/1000</f>
        <v>0.80083973999999991</v>
      </c>
      <c r="U82" s="17">
        <f t="shared" si="37"/>
        <v>9.4292420999999997</v>
      </c>
    </row>
    <row r="83" spans="3:21" x14ac:dyDescent="0.2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>
        <f t="shared" si="37"/>
        <v>0</v>
      </c>
    </row>
    <row r="84" spans="3:21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>
        <f t="shared" si="37"/>
        <v>0</v>
      </c>
    </row>
    <row r="85" spans="3:21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>
        <f t="shared" si="37"/>
        <v>0</v>
      </c>
    </row>
    <row r="86" spans="3:21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>
        <f t="shared" si="37"/>
        <v>0</v>
      </c>
    </row>
    <row r="87" spans="3:21" x14ac:dyDescent="0.25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>
        <f t="shared" si="37"/>
        <v>0</v>
      </c>
    </row>
    <row r="88" spans="3:21" x14ac:dyDescent="0.25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>
        <f t="shared" si="37"/>
        <v>0</v>
      </c>
    </row>
    <row r="89" spans="3:21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>
        <f t="shared" si="37"/>
        <v>0</v>
      </c>
    </row>
    <row r="90" spans="3:21" x14ac:dyDescent="0.25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>
        <f t="shared" si="37"/>
        <v>0</v>
      </c>
    </row>
    <row r="91" spans="3:21" x14ac:dyDescent="0.25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>
        <f t="shared" si="37"/>
        <v>0</v>
      </c>
    </row>
    <row r="92" spans="3:21" x14ac:dyDescent="0.25">
      <c r="C92" s="751" t="s">
        <v>212</v>
      </c>
      <c r="D92" s="752"/>
      <c r="E92" s="17">
        <f>SUM(E78:E91)</f>
        <v>3320</v>
      </c>
      <c r="F92" s="17">
        <f t="shared" ref="F92:T92" si="39">SUM(F78:F91)</f>
        <v>0</v>
      </c>
      <c r="G92" s="17">
        <f t="shared" si="39"/>
        <v>216.09</v>
      </c>
      <c r="H92" s="17">
        <f t="shared" si="39"/>
        <v>63.638505000000002</v>
      </c>
      <c r="I92" s="17">
        <f t="shared" si="39"/>
        <v>38.946765059999997</v>
      </c>
      <c r="J92" s="17">
        <f t="shared" si="39"/>
        <v>40.244990561999998</v>
      </c>
      <c r="K92" s="17">
        <f t="shared" si="39"/>
        <v>38.946765059999997</v>
      </c>
      <c r="L92" s="17">
        <f t="shared" si="39"/>
        <v>40.244990561999998</v>
      </c>
      <c r="M92" s="17">
        <f t="shared" si="39"/>
        <v>40.244990561999998</v>
      </c>
      <c r="N92" s="17">
        <f t="shared" si="39"/>
        <v>38.946765059999997</v>
      </c>
      <c r="O92" s="17">
        <f t="shared" si="39"/>
        <v>40.244990561999998</v>
      </c>
      <c r="P92" s="17">
        <f t="shared" si="39"/>
        <v>38.946765059999997</v>
      </c>
      <c r="Q92" s="17">
        <f t="shared" si="39"/>
        <v>40.244990561999998</v>
      </c>
      <c r="R92" s="17">
        <f t="shared" si="39"/>
        <v>40.244990561999998</v>
      </c>
      <c r="S92" s="17">
        <f t="shared" si="39"/>
        <v>36.350314055999995</v>
      </c>
      <c r="T92" s="17">
        <f t="shared" si="39"/>
        <v>40.244990561999998</v>
      </c>
      <c r="U92" s="86">
        <f>SUM(I92:T92)</f>
        <v>473.85230823000001</v>
      </c>
    </row>
    <row r="93" spans="3:21" x14ac:dyDescent="0.25">
      <c r="C93" s="753" t="s">
        <v>394</v>
      </c>
      <c r="D93" s="754"/>
      <c r="E93" s="17">
        <f>E76+E92</f>
        <v>20095</v>
      </c>
      <c r="F93" s="17">
        <f t="shared" ref="F93:T93" si="40">F76+F92</f>
        <v>0</v>
      </c>
      <c r="G93" s="17">
        <f t="shared" si="40"/>
        <v>3643.53</v>
      </c>
      <c r="H93" s="17">
        <f t="shared" si="40"/>
        <v>1073.019585</v>
      </c>
      <c r="I93" s="17">
        <f t="shared" si="40"/>
        <v>411.56974602000003</v>
      </c>
      <c r="J93" s="17">
        <f t="shared" si="40"/>
        <v>425.28873755399991</v>
      </c>
      <c r="K93" s="17">
        <f t="shared" si="40"/>
        <v>411.56974602000003</v>
      </c>
      <c r="L93" s="17">
        <f t="shared" si="40"/>
        <v>425.28873755399991</v>
      </c>
      <c r="M93" s="17">
        <f t="shared" si="40"/>
        <v>425.28873755399991</v>
      </c>
      <c r="N93" s="17">
        <f t="shared" si="40"/>
        <v>411.56974602000003</v>
      </c>
      <c r="O93" s="17">
        <f t="shared" si="40"/>
        <v>678.57758555400005</v>
      </c>
      <c r="P93" s="17">
        <f t="shared" si="40"/>
        <v>656.68798601999981</v>
      </c>
      <c r="Q93" s="17">
        <f t="shared" si="40"/>
        <v>678.57758555400005</v>
      </c>
      <c r="R93" s="17">
        <f t="shared" si="40"/>
        <v>678.57758555400005</v>
      </c>
      <c r="S93" s="17">
        <f t="shared" si="40"/>
        <v>612.90878695200013</v>
      </c>
      <c r="T93" s="17">
        <f t="shared" si="40"/>
        <v>678.57758555400005</v>
      </c>
      <c r="U93" s="86">
        <f>U76+U92</f>
        <v>6494.4825659099997</v>
      </c>
    </row>
    <row r="94" spans="3:21" x14ac:dyDescent="0.25">
      <c r="C94" s="800" t="s">
        <v>395</v>
      </c>
      <c r="D94" s="801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</row>
    <row r="95" spans="3:21" x14ac:dyDescent="0.25">
      <c r="C95" s="17" t="s">
        <v>396</v>
      </c>
      <c r="D95" s="17" t="s">
        <v>396</v>
      </c>
      <c r="E95" s="111">
        <f>'F9-Year(n-1)'!E96</f>
        <v>500</v>
      </c>
      <c r="F95" s="17"/>
      <c r="G95" s="66">
        <v>269.45</v>
      </c>
      <c r="H95" s="66">
        <f>G95*0.2945</f>
        <v>79.353024999999988</v>
      </c>
      <c r="I95" s="66">
        <f>$H95*0.85*30*24/1000</f>
        <v>48.564051300000003</v>
      </c>
      <c r="J95" s="66">
        <f>$H95*0.85*31*24/1000</f>
        <v>50.182853010000002</v>
      </c>
      <c r="K95" s="66">
        <f>$H95*0.85*30*24/1000</f>
        <v>48.564051300000003</v>
      </c>
      <c r="L95" s="66">
        <f>$H95*0.85*31*24/1000</f>
        <v>50.182853010000002</v>
      </c>
      <c r="M95" s="66">
        <f>$H95*0.85*31*24/1000</f>
        <v>50.182853010000002</v>
      </c>
      <c r="N95" s="66">
        <f>$H95*0.85*30*24/1000</f>
        <v>48.564051300000003</v>
      </c>
      <c r="O95" s="66">
        <f>$H95*0.85*31*24/1000</f>
        <v>50.182853010000002</v>
      </c>
      <c r="P95" s="66">
        <f>$H95*0.85*30*24/1000</f>
        <v>48.564051300000003</v>
      </c>
      <c r="Q95" s="66">
        <f>$H95*0.85*31*24/1000</f>
        <v>50.182853010000002</v>
      </c>
      <c r="R95" s="66">
        <f>$H95*0.85*31*24/1000</f>
        <v>50.182853010000002</v>
      </c>
      <c r="S95" s="66">
        <f>$H95*0.85*28*24/1000</f>
        <v>45.326447879999989</v>
      </c>
      <c r="T95" s="66">
        <f>$H95*0.85*31*24/1000</f>
        <v>50.182853010000002</v>
      </c>
      <c r="U95" s="17">
        <f t="shared" ref="U95:U101" si="41">+SUM(I95:T95)</f>
        <v>590.86262414999999</v>
      </c>
    </row>
    <row r="96" spans="3:21" x14ac:dyDescent="0.25">
      <c r="C96" s="17" t="s">
        <v>397</v>
      </c>
      <c r="D96" s="17" t="s">
        <v>397</v>
      </c>
      <c r="E96" s="111">
        <f>'F9-Year(n-1)'!E97</f>
        <v>570</v>
      </c>
      <c r="F96" s="17"/>
      <c r="G96" s="111">
        <v>570</v>
      </c>
      <c r="H96" s="66">
        <f>G96*0.2945</f>
        <v>167.86499999999998</v>
      </c>
      <c r="I96" s="66">
        <f>$H96*0.85*30*24/1000</f>
        <v>102.73337999999998</v>
      </c>
      <c r="J96" s="66">
        <f>$H96*0.85*31*24/1000</f>
        <v>106.15782599999999</v>
      </c>
      <c r="K96" s="66">
        <f>$H96*0.85*30*24/1000</f>
        <v>102.73337999999998</v>
      </c>
      <c r="L96" s="66">
        <f>$H96*0.85*31*24/1000</f>
        <v>106.15782599999999</v>
      </c>
      <c r="M96" s="66">
        <f>$H96*0.85*31*24/1000</f>
        <v>106.15782599999999</v>
      </c>
      <c r="N96" s="66">
        <f>$H96*0.85*30*24/1000</f>
        <v>102.73337999999998</v>
      </c>
      <c r="O96" s="66">
        <f>$H96*0.85*31*24/1000</f>
        <v>106.15782599999999</v>
      </c>
      <c r="P96" s="66">
        <f>$H96*0.85*30*24/1000</f>
        <v>102.73337999999998</v>
      </c>
      <c r="Q96" s="66">
        <f>$H96*0.85*31*24/1000</f>
        <v>106.15782599999999</v>
      </c>
      <c r="R96" s="66">
        <f>$H96*0.85*31*24/1000</f>
        <v>106.15782599999999</v>
      </c>
      <c r="S96" s="66">
        <f>$H96*0.85*28*24/1000</f>
        <v>95.884487999999976</v>
      </c>
      <c r="T96" s="66">
        <f>$H96*0.85*31*24/1000</f>
        <v>106.15782599999999</v>
      </c>
      <c r="U96" s="17">
        <f t="shared" si="41"/>
        <v>1249.9227899999996</v>
      </c>
    </row>
    <row r="97" spans="3:21" x14ac:dyDescent="0.25">
      <c r="C97" s="17"/>
      <c r="D97" s="17"/>
      <c r="E97" s="17"/>
      <c r="F97" s="17"/>
      <c r="G97" s="111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>
        <f t="shared" si="41"/>
        <v>0</v>
      </c>
    </row>
    <row r="98" spans="3:21" x14ac:dyDescent="0.25"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>
        <f t="shared" si="41"/>
        <v>0</v>
      </c>
    </row>
    <row r="99" spans="3:21" x14ac:dyDescent="0.25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>
        <f t="shared" si="41"/>
        <v>0</v>
      </c>
    </row>
    <row r="100" spans="3:21" x14ac:dyDescent="0.2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>
        <f t="shared" si="41"/>
        <v>0</v>
      </c>
    </row>
    <row r="101" spans="3:21" x14ac:dyDescent="0.2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>
        <f t="shared" si="41"/>
        <v>0</v>
      </c>
    </row>
    <row r="102" spans="3:21" x14ac:dyDescent="0.25">
      <c r="C102" s="753" t="s">
        <v>398</v>
      </c>
      <c r="D102" s="754"/>
      <c r="E102" s="111">
        <f>SUM(E95:E101)</f>
        <v>1070</v>
      </c>
      <c r="F102" s="17">
        <f t="shared" ref="F102:T102" si="42">SUM(F95:F101)</f>
        <v>0</v>
      </c>
      <c r="G102" s="17">
        <f t="shared" si="42"/>
        <v>839.45</v>
      </c>
      <c r="H102" s="17">
        <f t="shared" si="42"/>
        <v>247.21802499999995</v>
      </c>
      <c r="I102" s="17">
        <f t="shared" si="42"/>
        <v>151.29743129999997</v>
      </c>
      <c r="J102" s="17">
        <f t="shared" si="42"/>
        <v>156.34067900999997</v>
      </c>
      <c r="K102" s="17">
        <f t="shared" si="42"/>
        <v>151.29743129999997</v>
      </c>
      <c r="L102" s="17">
        <f t="shared" si="42"/>
        <v>156.34067900999997</v>
      </c>
      <c r="M102" s="17">
        <f t="shared" si="42"/>
        <v>156.34067900999997</v>
      </c>
      <c r="N102" s="17">
        <f t="shared" si="42"/>
        <v>151.29743129999997</v>
      </c>
      <c r="O102" s="17">
        <f t="shared" si="42"/>
        <v>156.34067900999997</v>
      </c>
      <c r="P102" s="17">
        <f t="shared" si="42"/>
        <v>151.29743129999997</v>
      </c>
      <c r="Q102" s="17">
        <f t="shared" si="42"/>
        <v>156.34067900999997</v>
      </c>
      <c r="R102" s="17">
        <f t="shared" si="42"/>
        <v>156.34067900999997</v>
      </c>
      <c r="S102" s="17">
        <f t="shared" si="42"/>
        <v>141.21093587999997</v>
      </c>
      <c r="T102" s="17">
        <f t="shared" si="42"/>
        <v>156.34067900999997</v>
      </c>
      <c r="U102" s="86">
        <f>SUM(I102:T102)</f>
        <v>1840.78541415</v>
      </c>
    </row>
    <row r="103" spans="3:21" x14ac:dyDescent="0.25">
      <c r="C103" s="800" t="s">
        <v>399</v>
      </c>
      <c r="D103" s="801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3:21" x14ac:dyDescent="0.25">
      <c r="C104" s="17" t="s">
        <v>400</v>
      </c>
      <c r="D104" s="17" t="s">
        <v>400</v>
      </c>
      <c r="E104" s="111">
        <v>1200</v>
      </c>
      <c r="F104" s="17"/>
      <c r="G104" s="111">
        <v>1200</v>
      </c>
      <c r="H104" s="17">
        <f>G104*0.2945</f>
        <v>353.4</v>
      </c>
      <c r="I104" s="17">
        <f>'[41]2023-24'!$G$206/1000000</f>
        <v>222.4956335</v>
      </c>
      <c r="J104" s="17">
        <f>'[41]2023-24'!$M$206/1000000</f>
        <v>229.052087</v>
      </c>
      <c r="K104" s="17">
        <f>'[41]2023-24'!$S$206/1000000</f>
        <v>111.4638325</v>
      </c>
      <c r="L104" s="17">
        <f>'[41]2023-24'!$Y$206/1000000</f>
        <v>200.50885249999999</v>
      </c>
      <c r="M104" s="17">
        <f>'[41]2023-24'!$AE$206/1000000</f>
        <v>239.98274900000001</v>
      </c>
      <c r="N104" s="17">
        <f>'[41]2023-24'!$AK$206/1000000</f>
        <v>219.32357400000001</v>
      </c>
      <c r="O104" s="17">
        <f>'[42]1. Gen'!DN384</f>
        <v>242.928338</v>
      </c>
      <c r="P104" s="17">
        <f>'[42]1. Gen'!DO384</f>
        <v>171.25498949999999</v>
      </c>
      <c r="Q104" s="17">
        <f>'[42]1. Gen'!DP384</f>
        <v>242.85492503999998</v>
      </c>
      <c r="R104" s="17">
        <f>'[42]1. Gen'!DQ384</f>
        <v>242.85492503999998</v>
      </c>
      <c r="S104" s="17">
        <f>'[42]1. Gen'!DR384</f>
        <v>227.18686535999998</v>
      </c>
      <c r="T104" s="17">
        <f>'[42]1. Gen'!DS384</f>
        <v>242.85492503999998</v>
      </c>
      <c r="U104" s="17">
        <f>+SUM(I104:T104)</f>
        <v>2592.76169648</v>
      </c>
    </row>
    <row r="105" spans="3:21" x14ac:dyDescent="0.25">
      <c r="C105" s="17" t="s">
        <v>401</v>
      </c>
      <c r="D105" s="17" t="s">
        <v>401</v>
      </c>
      <c r="E105" s="111">
        <v>1000</v>
      </c>
      <c r="F105" s="17"/>
      <c r="G105" s="111">
        <v>1000</v>
      </c>
      <c r="H105" s="17">
        <f>G105*0.2945</f>
        <v>294.5</v>
      </c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>
        <f t="shared" ref="U105:U111" si="43">+SUM(I105:T105)</f>
        <v>0</v>
      </c>
    </row>
    <row r="106" spans="3:21" x14ac:dyDescent="0.25">
      <c r="C106" s="17" t="s">
        <v>402</v>
      </c>
      <c r="D106" s="17" t="s">
        <v>402</v>
      </c>
      <c r="E106" s="111" t="str">
        <f>'F9-Year(n-1)'!E107</f>
        <v>-</v>
      </c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>
        <f t="shared" si="43"/>
        <v>0</v>
      </c>
    </row>
    <row r="107" spans="3:21" x14ac:dyDescent="0.25"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>
        <f t="shared" si="43"/>
        <v>0</v>
      </c>
    </row>
    <row r="108" spans="3:21" x14ac:dyDescent="0.2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>
        <f t="shared" si="43"/>
        <v>0</v>
      </c>
    </row>
    <row r="109" spans="3:21" x14ac:dyDescent="0.2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f t="shared" si="43"/>
        <v>0</v>
      </c>
    </row>
    <row r="110" spans="3:21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>
        <f t="shared" si="43"/>
        <v>0</v>
      </c>
    </row>
    <row r="111" spans="3:21" x14ac:dyDescent="0.25"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f t="shared" si="43"/>
        <v>0</v>
      </c>
    </row>
    <row r="112" spans="3:21" x14ac:dyDescent="0.25">
      <c r="C112" s="753" t="s">
        <v>403</v>
      </c>
      <c r="D112" s="754"/>
      <c r="E112" s="17">
        <f>SUM(E104:E111)</f>
        <v>2200</v>
      </c>
      <c r="F112" s="17">
        <f t="shared" ref="F112:H112" si="44">SUM(F104:F111)</f>
        <v>0</v>
      </c>
      <c r="G112" s="17">
        <f t="shared" si="44"/>
        <v>2200</v>
      </c>
      <c r="H112" s="17">
        <f t="shared" si="44"/>
        <v>647.9</v>
      </c>
      <c r="I112" s="17">
        <f t="shared" ref="I112:T112" si="45">SUM(I104:I111)</f>
        <v>222.4956335</v>
      </c>
      <c r="J112" s="17">
        <f t="shared" si="45"/>
        <v>229.052087</v>
      </c>
      <c r="K112" s="17">
        <f t="shared" si="45"/>
        <v>111.4638325</v>
      </c>
      <c r="L112" s="17">
        <f t="shared" si="45"/>
        <v>200.50885249999999</v>
      </c>
      <c r="M112" s="17">
        <f t="shared" si="45"/>
        <v>239.98274900000001</v>
      </c>
      <c r="N112" s="17">
        <f t="shared" si="45"/>
        <v>219.32357400000001</v>
      </c>
      <c r="O112" s="17">
        <f t="shared" si="45"/>
        <v>242.928338</v>
      </c>
      <c r="P112" s="17">
        <f t="shared" si="45"/>
        <v>171.25498949999999</v>
      </c>
      <c r="Q112" s="17">
        <f t="shared" si="45"/>
        <v>242.85492503999998</v>
      </c>
      <c r="R112" s="17">
        <f t="shared" si="45"/>
        <v>242.85492503999998</v>
      </c>
      <c r="S112" s="17">
        <f t="shared" si="45"/>
        <v>227.18686535999998</v>
      </c>
      <c r="T112" s="17">
        <f t="shared" si="45"/>
        <v>242.85492503999998</v>
      </c>
      <c r="U112" s="86">
        <f>SUM(I112:T112)</f>
        <v>2592.76169648</v>
      </c>
    </row>
    <row r="113" spans="3:21" x14ac:dyDescent="0.25">
      <c r="C113" s="800" t="s">
        <v>404</v>
      </c>
      <c r="D113" s="801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3:21" x14ac:dyDescent="0.25">
      <c r="C114" s="17"/>
      <c r="D114" s="17" t="s">
        <v>405</v>
      </c>
      <c r="E114" s="111">
        <v>6</v>
      </c>
      <c r="F114" s="17"/>
      <c r="G114" s="111">
        <f>E114</f>
        <v>6</v>
      </c>
      <c r="H114" s="111">
        <v>6</v>
      </c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>
        <f t="shared" ref="U114:U137" si="46">+SUM(I114:T114)</f>
        <v>0</v>
      </c>
    </row>
    <row r="115" spans="3:21" x14ac:dyDescent="0.25">
      <c r="C115" s="17"/>
      <c r="D115" s="17" t="s">
        <v>406</v>
      </c>
      <c r="E115" s="111">
        <v>46.7</v>
      </c>
      <c r="F115" s="17"/>
      <c r="G115" s="111">
        <f t="shared" ref="G115:G127" si="47">E115</f>
        <v>46.7</v>
      </c>
      <c r="H115" s="111">
        <v>46.7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>
        <f t="shared" si="46"/>
        <v>0</v>
      </c>
    </row>
    <row r="116" spans="3:21" x14ac:dyDescent="0.25">
      <c r="C116" s="17"/>
      <c r="D116" s="17" t="s">
        <v>407</v>
      </c>
      <c r="E116" s="111">
        <v>19.8</v>
      </c>
      <c r="F116" s="17"/>
      <c r="G116" s="111">
        <f t="shared" si="47"/>
        <v>19.8</v>
      </c>
      <c r="H116" s="111">
        <v>0</v>
      </c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>
        <f t="shared" si="46"/>
        <v>0</v>
      </c>
    </row>
    <row r="117" spans="3:21" x14ac:dyDescent="0.25">
      <c r="C117" s="17"/>
      <c r="D117" s="17" t="s">
        <v>408</v>
      </c>
      <c r="E117" s="111">
        <v>15</v>
      </c>
      <c r="F117" s="17"/>
      <c r="G117" s="111">
        <f t="shared" si="47"/>
        <v>15</v>
      </c>
      <c r="H117" s="111">
        <v>7.5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>
        <f t="shared" si="46"/>
        <v>0</v>
      </c>
    </row>
    <row r="118" spans="3:21" x14ac:dyDescent="0.25">
      <c r="C118" s="17"/>
      <c r="D118" s="17" t="s">
        <v>409</v>
      </c>
      <c r="E118" s="111">
        <v>128.1</v>
      </c>
      <c r="F118" s="17"/>
      <c r="G118" s="111">
        <f t="shared" si="47"/>
        <v>128.1</v>
      </c>
      <c r="H118" s="111">
        <v>0</v>
      </c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>
        <f t="shared" si="46"/>
        <v>0</v>
      </c>
    </row>
    <row r="119" spans="3:21" x14ac:dyDescent="0.25">
      <c r="C119" s="17"/>
      <c r="D119" s="17" t="s">
        <v>367</v>
      </c>
      <c r="E119" s="111">
        <v>3.55</v>
      </c>
      <c r="F119" s="17"/>
      <c r="G119" s="111">
        <f t="shared" si="47"/>
        <v>3.55</v>
      </c>
      <c r="H119" s="111">
        <v>2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>
        <f t="shared" si="46"/>
        <v>0</v>
      </c>
    </row>
    <row r="120" spans="3:21" x14ac:dyDescent="0.25">
      <c r="C120" s="17"/>
      <c r="D120" s="17" t="s">
        <v>410</v>
      </c>
      <c r="E120" s="111">
        <v>2833.74</v>
      </c>
      <c r="F120" s="17"/>
      <c r="G120" s="111">
        <f t="shared" si="47"/>
        <v>2833.74</v>
      </c>
      <c r="H120" s="111">
        <v>872</v>
      </c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25">
        <f t="shared" si="46"/>
        <v>0</v>
      </c>
    </row>
    <row r="121" spans="3:21" x14ac:dyDescent="0.25">
      <c r="C121" s="17"/>
      <c r="D121" s="17" t="s">
        <v>411</v>
      </c>
      <c r="E121" s="111">
        <v>45.81</v>
      </c>
      <c r="F121" s="17"/>
      <c r="G121" s="111">
        <f t="shared" si="47"/>
        <v>45.81</v>
      </c>
      <c r="H121" s="111">
        <v>23.49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>
        <f t="shared" si="46"/>
        <v>0</v>
      </c>
    </row>
    <row r="122" spans="3:21" x14ac:dyDescent="0.25">
      <c r="C122" s="17"/>
      <c r="D122" s="17" t="s">
        <v>412</v>
      </c>
      <c r="E122" s="111">
        <v>400</v>
      </c>
      <c r="F122" s="17"/>
      <c r="G122" s="111">
        <f t="shared" si="47"/>
        <v>400</v>
      </c>
      <c r="H122" s="111">
        <v>117.8</v>
      </c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>
        <f t="shared" si="46"/>
        <v>0</v>
      </c>
    </row>
    <row r="123" spans="3:21" x14ac:dyDescent="0.25">
      <c r="C123" s="17"/>
      <c r="D123" s="17" t="s">
        <v>413</v>
      </c>
      <c r="E123" s="111">
        <v>400</v>
      </c>
      <c r="F123" s="17"/>
      <c r="G123" s="111">
        <f t="shared" si="47"/>
        <v>400</v>
      </c>
      <c r="H123" s="111">
        <v>117.8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>
        <f t="shared" si="46"/>
        <v>0</v>
      </c>
    </row>
    <row r="124" spans="3:21" x14ac:dyDescent="0.25">
      <c r="C124" s="17"/>
      <c r="D124" s="17" t="s">
        <v>414</v>
      </c>
      <c r="E124" s="17">
        <v>0</v>
      </c>
      <c r="F124" s="17"/>
      <c r="G124" s="111">
        <f t="shared" si="47"/>
        <v>0</v>
      </c>
      <c r="H124" s="17">
        <v>216.45750000000001</v>
      </c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>
        <f t="shared" si="46"/>
        <v>0</v>
      </c>
    </row>
    <row r="125" spans="3:21" x14ac:dyDescent="0.25">
      <c r="C125" s="17"/>
      <c r="D125" s="17" t="s">
        <v>415</v>
      </c>
      <c r="E125" s="17"/>
      <c r="F125" s="17"/>
      <c r="G125" s="111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>
        <f t="shared" si="46"/>
        <v>0</v>
      </c>
    </row>
    <row r="126" spans="3:21" x14ac:dyDescent="0.25">
      <c r="C126" s="17"/>
      <c r="D126" s="17" t="s">
        <v>416</v>
      </c>
      <c r="E126" s="17">
        <v>1692</v>
      </c>
      <c r="F126" s="17"/>
      <c r="G126" s="111">
        <f t="shared" si="47"/>
        <v>1692</v>
      </c>
      <c r="H126" s="17">
        <v>498.29399999999998</v>
      </c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>
        <f t="shared" si="46"/>
        <v>0</v>
      </c>
    </row>
    <row r="127" spans="3:21" x14ac:dyDescent="0.25">
      <c r="C127" s="17"/>
      <c r="D127" s="17" t="s">
        <v>417</v>
      </c>
      <c r="E127" s="17">
        <v>0</v>
      </c>
      <c r="F127" s="17"/>
      <c r="G127" s="111">
        <f t="shared" si="47"/>
        <v>0</v>
      </c>
      <c r="H127" s="17">
        <v>294.5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>
        <f t="shared" si="46"/>
        <v>0</v>
      </c>
    </row>
    <row r="128" spans="3:21" x14ac:dyDescent="0.25">
      <c r="C128" s="17"/>
      <c r="D128" s="114" t="s">
        <v>418</v>
      </c>
      <c r="E128" s="17"/>
      <c r="F128" s="17"/>
      <c r="G128" s="17"/>
      <c r="H128" s="17"/>
      <c r="I128" s="115"/>
      <c r="J128" s="17"/>
      <c r="K128" s="17"/>
      <c r="L128" s="112"/>
      <c r="M128" s="17"/>
      <c r="N128" s="17"/>
      <c r="O128" s="17"/>
      <c r="P128" s="17"/>
      <c r="Q128" s="17"/>
      <c r="R128" s="17"/>
      <c r="S128" s="17"/>
      <c r="T128" s="17"/>
      <c r="U128" s="17">
        <f t="shared" si="46"/>
        <v>0</v>
      </c>
    </row>
    <row r="129" spans="3:21" x14ac:dyDescent="0.25">
      <c r="C129" s="17"/>
      <c r="D129" s="114" t="s">
        <v>446</v>
      </c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>
        <f t="shared" si="46"/>
        <v>0</v>
      </c>
    </row>
    <row r="130" spans="3:21" x14ac:dyDescent="0.25">
      <c r="C130" s="17"/>
      <c r="D130" s="17" t="s">
        <v>447</v>
      </c>
      <c r="E130" s="17"/>
      <c r="F130" s="17"/>
      <c r="G130" s="17"/>
      <c r="H130" s="17"/>
      <c r="I130" s="291">
        <f>'F11-Year(n)'!E131</f>
        <v>298.23031286774994</v>
      </c>
      <c r="J130" s="291">
        <f>'F11-Year(n)'!F131</f>
        <v>308.96501342275002</v>
      </c>
      <c r="K130" s="291">
        <f>'F11-Year(n)'!G131</f>
        <v>282.54975735125004</v>
      </c>
      <c r="L130" s="291">
        <f>'F11-Year(n)'!H131</f>
        <v>227.94953486474998</v>
      </c>
      <c r="M130" s="291">
        <f>'F11-Year(n)'!I131</f>
        <v>252.61347427224993</v>
      </c>
      <c r="N130" s="291">
        <f>'F11-Year(n)'!J131</f>
        <v>237.1275815597775</v>
      </c>
      <c r="O130" s="291">
        <f>'F11-Year(n)'!K131</f>
        <v>285.268025658</v>
      </c>
      <c r="P130" s="291">
        <f>'F11-Year(n)'!L131</f>
        <v>235.10982657</v>
      </c>
      <c r="Q130" s="291">
        <f>'F11-Year(n)'!M131</f>
        <v>256.29085555925002</v>
      </c>
      <c r="R130" s="291">
        <f>'F11-Year(n)'!N131</f>
        <v>258.89655592949998</v>
      </c>
      <c r="S130" s="291">
        <f>'F11-Year(n)'!O131</f>
        <v>282.52357372674993</v>
      </c>
      <c r="T130" s="291">
        <f>'F11-Year(n)'!P131</f>
        <v>312.91279657949997</v>
      </c>
      <c r="U130" s="291">
        <f>+SUM(I130:T130)</f>
        <v>3238.4373083615274</v>
      </c>
    </row>
    <row r="131" spans="3:21" x14ac:dyDescent="0.25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>
        <f t="shared" si="46"/>
        <v>0</v>
      </c>
    </row>
    <row r="132" spans="3:21" x14ac:dyDescent="0.25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>
        <f t="shared" si="46"/>
        <v>0</v>
      </c>
    </row>
    <row r="133" spans="3:21" x14ac:dyDescent="0.25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>
        <f t="shared" si="46"/>
        <v>0</v>
      </c>
    </row>
    <row r="134" spans="3:21" x14ac:dyDescent="0.25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>
        <f t="shared" si="46"/>
        <v>0</v>
      </c>
    </row>
    <row r="135" spans="3:21" x14ac:dyDescent="0.2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>
        <f t="shared" si="46"/>
        <v>0</v>
      </c>
    </row>
    <row r="136" spans="3:21" x14ac:dyDescent="0.25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>
        <f t="shared" si="46"/>
        <v>0</v>
      </c>
    </row>
    <row r="137" spans="3:21" x14ac:dyDescent="0.25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>
        <f t="shared" si="46"/>
        <v>0</v>
      </c>
    </row>
    <row r="138" spans="3:21" x14ac:dyDescent="0.25">
      <c r="C138" s="753" t="s">
        <v>420</v>
      </c>
      <c r="D138" s="754"/>
      <c r="E138" s="17">
        <f>SUM(E114:E137)</f>
        <v>5590.7</v>
      </c>
      <c r="F138" s="17">
        <f t="shared" ref="F138:T138" si="48">SUM(F114:F137)</f>
        <v>0</v>
      </c>
      <c r="G138" s="17">
        <f t="shared" si="48"/>
        <v>5590.7</v>
      </c>
      <c r="H138" s="17">
        <f t="shared" si="48"/>
        <v>2202.5414999999998</v>
      </c>
      <c r="I138" s="17">
        <f t="shared" si="48"/>
        <v>298.23031286774994</v>
      </c>
      <c r="J138" s="17">
        <f t="shared" si="48"/>
        <v>308.96501342275002</v>
      </c>
      <c r="K138" s="17">
        <f t="shared" si="48"/>
        <v>282.54975735125004</v>
      </c>
      <c r="L138" s="17">
        <f t="shared" si="48"/>
        <v>227.94953486474998</v>
      </c>
      <c r="M138" s="17">
        <f t="shared" si="48"/>
        <v>252.61347427224993</v>
      </c>
      <c r="N138" s="17">
        <f t="shared" si="48"/>
        <v>237.1275815597775</v>
      </c>
      <c r="O138" s="17">
        <f t="shared" si="48"/>
        <v>285.268025658</v>
      </c>
      <c r="P138" s="17">
        <f t="shared" si="48"/>
        <v>235.10982657</v>
      </c>
      <c r="Q138" s="17">
        <f t="shared" si="48"/>
        <v>256.29085555925002</v>
      </c>
      <c r="R138" s="17">
        <f t="shared" si="48"/>
        <v>258.89655592949998</v>
      </c>
      <c r="S138" s="17">
        <f t="shared" si="48"/>
        <v>282.52357372674993</v>
      </c>
      <c r="T138" s="17">
        <f t="shared" si="48"/>
        <v>312.91279657949997</v>
      </c>
      <c r="U138" s="86">
        <f>SUM(I138:T138)</f>
        <v>3238.4373083615274</v>
      </c>
    </row>
    <row r="139" spans="3:21" x14ac:dyDescent="0.25">
      <c r="C139" s="800" t="s">
        <v>421</v>
      </c>
      <c r="D139" s="801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3:21" x14ac:dyDescent="0.25">
      <c r="C140" s="17"/>
      <c r="D140" s="17" t="s">
        <v>422</v>
      </c>
      <c r="E140" s="17"/>
      <c r="F140" s="17"/>
      <c r="G140" s="17"/>
      <c r="H140" s="17"/>
      <c r="I140" s="291">
        <f>'F11-Year(n)'!E142</f>
        <v>456.66987433124996</v>
      </c>
      <c r="J140" s="291">
        <f>'F11-Year(n)'!F142</f>
        <v>83.584363451249999</v>
      </c>
      <c r="K140" s="291">
        <f>'F11-Year(n)'!G142</f>
        <v>177.61152756499999</v>
      </c>
      <c r="L140" s="291">
        <f>'F11-Year(n)'!H142</f>
        <v>305.73502774999997</v>
      </c>
      <c r="M140" s="291">
        <f>'F11-Year(n)'!I142</f>
        <v>510.09774921624995</v>
      </c>
      <c r="N140" s="291">
        <f>'F11-Year(n)'!J142</f>
        <v>384.83383961375</v>
      </c>
      <c r="O140" s="291">
        <f>'F11-Year(n)'!K142</f>
        <v>477.01566083749998</v>
      </c>
      <c r="P140" s="291">
        <f>'F11-Year(n)'!L142</f>
        <v>304.46543898624998</v>
      </c>
      <c r="Q140" s="291">
        <f>'F11-Year(n)'!M142</f>
        <v>360.28541441749996</v>
      </c>
      <c r="R140" s="291">
        <f>'F11-Year(n)'!N142</f>
        <v>381.98037904874997</v>
      </c>
      <c r="S140" s="291">
        <f>'F11-Year(n)'!O142</f>
        <v>580.75147098124989</v>
      </c>
      <c r="T140" s="291">
        <f>'F11-Year(n)'!P142</f>
        <v>775.53421641249986</v>
      </c>
      <c r="U140" s="17">
        <f t="shared" ref="U140:U150" si="49">+SUM(I140:T140)</f>
        <v>4798.564962611249</v>
      </c>
    </row>
    <row r="141" spans="3:21" x14ac:dyDescent="0.25"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>
        <f t="shared" si="49"/>
        <v>0</v>
      </c>
    </row>
    <row r="142" spans="3:21" x14ac:dyDescent="0.25"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>
        <f t="shared" si="49"/>
        <v>0</v>
      </c>
    </row>
    <row r="143" spans="3:21" x14ac:dyDescent="0.25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>
        <f t="shared" si="49"/>
        <v>0</v>
      </c>
    </row>
    <row r="144" spans="3:21" x14ac:dyDescent="0.25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>
        <f t="shared" si="49"/>
        <v>0</v>
      </c>
    </row>
    <row r="145" spans="3:22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>
        <f t="shared" si="49"/>
        <v>0</v>
      </c>
    </row>
    <row r="146" spans="3:22" x14ac:dyDescent="0.25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>
        <f t="shared" si="49"/>
        <v>0</v>
      </c>
    </row>
    <row r="147" spans="3:22" x14ac:dyDescent="0.25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>
        <f t="shared" si="49"/>
        <v>0</v>
      </c>
    </row>
    <row r="148" spans="3:22" x14ac:dyDescent="0.25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>
        <f t="shared" si="49"/>
        <v>0</v>
      </c>
    </row>
    <row r="149" spans="3:22" x14ac:dyDescent="0.25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>
        <f t="shared" si="49"/>
        <v>0</v>
      </c>
    </row>
    <row r="150" spans="3:22" x14ac:dyDescent="0.25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>
        <f t="shared" si="49"/>
        <v>0</v>
      </c>
    </row>
    <row r="151" spans="3:22" x14ac:dyDescent="0.25">
      <c r="C151" s="753" t="s">
        <v>423</v>
      </c>
      <c r="D151" s="754"/>
      <c r="E151" s="17">
        <f>SUM(E140:E150)</f>
        <v>0</v>
      </c>
      <c r="F151" s="17">
        <f t="shared" ref="F151:T151" si="50">SUM(F140:F150)</f>
        <v>0</v>
      </c>
      <c r="G151" s="17">
        <f t="shared" si="50"/>
        <v>0</v>
      </c>
      <c r="H151" s="17">
        <f t="shared" si="50"/>
        <v>0</v>
      </c>
      <c r="I151" s="17">
        <f t="shared" si="50"/>
        <v>456.66987433124996</v>
      </c>
      <c r="J151" s="17">
        <f t="shared" si="50"/>
        <v>83.584363451249999</v>
      </c>
      <c r="K151" s="17">
        <f t="shared" si="50"/>
        <v>177.61152756499999</v>
      </c>
      <c r="L151" s="17">
        <f t="shared" si="50"/>
        <v>305.73502774999997</v>
      </c>
      <c r="M151" s="17">
        <f t="shared" si="50"/>
        <v>510.09774921624995</v>
      </c>
      <c r="N151" s="17">
        <f t="shared" si="50"/>
        <v>384.83383961375</v>
      </c>
      <c r="O151" s="17">
        <f t="shared" si="50"/>
        <v>477.01566083749998</v>
      </c>
      <c r="P151" s="17">
        <f t="shared" si="50"/>
        <v>304.46543898624998</v>
      </c>
      <c r="Q151" s="17">
        <f t="shared" si="50"/>
        <v>360.28541441749996</v>
      </c>
      <c r="R151" s="17">
        <f t="shared" si="50"/>
        <v>381.98037904874997</v>
      </c>
      <c r="S151" s="17">
        <f t="shared" si="50"/>
        <v>580.75147098124989</v>
      </c>
      <c r="T151" s="17">
        <f t="shared" si="50"/>
        <v>775.53421641249986</v>
      </c>
      <c r="U151" s="86">
        <f>SUM(I151:T151)</f>
        <v>4798.564962611249</v>
      </c>
    </row>
    <row r="152" spans="3:22" x14ac:dyDescent="0.25">
      <c r="C152" s="800" t="s">
        <v>424</v>
      </c>
      <c r="D152" s="801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</row>
    <row r="153" spans="3:22" x14ac:dyDescent="0.25">
      <c r="C153" s="17" t="s">
        <v>425</v>
      </c>
      <c r="D153" s="17" t="s">
        <v>426</v>
      </c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>
        <f t="shared" ref="U153:U154" si="51">+SUM(I153:T153)</f>
        <v>0</v>
      </c>
    </row>
    <row r="154" spans="3:22" x14ac:dyDescent="0.25">
      <c r="C154" s="17" t="s">
        <v>425</v>
      </c>
      <c r="D154" s="17" t="s">
        <v>427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>
        <f t="shared" si="51"/>
        <v>0</v>
      </c>
    </row>
    <row r="155" spans="3:22" x14ac:dyDescent="0.25">
      <c r="C155" s="753" t="s">
        <v>428</v>
      </c>
      <c r="D155" s="754"/>
      <c r="E155" s="17">
        <f>SUM(E153:E154)</f>
        <v>0</v>
      </c>
      <c r="F155" s="17">
        <f t="shared" ref="F155:T155" si="52">SUM(F153:F154)</f>
        <v>0</v>
      </c>
      <c r="G155" s="17">
        <f t="shared" si="52"/>
        <v>0</v>
      </c>
      <c r="H155" s="17">
        <f t="shared" si="52"/>
        <v>0</v>
      </c>
      <c r="I155" s="17">
        <f t="shared" si="52"/>
        <v>0</v>
      </c>
      <c r="J155" s="17">
        <f t="shared" si="52"/>
        <v>0</v>
      </c>
      <c r="K155" s="17">
        <f t="shared" si="52"/>
        <v>0</v>
      </c>
      <c r="L155" s="17">
        <f t="shared" si="52"/>
        <v>0</v>
      </c>
      <c r="M155" s="17">
        <f t="shared" si="52"/>
        <v>0</v>
      </c>
      <c r="N155" s="17">
        <f t="shared" si="52"/>
        <v>0</v>
      </c>
      <c r="O155" s="17">
        <f t="shared" si="52"/>
        <v>0</v>
      </c>
      <c r="P155" s="17">
        <f t="shared" si="52"/>
        <v>0</v>
      </c>
      <c r="Q155" s="17">
        <f t="shared" si="52"/>
        <v>0</v>
      </c>
      <c r="R155" s="17">
        <f t="shared" si="52"/>
        <v>0</v>
      </c>
      <c r="S155" s="17">
        <f t="shared" si="52"/>
        <v>0</v>
      </c>
      <c r="T155" s="17">
        <f t="shared" si="52"/>
        <v>0</v>
      </c>
      <c r="U155" s="86">
        <f>U153-U154</f>
        <v>0</v>
      </c>
    </row>
    <row r="156" spans="3:22" x14ac:dyDescent="0.25">
      <c r="C156" s="753" t="s">
        <v>220</v>
      </c>
      <c r="D156" s="754"/>
      <c r="E156" s="17">
        <f t="shared" ref="E156:U156" si="53">E48+E93+E102+E112+E138+E151+E155</f>
        <v>37039.96</v>
      </c>
      <c r="F156" s="17">
        <f t="shared" si="53"/>
        <v>0</v>
      </c>
      <c r="G156" s="17">
        <f t="shared" si="53"/>
        <v>20240.940000000002</v>
      </c>
      <c r="H156" s="17">
        <f t="shared" si="53"/>
        <v>6517.0371799999994</v>
      </c>
      <c r="I156" s="17">
        <f t="shared" si="53"/>
        <v>2284.1061286260001</v>
      </c>
      <c r="J156" s="17">
        <f t="shared" si="53"/>
        <v>1971.1656034531998</v>
      </c>
      <c r="K156" s="17">
        <f t="shared" si="53"/>
        <v>1879.2131871580002</v>
      </c>
      <c r="L156" s="17">
        <f t="shared" si="53"/>
        <v>2102.4474408245496</v>
      </c>
      <c r="M156" s="17">
        <f t="shared" si="53"/>
        <v>2422.1827681012996</v>
      </c>
      <c r="N156" s="17">
        <f t="shared" si="53"/>
        <v>2176.2271938791778</v>
      </c>
      <c r="O156" s="17">
        <f t="shared" si="53"/>
        <v>2638.4628403870502</v>
      </c>
      <c r="P156" s="17">
        <f t="shared" si="53"/>
        <v>2263.9870650114499</v>
      </c>
      <c r="Q156" s="17">
        <f t="shared" si="53"/>
        <v>2474.5683063412498</v>
      </c>
      <c r="R156" s="17">
        <f t="shared" si="53"/>
        <v>2499.9027960405497</v>
      </c>
      <c r="S156" s="17">
        <f t="shared" si="53"/>
        <v>2537.9471156730497</v>
      </c>
      <c r="T156" s="17">
        <f t="shared" si="53"/>
        <v>2927.0836333367997</v>
      </c>
      <c r="U156" s="86">
        <f t="shared" si="53"/>
        <v>28177.294078832376</v>
      </c>
      <c r="V156" s="64"/>
    </row>
    <row r="159" spans="3:22" x14ac:dyDescent="0.25">
      <c r="D159" s="22"/>
      <c r="E159" s="22"/>
      <c r="F159" s="22"/>
      <c r="G159" s="22"/>
      <c r="H159" s="22"/>
      <c r="I159" s="22"/>
    </row>
    <row r="160" spans="3:22" x14ac:dyDescent="0.25">
      <c r="D160" s="24"/>
      <c r="E160" s="24"/>
      <c r="F160" s="24"/>
      <c r="G160" s="24"/>
      <c r="H160" s="24"/>
      <c r="I160" s="24"/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4">
    <mergeCell ref="C9:C26"/>
    <mergeCell ref="C29:C46"/>
    <mergeCell ref="C51:C59"/>
    <mergeCell ref="C92:D92"/>
    <mergeCell ref="E4:E6"/>
    <mergeCell ref="C48:D48"/>
    <mergeCell ref="C49:D49"/>
    <mergeCell ref="C50:D50"/>
    <mergeCell ref="C47:D47"/>
    <mergeCell ref="C27:D27"/>
    <mergeCell ref="C28:D28"/>
    <mergeCell ref="C78:C81"/>
    <mergeCell ref="C76:D76"/>
    <mergeCell ref="C77:D77"/>
    <mergeCell ref="F4:F6"/>
    <mergeCell ref="I4:U4"/>
    <mergeCell ref="C7:D7"/>
    <mergeCell ref="C8:D8"/>
    <mergeCell ref="G4:G6"/>
    <mergeCell ref="H4:H6"/>
    <mergeCell ref="C4:C6"/>
    <mergeCell ref="D4:D6"/>
    <mergeCell ref="C156:D156"/>
    <mergeCell ref="C93:D93"/>
    <mergeCell ref="C94:D94"/>
    <mergeCell ref="C102:D102"/>
    <mergeCell ref="C103:D103"/>
    <mergeCell ref="C112:D112"/>
    <mergeCell ref="C113:D113"/>
    <mergeCell ref="C138:D138"/>
    <mergeCell ref="C139:D139"/>
    <mergeCell ref="C151:D151"/>
    <mergeCell ref="C152:D152"/>
    <mergeCell ref="C155:D15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W163"/>
  <sheetViews>
    <sheetView showGridLines="0" topLeftCell="A2" zoomScale="55" zoomScaleNormal="55" workbookViewId="0">
      <pane xSplit="4" ySplit="7" topLeftCell="E123" activePane="bottomRight" state="frozen"/>
      <selection activeCell="K17" sqref="K17"/>
      <selection pane="topRight" activeCell="K17" sqref="K17"/>
      <selection pane="bottomLeft" activeCell="K17" sqref="K17"/>
      <selection pane="bottomRight" activeCell="K17" sqref="K17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22.33203125" style="4" customWidth="1"/>
    <col min="4" max="4" width="27" style="4" customWidth="1"/>
    <col min="5" max="5" width="16.33203125" style="4" customWidth="1"/>
    <col min="6" max="6" width="16.44140625" style="4" hidden="1" customWidth="1"/>
    <col min="7" max="7" width="16.44140625" style="4" customWidth="1"/>
    <col min="8" max="8" width="16.6640625" style="4" customWidth="1"/>
    <col min="9" max="9" width="13.6640625" style="4" bestFit="1" customWidth="1"/>
    <col min="10" max="10" width="12.5546875" style="4" bestFit="1" customWidth="1"/>
    <col min="11" max="11" width="13.44140625" style="4" bestFit="1" customWidth="1"/>
    <col min="12" max="12" width="13.6640625" style="4" bestFit="1" customWidth="1"/>
    <col min="13" max="13" width="12.5546875" style="4" bestFit="1" customWidth="1"/>
    <col min="14" max="14" width="14.6640625" style="4" customWidth="1"/>
    <col min="15" max="15" width="12.5546875" style="4" customWidth="1"/>
    <col min="16" max="16" width="11.6640625" style="4" bestFit="1" customWidth="1"/>
    <col min="17" max="17" width="13.6640625" style="4" bestFit="1" customWidth="1"/>
    <col min="18" max="20" width="11.6640625" style="4" bestFit="1" customWidth="1"/>
    <col min="21" max="21" width="13" style="4" customWidth="1"/>
    <col min="22" max="22" width="12.44140625" style="4" customWidth="1"/>
    <col min="23" max="23" width="12.6640625" style="4" customWidth="1"/>
    <col min="24" max="16384" width="9.33203125" style="4"/>
  </cols>
  <sheetData>
    <row r="2" spans="2:22" x14ac:dyDescent="0.25">
      <c r="I2" s="23" t="s">
        <v>160</v>
      </c>
    </row>
    <row r="3" spans="2:22" x14ac:dyDescent="0.25">
      <c r="I3" s="25" t="s">
        <v>1228</v>
      </c>
    </row>
    <row r="4" spans="2:22" ht="15" customHeight="1" x14ac:dyDescent="0.25">
      <c r="C4" s="818" t="s">
        <v>346</v>
      </c>
      <c r="D4" s="818" t="s">
        <v>347</v>
      </c>
      <c r="E4" s="815" t="s">
        <v>430</v>
      </c>
      <c r="F4" s="815" t="s">
        <v>431</v>
      </c>
      <c r="G4" s="815" t="s">
        <v>432</v>
      </c>
      <c r="H4" s="815" t="s">
        <v>433</v>
      </c>
      <c r="I4" s="799" t="s">
        <v>1224</v>
      </c>
      <c r="J4" s="799"/>
      <c r="K4" s="799"/>
      <c r="L4" s="799"/>
      <c r="M4" s="799"/>
      <c r="N4" s="799"/>
      <c r="O4" s="799"/>
      <c r="P4" s="799"/>
      <c r="Q4" s="799"/>
      <c r="R4" s="799"/>
      <c r="S4" s="799"/>
      <c r="T4" s="799"/>
      <c r="U4" s="799"/>
      <c r="V4" s="605"/>
    </row>
    <row r="5" spans="2:22" x14ac:dyDescent="0.25">
      <c r="C5" s="819"/>
      <c r="D5" s="819"/>
      <c r="E5" s="816"/>
      <c r="F5" s="816"/>
      <c r="G5" s="816"/>
      <c r="H5" s="816"/>
      <c r="I5" s="594" t="s">
        <v>239</v>
      </c>
      <c r="J5" s="594" t="s">
        <v>240</v>
      </c>
      <c r="K5" s="594" t="s">
        <v>241</v>
      </c>
      <c r="L5" s="594" t="s">
        <v>242</v>
      </c>
      <c r="M5" s="594" t="s">
        <v>243</v>
      </c>
      <c r="N5" s="594" t="s">
        <v>244</v>
      </c>
      <c r="O5" s="594" t="s">
        <v>245</v>
      </c>
      <c r="P5" s="594" t="s">
        <v>246</v>
      </c>
      <c r="Q5" s="594" t="s">
        <v>247</v>
      </c>
      <c r="R5" s="594" t="s">
        <v>248</v>
      </c>
      <c r="S5" s="594" t="s">
        <v>249</v>
      </c>
      <c r="T5" s="594" t="s">
        <v>250</v>
      </c>
      <c r="U5" s="594" t="s">
        <v>251</v>
      </c>
      <c r="V5" s="605"/>
    </row>
    <row r="6" spans="2:22" ht="14.25" customHeight="1" x14ac:dyDescent="0.25">
      <c r="C6" s="820"/>
      <c r="D6" s="820"/>
      <c r="E6" s="817"/>
      <c r="F6" s="817"/>
      <c r="G6" s="817"/>
      <c r="H6" s="817"/>
      <c r="I6" s="606">
        <v>30</v>
      </c>
      <c r="J6" s="606">
        <v>31</v>
      </c>
      <c r="K6" s="606">
        <v>30</v>
      </c>
      <c r="L6" s="606">
        <v>31</v>
      </c>
      <c r="M6" s="606">
        <v>31</v>
      </c>
      <c r="N6" s="606">
        <v>30</v>
      </c>
      <c r="O6" s="606">
        <v>31</v>
      </c>
      <c r="P6" s="606">
        <v>30</v>
      </c>
      <c r="Q6" s="606">
        <v>31</v>
      </c>
      <c r="R6" s="606">
        <v>31</v>
      </c>
      <c r="S6" s="606">
        <v>28</v>
      </c>
      <c r="T6" s="606">
        <v>31</v>
      </c>
      <c r="U6" s="606"/>
      <c r="V6" s="605"/>
    </row>
    <row r="7" spans="2:22" x14ac:dyDescent="0.25">
      <c r="B7" s="60"/>
      <c r="C7" s="813" t="s">
        <v>348</v>
      </c>
      <c r="D7" s="814"/>
      <c r="E7" s="607"/>
      <c r="F7" s="607"/>
      <c r="G7" s="608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5"/>
    </row>
    <row r="8" spans="2:22" x14ac:dyDescent="0.25">
      <c r="C8" s="811" t="s">
        <v>349</v>
      </c>
      <c r="D8" s="812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5"/>
    </row>
    <row r="9" spans="2:22" ht="14.25" customHeight="1" x14ac:dyDescent="0.25">
      <c r="B9" s="60"/>
      <c r="C9" s="821" t="s">
        <v>350</v>
      </c>
      <c r="D9" s="607" t="s">
        <v>351</v>
      </c>
      <c r="E9" s="606">
        <v>500</v>
      </c>
      <c r="F9" s="606"/>
      <c r="G9" s="606">
        <f t="shared" ref="G9:G16" si="0">E9</f>
        <v>500</v>
      </c>
      <c r="H9" s="606">
        <f>G9*0.2945</f>
        <v>147.25</v>
      </c>
      <c r="I9" s="606">
        <f t="shared" ref="I9:T15" si="1">$H9*0.85*I$6*24/1000</f>
        <v>90.117000000000004</v>
      </c>
      <c r="J9" s="606">
        <f t="shared" si="1"/>
        <v>93.120899999999992</v>
      </c>
      <c r="K9" s="606">
        <f t="shared" si="1"/>
        <v>90.117000000000004</v>
      </c>
      <c r="L9" s="606">
        <f t="shared" si="1"/>
        <v>93.120899999999992</v>
      </c>
      <c r="M9" s="606">
        <f t="shared" si="1"/>
        <v>93.120899999999992</v>
      </c>
      <c r="N9" s="606">
        <f t="shared" si="1"/>
        <v>90.117000000000004</v>
      </c>
      <c r="O9" s="606">
        <f t="shared" si="1"/>
        <v>93.120899999999992</v>
      </c>
      <c r="P9" s="606">
        <f t="shared" si="1"/>
        <v>90.117000000000004</v>
      </c>
      <c r="Q9" s="606">
        <f t="shared" si="1"/>
        <v>93.120899999999992</v>
      </c>
      <c r="R9" s="606">
        <f t="shared" si="1"/>
        <v>93.120899999999992</v>
      </c>
      <c r="S9" s="606">
        <f t="shared" si="1"/>
        <v>84.109200000000001</v>
      </c>
      <c r="T9" s="606">
        <f t="shared" si="1"/>
        <v>93.120899999999992</v>
      </c>
      <c r="U9" s="606">
        <f t="shared" ref="U9:U16" si="2">+SUM(I9:T9)</f>
        <v>1096.4234999999999</v>
      </c>
      <c r="V9" s="605"/>
    </row>
    <row r="10" spans="2:22" ht="14.25" customHeight="1" x14ac:dyDescent="0.25">
      <c r="B10" s="60"/>
      <c r="C10" s="822"/>
      <c r="D10" s="607" t="s">
        <v>352</v>
      </c>
      <c r="E10" s="606">
        <v>500</v>
      </c>
      <c r="F10" s="606"/>
      <c r="G10" s="606">
        <f t="shared" si="0"/>
        <v>500</v>
      </c>
      <c r="H10" s="606">
        <f t="shared" ref="H10:H16" si="3">G10*0.2945</f>
        <v>147.25</v>
      </c>
      <c r="I10" s="606">
        <f t="shared" si="1"/>
        <v>90.117000000000004</v>
      </c>
      <c r="J10" s="606">
        <f t="shared" si="1"/>
        <v>93.120899999999992</v>
      </c>
      <c r="K10" s="606">
        <f t="shared" si="1"/>
        <v>90.117000000000004</v>
      </c>
      <c r="L10" s="606">
        <f t="shared" si="1"/>
        <v>93.120899999999992</v>
      </c>
      <c r="M10" s="606">
        <f t="shared" si="1"/>
        <v>93.120899999999992</v>
      </c>
      <c r="N10" s="606">
        <f t="shared" si="1"/>
        <v>90.117000000000004</v>
      </c>
      <c r="O10" s="606">
        <f t="shared" si="1"/>
        <v>93.120899999999992</v>
      </c>
      <c r="P10" s="606">
        <f t="shared" si="1"/>
        <v>90.117000000000004</v>
      </c>
      <c r="Q10" s="606">
        <f t="shared" si="1"/>
        <v>93.120899999999992</v>
      </c>
      <c r="R10" s="606">
        <f t="shared" si="1"/>
        <v>93.120899999999992</v>
      </c>
      <c r="S10" s="606">
        <f t="shared" si="1"/>
        <v>84.109200000000001</v>
      </c>
      <c r="T10" s="606">
        <f t="shared" si="1"/>
        <v>93.120899999999992</v>
      </c>
      <c r="U10" s="606">
        <f t="shared" si="2"/>
        <v>1096.4234999999999</v>
      </c>
      <c r="V10" s="605"/>
    </row>
    <row r="11" spans="2:22" ht="14.25" customHeight="1" x14ac:dyDescent="0.25">
      <c r="B11" s="60"/>
      <c r="C11" s="822"/>
      <c r="D11" s="607" t="s">
        <v>353</v>
      </c>
      <c r="E11" s="606">
        <v>800</v>
      </c>
      <c r="F11" s="606"/>
      <c r="G11" s="606">
        <f t="shared" si="0"/>
        <v>800</v>
      </c>
      <c r="H11" s="606">
        <f t="shared" si="3"/>
        <v>235.6</v>
      </c>
      <c r="I11" s="606">
        <f t="shared" si="1"/>
        <v>144.18719999999999</v>
      </c>
      <c r="J11" s="606">
        <f t="shared" si="1"/>
        <v>148.99343999999999</v>
      </c>
      <c r="K11" s="606">
        <f t="shared" si="1"/>
        <v>144.18719999999999</v>
      </c>
      <c r="L11" s="606">
        <f t="shared" si="1"/>
        <v>148.99343999999999</v>
      </c>
      <c r="M11" s="606">
        <f t="shared" si="1"/>
        <v>148.99343999999999</v>
      </c>
      <c r="N11" s="606">
        <f t="shared" si="1"/>
        <v>144.18719999999999</v>
      </c>
      <c r="O11" s="606">
        <f t="shared" si="1"/>
        <v>148.99343999999999</v>
      </c>
      <c r="P11" s="606">
        <f t="shared" si="1"/>
        <v>144.18719999999999</v>
      </c>
      <c r="Q11" s="606">
        <f t="shared" si="1"/>
        <v>148.99343999999999</v>
      </c>
      <c r="R11" s="606">
        <f t="shared" si="1"/>
        <v>148.99343999999999</v>
      </c>
      <c r="S11" s="606">
        <f t="shared" si="1"/>
        <v>134.57472000000001</v>
      </c>
      <c r="T11" s="606">
        <f t="shared" si="1"/>
        <v>148.99343999999999</v>
      </c>
      <c r="U11" s="606">
        <f t="shared" si="2"/>
        <v>1754.2775999999999</v>
      </c>
      <c r="V11" s="605"/>
    </row>
    <row r="12" spans="2:22" ht="14.25" customHeight="1" x14ac:dyDescent="0.25">
      <c r="B12" s="60"/>
      <c r="C12" s="822"/>
      <c r="D12" s="607" t="s">
        <v>354</v>
      </c>
      <c r="E12" s="606">
        <v>0</v>
      </c>
      <c r="F12" s="606"/>
      <c r="G12" s="606">
        <f t="shared" si="0"/>
        <v>0</v>
      </c>
      <c r="H12" s="606">
        <f t="shared" si="3"/>
        <v>0</v>
      </c>
      <c r="I12" s="606">
        <f t="shared" si="1"/>
        <v>0</v>
      </c>
      <c r="J12" s="606">
        <f t="shared" si="1"/>
        <v>0</v>
      </c>
      <c r="K12" s="606">
        <f t="shared" si="1"/>
        <v>0</v>
      </c>
      <c r="L12" s="606">
        <f t="shared" si="1"/>
        <v>0</v>
      </c>
      <c r="M12" s="606">
        <f t="shared" si="1"/>
        <v>0</v>
      </c>
      <c r="N12" s="606">
        <f t="shared" si="1"/>
        <v>0</v>
      </c>
      <c r="O12" s="606">
        <f t="shared" si="1"/>
        <v>0</v>
      </c>
      <c r="P12" s="606">
        <f t="shared" si="1"/>
        <v>0</v>
      </c>
      <c r="Q12" s="606">
        <f t="shared" si="1"/>
        <v>0</v>
      </c>
      <c r="R12" s="606">
        <f t="shared" si="1"/>
        <v>0</v>
      </c>
      <c r="S12" s="606">
        <f t="shared" si="1"/>
        <v>0</v>
      </c>
      <c r="T12" s="606">
        <f t="shared" si="1"/>
        <v>0</v>
      </c>
      <c r="U12" s="606">
        <f t="shared" si="2"/>
        <v>0</v>
      </c>
      <c r="V12" s="605"/>
    </row>
    <row r="13" spans="2:22" ht="14.25" customHeight="1" x14ac:dyDescent="0.25">
      <c r="B13" s="60"/>
      <c r="C13" s="822"/>
      <c r="D13" s="607" t="s">
        <v>355</v>
      </c>
      <c r="E13" s="606">
        <v>500</v>
      </c>
      <c r="F13" s="606"/>
      <c r="G13" s="606">
        <f t="shared" si="0"/>
        <v>500</v>
      </c>
      <c r="H13" s="606">
        <f t="shared" si="3"/>
        <v>147.25</v>
      </c>
      <c r="I13" s="606">
        <f t="shared" si="1"/>
        <v>90.117000000000004</v>
      </c>
      <c r="J13" s="606">
        <f t="shared" si="1"/>
        <v>93.120899999999992</v>
      </c>
      <c r="K13" s="606">
        <f t="shared" si="1"/>
        <v>90.117000000000004</v>
      </c>
      <c r="L13" s="606">
        <f t="shared" si="1"/>
        <v>93.120899999999992</v>
      </c>
      <c r="M13" s="606">
        <f t="shared" si="1"/>
        <v>93.120899999999992</v>
      </c>
      <c r="N13" s="606">
        <f t="shared" si="1"/>
        <v>90.117000000000004</v>
      </c>
      <c r="O13" s="606">
        <f t="shared" si="1"/>
        <v>93.120899999999992</v>
      </c>
      <c r="P13" s="606">
        <f t="shared" si="1"/>
        <v>90.117000000000004</v>
      </c>
      <c r="Q13" s="606">
        <f t="shared" si="1"/>
        <v>93.120899999999992</v>
      </c>
      <c r="R13" s="606">
        <f t="shared" si="1"/>
        <v>93.120899999999992</v>
      </c>
      <c r="S13" s="606">
        <f t="shared" si="1"/>
        <v>84.109200000000001</v>
      </c>
      <c r="T13" s="606">
        <f t="shared" si="1"/>
        <v>93.120899999999992</v>
      </c>
      <c r="U13" s="606">
        <f t="shared" si="2"/>
        <v>1096.4234999999999</v>
      </c>
      <c r="V13" s="605"/>
    </row>
    <row r="14" spans="2:22" ht="14.25" customHeight="1" x14ac:dyDescent="0.25">
      <c r="B14" s="60"/>
      <c r="C14" s="822"/>
      <c r="D14" s="607" t="s">
        <v>356</v>
      </c>
      <c r="E14" s="606">
        <v>600</v>
      </c>
      <c r="F14" s="606"/>
      <c r="G14" s="606">
        <f t="shared" si="0"/>
        <v>600</v>
      </c>
      <c r="H14" s="606">
        <f t="shared" si="3"/>
        <v>176.7</v>
      </c>
      <c r="I14" s="606">
        <f t="shared" si="1"/>
        <v>108.1404</v>
      </c>
      <c r="J14" s="606">
        <f t="shared" si="1"/>
        <v>111.74508</v>
      </c>
      <c r="K14" s="606">
        <f t="shared" si="1"/>
        <v>108.1404</v>
      </c>
      <c r="L14" s="606">
        <f t="shared" si="1"/>
        <v>111.74508</v>
      </c>
      <c r="M14" s="606">
        <f t="shared" si="1"/>
        <v>111.74508</v>
      </c>
      <c r="N14" s="606">
        <f t="shared" si="1"/>
        <v>108.1404</v>
      </c>
      <c r="O14" s="606">
        <f t="shared" si="1"/>
        <v>111.74508</v>
      </c>
      <c r="P14" s="606">
        <f t="shared" si="1"/>
        <v>108.1404</v>
      </c>
      <c r="Q14" s="606">
        <f t="shared" si="1"/>
        <v>111.74508</v>
      </c>
      <c r="R14" s="606">
        <f t="shared" si="1"/>
        <v>111.74508</v>
      </c>
      <c r="S14" s="606">
        <f t="shared" si="1"/>
        <v>100.93104000000001</v>
      </c>
      <c r="T14" s="606">
        <f t="shared" si="1"/>
        <v>111.74508</v>
      </c>
      <c r="U14" s="606">
        <f t="shared" si="2"/>
        <v>1315.7082</v>
      </c>
      <c r="V14" s="605"/>
    </row>
    <row r="15" spans="2:22" ht="14.25" customHeight="1" x14ac:dyDescent="0.25">
      <c r="B15" s="60"/>
      <c r="C15" s="822"/>
      <c r="D15" s="607" t="s">
        <v>357</v>
      </c>
      <c r="E15" s="606">
        <v>1080</v>
      </c>
      <c r="F15" s="606"/>
      <c r="G15" s="606">
        <f t="shared" si="0"/>
        <v>1080</v>
      </c>
      <c r="H15" s="606">
        <f t="shared" si="3"/>
        <v>318.06</v>
      </c>
      <c r="I15" s="606">
        <f t="shared" si="1"/>
        <v>194.65271999999999</v>
      </c>
      <c r="J15" s="606">
        <f t="shared" si="1"/>
        <v>201.14114399999997</v>
      </c>
      <c r="K15" s="606">
        <f t="shared" si="1"/>
        <v>194.65271999999999</v>
      </c>
      <c r="L15" s="606">
        <f t="shared" si="1"/>
        <v>201.14114399999997</v>
      </c>
      <c r="M15" s="606">
        <f t="shared" si="1"/>
        <v>201.14114399999997</v>
      </c>
      <c r="N15" s="606">
        <f t="shared" si="1"/>
        <v>194.65271999999999</v>
      </c>
      <c r="O15" s="606">
        <f t="shared" si="1"/>
        <v>201.14114399999997</v>
      </c>
      <c r="P15" s="606">
        <f t="shared" si="1"/>
        <v>194.65271999999999</v>
      </c>
      <c r="Q15" s="606">
        <f t="shared" si="1"/>
        <v>201.14114399999997</v>
      </c>
      <c r="R15" s="606">
        <f t="shared" si="1"/>
        <v>201.14114399999997</v>
      </c>
      <c r="S15" s="606">
        <f t="shared" si="1"/>
        <v>181.67587199999997</v>
      </c>
      <c r="T15" s="606">
        <f t="shared" si="1"/>
        <v>201.14114399999997</v>
      </c>
      <c r="U15" s="606">
        <f t="shared" si="2"/>
        <v>2368.2747599999998</v>
      </c>
      <c r="V15" s="605"/>
    </row>
    <row r="16" spans="2:22" ht="14.25" customHeight="1" x14ac:dyDescent="0.25">
      <c r="B16" s="60"/>
      <c r="C16" s="822"/>
      <c r="D16" s="607" t="s">
        <v>358</v>
      </c>
      <c r="E16" s="606">
        <v>4000</v>
      </c>
      <c r="F16" s="606"/>
      <c r="G16" s="606">
        <f t="shared" si="0"/>
        <v>4000</v>
      </c>
      <c r="H16" s="606">
        <f t="shared" si="3"/>
        <v>1178</v>
      </c>
      <c r="I16" s="606">
        <f>$H16*0.85*I$6*24/1000-(2*800*0.2945*0.85*I$6*24/1000)-(8334.02-8332.82)/12</f>
        <v>432.46159999999998</v>
      </c>
      <c r="J16" s="606">
        <f>$H16*0.85*J$6*24/1000-(1*800*0.2945*0.85*J$6*24/1000)-(8334.02-8332.82)/12</f>
        <v>595.87375999999995</v>
      </c>
      <c r="K16" s="606">
        <f>$H16*0.85*K$6*24/1000-(8334.02-8332.82)/12</f>
        <v>720.83600000000001</v>
      </c>
      <c r="L16" s="606">
        <f t="shared" ref="L16:T16" si="4">$H16*0.85*L$6*24/1000-(8334.02-8332.82)/12</f>
        <v>744.86719999999991</v>
      </c>
      <c r="M16" s="606">
        <f t="shared" si="4"/>
        <v>744.86719999999991</v>
      </c>
      <c r="N16" s="606">
        <f t="shared" si="4"/>
        <v>720.83600000000001</v>
      </c>
      <c r="O16" s="606">
        <f t="shared" si="4"/>
        <v>744.86719999999991</v>
      </c>
      <c r="P16" s="606">
        <f t="shared" si="4"/>
        <v>720.83600000000001</v>
      </c>
      <c r="Q16" s="606">
        <f t="shared" si="4"/>
        <v>744.86719999999991</v>
      </c>
      <c r="R16" s="606">
        <f t="shared" si="4"/>
        <v>744.86719999999991</v>
      </c>
      <c r="S16" s="606">
        <f t="shared" si="4"/>
        <v>672.77359999999999</v>
      </c>
      <c r="T16" s="606">
        <f t="shared" si="4"/>
        <v>744.86719999999991</v>
      </c>
      <c r="U16" s="606">
        <f t="shared" si="2"/>
        <v>8332.8201599999993</v>
      </c>
      <c r="V16" s="605"/>
    </row>
    <row r="17" spans="2:23" ht="14.25" hidden="1" customHeight="1" x14ac:dyDescent="0.25">
      <c r="B17" s="60"/>
      <c r="C17" s="822"/>
      <c r="D17" s="607"/>
      <c r="E17" s="607"/>
      <c r="F17" s="607"/>
      <c r="G17" s="607"/>
      <c r="H17" s="607"/>
      <c r="I17" s="607"/>
      <c r="J17" s="607"/>
      <c r="K17" s="607"/>
      <c r="L17" s="607"/>
      <c r="M17" s="607"/>
      <c r="N17" s="607"/>
      <c r="O17" s="607"/>
      <c r="P17" s="607"/>
      <c r="Q17" s="607"/>
      <c r="R17" s="607"/>
      <c r="S17" s="607"/>
      <c r="T17" s="607"/>
      <c r="U17" s="607">
        <f t="shared" ref="U17:U46" si="5">+SUM(I17:T17)</f>
        <v>0</v>
      </c>
      <c r="V17" s="605"/>
    </row>
    <row r="18" spans="2:23" ht="14.25" hidden="1" customHeight="1" x14ac:dyDescent="0.25">
      <c r="B18" s="60"/>
      <c r="C18" s="822"/>
      <c r="D18" s="607"/>
      <c r="E18" s="607"/>
      <c r="F18" s="607"/>
      <c r="G18" s="607"/>
      <c r="H18" s="607"/>
      <c r="I18" s="607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>
        <f t="shared" si="5"/>
        <v>0</v>
      </c>
      <c r="V18" s="605"/>
    </row>
    <row r="19" spans="2:23" ht="14.25" hidden="1" customHeight="1" x14ac:dyDescent="0.25">
      <c r="B19" s="60"/>
      <c r="C19" s="822"/>
      <c r="D19" s="607"/>
      <c r="E19" s="607"/>
      <c r="F19" s="607"/>
      <c r="G19" s="607"/>
      <c r="H19" s="607"/>
      <c r="I19" s="607"/>
      <c r="J19" s="607"/>
      <c r="K19" s="607"/>
      <c r="L19" s="607"/>
      <c r="M19" s="607"/>
      <c r="N19" s="607"/>
      <c r="O19" s="607"/>
      <c r="P19" s="607"/>
      <c r="Q19" s="607"/>
      <c r="R19" s="607"/>
      <c r="S19" s="607"/>
      <c r="T19" s="607"/>
      <c r="U19" s="607">
        <f t="shared" si="5"/>
        <v>0</v>
      </c>
      <c r="V19" s="605"/>
    </row>
    <row r="20" spans="2:23" ht="14.25" hidden="1" customHeight="1" x14ac:dyDescent="0.25">
      <c r="B20" s="60"/>
      <c r="C20" s="822"/>
      <c r="D20" s="607"/>
      <c r="E20" s="607"/>
      <c r="F20" s="607"/>
      <c r="G20" s="607"/>
      <c r="H20" s="607"/>
      <c r="I20" s="607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>
        <f t="shared" si="5"/>
        <v>0</v>
      </c>
      <c r="V20" s="605"/>
    </row>
    <row r="21" spans="2:23" ht="14.25" hidden="1" customHeight="1" x14ac:dyDescent="0.25">
      <c r="B21" s="60"/>
      <c r="C21" s="822"/>
      <c r="D21" s="607"/>
      <c r="E21" s="607"/>
      <c r="F21" s="607"/>
      <c r="G21" s="607"/>
      <c r="H21" s="607"/>
      <c r="I21" s="607"/>
      <c r="J21" s="607"/>
      <c r="K21" s="607"/>
      <c r="L21" s="607"/>
      <c r="M21" s="607"/>
      <c r="N21" s="607"/>
      <c r="O21" s="607"/>
      <c r="P21" s="607"/>
      <c r="Q21" s="607"/>
      <c r="R21" s="607"/>
      <c r="S21" s="607"/>
      <c r="T21" s="607"/>
      <c r="U21" s="607">
        <f t="shared" si="5"/>
        <v>0</v>
      </c>
      <c r="V21" s="605"/>
    </row>
    <row r="22" spans="2:23" ht="14.25" hidden="1" customHeight="1" x14ac:dyDescent="0.25">
      <c r="B22" s="60"/>
      <c r="C22" s="822"/>
      <c r="D22" s="607"/>
      <c r="E22" s="607"/>
      <c r="F22" s="607"/>
      <c r="G22" s="607"/>
      <c r="H22" s="607"/>
      <c r="I22" s="607"/>
      <c r="J22" s="607"/>
      <c r="K22" s="607"/>
      <c r="L22" s="607"/>
      <c r="M22" s="607"/>
      <c r="N22" s="607"/>
      <c r="O22" s="607"/>
      <c r="P22" s="607"/>
      <c r="Q22" s="607"/>
      <c r="R22" s="607"/>
      <c r="S22" s="607"/>
      <c r="T22" s="607"/>
      <c r="U22" s="607">
        <f t="shared" si="5"/>
        <v>0</v>
      </c>
      <c r="V22" s="605"/>
    </row>
    <row r="23" spans="2:23" ht="14.25" hidden="1" customHeight="1" x14ac:dyDescent="0.25">
      <c r="B23" s="60"/>
      <c r="C23" s="822"/>
      <c r="D23" s="607"/>
      <c r="E23" s="607"/>
      <c r="F23" s="607"/>
      <c r="G23" s="607"/>
      <c r="H23" s="607"/>
      <c r="I23" s="607"/>
      <c r="J23" s="607"/>
      <c r="K23" s="607"/>
      <c r="L23" s="607"/>
      <c r="M23" s="607"/>
      <c r="N23" s="607"/>
      <c r="O23" s="607"/>
      <c r="P23" s="607"/>
      <c r="Q23" s="607"/>
      <c r="R23" s="607"/>
      <c r="S23" s="607"/>
      <c r="T23" s="607"/>
      <c r="U23" s="607">
        <f t="shared" si="5"/>
        <v>0</v>
      </c>
      <c r="V23" s="605"/>
    </row>
    <row r="24" spans="2:23" ht="14.25" hidden="1" customHeight="1" x14ac:dyDescent="0.25">
      <c r="B24" s="60"/>
      <c r="C24" s="822"/>
      <c r="D24" s="607"/>
      <c r="E24" s="607"/>
      <c r="F24" s="607"/>
      <c r="G24" s="607"/>
      <c r="H24" s="607"/>
      <c r="I24" s="607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>
        <f t="shared" si="5"/>
        <v>0</v>
      </c>
      <c r="V24" s="605"/>
    </row>
    <row r="25" spans="2:23" ht="14.25" hidden="1" customHeight="1" x14ac:dyDescent="0.25">
      <c r="B25" s="60"/>
      <c r="C25" s="822"/>
      <c r="D25" s="607"/>
      <c r="E25" s="607"/>
      <c r="F25" s="607"/>
      <c r="G25" s="607"/>
      <c r="H25" s="607"/>
      <c r="I25" s="607"/>
      <c r="J25" s="607"/>
      <c r="K25" s="607"/>
      <c r="L25" s="607"/>
      <c r="M25" s="607"/>
      <c r="N25" s="607"/>
      <c r="O25" s="607"/>
      <c r="P25" s="607"/>
      <c r="Q25" s="607"/>
      <c r="R25" s="607"/>
      <c r="S25" s="607"/>
      <c r="T25" s="607"/>
      <c r="U25" s="607">
        <f t="shared" si="5"/>
        <v>0</v>
      </c>
      <c r="V25" s="605"/>
    </row>
    <row r="26" spans="2:23" ht="14.25" hidden="1" customHeight="1" x14ac:dyDescent="0.25">
      <c r="B26" s="60"/>
      <c r="C26" s="823"/>
      <c r="D26" s="607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>
        <f t="shared" si="5"/>
        <v>0</v>
      </c>
      <c r="V26" s="605"/>
    </row>
    <row r="27" spans="2:23" x14ac:dyDescent="0.25">
      <c r="C27" s="811" t="s">
        <v>212</v>
      </c>
      <c r="D27" s="812"/>
      <c r="E27" s="607">
        <f>SUM(E9:E26)</f>
        <v>7980</v>
      </c>
      <c r="F27" s="607">
        <f t="shared" ref="F27:T27" si="6">SUM(F9:F26)</f>
        <v>0</v>
      </c>
      <c r="G27" s="607">
        <f t="shared" si="6"/>
        <v>7980</v>
      </c>
      <c r="H27" s="607">
        <f t="shared" si="6"/>
        <v>2350.1099999999997</v>
      </c>
      <c r="I27" s="607">
        <f t="shared" si="6"/>
        <v>1149.7929199999999</v>
      </c>
      <c r="J27" s="607">
        <f t="shared" si="6"/>
        <v>1337.1161239999999</v>
      </c>
      <c r="K27" s="607">
        <f t="shared" si="6"/>
        <v>1438.16732</v>
      </c>
      <c r="L27" s="607">
        <f t="shared" si="6"/>
        <v>1486.1095639999999</v>
      </c>
      <c r="M27" s="607">
        <f t="shared" si="6"/>
        <v>1486.1095639999999</v>
      </c>
      <c r="N27" s="607">
        <f t="shared" si="6"/>
        <v>1438.16732</v>
      </c>
      <c r="O27" s="607">
        <f t="shared" si="6"/>
        <v>1486.1095639999999</v>
      </c>
      <c r="P27" s="607">
        <f t="shared" si="6"/>
        <v>1438.16732</v>
      </c>
      <c r="Q27" s="607">
        <f t="shared" si="6"/>
        <v>1486.1095639999999</v>
      </c>
      <c r="R27" s="607">
        <f t="shared" si="6"/>
        <v>1486.1095639999999</v>
      </c>
      <c r="S27" s="607">
        <f t="shared" si="6"/>
        <v>1342.2828319999999</v>
      </c>
      <c r="T27" s="607">
        <f t="shared" si="6"/>
        <v>1486.1095639999999</v>
      </c>
      <c r="U27" s="609">
        <f>SUM(I27:T27)</f>
        <v>17060.35122</v>
      </c>
      <c r="V27" s="605"/>
      <c r="W27" s="64"/>
    </row>
    <row r="28" spans="2:23" x14ac:dyDescent="0.25">
      <c r="C28" s="811" t="s">
        <v>359</v>
      </c>
      <c r="D28" s="812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07"/>
      <c r="R28" s="607"/>
      <c r="S28" s="607"/>
      <c r="T28" s="607"/>
      <c r="U28" s="607"/>
      <c r="V28" s="605"/>
    </row>
    <row r="29" spans="2:23" x14ac:dyDescent="0.25">
      <c r="C29" s="821" t="s">
        <v>350</v>
      </c>
      <c r="D29" s="607" t="s">
        <v>360</v>
      </c>
      <c r="E29" s="610">
        <v>234</v>
      </c>
      <c r="F29" s="607"/>
      <c r="G29" s="610">
        <f>E29*50%</f>
        <v>117</v>
      </c>
      <c r="H29" s="607">
        <f t="shared" ref="H29:H39" si="7">G29*0.2945</f>
        <v>34.456499999999998</v>
      </c>
      <c r="I29" s="606">
        <f>'F11-Year(n+2)'!E30</f>
        <v>2.9943583608704367</v>
      </c>
      <c r="J29" s="606">
        <f>'F11-Year(n+2)'!F30</f>
        <v>3.208659749270435</v>
      </c>
      <c r="K29" s="606">
        <f>'F11-Year(n+2)'!G30</f>
        <v>3.3243268772516563</v>
      </c>
      <c r="L29" s="606">
        <f>'F11-Year(n+2)'!H30</f>
        <v>7.26772958998151</v>
      </c>
      <c r="M29" s="606">
        <f>'F11-Year(n+2)'!I30</f>
        <v>17.06330234544653</v>
      </c>
      <c r="N29" s="606">
        <f>'F11-Year(n+2)'!J30</f>
        <v>8.61810014037526</v>
      </c>
      <c r="O29" s="606">
        <f>'F11-Year(n+2)'!K30</f>
        <v>9.4993263353512294</v>
      </c>
      <c r="P29" s="606">
        <f>'F11-Year(n+2)'!L30</f>
        <v>3.2580725849283274</v>
      </c>
      <c r="Q29" s="606">
        <f>'F11-Year(n+2)'!M30</f>
        <v>5.5892397776609481</v>
      </c>
      <c r="R29" s="606">
        <f>'F11-Year(n+2)'!N30</f>
        <v>10.665038364676281</v>
      </c>
      <c r="S29" s="606">
        <f>'F11-Year(n+2)'!O30</f>
        <v>9.5783967507074106</v>
      </c>
      <c r="T29" s="606">
        <f>'F11-Year(n+2)'!P30</f>
        <v>4.4491921214070622</v>
      </c>
      <c r="U29" s="607">
        <f t="shared" si="5"/>
        <v>85.515742997927092</v>
      </c>
      <c r="V29" s="605"/>
    </row>
    <row r="30" spans="2:23" x14ac:dyDescent="0.25">
      <c r="C30" s="822"/>
      <c r="D30" s="607" t="s">
        <v>361</v>
      </c>
      <c r="E30" s="606">
        <v>815.6</v>
      </c>
      <c r="F30" s="607"/>
      <c r="G30" s="606">
        <f>E30</f>
        <v>815.6</v>
      </c>
      <c r="H30" s="607">
        <f t="shared" si="7"/>
        <v>240.1942</v>
      </c>
      <c r="I30" s="606">
        <f>'F11-Year(n+2)'!E31</f>
        <v>20.873492983982285</v>
      </c>
      <c r="J30" s="606">
        <f>'F11-Year(n+2)'!F31</f>
        <v>22.367375141068095</v>
      </c>
      <c r="K30" s="606">
        <f>'F11-Year(n+2)'!G31</f>
        <v>23.173683769969657</v>
      </c>
      <c r="L30" s="606">
        <f>'F11-Year(n+2)'!H31</f>
        <v>50.662908150332633</v>
      </c>
      <c r="M30" s="606">
        <f>'F11-Year(n+2)'!I31</f>
        <v>118.94725976877086</v>
      </c>
      <c r="N30" s="606">
        <f>'F11-Year(n+2)'!J31</f>
        <v>60.076260465727032</v>
      </c>
      <c r="O30" s="606">
        <f>'F11-Year(n+2)'!K31</f>
        <v>66.219235547969774</v>
      </c>
      <c r="P30" s="606">
        <f>'F11-Year(n+2)'!L31</f>
        <v>22.711829062115761</v>
      </c>
      <c r="Q30" s="606">
        <f>'F11-Year(n+2)'!M31</f>
        <v>38.962256091113417</v>
      </c>
      <c r="R30" s="606">
        <f>'F11-Year(n+2)'!N31</f>
        <v>74.345344360939961</v>
      </c>
      <c r="S30" s="606">
        <f>'F11-Year(n+2)'!O31</f>
        <v>66.770430682709076</v>
      </c>
      <c r="T30" s="606">
        <f>'F11-Year(n+2)'!P31</f>
        <v>31.015052087347001</v>
      </c>
      <c r="U30" s="607">
        <f t="shared" si="5"/>
        <v>596.12512811204567</v>
      </c>
      <c r="V30" s="605"/>
    </row>
    <row r="31" spans="2:23" x14ac:dyDescent="0.25">
      <c r="C31" s="822"/>
      <c r="D31" s="607" t="s">
        <v>362</v>
      </c>
      <c r="E31" s="610">
        <v>900</v>
      </c>
      <c r="F31" s="607"/>
      <c r="G31" s="610">
        <f>E31</f>
        <v>900</v>
      </c>
      <c r="H31" s="607">
        <f t="shared" si="7"/>
        <v>265.05</v>
      </c>
      <c r="I31" s="606">
        <f>'F11-Year(n+2)'!E32</f>
        <v>23.033525852849515</v>
      </c>
      <c r="J31" s="606">
        <f>'F11-Year(n+2)'!F32</f>
        <v>24.681998071311035</v>
      </c>
      <c r="K31" s="606">
        <f>'F11-Year(n+2)'!G32</f>
        <v>25.571745209628119</v>
      </c>
      <c r="L31" s="606">
        <f>'F11-Year(n+2)'!H32</f>
        <v>55.905612230627</v>
      </c>
      <c r="M31" s="606">
        <f>'F11-Year(n+2)'!I32</f>
        <v>131.25617188805023</v>
      </c>
      <c r="N31" s="606">
        <f>'F11-Year(n+2)'!J32</f>
        <v>66.293078002886631</v>
      </c>
      <c r="O31" s="606">
        <f>'F11-Year(n+2)'!K32</f>
        <v>73.071741041163293</v>
      </c>
      <c r="P31" s="606">
        <f>'F11-Year(n+2)'!L32</f>
        <v>25.062096807140982</v>
      </c>
      <c r="Q31" s="606">
        <f>'F11-Year(n+2)'!M32</f>
        <v>42.994152135853469</v>
      </c>
      <c r="R31" s="606">
        <f>'F11-Year(n+2)'!N32</f>
        <v>82.03875665135601</v>
      </c>
      <c r="S31" s="606">
        <f>'F11-Year(n+2)'!O32</f>
        <v>73.679975005441605</v>
      </c>
      <c r="T31" s="606">
        <f>'F11-Year(n+2)'!P32</f>
        <v>34.224554780054312</v>
      </c>
      <c r="U31" s="607">
        <f t="shared" si="5"/>
        <v>657.8134076763622</v>
      </c>
      <c r="V31" s="605"/>
    </row>
    <row r="32" spans="2:23" x14ac:dyDescent="0.25">
      <c r="C32" s="822"/>
      <c r="D32" s="607" t="s">
        <v>363</v>
      </c>
      <c r="E32" s="610">
        <v>240</v>
      </c>
      <c r="F32" s="607"/>
      <c r="G32" s="610">
        <f t="shared" ref="G32:G39" si="8">E32</f>
        <v>240</v>
      </c>
      <c r="H32" s="607">
        <f t="shared" si="7"/>
        <v>70.679999999999993</v>
      </c>
      <c r="I32" s="606">
        <f>'F11-Year(n+2)'!E33</f>
        <v>6.14227356075987</v>
      </c>
      <c r="J32" s="606">
        <f>'F11-Year(n+2)'!F33</f>
        <v>6.58186615234961</v>
      </c>
      <c r="K32" s="606">
        <f>'F11-Year(n+2)'!G33</f>
        <v>6.8191320559008322</v>
      </c>
      <c r="L32" s="606">
        <f>'F11-Year(n+2)'!H33</f>
        <v>14.90816326150053</v>
      </c>
      <c r="M32" s="606">
        <f>'F11-Year(n+2)'!I33</f>
        <v>35.00164583681341</v>
      </c>
      <c r="N32" s="606">
        <f>'F11-Year(n+2)'!J33</f>
        <v>17.678154134103103</v>
      </c>
      <c r="O32" s="606">
        <f>'F11-Year(n+2)'!K33</f>
        <v>19.485797610976878</v>
      </c>
      <c r="P32" s="606">
        <f>'F11-Year(n+2)'!L33</f>
        <v>6.683225815237595</v>
      </c>
      <c r="Q32" s="606">
        <f>'F11-Year(n+2)'!M33</f>
        <v>11.465107236227592</v>
      </c>
      <c r="R32" s="606">
        <f>'F11-Year(n+2)'!N33</f>
        <v>21.877001773694936</v>
      </c>
      <c r="S32" s="606">
        <f>'F11-Year(n+2)'!O33</f>
        <v>19.647993334784434</v>
      </c>
      <c r="T32" s="606">
        <f>'F11-Year(n+2)'!P33</f>
        <v>9.1265479413478197</v>
      </c>
      <c r="U32" s="607">
        <f t="shared" si="5"/>
        <v>175.41690871369659</v>
      </c>
      <c r="V32" s="605"/>
    </row>
    <row r="33" spans="3:23" ht="13.5" customHeight="1" x14ac:dyDescent="0.25">
      <c r="C33" s="822"/>
      <c r="D33" s="607" t="s">
        <v>364</v>
      </c>
      <c r="E33" s="610">
        <v>120</v>
      </c>
      <c r="F33" s="607"/>
      <c r="G33" s="610">
        <f t="shared" si="8"/>
        <v>120</v>
      </c>
      <c r="H33" s="607">
        <f t="shared" si="7"/>
        <v>35.339999999999996</v>
      </c>
      <c r="I33" s="606">
        <f>'F11-Year(n+2)'!E34</f>
        <v>3.0711367803799341</v>
      </c>
      <c r="J33" s="606">
        <f>'F11-Year(n+2)'!F34</f>
        <v>3.2909330761748041</v>
      </c>
      <c r="K33" s="606">
        <f>'F11-Year(n+2)'!G34</f>
        <v>3.409566027950417</v>
      </c>
      <c r="L33" s="606">
        <f>'F11-Year(n+2)'!H34</f>
        <v>7.4540816307502666</v>
      </c>
      <c r="M33" s="606">
        <f>'F11-Year(n+2)'!I34</f>
        <v>17.500822918406705</v>
      </c>
      <c r="N33" s="606">
        <f>'F11-Year(n+2)'!J34</f>
        <v>8.8390770670515515</v>
      </c>
      <c r="O33" s="606">
        <f>'F11-Year(n+2)'!K34</f>
        <v>9.7428988054884407</v>
      </c>
      <c r="P33" s="606">
        <f>'F11-Year(n+2)'!L34</f>
        <v>3.3416129076187975</v>
      </c>
      <c r="Q33" s="606">
        <f>'F11-Year(n+2)'!M34</f>
        <v>5.7325536181137942</v>
      </c>
      <c r="R33" s="606">
        <f>'F11-Year(n+2)'!N34</f>
        <v>10.938500886847468</v>
      </c>
      <c r="S33" s="606">
        <f>'F11-Year(n+2)'!O34</f>
        <v>9.8239966673922154</v>
      </c>
      <c r="T33" s="606">
        <f>'F11-Year(n+2)'!P34</f>
        <v>4.5632739706739098</v>
      </c>
      <c r="U33" s="607">
        <f t="shared" si="5"/>
        <v>87.708454356848293</v>
      </c>
      <c r="V33" s="605"/>
    </row>
    <row r="34" spans="3:23" x14ac:dyDescent="0.25">
      <c r="C34" s="822"/>
      <c r="D34" s="596" t="s">
        <v>365</v>
      </c>
      <c r="E34" s="610">
        <v>18</v>
      </c>
      <c r="F34" s="607"/>
      <c r="G34" s="610">
        <f t="shared" si="8"/>
        <v>18</v>
      </c>
      <c r="H34" s="607">
        <f t="shared" si="7"/>
        <v>5.3010000000000002</v>
      </c>
      <c r="I34" s="606">
        <f>'F11-Year(n+2)'!E35</f>
        <v>0.46067051705699025</v>
      </c>
      <c r="J34" s="606">
        <f>'F11-Year(n+2)'!F35</f>
        <v>0.4936399614262208</v>
      </c>
      <c r="K34" s="606">
        <f>'F11-Year(n+2)'!G35</f>
        <v>0.51143490419256254</v>
      </c>
      <c r="L34" s="606">
        <f>'F11-Year(n+2)'!H35</f>
        <v>1.1181122446125396</v>
      </c>
      <c r="M34" s="606">
        <f>'F11-Year(n+2)'!I35</f>
        <v>2.6251234377610055</v>
      </c>
      <c r="N34" s="606">
        <f>'F11-Year(n+2)'!J35</f>
        <v>1.3258615600577324</v>
      </c>
      <c r="O34" s="606">
        <f>'F11-Year(n+2)'!K35</f>
        <v>1.4614348208232664</v>
      </c>
      <c r="P34" s="606">
        <f>'F11-Year(n+2)'!L35</f>
        <v>0.50124193614281953</v>
      </c>
      <c r="Q34" s="606">
        <f>'F11-Year(n+2)'!M35</f>
        <v>0.85988304271706895</v>
      </c>
      <c r="R34" s="606">
        <f>'F11-Year(n+2)'!N35</f>
        <v>1.6407751330271205</v>
      </c>
      <c r="S34" s="606">
        <f>'F11-Year(n+2)'!O35</f>
        <v>1.4735995001088322</v>
      </c>
      <c r="T34" s="606">
        <f>'F11-Year(n+2)'!P35</f>
        <v>0.68449109560108634</v>
      </c>
      <c r="U34" s="607">
        <f t="shared" si="5"/>
        <v>13.156268153527243</v>
      </c>
      <c r="V34" s="605"/>
    </row>
    <row r="35" spans="3:23" x14ac:dyDescent="0.25">
      <c r="C35" s="822"/>
      <c r="D35" s="611" t="s">
        <v>448</v>
      </c>
      <c r="E35" s="610">
        <v>60</v>
      </c>
      <c r="F35" s="607"/>
      <c r="G35" s="610">
        <f t="shared" si="8"/>
        <v>60</v>
      </c>
      <c r="H35" s="607">
        <f t="shared" si="7"/>
        <v>17.669999999999998</v>
      </c>
      <c r="I35" s="606">
        <f>'F11-Year(n+2)'!E36</f>
        <v>1.535568390189967</v>
      </c>
      <c r="J35" s="606">
        <f>'F11-Year(n+2)'!F36</f>
        <v>1.6454665380874021</v>
      </c>
      <c r="K35" s="606">
        <f>'F11-Year(n+2)'!G36</f>
        <v>1.7047830139752085</v>
      </c>
      <c r="L35" s="606">
        <f>'F11-Year(n+2)'!H36</f>
        <v>3.7270408153751333</v>
      </c>
      <c r="M35" s="606">
        <f>'F11-Year(n+2)'!I36</f>
        <v>8.7504114592033524</v>
      </c>
      <c r="N35" s="606">
        <f>'F11-Year(n+2)'!J36</f>
        <v>4.4195385335257757</v>
      </c>
      <c r="O35" s="606">
        <f>'F11-Year(n+2)'!K36</f>
        <v>4.8714494027442203</v>
      </c>
      <c r="P35" s="606">
        <f>'F11-Year(n+2)'!L36</f>
        <v>1.6708064538093987</v>
      </c>
      <c r="Q35" s="606">
        <f>'F11-Year(n+2)'!M36</f>
        <v>2.8662768090568971</v>
      </c>
      <c r="R35" s="606">
        <f>'F11-Year(n+2)'!N36</f>
        <v>5.4692504434237339</v>
      </c>
      <c r="S35" s="606">
        <f>'F11-Year(n+2)'!O36</f>
        <v>4.9119983336961077</v>
      </c>
      <c r="T35" s="606">
        <f>'F11-Year(n+2)'!P36</f>
        <v>2.2816369853369549</v>
      </c>
      <c r="U35" s="607">
        <f t="shared" si="5"/>
        <v>43.854227178424146</v>
      </c>
      <c r="V35" s="605"/>
    </row>
    <row r="36" spans="3:23" x14ac:dyDescent="0.25">
      <c r="C36" s="822"/>
      <c r="D36" s="611" t="s">
        <v>449</v>
      </c>
      <c r="E36" s="606">
        <v>15</v>
      </c>
      <c r="F36" s="607"/>
      <c r="G36" s="610">
        <f t="shared" si="8"/>
        <v>15</v>
      </c>
      <c r="H36" s="607">
        <f t="shared" si="7"/>
        <v>4.4174999999999995</v>
      </c>
      <c r="I36" s="606">
        <f>'F11-Year(n+2)'!E37</f>
        <v>0.38389209754749176</v>
      </c>
      <c r="J36" s="606">
        <f>'F11-Year(n+2)'!F37</f>
        <v>0.41136663452185052</v>
      </c>
      <c r="K36" s="606">
        <f>'F11-Year(n+2)'!G37</f>
        <v>0.42619575349380212</v>
      </c>
      <c r="L36" s="606">
        <f>'F11-Year(n+2)'!H37</f>
        <v>0.93176020384378333</v>
      </c>
      <c r="M36" s="606">
        <f>'F11-Year(n+2)'!I37</f>
        <v>2.1876028648008381</v>
      </c>
      <c r="N36" s="606">
        <f>'F11-Year(n+2)'!J37</f>
        <v>1.1048846333814439</v>
      </c>
      <c r="O36" s="606">
        <f>'F11-Year(n+2)'!K37</f>
        <v>1.2178623506860551</v>
      </c>
      <c r="P36" s="606">
        <f>'F11-Year(n+2)'!L37</f>
        <v>0.41770161345234968</v>
      </c>
      <c r="Q36" s="606">
        <f>'F11-Year(n+2)'!M37</f>
        <v>0.71656920226422427</v>
      </c>
      <c r="R36" s="606">
        <f>'F11-Year(n+2)'!N37</f>
        <v>1.3673126108559335</v>
      </c>
      <c r="S36" s="606">
        <f>'F11-Year(n+2)'!O37</f>
        <v>1.2279995834240269</v>
      </c>
      <c r="T36" s="606">
        <f>'F11-Year(n+2)'!P37</f>
        <v>0.57040924633423873</v>
      </c>
      <c r="U36" s="607">
        <f t="shared" si="5"/>
        <v>10.963556794606037</v>
      </c>
      <c r="V36" s="605"/>
    </row>
    <row r="37" spans="3:23" x14ac:dyDescent="0.25">
      <c r="C37" s="824"/>
      <c r="D37" s="611" t="s">
        <v>450</v>
      </c>
      <c r="E37" s="607">
        <v>0</v>
      </c>
      <c r="F37" s="607"/>
      <c r="G37" s="610">
        <f t="shared" si="8"/>
        <v>0</v>
      </c>
      <c r="H37" s="607">
        <f t="shared" si="7"/>
        <v>0</v>
      </c>
      <c r="I37" s="606">
        <f>'F11-Year(n+2)'!E38</f>
        <v>0</v>
      </c>
      <c r="J37" s="606">
        <f>'F11-Year(n+2)'!F38</f>
        <v>0</v>
      </c>
      <c r="K37" s="606">
        <f>'F11-Year(n+2)'!G38</f>
        <v>0</v>
      </c>
      <c r="L37" s="606">
        <f>'F11-Year(n+2)'!H38</f>
        <v>0</v>
      </c>
      <c r="M37" s="606">
        <f>'F11-Year(n+2)'!I38</f>
        <v>0</v>
      </c>
      <c r="N37" s="606">
        <f>'F11-Year(n+2)'!J38</f>
        <v>0</v>
      </c>
      <c r="O37" s="606">
        <f>'F11-Year(n+2)'!K38</f>
        <v>0</v>
      </c>
      <c r="P37" s="606">
        <f>'F11-Year(n+2)'!L38</f>
        <v>0</v>
      </c>
      <c r="Q37" s="606">
        <f>'F11-Year(n+2)'!M38</f>
        <v>0</v>
      </c>
      <c r="R37" s="606">
        <f>'F11-Year(n+2)'!N38</f>
        <v>0</v>
      </c>
      <c r="S37" s="606">
        <f>'F11-Year(n+2)'!O38</f>
        <v>0</v>
      </c>
      <c r="T37" s="606">
        <f>'F11-Year(n+2)'!P38</f>
        <v>0</v>
      </c>
      <c r="U37" s="607">
        <f t="shared" si="5"/>
        <v>0</v>
      </c>
      <c r="V37" s="605"/>
    </row>
    <row r="38" spans="3:23" x14ac:dyDescent="0.25">
      <c r="C38" s="824"/>
      <c r="D38" s="611" t="s">
        <v>458</v>
      </c>
      <c r="E38" s="607">
        <v>18</v>
      </c>
      <c r="F38" s="607"/>
      <c r="G38" s="610">
        <f t="shared" si="8"/>
        <v>18</v>
      </c>
      <c r="H38" s="607">
        <f t="shared" si="7"/>
        <v>5.3010000000000002</v>
      </c>
      <c r="I38" s="606">
        <f>'F11-Year(n+2)'!E39</f>
        <v>0.46067051705699025</v>
      </c>
      <c r="J38" s="606">
        <f>'F11-Year(n+2)'!F39</f>
        <v>0.4936399614262208</v>
      </c>
      <c r="K38" s="606">
        <f>'F11-Year(n+2)'!G39</f>
        <v>0.51143490419256254</v>
      </c>
      <c r="L38" s="606">
        <f>'F11-Year(n+2)'!H39</f>
        <v>1.1181122446125396</v>
      </c>
      <c r="M38" s="606">
        <f>'F11-Year(n+2)'!I39</f>
        <v>2.6251234377610055</v>
      </c>
      <c r="N38" s="606">
        <f>'F11-Year(n+2)'!J39</f>
        <v>1.3258615600577324</v>
      </c>
      <c r="O38" s="606">
        <f>'F11-Year(n+2)'!K39</f>
        <v>1.4614348208232664</v>
      </c>
      <c r="P38" s="606">
        <f>'F11-Year(n+2)'!L39</f>
        <v>0.50124193614281953</v>
      </c>
      <c r="Q38" s="606">
        <f>'F11-Year(n+2)'!M39</f>
        <v>0.85988304271706895</v>
      </c>
      <c r="R38" s="606">
        <f>'F11-Year(n+2)'!N39</f>
        <v>1.6407751330271205</v>
      </c>
      <c r="S38" s="606">
        <f>'F11-Year(n+2)'!O39</f>
        <v>1.4735995001088322</v>
      </c>
      <c r="T38" s="606">
        <f>'F11-Year(n+2)'!P39</f>
        <v>0.68449109560108634</v>
      </c>
      <c r="U38" s="607">
        <f t="shared" si="5"/>
        <v>13.156268153527243</v>
      </c>
      <c r="V38" s="605"/>
    </row>
    <row r="39" spans="3:23" x14ac:dyDescent="0.25">
      <c r="C39" s="824"/>
      <c r="D39" s="611" t="s">
        <v>459</v>
      </c>
      <c r="E39" s="607">
        <v>10</v>
      </c>
      <c r="F39" s="607"/>
      <c r="G39" s="610">
        <f t="shared" si="8"/>
        <v>10</v>
      </c>
      <c r="H39" s="607">
        <f t="shared" si="7"/>
        <v>2.9449999999999998</v>
      </c>
      <c r="I39" s="606">
        <f>'F11-Year(n+2)'!E40</f>
        <v>0.25592806503166121</v>
      </c>
      <c r="J39" s="606">
        <f>'F11-Year(n+2)'!F40</f>
        <v>0.27424442301456708</v>
      </c>
      <c r="K39" s="606">
        <f>'F11-Year(n+2)'!G40</f>
        <v>0.28413050232920134</v>
      </c>
      <c r="L39" s="606">
        <f>'F11-Year(n+2)'!H40</f>
        <v>0.62117346922918881</v>
      </c>
      <c r="M39" s="606">
        <f>'F11-Year(n+2)'!I40</f>
        <v>1.4584019098672254</v>
      </c>
      <c r="N39" s="606">
        <f>'F11-Year(n+2)'!J40</f>
        <v>0.73658975558762929</v>
      </c>
      <c r="O39" s="606">
        <f>'F11-Year(n+2)'!K40</f>
        <v>0.81190823379070332</v>
      </c>
      <c r="P39" s="606">
        <f>'F11-Year(n+2)'!L40</f>
        <v>0.27846774230156646</v>
      </c>
      <c r="Q39" s="606">
        <f>'F11-Year(n+2)'!M40</f>
        <v>0.47771280150948292</v>
      </c>
      <c r="R39" s="606">
        <f>'F11-Year(n+2)'!N40</f>
        <v>0.91154174057062232</v>
      </c>
      <c r="S39" s="606">
        <f>'F11-Year(n+2)'!O40</f>
        <v>0.81866638894935151</v>
      </c>
      <c r="T39" s="606">
        <f>'F11-Year(n+2)'!P40</f>
        <v>0.38027283088949249</v>
      </c>
      <c r="U39" s="607">
        <f t="shared" si="5"/>
        <v>7.3090378630706923</v>
      </c>
      <c r="V39" s="605"/>
    </row>
    <row r="40" spans="3:23" hidden="1" x14ac:dyDescent="0.25">
      <c r="C40" s="822"/>
      <c r="D40" s="607"/>
      <c r="E40" s="607"/>
      <c r="F40" s="607"/>
      <c r="G40" s="607"/>
      <c r="H40" s="607"/>
      <c r="I40" s="607"/>
      <c r="J40" s="607"/>
      <c r="K40" s="607"/>
      <c r="L40" s="607"/>
      <c r="M40" s="607"/>
      <c r="N40" s="607"/>
      <c r="O40" s="607"/>
      <c r="P40" s="607"/>
      <c r="Q40" s="607"/>
      <c r="R40" s="607"/>
      <c r="S40" s="607"/>
      <c r="T40" s="607"/>
      <c r="U40" s="607">
        <f t="shared" si="5"/>
        <v>0</v>
      </c>
      <c r="V40" s="605"/>
    </row>
    <row r="41" spans="3:23" hidden="1" x14ac:dyDescent="0.25">
      <c r="C41" s="822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7"/>
      <c r="Q41" s="607"/>
      <c r="R41" s="607"/>
      <c r="S41" s="607"/>
      <c r="T41" s="607"/>
      <c r="U41" s="607">
        <f t="shared" si="5"/>
        <v>0</v>
      </c>
      <c r="V41" s="605"/>
    </row>
    <row r="42" spans="3:23" hidden="1" x14ac:dyDescent="0.25">
      <c r="C42" s="822"/>
      <c r="D42" s="607"/>
      <c r="E42" s="607"/>
      <c r="F42" s="607"/>
      <c r="G42" s="607"/>
      <c r="H42" s="607"/>
      <c r="I42" s="607"/>
      <c r="J42" s="607"/>
      <c r="K42" s="607"/>
      <c r="L42" s="607"/>
      <c r="M42" s="607"/>
      <c r="N42" s="607"/>
      <c r="O42" s="607"/>
      <c r="P42" s="607"/>
      <c r="Q42" s="607"/>
      <c r="R42" s="607"/>
      <c r="S42" s="607"/>
      <c r="T42" s="607"/>
      <c r="U42" s="607">
        <f t="shared" si="5"/>
        <v>0</v>
      </c>
      <c r="V42" s="605"/>
    </row>
    <row r="43" spans="3:23" hidden="1" x14ac:dyDescent="0.25">
      <c r="C43" s="822"/>
      <c r="D43" s="607"/>
      <c r="E43" s="607"/>
      <c r="F43" s="607"/>
      <c r="G43" s="607"/>
      <c r="H43" s="607"/>
      <c r="I43" s="607"/>
      <c r="J43" s="607"/>
      <c r="K43" s="607"/>
      <c r="L43" s="607"/>
      <c r="M43" s="607"/>
      <c r="N43" s="607"/>
      <c r="O43" s="607"/>
      <c r="P43" s="607"/>
      <c r="Q43" s="607"/>
      <c r="R43" s="607"/>
      <c r="S43" s="607"/>
      <c r="T43" s="607"/>
      <c r="U43" s="607">
        <f t="shared" si="5"/>
        <v>0</v>
      </c>
      <c r="V43" s="605"/>
    </row>
    <row r="44" spans="3:23" hidden="1" x14ac:dyDescent="0.25">
      <c r="C44" s="822"/>
      <c r="D44" s="607"/>
      <c r="E44" s="607"/>
      <c r="F44" s="607"/>
      <c r="G44" s="607"/>
      <c r="H44" s="607"/>
      <c r="I44" s="607"/>
      <c r="J44" s="607"/>
      <c r="K44" s="607"/>
      <c r="L44" s="607"/>
      <c r="M44" s="607"/>
      <c r="N44" s="607"/>
      <c r="O44" s="607"/>
      <c r="P44" s="607"/>
      <c r="Q44" s="607"/>
      <c r="R44" s="607"/>
      <c r="S44" s="607"/>
      <c r="T44" s="607"/>
      <c r="U44" s="607">
        <f t="shared" si="5"/>
        <v>0</v>
      </c>
      <c r="V44" s="605"/>
    </row>
    <row r="45" spans="3:23" hidden="1" x14ac:dyDescent="0.25">
      <c r="C45" s="822"/>
      <c r="D45" s="607"/>
      <c r="E45" s="607"/>
      <c r="F45" s="607"/>
      <c r="G45" s="607"/>
      <c r="H45" s="607"/>
      <c r="I45" s="607"/>
      <c r="J45" s="607"/>
      <c r="K45" s="607"/>
      <c r="L45" s="607"/>
      <c r="M45" s="607"/>
      <c r="N45" s="607"/>
      <c r="O45" s="607"/>
      <c r="P45" s="607"/>
      <c r="Q45" s="607"/>
      <c r="R45" s="607"/>
      <c r="S45" s="607"/>
      <c r="T45" s="607"/>
      <c r="U45" s="607">
        <f t="shared" si="5"/>
        <v>0</v>
      </c>
      <c r="V45" s="605"/>
    </row>
    <row r="46" spans="3:23" hidden="1" x14ac:dyDescent="0.25">
      <c r="C46" s="823"/>
      <c r="D46" s="612"/>
      <c r="E46" s="607"/>
      <c r="F46" s="607"/>
      <c r="G46" s="607"/>
      <c r="H46" s="607"/>
      <c r="I46" s="607"/>
      <c r="J46" s="607"/>
      <c r="K46" s="607"/>
      <c r="L46" s="607"/>
      <c r="M46" s="607"/>
      <c r="N46" s="607"/>
      <c r="O46" s="607"/>
      <c r="P46" s="607"/>
      <c r="Q46" s="607"/>
      <c r="R46" s="607"/>
      <c r="S46" s="607"/>
      <c r="T46" s="607"/>
      <c r="U46" s="607">
        <f t="shared" si="5"/>
        <v>0</v>
      </c>
      <c r="V46" s="605"/>
    </row>
    <row r="47" spans="3:23" x14ac:dyDescent="0.25">
      <c r="C47" s="811" t="s">
        <v>212</v>
      </c>
      <c r="D47" s="812"/>
      <c r="E47" s="607">
        <f>SUM(E29:E46)</f>
        <v>2430.6</v>
      </c>
      <c r="F47" s="607">
        <f t="shared" ref="F47:T47" si="9">SUM(F29:F46)</f>
        <v>0</v>
      </c>
      <c r="G47" s="607">
        <f t="shared" si="9"/>
        <v>2313.6</v>
      </c>
      <c r="H47" s="607">
        <f t="shared" si="9"/>
        <v>681.35520000000008</v>
      </c>
      <c r="I47" s="607">
        <f t="shared" si="9"/>
        <v>59.211517125725138</v>
      </c>
      <c r="J47" s="607">
        <f t="shared" si="9"/>
        <v>63.449189708650231</v>
      </c>
      <c r="K47" s="607">
        <f t="shared" si="9"/>
        <v>65.736433018884028</v>
      </c>
      <c r="L47" s="607">
        <f t="shared" si="9"/>
        <v>143.71469384086512</v>
      </c>
      <c r="M47" s="607">
        <f t="shared" si="9"/>
        <v>337.41586586688123</v>
      </c>
      <c r="N47" s="607">
        <f t="shared" si="9"/>
        <v>170.41740585275392</v>
      </c>
      <c r="O47" s="607">
        <f t="shared" si="9"/>
        <v>187.84308896981713</v>
      </c>
      <c r="P47" s="607">
        <f t="shared" si="9"/>
        <v>64.426296858890424</v>
      </c>
      <c r="Q47" s="607">
        <f t="shared" si="9"/>
        <v>110.52363375723398</v>
      </c>
      <c r="R47" s="607">
        <f t="shared" si="9"/>
        <v>210.89429709841917</v>
      </c>
      <c r="S47" s="607">
        <f t="shared" si="9"/>
        <v>189.40665574732191</v>
      </c>
      <c r="T47" s="607">
        <f t="shared" si="9"/>
        <v>87.97992215459297</v>
      </c>
      <c r="U47" s="609">
        <f>SUM(I47:T47)</f>
        <v>1691.0190000000355</v>
      </c>
      <c r="V47" s="605"/>
      <c r="W47" s="64"/>
    </row>
    <row r="48" spans="3:23" x14ac:dyDescent="0.25">
      <c r="C48" s="811" t="s">
        <v>368</v>
      </c>
      <c r="D48" s="812"/>
      <c r="E48" s="607">
        <f>E27+E47</f>
        <v>10410.6</v>
      </c>
      <c r="F48" s="607">
        <f t="shared" ref="F48:T48" si="10">F27+F47</f>
        <v>0</v>
      </c>
      <c r="G48" s="607">
        <f t="shared" si="10"/>
        <v>10293.6</v>
      </c>
      <c r="H48" s="607">
        <f t="shared" si="10"/>
        <v>3031.4651999999996</v>
      </c>
      <c r="I48" s="607">
        <f t="shared" si="10"/>
        <v>1209.004437125725</v>
      </c>
      <c r="J48" s="607">
        <f t="shared" si="10"/>
        <v>1400.5653137086501</v>
      </c>
      <c r="K48" s="607">
        <f t="shared" si="10"/>
        <v>1503.9037530188841</v>
      </c>
      <c r="L48" s="607">
        <f t="shared" si="10"/>
        <v>1629.8242578408649</v>
      </c>
      <c r="M48" s="607">
        <f t="shared" si="10"/>
        <v>1823.525429866881</v>
      </c>
      <c r="N48" s="607">
        <f t="shared" si="10"/>
        <v>1608.584725852754</v>
      </c>
      <c r="O48" s="607">
        <f t="shared" si="10"/>
        <v>1673.9526529698169</v>
      </c>
      <c r="P48" s="607">
        <f t="shared" si="10"/>
        <v>1502.5936168588905</v>
      </c>
      <c r="Q48" s="607">
        <f t="shared" si="10"/>
        <v>1596.6331977572338</v>
      </c>
      <c r="R48" s="607">
        <f t="shared" si="10"/>
        <v>1697.0038610984191</v>
      </c>
      <c r="S48" s="607">
        <f t="shared" si="10"/>
        <v>1531.6894877473219</v>
      </c>
      <c r="T48" s="607">
        <f t="shared" si="10"/>
        <v>1574.0894861545928</v>
      </c>
      <c r="U48" s="609">
        <f>U27+U47</f>
        <v>18751.370220000037</v>
      </c>
      <c r="V48" s="605"/>
    </row>
    <row r="49" spans="3:22" x14ac:dyDescent="0.25">
      <c r="C49" s="813" t="s">
        <v>369</v>
      </c>
      <c r="D49" s="814"/>
      <c r="E49" s="607"/>
      <c r="F49" s="607"/>
      <c r="G49" s="607"/>
      <c r="H49" s="607"/>
      <c r="I49" s="607"/>
      <c r="J49" s="607"/>
      <c r="K49" s="607"/>
      <c r="L49" s="607"/>
      <c r="M49" s="607"/>
      <c r="N49" s="607"/>
      <c r="O49" s="607"/>
      <c r="P49" s="607"/>
      <c r="Q49" s="607"/>
      <c r="R49" s="607"/>
      <c r="S49" s="607"/>
      <c r="T49" s="607"/>
      <c r="U49" s="607"/>
      <c r="V49" s="605"/>
    </row>
    <row r="50" spans="3:22" x14ac:dyDescent="0.25">
      <c r="C50" s="811" t="s">
        <v>349</v>
      </c>
      <c r="D50" s="812"/>
      <c r="E50" s="607"/>
      <c r="F50" s="607"/>
      <c r="G50" s="607"/>
      <c r="H50" s="607"/>
      <c r="I50" s="607"/>
      <c r="J50" s="607"/>
      <c r="K50" s="607"/>
      <c r="L50" s="607"/>
      <c r="M50" s="607"/>
      <c r="N50" s="607"/>
      <c r="O50" s="607"/>
      <c r="P50" s="607"/>
      <c r="Q50" s="607"/>
      <c r="R50" s="607"/>
      <c r="S50" s="607"/>
      <c r="T50" s="607"/>
      <c r="U50" s="607"/>
      <c r="V50" s="605"/>
    </row>
    <row r="51" spans="3:22" x14ac:dyDescent="0.25">
      <c r="C51" s="821" t="s">
        <v>370</v>
      </c>
      <c r="D51" s="607" t="s">
        <v>371</v>
      </c>
      <c r="E51" s="607">
        <v>2100</v>
      </c>
      <c r="F51" s="607"/>
      <c r="G51" s="607">
        <f>E51*16.81%</f>
        <v>353.01</v>
      </c>
      <c r="H51" s="606">
        <f t="shared" ref="H51:H67" si="11">G51*0.2945</f>
        <v>103.961445</v>
      </c>
      <c r="I51" s="606">
        <f t="shared" ref="I51:I67" si="12">$H51*0.85*30*24/1000</f>
        <v>63.624404339999998</v>
      </c>
      <c r="J51" s="606">
        <f t="shared" ref="J51:J67" si="13">$H51*0.85*31*24/1000</f>
        <v>65.745217817999986</v>
      </c>
      <c r="K51" s="606">
        <f t="shared" ref="K51:K67" si="14">$H51*0.85*30*24/1000</f>
        <v>63.624404339999998</v>
      </c>
      <c r="L51" s="606">
        <f t="shared" ref="L51:M67" si="15">$H51*0.85*31*24/1000</f>
        <v>65.745217817999986</v>
      </c>
      <c r="M51" s="606">
        <f t="shared" si="15"/>
        <v>65.745217817999986</v>
      </c>
      <c r="N51" s="606">
        <f t="shared" ref="N51:N67" si="16">$H51*0.85*30*24/1000</f>
        <v>63.624404339999998</v>
      </c>
      <c r="O51" s="606">
        <f t="shared" ref="O51:O67" si="17">$H51*0.85*31*24/1000</f>
        <v>65.745217817999986</v>
      </c>
      <c r="P51" s="606">
        <f t="shared" ref="P51:P67" si="18">$H51*0.85*30*24/1000</f>
        <v>63.624404339999998</v>
      </c>
      <c r="Q51" s="606">
        <f t="shared" ref="Q51:R67" si="19">$H51*0.85*31*24/1000</f>
        <v>65.745217817999986</v>
      </c>
      <c r="R51" s="606">
        <f t="shared" si="19"/>
        <v>65.745217817999986</v>
      </c>
      <c r="S51" s="606">
        <f t="shared" ref="S51:S67" si="20">$H51*0.85*28*24/1000</f>
        <v>59.382777383999994</v>
      </c>
      <c r="T51" s="606">
        <f t="shared" ref="T51:T67" si="21">$H51*0.85*31*24/1000</f>
        <v>65.745217817999986</v>
      </c>
      <c r="U51" s="607">
        <f t="shared" ref="U51:U77" si="22">+SUM(I51:T51)</f>
        <v>774.09691946999988</v>
      </c>
      <c r="V51" s="605"/>
    </row>
    <row r="52" spans="3:22" x14ac:dyDescent="0.25">
      <c r="C52" s="822"/>
      <c r="D52" s="607" t="s">
        <v>372</v>
      </c>
      <c r="E52" s="607">
        <v>500</v>
      </c>
      <c r="F52" s="607"/>
      <c r="G52" s="607">
        <f>E52*17.6%</f>
        <v>88.000000000000014</v>
      </c>
      <c r="H52" s="606">
        <f t="shared" si="11"/>
        <v>25.916000000000004</v>
      </c>
      <c r="I52" s="606">
        <f t="shared" si="12"/>
        <v>15.860592000000004</v>
      </c>
      <c r="J52" s="606">
        <f t="shared" si="13"/>
        <v>16.389278400000002</v>
      </c>
      <c r="K52" s="606">
        <f t="shared" si="14"/>
        <v>15.860592000000004</v>
      </c>
      <c r="L52" s="606">
        <f t="shared" si="15"/>
        <v>16.389278400000002</v>
      </c>
      <c r="M52" s="606">
        <f t="shared" si="15"/>
        <v>16.389278400000002</v>
      </c>
      <c r="N52" s="606">
        <f t="shared" si="16"/>
        <v>15.860592000000004</v>
      </c>
      <c r="O52" s="606">
        <f t="shared" si="17"/>
        <v>16.389278400000002</v>
      </c>
      <c r="P52" s="606">
        <f t="shared" si="18"/>
        <v>15.860592000000004</v>
      </c>
      <c r="Q52" s="606">
        <f t="shared" si="19"/>
        <v>16.389278400000002</v>
      </c>
      <c r="R52" s="606">
        <f t="shared" si="19"/>
        <v>16.389278400000002</v>
      </c>
      <c r="S52" s="606">
        <f t="shared" si="20"/>
        <v>14.803219200000003</v>
      </c>
      <c r="T52" s="606">
        <f t="shared" si="21"/>
        <v>16.389278400000002</v>
      </c>
      <c r="U52" s="607">
        <f t="shared" si="22"/>
        <v>192.97053599999998</v>
      </c>
      <c r="V52" s="605"/>
    </row>
    <row r="53" spans="3:22" x14ac:dyDescent="0.25">
      <c r="C53" s="822"/>
      <c r="D53" s="607" t="s">
        <v>373</v>
      </c>
      <c r="E53" s="607">
        <v>2000</v>
      </c>
      <c r="F53" s="607"/>
      <c r="G53" s="607">
        <f>E53*10.83%</f>
        <v>216.60000000000002</v>
      </c>
      <c r="H53" s="606">
        <f t="shared" si="11"/>
        <v>63.788700000000006</v>
      </c>
      <c r="I53" s="606">
        <f t="shared" si="12"/>
        <v>39.038684400000001</v>
      </c>
      <c r="J53" s="606">
        <f t="shared" si="13"/>
        <v>40.339973880000002</v>
      </c>
      <c r="K53" s="606">
        <f t="shared" si="14"/>
        <v>39.038684400000001</v>
      </c>
      <c r="L53" s="606">
        <f t="shared" si="15"/>
        <v>40.339973880000002</v>
      </c>
      <c r="M53" s="606">
        <f t="shared" si="15"/>
        <v>40.339973880000002</v>
      </c>
      <c r="N53" s="606">
        <f t="shared" si="16"/>
        <v>39.038684400000001</v>
      </c>
      <c r="O53" s="606">
        <f t="shared" si="17"/>
        <v>40.339973880000002</v>
      </c>
      <c r="P53" s="606">
        <f t="shared" si="18"/>
        <v>39.038684400000001</v>
      </c>
      <c r="Q53" s="606">
        <f t="shared" si="19"/>
        <v>40.339973880000002</v>
      </c>
      <c r="R53" s="606">
        <f t="shared" si="19"/>
        <v>40.339973880000002</v>
      </c>
      <c r="S53" s="606">
        <f t="shared" si="20"/>
        <v>36.436105439999999</v>
      </c>
      <c r="T53" s="606">
        <f t="shared" si="21"/>
        <v>40.339973880000002</v>
      </c>
      <c r="U53" s="607">
        <f t="shared" si="22"/>
        <v>474.97066020000005</v>
      </c>
      <c r="V53" s="605"/>
    </row>
    <row r="54" spans="3:22" x14ac:dyDescent="0.25">
      <c r="C54" s="822"/>
      <c r="D54" s="607" t="s">
        <v>374</v>
      </c>
      <c r="E54" s="607">
        <v>1000</v>
      </c>
      <c r="F54" s="607"/>
      <c r="G54" s="607">
        <f>E54*53.89%</f>
        <v>538.90000000000009</v>
      </c>
      <c r="H54" s="606">
        <f t="shared" si="11"/>
        <v>158.70605</v>
      </c>
      <c r="I54" s="606">
        <f t="shared" si="12"/>
        <v>97.128102600000005</v>
      </c>
      <c r="J54" s="606">
        <f t="shared" si="13"/>
        <v>100.36570602</v>
      </c>
      <c r="K54" s="606">
        <f t="shared" si="14"/>
        <v>97.128102600000005</v>
      </c>
      <c r="L54" s="606">
        <f t="shared" si="15"/>
        <v>100.36570602</v>
      </c>
      <c r="M54" s="606">
        <f t="shared" si="15"/>
        <v>100.36570602</v>
      </c>
      <c r="N54" s="606">
        <f t="shared" si="16"/>
        <v>97.128102600000005</v>
      </c>
      <c r="O54" s="606">
        <f t="shared" si="17"/>
        <v>100.36570602</v>
      </c>
      <c r="P54" s="606">
        <f t="shared" si="18"/>
        <v>97.128102600000005</v>
      </c>
      <c r="Q54" s="606">
        <f t="shared" si="19"/>
        <v>100.36570602</v>
      </c>
      <c r="R54" s="606">
        <f t="shared" si="19"/>
        <v>100.36570602</v>
      </c>
      <c r="S54" s="606">
        <f t="shared" si="20"/>
        <v>90.652895759999979</v>
      </c>
      <c r="T54" s="606">
        <f t="shared" si="21"/>
        <v>100.36570602</v>
      </c>
      <c r="U54" s="607">
        <f t="shared" si="22"/>
        <v>1181.7252483</v>
      </c>
      <c r="V54" s="605"/>
    </row>
    <row r="55" spans="3:22" x14ac:dyDescent="0.25">
      <c r="C55" s="822"/>
      <c r="D55" s="607" t="s">
        <v>375</v>
      </c>
      <c r="E55" s="607">
        <v>1000</v>
      </c>
      <c r="F55" s="607"/>
      <c r="G55" s="607">
        <f>E55*25.64%</f>
        <v>256.40000000000003</v>
      </c>
      <c r="H55" s="606">
        <f t="shared" si="11"/>
        <v>75.509800000000013</v>
      </c>
      <c r="I55" s="606">
        <f t="shared" si="12"/>
        <v>46.211997600000004</v>
      </c>
      <c r="J55" s="606">
        <f t="shared" si="13"/>
        <v>47.752397520000002</v>
      </c>
      <c r="K55" s="606">
        <f t="shared" si="14"/>
        <v>46.211997600000004</v>
      </c>
      <c r="L55" s="606">
        <f t="shared" si="15"/>
        <v>47.752397520000002</v>
      </c>
      <c r="M55" s="606">
        <f t="shared" si="15"/>
        <v>47.752397520000002</v>
      </c>
      <c r="N55" s="606">
        <f t="shared" si="16"/>
        <v>46.211997600000004</v>
      </c>
      <c r="O55" s="606">
        <f t="shared" si="17"/>
        <v>47.752397520000002</v>
      </c>
      <c r="P55" s="606">
        <f t="shared" si="18"/>
        <v>46.211997600000004</v>
      </c>
      <c r="Q55" s="606">
        <f t="shared" si="19"/>
        <v>47.752397520000002</v>
      </c>
      <c r="R55" s="606">
        <f t="shared" si="19"/>
        <v>47.752397520000002</v>
      </c>
      <c r="S55" s="606">
        <f t="shared" si="20"/>
        <v>43.131197760000013</v>
      </c>
      <c r="T55" s="606">
        <f t="shared" si="21"/>
        <v>47.752397520000002</v>
      </c>
      <c r="U55" s="607">
        <f t="shared" si="22"/>
        <v>562.24597080000001</v>
      </c>
      <c r="V55" s="605"/>
    </row>
    <row r="56" spans="3:22" x14ac:dyDescent="0.25">
      <c r="C56" s="822"/>
      <c r="D56" s="607" t="s">
        <v>376</v>
      </c>
      <c r="E56" s="607">
        <v>2400</v>
      </c>
      <c r="F56" s="607"/>
      <c r="G56" s="607">
        <f>E56*0.1162</f>
        <v>278.88</v>
      </c>
      <c r="H56" s="606">
        <f t="shared" si="11"/>
        <v>82.130159999999989</v>
      </c>
      <c r="I56" s="606">
        <f t="shared" si="12"/>
        <v>50.26365792</v>
      </c>
      <c r="J56" s="606">
        <f t="shared" si="13"/>
        <v>51.939113183999986</v>
      </c>
      <c r="K56" s="606">
        <f t="shared" si="14"/>
        <v>50.26365792</v>
      </c>
      <c r="L56" s="606">
        <f t="shared" si="15"/>
        <v>51.939113183999986</v>
      </c>
      <c r="M56" s="606">
        <f t="shared" si="15"/>
        <v>51.939113183999986</v>
      </c>
      <c r="N56" s="606">
        <f t="shared" si="16"/>
        <v>50.26365792</v>
      </c>
      <c r="O56" s="606">
        <f t="shared" si="17"/>
        <v>51.939113183999986</v>
      </c>
      <c r="P56" s="606">
        <f t="shared" si="18"/>
        <v>50.26365792</v>
      </c>
      <c r="Q56" s="606">
        <f t="shared" si="19"/>
        <v>51.939113183999986</v>
      </c>
      <c r="R56" s="606">
        <f t="shared" si="19"/>
        <v>51.939113183999986</v>
      </c>
      <c r="S56" s="606">
        <f t="shared" si="20"/>
        <v>46.912747391999993</v>
      </c>
      <c r="T56" s="606">
        <f t="shared" si="21"/>
        <v>51.939113183999986</v>
      </c>
      <c r="U56" s="607">
        <f t="shared" si="22"/>
        <v>611.54117136000002</v>
      </c>
      <c r="V56" s="605"/>
    </row>
    <row r="57" spans="3:22" x14ac:dyDescent="0.25">
      <c r="C57" s="822"/>
      <c r="D57" s="607" t="s">
        <v>377</v>
      </c>
      <c r="E57" s="607">
        <v>85</v>
      </c>
      <c r="F57" s="607"/>
      <c r="G57" s="607">
        <f>E57*0.5389</f>
        <v>45.806500000000007</v>
      </c>
      <c r="H57" s="606">
        <f t="shared" si="11"/>
        <v>13.490014250000002</v>
      </c>
      <c r="I57" s="606">
        <f t="shared" si="12"/>
        <v>8.2558887209999998</v>
      </c>
      <c r="J57" s="606">
        <f t="shared" si="13"/>
        <v>8.5310850116999983</v>
      </c>
      <c r="K57" s="606">
        <f t="shared" si="14"/>
        <v>8.2558887209999998</v>
      </c>
      <c r="L57" s="606">
        <f t="shared" si="15"/>
        <v>8.5310850116999983</v>
      </c>
      <c r="M57" s="606">
        <f t="shared" si="15"/>
        <v>8.5310850116999983</v>
      </c>
      <c r="N57" s="606">
        <f t="shared" si="16"/>
        <v>8.2558887209999998</v>
      </c>
      <c r="O57" s="606">
        <f t="shared" si="17"/>
        <v>8.5310850116999983</v>
      </c>
      <c r="P57" s="606">
        <f t="shared" si="18"/>
        <v>8.2558887209999998</v>
      </c>
      <c r="Q57" s="606">
        <f t="shared" si="19"/>
        <v>8.5310850116999983</v>
      </c>
      <c r="R57" s="606">
        <f t="shared" si="19"/>
        <v>8.5310850116999983</v>
      </c>
      <c r="S57" s="606">
        <f t="shared" si="20"/>
        <v>7.7054961396000001</v>
      </c>
      <c r="T57" s="606">
        <f t="shared" si="21"/>
        <v>8.5310850116999983</v>
      </c>
      <c r="U57" s="607">
        <f t="shared" si="22"/>
        <v>100.44664610549999</v>
      </c>
      <c r="V57" s="605"/>
    </row>
    <row r="58" spans="3:22" x14ac:dyDescent="0.25">
      <c r="C58" s="822"/>
      <c r="D58" s="607" t="s">
        <v>378</v>
      </c>
      <c r="E58" s="607">
        <v>200</v>
      </c>
      <c r="F58" s="607"/>
      <c r="G58" s="607">
        <v>200</v>
      </c>
      <c r="H58" s="606">
        <f t="shared" si="11"/>
        <v>58.9</v>
      </c>
      <c r="I58" s="606">
        <f t="shared" si="12"/>
        <v>36.046799999999998</v>
      </c>
      <c r="J58" s="606">
        <f t="shared" si="13"/>
        <v>37.248359999999998</v>
      </c>
      <c r="K58" s="606">
        <f t="shared" si="14"/>
        <v>36.046799999999998</v>
      </c>
      <c r="L58" s="606">
        <f t="shared" si="15"/>
        <v>37.248359999999998</v>
      </c>
      <c r="M58" s="606">
        <f t="shared" si="15"/>
        <v>37.248359999999998</v>
      </c>
      <c r="N58" s="606">
        <f t="shared" si="16"/>
        <v>36.046799999999998</v>
      </c>
      <c r="O58" s="606">
        <f t="shared" si="17"/>
        <v>37.248359999999998</v>
      </c>
      <c r="P58" s="606">
        <f t="shared" si="18"/>
        <v>36.046799999999998</v>
      </c>
      <c r="Q58" s="606">
        <f t="shared" si="19"/>
        <v>37.248359999999998</v>
      </c>
      <c r="R58" s="606">
        <f t="shared" si="19"/>
        <v>37.248359999999998</v>
      </c>
      <c r="S58" s="606">
        <f t="shared" si="20"/>
        <v>33.643680000000003</v>
      </c>
      <c r="T58" s="606">
        <f t="shared" si="21"/>
        <v>37.248359999999998</v>
      </c>
      <c r="U58" s="607">
        <f t="shared" si="22"/>
        <v>438.56939999999997</v>
      </c>
      <c r="V58" s="605"/>
    </row>
    <row r="59" spans="3:22" x14ac:dyDescent="0.25">
      <c r="C59" s="823"/>
      <c r="D59" s="607" t="s">
        <v>379</v>
      </c>
      <c r="E59" s="607">
        <v>800</v>
      </c>
      <c r="F59" s="607"/>
      <c r="G59" s="607">
        <f>E59*0.85</f>
        <v>680</v>
      </c>
      <c r="H59" s="606">
        <f t="shared" si="11"/>
        <v>200.26</v>
      </c>
      <c r="I59" s="606">
        <f t="shared" si="12"/>
        <v>122.55911999999998</v>
      </c>
      <c r="J59" s="606">
        <f t="shared" si="13"/>
        <v>126.644424</v>
      </c>
      <c r="K59" s="606">
        <f t="shared" si="14"/>
        <v>122.55911999999998</v>
      </c>
      <c r="L59" s="606">
        <f t="shared" si="15"/>
        <v>126.644424</v>
      </c>
      <c r="M59" s="606">
        <f t="shared" si="15"/>
        <v>126.644424</v>
      </c>
      <c r="N59" s="606">
        <f t="shared" si="16"/>
        <v>122.55911999999998</v>
      </c>
      <c r="O59" s="606">
        <f t="shared" si="17"/>
        <v>126.644424</v>
      </c>
      <c r="P59" s="606">
        <f t="shared" si="18"/>
        <v>122.55911999999998</v>
      </c>
      <c r="Q59" s="606">
        <f t="shared" si="19"/>
        <v>126.644424</v>
      </c>
      <c r="R59" s="606">
        <f t="shared" si="19"/>
        <v>126.644424</v>
      </c>
      <c r="S59" s="606">
        <f t="shared" si="20"/>
        <v>114.38851199999999</v>
      </c>
      <c r="T59" s="606">
        <f t="shared" si="21"/>
        <v>126.644424</v>
      </c>
      <c r="U59" s="607">
        <f t="shared" si="22"/>
        <v>1491.1359600000001</v>
      </c>
      <c r="V59" s="605"/>
    </row>
    <row r="60" spans="3:22" x14ac:dyDescent="0.25">
      <c r="C60" s="613"/>
      <c r="D60" s="607" t="s">
        <v>451</v>
      </c>
      <c r="E60" s="607">
        <v>800</v>
      </c>
      <c r="F60" s="607"/>
      <c r="G60" s="607">
        <f>E60*0.85</f>
        <v>680</v>
      </c>
      <c r="H60" s="606">
        <f t="shared" si="11"/>
        <v>200.26</v>
      </c>
      <c r="I60" s="606">
        <f t="shared" si="12"/>
        <v>122.55911999999998</v>
      </c>
      <c r="J60" s="606">
        <f t="shared" si="13"/>
        <v>126.644424</v>
      </c>
      <c r="K60" s="606">
        <f t="shared" si="14"/>
        <v>122.55911999999998</v>
      </c>
      <c r="L60" s="606">
        <f t="shared" si="15"/>
        <v>126.644424</v>
      </c>
      <c r="M60" s="606">
        <f t="shared" si="15"/>
        <v>126.644424</v>
      </c>
      <c r="N60" s="606">
        <f t="shared" si="16"/>
        <v>122.55911999999998</v>
      </c>
      <c r="O60" s="606">
        <f t="shared" si="17"/>
        <v>126.644424</v>
      </c>
      <c r="P60" s="606">
        <f t="shared" si="18"/>
        <v>122.55911999999998</v>
      </c>
      <c r="Q60" s="606">
        <f t="shared" si="19"/>
        <v>126.644424</v>
      </c>
      <c r="R60" s="606">
        <f t="shared" si="19"/>
        <v>126.644424</v>
      </c>
      <c r="S60" s="606">
        <f t="shared" si="20"/>
        <v>114.38851199999999</v>
      </c>
      <c r="T60" s="606">
        <f t="shared" si="21"/>
        <v>126.644424</v>
      </c>
      <c r="U60" s="607">
        <f t="shared" si="22"/>
        <v>1491.1359600000001</v>
      </c>
      <c r="V60" s="605"/>
    </row>
    <row r="61" spans="3:22" x14ac:dyDescent="0.25">
      <c r="C61" s="607"/>
      <c r="D61" s="607" t="s">
        <v>380</v>
      </c>
      <c r="E61" s="607">
        <v>630</v>
      </c>
      <c r="F61" s="607"/>
      <c r="G61" s="606">
        <f>E61*0.0086</f>
        <v>5.4180000000000001</v>
      </c>
      <c r="H61" s="606">
        <f t="shared" si="11"/>
        <v>1.595601</v>
      </c>
      <c r="I61" s="606">
        <f t="shared" si="12"/>
        <v>0.97650781200000003</v>
      </c>
      <c r="J61" s="606">
        <f t="shared" si="13"/>
        <v>1.0090580724</v>
      </c>
      <c r="K61" s="606">
        <f t="shared" si="14"/>
        <v>0.97650781200000003</v>
      </c>
      <c r="L61" s="606">
        <f t="shared" si="15"/>
        <v>1.0090580724</v>
      </c>
      <c r="M61" s="606">
        <f t="shared" si="15"/>
        <v>1.0090580724</v>
      </c>
      <c r="N61" s="606">
        <f t="shared" si="16"/>
        <v>0.97650781200000003</v>
      </c>
      <c r="O61" s="606">
        <f t="shared" si="17"/>
        <v>1.0090580724</v>
      </c>
      <c r="P61" s="606">
        <f t="shared" si="18"/>
        <v>0.97650781200000003</v>
      </c>
      <c r="Q61" s="606">
        <f t="shared" si="19"/>
        <v>1.0090580724</v>
      </c>
      <c r="R61" s="606">
        <f t="shared" si="19"/>
        <v>1.0090580724</v>
      </c>
      <c r="S61" s="606">
        <f t="shared" si="20"/>
        <v>0.91140729119999997</v>
      </c>
      <c r="T61" s="606">
        <f t="shared" si="21"/>
        <v>1.0090580724</v>
      </c>
      <c r="U61" s="607">
        <f t="shared" si="22"/>
        <v>11.880845046000001</v>
      </c>
      <c r="V61" s="605"/>
    </row>
    <row r="62" spans="3:22" x14ac:dyDescent="0.25">
      <c r="C62" s="607"/>
      <c r="D62" s="607" t="s">
        <v>381</v>
      </c>
      <c r="E62" s="607">
        <v>840</v>
      </c>
      <c r="F62" s="607"/>
      <c r="G62" s="606">
        <f>E62*0.0085</f>
        <v>7.1400000000000006</v>
      </c>
      <c r="H62" s="606">
        <f t="shared" si="11"/>
        <v>2.1027300000000002</v>
      </c>
      <c r="I62" s="606">
        <f t="shared" si="12"/>
        <v>1.28687076</v>
      </c>
      <c r="J62" s="606">
        <f t="shared" si="13"/>
        <v>1.3297664520000001</v>
      </c>
      <c r="K62" s="606">
        <f t="shared" si="14"/>
        <v>1.28687076</v>
      </c>
      <c r="L62" s="606">
        <f t="shared" si="15"/>
        <v>1.3297664520000001</v>
      </c>
      <c r="M62" s="606">
        <f t="shared" si="15"/>
        <v>1.3297664520000001</v>
      </c>
      <c r="N62" s="606">
        <f t="shared" si="16"/>
        <v>1.28687076</v>
      </c>
      <c r="O62" s="606">
        <f t="shared" si="17"/>
        <v>1.3297664520000001</v>
      </c>
      <c r="P62" s="606">
        <f t="shared" si="18"/>
        <v>1.28687076</v>
      </c>
      <c r="Q62" s="606">
        <f t="shared" si="19"/>
        <v>1.3297664520000001</v>
      </c>
      <c r="R62" s="606">
        <f t="shared" si="19"/>
        <v>1.3297664520000001</v>
      </c>
      <c r="S62" s="606">
        <f t="shared" si="20"/>
        <v>1.201079376</v>
      </c>
      <c r="T62" s="606">
        <f t="shared" si="21"/>
        <v>1.3297664520000001</v>
      </c>
      <c r="U62" s="607">
        <f t="shared" si="22"/>
        <v>15.65692758</v>
      </c>
      <c r="V62" s="605"/>
    </row>
    <row r="63" spans="3:22" x14ac:dyDescent="0.25">
      <c r="C63" s="607"/>
      <c r="D63" s="607" t="s">
        <v>382</v>
      </c>
      <c r="E63" s="607">
        <v>1000</v>
      </c>
      <c r="F63" s="607"/>
      <c r="G63" s="606">
        <f>0.0619*E63</f>
        <v>61.9</v>
      </c>
      <c r="H63" s="606">
        <f t="shared" si="11"/>
        <v>18.22955</v>
      </c>
      <c r="I63" s="606">
        <f t="shared" si="12"/>
        <v>11.156484600000001</v>
      </c>
      <c r="J63" s="606">
        <f t="shared" si="13"/>
        <v>11.528367419999999</v>
      </c>
      <c r="K63" s="606">
        <f t="shared" si="14"/>
        <v>11.156484600000001</v>
      </c>
      <c r="L63" s="606">
        <f t="shared" si="15"/>
        <v>11.528367419999999</v>
      </c>
      <c r="M63" s="606">
        <f t="shared" si="15"/>
        <v>11.528367419999999</v>
      </c>
      <c r="N63" s="606">
        <f t="shared" si="16"/>
        <v>11.156484600000001</v>
      </c>
      <c r="O63" s="606">
        <f t="shared" si="17"/>
        <v>11.528367419999999</v>
      </c>
      <c r="P63" s="606">
        <f t="shared" si="18"/>
        <v>11.156484600000001</v>
      </c>
      <c r="Q63" s="606">
        <f t="shared" si="19"/>
        <v>11.528367419999999</v>
      </c>
      <c r="R63" s="606">
        <f t="shared" si="19"/>
        <v>11.528367419999999</v>
      </c>
      <c r="S63" s="606">
        <f t="shared" si="20"/>
        <v>10.412718959999999</v>
      </c>
      <c r="T63" s="606">
        <f t="shared" si="21"/>
        <v>11.528367419999999</v>
      </c>
      <c r="U63" s="607">
        <f t="shared" si="22"/>
        <v>135.73722929999997</v>
      </c>
      <c r="V63" s="605"/>
    </row>
    <row r="64" spans="3:22" x14ac:dyDescent="0.25">
      <c r="C64" s="607"/>
      <c r="D64" s="607" t="s">
        <v>383</v>
      </c>
      <c r="E64" s="607">
        <v>0</v>
      </c>
      <c r="F64" s="607"/>
      <c r="G64" s="606">
        <v>0</v>
      </c>
      <c r="H64" s="606">
        <f t="shared" si="11"/>
        <v>0</v>
      </c>
      <c r="I64" s="606">
        <f t="shared" si="12"/>
        <v>0</v>
      </c>
      <c r="J64" s="606">
        <f t="shared" si="13"/>
        <v>0</v>
      </c>
      <c r="K64" s="606">
        <f t="shared" si="14"/>
        <v>0</v>
      </c>
      <c r="L64" s="606">
        <f t="shared" si="15"/>
        <v>0</v>
      </c>
      <c r="M64" s="606">
        <f t="shared" si="15"/>
        <v>0</v>
      </c>
      <c r="N64" s="606">
        <f t="shared" si="16"/>
        <v>0</v>
      </c>
      <c r="O64" s="606">
        <f t="shared" si="17"/>
        <v>0</v>
      </c>
      <c r="P64" s="606">
        <f t="shared" si="18"/>
        <v>0</v>
      </c>
      <c r="Q64" s="606">
        <f t="shared" si="19"/>
        <v>0</v>
      </c>
      <c r="R64" s="606">
        <f t="shared" si="19"/>
        <v>0</v>
      </c>
      <c r="S64" s="606">
        <f t="shared" si="20"/>
        <v>0</v>
      </c>
      <c r="T64" s="606">
        <f t="shared" si="21"/>
        <v>0</v>
      </c>
      <c r="U64" s="607">
        <f t="shared" si="22"/>
        <v>0</v>
      </c>
      <c r="V64" s="605"/>
    </row>
    <row r="65" spans="3:22" x14ac:dyDescent="0.25">
      <c r="C65" s="607"/>
      <c r="D65" s="607" t="s">
        <v>384</v>
      </c>
      <c r="E65" s="607">
        <v>0</v>
      </c>
      <c r="F65" s="607"/>
      <c r="G65" s="606">
        <v>0</v>
      </c>
      <c r="H65" s="606">
        <f t="shared" si="11"/>
        <v>0</v>
      </c>
      <c r="I65" s="606">
        <f t="shared" si="12"/>
        <v>0</v>
      </c>
      <c r="J65" s="606">
        <f t="shared" si="13"/>
        <v>0</v>
      </c>
      <c r="K65" s="606">
        <f t="shared" si="14"/>
        <v>0</v>
      </c>
      <c r="L65" s="606">
        <f t="shared" si="15"/>
        <v>0</v>
      </c>
      <c r="M65" s="606">
        <f t="shared" si="15"/>
        <v>0</v>
      </c>
      <c r="N65" s="606">
        <f t="shared" si="16"/>
        <v>0</v>
      </c>
      <c r="O65" s="606">
        <f t="shared" si="17"/>
        <v>0</v>
      </c>
      <c r="P65" s="606">
        <f t="shared" si="18"/>
        <v>0</v>
      </c>
      <c r="Q65" s="606">
        <f t="shared" si="19"/>
        <v>0</v>
      </c>
      <c r="R65" s="606">
        <f t="shared" si="19"/>
        <v>0</v>
      </c>
      <c r="S65" s="606">
        <f t="shared" si="20"/>
        <v>0</v>
      </c>
      <c r="T65" s="606">
        <f t="shared" si="21"/>
        <v>0</v>
      </c>
      <c r="U65" s="607">
        <f t="shared" si="22"/>
        <v>0</v>
      </c>
      <c r="V65" s="605"/>
    </row>
    <row r="66" spans="3:22" x14ac:dyDescent="0.25">
      <c r="C66" s="607"/>
      <c r="D66" s="607" t="s">
        <v>385</v>
      </c>
      <c r="E66" s="607">
        <v>1500</v>
      </c>
      <c r="F66" s="607"/>
      <c r="G66" s="606">
        <f>E66*0.0688</f>
        <v>103.2</v>
      </c>
      <c r="H66" s="606">
        <f t="shared" si="11"/>
        <v>30.392399999999999</v>
      </c>
      <c r="I66" s="606">
        <f t="shared" si="12"/>
        <v>18.600148800000003</v>
      </c>
      <c r="J66" s="606">
        <f t="shared" si="13"/>
        <v>19.220153760000002</v>
      </c>
      <c r="K66" s="606">
        <f t="shared" si="14"/>
        <v>18.600148800000003</v>
      </c>
      <c r="L66" s="606">
        <f t="shared" si="15"/>
        <v>19.220153760000002</v>
      </c>
      <c r="M66" s="606">
        <f t="shared" si="15"/>
        <v>19.220153760000002</v>
      </c>
      <c r="N66" s="606">
        <f t="shared" si="16"/>
        <v>18.600148800000003</v>
      </c>
      <c r="O66" s="606">
        <f t="shared" si="17"/>
        <v>19.220153760000002</v>
      </c>
      <c r="P66" s="606">
        <f t="shared" si="18"/>
        <v>18.600148800000003</v>
      </c>
      <c r="Q66" s="606">
        <f t="shared" si="19"/>
        <v>19.220153760000002</v>
      </c>
      <c r="R66" s="606">
        <f t="shared" si="19"/>
        <v>19.220153760000002</v>
      </c>
      <c r="S66" s="606">
        <f t="shared" si="20"/>
        <v>17.360138879999997</v>
      </c>
      <c r="T66" s="606">
        <f t="shared" si="21"/>
        <v>19.220153760000002</v>
      </c>
      <c r="U66" s="607">
        <f t="shared" si="22"/>
        <v>226.30181040000002</v>
      </c>
      <c r="V66" s="605"/>
    </row>
    <row r="67" spans="3:22" x14ac:dyDescent="0.25">
      <c r="C67" s="607"/>
      <c r="D67" s="607" t="s">
        <v>386</v>
      </c>
      <c r="E67" s="607">
        <v>1000</v>
      </c>
      <c r="F67" s="607"/>
      <c r="G67" s="606">
        <f>E67*0.1444</f>
        <v>144.4</v>
      </c>
      <c r="H67" s="606">
        <f t="shared" si="11"/>
        <v>42.525799999999997</v>
      </c>
      <c r="I67" s="606">
        <f t="shared" si="12"/>
        <v>26.025789599999996</v>
      </c>
      <c r="J67" s="606">
        <f t="shared" si="13"/>
        <v>26.893315919999999</v>
      </c>
      <c r="K67" s="606">
        <f t="shared" si="14"/>
        <v>26.025789599999996</v>
      </c>
      <c r="L67" s="606">
        <f t="shared" si="15"/>
        <v>26.893315919999999</v>
      </c>
      <c r="M67" s="606">
        <f t="shared" si="15"/>
        <v>26.893315919999999</v>
      </c>
      <c r="N67" s="606">
        <f t="shared" si="16"/>
        <v>26.025789599999996</v>
      </c>
      <c r="O67" s="606">
        <f t="shared" si="17"/>
        <v>26.893315919999999</v>
      </c>
      <c r="P67" s="606">
        <f t="shared" si="18"/>
        <v>26.025789599999996</v>
      </c>
      <c r="Q67" s="606">
        <f t="shared" si="19"/>
        <v>26.893315919999999</v>
      </c>
      <c r="R67" s="606">
        <f t="shared" si="19"/>
        <v>26.893315919999999</v>
      </c>
      <c r="S67" s="606">
        <f t="shared" si="20"/>
        <v>24.290736959999997</v>
      </c>
      <c r="T67" s="606">
        <f t="shared" si="21"/>
        <v>26.893315919999999</v>
      </c>
      <c r="U67" s="607">
        <f t="shared" si="22"/>
        <v>316.64710679999996</v>
      </c>
      <c r="V67" s="605"/>
    </row>
    <row r="68" spans="3:22" hidden="1" x14ac:dyDescent="0.25">
      <c r="C68" s="607"/>
      <c r="D68" s="614"/>
      <c r="E68" s="607"/>
      <c r="F68" s="607"/>
      <c r="G68" s="607"/>
      <c r="H68" s="607"/>
      <c r="I68" s="607"/>
      <c r="J68" s="607"/>
      <c r="K68" s="607"/>
      <c r="L68" s="607"/>
      <c r="M68" s="607"/>
      <c r="N68" s="607"/>
      <c r="O68" s="607"/>
      <c r="P68" s="607"/>
      <c r="Q68" s="607"/>
      <c r="R68" s="607"/>
      <c r="S68" s="607"/>
      <c r="T68" s="607"/>
      <c r="U68" s="607">
        <f t="shared" si="22"/>
        <v>0</v>
      </c>
      <c r="V68" s="605"/>
    </row>
    <row r="69" spans="3:22" hidden="1" x14ac:dyDescent="0.25">
      <c r="C69" s="607"/>
      <c r="D69" s="614"/>
      <c r="E69" s="607"/>
      <c r="F69" s="607"/>
      <c r="G69" s="607"/>
      <c r="H69" s="607"/>
      <c r="I69" s="607"/>
      <c r="J69" s="607"/>
      <c r="K69" s="607"/>
      <c r="L69" s="607"/>
      <c r="M69" s="607"/>
      <c r="N69" s="607"/>
      <c r="O69" s="607"/>
      <c r="P69" s="607"/>
      <c r="Q69" s="607"/>
      <c r="R69" s="607"/>
      <c r="S69" s="607"/>
      <c r="T69" s="607"/>
      <c r="U69" s="607">
        <f t="shared" si="22"/>
        <v>0</v>
      </c>
      <c r="V69" s="605"/>
    </row>
    <row r="70" spans="3:22" hidden="1" x14ac:dyDescent="0.25">
      <c r="C70" s="607"/>
      <c r="D70" s="614"/>
      <c r="E70" s="607"/>
      <c r="F70" s="607"/>
      <c r="G70" s="607"/>
      <c r="H70" s="607"/>
      <c r="I70" s="607"/>
      <c r="J70" s="607"/>
      <c r="K70" s="607"/>
      <c r="L70" s="607"/>
      <c r="M70" s="607"/>
      <c r="N70" s="607"/>
      <c r="O70" s="607"/>
      <c r="P70" s="607"/>
      <c r="Q70" s="607"/>
      <c r="R70" s="607"/>
      <c r="S70" s="607"/>
      <c r="T70" s="607"/>
      <c r="U70" s="607">
        <f t="shared" si="22"/>
        <v>0</v>
      </c>
      <c r="V70" s="605"/>
    </row>
    <row r="71" spans="3:22" hidden="1" x14ac:dyDescent="0.25">
      <c r="C71" s="607"/>
      <c r="D71" s="615"/>
      <c r="E71" s="607"/>
      <c r="F71" s="607"/>
      <c r="G71" s="607"/>
      <c r="H71" s="607"/>
      <c r="I71" s="607"/>
      <c r="J71" s="607"/>
      <c r="K71" s="607"/>
      <c r="L71" s="607"/>
      <c r="M71" s="607"/>
      <c r="N71" s="607"/>
      <c r="O71" s="607"/>
      <c r="P71" s="607"/>
      <c r="Q71" s="607"/>
      <c r="R71" s="607"/>
      <c r="S71" s="607"/>
      <c r="T71" s="607"/>
      <c r="U71" s="607">
        <f t="shared" si="22"/>
        <v>0</v>
      </c>
      <c r="V71" s="605"/>
    </row>
    <row r="72" spans="3:22" hidden="1" x14ac:dyDescent="0.25">
      <c r="C72" s="607"/>
      <c r="D72" s="615"/>
      <c r="E72" s="607"/>
      <c r="F72" s="607"/>
      <c r="G72" s="607"/>
      <c r="H72" s="607"/>
      <c r="I72" s="607"/>
      <c r="J72" s="607"/>
      <c r="K72" s="607"/>
      <c r="L72" s="607"/>
      <c r="M72" s="607"/>
      <c r="N72" s="607"/>
      <c r="O72" s="607"/>
      <c r="P72" s="607"/>
      <c r="Q72" s="607"/>
      <c r="R72" s="607"/>
      <c r="S72" s="607"/>
      <c r="T72" s="607"/>
      <c r="U72" s="607">
        <f t="shared" si="22"/>
        <v>0</v>
      </c>
      <c r="V72" s="605"/>
    </row>
    <row r="73" spans="3:22" hidden="1" x14ac:dyDescent="0.25">
      <c r="C73" s="607"/>
      <c r="D73" s="614"/>
      <c r="E73" s="607"/>
      <c r="F73" s="607"/>
      <c r="G73" s="607"/>
      <c r="H73" s="607"/>
      <c r="I73" s="607"/>
      <c r="J73" s="607"/>
      <c r="K73" s="607"/>
      <c r="L73" s="607"/>
      <c r="M73" s="607"/>
      <c r="N73" s="607"/>
      <c r="O73" s="607"/>
      <c r="P73" s="607"/>
      <c r="Q73" s="607"/>
      <c r="R73" s="607"/>
      <c r="S73" s="607"/>
      <c r="T73" s="607"/>
      <c r="U73" s="607">
        <f t="shared" si="22"/>
        <v>0</v>
      </c>
      <c r="V73" s="605"/>
    </row>
    <row r="74" spans="3:22" hidden="1" x14ac:dyDescent="0.25">
      <c r="C74" s="607"/>
      <c r="D74" s="614"/>
      <c r="E74" s="607"/>
      <c r="F74" s="607"/>
      <c r="G74" s="607"/>
      <c r="H74" s="607"/>
      <c r="I74" s="607"/>
      <c r="J74" s="607"/>
      <c r="K74" s="607"/>
      <c r="L74" s="607"/>
      <c r="M74" s="607"/>
      <c r="N74" s="607"/>
      <c r="O74" s="607"/>
      <c r="P74" s="607"/>
      <c r="Q74" s="607"/>
      <c r="R74" s="607"/>
      <c r="S74" s="607"/>
      <c r="T74" s="607"/>
      <c r="U74" s="607">
        <f t="shared" si="22"/>
        <v>0</v>
      </c>
      <c r="V74" s="605"/>
    </row>
    <row r="75" spans="3:22" hidden="1" x14ac:dyDescent="0.25">
      <c r="C75" s="607"/>
      <c r="D75" s="607"/>
      <c r="E75" s="607"/>
      <c r="F75" s="607"/>
      <c r="G75" s="607"/>
      <c r="H75" s="607"/>
      <c r="I75" s="607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>
        <f t="shared" si="22"/>
        <v>0</v>
      </c>
      <c r="V75" s="605"/>
    </row>
    <row r="76" spans="3:22" hidden="1" x14ac:dyDescent="0.25">
      <c r="C76" s="607"/>
      <c r="D76" s="607"/>
      <c r="E76" s="607"/>
      <c r="F76" s="607"/>
      <c r="G76" s="607"/>
      <c r="H76" s="607"/>
      <c r="I76" s="607"/>
      <c r="J76" s="607"/>
      <c r="K76" s="607"/>
      <c r="L76" s="607"/>
      <c r="M76" s="607"/>
      <c r="N76" s="607"/>
      <c r="O76" s="607"/>
      <c r="P76" s="607"/>
      <c r="Q76" s="607"/>
      <c r="R76" s="607"/>
      <c r="S76" s="607"/>
      <c r="T76" s="607"/>
      <c r="U76" s="607">
        <f t="shared" si="22"/>
        <v>0</v>
      </c>
      <c r="V76" s="605"/>
    </row>
    <row r="77" spans="3:22" hidden="1" x14ac:dyDescent="0.25">
      <c r="C77" s="607"/>
      <c r="D77" s="607"/>
      <c r="E77" s="607"/>
      <c r="F77" s="607"/>
      <c r="G77" s="607"/>
      <c r="H77" s="607"/>
      <c r="I77" s="607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7">
        <f t="shared" si="22"/>
        <v>0</v>
      </c>
      <c r="V77" s="605"/>
    </row>
    <row r="78" spans="3:22" x14ac:dyDescent="0.25">
      <c r="C78" s="811" t="s">
        <v>212</v>
      </c>
      <c r="D78" s="812"/>
      <c r="E78" s="607">
        <f>SUM(E51:E77)</f>
        <v>15855</v>
      </c>
      <c r="F78" s="607">
        <f t="shared" ref="F78:T78" si="23">SUM(F51:F77)</f>
        <v>0</v>
      </c>
      <c r="G78" s="607">
        <f t="shared" si="23"/>
        <v>3659.6545000000006</v>
      </c>
      <c r="H78" s="607">
        <f t="shared" si="23"/>
        <v>1077.7682502499999</v>
      </c>
      <c r="I78" s="607">
        <f t="shared" si="23"/>
        <v>659.59416915300017</v>
      </c>
      <c r="J78" s="607">
        <f t="shared" si="23"/>
        <v>681.58064145809988</v>
      </c>
      <c r="K78" s="607">
        <f t="shared" si="23"/>
        <v>659.59416915300017</v>
      </c>
      <c r="L78" s="607">
        <f t="shared" si="23"/>
        <v>681.58064145809988</v>
      </c>
      <c r="M78" s="607">
        <f t="shared" si="23"/>
        <v>681.58064145809988</v>
      </c>
      <c r="N78" s="607">
        <f t="shared" si="23"/>
        <v>659.59416915300017</v>
      </c>
      <c r="O78" s="607">
        <f t="shared" si="23"/>
        <v>681.58064145809988</v>
      </c>
      <c r="P78" s="607">
        <f t="shared" si="23"/>
        <v>659.59416915300017</v>
      </c>
      <c r="Q78" s="607">
        <f t="shared" si="23"/>
        <v>681.58064145809988</v>
      </c>
      <c r="R78" s="607">
        <f t="shared" si="23"/>
        <v>681.58064145809988</v>
      </c>
      <c r="S78" s="607">
        <f t="shared" si="23"/>
        <v>615.62122454280006</v>
      </c>
      <c r="T78" s="607">
        <f t="shared" si="23"/>
        <v>681.58064145809988</v>
      </c>
      <c r="U78" s="609">
        <f>SUM(I78:T78)</f>
        <v>8025.0623913615</v>
      </c>
      <c r="V78" s="605"/>
    </row>
    <row r="79" spans="3:22" x14ac:dyDescent="0.25">
      <c r="C79" s="811" t="s">
        <v>387</v>
      </c>
      <c r="D79" s="812"/>
      <c r="E79" s="607"/>
      <c r="F79" s="607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  <c r="T79" s="607"/>
      <c r="U79" s="607"/>
      <c r="V79" s="605"/>
    </row>
    <row r="80" spans="3:22" x14ac:dyDescent="0.25">
      <c r="C80" s="821" t="s">
        <v>388</v>
      </c>
      <c r="D80" s="607" t="s">
        <v>389</v>
      </c>
      <c r="E80" s="607">
        <v>440</v>
      </c>
      <c r="F80" s="607"/>
      <c r="G80" s="606">
        <f>E80*0.0502</f>
        <v>22.088000000000001</v>
      </c>
      <c r="H80" s="607">
        <f>G80*0.2945</f>
        <v>6.5049159999999997</v>
      </c>
      <c r="I80" s="606">
        <f t="shared" ref="I80:T83" si="24">$H80*I$6*24/1000</f>
        <v>4.6835395200000001</v>
      </c>
      <c r="J80" s="606">
        <f t="shared" si="24"/>
        <v>4.8396575039999998</v>
      </c>
      <c r="K80" s="606">
        <f t="shared" si="24"/>
        <v>4.6835395200000001</v>
      </c>
      <c r="L80" s="606">
        <f t="shared" si="24"/>
        <v>4.8396575039999998</v>
      </c>
      <c r="M80" s="606">
        <f t="shared" si="24"/>
        <v>4.8396575039999998</v>
      </c>
      <c r="N80" s="606">
        <f t="shared" si="24"/>
        <v>4.6835395200000001</v>
      </c>
      <c r="O80" s="606">
        <f t="shared" si="24"/>
        <v>4.8396575039999998</v>
      </c>
      <c r="P80" s="606">
        <f t="shared" si="24"/>
        <v>4.6835395200000001</v>
      </c>
      <c r="Q80" s="606">
        <f t="shared" si="24"/>
        <v>4.8396575039999998</v>
      </c>
      <c r="R80" s="606">
        <f t="shared" si="24"/>
        <v>4.8396575039999998</v>
      </c>
      <c r="S80" s="606">
        <f t="shared" si="24"/>
        <v>4.3713035519999996</v>
      </c>
      <c r="T80" s="606">
        <f t="shared" si="24"/>
        <v>4.8396575039999998</v>
      </c>
      <c r="U80" s="607">
        <f t="shared" ref="U80:U93" si="25">+SUM(I80:T80)</f>
        <v>56.983064159999998</v>
      </c>
      <c r="V80" s="605"/>
    </row>
    <row r="81" spans="3:23" x14ac:dyDescent="0.25">
      <c r="C81" s="822"/>
      <c r="D81" s="607" t="s">
        <v>390</v>
      </c>
      <c r="E81" s="607">
        <v>440</v>
      </c>
      <c r="F81" s="607"/>
      <c r="G81" s="606">
        <f>E81*0.1543</f>
        <v>67.891999999999996</v>
      </c>
      <c r="H81" s="607">
        <f t="shared" ref="H81:H83" si="26">G81*0.2945</f>
        <v>19.994193999999997</v>
      </c>
      <c r="I81" s="606">
        <f t="shared" si="24"/>
        <v>14.395819679999997</v>
      </c>
      <c r="J81" s="606">
        <f t="shared" si="24"/>
        <v>14.875680335999999</v>
      </c>
      <c r="K81" s="606">
        <f t="shared" si="24"/>
        <v>14.395819679999997</v>
      </c>
      <c r="L81" s="606">
        <f t="shared" si="24"/>
        <v>14.875680335999999</v>
      </c>
      <c r="M81" s="606">
        <f t="shared" si="24"/>
        <v>14.875680335999999</v>
      </c>
      <c r="N81" s="606">
        <f t="shared" si="24"/>
        <v>14.395819679999997</v>
      </c>
      <c r="O81" s="606">
        <f t="shared" si="24"/>
        <v>14.875680335999999</v>
      </c>
      <c r="P81" s="606">
        <f t="shared" si="24"/>
        <v>14.395819679999997</v>
      </c>
      <c r="Q81" s="606">
        <f t="shared" si="24"/>
        <v>14.875680335999999</v>
      </c>
      <c r="R81" s="606">
        <f t="shared" si="24"/>
        <v>14.875680335999999</v>
      </c>
      <c r="S81" s="606">
        <f t="shared" si="24"/>
        <v>13.436098368</v>
      </c>
      <c r="T81" s="606">
        <f t="shared" si="24"/>
        <v>14.875680335999999</v>
      </c>
      <c r="U81" s="607">
        <f t="shared" si="25"/>
        <v>175.14913943999997</v>
      </c>
      <c r="V81" s="605"/>
    </row>
    <row r="82" spans="3:23" x14ac:dyDescent="0.25">
      <c r="C82" s="822"/>
      <c r="D82" s="607" t="s">
        <v>391</v>
      </c>
      <c r="E82" s="607">
        <v>440</v>
      </c>
      <c r="F82" s="607"/>
      <c r="G82" s="606">
        <f>E82*0.1641</f>
        <v>72.203999999999994</v>
      </c>
      <c r="H82" s="607">
        <f t="shared" si="26"/>
        <v>21.264077999999998</v>
      </c>
      <c r="I82" s="606">
        <f t="shared" si="24"/>
        <v>15.310136159999999</v>
      </c>
      <c r="J82" s="606">
        <f t="shared" si="24"/>
        <v>15.820474031999998</v>
      </c>
      <c r="K82" s="606">
        <f t="shared" si="24"/>
        <v>15.310136159999999</v>
      </c>
      <c r="L82" s="606">
        <f t="shared" si="24"/>
        <v>15.820474031999998</v>
      </c>
      <c r="M82" s="606">
        <f t="shared" si="24"/>
        <v>15.820474031999998</v>
      </c>
      <c r="N82" s="606">
        <f t="shared" si="24"/>
        <v>15.310136159999999</v>
      </c>
      <c r="O82" s="606">
        <f t="shared" si="24"/>
        <v>15.820474031999998</v>
      </c>
      <c r="P82" s="606">
        <f t="shared" si="24"/>
        <v>15.310136159999999</v>
      </c>
      <c r="Q82" s="606">
        <f t="shared" si="24"/>
        <v>15.820474031999998</v>
      </c>
      <c r="R82" s="606">
        <f t="shared" si="24"/>
        <v>15.820474031999998</v>
      </c>
      <c r="S82" s="606">
        <f t="shared" si="24"/>
        <v>14.289460416000001</v>
      </c>
      <c r="T82" s="606">
        <f t="shared" si="24"/>
        <v>15.820474031999998</v>
      </c>
      <c r="U82" s="607">
        <f t="shared" si="25"/>
        <v>186.27332327999997</v>
      </c>
      <c r="V82" s="605"/>
    </row>
    <row r="83" spans="3:23" x14ac:dyDescent="0.25">
      <c r="C83" s="823"/>
      <c r="D83" s="607" t="s">
        <v>392</v>
      </c>
      <c r="E83" s="607">
        <v>1000</v>
      </c>
      <c r="F83" s="607"/>
      <c r="G83" s="606">
        <f>E83*0.0545</f>
        <v>54.5</v>
      </c>
      <c r="H83" s="607">
        <f t="shared" si="26"/>
        <v>16.050249999999998</v>
      </c>
      <c r="I83" s="606">
        <f t="shared" si="24"/>
        <v>11.556179999999998</v>
      </c>
      <c r="J83" s="606">
        <f t="shared" si="24"/>
        <v>11.941385999999998</v>
      </c>
      <c r="K83" s="606">
        <f t="shared" si="24"/>
        <v>11.556179999999998</v>
      </c>
      <c r="L83" s="606">
        <f t="shared" si="24"/>
        <v>11.941385999999998</v>
      </c>
      <c r="M83" s="606">
        <f t="shared" si="24"/>
        <v>11.941385999999998</v>
      </c>
      <c r="N83" s="606">
        <f t="shared" si="24"/>
        <v>11.556179999999998</v>
      </c>
      <c r="O83" s="606">
        <f t="shared" si="24"/>
        <v>11.941385999999998</v>
      </c>
      <c r="P83" s="606">
        <f t="shared" si="24"/>
        <v>11.556179999999998</v>
      </c>
      <c r="Q83" s="606">
        <f t="shared" si="24"/>
        <v>11.941385999999998</v>
      </c>
      <c r="R83" s="606">
        <f t="shared" si="24"/>
        <v>11.941385999999998</v>
      </c>
      <c r="S83" s="606">
        <f t="shared" si="24"/>
        <v>10.785767999999997</v>
      </c>
      <c r="T83" s="606">
        <f t="shared" si="24"/>
        <v>11.941385999999998</v>
      </c>
      <c r="U83" s="607">
        <f t="shared" si="25"/>
        <v>140.60018999999994</v>
      </c>
      <c r="V83" s="605"/>
    </row>
    <row r="84" spans="3:23" hidden="1" x14ac:dyDescent="0.25">
      <c r="C84" s="607"/>
      <c r="D84" s="607"/>
      <c r="E84" s="607"/>
      <c r="F84" s="607"/>
      <c r="G84" s="606"/>
      <c r="H84" s="607"/>
      <c r="I84" s="606"/>
      <c r="J84" s="606"/>
      <c r="K84" s="606"/>
      <c r="L84" s="606"/>
      <c r="M84" s="606"/>
      <c r="N84" s="606"/>
      <c r="O84" s="606"/>
      <c r="P84" s="606"/>
      <c r="Q84" s="606"/>
      <c r="R84" s="606"/>
      <c r="S84" s="606"/>
      <c r="T84" s="606"/>
      <c r="U84" s="607">
        <f t="shared" si="25"/>
        <v>0</v>
      </c>
      <c r="V84" s="605"/>
    </row>
    <row r="85" spans="3:23" hidden="1" x14ac:dyDescent="0.25">
      <c r="C85" s="607"/>
      <c r="D85" s="607"/>
      <c r="E85" s="607"/>
      <c r="F85" s="607"/>
      <c r="G85" s="607"/>
      <c r="H85" s="607"/>
      <c r="I85" s="607"/>
      <c r="J85" s="607"/>
      <c r="K85" s="607"/>
      <c r="L85" s="607"/>
      <c r="M85" s="607"/>
      <c r="N85" s="607"/>
      <c r="O85" s="607"/>
      <c r="P85" s="607"/>
      <c r="Q85" s="607"/>
      <c r="R85" s="607"/>
      <c r="S85" s="607"/>
      <c r="T85" s="607"/>
      <c r="U85" s="607">
        <f t="shared" si="25"/>
        <v>0</v>
      </c>
      <c r="V85" s="605"/>
    </row>
    <row r="86" spans="3:23" hidden="1" x14ac:dyDescent="0.25">
      <c r="C86" s="607"/>
      <c r="D86" s="607"/>
      <c r="E86" s="607"/>
      <c r="F86" s="607"/>
      <c r="G86" s="607"/>
      <c r="H86" s="607"/>
      <c r="I86" s="607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>
        <f t="shared" si="25"/>
        <v>0</v>
      </c>
      <c r="V86" s="605"/>
    </row>
    <row r="87" spans="3:23" hidden="1" x14ac:dyDescent="0.25">
      <c r="C87" s="607"/>
      <c r="D87" s="607"/>
      <c r="E87" s="607"/>
      <c r="F87" s="607"/>
      <c r="G87" s="607"/>
      <c r="H87" s="607"/>
      <c r="I87" s="607"/>
      <c r="J87" s="607"/>
      <c r="K87" s="607"/>
      <c r="L87" s="607"/>
      <c r="M87" s="607"/>
      <c r="N87" s="607"/>
      <c r="O87" s="607"/>
      <c r="P87" s="607"/>
      <c r="Q87" s="607"/>
      <c r="R87" s="607"/>
      <c r="S87" s="607"/>
      <c r="T87" s="607"/>
      <c r="U87" s="607">
        <f t="shared" si="25"/>
        <v>0</v>
      </c>
      <c r="V87" s="605"/>
    </row>
    <row r="88" spans="3:23" hidden="1" x14ac:dyDescent="0.25">
      <c r="C88" s="607"/>
      <c r="D88" s="607"/>
      <c r="E88" s="607"/>
      <c r="F88" s="607"/>
      <c r="G88" s="607"/>
      <c r="H88" s="607"/>
      <c r="I88" s="607"/>
      <c r="J88" s="607"/>
      <c r="K88" s="607"/>
      <c r="L88" s="607"/>
      <c r="M88" s="607"/>
      <c r="N88" s="607"/>
      <c r="O88" s="607"/>
      <c r="P88" s="607"/>
      <c r="Q88" s="607"/>
      <c r="R88" s="607"/>
      <c r="S88" s="607"/>
      <c r="T88" s="607"/>
      <c r="U88" s="607">
        <f t="shared" si="25"/>
        <v>0</v>
      </c>
      <c r="V88" s="605"/>
    </row>
    <row r="89" spans="3:23" hidden="1" x14ac:dyDescent="0.25">
      <c r="C89" s="607"/>
      <c r="D89" s="607"/>
      <c r="E89" s="607"/>
      <c r="F89" s="607"/>
      <c r="G89" s="607"/>
      <c r="H89" s="607"/>
      <c r="I89" s="607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>
        <f t="shared" si="25"/>
        <v>0</v>
      </c>
      <c r="V89" s="605"/>
    </row>
    <row r="90" spans="3:23" hidden="1" x14ac:dyDescent="0.25">
      <c r="C90" s="607"/>
      <c r="D90" s="607"/>
      <c r="E90" s="607"/>
      <c r="F90" s="607"/>
      <c r="G90" s="607"/>
      <c r="H90" s="607"/>
      <c r="I90" s="607"/>
      <c r="J90" s="607"/>
      <c r="K90" s="607"/>
      <c r="L90" s="607"/>
      <c r="M90" s="607"/>
      <c r="N90" s="607"/>
      <c r="O90" s="607"/>
      <c r="P90" s="607"/>
      <c r="Q90" s="607"/>
      <c r="R90" s="607"/>
      <c r="S90" s="607"/>
      <c r="T90" s="607"/>
      <c r="U90" s="607">
        <f t="shared" si="25"/>
        <v>0</v>
      </c>
      <c r="V90" s="605"/>
    </row>
    <row r="91" spans="3:23" hidden="1" x14ac:dyDescent="0.25">
      <c r="C91" s="607"/>
      <c r="D91" s="607"/>
      <c r="E91" s="607"/>
      <c r="F91" s="607"/>
      <c r="G91" s="607"/>
      <c r="H91" s="607"/>
      <c r="I91" s="607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/>
      <c r="U91" s="607">
        <f t="shared" si="25"/>
        <v>0</v>
      </c>
      <c r="V91" s="605"/>
    </row>
    <row r="92" spans="3:23" hidden="1" x14ac:dyDescent="0.25">
      <c r="C92" s="607"/>
      <c r="D92" s="607"/>
      <c r="E92" s="607"/>
      <c r="F92" s="607"/>
      <c r="G92" s="607"/>
      <c r="H92" s="607"/>
      <c r="I92" s="607"/>
      <c r="J92" s="607"/>
      <c r="K92" s="607"/>
      <c r="L92" s="607"/>
      <c r="M92" s="607"/>
      <c r="N92" s="607"/>
      <c r="O92" s="607"/>
      <c r="P92" s="607"/>
      <c r="Q92" s="607"/>
      <c r="R92" s="607"/>
      <c r="S92" s="607"/>
      <c r="T92" s="607"/>
      <c r="U92" s="607">
        <f t="shared" si="25"/>
        <v>0</v>
      </c>
      <c r="V92" s="605"/>
    </row>
    <row r="93" spans="3:23" hidden="1" x14ac:dyDescent="0.25">
      <c r="C93" s="607"/>
      <c r="D93" s="607"/>
      <c r="E93" s="607"/>
      <c r="F93" s="607"/>
      <c r="G93" s="607"/>
      <c r="H93" s="607"/>
      <c r="I93" s="607"/>
      <c r="J93" s="607"/>
      <c r="K93" s="607"/>
      <c r="L93" s="607"/>
      <c r="M93" s="607"/>
      <c r="N93" s="607"/>
      <c r="O93" s="607"/>
      <c r="P93" s="607"/>
      <c r="Q93" s="607"/>
      <c r="R93" s="607"/>
      <c r="S93" s="607"/>
      <c r="T93" s="607"/>
      <c r="U93" s="607">
        <f t="shared" si="25"/>
        <v>0</v>
      </c>
      <c r="V93" s="605"/>
    </row>
    <row r="94" spans="3:23" x14ac:dyDescent="0.25">
      <c r="C94" s="811" t="s">
        <v>212</v>
      </c>
      <c r="D94" s="812"/>
      <c r="E94" s="607">
        <f>SUM(E80:E93)</f>
        <v>2320</v>
      </c>
      <c r="F94" s="607">
        <f t="shared" ref="F94:T94" si="27">SUM(F80:F93)</f>
        <v>0</v>
      </c>
      <c r="G94" s="607">
        <f t="shared" si="27"/>
        <v>216.68399999999997</v>
      </c>
      <c r="H94" s="607">
        <f t="shared" si="27"/>
        <v>63.813437999999991</v>
      </c>
      <c r="I94" s="607">
        <f t="shared" si="27"/>
        <v>45.945675359999996</v>
      </c>
      <c r="J94" s="607">
        <f t="shared" si="27"/>
        <v>47.477197871999991</v>
      </c>
      <c r="K94" s="607">
        <f t="shared" si="27"/>
        <v>45.945675359999996</v>
      </c>
      <c r="L94" s="607">
        <f t="shared" si="27"/>
        <v>47.477197871999991</v>
      </c>
      <c r="M94" s="607">
        <f t="shared" si="27"/>
        <v>47.477197871999991</v>
      </c>
      <c r="N94" s="607">
        <f t="shared" si="27"/>
        <v>45.945675359999996</v>
      </c>
      <c r="O94" s="607">
        <f t="shared" si="27"/>
        <v>47.477197871999991</v>
      </c>
      <c r="P94" s="607">
        <f t="shared" si="27"/>
        <v>45.945675359999996</v>
      </c>
      <c r="Q94" s="607">
        <f t="shared" si="27"/>
        <v>47.477197871999991</v>
      </c>
      <c r="R94" s="607">
        <f t="shared" si="27"/>
        <v>47.477197871999991</v>
      </c>
      <c r="S94" s="607">
        <f t="shared" si="27"/>
        <v>42.882630335999998</v>
      </c>
      <c r="T94" s="607">
        <f t="shared" si="27"/>
        <v>47.477197871999991</v>
      </c>
      <c r="U94" s="609">
        <f>SUM(I94:T94)</f>
        <v>559.0057168799998</v>
      </c>
      <c r="V94" s="605"/>
    </row>
    <row r="95" spans="3:23" x14ac:dyDescent="0.25">
      <c r="C95" s="811" t="s">
        <v>394</v>
      </c>
      <c r="D95" s="812"/>
      <c r="E95" s="607">
        <f>E78+E94</f>
        <v>18175</v>
      </c>
      <c r="F95" s="607">
        <f t="shared" ref="F95:T95" si="28">F78+F94</f>
        <v>0</v>
      </c>
      <c r="G95" s="607">
        <f t="shared" si="28"/>
        <v>3876.3385000000007</v>
      </c>
      <c r="H95" s="607">
        <f t="shared" si="28"/>
        <v>1141.5816882499998</v>
      </c>
      <c r="I95" s="607">
        <f t="shared" si="28"/>
        <v>705.53984451300016</v>
      </c>
      <c r="J95" s="607">
        <f t="shared" si="28"/>
        <v>729.05783933009991</v>
      </c>
      <c r="K95" s="607">
        <f t="shared" si="28"/>
        <v>705.53984451300016</v>
      </c>
      <c r="L95" s="607">
        <f t="shared" si="28"/>
        <v>729.05783933009991</v>
      </c>
      <c r="M95" s="607">
        <f t="shared" si="28"/>
        <v>729.05783933009991</v>
      </c>
      <c r="N95" s="607">
        <f t="shared" si="28"/>
        <v>705.53984451300016</v>
      </c>
      <c r="O95" s="607">
        <f t="shared" si="28"/>
        <v>729.05783933009991</v>
      </c>
      <c r="P95" s="607">
        <f t="shared" si="28"/>
        <v>705.53984451300016</v>
      </c>
      <c r="Q95" s="607">
        <f t="shared" si="28"/>
        <v>729.05783933009991</v>
      </c>
      <c r="R95" s="607">
        <f t="shared" si="28"/>
        <v>729.05783933009991</v>
      </c>
      <c r="S95" s="607">
        <f t="shared" si="28"/>
        <v>658.5038548788001</v>
      </c>
      <c r="T95" s="607">
        <f t="shared" si="28"/>
        <v>729.05783933009991</v>
      </c>
      <c r="U95" s="609">
        <f>U78+U94</f>
        <v>8584.0681082414994</v>
      </c>
      <c r="V95" s="605"/>
      <c r="W95" s="64"/>
    </row>
    <row r="96" spans="3:23" x14ac:dyDescent="0.25">
      <c r="C96" s="813" t="s">
        <v>395</v>
      </c>
      <c r="D96" s="814"/>
      <c r="E96" s="607"/>
      <c r="F96" s="607"/>
      <c r="G96" s="607"/>
      <c r="H96" s="607"/>
      <c r="I96" s="607"/>
      <c r="J96" s="607"/>
      <c r="K96" s="607"/>
      <c r="L96" s="607"/>
      <c r="M96" s="607"/>
      <c r="N96" s="607"/>
      <c r="O96" s="607"/>
      <c r="P96" s="607"/>
      <c r="Q96" s="607"/>
      <c r="R96" s="607"/>
      <c r="S96" s="607"/>
      <c r="T96" s="607"/>
      <c r="U96" s="607"/>
      <c r="V96" s="605"/>
    </row>
    <row r="97" spans="3:23" x14ac:dyDescent="0.25">
      <c r="C97" s="607" t="s">
        <v>396</v>
      </c>
      <c r="D97" s="607" t="s">
        <v>396</v>
      </c>
      <c r="E97" s="610">
        <v>500</v>
      </c>
      <c r="F97" s="607"/>
      <c r="G97" s="606">
        <f>E97*0.5389</f>
        <v>269.45000000000005</v>
      </c>
      <c r="H97" s="607">
        <f>G97*0.2945</f>
        <v>79.353025000000002</v>
      </c>
      <c r="I97" s="606">
        <f t="shared" ref="I97:T97" si="29">$H97*0.85*I$6*24/1000</f>
        <v>48.564051300000003</v>
      </c>
      <c r="J97" s="606">
        <f t="shared" si="29"/>
        <v>50.182853010000002</v>
      </c>
      <c r="K97" s="606">
        <f t="shared" si="29"/>
        <v>48.564051300000003</v>
      </c>
      <c r="L97" s="606">
        <f t="shared" si="29"/>
        <v>50.182853010000002</v>
      </c>
      <c r="M97" s="606">
        <f t="shared" si="29"/>
        <v>50.182853010000002</v>
      </c>
      <c r="N97" s="606">
        <f t="shared" si="29"/>
        <v>48.564051300000003</v>
      </c>
      <c r="O97" s="606">
        <f t="shared" si="29"/>
        <v>50.182853010000002</v>
      </c>
      <c r="P97" s="606">
        <f t="shared" si="29"/>
        <v>48.564051300000003</v>
      </c>
      <c r="Q97" s="606">
        <f t="shared" si="29"/>
        <v>50.182853010000002</v>
      </c>
      <c r="R97" s="606">
        <f t="shared" si="29"/>
        <v>50.182853010000002</v>
      </c>
      <c r="S97" s="606">
        <f t="shared" si="29"/>
        <v>45.326447879999989</v>
      </c>
      <c r="T97" s="606">
        <f t="shared" si="29"/>
        <v>50.182853010000002</v>
      </c>
      <c r="U97" s="607">
        <f>+SUM(I97:T97)</f>
        <v>590.86262414999999</v>
      </c>
      <c r="V97" s="605"/>
    </row>
    <row r="98" spans="3:23" x14ac:dyDescent="0.25">
      <c r="C98" s="607" t="s">
        <v>397</v>
      </c>
      <c r="D98" s="607" t="s">
        <v>397</v>
      </c>
      <c r="E98" s="610">
        <v>0</v>
      </c>
      <c r="F98" s="607"/>
      <c r="G98" s="610">
        <f>E98</f>
        <v>0</v>
      </c>
      <c r="H98" s="607">
        <f>G98*0.2945</f>
        <v>0</v>
      </c>
      <c r="I98" s="607">
        <v>0</v>
      </c>
      <c r="J98" s="607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f t="shared" ref="U98:U103" si="30">+SUM(I98:T98)</f>
        <v>0</v>
      </c>
      <c r="V98" s="605"/>
    </row>
    <row r="99" spans="3:23" hidden="1" x14ac:dyDescent="0.25">
      <c r="C99" s="607"/>
      <c r="D99" s="607"/>
      <c r="E99" s="607"/>
      <c r="F99" s="607"/>
      <c r="G99" s="607"/>
      <c r="H99" s="607"/>
      <c r="I99" s="607"/>
      <c r="J99" s="607"/>
      <c r="K99" s="607"/>
      <c r="L99" s="607"/>
      <c r="M99" s="607"/>
      <c r="N99" s="607"/>
      <c r="O99" s="607"/>
      <c r="P99" s="607"/>
      <c r="Q99" s="607"/>
      <c r="R99" s="607"/>
      <c r="S99" s="607"/>
      <c r="T99" s="607"/>
      <c r="U99" s="607">
        <f t="shared" si="30"/>
        <v>0</v>
      </c>
      <c r="V99" s="605"/>
    </row>
    <row r="100" spans="3:23" hidden="1" x14ac:dyDescent="0.25">
      <c r="C100" s="607"/>
      <c r="D100" s="607"/>
      <c r="E100" s="607"/>
      <c r="F100" s="607"/>
      <c r="G100" s="607"/>
      <c r="H100" s="607"/>
      <c r="I100" s="607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>
        <f t="shared" si="30"/>
        <v>0</v>
      </c>
      <c r="V100" s="605"/>
    </row>
    <row r="101" spans="3:23" hidden="1" x14ac:dyDescent="0.25">
      <c r="C101" s="607"/>
      <c r="D101" s="607"/>
      <c r="E101" s="607"/>
      <c r="F101" s="607"/>
      <c r="G101" s="607"/>
      <c r="H101" s="607"/>
      <c r="I101" s="607"/>
      <c r="J101" s="607"/>
      <c r="K101" s="607"/>
      <c r="L101" s="607"/>
      <c r="M101" s="607"/>
      <c r="N101" s="607"/>
      <c r="O101" s="607"/>
      <c r="P101" s="607"/>
      <c r="Q101" s="607"/>
      <c r="R101" s="607"/>
      <c r="S101" s="607"/>
      <c r="T101" s="607"/>
      <c r="U101" s="607">
        <f t="shared" si="30"/>
        <v>0</v>
      </c>
      <c r="V101" s="605"/>
    </row>
    <row r="102" spans="3:23" hidden="1" x14ac:dyDescent="0.25">
      <c r="C102" s="607"/>
      <c r="D102" s="607"/>
      <c r="E102" s="607"/>
      <c r="F102" s="607"/>
      <c r="G102" s="607"/>
      <c r="H102" s="607"/>
      <c r="I102" s="607"/>
      <c r="J102" s="607"/>
      <c r="K102" s="607"/>
      <c r="L102" s="607"/>
      <c r="M102" s="607"/>
      <c r="N102" s="607"/>
      <c r="O102" s="607"/>
      <c r="P102" s="607"/>
      <c r="Q102" s="607"/>
      <c r="R102" s="607"/>
      <c r="S102" s="607"/>
      <c r="T102" s="607"/>
      <c r="U102" s="607">
        <f t="shared" si="30"/>
        <v>0</v>
      </c>
      <c r="V102" s="605"/>
    </row>
    <row r="103" spans="3:23" hidden="1" x14ac:dyDescent="0.25">
      <c r="C103" s="607"/>
      <c r="D103" s="607"/>
      <c r="E103" s="607"/>
      <c r="F103" s="607"/>
      <c r="G103" s="607"/>
      <c r="H103" s="607"/>
      <c r="I103" s="607"/>
      <c r="J103" s="607"/>
      <c r="K103" s="607"/>
      <c r="L103" s="607"/>
      <c r="M103" s="607"/>
      <c r="N103" s="607"/>
      <c r="O103" s="607"/>
      <c r="P103" s="607"/>
      <c r="Q103" s="607"/>
      <c r="R103" s="607"/>
      <c r="S103" s="607"/>
      <c r="T103" s="607"/>
      <c r="U103" s="607">
        <f t="shared" si="30"/>
        <v>0</v>
      </c>
      <c r="V103" s="605"/>
    </row>
    <row r="104" spans="3:23" x14ac:dyDescent="0.25">
      <c r="C104" s="811" t="s">
        <v>398</v>
      </c>
      <c r="D104" s="812"/>
      <c r="E104" s="607">
        <f>SUM(E97:E103)</f>
        <v>500</v>
      </c>
      <c r="F104" s="607">
        <f t="shared" ref="F104:H104" si="31">SUM(F97:F103)</f>
        <v>0</v>
      </c>
      <c r="G104" s="607">
        <f t="shared" si="31"/>
        <v>269.45000000000005</v>
      </c>
      <c r="H104" s="607">
        <f t="shared" si="31"/>
        <v>79.353025000000002</v>
      </c>
      <c r="I104" s="607">
        <f t="shared" ref="I104:T104" si="32">SUM(I97:I103)</f>
        <v>48.564051300000003</v>
      </c>
      <c r="J104" s="607">
        <f t="shared" si="32"/>
        <v>50.182853010000002</v>
      </c>
      <c r="K104" s="607">
        <f t="shared" si="32"/>
        <v>48.564051300000003</v>
      </c>
      <c r="L104" s="607">
        <f t="shared" si="32"/>
        <v>50.182853010000002</v>
      </c>
      <c r="M104" s="607">
        <f t="shared" si="32"/>
        <v>50.182853010000002</v>
      </c>
      <c r="N104" s="607">
        <f t="shared" si="32"/>
        <v>48.564051300000003</v>
      </c>
      <c r="O104" s="607">
        <f t="shared" si="32"/>
        <v>50.182853010000002</v>
      </c>
      <c r="P104" s="607">
        <f t="shared" si="32"/>
        <v>48.564051300000003</v>
      </c>
      <c r="Q104" s="607">
        <f t="shared" si="32"/>
        <v>50.182853010000002</v>
      </c>
      <c r="R104" s="607">
        <f t="shared" si="32"/>
        <v>50.182853010000002</v>
      </c>
      <c r="S104" s="607">
        <f t="shared" si="32"/>
        <v>45.326447879999989</v>
      </c>
      <c r="T104" s="607">
        <f t="shared" si="32"/>
        <v>50.182853010000002</v>
      </c>
      <c r="U104" s="609">
        <f>SUM(I104:T104)</f>
        <v>590.86262414999999</v>
      </c>
      <c r="V104" s="605"/>
      <c r="W104" s="64"/>
    </row>
    <row r="105" spans="3:23" x14ac:dyDescent="0.25">
      <c r="C105" s="813" t="s">
        <v>399</v>
      </c>
      <c r="D105" s="814"/>
      <c r="E105" s="607"/>
      <c r="F105" s="607"/>
      <c r="G105" s="607"/>
      <c r="H105" s="607"/>
      <c r="I105" s="607"/>
      <c r="J105" s="607"/>
      <c r="K105" s="607"/>
      <c r="L105" s="607"/>
      <c r="M105" s="607"/>
      <c r="N105" s="607"/>
      <c r="O105" s="607"/>
      <c r="P105" s="607"/>
      <c r="Q105" s="607"/>
      <c r="R105" s="607"/>
      <c r="S105" s="607"/>
      <c r="T105" s="607"/>
      <c r="U105" s="607"/>
      <c r="V105" s="605"/>
    </row>
    <row r="106" spans="3:23" x14ac:dyDescent="0.25">
      <c r="C106" s="607" t="s">
        <v>400</v>
      </c>
      <c r="D106" s="607" t="s">
        <v>400</v>
      </c>
      <c r="E106" s="610">
        <v>1200</v>
      </c>
      <c r="F106" s="607"/>
      <c r="G106" s="610">
        <f>E106</f>
        <v>1200</v>
      </c>
      <c r="H106" s="607">
        <f>G106*0.2945</f>
        <v>353.4</v>
      </c>
      <c r="I106" s="607">
        <f>$H106*0.85*30*24/1000</f>
        <v>216.2808</v>
      </c>
      <c r="J106" s="607">
        <f>$H106*0.85*31*24/1000</f>
        <v>223.49016</v>
      </c>
      <c r="K106" s="607">
        <f>$H106*0.85*30*24/1000</f>
        <v>216.2808</v>
      </c>
      <c r="L106" s="607">
        <f>$H106*0.85*31*24/1000</f>
        <v>223.49016</v>
      </c>
      <c r="M106" s="607">
        <f>$H106*0.85*31*24/1000</f>
        <v>223.49016</v>
      </c>
      <c r="N106" s="607">
        <f>$H106*0.85*30*24/1000</f>
        <v>216.2808</v>
      </c>
      <c r="O106" s="607">
        <f>$H106*0.85*31*24/1000</f>
        <v>223.49016</v>
      </c>
      <c r="P106" s="607">
        <f>$H106*0.85*30*24/1000</f>
        <v>216.2808</v>
      </c>
      <c r="Q106" s="607">
        <f>$H106*0.85*31*24/1000</f>
        <v>223.49016</v>
      </c>
      <c r="R106" s="607">
        <f>$H106*0.85*31*24/1000</f>
        <v>223.49016</v>
      </c>
      <c r="S106" s="607">
        <f>$H106*0.85*28*24/1000</f>
        <v>201.86208000000002</v>
      </c>
      <c r="T106" s="607">
        <f>$H106*0.85*31*24/1000</f>
        <v>223.49016</v>
      </c>
      <c r="U106" s="607">
        <f t="shared" ref="U106:U113" si="33">+SUM(I106:T106)</f>
        <v>2631.4164000000001</v>
      </c>
      <c r="V106" s="605"/>
    </row>
    <row r="107" spans="3:23" x14ac:dyDescent="0.25">
      <c r="C107" s="607" t="s">
        <v>401</v>
      </c>
      <c r="D107" s="607" t="s">
        <v>401</v>
      </c>
      <c r="E107" s="610">
        <v>0</v>
      </c>
      <c r="F107" s="607"/>
      <c r="G107" s="610">
        <v>0</v>
      </c>
      <c r="H107" s="607">
        <v>0</v>
      </c>
      <c r="I107" s="607">
        <v>0</v>
      </c>
      <c r="J107" s="607">
        <v>0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f t="shared" si="33"/>
        <v>0</v>
      </c>
      <c r="V107" s="605"/>
    </row>
    <row r="108" spans="3:23" x14ac:dyDescent="0.25">
      <c r="C108" s="607" t="s">
        <v>402</v>
      </c>
      <c r="D108" s="607" t="s">
        <v>402</v>
      </c>
      <c r="E108" s="610">
        <f>'F9-Year(n-1)'!E108</f>
        <v>0</v>
      </c>
      <c r="F108" s="607"/>
      <c r="G108" s="607"/>
      <c r="H108" s="607"/>
      <c r="I108" s="607"/>
      <c r="J108" s="607"/>
      <c r="K108" s="607"/>
      <c r="L108" s="607"/>
      <c r="M108" s="607"/>
      <c r="N108" s="607"/>
      <c r="O108" s="607"/>
      <c r="P108" s="607"/>
      <c r="Q108" s="607"/>
      <c r="R108" s="607"/>
      <c r="S108" s="607"/>
      <c r="T108" s="607"/>
      <c r="U108" s="607">
        <f t="shared" si="33"/>
        <v>0</v>
      </c>
      <c r="V108" s="605"/>
    </row>
    <row r="109" spans="3:23" hidden="1" x14ac:dyDescent="0.25">
      <c r="C109" s="607"/>
      <c r="D109" s="607"/>
      <c r="E109" s="607"/>
      <c r="F109" s="607"/>
      <c r="G109" s="607"/>
      <c r="H109" s="607"/>
      <c r="I109" s="607"/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/>
      <c r="U109" s="607">
        <f t="shared" si="33"/>
        <v>0</v>
      </c>
      <c r="V109" s="605"/>
    </row>
    <row r="110" spans="3:23" hidden="1" x14ac:dyDescent="0.25">
      <c r="C110" s="607"/>
      <c r="D110" s="607"/>
      <c r="E110" s="607"/>
      <c r="F110" s="607"/>
      <c r="G110" s="607"/>
      <c r="H110" s="607"/>
      <c r="I110" s="607"/>
      <c r="J110" s="607"/>
      <c r="K110" s="607"/>
      <c r="L110" s="607"/>
      <c r="M110" s="607"/>
      <c r="N110" s="607"/>
      <c r="O110" s="607"/>
      <c r="P110" s="607"/>
      <c r="Q110" s="607"/>
      <c r="R110" s="607"/>
      <c r="S110" s="607"/>
      <c r="T110" s="607"/>
      <c r="U110" s="607">
        <f t="shared" si="33"/>
        <v>0</v>
      </c>
      <c r="V110" s="605"/>
    </row>
    <row r="111" spans="3:23" hidden="1" x14ac:dyDescent="0.25">
      <c r="C111" s="607"/>
      <c r="D111" s="607"/>
      <c r="E111" s="607"/>
      <c r="F111" s="607"/>
      <c r="G111" s="607"/>
      <c r="H111" s="607"/>
      <c r="I111" s="607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>
        <f t="shared" si="33"/>
        <v>0</v>
      </c>
      <c r="V111" s="605"/>
    </row>
    <row r="112" spans="3:23" hidden="1" x14ac:dyDescent="0.25">
      <c r="C112" s="607"/>
      <c r="D112" s="607"/>
      <c r="E112" s="607"/>
      <c r="F112" s="607"/>
      <c r="G112" s="607"/>
      <c r="H112" s="607"/>
      <c r="I112" s="607"/>
      <c r="J112" s="607"/>
      <c r="K112" s="607"/>
      <c r="L112" s="607"/>
      <c r="M112" s="607"/>
      <c r="N112" s="607"/>
      <c r="O112" s="607"/>
      <c r="P112" s="607"/>
      <c r="Q112" s="607"/>
      <c r="R112" s="607"/>
      <c r="S112" s="607"/>
      <c r="T112" s="607"/>
      <c r="U112" s="607">
        <f t="shared" si="33"/>
        <v>0</v>
      </c>
      <c r="V112" s="605"/>
    </row>
    <row r="113" spans="3:23" hidden="1" x14ac:dyDescent="0.25">
      <c r="C113" s="607"/>
      <c r="D113" s="607"/>
      <c r="E113" s="607"/>
      <c r="F113" s="607"/>
      <c r="G113" s="607"/>
      <c r="H113" s="607"/>
      <c r="I113" s="607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>
        <f t="shared" si="33"/>
        <v>0</v>
      </c>
      <c r="V113" s="605"/>
    </row>
    <row r="114" spans="3:23" x14ac:dyDescent="0.25">
      <c r="C114" s="811" t="s">
        <v>403</v>
      </c>
      <c r="D114" s="812"/>
      <c r="E114" s="607">
        <f>SUM(E106:E113)</f>
        <v>1200</v>
      </c>
      <c r="F114" s="607">
        <f t="shared" ref="F114:T114" si="34">SUM(F106:F113)</f>
        <v>0</v>
      </c>
      <c r="G114" s="607">
        <f t="shared" si="34"/>
        <v>1200</v>
      </c>
      <c r="H114" s="607">
        <f t="shared" si="34"/>
        <v>353.4</v>
      </c>
      <c r="I114" s="607">
        <f t="shared" si="34"/>
        <v>216.2808</v>
      </c>
      <c r="J114" s="607">
        <f t="shared" si="34"/>
        <v>223.49016</v>
      </c>
      <c r="K114" s="607">
        <f t="shared" si="34"/>
        <v>216.2808</v>
      </c>
      <c r="L114" s="607">
        <f t="shared" si="34"/>
        <v>223.49016</v>
      </c>
      <c r="M114" s="607">
        <f t="shared" si="34"/>
        <v>223.49016</v>
      </c>
      <c r="N114" s="607">
        <f t="shared" si="34"/>
        <v>216.2808</v>
      </c>
      <c r="O114" s="607">
        <f t="shared" si="34"/>
        <v>223.49016</v>
      </c>
      <c r="P114" s="607">
        <f t="shared" si="34"/>
        <v>216.2808</v>
      </c>
      <c r="Q114" s="607">
        <f t="shared" si="34"/>
        <v>223.49016</v>
      </c>
      <c r="R114" s="607">
        <f t="shared" si="34"/>
        <v>223.49016</v>
      </c>
      <c r="S114" s="607">
        <f t="shared" si="34"/>
        <v>201.86208000000002</v>
      </c>
      <c r="T114" s="607">
        <f t="shared" si="34"/>
        <v>223.49016</v>
      </c>
      <c r="U114" s="609">
        <f>SUM(I114:T114)</f>
        <v>2631.4164000000001</v>
      </c>
      <c r="V114" s="605"/>
      <c r="W114" s="64"/>
    </row>
    <row r="115" spans="3:23" x14ac:dyDescent="0.25">
      <c r="C115" s="813" t="s">
        <v>404</v>
      </c>
      <c r="D115" s="814"/>
      <c r="E115" s="607"/>
      <c r="F115" s="607"/>
      <c r="G115" s="607"/>
      <c r="H115" s="607"/>
      <c r="I115" s="607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5"/>
    </row>
    <row r="116" spans="3:23" x14ac:dyDescent="0.25">
      <c r="C116" s="607"/>
      <c r="D116" s="607" t="s">
        <v>405</v>
      </c>
      <c r="E116" s="610">
        <v>18</v>
      </c>
      <c r="F116" s="607"/>
      <c r="G116" s="610">
        <f>E116</f>
        <v>18</v>
      </c>
      <c r="H116" s="610">
        <v>12</v>
      </c>
      <c r="I116" s="606">
        <f>'F11-Year(n+2)'!E115</f>
        <v>3.3763735277352158E-2</v>
      </c>
      <c r="J116" s="606">
        <f>'F11-Year(n+2)'!F115</f>
        <v>2.895362148585872E-2</v>
      </c>
      <c r="K116" s="606">
        <f>'F11-Year(n+2)'!G115</f>
        <v>6.8870905269359392E-2</v>
      </c>
      <c r="L116" s="606">
        <f>'F11-Year(n+2)'!H115</f>
        <v>0.10017699096317065</v>
      </c>
      <c r="M116" s="606">
        <f>'F11-Year(n+2)'!I115</f>
        <v>5.466456138143129E-2</v>
      </c>
      <c r="N116" s="606">
        <f>'F11-Year(n+2)'!J115</f>
        <v>4.0198718051361319E-2</v>
      </c>
      <c r="O116" s="606">
        <f>'F11-Year(n+2)'!K115</f>
        <v>2.4377679382060913E-2</v>
      </c>
      <c r="P116" s="606">
        <f>'F11-Year(n+2)'!L115</f>
        <v>3.3850337490599798E-2</v>
      </c>
      <c r="Q116" s="606">
        <f>'F11-Year(n+2)'!M115</f>
        <v>3.8706833534804648E-2</v>
      </c>
      <c r="R116" s="606">
        <f>'F11-Year(n+2)'!N115</f>
        <v>3.7434810799783828E-2</v>
      </c>
      <c r="S116" s="606">
        <f>'F11-Year(n+2)'!O115</f>
        <v>2.5667006053591492E-2</v>
      </c>
      <c r="T116" s="606">
        <f>'F11-Year(n+2)'!P115</f>
        <v>3.3334800310625808E-2</v>
      </c>
      <c r="U116" s="607">
        <f t="shared" ref="U116:U139" si="35">+SUM(I116:T116)</f>
        <v>0.52000000000000013</v>
      </c>
      <c r="V116" s="605"/>
    </row>
    <row r="117" spans="3:23" x14ac:dyDescent="0.25">
      <c r="C117" s="607"/>
      <c r="D117" s="607" t="s">
        <v>406</v>
      </c>
      <c r="E117" s="610">
        <v>37.1</v>
      </c>
      <c r="F117" s="607"/>
      <c r="G117" s="610">
        <f t="shared" ref="G117:G129" si="36">E117</f>
        <v>37.1</v>
      </c>
      <c r="H117" s="610">
        <v>22.1</v>
      </c>
      <c r="I117" s="606">
        <f>'F11-Year(n+2)'!E116</f>
        <v>0</v>
      </c>
      <c r="J117" s="606">
        <f>'F11-Year(n+2)'!F116</f>
        <v>0</v>
      </c>
      <c r="K117" s="606">
        <f>'F11-Year(n+2)'!G116</f>
        <v>0</v>
      </c>
      <c r="L117" s="606">
        <f>'F11-Year(n+2)'!H116</f>
        <v>0</v>
      </c>
      <c r="M117" s="606">
        <f>'F11-Year(n+2)'!I116</f>
        <v>0</v>
      </c>
      <c r="N117" s="606">
        <f>'F11-Year(n+2)'!J116</f>
        <v>0</v>
      </c>
      <c r="O117" s="606">
        <f>'F11-Year(n+2)'!K116</f>
        <v>0</v>
      </c>
      <c r="P117" s="606">
        <f>'F11-Year(n+2)'!L116</f>
        <v>0</v>
      </c>
      <c r="Q117" s="606">
        <f>'F11-Year(n+2)'!M116</f>
        <v>0</v>
      </c>
      <c r="R117" s="606">
        <f>'F11-Year(n+2)'!N116</f>
        <v>0</v>
      </c>
      <c r="S117" s="606">
        <f>'F11-Year(n+2)'!O116</f>
        <v>0</v>
      </c>
      <c r="T117" s="606">
        <f>'F11-Year(n+2)'!P116</f>
        <v>0</v>
      </c>
      <c r="U117" s="607">
        <f t="shared" si="35"/>
        <v>0</v>
      </c>
      <c r="V117" s="605"/>
    </row>
    <row r="118" spans="3:23" x14ac:dyDescent="0.25">
      <c r="C118" s="607"/>
      <c r="D118" s="607" t="s">
        <v>407</v>
      </c>
      <c r="E118" s="610">
        <v>19.8</v>
      </c>
      <c r="F118" s="607"/>
      <c r="G118" s="610">
        <f t="shared" si="36"/>
        <v>19.8</v>
      </c>
      <c r="H118" s="610">
        <v>0</v>
      </c>
      <c r="I118" s="606">
        <f>'F11-Year(n+2)'!E117</f>
        <v>0</v>
      </c>
      <c r="J118" s="606">
        <f>'F11-Year(n+2)'!F117</f>
        <v>0</v>
      </c>
      <c r="K118" s="606">
        <f>'F11-Year(n+2)'!G117</f>
        <v>0</v>
      </c>
      <c r="L118" s="606">
        <f>'F11-Year(n+2)'!H117</f>
        <v>0</v>
      </c>
      <c r="M118" s="606">
        <f>'F11-Year(n+2)'!I117</f>
        <v>0</v>
      </c>
      <c r="N118" s="606">
        <f>'F11-Year(n+2)'!J117</f>
        <v>0</v>
      </c>
      <c r="O118" s="606">
        <f>'F11-Year(n+2)'!K117</f>
        <v>0</v>
      </c>
      <c r="P118" s="606">
        <f>'F11-Year(n+2)'!L117</f>
        <v>0</v>
      </c>
      <c r="Q118" s="606">
        <f>'F11-Year(n+2)'!M117</f>
        <v>0</v>
      </c>
      <c r="R118" s="606">
        <f>'F11-Year(n+2)'!N117</f>
        <v>0</v>
      </c>
      <c r="S118" s="606">
        <f>'F11-Year(n+2)'!O117</f>
        <v>0</v>
      </c>
      <c r="T118" s="606">
        <f>'F11-Year(n+2)'!P117</f>
        <v>0</v>
      </c>
      <c r="U118" s="607">
        <f t="shared" si="35"/>
        <v>0</v>
      </c>
      <c r="V118" s="605"/>
    </row>
    <row r="119" spans="3:23" x14ac:dyDescent="0.25">
      <c r="C119" s="607"/>
      <c r="D119" s="607" t="s">
        <v>408</v>
      </c>
      <c r="E119" s="610">
        <v>15</v>
      </c>
      <c r="F119" s="607"/>
      <c r="G119" s="610">
        <f t="shared" si="36"/>
        <v>15</v>
      </c>
      <c r="H119" s="610">
        <v>7.5</v>
      </c>
      <c r="I119" s="606">
        <f>'F11-Year(n+2)'!E118</f>
        <v>3.6338317202520916</v>
      </c>
      <c r="J119" s="606">
        <f>'F11-Year(n+2)'!F118</f>
        <v>2.5550989601681908</v>
      </c>
      <c r="K119" s="606">
        <f>'F11-Year(n+2)'!G118</f>
        <v>2.1244255065858435</v>
      </c>
      <c r="L119" s="606">
        <f>'F11-Year(n+2)'!H118</f>
        <v>2.9997284386024252</v>
      </c>
      <c r="M119" s="606">
        <f>'F11-Year(n+2)'!I118</f>
        <v>2.9997284386024252</v>
      </c>
      <c r="N119" s="606">
        <f>'F11-Year(n+2)'!J118</f>
        <v>2.1383746666935837</v>
      </c>
      <c r="O119" s="606">
        <f>'F11-Year(n+2)'!K118</f>
        <v>2.9997284386024252</v>
      </c>
      <c r="P119" s="606">
        <f>'F11-Year(n+2)'!L118</f>
        <v>2.8185941554022009</v>
      </c>
      <c r="Q119" s="606">
        <f>'F11-Year(n+2)'!M118</f>
        <v>4.6000147117895205</v>
      </c>
      <c r="R119" s="606">
        <f>'F11-Year(n+2)'!N118</f>
        <v>4.6768792520091909</v>
      </c>
      <c r="S119" s="606">
        <f>'F11-Year(n+2)'!O118</f>
        <v>4.9329914149125536</v>
      </c>
      <c r="T119" s="606">
        <f>'F11-Year(n+2)'!P118</f>
        <v>4.9538556606248836</v>
      </c>
      <c r="U119" s="607">
        <f t="shared" si="35"/>
        <v>41.433251364245336</v>
      </c>
      <c r="V119" s="605"/>
    </row>
    <row r="120" spans="3:23" x14ac:dyDescent="0.25">
      <c r="C120" s="607"/>
      <c r="D120" s="607" t="s">
        <v>409</v>
      </c>
      <c r="E120" s="610">
        <v>128.1</v>
      </c>
      <c r="F120" s="607"/>
      <c r="G120" s="610">
        <f t="shared" si="36"/>
        <v>128.1</v>
      </c>
      <c r="H120" s="610">
        <v>0</v>
      </c>
      <c r="I120" s="606">
        <f>'F11-Year(n+2)'!E119</f>
        <v>0</v>
      </c>
      <c r="J120" s="606">
        <f>'F11-Year(n+2)'!F119</f>
        <v>0</v>
      </c>
      <c r="K120" s="606">
        <f>'F11-Year(n+2)'!G119</f>
        <v>0</v>
      </c>
      <c r="L120" s="606">
        <f>'F11-Year(n+2)'!H119</f>
        <v>0</v>
      </c>
      <c r="M120" s="606">
        <f>'F11-Year(n+2)'!I119</f>
        <v>0</v>
      </c>
      <c r="N120" s="606">
        <f>'F11-Year(n+2)'!J119</f>
        <v>0</v>
      </c>
      <c r="O120" s="606">
        <f>'F11-Year(n+2)'!K119</f>
        <v>0</v>
      </c>
      <c r="P120" s="606">
        <f>'F11-Year(n+2)'!L119</f>
        <v>0</v>
      </c>
      <c r="Q120" s="606">
        <f>'F11-Year(n+2)'!M119</f>
        <v>0</v>
      </c>
      <c r="R120" s="606">
        <f>'F11-Year(n+2)'!N119</f>
        <v>0</v>
      </c>
      <c r="S120" s="606">
        <f>'F11-Year(n+2)'!O119</f>
        <v>0</v>
      </c>
      <c r="T120" s="606">
        <f>'F11-Year(n+2)'!P119</f>
        <v>0</v>
      </c>
      <c r="U120" s="607">
        <f t="shared" si="35"/>
        <v>0</v>
      </c>
      <c r="V120" s="605"/>
    </row>
    <row r="121" spans="3:23" x14ac:dyDescent="0.25">
      <c r="C121" s="607"/>
      <c r="D121" s="607" t="s">
        <v>367</v>
      </c>
      <c r="E121" s="610">
        <v>3.55</v>
      </c>
      <c r="F121" s="607"/>
      <c r="G121" s="610">
        <f t="shared" si="36"/>
        <v>3.55</v>
      </c>
      <c r="H121" s="610">
        <v>1.9999999999999998</v>
      </c>
      <c r="I121" s="606">
        <f>'F11-Year(n+2)'!E120</f>
        <v>1.0190928297479489E-2</v>
      </c>
      <c r="J121" s="606">
        <f>'F11-Year(n+2)'!F120</f>
        <v>1.0920276565133009E-2</v>
      </c>
      <c r="K121" s="606">
        <f>'F11-Year(n+2)'!G120</f>
        <v>1.1313935327903597E-2</v>
      </c>
      <c r="L121" s="606">
        <f>'F11-Year(n+2)'!H120</f>
        <v>2.4734818685977687E-2</v>
      </c>
      <c r="M121" s="606">
        <f>'F11-Year(n+2)'!I120</f>
        <v>5.8072838907000622E-2</v>
      </c>
      <c r="N121" s="606">
        <f>'F11-Year(n+2)'!J120</f>
        <v>2.9330637821697401E-2</v>
      </c>
      <c r="O121" s="606">
        <f>'F11-Year(n+2)'!K120</f>
        <v>3.2329782174028758E-2</v>
      </c>
      <c r="P121" s="606">
        <f>'F11-Year(n+2)'!L120</f>
        <v>1.1088447039230287E-2</v>
      </c>
      <c r="Q121" s="606">
        <f>'F11-Year(n+2)'!M120</f>
        <v>1.9022286228628046E-2</v>
      </c>
      <c r="R121" s="606">
        <f>'F11-Year(n+2)'!N120</f>
        <v>3.6297138874416345E-2</v>
      </c>
      <c r="S121" s="606">
        <f>'F11-Year(n+2)'!O120</f>
        <v>3.2598888552168657E-2</v>
      </c>
      <c r="T121" s="606">
        <f>'F11-Year(n+2)'!P120</f>
        <v>1.5142275047462808E-2</v>
      </c>
      <c r="U121" s="607">
        <f t="shared" si="35"/>
        <v>0.29104225352112673</v>
      </c>
      <c r="V121" s="605"/>
    </row>
    <row r="122" spans="3:23" x14ac:dyDescent="0.25">
      <c r="C122" s="607"/>
      <c r="D122" s="607" t="s">
        <v>410</v>
      </c>
      <c r="E122" s="610">
        <v>2833.74</v>
      </c>
      <c r="F122" s="607"/>
      <c r="G122" s="610">
        <f t="shared" si="36"/>
        <v>2833.74</v>
      </c>
      <c r="H122" s="610">
        <v>882</v>
      </c>
      <c r="I122" s="606">
        <f>'F11-Year(n+2)'!E121</f>
        <v>186.12987707139467</v>
      </c>
      <c r="J122" s="606">
        <f>'F11-Year(n+2)'!F121</f>
        <v>191.92956179649838</v>
      </c>
      <c r="K122" s="606">
        <f>'F11-Year(n+2)'!G121</f>
        <v>179.69419431515126</v>
      </c>
      <c r="L122" s="606">
        <f>'F11-Year(n+2)'!H121</f>
        <v>140.73889813824528</v>
      </c>
      <c r="M122" s="606">
        <f>'F11-Year(n+2)'!I121</f>
        <v>173.09892063117235</v>
      </c>
      <c r="N122" s="606">
        <f>'F11-Year(n+2)'!J121</f>
        <v>152.58111820799888</v>
      </c>
      <c r="O122" s="606">
        <f>'F11-Year(n+2)'!K121</f>
        <v>187.06096372269354</v>
      </c>
      <c r="P122" s="606">
        <f>'F11-Year(n+2)'!L121</f>
        <v>144.23734603275764</v>
      </c>
      <c r="Q122" s="606">
        <f>'F11-Year(n+2)'!M121</f>
        <v>158.11590044277565</v>
      </c>
      <c r="R122" s="606">
        <f>'F11-Year(n+2)'!N121</f>
        <v>168.57470934453755</v>
      </c>
      <c r="S122" s="606">
        <f>'F11-Year(n+2)'!O121</f>
        <v>173.03115579305489</v>
      </c>
      <c r="T122" s="606">
        <f>'F11-Year(n+2)'!P121</f>
        <v>185.53807432108087</v>
      </c>
      <c r="U122" s="607">
        <f t="shared" si="35"/>
        <v>2040.730719817361</v>
      </c>
      <c r="V122" s="605"/>
    </row>
    <row r="123" spans="3:23" x14ac:dyDescent="0.25">
      <c r="C123" s="607"/>
      <c r="D123" s="607" t="s">
        <v>411</v>
      </c>
      <c r="E123" s="610">
        <v>56</v>
      </c>
      <c r="F123" s="607"/>
      <c r="G123" s="610">
        <f t="shared" si="36"/>
        <v>56</v>
      </c>
      <c r="H123" s="610">
        <v>23.490000000000002</v>
      </c>
      <c r="I123" s="606">
        <f>'F11-Year(n+2)'!E122</f>
        <v>4.9571324403708168</v>
      </c>
      <c r="J123" s="606">
        <f>'F11-Year(n+2)'!F122</f>
        <v>5.1115934315189868</v>
      </c>
      <c r="K123" s="606">
        <f>'F11-Year(n+2)'!G122</f>
        <v>4.7857331343116822</v>
      </c>
      <c r="L123" s="606">
        <f>'F11-Year(n+2)'!H122</f>
        <v>3.7482502463348988</v>
      </c>
      <c r="M123" s="606">
        <f>'F11-Year(n+2)'!I122</f>
        <v>4.6100834984424468</v>
      </c>
      <c r="N123" s="606">
        <f>'F11-Year(n+2)'!J122</f>
        <v>4.0636399849273168</v>
      </c>
      <c r="O123" s="606">
        <f>'F11-Year(n+2)'!K122</f>
        <v>4.9819297481247968</v>
      </c>
      <c r="P123" s="606">
        <f>'F11-Year(n+2)'!L122</f>
        <v>3.8414231953622182</v>
      </c>
      <c r="Q123" s="606">
        <f>'F11-Year(n+2)'!M122</f>
        <v>4.2110459199555557</v>
      </c>
      <c r="R123" s="606">
        <f>'F11-Year(n+2)'!N122</f>
        <v>4.4895917488698256</v>
      </c>
      <c r="S123" s="606">
        <f>'F11-Year(n+2)'!O122</f>
        <v>4.6082787410191148</v>
      </c>
      <c r="T123" s="606">
        <f>'F11-Year(n+2)'!P122</f>
        <v>4.9413711630410306</v>
      </c>
      <c r="U123" s="607">
        <f t="shared" si="35"/>
        <v>54.35007325227869</v>
      </c>
      <c r="V123" s="605"/>
    </row>
    <row r="124" spans="3:23" x14ac:dyDescent="0.25">
      <c r="C124" s="607"/>
      <c r="D124" s="607" t="s">
        <v>412</v>
      </c>
      <c r="E124" s="610">
        <v>400</v>
      </c>
      <c r="F124" s="607"/>
      <c r="G124" s="610">
        <f t="shared" si="36"/>
        <v>400</v>
      </c>
      <c r="H124" s="610">
        <v>117.80000000000001</v>
      </c>
      <c r="I124" s="606">
        <f>'F11-Year(n+2)'!E123</f>
        <v>24.859523264184002</v>
      </c>
      <c r="J124" s="606">
        <f>'F11-Year(n+2)'!F123</f>
        <v>25.634129682117351</v>
      </c>
      <c r="K124" s="606">
        <f>'F11-Year(n+2)'!G123</f>
        <v>23.999972891524738</v>
      </c>
      <c r="L124" s="606">
        <f>'F11-Year(n+2)'!H123</f>
        <v>18.797100000776972</v>
      </c>
      <c r="M124" s="606">
        <f>'F11-Year(n+2)'!I123</f>
        <v>23.11910754008175</v>
      </c>
      <c r="N124" s="606">
        <f>'F11-Year(n+2)'!J123</f>
        <v>20.378747987417537</v>
      </c>
      <c r="O124" s="606">
        <f>'F11-Year(n+2)'!K123</f>
        <v>24.983879281783786</v>
      </c>
      <c r="P124" s="606">
        <f>'F11-Year(n+2)'!L123</f>
        <v>19.264353018887583</v>
      </c>
      <c r="Q124" s="606">
        <f>'F11-Year(n+2)'!M123</f>
        <v>21.117974004715389</v>
      </c>
      <c r="R124" s="606">
        <f>'F11-Year(n+2)'!N123</f>
        <v>22.514853470279505</v>
      </c>
      <c r="S124" s="606">
        <f>'F11-Year(n+2)'!O123</f>
        <v>23.110056862156306</v>
      </c>
      <c r="T124" s="606">
        <f>'F11-Year(n+2)'!P123</f>
        <v>24.780482035173836</v>
      </c>
      <c r="U124" s="607">
        <f t="shared" si="35"/>
        <v>272.56018003909878</v>
      </c>
      <c r="V124" s="605"/>
    </row>
    <row r="125" spans="3:23" x14ac:dyDescent="0.25">
      <c r="C125" s="607"/>
      <c r="D125" s="607" t="s">
        <v>413</v>
      </c>
      <c r="E125" s="610">
        <v>400</v>
      </c>
      <c r="F125" s="607"/>
      <c r="G125" s="610">
        <f t="shared" si="36"/>
        <v>400</v>
      </c>
      <c r="H125" s="610">
        <v>117.80000000000001</v>
      </c>
      <c r="I125" s="606">
        <f>'F11-Year(n+2)'!E124</f>
        <v>24.859523264184006</v>
      </c>
      <c r="J125" s="606">
        <f>'F11-Year(n+2)'!F124</f>
        <v>25.634129682117354</v>
      </c>
      <c r="K125" s="606">
        <f>'F11-Year(n+2)'!G124</f>
        <v>23.999972891524738</v>
      </c>
      <c r="L125" s="606">
        <f>'F11-Year(n+2)'!H124</f>
        <v>18.797100000776975</v>
      </c>
      <c r="M125" s="606">
        <f>'F11-Year(n+2)'!I124</f>
        <v>23.119107540081746</v>
      </c>
      <c r="N125" s="606">
        <f>'F11-Year(n+2)'!J124</f>
        <v>20.378747987417537</v>
      </c>
      <c r="O125" s="606">
        <f>'F11-Year(n+2)'!K124</f>
        <v>24.983879281783786</v>
      </c>
      <c r="P125" s="606">
        <f>'F11-Year(n+2)'!L124</f>
        <v>19.264353018887586</v>
      </c>
      <c r="Q125" s="606">
        <f>'F11-Year(n+2)'!M124</f>
        <v>21.117974004715386</v>
      </c>
      <c r="R125" s="606">
        <f>'F11-Year(n+2)'!N124</f>
        <v>22.514853470279505</v>
      </c>
      <c r="S125" s="606">
        <f>'F11-Year(n+2)'!O124</f>
        <v>23.110056862156309</v>
      </c>
      <c r="T125" s="606">
        <f>'F11-Year(n+2)'!P124</f>
        <v>24.780482035173836</v>
      </c>
      <c r="U125" s="607">
        <f t="shared" si="35"/>
        <v>272.56018003909878</v>
      </c>
      <c r="V125" s="605"/>
    </row>
    <row r="126" spans="3:23" x14ac:dyDescent="0.25">
      <c r="C126" s="607"/>
      <c r="D126" s="607" t="s">
        <v>414</v>
      </c>
      <c r="E126" s="610">
        <v>1545</v>
      </c>
      <c r="F126" s="607"/>
      <c r="G126" s="610">
        <f t="shared" si="36"/>
        <v>1545</v>
      </c>
      <c r="H126" s="610">
        <v>455.00250000000005</v>
      </c>
      <c r="I126" s="606">
        <f>'F11-Year(n+2)'!E125</f>
        <v>96.019908607910722</v>
      </c>
      <c r="J126" s="606">
        <f>'F11-Year(n+2)'!F125</f>
        <v>99.011825897178284</v>
      </c>
      <c r="K126" s="606">
        <f>'F11-Year(n+2)'!G125</f>
        <v>92.699895293514317</v>
      </c>
      <c r="L126" s="606">
        <f>'F11-Year(n+2)'!H125</f>
        <v>72.603798753001072</v>
      </c>
      <c r="M126" s="606">
        <f>'F11-Year(n+2)'!I125</f>
        <v>89.297552873565763</v>
      </c>
      <c r="N126" s="606">
        <f>'F11-Year(n+2)'!J125</f>
        <v>78.712914101400244</v>
      </c>
      <c r="O126" s="606">
        <f>'F11-Year(n+2)'!K125</f>
        <v>96.500233725889899</v>
      </c>
      <c r="P126" s="606">
        <f>'F11-Year(n+2)'!L125</f>
        <v>74.408563535453311</v>
      </c>
      <c r="Q126" s="606">
        <f>'F11-Year(n+2)'!M125</f>
        <v>81.5681745932132</v>
      </c>
      <c r="R126" s="606">
        <f>'F11-Year(n+2)'!N125</f>
        <v>86.963621528954604</v>
      </c>
      <c r="S126" s="606">
        <f>'F11-Year(n+2)'!O125</f>
        <v>89.262594630078766</v>
      </c>
      <c r="T126" s="606">
        <f>'F11-Year(n+2)'!P125</f>
        <v>95.714611860858966</v>
      </c>
      <c r="U126" s="607">
        <f t="shared" si="35"/>
        <v>1052.7636954010188</v>
      </c>
      <c r="V126" s="605"/>
    </row>
    <row r="127" spans="3:23" x14ac:dyDescent="0.25">
      <c r="C127" s="607"/>
      <c r="D127" s="607" t="s">
        <v>415</v>
      </c>
      <c r="E127" s="610"/>
      <c r="F127" s="607"/>
      <c r="G127" s="610">
        <f t="shared" si="36"/>
        <v>0</v>
      </c>
      <c r="H127" s="610"/>
      <c r="I127" s="606">
        <f>'F11-Year(n+2)'!E126</f>
        <v>0</v>
      </c>
      <c r="J127" s="606">
        <f>'F11-Year(n+2)'!F126</f>
        <v>0</v>
      </c>
      <c r="K127" s="606">
        <f>'F11-Year(n+2)'!G126</f>
        <v>0</v>
      </c>
      <c r="L127" s="606">
        <f>'F11-Year(n+2)'!H126</f>
        <v>0</v>
      </c>
      <c r="M127" s="606">
        <f>'F11-Year(n+2)'!I126</f>
        <v>0</v>
      </c>
      <c r="N127" s="606">
        <f>'F11-Year(n+2)'!J126</f>
        <v>0</v>
      </c>
      <c r="O127" s="606">
        <f>'F11-Year(n+2)'!K126</f>
        <v>0</v>
      </c>
      <c r="P127" s="606">
        <f>'F11-Year(n+2)'!L126</f>
        <v>0</v>
      </c>
      <c r="Q127" s="606">
        <f>'F11-Year(n+2)'!M126</f>
        <v>0</v>
      </c>
      <c r="R127" s="606">
        <f>'F11-Year(n+2)'!N126</f>
        <v>0</v>
      </c>
      <c r="S127" s="606">
        <f>'F11-Year(n+2)'!O126</f>
        <v>0</v>
      </c>
      <c r="T127" s="606">
        <f>'F11-Year(n+2)'!P126</f>
        <v>0</v>
      </c>
      <c r="U127" s="607">
        <f t="shared" si="35"/>
        <v>0</v>
      </c>
      <c r="V127" s="605"/>
    </row>
    <row r="128" spans="3:23" x14ac:dyDescent="0.25">
      <c r="C128" s="607"/>
      <c r="D128" s="607" t="s">
        <v>416</v>
      </c>
      <c r="E128" s="610">
        <v>1692</v>
      </c>
      <c r="F128" s="607"/>
      <c r="G128" s="610">
        <f t="shared" si="36"/>
        <v>1692</v>
      </c>
      <c r="H128" s="610">
        <v>498.2940000000001</v>
      </c>
      <c r="I128" s="606">
        <f>'F11-Year(n+2)'!E127</f>
        <v>105.15578340749835</v>
      </c>
      <c r="J128" s="606">
        <f>'F11-Year(n+2)'!F127</f>
        <v>108.43236855535642</v>
      </c>
      <c r="K128" s="606">
        <f>'F11-Year(n+2)'!G127</f>
        <v>101.51988533114967</v>
      </c>
      <c r="L128" s="606">
        <f>'F11-Year(n+2)'!H127</f>
        <v>79.511733003286608</v>
      </c>
      <c r="M128" s="606">
        <f>'F11-Year(n+2)'!I127</f>
        <v>97.793824894545807</v>
      </c>
      <c r="N128" s="606">
        <f>'F11-Year(n+2)'!J127</f>
        <v>86.202103986776194</v>
      </c>
      <c r="O128" s="606">
        <f>'F11-Year(n+2)'!K127</f>
        <v>105.68180936194544</v>
      </c>
      <c r="P128" s="606">
        <f>'F11-Year(n+2)'!L127</f>
        <v>81.488213269894487</v>
      </c>
      <c r="Q128" s="606">
        <f>'F11-Year(n+2)'!M127</f>
        <v>89.329030039946105</v>
      </c>
      <c r="R128" s="606">
        <f>'F11-Year(n+2)'!N127</f>
        <v>95.237830179282312</v>
      </c>
      <c r="S128" s="606">
        <f>'F11-Year(n+2)'!O127</f>
        <v>97.75554052692118</v>
      </c>
      <c r="T128" s="606">
        <f>'F11-Year(n+2)'!P127</f>
        <v>104.82143900878533</v>
      </c>
      <c r="U128" s="607">
        <f t="shared" si="35"/>
        <v>1152.929561565388</v>
      </c>
      <c r="V128" s="605"/>
    </row>
    <row r="129" spans="3:23" x14ac:dyDescent="0.25">
      <c r="C129" s="607"/>
      <c r="D129" s="607" t="s">
        <v>417</v>
      </c>
      <c r="E129" s="610">
        <v>1000</v>
      </c>
      <c r="F129" s="607"/>
      <c r="G129" s="610">
        <f t="shared" si="36"/>
        <v>1000</v>
      </c>
      <c r="H129" s="610">
        <v>294.5</v>
      </c>
      <c r="I129" s="606">
        <f>'F11-Year(n+2)'!E128</f>
        <v>62.14880816046</v>
      </c>
      <c r="J129" s="606">
        <f>'F11-Year(n+2)'!F128</f>
        <v>64.085324205293375</v>
      </c>
      <c r="K129" s="606">
        <f>'F11-Year(n+2)'!G128</f>
        <v>59.999932228811851</v>
      </c>
      <c r="L129" s="606">
        <f>'F11-Year(n+2)'!H128</f>
        <v>46.992750001942433</v>
      </c>
      <c r="M129" s="606">
        <f>'F11-Year(n+2)'!I128</f>
        <v>57.797768850204378</v>
      </c>
      <c r="N129" s="606">
        <f>'F11-Year(n+2)'!J128</f>
        <v>50.946869968543844</v>
      </c>
      <c r="O129" s="606">
        <f>'F11-Year(n+2)'!K128</f>
        <v>62.459698204459471</v>
      </c>
      <c r="P129" s="606">
        <f>'F11-Year(n+2)'!L128</f>
        <v>48.160882547218968</v>
      </c>
      <c r="Q129" s="606">
        <f>'F11-Year(n+2)'!M128</f>
        <v>52.794935011788475</v>
      </c>
      <c r="R129" s="606">
        <f>'F11-Year(n+2)'!N128</f>
        <v>56.287133675698769</v>
      </c>
      <c r="S129" s="606">
        <f>'F11-Year(n+2)'!O128</f>
        <v>57.775142155390775</v>
      </c>
      <c r="T129" s="606">
        <f>'F11-Year(n+2)'!P128</f>
        <v>61.951205087934596</v>
      </c>
      <c r="U129" s="607">
        <f t="shared" si="35"/>
        <v>681.4004500977469</v>
      </c>
      <c r="V129" s="605"/>
    </row>
    <row r="130" spans="3:23" x14ac:dyDescent="0.25">
      <c r="C130" s="607"/>
      <c r="D130" s="615" t="s">
        <v>418</v>
      </c>
      <c r="E130" s="610"/>
      <c r="F130" s="607"/>
      <c r="G130" s="610"/>
      <c r="H130" s="610"/>
      <c r="I130" s="607"/>
      <c r="J130" s="607"/>
      <c r="K130" s="607"/>
      <c r="L130" s="607"/>
      <c r="M130" s="607"/>
      <c r="N130" s="607"/>
      <c r="O130" s="607"/>
      <c r="P130" s="607"/>
      <c r="Q130" s="607"/>
      <c r="R130" s="607"/>
      <c r="S130" s="607"/>
      <c r="T130" s="607"/>
      <c r="U130" s="607">
        <f t="shared" si="35"/>
        <v>0</v>
      </c>
      <c r="V130" s="605"/>
    </row>
    <row r="131" spans="3:23" x14ac:dyDescent="0.25">
      <c r="C131" s="607"/>
      <c r="D131" s="615" t="s">
        <v>446</v>
      </c>
      <c r="E131" s="610"/>
      <c r="F131" s="607"/>
      <c r="G131" s="610"/>
      <c r="H131" s="607"/>
      <c r="I131" s="607"/>
      <c r="J131" s="607"/>
      <c r="K131" s="607"/>
      <c r="L131" s="607"/>
      <c r="M131" s="607"/>
      <c r="N131" s="607"/>
      <c r="O131" s="607"/>
      <c r="P131" s="607"/>
      <c r="Q131" s="607"/>
      <c r="R131" s="607"/>
      <c r="S131" s="607"/>
      <c r="T131" s="607"/>
      <c r="U131" s="607">
        <f t="shared" si="35"/>
        <v>0</v>
      </c>
      <c r="V131" s="605"/>
    </row>
    <row r="132" spans="3:23" hidden="1" x14ac:dyDescent="0.25">
      <c r="C132" s="607"/>
      <c r="D132" s="607"/>
      <c r="E132" s="607"/>
      <c r="F132" s="607"/>
      <c r="G132" s="607"/>
      <c r="H132" s="607"/>
      <c r="I132" s="607"/>
      <c r="J132" s="607"/>
      <c r="K132" s="607"/>
      <c r="L132" s="607"/>
      <c r="M132" s="607"/>
      <c r="N132" s="607"/>
      <c r="O132" s="607"/>
      <c r="P132" s="607"/>
      <c r="Q132" s="607"/>
      <c r="R132" s="607"/>
      <c r="S132" s="607"/>
      <c r="T132" s="607"/>
      <c r="U132" s="607">
        <f t="shared" si="35"/>
        <v>0</v>
      </c>
      <c r="V132" s="605"/>
    </row>
    <row r="133" spans="3:23" hidden="1" x14ac:dyDescent="0.25">
      <c r="C133" s="607"/>
      <c r="D133" s="607"/>
      <c r="E133" s="607"/>
      <c r="F133" s="607"/>
      <c r="G133" s="607"/>
      <c r="H133" s="607"/>
      <c r="I133" s="607"/>
      <c r="J133" s="607"/>
      <c r="K133" s="607"/>
      <c r="L133" s="607"/>
      <c r="M133" s="607"/>
      <c r="N133" s="607"/>
      <c r="O133" s="607"/>
      <c r="P133" s="607"/>
      <c r="Q133" s="607"/>
      <c r="R133" s="607"/>
      <c r="S133" s="607"/>
      <c r="T133" s="607"/>
      <c r="U133" s="607">
        <f t="shared" si="35"/>
        <v>0</v>
      </c>
      <c r="V133" s="605"/>
    </row>
    <row r="134" spans="3:23" hidden="1" x14ac:dyDescent="0.25">
      <c r="C134" s="607"/>
      <c r="D134" s="607"/>
      <c r="E134" s="607"/>
      <c r="F134" s="607"/>
      <c r="G134" s="607"/>
      <c r="H134" s="607"/>
      <c r="I134" s="607"/>
      <c r="J134" s="607"/>
      <c r="K134" s="607"/>
      <c r="L134" s="607"/>
      <c r="M134" s="607"/>
      <c r="N134" s="607"/>
      <c r="O134" s="607"/>
      <c r="P134" s="607"/>
      <c r="Q134" s="607"/>
      <c r="R134" s="607"/>
      <c r="S134" s="607"/>
      <c r="T134" s="607"/>
      <c r="U134" s="607">
        <f t="shared" si="35"/>
        <v>0</v>
      </c>
      <c r="V134" s="605"/>
    </row>
    <row r="135" spans="3:23" hidden="1" x14ac:dyDescent="0.25">
      <c r="C135" s="607"/>
      <c r="D135" s="607"/>
      <c r="E135" s="607"/>
      <c r="F135" s="607"/>
      <c r="G135" s="607"/>
      <c r="H135" s="607"/>
      <c r="I135" s="607"/>
      <c r="J135" s="607"/>
      <c r="K135" s="607"/>
      <c r="L135" s="607"/>
      <c r="M135" s="607"/>
      <c r="N135" s="607"/>
      <c r="O135" s="607"/>
      <c r="P135" s="607"/>
      <c r="Q135" s="607"/>
      <c r="R135" s="607"/>
      <c r="S135" s="607"/>
      <c r="T135" s="607"/>
      <c r="U135" s="607">
        <f t="shared" si="35"/>
        <v>0</v>
      </c>
      <c r="V135" s="605"/>
    </row>
    <row r="136" spans="3:23" hidden="1" x14ac:dyDescent="0.25">
      <c r="C136" s="607"/>
      <c r="D136" s="607"/>
      <c r="E136" s="607"/>
      <c r="F136" s="607"/>
      <c r="G136" s="607"/>
      <c r="H136" s="607"/>
      <c r="I136" s="607"/>
      <c r="J136" s="607"/>
      <c r="K136" s="607"/>
      <c r="L136" s="607"/>
      <c r="M136" s="607"/>
      <c r="N136" s="607"/>
      <c r="O136" s="607"/>
      <c r="P136" s="607"/>
      <c r="Q136" s="607"/>
      <c r="R136" s="607"/>
      <c r="S136" s="607"/>
      <c r="T136" s="607"/>
      <c r="U136" s="607">
        <f t="shared" si="35"/>
        <v>0</v>
      </c>
      <c r="V136" s="605"/>
    </row>
    <row r="137" spans="3:23" hidden="1" x14ac:dyDescent="0.25">
      <c r="C137" s="607"/>
      <c r="D137" s="607"/>
      <c r="E137" s="607"/>
      <c r="F137" s="607"/>
      <c r="G137" s="607"/>
      <c r="H137" s="607"/>
      <c r="I137" s="607"/>
      <c r="J137" s="607"/>
      <c r="K137" s="607"/>
      <c r="L137" s="607"/>
      <c r="M137" s="607"/>
      <c r="N137" s="607"/>
      <c r="O137" s="607"/>
      <c r="P137" s="607"/>
      <c r="Q137" s="607"/>
      <c r="R137" s="607"/>
      <c r="S137" s="607"/>
      <c r="T137" s="607"/>
      <c r="U137" s="607">
        <f t="shared" si="35"/>
        <v>0</v>
      </c>
      <c r="V137" s="605"/>
    </row>
    <row r="138" spans="3:23" hidden="1" x14ac:dyDescent="0.25">
      <c r="C138" s="607"/>
      <c r="D138" s="607"/>
      <c r="E138" s="607"/>
      <c r="F138" s="607"/>
      <c r="G138" s="607"/>
      <c r="H138" s="607"/>
      <c r="I138" s="607"/>
      <c r="J138" s="607"/>
      <c r="K138" s="607"/>
      <c r="L138" s="607"/>
      <c r="M138" s="607"/>
      <c r="N138" s="607"/>
      <c r="O138" s="607"/>
      <c r="P138" s="607"/>
      <c r="Q138" s="607"/>
      <c r="R138" s="607"/>
      <c r="S138" s="607"/>
      <c r="T138" s="607"/>
      <c r="U138" s="607">
        <f t="shared" si="35"/>
        <v>0</v>
      </c>
      <c r="V138" s="605"/>
    </row>
    <row r="139" spans="3:23" hidden="1" x14ac:dyDescent="0.25">
      <c r="C139" s="607"/>
      <c r="D139" s="607"/>
      <c r="E139" s="607"/>
      <c r="F139" s="607"/>
      <c r="G139" s="607"/>
      <c r="H139" s="607"/>
      <c r="I139" s="607"/>
      <c r="J139" s="607"/>
      <c r="K139" s="607"/>
      <c r="L139" s="607"/>
      <c r="M139" s="607"/>
      <c r="N139" s="607"/>
      <c r="O139" s="607"/>
      <c r="P139" s="607"/>
      <c r="Q139" s="607"/>
      <c r="R139" s="607"/>
      <c r="S139" s="607"/>
      <c r="T139" s="607"/>
      <c r="U139" s="607">
        <f t="shared" si="35"/>
        <v>0</v>
      </c>
      <c r="V139" s="605"/>
    </row>
    <row r="140" spans="3:23" x14ac:dyDescent="0.25">
      <c r="C140" s="811" t="s">
        <v>420</v>
      </c>
      <c r="D140" s="812"/>
      <c r="E140" s="607">
        <f>SUM(E116:E139)</f>
        <v>8148.29</v>
      </c>
      <c r="F140" s="607">
        <f t="shared" ref="F140:T140" si="37">SUM(F116:F139)</f>
        <v>0</v>
      </c>
      <c r="G140" s="607">
        <f t="shared" si="37"/>
        <v>8148.29</v>
      </c>
      <c r="H140" s="607">
        <f t="shared" si="37"/>
        <v>2432.4865</v>
      </c>
      <c r="I140" s="607">
        <f t="shared" si="37"/>
        <v>507.80834259982953</v>
      </c>
      <c r="J140" s="607">
        <f t="shared" si="37"/>
        <v>522.43390610829942</v>
      </c>
      <c r="K140" s="607">
        <f t="shared" si="37"/>
        <v>488.90419643317142</v>
      </c>
      <c r="L140" s="607">
        <f t="shared" si="37"/>
        <v>384.31427039261581</v>
      </c>
      <c r="M140" s="607">
        <f t="shared" si="37"/>
        <v>471.94883166698514</v>
      </c>
      <c r="N140" s="607">
        <f t="shared" si="37"/>
        <v>415.47204624704824</v>
      </c>
      <c r="O140" s="607">
        <f t="shared" si="37"/>
        <v>509.70882922683927</v>
      </c>
      <c r="P140" s="607">
        <f t="shared" si="37"/>
        <v>393.52866755839386</v>
      </c>
      <c r="Q140" s="607">
        <f t="shared" si="37"/>
        <v>432.91277784866276</v>
      </c>
      <c r="R140" s="607">
        <f t="shared" si="37"/>
        <v>461.33320461958544</v>
      </c>
      <c r="S140" s="607">
        <f t="shared" si="37"/>
        <v>473.64408288029563</v>
      </c>
      <c r="T140" s="607">
        <f t="shared" si="37"/>
        <v>507.52999824803146</v>
      </c>
      <c r="U140" s="609">
        <f>SUM(I140:T140)</f>
        <v>5569.539153829759</v>
      </c>
      <c r="V140" s="605"/>
      <c r="W140" s="64"/>
    </row>
    <row r="141" spans="3:23" x14ac:dyDescent="0.25">
      <c r="C141" s="813" t="s">
        <v>421</v>
      </c>
      <c r="D141" s="814"/>
      <c r="E141" s="607"/>
      <c r="F141" s="607"/>
      <c r="G141" s="607"/>
      <c r="H141" s="607"/>
      <c r="I141" s="607"/>
      <c r="J141" s="607"/>
      <c r="K141" s="607"/>
      <c r="L141" s="607"/>
      <c r="M141" s="607"/>
      <c r="N141" s="607"/>
      <c r="O141" s="607"/>
      <c r="P141" s="607"/>
      <c r="Q141" s="607"/>
      <c r="R141" s="607"/>
      <c r="S141" s="607"/>
      <c r="T141" s="607"/>
      <c r="U141" s="607"/>
      <c r="V141" s="605"/>
    </row>
    <row r="142" spans="3:23" x14ac:dyDescent="0.25">
      <c r="C142" s="607"/>
      <c r="D142" s="607" t="s">
        <v>669</v>
      </c>
      <c r="E142" s="607"/>
      <c r="F142" s="607"/>
      <c r="G142" s="607"/>
      <c r="H142" s="607"/>
      <c r="I142" s="606">
        <f>'F11-Year(n+2)'!E141</f>
        <v>0</v>
      </c>
      <c r="J142" s="606">
        <f>'F11-Year(n+2)'!F141</f>
        <v>0</v>
      </c>
      <c r="K142" s="606">
        <f>'F11-Year(n+2)'!G141</f>
        <v>0</v>
      </c>
      <c r="L142" s="606">
        <f>'F11-Year(n+2)'!H141</f>
        <v>0</v>
      </c>
      <c r="M142" s="606">
        <f>'F11-Year(n+2)'!I141</f>
        <v>0</v>
      </c>
      <c r="N142" s="606">
        <f>'F11-Year(n+2)'!J141</f>
        <v>0</v>
      </c>
      <c r="O142" s="606">
        <f>'F11-Year(n+2)'!K141</f>
        <v>0</v>
      </c>
      <c r="P142" s="606">
        <f>'F11-Year(n+2)'!L141</f>
        <v>0</v>
      </c>
      <c r="Q142" s="606">
        <f>'F11-Year(n+2)'!M141</f>
        <v>0</v>
      </c>
      <c r="R142" s="606">
        <f>'F11-Year(n+2)'!N141</f>
        <v>0</v>
      </c>
      <c r="S142" s="606">
        <f>'F11-Year(n+2)'!O141</f>
        <v>174.06140389856273</v>
      </c>
      <c r="T142" s="606">
        <f>'F11-Year(n+2)'!P141</f>
        <v>264.85317080440018</v>
      </c>
      <c r="U142" s="607">
        <f>+SUM(I142:T142)</f>
        <v>438.91457470296291</v>
      </c>
      <c r="V142" s="605"/>
    </row>
    <row r="143" spans="3:23" x14ac:dyDescent="0.25">
      <c r="C143" s="607"/>
      <c r="D143" s="607" t="s">
        <v>422</v>
      </c>
      <c r="E143" s="607"/>
      <c r="F143" s="607"/>
      <c r="G143" s="607"/>
      <c r="H143" s="607"/>
      <c r="I143" s="606">
        <v>0</v>
      </c>
      <c r="J143" s="606">
        <v>0</v>
      </c>
      <c r="K143" s="606">
        <v>0</v>
      </c>
      <c r="L143" s="606">
        <v>0</v>
      </c>
      <c r="M143" s="606">
        <v>0</v>
      </c>
      <c r="N143" s="606">
        <v>0</v>
      </c>
      <c r="O143" s="606">
        <v>0</v>
      </c>
      <c r="P143" s="606">
        <v>0</v>
      </c>
      <c r="Q143" s="606">
        <v>0</v>
      </c>
      <c r="R143" s="606">
        <v>0</v>
      </c>
      <c r="S143" s="606">
        <v>0</v>
      </c>
      <c r="T143" s="606">
        <v>0</v>
      </c>
      <c r="U143" s="606">
        <f>+SUM(I143:T143)</f>
        <v>0</v>
      </c>
      <c r="V143" s="605"/>
    </row>
    <row r="144" spans="3:23" hidden="1" x14ac:dyDescent="0.25">
      <c r="C144" s="607"/>
      <c r="D144" s="607"/>
      <c r="E144" s="607"/>
      <c r="F144" s="607"/>
      <c r="G144" s="607"/>
      <c r="H144" s="607"/>
      <c r="I144" s="607"/>
      <c r="J144" s="607"/>
      <c r="K144" s="607"/>
      <c r="L144" s="607"/>
      <c r="M144" s="607"/>
      <c r="N144" s="607"/>
      <c r="O144" s="607"/>
      <c r="P144" s="607"/>
      <c r="Q144" s="607"/>
      <c r="R144" s="607"/>
      <c r="S144" s="607"/>
      <c r="T144" s="607"/>
      <c r="U144" s="607">
        <f t="shared" ref="U144:U152" si="38">+SUM(I144:T144)</f>
        <v>0</v>
      </c>
      <c r="V144" s="605"/>
    </row>
    <row r="145" spans="3:23" hidden="1" x14ac:dyDescent="0.25">
      <c r="C145" s="607"/>
      <c r="D145" s="607"/>
      <c r="E145" s="607"/>
      <c r="F145" s="607"/>
      <c r="G145" s="607"/>
      <c r="H145" s="607"/>
      <c r="I145" s="607"/>
      <c r="J145" s="607"/>
      <c r="K145" s="607"/>
      <c r="L145" s="607"/>
      <c r="M145" s="607"/>
      <c r="N145" s="607"/>
      <c r="O145" s="607"/>
      <c r="P145" s="607"/>
      <c r="Q145" s="607"/>
      <c r="R145" s="607"/>
      <c r="S145" s="607"/>
      <c r="T145" s="607"/>
      <c r="U145" s="607">
        <f t="shared" si="38"/>
        <v>0</v>
      </c>
      <c r="V145" s="605"/>
    </row>
    <row r="146" spans="3:23" hidden="1" x14ac:dyDescent="0.25">
      <c r="C146" s="607"/>
      <c r="D146" s="607"/>
      <c r="E146" s="607"/>
      <c r="F146" s="607"/>
      <c r="G146" s="607"/>
      <c r="H146" s="607"/>
      <c r="I146" s="607"/>
      <c r="J146" s="607"/>
      <c r="K146" s="607"/>
      <c r="L146" s="607"/>
      <c r="M146" s="607"/>
      <c r="N146" s="607"/>
      <c r="O146" s="607"/>
      <c r="P146" s="607"/>
      <c r="Q146" s="607"/>
      <c r="R146" s="607"/>
      <c r="S146" s="607"/>
      <c r="T146" s="607"/>
      <c r="U146" s="607">
        <f t="shared" si="38"/>
        <v>0</v>
      </c>
      <c r="V146" s="605"/>
    </row>
    <row r="147" spans="3:23" hidden="1" x14ac:dyDescent="0.25">
      <c r="C147" s="607"/>
      <c r="D147" s="607"/>
      <c r="E147" s="607"/>
      <c r="F147" s="607"/>
      <c r="G147" s="607"/>
      <c r="H147" s="607"/>
      <c r="I147" s="607"/>
      <c r="J147" s="607"/>
      <c r="K147" s="607"/>
      <c r="L147" s="607"/>
      <c r="M147" s="607"/>
      <c r="N147" s="607"/>
      <c r="O147" s="607"/>
      <c r="P147" s="607"/>
      <c r="Q147" s="607"/>
      <c r="R147" s="607"/>
      <c r="S147" s="607"/>
      <c r="T147" s="607"/>
      <c r="U147" s="607">
        <f t="shared" si="38"/>
        <v>0</v>
      </c>
      <c r="V147" s="605"/>
    </row>
    <row r="148" spans="3:23" hidden="1" x14ac:dyDescent="0.25">
      <c r="C148" s="607"/>
      <c r="D148" s="607"/>
      <c r="E148" s="607"/>
      <c r="F148" s="607"/>
      <c r="G148" s="607"/>
      <c r="H148" s="607"/>
      <c r="I148" s="607"/>
      <c r="J148" s="607"/>
      <c r="K148" s="607"/>
      <c r="L148" s="607"/>
      <c r="M148" s="607"/>
      <c r="N148" s="607"/>
      <c r="O148" s="607"/>
      <c r="P148" s="607"/>
      <c r="Q148" s="607"/>
      <c r="R148" s="607"/>
      <c r="S148" s="607"/>
      <c r="T148" s="607"/>
      <c r="U148" s="607">
        <f t="shared" si="38"/>
        <v>0</v>
      </c>
      <c r="V148" s="605"/>
    </row>
    <row r="149" spans="3:23" hidden="1" x14ac:dyDescent="0.25">
      <c r="C149" s="607"/>
      <c r="D149" s="607"/>
      <c r="E149" s="607"/>
      <c r="F149" s="607"/>
      <c r="G149" s="607"/>
      <c r="H149" s="607"/>
      <c r="I149" s="607"/>
      <c r="J149" s="607"/>
      <c r="K149" s="607"/>
      <c r="L149" s="607"/>
      <c r="M149" s="607"/>
      <c r="N149" s="607"/>
      <c r="O149" s="607"/>
      <c r="P149" s="607"/>
      <c r="Q149" s="607"/>
      <c r="R149" s="607"/>
      <c r="S149" s="607"/>
      <c r="T149" s="607"/>
      <c r="U149" s="607">
        <f t="shared" si="38"/>
        <v>0</v>
      </c>
      <c r="V149" s="605"/>
    </row>
    <row r="150" spans="3:23" hidden="1" x14ac:dyDescent="0.25"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>
        <f t="shared" si="38"/>
        <v>0</v>
      </c>
      <c r="V150" s="605"/>
    </row>
    <row r="151" spans="3:23" hidden="1" x14ac:dyDescent="0.25">
      <c r="C151" s="607"/>
      <c r="D151" s="607"/>
      <c r="E151" s="607"/>
      <c r="F151" s="607"/>
      <c r="G151" s="607"/>
      <c r="H151" s="607"/>
      <c r="I151" s="607"/>
      <c r="J151" s="607"/>
      <c r="K151" s="607"/>
      <c r="L151" s="607"/>
      <c r="M151" s="607"/>
      <c r="N151" s="607"/>
      <c r="O151" s="607"/>
      <c r="P151" s="607"/>
      <c r="Q151" s="607"/>
      <c r="R151" s="607"/>
      <c r="S151" s="607"/>
      <c r="T151" s="607"/>
      <c r="U151" s="607">
        <f t="shared" si="38"/>
        <v>0</v>
      </c>
      <c r="V151" s="605"/>
    </row>
    <row r="152" spans="3:23" hidden="1" x14ac:dyDescent="0.25">
      <c r="C152" s="607"/>
      <c r="D152" s="607"/>
      <c r="E152" s="607"/>
      <c r="F152" s="607"/>
      <c r="G152" s="607"/>
      <c r="H152" s="607"/>
      <c r="I152" s="607"/>
      <c r="J152" s="607"/>
      <c r="K152" s="607"/>
      <c r="L152" s="607"/>
      <c r="M152" s="607"/>
      <c r="N152" s="607"/>
      <c r="O152" s="607"/>
      <c r="P152" s="607"/>
      <c r="Q152" s="607"/>
      <c r="R152" s="607"/>
      <c r="S152" s="607"/>
      <c r="T152" s="607"/>
      <c r="U152" s="607">
        <f t="shared" si="38"/>
        <v>0</v>
      </c>
      <c r="V152" s="605"/>
    </row>
    <row r="153" spans="3:23" x14ac:dyDescent="0.25">
      <c r="C153" s="811" t="s">
        <v>423</v>
      </c>
      <c r="D153" s="812"/>
      <c r="E153" s="607">
        <f>SUM(E142:E152)</f>
        <v>0</v>
      </c>
      <c r="F153" s="607">
        <f t="shared" ref="F153:H153" si="39">SUM(F142:F152)</f>
        <v>0</v>
      </c>
      <c r="G153" s="607">
        <f t="shared" si="39"/>
        <v>0</v>
      </c>
      <c r="H153" s="607">
        <f t="shared" si="39"/>
        <v>0</v>
      </c>
      <c r="I153" s="606">
        <f>SUM(I142:I152)</f>
        <v>0</v>
      </c>
      <c r="J153" s="606">
        <f t="shared" ref="J153:T153" si="40">SUM(J142:J152)</f>
        <v>0</v>
      </c>
      <c r="K153" s="606">
        <f t="shared" si="40"/>
        <v>0</v>
      </c>
      <c r="L153" s="606">
        <f t="shared" si="40"/>
        <v>0</v>
      </c>
      <c r="M153" s="606">
        <f t="shared" si="40"/>
        <v>0</v>
      </c>
      <c r="N153" s="606">
        <f t="shared" si="40"/>
        <v>0</v>
      </c>
      <c r="O153" s="606">
        <f t="shared" si="40"/>
        <v>0</v>
      </c>
      <c r="P153" s="606">
        <f t="shared" si="40"/>
        <v>0</v>
      </c>
      <c r="Q153" s="606">
        <f t="shared" si="40"/>
        <v>0</v>
      </c>
      <c r="R153" s="606">
        <f t="shared" si="40"/>
        <v>0</v>
      </c>
      <c r="S153" s="606">
        <f t="shared" si="40"/>
        <v>174.06140389856273</v>
      </c>
      <c r="T153" s="606">
        <f t="shared" si="40"/>
        <v>264.85317080440018</v>
      </c>
      <c r="U153" s="609">
        <f>SUM(I153:T153)</f>
        <v>438.91457470296291</v>
      </c>
      <c r="V153" s="605"/>
      <c r="W153" s="64"/>
    </row>
    <row r="154" spans="3:23" x14ac:dyDescent="0.25">
      <c r="C154" s="813" t="s">
        <v>424</v>
      </c>
      <c r="D154" s="814"/>
      <c r="E154" s="607"/>
      <c r="F154" s="607"/>
      <c r="G154" s="607"/>
      <c r="H154" s="607"/>
      <c r="I154" s="607"/>
      <c r="J154" s="607"/>
      <c r="K154" s="607"/>
      <c r="L154" s="607"/>
      <c r="M154" s="607"/>
      <c r="N154" s="607"/>
      <c r="O154" s="607"/>
      <c r="P154" s="607"/>
      <c r="Q154" s="607"/>
      <c r="R154" s="607"/>
      <c r="S154" s="607"/>
      <c r="T154" s="607"/>
      <c r="U154" s="607"/>
      <c r="V154" s="605"/>
    </row>
    <row r="155" spans="3:23" x14ac:dyDescent="0.25">
      <c r="C155" s="607" t="s">
        <v>425</v>
      </c>
      <c r="D155" s="607" t="s">
        <v>426</v>
      </c>
      <c r="E155" s="607"/>
      <c r="F155" s="607"/>
      <c r="G155" s="607"/>
      <c r="H155" s="607"/>
      <c r="I155" s="606">
        <v>0</v>
      </c>
      <c r="J155" s="606">
        <v>0</v>
      </c>
      <c r="K155" s="606">
        <v>0</v>
      </c>
      <c r="L155" s="606">
        <v>0</v>
      </c>
      <c r="M155" s="606">
        <v>0</v>
      </c>
      <c r="N155" s="606">
        <v>0</v>
      </c>
      <c r="O155" s="606">
        <v>0</v>
      </c>
      <c r="P155" s="606">
        <v>0</v>
      </c>
      <c r="Q155" s="606">
        <v>0</v>
      </c>
      <c r="R155" s="606">
        <v>0</v>
      </c>
      <c r="S155" s="606">
        <v>0</v>
      </c>
      <c r="T155" s="606">
        <v>0</v>
      </c>
      <c r="U155" s="607">
        <f>+SUM(I155:T155)</f>
        <v>0</v>
      </c>
      <c r="V155" s="605"/>
    </row>
    <row r="156" spans="3:23" x14ac:dyDescent="0.25">
      <c r="C156" s="607" t="s">
        <v>425</v>
      </c>
      <c r="D156" s="607" t="s">
        <v>427</v>
      </c>
      <c r="E156" s="607"/>
      <c r="F156" s="607"/>
      <c r="G156" s="607"/>
      <c r="H156" s="607"/>
      <c r="I156" s="606">
        <v>0</v>
      </c>
      <c r="J156" s="606">
        <v>0</v>
      </c>
      <c r="K156" s="606">
        <v>0</v>
      </c>
      <c r="L156" s="606">
        <v>0</v>
      </c>
      <c r="M156" s="606">
        <v>0</v>
      </c>
      <c r="N156" s="606">
        <v>0</v>
      </c>
      <c r="O156" s="606">
        <v>0</v>
      </c>
      <c r="P156" s="606">
        <v>0</v>
      </c>
      <c r="Q156" s="606">
        <v>0</v>
      </c>
      <c r="R156" s="606">
        <v>0</v>
      </c>
      <c r="S156" s="606">
        <v>0</v>
      </c>
      <c r="T156" s="606">
        <v>0</v>
      </c>
      <c r="U156" s="607">
        <f>+SUM(I156:T156)</f>
        <v>0</v>
      </c>
      <c r="V156" s="605"/>
    </row>
    <row r="157" spans="3:23" x14ac:dyDescent="0.25">
      <c r="C157" s="811" t="s">
        <v>428</v>
      </c>
      <c r="D157" s="812"/>
      <c r="E157" s="607">
        <f>SUM(E155:E156)</f>
        <v>0</v>
      </c>
      <c r="F157" s="607">
        <f t="shared" ref="F157:H157" si="41">SUM(F155:F156)</f>
        <v>0</v>
      </c>
      <c r="G157" s="607">
        <f t="shared" si="41"/>
        <v>0</v>
      </c>
      <c r="H157" s="607">
        <f t="shared" si="41"/>
        <v>0</v>
      </c>
      <c r="I157" s="607">
        <f t="shared" ref="I157:T157" si="42">SUM(I155:I156)</f>
        <v>0</v>
      </c>
      <c r="J157" s="607">
        <f t="shared" si="42"/>
        <v>0</v>
      </c>
      <c r="K157" s="607">
        <f t="shared" si="42"/>
        <v>0</v>
      </c>
      <c r="L157" s="607">
        <f t="shared" si="42"/>
        <v>0</v>
      </c>
      <c r="M157" s="607">
        <f t="shared" si="42"/>
        <v>0</v>
      </c>
      <c r="N157" s="607">
        <f t="shared" si="42"/>
        <v>0</v>
      </c>
      <c r="O157" s="607">
        <f t="shared" si="42"/>
        <v>0</v>
      </c>
      <c r="P157" s="607">
        <f t="shared" si="42"/>
        <v>0</v>
      </c>
      <c r="Q157" s="607">
        <f t="shared" si="42"/>
        <v>0</v>
      </c>
      <c r="R157" s="607">
        <f t="shared" si="42"/>
        <v>0</v>
      </c>
      <c r="S157" s="607">
        <f t="shared" si="42"/>
        <v>0</v>
      </c>
      <c r="T157" s="607">
        <f t="shared" si="42"/>
        <v>0</v>
      </c>
      <c r="U157" s="609">
        <f>U155-U156</f>
        <v>0</v>
      </c>
      <c r="V157" s="605"/>
    </row>
    <row r="158" spans="3:23" x14ac:dyDescent="0.25">
      <c r="C158" s="811" t="s">
        <v>220</v>
      </c>
      <c r="D158" s="812"/>
      <c r="E158" s="607">
        <f>E48+E95+E104+E114+E140+E153+E157</f>
        <v>38433.89</v>
      </c>
      <c r="F158" s="607">
        <f t="shared" ref="F158:T158" si="43">F48+F95+F104+F114+F140+F153+F157</f>
        <v>0</v>
      </c>
      <c r="G158" s="607">
        <f t="shared" si="43"/>
        <v>23787.678500000002</v>
      </c>
      <c r="H158" s="607">
        <f t="shared" si="43"/>
        <v>7038.286413249999</v>
      </c>
      <c r="I158" s="607">
        <f>I48+I95+I104+I114+I140+I153+I157</f>
        <v>2687.1974755385545</v>
      </c>
      <c r="J158" s="607">
        <f t="shared" si="43"/>
        <v>2925.7300721570491</v>
      </c>
      <c r="K158" s="607">
        <f t="shared" si="43"/>
        <v>2963.1926452650555</v>
      </c>
      <c r="L158" s="607">
        <f t="shared" si="43"/>
        <v>3016.8693805735807</v>
      </c>
      <c r="M158" s="607">
        <f t="shared" si="43"/>
        <v>3298.2051138739662</v>
      </c>
      <c r="N158" s="607">
        <f t="shared" si="43"/>
        <v>2994.4414679128022</v>
      </c>
      <c r="O158" s="607">
        <f t="shared" si="43"/>
        <v>3186.3923345367557</v>
      </c>
      <c r="P158" s="607">
        <f t="shared" si="43"/>
        <v>2866.5069802302846</v>
      </c>
      <c r="Q158" s="607">
        <f t="shared" si="43"/>
        <v>3032.2768279459965</v>
      </c>
      <c r="R158" s="607">
        <f t="shared" si="43"/>
        <v>3161.0679180581046</v>
      </c>
      <c r="S158" s="607">
        <f t="shared" si="43"/>
        <v>3085.0873572849805</v>
      </c>
      <c r="T158" s="607">
        <f t="shared" si="43"/>
        <v>3349.2035075471244</v>
      </c>
      <c r="U158" s="609">
        <f>U48+U95+U104+U114+U140+U153+U157</f>
        <v>36566.171080924258</v>
      </c>
      <c r="V158" s="616"/>
      <c r="W158" s="64"/>
    </row>
    <row r="159" spans="3:23" x14ac:dyDescent="0.25">
      <c r="U159" s="509"/>
    </row>
    <row r="160" spans="3:23" x14ac:dyDescent="0.25">
      <c r="D160" s="22"/>
      <c r="E160" s="22"/>
      <c r="F160" s="22"/>
      <c r="G160" s="22"/>
      <c r="H160" s="22"/>
      <c r="I160" s="22"/>
    </row>
    <row r="161" spans="4:21" x14ac:dyDescent="0.25">
      <c r="D161" s="24"/>
      <c r="E161" s="24"/>
      <c r="F161" s="24"/>
      <c r="G161" s="24"/>
      <c r="H161" s="24"/>
      <c r="I161" s="24"/>
      <c r="U161" s="506"/>
    </row>
    <row r="162" spans="4:21" x14ac:dyDescent="0.25">
      <c r="E162" s="24"/>
      <c r="F162" s="24"/>
      <c r="G162" s="24"/>
      <c r="H162" s="24"/>
      <c r="I162" s="24"/>
    </row>
    <row r="163" spans="4:21" x14ac:dyDescent="0.25">
      <c r="E163" s="24"/>
      <c r="F163" s="24"/>
      <c r="G163" s="24"/>
      <c r="H163" s="24"/>
      <c r="I163" s="24"/>
    </row>
  </sheetData>
  <mergeCells count="34">
    <mergeCell ref="C9:C26"/>
    <mergeCell ref="C29:C46"/>
    <mergeCell ref="C51:C59"/>
    <mergeCell ref="C94:D94"/>
    <mergeCell ref="E4:E6"/>
    <mergeCell ref="C48:D48"/>
    <mergeCell ref="C49:D49"/>
    <mergeCell ref="C50:D50"/>
    <mergeCell ref="C47:D47"/>
    <mergeCell ref="C27:D27"/>
    <mergeCell ref="C28:D28"/>
    <mergeCell ref="C80:C83"/>
    <mergeCell ref="C78:D78"/>
    <mergeCell ref="C79:D79"/>
    <mergeCell ref="F4:F6"/>
    <mergeCell ref="I4:U4"/>
    <mergeCell ref="C7:D7"/>
    <mergeCell ref="C8:D8"/>
    <mergeCell ref="G4:G6"/>
    <mergeCell ref="H4:H6"/>
    <mergeCell ref="C4:C6"/>
    <mergeCell ref="D4:D6"/>
    <mergeCell ref="C158:D158"/>
    <mergeCell ref="C95:D95"/>
    <mergeCell ref="C96:D96"/>
    <mergeCell ref="C104:D104"/>
    <mergeCell ref="C105:D105"/>
    <mergeCell ref="C114:D114"/>
    <mergeCell ref="C115:D115"/>
    <mergeCell ref="C140:D140"/>
    <mergeCell ref="C141:D141"/>
    <mergeCell ref="C153:D153"/>
    <mergeCell ref="C154:D154"/>
    <mergeCell ref="C157:D157"/>
  </mergeCells>
  <pageMargins left="0.7" right="0.7" top="0.75" bottom="0.75" header="0.3" footer="0.3"/>
  <pageSetup paperSize="9" scale="4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W162"/>
  <sheetViews>
    <sheetView showGridLines="0" topLeftCell="A100" zoomScale="70" zoomScaleNormal="70" workbookViewId="0">
      <selection activeCell="N30" sqref="N30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22.33203125" style="4" customWidth="1"/>
    <col min="4" max="4" width="41.33203125" style="4" customWidth="1"/>
    <col min="5" max="7" width="16.44140625" style="4" customWidth="1"/>
    <col min="8" max="8" width="16.6640625" style="4" customWidth="1"/>
    <col min="9" max="9" width="13.6640625" style="4" bestFit="1" customWidth="1"/>
    <col min="10" max="10" width="12.5546875" style="4" bestFit="1" customWidth="1"/>
    <col min="11" max="11" width="13.44140625" style="4" bestFit="1" customWidth="1"/>
    <col min="12" max="12" width="13.6640625" style="4" bestFit="1" customWidth="1"/>
    <col min="13" max="13" width="12.5546875" style="4" bestFit="1" customWidth="1"/>
    <col min="14" max="14" width="14.6640625" style="4" customWidth="1"/>
    <col min="15" max="15" width="12.5546875" style="4" customWidth="1"/>
    <col min="16" max="16" width="11.6640625" style="4" bestFit="1" customWidth="1"/>
    <col min="17" max="17" width="13.6640625" style="4" bestFit="1" customWidth="1"/>
    <col min="18" max="20" width="11.6640625" style="4" bestFit="1" customWidth="1"/>
    <col min="21" max="21" width="11.44140625" style="4" bestFit="1" customWidth="1"/>
    <col min="22" max="22" width="12.44140625" style="4" customWidth="1"/>
    <col min="23" max="23" width="12.6640625" style="4" customWidth="1"/>
    <col min="24" max="16384" width="9.33203125" style="4"/>
  </cols>
  <sheetData>
    <row r="2" spans="2:23" x14ac:dyDescent="0.25">
      <c r="I2" s="23" t="s">
        <v>38</v>
      </c>
    </row>
    <row r="3" spans="2:23" x14ac:dyDescent="0.25">
      <c r="I3" s="25" t="s">
        <v>454</v>
      </c>
    </row>
    <row r="4" spans="2:23" ht="15" customHeight="1" x14ac:dyDescent="0.25">
      <c r="C4" s="762" t="s">
        <v>346</v>
      </c>
      <c r="D4" s="762" t="s">
        <v>347</v>
      </c>
      <c r="E4" s="758" t="s">
        <v>430</v>
      </c>
      <c r="F4" s="758" t="s">
        <v>431</v>
      </c>
      <c r="G4" s="758" t="s">
        <v>432</v>
      </c>
      <c r="H4" s="758" t="s">
        <v>433</v>
      </c>
      <c r="I4" s="768" t="s">
        <v>258</v>
      </c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</row>
    <row r="5" spans="2:23" x14ac:dyDescent="0.25">
      <c r="C5" s="764"/>
      <c r="D5" s="764"/>
      <c r="E5" s="792"/>
      <c r="F5" s="792"/>
      <c r="G5" s="792"/>
      <c r="H5" s="792"/>
      <c r="I5" s="13" t="s">
        <v>239</v>
      </c>
      <c r="J5" s="13" t="s">
        <v>240</v>
      </c>
      <c r="K5" s="13" t="s">
        <v>241</v>
      </c>
      <c r="L5" s="13" t="s">
        <v>242</v>
      </c>
      <c r="M5" s="13" t="s">
        <v>243</v>
      </c>
      <c r="N5" s="13" t="s">
        <v>244</v>
      </c>
      <c r="O5" s="13" t="s">
        <v>245</v>
      </c>
      <c r="P5" s="13" t="s">
        <v>246</v>
      </c>
      <c r="Q5" s="13" t="s">
        <v>247</v>
      </c>
      <c r="R5" s="13" t="s">
        <v>248</v>
      </c>
      <c r="S5" s="13" t="s">
        <v>249</v>
      </c>
      <c r="T5" s="13" t="s">
        <v>250</v>
      </c>
      <c r="U5" s="13" t="s">
        <v>251</v>
      </c>
    </row>
    <row r="6" spans="2:23" ht="14.25" customHeight="1" x14ac:dyDescent="0.25">
      <c r="C6" s="766"/>
      <c r="D6" s="766"/>
      <c r="E6" s="793"/>
      <c r="F6" s="793"/>
      <c r="G6" s="793"/>
      <c r="H6" s="793"/>
      <c r="I6" s="66">
        <v>30</v>
      </c>
      <c r="J6" s="66">
        <v>31</v>
      </c>
      <c r="K6" s="66">
        <v>30</v>
      </c>
      <c r="L6" s="66">
        <v>31</v>
      </c>
      <c r="M6" s="66">
        <v>31</v>
      </c>
      <c r="N6" s="66">
        <v>30</v>
      </c>
      <c r="O6" s="66">
        <v>31</v>
      </c>
      <c r="P6" s="66">
        <v>30</v>
      </c>
      <c r="Q6" s="66">
        <v>31</v>
      </c>
      <c r="R6" s="66">
        <v>31</v>
      </c>
      <c r="S6" s="66">
        <v>28</v>
      </c>
      <c r="T6" s="66">
        <v>31</v>
      </c>
      <c r="U6" s="66"/>
    </row>
    <row r="7" spans="2:23" x14ac:dyDescent="0.25">
      <c r="B7" s="60"/>
      <c r="C7" s="800" t="s">
        <v>348</v>
      </c>
      <c r="D7" s="801"/>
      <c r="E7" s="59"/>
      <c r="F7" s="59"/>
      <c r="G7" s="58"/>
      <c r="H7" s="59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2:23" x14ac:dyDescent="0.25">
      <c r="C8" s="753" t="s">
        <v>349</v>
      </c>
      <c r="D8" s="754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2:23" ht="14.25" customHeight="1" x14ac:dyDescent="0.25">
      <c r="B9" s="60"/>
      <c r="C9" s="802" t="s">
        <v>350</v>
      </c>
      <c r="D9" s="59" t="s">
        <v>351</v>
      </c>
      <c r="E9" s="109">
        <v>500</v>
      </c>
      <c r="F9" s="109"/>
      <c r="G9" s="109">
        <f t="shared" ref="G9:G16" si="0">E9</f>
        <v>500</v>
      </c>
      <c r="H9" s="109">
        <f>G9*0.2945</f>
        <v>147.25</v>
      </c>
      <c r="I9" s="66">
        <f t="shared" ref="I9:T15" si="1">$H9*0.85*I$6*24/1000</f>
        <v>90.117000000000004</v>
      </c>
      <c r="J9" s="66">
        <f t="shared" si="1"/>
        <v>93.120899999999992</v>
      </c>
      <c r="K9" s="66">
        <f t="shared" si="1"/>
        <v>90.117000000000004</v>
      </c>
      <c r="L9" s="66">
        <f t="shared" si="1"/>
        <v>93.120899999999992</v>
      </c>
      <c r="M9" s="66">
        <f t="shared" si="1"/>
        <v>93.120899999999992</v>
      </c>
      <c r="N9" s="66">
        <f t="shared" si="1"/>
        <v>90.117000000000004</v>
      </c>
      <c r="O9" s="66">
        <f t="shared" si="1"/>
        <v>93.120899999999992</v>
      </c>
      <c r="P9" s="66">
        <f t="shared" si="1"/>
        <v>90.117000000000004</v>
      </c>
      <c r="Q9" s="66">
        <f t="shared" si="1"/>
        <v>93.120899999999992</v>
      </c>
      <c r="R9" s="66">
        <f t="shared" si="1"/>
        <v>93.120899999999992</v>
      </c>
      <c r="S9" s="66">
        <f t="shared" si="1"/>
        <v>84.109200000000001</v>
      </c>
      <c r="T9" s="66">
        <f t="shared" si="1"/>
        <v>93.120899999999992</v>
      </c>
      <c r="U9" s="17">
        <f>+SUM(I9:T9)</f>
        <v>1096.4234999999999</v>
      </c>
      <c r="V9" s="4">
        <v>1097</v>
      </c>
      <c r="W9" s="64">
        <f t="shared" ref="W9:W16" si="2">V9-U9</f>
        <v>0.57650000000012369</v>
      </c>
    </row>
    <row r="10" spans="2:23" ht="14.25" customHeight="1" x14ac:dyDescent="0.25">
      <c r="B10" s="60"/>
      <c r="C10" s="803"/>
      <c r="D10" s="59" t="s">
        <v>352</v>
      </c>
      <c r="E10" s="109">
        <v>500</v>
      </c>
      <c r="F10" s="109"/>
      <c r="G10" s="109">
        <f t="shared" si="0"/>
        <v>500</v>
      </c>
      <c r="H10" s="109">
        <f t="shared" ref="H10:H16" si="3">G10*0.2945</f>
        <v>147.25</v>
      </c>
      <c r="I10" s="66">
        <f t="shared" si="1"/>
        <v>90.117000000000004</v>
      </c>
      <c r="J10" s="66">
        <f t="shared" si="1"/>
        <v>93.120899999999992</v>
      </c>
      <c r="K10" s="66">
        <f t="shared" si="1"/>
        <v>90.117000000000004</v>
      </c>
      <c r="L10" s="66">
        <f t="shared" si="1"/>
        <v>93.120899999999992</v>
      </c>
      <c r="M10" s="66">
        <f t="shared" si="1"/>
        <v>93.120899999999992</v>
      </c>
      <c r="N10" s="66">
        <f t="shared" si="1"/>
        <v>90.117000000000004</v>
      </c>
      <c r="O10" s="66">
        <f t="shared" si="1"/>
        <v>93.120899999999992</v>
      </c>
      <c r="P10" s="66">
        <f t="shared" si="1"/>
        <v>90.117000000000004</v>
      </c>
      <c r="Q10" s="66">
        <f t="shared" si="1"/>
        <v>93.120899999999992</v>
      </c>
      <c r="R10" s="66">
        <f t="shared" si="1"/>
        <v>93.120899999999992</v>
      </c>
      <c r="S10" s="66">
        <f t="shared" si="1"/>
        <v>84.109200000000001</v>
      </c>
      <c r="T10" s="66">
        <f t="shared" si="1"/>
        <v>93.120899999999992</v>
      </c>
      <c r="U10" s="17">
        <f t="shared" ref="U10:U46" si="4">+SUM(I10:T10)</f>
        <v>1096.4234999999999</v>
      </c>
      <c r="V10" s="4">
        <v>1097</v>
      </c>
      <c r="W10" s="64">
        <f t="shared" si="2"/>
        <v>0.57650000000012369</v>
      </c>
    </row>
    <row r="11" spans="2:23" ht="14.25" customHeight="1" x14ac:dyDescent="0.25">
      <c r="B11" s="60"/>
      <c r="C11" s="803"/>
      <c r="D11" s="59" t="s">
        <v>353</v>
      </c>
      <c r="E11" s="109">
        <v>800</v>
      </c>
      <c r="F11" s="109"/>
      <c r="G11" s="109">
        <f t="shared" si="0"/>
        <v>800</v>
      </c>
      <c r="H11" s="109">
        <f t="shared" si="3"/>
        <v>235.6</v>
      </c>
      <c r="I11" s="66">
        <f t="shared" si="1"/>
        <v>144.18719999999999</v>
      </c>
      <c r="J11" s="66">
        <f t="shared" si="1"/>
        <v>148.99343999999999</v>
      </c>
      <c r="K11" s="66">
        <f t="shared" si="1"/>
        <v>144.18719999999999</v>
      </c>
      <c r="L11" s="66">
        <f t="shared" si="1"/>
        <v>148.99343999999999</v>
      </c>
      <c r="M11" s="66">
        <f t="shared" si="1"/>
        <v>148.99343999999999</v>
      </c>
      <c r="N11" s="66">
        <f t="shared" si="1"/>
        <v>144.18719999999999</v>
      </c>
      <c r="O11" s="66">
        <f t="shared" si="1"/>
        <v>148.99343999999999</v>
      </c>
      <c r="P11" s="66">
        <f t="shared" si="1"/>
        <v>144.18719999999999</v>
      </c>
      <c r="Q11" s="66">
        <f t="shared" si="1"/>
        <v>148.99343999999999</v>
      </c>
      <c r="R11" s="66">
        <f t="shared" si="1"/>
        <v>148.99343999999999</v>
      </c>
      <c r="S11" s="66">
        <f t="shared" si="1"/>
        <v>134.57472000000001</v>
      </c>
      <c r="T11" s="66">
        <f t="shared" si="1"/>
        <v>148.99343999999999</v>
      </c>
      <c r="U11" s="17">
        <f t="shared" si="4"/>
        <v>1754.2775999999999</v>
      </c>
      <c r="V11" s="4">
        <v>1754</v>
      </c>
      <c r="W11" s="64">
        <f t="shared" si="2"/>
        <v>-0.27759999999989304</v>
      </c>
    </row>
    <row r="12" spans="2:23" ht="14.25" customHeight="1" x14ac:dyDescent="0.25">
      <c r="B12" s="60"/>
      <c r="C12" s="803"/>
      <c r="D12" s="59" t="s">
        <v>354</v>
      </c>
      <c r="E12" s="109">
        <v>62.5</v>
      </c>
      <c r="F12" s="109"/>
      <c r="G12" s="109">
        <f t="shared" si="0"/>
        <v>62.5</v>
      </c>
      <c r="H12" s="109">
        <f t="shared" si="3"/>
        <v>18.40625</v>
      </c>
      <c r="I12" s="66">
        <f t="shared" si="1"/>
        <v>11.264625000000001</v>
      </c>
      <c r="J12" s="66">
        <f t="shared" si="1"/>
        <v>11.640112499999999</v>
      </c>
      <c r="K12" s="66">
        <f t="shared" si="1"/>
        <v>11.264625000000001</v>
      </c>
      <c r="L12" s="66">
        <f t="shared" si="1"/>
        <v>11.640112499999999</v>
      </c>
      <c r="M12" s="66">
        <f t="shared" si="1"/>
        <v>11.640112499999999</v>
      </c>
      <c r="N12" s="66">
        <f t="shared" si="1"/>
        <v>11.264625000000001</v>
      </c>
      <c r="O12" s="66">
        <f t="shared" si="1"/>
        <v>11.640112499999999</v>
      </c>
      <c r="P12" s="66">
        <f t="shared" si="1"/>
        <v>11.264625000000001</v>
      </c>
      <c r="Q12" s="66">
        <f t="shared" si="1"/>
        <v>11.640112499999999</v>
      </c>
      <c r="R12" s="66">
        <f t="shared" si="1"/>
        <v>11.640112499999999</v>
      </c>
      <c r="S12" s="66">
        <f t="shared" si="1"/>
        <v>10.51365</v>
      </c>
      <c r="T12" s="66">
        <f t="shared" si="1"/>
        <v>11.640112499999999</v>
      </c>
      <c r="U12" s="17">
        <f t="shared" si="4"/>
        <v>137.05293749999998</v>
      </c>
      <c r="V12" s="4">
        <v>137</v>
      </c>
      <c r="W12" s="64">
        <f t="shared" si="2"/>
        <v>-5.2937499999984539E-2</v>
      </c>
    </row>
    <row r="13" spans="2:23" ht="14.25" customHeight="1" x14ac:dyDescent="0.25">
      <c r="B13" s="60"/>
      <c r="C13" s="803"/>
      <c r="D13" s="59" t="s">
        <v>355</v>
      </c>
      <c r="E13" s="109">
        <v>500</v>
      </c>
      <c r="F13" s="109"/>
      <c r="G13" s="109">
        <f t="shared" si="0"/>
        <v>500</v>
      </c>
      <c r="H13" s="109">
        <f t="shared" si="3"/>
        <v>147.25</v>
      </c>
      <c r="I13" s="66">
        <f t="shared" si="1"/>
        <v>90.117000000000004</v>
      </c>
      <c r="J13" s="66">
        <f t="shared" si="1"/>
        <v>93.120899999999992</v>
      </c>
      <c r="K13" s="66">
        <f t="shared" si="1"/>
        <v>90.117000000000004</v>
      </c>
      <c r="L13" s="66">
        <f t="shared" si="1"/>
        <v>93.120899999999992</v>
      </c>
      <c r="M13" s="66">
        <f t="shared" si="1"/>
        <v>93.120899999999992</v>
      </c>
      <c r="N13" s="66">
        <f t="shared" si="1"/>
        <v>90.117000000000004</v>
      </c>
      <c r="O13" s="66">
        <f t="shared" si="1"/>
        <v>93.120899999999992</v>
      </c>
      <c r="P13" s="66">
        <f t="shared" si="1"/>
        <v>90.117000000000004</v>
      </c>
      <c r="Q13" s="66">
        <f t="shared" si="1"/>
        <v>93.120899999999992</v>
      </c>
      <c r="R13" s="66">
        <f t="shared" si="1"/>
        <v>93.120899999999992</v>
      </c>
      <c r="S13" s="66">
        <f t="shared" si="1"/>
        <v>84.109200000000001</v>
      </c>
      <c r="T13" s="66">
        <f t="shared" si="1"/>
        <v>93.120899999999992</v>
      </c>
      <c r="U13" s="17">
        <f t="shared" si="4"/>
        <v>1096.4234999999999</v>
      </c>
      <c r="V13" s="4">
        <v>1097</v>
      </c>
      <c r="W13" s="64">
        <f t="shared" si="2"/>
        <v>0.57650000000012369</v>
      </c>
    </row>
    <row r="14" spans="2:23" ht="14.25" customHeight="1" x14ac:dyDescent="0.25">
      <c r="B14" s="60"/>
      <c r="C14" s="803"/>
      <c r="D14" s="59" t="s">
        <v>356</v>
      </c>
      <c r="E14" s="109">
        <v>600</v>
      </c>
      <c r="F14" s="109"/>
      <c r="G14" s="109">
        <f t="shared" si="0"/>
        <v>600</v>
      </c>
      <c r="H14" s="109">
        <f t="shared" si="3"/>
        <v>176.7</v>
      </c>
      <c r="I14" s="66">
        <f t="shared" si="1"/>
        <v>108.1404</v>
      </c>
      <c r="J14" s="66">
        <f t="shared" si="1"/>
        <v>111.74508</v>
      </c>
      <c r="K14" s="66">
        <f t="shared" si="1"/>
        <v>108.1404</v>
      </c>
      <c r="L14" s="66">
        <f t="shared" si="1"/>
        <v>111.74508</v>
      </c>
      <c r="M14" s="66">
        <f t="shared" si="1"/>
        <v>111.74508</v>
      </c>
      <c r="N14" s="66">
        <f t="shared" si="1"/>
        <v>108.1404</v>
      </c>
      <c r="O14" s="66">
        <f t="shared" si="1"/>
        <v>111.74508</v>
      </c>
      <c r="P14" s="66">
        <f t="shared" si="1"/>
        <v>108.1404</v>
      </c>
      <c r="Q14" s="66">
        <f t="shared" si="1"/>
        <v>111.74508</v>
      </c>
      <c r="R14" s="66">
        <f t="shared" si="1"/>
        <v>111.74508</v>
      </c>
      <c r="S14" s="66">
        <f t="shared" si="1"/>
        <v>100.93104000000001</v>
      </c>
      <c r="T14" s="66">
        <f t="shared" si="1"/>
        <v>111.74508</v>
      </c>
      <c r="U14" s="17">
        <f t="shared" si="4"/>
        <v>1315.7082</v>
      </c>
      <c r="V14" s="4">
        <v>1316</v>
      </c>
      <c r="W14" s="64">
        <f t="shared" si="2"/>
        <v>0.29179999999996653</v>
      </c>
    </row>
    <row r="15" spans="2:23" ht="14.25" customHeight="1" x14ac:dyDescent="0.25">
      <c r="B15" s="60"/>
      <c r="C15" s="803"/>
      <c r="D15" s="59" t="s">
        <v>357</v>
      </c>
      <c r="E15" s="109">
        <v>1080</v>
      </c>
      <c r="F15" s="109"/>
      <c r="G15" s="109">
        <f t="shared" si="0"/>
        <v>1080</v>
      </c>
      <c r="H15" s="109">
        <f t="shared" si="3"/>
        <v>318.06</v>
      </c>
      <c r="I15" s="66">
        <f t="shared" si="1"/>
        <v>194.65271999999999</v>
      </c>
      <c r="J15" s="66">
        <f t="shared" si="1"/>
        <v>201.14114399999997</v>
      </c>
      <c r="K15" s="66">
        <f t="shared" si="1"/>
        <v>194.65271999999999</v>
      </c>
      <c r="L15" s="66">
        <f t="shared" si="1"/>
        <v>201.14114399999997</v>
      </c>
      <c r="M15" s="66">
        <f t="shared" si="1"/>
        <v>201.14114399999997</v>
      </c>
      <c r="N15" s="66">
        <f t="shared" si="1"/>
        <v>194.65271999999999</v>
      </c>
      <c r="O15" s="66">
        <f t="shared" si="1"/>
        <v>201.14114399999997</v>
      </c>
      <c r="P15" s="66">
        <f t="shared" si="1"/>
        <v>194.65271999999999</v>
      </c>
      <c r="Q15" s="66">
        <f t="shared" si="1"/>
        <v>201.14114399999997</v>
      </c>
      <c r="R15" s="66">
        <f t="shared" si="1"/>
        <v>201.14114399999997</v>
      </c>
      <c r="S15" s="66">
        <f t="shared" si="1"/>
        <v>181.67587199999997</v>
      </c>
      <c r="T15" s="66">
        <f t="shared" si="1"/>
        <v>201.14114399999997</v>
      </c>
      <c r="U15" s="17">
        <f t="shared" si="4"/>
        <v>2368.2747599999998</v>
      </c>
      <c r="V15" s="4">
        <v>2368</v>
      </c>
      <c r="W15" s="64">
        <f t="shared" si="2"/>
        <v>-0.2747599999997874</v>
      </c>
    </row>
    <row r="16" spans="2:23" ht="14.25" customHeight="1" x14ac:dyDescent="0.25">
      <c r="B16" s="60"/>
      <c r="C16" s="803"/>
      <c r="D16" s="59" t="s">
        <v>358</v>
      </c>
      <c r="E16" s="109">
        <v>4000</v>
      </c>
      <c r="F16" s="109"/>
      <c r="G16" s="109">
        <f t="shared" si="0"/>
        <v>4000</v>
      </c>
      <c r="H16" s="109">
        <f t="shared" si="3"/>
        <v>1178</v>
      </c>
      <c r="I16" s="66">
        <f>$H16*0.8526*I$6*24/1000</f>
        <v>723.14121599999999</v>
      </c>
      <c r="J16" s="66">
        <f t="shared" ref="J16:T16" si="5">$H16*0.8526*J$6*24/1000</f>
        <v>747.24592320000011</v>
      </c>
      <c r="K16" s="66">
        <f t="shared" si="5"/>
        <v>723.14121599999999</v>
      </c>
      <c r="L16" s="66">
        <f t="shared" si="5"/>
        <v>747.24592320000011</v>
      </c>
      <c r="M16" s="66">
        <f t="shared" si="5"/>
        <v>747.24592320000011</v>
      </c>
      <c r="N16" s="66">
        <f t="shared" si="5"/>
        <v>723.14121599999999</v>
      </c>
      <c r="O16" s="66">
        <f t="shared" si="5"/>
        <v>747.24592320000011</v>
      </c>
      <c r="P16" s="66">
        <f t="shared" si="5"/>
        <v>723.14121599999999</v>
      </c>
      <c r="Q16" s="66">
        <f t="shared" si="5"/>
        <v>747.24592320000011</v>
      </c>
      <c r="R16" s="66">
        <f t="shared" si="5"/>
        <v>747.24592320000011</v>
      </c>
      <c r="S16" s="66">
        <f t="shared" si="5"/>
        <v>674.93180159999997</v>
      </c>
      <c r="T16" s="66">
        <f t="shared" si="5"/>
        <v>747.24592320000011</v>
      </c>
      <c r="U16" s="17">
        <f t="shared" si="4"/>
        <v>8798.2181280000004</v>
      </c>
      <c r="V16" s="4">
        <v>8798</v>
      </c>
      <c r="W16" s="429">
        <f t="shared" si="2"/>
        <v>-0.21812800000043353</v>
      </c>
    </row>
    <row r="17" spans="2:23" ht="14.25" customHeight="1" x14ac:dyDescent="0.25">
      <c r="B17" s="60"/>
      <c r="C17" s="803"/>
      <c r="D17" s="59"/>
      <c r="E17" s="59"/>
      <c r="F17" s="59"/>
      <c r="G17" s="59"/>
      <c r="H17" s="59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f t="shared" si="4"/>
        <v>0</v>
      </c>
    </row>
    <row r="18" spans="2:23" ht="14.25" customHeight="1" x14ac:dyDescent="0.25">
      <c r="B18" s="60"/>
      <c r="C18" s="803"/>
      <c r="D18" s="59"/>
      <c r="E18" s="59"/>
      <c r="F18" s="59"/>
      <c r="G18" s="59"/>
      <c r="H18" s="59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>
        <f t="shared" si="4"/>
        <v>0</v>
      </c>
    </row>
    <row r="19" spans="2:23" ht="14.25" customHeight="1" x14ac:dyDescent="0.25">
      <c r="B19" s="60"/>
      <c r="C19" s="803"/>
      <c r="D19" s="59"/>
      <c r="E19" s="59"/>
      <c r="F19" s="59"/>
      <c r="G19" s="59"/>
      <c r="H19" s="59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>
        <f t="shared" si="4"/>
        <v>0</v>
      </c>
    </row>
    <row r="20" spans="2:23" ht="14.25" customHeight="1" x14ac:dyDescent="0.25">
      <c r="B20" s="60"/>
      <c r="C20" s="803"/>
      <c r="D20" s="59"/>
      <c r="E20" s="59"/>
      <c r="F20" s="59"/>
      <c r="G20" s="59"/>
      <c r="H20" s="59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>
        <f t="shared" si="4"/>
        <v>0</v>
      </c>
    </row>
    <row r="21" spans="2:23" ht="14.25" customHeight="1" x14ac:dyDescent="0.25">
      <c r="B21" s="60"/>
      <c r="C21" s="803"/>
      <c r="D21" s="59"/>
      <c r="E21" s="59"/>
      <c r="F21" s="59"/>
      <c r="G21" s="59"/>
      <c r="H21" s="59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>
        <f t="shared" si="4"/>
        <v>0</v>
      </c>
    </row>
    <row r="22" spans="2:23" ht="14.25" customHeight="1" x14ac:dyDescent="0.25">
      <c r="B22" s="60"/>
      <c r="C22" s="803"/>
      <c r="D22" s="59"/>
      <c r="E22" s="59"/>
      <c r="F22" s="59"/>
      <c r="G22" s="59"/>
      <c r="H22" s="59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>
        <f t="shared" si="4"/>
        <v>0</v>
      </c>
    </row>
    <row r="23" spans="2:23" ht="14.25" customHeight="1" x14ac:dyDescent="0.25">
      <c r="B23" s="60"/>
      <c r="C23" s="803"/>
      <c r="D23" s="59"/>
      <c r="E23" s="59"/>
      <c r="F23" s="59"/>
      <c r="G23" s="59"/>
      <c r="H23" s="59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>
        <f t="shared" si="4"/>
        <v>0</v>
      </c>
    </row>
    <row r="24" spans="2:23" ht="14.25" customHeight="1" x14ac:dyDescent="0.25">
      <c r="B24" s="60"/>
      <c r="C24" s="803"/>
      <c r="D24" s="59"/>
      <c r="E24" s="59"/>
      <c r="F24" s="59"/>
      <c r="G24" s="59"/>
      <c r="H24" s="5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>
        <f t="shared" si="4"/>
        <v>0</v>
      </c>
    </row>
    <row r="25" spans="2:23" ht="14.25" customHeight="1" x14ac:dyDescent="0.25">
      <c r="B25" s="60"/>
      <c r="C25" s="803"/>
      <c r="D25" s="59"/>
      <c r="E25" s="59"/>
      <c r="F25" s="59"/>
      <c r="G25" s="59"/>
      <c r="H25" s="5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>
        <f t="shared" si="4"/>
        <v>0</v>
      </c>
    </row>
    <row r="26" spans="2:23" ht="14.25" customHeight="1" x14ac:dyDescent="0.25">
      <c r="B26" s="60"/>
      <c r="C26" s="804"/>
      <c r="D26" s="59"/>
      <c r="E26" s="59"/>
      <c r="F26" s="59"/>
      <c r="G26" s="59"/>
      <c r="H26" s="59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>
        <f t="shared" si="4"/>
        <v>0</v>
      </c>
    </row>
    <row r="27" spans="2:23" x14ac:dyDescent="0.25">
      <c r="C27" s="751" t="s">
        <v>212</v>
      </c>
      <c r="D27" s="752"/>
      <c r="E27" s="17">
        <f>SUM(E9:E26)</f>
        <v>8042.5</v>
      </c>
      <c r="F27" s="17">
        <f t="shared" ref="F27:T27" si="6">SUM(F9:F26)</f>
        <v>0</v>
      </c>
      <c r="G27" s="17">
        <f t="shared" si="6"/>
        <v>8042.5</v>
      </c>
      <c r="H27" s="17">
        <f t="shared" si="6"/>
        <v>2368.5162499999997</v>
      </c>
      <c r="I27" s="17">
        <f t="shared" si="6"/>
        <v>1451.737161</v>
      </c>
      <c r="J27" s="17">
        <f t="shared" si="6"/>
        <v>1500.1283997</v>
      </c>
      <c r="K27" s="17">
        <f t="shared" si="6"/>
        <v>1451.737161</v>
      </c>
      <c r="L27" s="17">
        <f t="shared" si="6"/>
        <v>1500.1283997</v>
      </c>
      <c r="M27" s="17">
        <f t="shared" si="6"/>
        <v>1500.1283997</v>
      </c>
      <c r="N27" s="17">
        <f t="shared" si="6"/>
        <v>1451.737161</v>
      </c>
      <c r="O27" s="17">
        <f t="shared" si="6"/>
        <v>1500.1283997</v>
      </c>
      <c r="P27" s="17">
        <f t="shared" si="6"/>
        <v>1451.737161</v>
      </c>
      <c r="Q27" s="17">
        <f t="shared" si="6"/>
        <v>1500.1283997</v>
      </c>
      <c r="R27" s="17">
        <f t="shared" si="6"/>
        <v>1500.1283997</v>
      </c>
      <c r="S27" s="17">
        <f t="shared" si="6"/>
        <v>1354.9546836</v>
      </c>
      <c r="T27" s="17">
        <f t="shared" si="6"/>
        <v>1500.1283997</v>
      </c>
      <c r="U27" s="86">
        <f>SUM(I27:T27)</f>
        <v>17662.802125499999</v>
      </c>
      <c r="V27" s="427">
        <v>17663</v>
      </c>
      <c r="W27" s="64">
        <f t="shared" ref="W27" si="7">V27-U27</f>
        <v>0.19787450000148965</v>
      </c>
    </row>
    <row r="28" spans="2:23" x14ac:dyDescent="0.25">
      <c r="C28" s="753" t="s">
        <v>359</v>
      </c>
      <c r="D28" s="75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2:23" x14ac:dyDescent="0.25">
      <c r="C29" s="805" t="s">
        <v>350</v>
      </c>
      <c r="D29" s="17" t="s">
        <v>360</v>
      </c>
      <c r="E29" s="111">
        <v>234</v>
      </c>
      <c r="F29" s="17"/>
      <c r="G29" s="111">
        <f>117</f>
        <v>117</v>
      </c>
      <c r="H29" s="17">
        <f t="shared" ref="H29:H36" si="8">G29*0.2945</f>
        <v>34.456499999999998</v>
      </c>
      <c r="I29" s="66">
        <f>'F11-Year(n+3) '!E30</f>
        <v>5.7004370762393624</v>
      </c>
      <c r="J29" s="66">
        <f>'F11-Year(n+3) '!F30</f>
        <v>6.1084081447289105</v>
      </c>
      <c r="K29" s="66">
        <f>'F11-Year(n+3) '!G30</f>
        <v>6.3286066331471797</v>
      </c>
      <c r="L29" s="66">
        <f>'F11-Year(n+3) '!H30</f>
        <v>13.835763867211057</v>
      </c>
      <c r="M29" s="66">
        <f>'F11-Year(n+3) '!I30</f>
        <v>32.483847826681092</v>
      </c>
      <c r="N29" s="66">
        <f>'F11-Year(n+3) '!J30</f>
        <v>16.40649903796351</v>
      </c>
      <c r="O29" s="66">
        <f>'F11-Year(n+3) '!K30</f>
        <v>18.084112025119161</v>
      </c>
      <c r="P29" s="66">
        <f>'F11-Year(n+3) '!L30</f>
        <v>6.2024766316900024</v>
      </c>
      <c r="Q29" s="66">
        <f>'F11-Year(n+3) '!M30</f>
        <v>10.640379612849198</v>
      </c>
      <c r="R29" s="66">
        <f>'F11-Year(n+3) '!N30</f>
        <v>20.303308016827735</v>
      </c>
      <c r="S29" s="66">
        <f>'F11-Year(n+3) '!O30</f>
        <v>18.234640409837617</v>
      </c>
      <c r="T29" s="66">
        <f>'F11-Year(n+3) '!P30</f>
        <v>8.4700415486702987</v>
      </c>
      <c r="U29" s="17">
        <f t="shared" si="4"/>
        <v>162.79852083096515</v>
      </c>
    </row>
    <row r="30" spans="2:23" x14ac:dyDescent="0.25">
      <c r="C30" s="806"/>
      <c r="D30" s="17" t="s">
        <v>361</v>
      </c>
      <c r="E30" s="66">
        <v>875.6</v>
      </c>
      <c r="F30" s="17"/>
      <c r="G30" s="66">
        <v>875.6</v>
      </c>
      <c r="H30" s="17">
        <f t="shared" si="8"/>
        <v>257.86419999999998</v>
      </c>
      <c r="I30" s="66">
        <f>'F11-Year(n+3) '!E31</f>
        <v>19.868702903336853</v>
      </c>
      <c r="J30" s="66">
        <f>'F11-Year(n+3) '!F31</f>
        <v>21.290673858294443</v>
      </c>
      <c r="K30" s="66">
        <f>'F11-Year(n+3) '!G31</f>
        <v>22.058169102542049</v>
      </c>
      <c r="L30" s="66">
        <f>'F11-Year(n+3) '!H31</f>
        <v>48.224141068792036</v>
      </c>
      <c r="M30" s="66">
        <f>'F11-Year(n+3) '!I31</f>
        <v>113.22147986085938</v>
      </c>
      <c r="N30" s="66">
        <f>'F11-Year(n+3) '!J31</f>
        <v>57.184361604115537</v>
      </c>
      <c r="O30" s="66">
        <f>'F11-Year(n+3) '!K31</f>
        <v>63.031631485842681</v>
      </c>
      <c r="P30" s="66">
        <f>'F11-Year(n+3) '!L31</f>
        <v>21.618546755582763</v>
      </c>
      <c r="Q30" s="66">
        <f>'F11-Year(n+3) '!M31</f>
        <v>37.086724838631639</v>
      </c>
      <c r="R30" s="66">
        <f>'F11-Year(n+3) '!N31</f>
        <v>70.766572728738055</v>
      </c>
      <c r="S30" s="66">
        <f>'F11-Year(n+3) '!O31</f>
        <v>63.556293667793</v>
      </c>
      <c r="T30" s="66">
        <f>'F11-Year(n+3) '!P31</f>
        <v>29.522076440579042</v>
      </c>
      <c r="U30" s="17">
        <f t="shared" si="4"/>
        <v>567.42937431510745</v>
      </c>
    </row>
    <row r="31" spans="2:23" x14ac:dyDescent="0.25">
      <c r="C31" s="806"/>
      <c r="D31" s="17" t="s">
        <v>362</v>
      </c>
      <c r="E31" s="111">
        <v>900</v>
      </c>
      <c r="F31" s="17"/>
      <c r="G31" s="111">
        <v>900</v>
      </c>
      <c r="H31" s="17">
        <f t="shared" si="8"/>
        <v>265.05</v>
      </c>
      <c r="I31" s="66">
        <f>'F11-Year(n+3) '!E32</f>
        <v>21.924757985536012</v>
      </c>
      <c r="J31" s="66">
        <f>'F11-Year(n+3) '!F32</f>
        <v>23.493877479726585</v>
      </c>
      <c r="K31" s="66">
        <f>'F11-Year(n+3) '!G32</f>
        <v>24.340794742873776</v>
      </c>
      <c r="L31" s="66">
        <f>'F11-Year(n+3) '!H32</f>
        <v>53.214476412350209</v>
      </c>
      <c r="M31" s="66">
        <f>'F11-Year(n+3) '!I32</f>
        <v>124.93787625646576</v>
      </c>
      <c r="N31" s="66">
        <f>'F11-Year(n+3) '!J32</f>
        <v>63.101919376782732</v>
      </c>
      <c r="O31" s="66">
        <f>'F11-Year(n+3) '!K32</f>
        <v>69.554277019689081</v>
      </c>
      <c r="P31" s="66">
        <f>'F11-Year(n+3) '!L32</f>
        <v>23.855679352653858</v>
      </c>
      <c r="Q31" s="66">
        <f>'F11-Year(n+3) '!M32</f>
        <v>40.924536972496909</v>
      </c>
      <c r="R31" s="66">
        <f>'F11-Year(n+3) '!N32</f>
        <v>78.089646218568234</v>
      </c>
      <c r="S31" s="66">
        <f>'F11-Year(n+3) '!O32</f>
        <v>70.133232345529279</v>
      </c>
      <c r="T31" s="66">
        <f>'F11-Year(n+3) '!P32</f>
        <v>32.577082879501141</v>
      </c>
      <c r="U31" s="17">
        <f t="shared" si="4"/>
        <v>626.14815704217358</v>
      </c>
    </row>
    <row r="32" spans="2:23" x14ac:dyDescent="0.25">
      <c r="C32" s="806"/>
      <c r="D32" s="17" t="s">
        <v>363</v>
      </c>
      <c r="E32" s="111">
        <v>240</v>
      </c>
      <c r="F32" s="17"/>
      <c r="G32" s="111">
        <v>240</v>
      </c>
      <c r="H32" s="17">
        <f t="shared" si="8"/>
        <v>70.679999999999993</v>
      </c>
      <c r="I32" s="66">
        <f>'F11-Year(n+3) '!E33</f>
        <v>5.8466021294762687</v>
      </c>
      <c r="J32" s="66">
        <f>'F11-Year(n+3) '!F33</f>
        <v>6.2650339945937574</v>
      </c>
      <c r="K32" s="66">
        <f>'F11-Year(n+3) '!G33</f>
        <v>6.4908785980996733</v>
      </c>
      <c r="L32" s="66">
        <f>'F11-Year(n+3) '!H33</f>
        <v>14.190527043293393</v>
      </c>
      <c r="M32" s="66">
        <f>'F11-Year(n+3) '!I33</f>
        <v>33.316767001724209</v>
      </c>
      <c r="N32" s="66">
        <f>'F11-Year(n+3) '!J33</f>
        <v>16.827178500475394</v>
      </c>
      <c r="O32" s="66">
        <f>'F11-Year(n+3) '!K33</f>
        <v>18.547807205250425</v>
      </c>
      <c r="P32" s="66">
        <f>'F11-Year(n+3) '!L33</f>
        <v>6.3615144940410282</v>
      </c>
      <c r="Q32" s="66">
        <f>'F11-Year(n+3) '!M33</f>
        <v>10.913209859332515</v>
      </c>
      <c r="R32" s="66">
        <f>'F11-Year(n+3) '!N33</f>
        <v>20.823905658284865</v>
      </c>
      <c r="S32" s="66">
        <f>'F11-Year(n+3) '!O33</f>
        <v>18.702195292141145</v>
      </c>
      <c r="T32" s="66">
        <f>'F11-Year(n+3) '!P33</f>
        <v>8.687222101200307</v>
      </c>
      <c r="U32" s="17">
        <f t="shared" si="4"/>
        <v>166.972841877913</v>
      </c>
    </row>
    <row r="33" spans="3:22" x14ac:dyDescent="0.25">
      <c r="C33" s="806"/>
      <c r="D33" s="17" t="s">
        <v>364</v>
      </c>
      <c r="E33" s="111">
        <v>120</v>
      </c>
      <c r="F33" s="17"/>
      <c r="G33" s="111">
        <v>120</v>
      </c>
      <c r="H33" s="17">
        <f t="shared" si="8"/>
        <v>35.339999999999996</v>
      </c>
      <c r="I33" s="66">
        <f>'F11-Year(n+3) '!E34</f>
        <v>2.9233010647381334</v>
      </c>
      <c r="J33" s="66">
        <f>'F11-Year(n+3) '!F34</f>
        <v>3.1325169972968778</v>
      </c>
      <c r="K33" s="66">
        <f>'F11-Year(n+3) '!G34</f>
        <v>3.2454392990498366</v>
      </c>
      <c r="L33" s="66">
        <f>'F11-Year(n+3) '!H34</f>
        <v>7.0952635216466966</v>
      </c>
      <c r="M33" s="66">
        <f>'F11-Year(n+3) '!I34</f>
        <v>16.658383500862101</v>
      </c>
      <c r="N33" s="66">
        <f>'F11-Year(n+3) '!J34</f>
        <v>8.4135892502376954</v>
      </c>
      <c r="O33" s="66">
        <f>'F11-Year(n+3) '!K34</f>
        <v>9.2739036026252109</v>
      </c>
      <c r="P33" s="66">
        <f>'F11-Year(n+3) '!L34</f>
        <v>3.1807572470205141</v>
      </c>
      <c r="Q33" s="66">
        <f>'F11-Year(n+3) '!M34</f>
        <v>5.4566049296662555</v>
      </c>
      <c r="R33" s="66">
        <f>'F11-Year(n+3) '!N34</f>
        <v>10.411952829142429</v>
      </c>
      <c r="S33" s="66">
        <f>'F11-Year(n+3) '!O34</f>
        <v>9.3510976460705741</v>
      </c>
      <c r="T33" s="66">
        <f>'F11-Year(n+3) '!P34</f>
        <v>4.3436110506001526</v>
      </c>
      <c r="U33" s="17">
        <f t="shared" si="4"/>
        <v>83.486420938956485</v>
      </c>
    </row>
    <row r="34" spans="3:22" x14ac:dyDescent="0.25">
      <c r="C34" s="806"/>
      <c r="D34" s="17" t="s">
        <v>365</v>
      </c>
      <c r="E34" s="111">
        <v>9</v>
      </c>
      <c r="F34" s="17"/>
      <c r="G34" s="111">
        <v>9</v>
      </c>
      <c r="H34" s="17">
        <f t="shared" si="8"/>
        <v>2.6505000000000001</v>
      </c>
      <c r="I34" s="66">
        <f>'F11-Year(n+3) '!E35</f>
        <v>0.43849515971072006</v>
      </c>
      <c r="J34" s="66">
        <f>'F11-Year(n+3) '!F35</f>
        <v>0.46987754959453176</v>
      </c>
      <c r="K34" s="66">
        <f>'F11-Year(n+3) '!G35</f>
        <v>0.48681589485747545</v>
      </c>
      <c r="L34" s="66">
        <f>'F11-Year(n+3) '!H35</f>
        <v>1.0642895282470044</v>
      </c>
      <c r="M34" s="66">
        <f>'F11-Year(n+3) '!I35</f>
        <v>2.4987575251293155</v>
      </c>
      <c r="N34" s="66">
        <f>'F11-Year(n+3) '!J35</f>
        <v>1.2620383875356547</v>
      </c>
      <c r="O34" s="66">
        <f>'F11-Year(n+3) '!K35</f>
        <v>1.3910855403937816</v>
      </c>
      <c r="P34" s="66">
        <f>'F11-Year(n+3) '!L35</f>
        <v>0.47711358705307716</v>
      </c>
      <c r="Q34" s="66">
        <f>'F11-Year(n+3) '!M35</f>
        <v>0.81849073944993833</v>
      </c>
      <c r="R34" s="66">
        <f>'F11-Year(n+3) '!N35</f>
        <v>1.5617929243713649</v>
      </c>
      <c r="S34" s="66">
        <f>'F11-Year(n+3) '!O35</f>
        <v>1.4026646469105857</v>
      </c>
      <c r="T34" s="66">
        <f>'F11-Year(n+3) '!P35</f>
        <v>0.6515416575900228</v>
      </c>
      <c r="U34" s="17">
        <f t="shared" si="4"/>
        <v>12.522963140843471</v>
      </c>
    </row>
    <row r="35" spans="3:22" x14ac:dyDescent="0.25">
      <c r="C35" s="806"/>
      <c r="D35" s="17" t="s">
        <v>366</v>
      </c>
      <c r="E35" s="111">
        <v>54</v>
      </c>
      <c r="F35" s="17"/>
      <c r="G35" s="111">
        <v>54</v>
      </c>
      <c r="H35" s="17">
        <f t="shared" si="8"/>
        <v>15.902999999999999</v>
      </c>
      <c r="I35" s="66">
        <f>'F11-Year(n+3) '!E36</f>
        <v>1.4616505323690667</v>
      </c>
      <c r="J35" s="66">
        <f>'F11-Year(n+3) '!F36</f>
        <v>1.5662584986484389</v>
      </c>
      <c r="K35" s="66">
        <f>'F11-Year(n+3) '!G36</f>
        <v>1.6227196495249183</v>
      </c>
      <c r="L35" s="66">
        <f>'F11-Year(n+3) '!H36</f>
        <v>3.5476317608233483</v>
      </c>
      <c r="M35" s="66">
        <f>'F11-Year(n+3) '!I36</f>
        <v>8.3291917504310504</v>
      </c>
      <c r="N35" s="66">
        <f>'F11-Year(n+3) '!J36</f>
        <v>4.2067946251188477</v>
      </c>
      <c r="O35" s="66">
        <f>'F11-Year(n+3) '!K36</f>
        <v>4.6369518013126054</v>
      </c>
      <c r="P35" s="66">
        <f>'F11-Year(n+3) '!L36</f>
        <v>1.5903786235102571</v>
      </c>
      <c r="Q35" s="66">
        <f>'F11-Year(n+3) '!M36</f>
        <v>2.7283024648331278</v>
      </c>
      <c r="R35" s="66">
        <f>'F11-Year(n+3) '!N36</f>
        <v>5.2059764145712144</v>
      </c>
      <c r="S35" s="66">
        <f>'F11-Year(n+3) '!O36</f>
        <v>4.6755488230352871</v>
      </c>
      <c r="T35" s="66">
        <f>'F11-Year(n+3) '!P36</f>
        <v>2.1718055253000763</v>
      </c>
      <c r="U35" s="17">
        <f t="shared" si="4"/>
        <v>41.743210469478242</v>
      </c>
    </row>
    <row r="36" spans="3:22" x14ac:dyDescent="0.25">
      <c r="C36" s="806"/>
      <c r="D36" s="17" t="s">
        <v>367</v>
      </c>
      <c r="E36" s="66">
        <v>9.16</v>
      </c>
      <c r="F36" s="17"/>
      <c r="G36" s="66">
        <v>9.16</v>
      </c>
      <c r="H36" s="17">
        <f t="shared" si="8"/>
        <v>2.6976199999999997</v>
      </c>
      <c r="I36" s="66">
        <f>'F11-Year(n+3) '!E37</f>
        <v>0.36541263309226668</v>
      </c>
      <c r="J36" s="66">
        <f>'F11-Year(n+3) '!F37</f>
        <v>0.39156462466210973</v>
      </c>
      <c r="K36" s="66">
        <f>'F11-Year(n+3) '!G37</f>
        <v>0.40567991238122958</v>
      </c>
      <c r="L36" s="66">
        <f>'F11-Year(n+3) '!H37</f>
        <v>0.88690794020583708</v>
      </c>
      <c r="M36" s="66">
        <f>'F11-Year(n+3) '!I37</f>
        <v>2.0822979376077626</v>
      </c>
      <c r="N36" s="66">
        <f>'F11-Year(n+3) '!J37</f>
        <v>1.0516986562797119</v>
      </c>
      <c r="O36" s="66">
        <f>'F11-Year(n+3) '!K37</f>
        <v>1.1592379503281514</v>
      </c>
      <c r="P36" s="66">
        <f>'F11-Year(n+3) '!L37</f>
        <v>0.39759465587756426</v>
      </c>
      <c r="Q36" s="66">
        <f>'F11-Year(n+3) '!M37</f>
        <v>0.68207561620828194</v>
      </c>
      <c r="R36" s="66">
        <f>'F11-Year(n+3) '!N37</f>
        <v>1.3014941036428036</v>
      </c>
      <c r="S36" s="66">
        <f>'F11-Year(n+3) '!O37</f>
        <v>1.1688872057588218</v>
      </c>
      <c r="T36" s="66">
        <f>'F11-Year(n+3) '!P37</f>
        <v>0.54295138132501908</v>
      </c>
      <c r="U36" s="17">
        <f t="shared" si="4"/>
        <v>10.435802617369561</v>
      </c>
    </row>
    <row r="37" spans="3:22" x14ac:dyDescent="0.25">
      <c r="C37" s="806"/>
      <c r="D37" s="126" t="s">
        <v>448</v>
      </c>
      <c r="E37" s="17"/>
      <c r="F37" s="17"/>
      <c r="G37" s="17"/>
      <c r="H37" s="17"/>
      <c r="I37" s="66">
        <f>'F11-Year(n+3) '!E38</f>
        <v>0</v>
      </c>
      <c r="J37" s="66">
        <f>'F11-Year(n+3) '!F38</f>
        <v>0</v>
      </c>
      <c r="K37" s="66">
        <f>'F11-Year(n+3) '!G38</f>
        <v>0</v>
      </c>
      <c r="L37" s="66">
        <f>'F11-Year(n+3) '!H38</f>
        <v>0</v>
      </c>
      <c r="M37" s="66">
        <f>'F11-Year(n+3) '!I38</f>
        <v>0</v>
      </c>
      <c r="N37" s="66">
        <f>'F11-Year(n+3) '!J38</f>
        <v>0</v>
      </c>
      <c r="O37" s="66">
        <f>'F11-Year(n+3) '!K38</f>
        <v>0</v>
      </c>
      <c r="P37" s="66">
        <f>'F11-Year(n+3) '!L38</f>
        <v>0</v>
      </c>
      <c r="Q37" s="66">
        <f>'F11-Year(n+3) '!M38</f>
        <v>0</v>
      </c>
      <c r="R37" s="66">
        <f>'F11-Year(n+3) '!N38</f>
        <v>0</v>
      </c>
      <c r="S37" s="66">
        <f>'F11-Year(n+3) '!O38</f>
        <v>0</v>
      </c>
      <c r="T37" s="66">
        <f>'F11-Year(n+3) '!P38</f>
        <v>0</v>
      </c>
      <c r="U37" s="17">
        <f t="shared" si="4"/>
        <v>0</v>
      </c>
    </row>
    <row r="38" spans="3:22" x14ac:dyDescent="0.25">
      <c r="C38" s="806"/>
      <c r="D38" s="126" t="s">
        <v>449</v>
      </c>
      <c r="E38" s="17"/>
      <c r="F38" s="17"/>
      <c r="G38" s="17"/>
      <c r="H38" s="17"/>
      <c r="I38" s="66">
        <f>'F11-Year(n+3) '!E39</f>
        <v>0.43849515971072006</v>
      </c>
      <c r="J38" s="66">
        <f>'F11-Year(n+3) '!F39</f>
        <v>0.46987754959453176</v>
      </c>
      <c r="K38" s="66">
        <f>'F11-Year(n+3) '!G39</f>
        <v>0.48681589485747545</v>
      </c>
      <c r="L38" s="66">
        <f>'F11-Year(n+3) '!H39</f>
        <v>1.0642895282470044</v>
      </c>
      <c r="M38" s="66">
        <f>'F11-Year(n+3) '!I39</f>
        <v>2.4987575251293155</v>
      </c>
      <c r="N38" s="66">
        <f>'F11-Year(n+3) '!J39</f>
        <v>1.2620383875356547</v>
      </c>
      <c r="O38" s="66">
        <f>'F11-Year(n+3) '!K39</f>
        <v>1.3910855403937816</v>
      </c>
      <c r="P38" s="66">
        <f>'F11-Year(n+3) '!L39</f>
        <v>0.47711358705307716</v>
      </c>
      <c r="Q38" s="66">
        <f>'F11-Year(n+3) '!M39</f>
        <v>0.81849073944993833</v>
      </c>
      <c r="R38" s="66">
        <f>'F11-Year(n+3) '!N39</f>
        <v>1.5617929243713649</v>
      </c>
      <c r="S38" s="66">
        <f>'F11-Year(n+3) '!O39</f>
        <v>1.4026646469105857</v>
      </c>
      <c r="T38" s="66">
        <f>'F11-Year(n+3) '!P39</f>
        <v>0.6515416575900228</v>
      </c>
      <c r="U38" s="17">
        <f t="shared" si="4"/>
        <v>12.522963140843471</v>
      </c>
    </row>
    <row r="39" spans="3:22" x14ac:dyDescent="0.25">
      <c r="C39" s="806"/>
      <c r="D39" s="126" t="s">
        <v>450</v>
      </c>
      <c r="E39" s="17"/>
      <c r="F39" s="17"/>
      <c r="G39" s="17"/>
      <c r="H39" s="17"/>
      <c r="I39" s="66">
        <f>'F11-Year(n+3) '!E40</f>
        <v>0.24360842206151123</v>
      </c>
      <c r="J39" s="66">
        <f>'F11-Year(n+3) '!F40</f>
        <v>0.26104308310807323</v>
      </c>
      <c r="K39" s="66">
        <f>'F11-Year(n+3) '!G40</f>
        <v>0.27045327492081972</v>
      </c>
      <c r="L39" s="66">
        <f>'F11-Year(n+3) '!H40</f>
        <v>0.59127196013722472</v>
      </c>
      <c r="M39" s="66">
        <f>'F11-Year(n+3) '!I40</f>
        <v>1.3881986250718419</v>
      </c>
      <c r="N39" s="66">
        <f>'F11-Year(n+3) '!J40</f>
        <v>0.70113243751980803</v>
      </c>
      <c r="O39" s="66">
        <f>'F11-Year(n+3) '!K40</f>
        <v>0.77282530021876772</v>
      </c>
      <c r="P39" s="66">
        <f>'F11-Year(n+3) '!L40</f>
        <v>0.26506310391837618</v>
      </c>
      <c r="Q39" s="66">
        <f>'F11-Year(n+3) '!M40</f>
        <v>0.45471707747218804</v>
      </c>
      <c r="R39" s="66">
        <f>'F11-Year(n+3) '!N40</f>
        <v>0.86766273576186936</v>
      </c>
      <c r="S39" s="66">
        <f>'F11-Year(n+3) '!O40</f>
        <v>0.77925813717254777</v>
      </c>
      <c r="T39" s="66">
        <f>'F11-Year(n+3) '!P40</f>
        <v>0.36196758755001279</v>
      </c>
      <c r="U39" s="17">
        <f t="shared" si="4"/>
        <v>6.9572017449130401</v>
      </c>
    </row>
    <row r="40" spans="3:22" x14ac:dyDescent="0.25">
      <c r="C40" s="806"/>
      <c r="D40" s="17"/>
      <c r="E40" s="17"/>
      <c r="F40" s="17"/>
      <c r="G40" s="17"/>
      <c r="H40" s="17"/>
      <c r="I40" s="66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>
        <f t="shared" si="4"/>
        <v>0</v>
      </c>
    </row>
    <row r="41" spans="3:22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>
        <f t="shared" si="4"/>
        <v>0</v>
      </c>
    </row>
    <row r="42" spans="3:22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>
        <f t="shared" si="4"/>
        <v>0</v>
      </c>
    </row>
    <row r="43" spans="3:22" x14ac:dyDescent="0.25">
      <c r="C43" s="806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>
        <f t="shared" si="4"/>
        <v>0</v>
      </c>
    </row>
    <row r="44" spans="3:22" x14ac:dyDescent="0.25">
      <c r="C44" s="806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>
        <f t="shared" si="4"/>
        <v>0</v>
      </c>
    </row>
    <row r="45" spans="3:22" x14ac:dyDescent="0.25">
      <c r="C45" s="80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>
        <f t="shared" si="4"/>
        <v>0</v>
      </c>
    </row>
    <row r="46" spans="3:22" x14ac:dyDescent="0.25">
      <c r="C46" s="807"/>
      <c r="D46" s="10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>
        <f t="shared" si="4"/>
        <v>0</v>
      </c>
    </row>
    <row r="47" spans="3:22" x14ac:dyDescent="0.25">
      <c r="C47" s="751" t="s">
        <v>212</v>
      </c>
      <c r="D47" s="752"/>
      <c r="E47" s="17">
        <f>SUM(E29:E46)</f>
        <v>2441.7599999999998</v>
      </c>
      <c r="F47" s="17">
        <f t="shared" ref="F47:T47" si="9">SUM(F29:F46)</f>
        <v>0</v>
      </c>
      <c r="G47" s="17">
        <f t="shared" si="9"/>
        <v>2324.7599999999998</v>
      </c>
      <c r="H47" s="17">
        <f t="shared" si="9"/>
        <v>684.64181999999994</v>
      </c>
      <c r="I47" s="17">
        <f t="shared" si="9"/>
        <v>59.211463066270909</v>
      </c>
      <c r="J47" s="17">
        <f t="shared" si="9"/>
        <v>63.449131780248244</v>
      </c>
      <c r="K47" s="17">
        <f t="shared" si="9"/>
        <v>65.736373002254439</v>
      </c>
      <c r="L47" s="17">
        <f t="shared" si="9"/>
        <v>143.71456263095382</v>
      </c>
      <c r="M47" s="17">
        <f t="shared" si="9"/>
        <v>337.41555780996174</v>
      </c>
      <c r="N47" s="17">
        <f t="shared" si="9"/>
        <v>170.41725026356454</v>
      </c>
      <c r="O47" s="17">
        <f t="shared" si="9"/>
        <v>187.84291747117362</v>
      </c>
      <c r="P47" s="17">
        <f t="shared" si="9"/>
        <v>64.426238038400527</v>
      </c>
      <c r="Q47" s="17">
        <f t="shared" si="9"/>
        <v>110.52353285038998</v>
      </c>
      <c r="R47" s="17">
        <f t="shared" si="9"/>
        <v>210.89410455427995</v>
      </c>
      <c r="S47" s="17">
        <f t="shared" si="9"/>
        <v>189.40648282115944</v>
      </c>
      <c r="T47" s="17">
        <f t="shared" si="9"/>
        <v>87.979841829906078</v>
      </c>
      <c r="U47" s="86">
        <f>SUM(I47:T47)</f>
        <v>1691.0174561185631</v>
      </c>
      <c r="V47" s="427">
        <v>1691</v>
      </c>
    </row>
    <row r="48" spans="3:22" x14ac:dyDescent="0.25">
      <c r="C48" s="753" t="s">
        <v>368</v>
      </c>
      <c r="D48" s="754"/>
      <c r="E48" s="17">
        <f>E27+E47</f>
        <v>10484.26</v>
      </c>
      <c r="F48" s="17">
        <f t="shared" ref="F48:T48" si="10">F27+F47</f>
        <v>0</v>
      </c>
      <c r="G48" s="17">
        <f t="shared" si="10"/>
        <v>10367.26</v>
      </c>
      <c r="H48" s="17">
        <f t="shared" si="10"/>
        <v>3053.1580699999995</v>
      </c>
      <c r="I48" s="17">
        <f t="shared" si="10"/>
        <v>1510.9486240662709</v>
      </c>
      <c r="J48" s="17">
        <f t="shared" si="10"/>
        <v>1563.5775314802484</v>
      </c>
      <c r="K48" s="17">
        <f t="shared" si="10"/>
        <v>1517.4735340022544</v>
      </c>
      <c r="L48" s="17">
        <f t="shared" si="10"/>
        <v>1643.8429623309539</v>
      </c>
      <c r="M48" s="17">
        <f t="shared" si="10"/>
        <v>1837.5439575099617</v>
      </c>
      <c r="N48" s="17">
        <f t="shared" si="10"/>
        <v>1622.1544112635645</v>
      </c>
      <c r="O48" s="17">
        <f t="shared" si="10"/>
        <v>1687.9713171711737</v>
      </c>
      <c r="P48" s="17">
        <f t="shared" si="10"/>
        <v>1516.1633990384005</v>
      </c>
      <c r="Q48" s="17">
        <f t="shared" si="10"/>
        <v>1610.65193255039</v>
      </c>
      <c r="R48" s="17">
        <f t="shared" si="10"/>
        <v>1711.02250425428</v>
      </c>
      <c r="S48" s="17">
        <f t="shared" si="10"/>
        <v>1544.3611664211594</v>
      </c>
      <c r="T48" s="17">
        <f t="shared" si="10"/>
        <v>1588.1082415299061</v>
      </c>
      <c r="U48" s="86">
        <f>U27+U47</f>
        <v>19353.819581618562</v>
      </c>
    </row>
    <row r="49" spans="3:21" x14ac:dyDescent="0.25">
      <c r="C49" s="800" t="s">
        <v>369</v>
      </c>
      <c r="D49" s="801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  <row r="50" spans="3:21" x14ac:dyDescent="0.25">
      <c r="C50" s="753" t="s">
        <v>349</v>
      </c>
      <c r="D50" s="75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</row>
    <row r="51" spans="3:21" x14ac:dyDescent="0.25">
      <c r="C51" s="805" t="s">
        <v>370</v>
      </c>
      <c r="D51" s="17" t="s">
        <v>371</v>
      </c>
      <c r="E51" s="17">
        <v>2100</v>
      </c>
      <c r="F51" s="17"/>
      <c r="G51" s="17">
        <v>352.5</v>
      </c>
      <c r="H51" s="66">
        <f>G51*0.2945</f>
        <v>103.81125</v>
      </c>
      <c r="I51" s="66">
        <f t="shared" ref="I51:I67" si="11">$H51*0.85*30*24/1000</f>
        <v>63.532485000000008</v>
      </c>
      <c r="J51" s="66">
        <f t="shared" ref="J51:J67" si="12">$H51*0.85*31*24/1000</f>
        <v>65.65023450000001</v>
      </c>
      <c r="K51" s="66">
        <f t="shared" ref="K51:K67" si="13">$H51*0.85*30*24/1000</f>
        <v>63.532485000000008</v>
      </c>
      <c r="L51" s="66">
        <f t="shared" ref="L51:M67" si="14">$H51*0.85*31*24/1000</f>
        <v>65.65023450000001</v>
      </c>
      <c r="M51" s="66">
        <f t="shared" si="14"/>
        <v>65.65023450000001</v>
      </c>
      <c r="N51" s="66">
        <f t="shared" ref="N51:N67" si="15">$H51*0.85*30*24/1000</f>
        <v>63.532485000000008</v>
      </c>
      <c r="O51" s="66">
        <f t="shared" ref="O51:O67" si="16">$H51*0.85*31*24/1000</f>
        <v>65.65023450000001</v>
      </c>
      <c r="P51" s="66">
        <f t="shared" ref="P51:P67" si="17">$H51*0.85*30*24/1000</f>
        <v>63.532485000000008</v>
      </c>
      <c r="Q51" s="66">
        <f t="shared" ref="Q51:R67" si="18">$H51*0.85*31*24/1000</f>
        <v>65.65023450000001</v>
      </c>
      <c r="R51" s="66">
        <f t="shared" si="18"/>
        <v>65.65023450000001</v>
      </c>
      <c r="S51" s="66">
        <f t="shared" ref="S51:S67" si="19">$H51*0.85*28*24/1000</f>
        <v>59.296986000000004</v>
      </c>
      <c r="T51" s="66">
        <f t="shared" ref="T51:T67" si="20">$H51*0.85*31*24/1000</f>
        <v>65.65023450000001</v>
      </c>
      <c r="U51" s="17">
        <f t="shared" ref="U51:U76" si="21">+SUM(I51:T51)</f>
        <v>772.97856750000017</v>
      </c>
    </row>
    <row r="52" spans="3:21" x14ac:dyDescent="0.25">
      <c r="C52" s="806"/>
      <c r="D52" s="17" t="s">
        <v>372</v>
      </c>
      <c r="E52" s="17">
        <v>500</v>
      </c>
      <c r="F52" s="17"/>
      <c r="G52" s="17">
        <v>88.5</v>
      </c>
      <c r="H52" s="66">
        <f t="shared" ref="H52:H67" si="22">G52*0.2945</f>
        <v>26.06325</v>
      </c>
      <c r="I52" s="66">
        <f t="shared" si="11"/>
        <v>15.950709000000002</v>
      </c>
      <c r="J52" s="66">
        <f t="shared" si="12"/>
        <v>16.482399300000001</v>
      </c>
      <c r="K52" s="66">
        <f t="shared" si="13"/>
        <v>15.950709000000002</v>
      </c>
      <c r="L52" s="66">
        <f t="shared" si="14"/>
        <v>16.482399300000001</v>
      </c>
      <c r="M52" s="66">
        <f t="shared" si="14"/>
        <v>16.482399300000001</v>
      </c>
      <c r="N52" s="66">
        <f t="shared" si="15"/>
        <v>15.950709000000002</v>
      </c>
      <c r="O52" s="66">
        <f t="shared" si="16"/>
        <v>16.482399300000001</v>
      </c>
      <c r="P52" s="66">
        <f t="shared" si="17"/>
        <v>15.950709000000002</v>
      </c>
      <c r="Q52" s="66">
        <f t="shared" si="18"/>
        <v>16.482399300000001</v>
      </c>
      <c r="R52" s="66">
        <f t="shared" si="18"/>
        <v>16.482399300000001</v>
      </c>
      <c r="S52" s="66">
        <f t="shared" si="19"/>
        <v>14.887328399999998</v>
      </c>
      <c r="T52" s="66">
        <f t="shared" si="20"/>
        <v>16.482399300000001</v>
      </c>
      <c r="U52" s="17">
        <f t="shared" si="21"/>
        <v>194.0669595</v>
      </c>
    </row>
    <row r="53" spans="3:21" x14ac:dyDescent="0.25">
      <c r="C53" s="806"/>
      <c r="D53" s="17" t="s">
        <v>373</v>
      </c>
      <c r="E53" s="17">
        <v>2000</v>
      </c>
      <c r="F53" s="17"/>
      <c r="G53" s="17">
        <v>217.4</v>
      </c>
      <c r="H53" s="66">
        <f t="shared" si="22"/>
        <v>64.024299999999997</v>
      </c>
      <c r="I53" s="66">
        <f t="shared" si="11"/>
        <v>39.182871599999999</v>
      </c>
      <c r="J53" s="66">
        <f t="shared" si="12"/>
        <v>40.488967319999993</v>
      </c>
      <c r="K53" s="66">
        <f t="shared" si="13"/>
        <v>39.182871599999999</v>
      </c>
      <c r="L53" s="66">
        <f t="shared" si="14"/>
        <v>40.488967319999993</v>
      </c>
      <c r="M53" s="66">
        <f t="shared" si="14"/>
        <v>40.488967319999993</v>
      </c>
      <c r="N53" s="66">
        <f t="shared" si="15"/>
        <v>39.182871599999999</v>
      </c>
      <c r="O53" s="66">
        <f t="shared" si="16"/>
        <v>40.488967319999993</v>
      </c>
      <c r="P53" s="66">
        <f t="shared" si="17"/>
        <v>39.182871599999999</v>
      </c>
      <c r="Q53" s="66">
        <f t="shared" si="18"/>
        <v>40.488967319999993</v>
      </c>
      <c r="R53" s="66">
        <f t="shared" si="18"/>
        <v>40.488967319999993</v>
      </c>
      <c r="S53" s="66">
        <f t="shared" si="19"/>
        <v>36.570680159999995</v>
      </c>
      <c r="T53" s="66">
        <f t="shared" si="20"/>
        <v>40.488967319999993</v>
      </c>
      <c r="U53" s="17">
        <f t="shared" si="21"/>
        <v>476.72493779999991</v>
      </c>
    </row>
    <row r="54" spans="3:21" x14ac:dyDescent="0.25">
      <c r="C54" s="806"/>
      <c r="D54" s="17" t="s">
        <v>374</v>
      </c>
      <c r="E54" s="17">
        <v>1000</v>
      </c>
      <c r="F54" s="17"/>
      <c r="G54" s="17">
        <v>538.9</v>
      </c>
      <c r="H54" s="66">
        <f t="shared" si="22"/>
        <v>158.70604999999998</v>
      </c>
      <c r="I54" s="66">
        <f t="shared" si="11"/>
        <v>97.128102600000005</v>
      </c>
      <c r="J54" s="66">
        <f t="shared" si="12"/>
        <v>100.36570602</v>
      </c>
      <c r="K54" s="66">
        <f t="shared" si="13"/>
        <v>97.128102600000005</v>
      </c>
      <c r="L54" s="66">
        <f t="shared" si="14"/>
        <v>100.36570602</v>
      </c>
      <c r="M54" s="66">
        <f t="shared" si="14"/>
        <v>100.36570602</v>
      </c>
      <c r="N54" s="66">
        <f t="shared" si="15"/>
        <v>97.128102600000005</v>
      </c>
      <c r="O54" s="66">
        <f t="shared" si="16"/>
        <v>100.36570602</v>
      </c>
      <c r="P54" s="66">
        <f t="shared" si="17"/>
        <v>97.128102600000005</v>
      </c>
      <c r="Q54" s="66">
        <f t="shared" si="18"/>
        <v>100.36570602</v>
      </c>
      <c r="R54" s="66">
        <f t="shared" si="18"/>
        <v>100.36570602</v>
      </c>
      <c r="S54" s="66">
        <f t="shared" si="19"/>
        <v>90.652895759999979</v>
      </c>
      <c r="T54" s="66">
        <f t="shared" si="20"/>
        <v>100.36570602</v>
      </c>
      <c r="U54" s="17">
        <f t="shared" si="21"/>
        <v>1181.7252483</v>
      </c>
    </row>
    <row r="55" spans="3:21" x14ac:dyDescent="0.25">
      <c r="C55" s="806"/>
      <c r="D55" s="17" t="s">
        <v>375</v>
      </c>
      <c r="E55" s="17">
        <v>1000</v>
      </c>
      <c r="F55" s="17"/>
      <c r="G55" s="17">
        <v>256.7</v>
      </c>
      <c r="H55" s="66">
        <f t="shared" si="22"/>
        <v>75.59814999999999</v>
      </c>
      <c r="I55" s="66">
        <f t="shared" si="11"/>
        <v>46.266067799999995</v>
      </c>
      <c r="J55" s="66">
        <f t="shared" si="12"/>
        <v>47.808270059999998</v>
      </c>
      <c r="K55" s="66">
        <f t="shared" si="13"/>
        <v>46.266067799999995</v>
      </c>
      <c r="L55" s="66">
        <f t="shared" si="14"/>
        <v>47.808270059999998</v>
      </c>
      <c r="M55" s="66">
        <f t="shared" si="14"/>
        <v>47.808270059999998</v>
      </c>
      <c r="N55" s="66">
        <f t="shared" si="15"/>
        <v>46.266067799999995</v>
      </c>
      <c r="O55" s="66">
        <f t="shared" si="16"/>
        <v>47.808270059999998</v>
      </c>
      <c r="P55" s="66">
        <f t="shared" si="17"/>
        <v>46.266067799999995</v>
      </c>
      <c r="Q55" s="66">
        <f t="shared" si="18"/>
        <v>47.808270059999998</v>
      </c>
      <c r="R55" s="66">
        <f t="shared" si="18"/>
        <v>47.808270059999998</v>
      </c>
      <c r="S55" s="66">
        <f t="shared" si="19"/>
        <v>43.181663280000002</v>
      </c>
      <c r="T55" s="66">
        <f t="shared" si="20"/>
        <v>47.808270059999998</v>
      </c>
      <c r="U55" s="17">
        <f t="shared" si="21"/>
        <v>562.9038248999999</v>
      </c>
    </row>
    <row r="56" spans="3:21" x14ac:dyDescent="0.25">
      <c r="C56" s="806"/>
      <c r="D56" s="17" t="s">
        <v>376</v>
      </c>
      <c r="E56" s="17">
        <v>2400</v>
      </c>
      <c r="F56" s="17"/>
      <c r="G56" s="17">
        <v>281.04000000000002</v>
      </c>
      <c r="H56" s="66">
        <f t="shared" si="22"/>
        <v>82.766279999999995</v>
      </c>
      <c r="I56" s="66">
        <f t="shared" si="11"/>
        <v>50.652963360000001</v>
      </c>
      <c r="J56" s="66">
        <f t="shared" si="12"/>
        <v>52.341395472000002</v>
      </c>
      <c r="K56" s="66">
        <f t="shared" si="13"/>
        <v>50.652963360000001</v>
      </c>
      <c r="L56" s="66">
        <f t="shared" si="14"/>
        <v>52.341395472000002</v>
      </c>
      <c r="M56" s="66">
        <f t="shared" si="14"/>
        <v>52.341395472000002</v>
      </c>
      <c r="N56" s="66">
        <f t="shared" si="15"/>
        <v>50.652963360000001</v>
      </c>
      <c r="O56" s="66">
        <f t="shared" si="16"/>
        <v>52.341395472000002</v>
      </c>
      <c r="P56" s="66">
        <f t="shared" si="17"/>
        <v>50.652963360000001</v>
      </c>
      <c r="Q56" s="66">
        <f t="shared" si="18"/>
        <v>52.341395472000002</v>
      </c>
      <c r="R56" s="66">
        <f t="shared" si="18"/>
        <v>52.341395472000002</v>
      </c>
      <c r="S56" s="66">
        <f t="shared" si="19"/>
        <v>47.276099135999999</v>
      </c>
      <c r="T56" s="66">
        <f t="shared" si="20"/>
        <v>52.341395472000002</v>
      </c>
      <c r="U56" s="17">
        <f t="shared" si="21"/>
        <v>616.27772087999995</v>
      </c>
    </row>
    <row r="57" spans="3:21" x14ac:dyDescent="0.25">
      <c r="C57" s="806"/>
      <c r="D57" s="17" t="s">
        <v>377</v>
      </c>
      <c r="E57" s="17">
        <v>85</v>
      </c>
      <c r="F57" s="17"/>
      <c r="G57" s="17">
        <v>45.81</v>
      </c>
      <c r="H57" s="66">
        <f t="shared" si="22"/>
        <v>13.491045</v>
      </c>
      <c r="I57" s="66">
        <f t="shared" si="11"/>
        <v>8.2565195399999993</v>
      </c>
      <c r="J57" s="66">
        <f t="shared" si="12"/>
        <v>8.5317368580000004</v>
      </c>
      <c r="K57" s="66">
        <f t="shared" si="13"/>
        <v>8.2565195399999993</v>
      </c>
      <c r="L57" s="66">
        <f t="shared" si="14"/>
        <v>8.5317368580000004</v>
      </c>
      <c r="M57" s="66">
        <f t="shared" si="14"/>
        <v>8.5317368580000004</v>
      </c>
      <c r="N57" s="66">
        <f t="shared" si="15"/>
        <v>8.2565195399999993</v>
      </c>
      <c r="O57" s="66">
        <f t="shared" si="16"/>
        <v>8.5317368580000004</v>
      </c>
      <c r="P57" s="66">
        <f t="shared" si="17"/>
        <v>8.2565195399999993</v>
      </c>
      <c r="Q57" s="66">
        <f t="shared" si="18"/>
        <v>8.5317368580000004</v>
      </c>
      <c r="R57" s="66">
        <f t="shared" si="18"/>
        <v>8.5317368580000004</v>
      </c>
      <c r="S57" s="66">
        <f t="shared" si="19"/>
        <v>7.706084903999999</v>
      </c>
      <c r="T57" s="66">
        <f t="shared" si="20"/>
        <v>8.5317368580000004</v>
      </c>
      <c r="U57" s="17">
        <f t="shared" si="21"/>
        <v>100.45432107000001</v>
      </c>
    </row>
    <row r="58" spans="3:21" x14ac:dyDescent="0.25">
      <c r="C58" s="806"/>
      <c r="D58" s="17" t="s">
        <v>378</v>
      </c>
      <c r="E58" s="17">
        <v>200</v>
      </c>
      <c r="F58" s="17"/>
      <c r="G58" s="17">
        <v>200</v>
      </c>
      <c r="H58" s="66">
        <f t="shared" si="22"/>
        <v>58.9</v>
      </c>
      <c r="I58" s="66">
        <f t="shared" si="11"/>
        <v>36.046799999999998</v>
      </c>
      <c r="J58" s="66">
        <f t="shared" si="12"/>
        <v>37.248359999999998</v>
      </c>
      <c r="K58" s="66">
        <f t="shared" si="13"/>
        <v>36.046799999999998</v>
      </c>
      <c r="L58" s="66">
        <f t="shared" si="14"/>
        <v>37.248359999999998</v>
      </c>
      <c r="M58" s="66">
        <f t="shared" si="14"/>
        <v>37.248359999999998</v>
      </c>
      <c r="N58" s="66">
        <f t="shared" si="15"/>
        <v>36.046799999999998</v>
      </c>
      <c r="O58" s="66">
        <f t="shared" si="16"/>
        <v>37.248359999999998</v>
      </c>
      <c r="P58" s="66">
        <f t="shared" si="17"/>
        <v>36.046799999999998</v>
      </c>
      <c r="Q58" s="66">
        <f t="shared" si="18"/>
        <v>37.248359999999998</v>
      </c>
      <c r="R58" s="66">
        <f t="shared" si="18"/>
        <v>37.248359999999998</v>
      </c>
      <c r="S58" s="66">
        <f t="shared" si="19"/>
        <v>33.643680000000003</v>
      </c>
      <c r="T58" s="66">
        <f t="shared" si="20"/>
        <v>37.248359999999998</v>
      </c>
      <c r="U58" s="17">
        <f t="shared" si="21"/>
        <v>438.56939999999997</v>
      </c>
    </row>
    <row r="59" spans="3:21" x14ac:dyDescent="0.25">
      <c r="C59" s="807"/>
      <c r="D59" s="17" t="s">
        <v>379</v>
      </c>
      <c r="E59" s="17">
        <v>1600</v>
      </c>
      <c r="F59" s="17"/>
      <c r="G59" s="17">
        <v>1390.78</v>
      </c>
      <c r="H59" s="66">
        <f t="shared" si="22"/>
        <v>409.58470999999997</v>
      </c>
      <c r="I59" s="66">
        <f t="shared" si="11"/>
        <v>250.66584251999998</v>
      </c>
      <c r="J59" s="66">
        <f t="shared" si="12"/>
        <v>259.02137060399997</v>
      </c>
      <c r="K59" s="66">
        <f t="shared" si="13"/>
        <v>250.66584251999998</v>
      </c>
      <c r="L59" s="66">
        <f t="shared" si="14"/>
        <v>259.02137060399997</v>
      </c>
      <c r="M59" s="66">
        <f t="shared" si="14"/>
        <v>259.02137060399997</v>
      </c>
      <c r="N59" s="66">
        <f t="shared" si="15"/>
        <v>250.66584251999998</v>
      </c>
      <c r="O59" s="66">
        <f t="shared" si="16"/>
        <v>259.02137060399997</v>
      </c>
      <c r="P59" s="66">
        <f t="shared" si="17"/>
        <v>250.66584251999998</v>
      </c>
      <c r="Q59" s="66">
        <f t="shared" si="18"/>
        <v>259.02137060399997</v>
      </c>
      <c r="R59" s="66">
        <f t="shared" si="18"/>
        <v>259.02137060399997</v>
      </c>
      <c r="S59" s="66">
        <f t="shared" si="19"/>
        <v>233.95478635199996</v>
      </c>
      <c r="T59" s="66">
        <f t="shared" si="20"/>
        <v>259.02137060399997</v>
      </c>
      <c r="U59" s="17">
        <f t="shared" si="21"/>
        <v>3049.7677506599998</v>
      </c>
    </row>
    <row r="60" spans="3:21" x14ac:dyDescent="0.25">
      <c r="C60" s="17"/>
      <c r="D60" s="17" t="s">
        <v>380</v>
      </c>
      <c r="E60" s="17"/>
      <c r="F60" s="17"/>
      <c r="G60" s="17"/>
      <c r="H60" s="66">
        <f t="shared" si="22"/>
        <v>0</v>
      </c>
      <c r="I60" s="66">
        <f t="shared" si="11"/>
        <v>0</v>
      </c>
      <c r="J60" s="66">
        <f t="shared" si="12"/>
        <v>0</v>
      </c>
      <c r="K60" s="66">
        <f t="shared" si="13"/>
        <v>0</v>
      </c>
      <c r="L60" s="66">
        <f t="shared" si="14"/>
        <v>0</v>
      </c>
      <c r="M60" s="66">
        <f t="shared" si="14"/>
        <v>0</v>
      </c>
      <c r="N60" s="66">
        <f t="shared" si="15"/>
        <v>0</v>
      </c>
      <c r="O60" s="66">
        <f t="shared" si="16"/>
        <v>0</v>
      </c>
      <c r="P60" s="66">
        <f t="shared" si="17"/>
        <v>0</v>
      </c>
      <c r="Q60" s="66">
        <f t="shared" si="18"/>
        <v>0</v>
      </c>
      <c r="R60" s="66">
        <f t="shared" si="18"/>
        <v>0</v>
      </c>
      <c r="S60" s="66">
        <f t="shared" si="19"/>
        <v>0</v>
      </c>
      <c r="T60" s="66">
        <f t="shared" si="20"/>
        <v>0</v>
      </c>
      <c r="U60" s="17">
        <f t="shared" si="21"/>
        <v>0</v>
      </c>
    </row>
    <row r="61" spans="3:21" x14ac:dyDescent="0.25">
      <c r="C61" s="17"/>
      <c r="D61" s="17" t="s">
        <v>381</v>
      </c>
      <c r="E61" s="17">
        <v>630</v>
      </c>
      <c r="F61" s="17"/>
      <c r="G61" s="66">
        <v>5.23</v>
      </c>
      <c r="H61" s="66">
        <f t="shared" si="22"/>
        <v>1.540235</v>
      </c>
      <c r="I61" s="66">
        <f t="shared" si="11"/>
        <v>0.94262381999999978</v>
      </c>
      <c r="J61" s="66">
        <f t="shared" si="12"/>
        <v>0.97404461399999986</v>
      </c>
      <c r="K61" s="66">
        <f t="shared" si="13"/>
        <v>0.94262381999999978</v>
      </c>
      <c r="L61" s="66">
        <f t="shared" si="14"/>
        <v>0.97404461399999986</v>
      </c>
      <c r="M61" s="66">
        <f t="shared" si="14"/>
        <v>0.97404461399999986</v>
      </c>
      <c r="N61" s="66">
        <f t="shared" si="15"/>
        <v>0.94262381999999978</v>
      </c>
      <c r="O61" s="66">
        <f t="shared" si="16"/>
        <v>0.97404461399999986</v>
      </c>
      <c r="P61" s="66">
        <f t="shared" si="17"/>
        <v>0.94262381999999978</v>
      </c>
      <c r="Q61" s="66">
        <f t="shared" si="18"/>
        <v>0.97404461399999986</v>
      </c>
      <c r="R61" s="66">
        <f t="shared" si="18"/>
        <v>0.97404461399999986</v>
      </c>
      <c r="S61" s="66">
        <f t="shared" si="19"/>
        <v>0.87978223200000005</v>
      </c>
      <c r="T61" s="66">
        <f t="shared" si="20"/>
        <v>0.97404461399999986</v>
      </c>
      <c r="U61" s="17">
        <f t="shared" si="21"/>
        <v>11.468589809999999</v>
      </c>
    </row>
    <row r="62" spans="3:21" x14ac:dyDescent="0.25">
      <c r="C62" s="17"/>
      <c r="D62" s="17" t="s">
        <v>382</v>
      </c>
      <c r="E62" s="17">
        <v>840</v>
      </c>
      <c r="F62" s="17"/>
      <c r="G62" s="66">
        <v>6.89</v>
      </c>
      <c r="H62" s="66">
        <f t="shared" si="22"/>
        <v>2.0291049999999999</v>
      </c>
      <c r="I62" s="66">
        <f t="shared" si="11"/>
        <v>1.2418122599999999</v>
      </c>
      <c r="J62" s="66">
        <f t="shared" si="12"/>
        <v>1.2832060019999998</v>
      </c>
      <c r="K62" s="66">
        <f t="shared" si="13"/>
        <v>1.2418122599999999</v>
      </c>
      <c r="L62" s="66">
        <f t="shared" si="14"/>
        <v>1.2832060019999998</v>
      </c>
      <c r="M62" s="66">
        <f t="shared" si="14"/>
        <v>1.2832060019999998</v>
      </c>
      <c r="N62" s="66">
        <f t="shared" si="15"/>
        <v>1.2418122599999999</v>
      </c>
      <c r="O62" s="66">
        <f t="shared" si="16"/>
        <v>1.2832060019999998</v>
      </c>
      <c r="P62" s="66">
        <f t="shared" si="17"/>
        <v>1.2418122599999999</v>
      </c>
      <c r="Q62" s="66">
        <f t="shared" si="18"/>
        <v>1.2832060019999998</v>
      </c>
      <c r="R62" s="66">
        <f t="shared" si="18"/>
        <v>1.2832060019999998</v>
      </c>
      <c r="S62" s="66">
        <f t="shared" si="19"/>
        <v>1.1590247759999999</v>
      </c>
      <c r="T62" s="66">
        <f t="shared" si="20"/>
        <v>1.2832060019999998</v>
      </c>
      <c r="U62" s="17">
        <f t="shared" si="21"/>
        <v>15.108715829999998</v>
      </c>
    </row>
    <row r="63" spans="3:21" x14ac:dyDescent="0.25">
      <c r="C63" s="17"/>
      <c r="D63" s="17" t="s">
        <v>383</v>
      </c>
      <c r="E63" s="17">
        <v>1000</v>
      </c>
      <c r="F63" s="17"/>
      <c r="G63" s="66">
        <v>66.25</v>
      </c>
      <c r="H63" s="66">
        <f t="shared" si="22"/>
        <v>19.510624999999997</v>
      </c>
      <c r="I63" s="66">
        <f t="shared" si="11"/>
        <v>11.940502499999999</v>
      </c>
      <c r="J63" s="66">
        <f t="shared" si="12"/>
        <v>12.338519250000001</v>
      </c>
      <c r="K63" s="66">
        <f t="shared" si="13"/>
        <v>11.940502499999999</v>
      </c>
      <c r="L63" s="66">
        <f t="shared" si="14"/>
        <v>12.338519250000001</v>
      </c>
      <c r="M63" s="66">
        <f t="shared" si="14"/>
        <v>12.338519250000001</v>
      </c>
      <c r="N63" s="66">
        <f t="shared" si="15"/>
        <v>11.940502499999999</v>
      </c>
      <c r="O63" s="66">
        <f t="shared" si="16"/>
        <v>12.338519250000001</v>
      </c>
      <c r="P63" s="66">
        <f t="shared" si="17"/>
        <v>11.940502499999999</v>
      </c>
      <c r="Q63" s="66">
        <f t="shared" si="18"/>
        <v>12.338519250000001</v>
      </c>
      <c r="R63" s="66">
        <f t="shared" si="18"/>
        <v>12.338519250000001</v>
      </c>
      <c r="S63" s="66">
        <f t="shared" si="19"/>
        <v>11.144468999999999</v>
      </c>
      <c r="T63" s="66">
        <f t="shared" si="20"/>
        <v>12.338519250000001</v>
      </c>
      <c r="U63" s="17">
        <f t="shared" si="21"/>
        <v>145.27611374999998</v>
      </c>
    </row>
    <row r="64" spans="3:21" x14ac:dyDescent="0.25">
      <c r="C64" s="17"/>
      <c r="D64" s="17" t="s">
        <v>384</v>
      </c>
      <c r="E64" s="17">
        <v>0</v>
      </c>
      <c r="F64" s="17"/>
      <c r="G64" s="66"/>
      <c r="H64" s="66">
        <f t="shared" si="22"/>
        <v>0</v>
      </c>
      <c r="I64" s="66">
        <f t="shared" si="11"/>
        <v>0</v>
      </c>
      <c r="J64" s="66">
        <f t="shared" si="12"/>
        <v>0</v>
      </c>
      <c r="K64" s="66">
        <f t="shared" si="13"/>
        <v>0</v>
      </c>
      <c r="L64" s="66">
        <f t="shared" si="14"/>
        <v>0</v>
      </c>
      <c r="M64" s="66">
        <f t="shared" si="14"/>
        <v>0</v>
      </c>
      <c r="N64" s="66">
        <f t="shared" si="15"/>
        <v>0</v>
      </c>
      <c r="O64" s="66">
        <f t="shared" si="16"/>
        <v>0</v>
      </c>
      <c r="P64" s="66">
        <f t="shared" si="17"/>
        <v>0</v>
      </c>
      <c r="Q64" s="66">
        <f t="shared" si="18"/>
        <v>0</v>
      </c>
      <c r="R64" s="66">
        <f t="shared" si="18"/>
        <v>0</v>
      </c>
      <c r="S64" s="66">
        <f t="shared" si="19"/>
        <v>0</v>
      </c>
      <c r="T64" s="66">
        <f t="shared" si="20"/>
        <v>0</v>
      </c>
      <c r="U64" s="17">
        <f t="shared" si="21"/>
        <v>0</v>
      </c>
    </row>
    <row r="65" spans="3:21" x14ac:dyDescent="0.25">
      <c r="C65" s="17"/>
      <c r="D65" s="17" t="s">
        <v>379</v>
      </c>
      <c r="E65" s="17">
        <v>920</v>
      </c>
      <c r="F65" s="17"/>
      <c r="G65" s="66">
        <v>0</v>
      </c>
      <c r="H65" s="66">
        <f t="shared" si="22"/>
        <v>0</v>
      </c>
      <c r="I65" s="66">
        <f t="shared" si="11"/>
        <v>0</v>
      </c>
      <c r="J65" s="66">
        <f t="shared" si="12"/>
        <v>0</v>
      </c>
      <c r="K65" s="66">
        <f t="shared" si="13"/>
        <v>0</v>
      </c>
      <c r="L65" s="66">
        <f t="shared" si="14"/>
        <v>0</v>
      </c>
      <c r="M65" s="66">
        <f t="shared" si="14"/>
        <v>0</v>
      </c>
      <c r="N65" s="66">
        <f t="shared" si="15"/>
        <v>0</v>
      </c>
      <c r="O65" s="66">
        <f t="shared" si="16"/>
        <v>0</v>
      </c>
      <c r="P65" s="66">
        <f t="shared" si="17"/>
        <v>0</v>
      </c>
      <c r="Q65" s="66">
        <f t="shared" si="18"/>
        <v>0</v>
      </c>
      <c r="R65" s="66">
        <f t="shared" si="18"/>
        <v>0</v>
      </c>
      <c r="S65" s="66">
        <f t="shared" si="19"/>
        <v>0</v>
      </c>
      <c r="T65" s="66">
        <f t="shared" si="20"/>
        <v>0</v>
      </c>
      <c r="U65" s="17">
        <f t="shared" si="21"/>
        <v>0</v>
      </c>
    </row>
    <row r="66" spans="3:21" x14ac:dyDescent="0.25">
      <c r="C66" s="17"/>
      <c r="D66" s="17" t="s">
        <v>385</v>
      </c>
      <c r="E66" s="17">
        <v>1500</v>
      </c>
      <c r="F66" s="17"/>
      <c r="G66" s="66">
        <v>106.41</v>
      </c>
      <c r="H66" s="66">
        <f t="shared" si="22"/>
        <v>31.337744999999998</v>
      </c>
      <c r="I66" s="66">
        <f t="shared" si="11"/>
        <v>19.178699939999998</v>
      </c>
      <c r="J66" s="66">
        <f t="shared" si="12"/>
        <v>19.817989937999997</v>
      </c>
      <c r="K66" s="66">
        <f t="shared" si="13"/>
        <v>19.178699939999998</v>
      </c>
      <c r="L66" s="66">
        <f t="shared" si="14"/>
        <v>19.817989937999997</v>
      </c>
      <c r="M66" s="66">
        <f t="shared" si="14"/>
        <v>19.817989937999997</v>
      </c>
      <c r="N66" s="66">
        <f t="shared" si="15"/>
        <v>19.178699939999998</v>
      </c>
      <c r="O66" s="66">
        <f t="shared" si="16"/>
        <v>19.817989937999997</v>
      </c>
      <c r="P66" s="66">
        <f t="shared" si="17"/>
        <v>19.178699939999998</v>
      </c>
      <c r="Q66" s="66">
        <f t="shared" si="18"/>
        <v>19.817989937999997</v>
      </c>
      <c r="R66" s="66">
        <f t="shared" si="18"/>
        <v>19.817989937999997</v>
      </c>
      <c r="S66" s="66">
        <f t="shared" si="19"/>
        <v>17.900119943999997</v>
      </c>
      <c r="T66" s="66">
        <f t="shared" si="20"/>
        <v>19.817989937999997</v>
      </c>
      <c r="U66" s="17">
        <f t="shared" si="21"/>
        <v>233.34084926999992</v>
      </c>
    </row>
    <row r="67" spans="3:21" x14ac:dyDescent="0.25">
      <c r="C67" s="17"/>
      <c r="D67" s="17" t="s">
        <v>386</v>
      </c>
      <c r="E67" s="17">
        <v>1000</v>
      </c>
      <c r="F67" s="17"/>
      <c r="G67" s="66">
        <v>147.91</v>
      </c>
      <c r="H67" s="66">
        <f t="shared" si="22"/>
        <v>43.559494999999998</v>
      </c>
      <c r="I67" s="66">
        <f t="shared" si="11"/>
        <v>26.65841094</v>
      </c>
      <c r="J67" s="66">
        <f t="shared" si="12"/>
        <v>27.547024638</v>
      </c>
      <c r="K67" s="66">
        <f t="shared" si="13"/>
        <v>26.65841094</v>
      </c>
      <c r="L67" s="66">
        <f t="shared" si="14"/>
        <v>27.547024638</v>
      </c>
      <c r="M67" s="66">
        <f t="shared" si="14"/>
        <v>27.547024638</v>
      </c>
      <c r="N67" s="66">
        <f t="shared" si="15"/>
        <v>26.65841094</v>
      </c>
      <c r="O67" s="66">
        <f t="shared" si="16"/>
        <v>27.547024638</v>
      </c>
      <c r="P67" s="66">
        <f t="shared" si="17"/>
        <v>26.65841094</v>
      </c>
      <c r="Q67" s="66">
        <f t="shared" si="18"/>
        <v>27.547024638</v>
      </c>
      <c r="R67" s="66">
        <f t="shared" si="18"/>
        <v>27.547024638</v>
      </c>
      <c r="S67" s="66">
        <f t="shared" si="19"/>
        <v>24.881183543999999</v>
      </c>
      <c r="T67" s="66">
        <f t="shared" si="20"/>
        <v>27.547024638</v>
      </c>
      <c r="U67" s="17">
        <f t="shared" si="21"/>
        <v>324.34399977000004</v>
      </c>
    </row>
    <row r="68" spans="3:21" x14ac:dyDescent="0.25">
      <c r="C68" s="17"/>
      <c r="D68" s="113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>
        <f t="shared" si="21"/>
        <v>0</v>
      </c>
    </row>
    <row r="69" spans="3:21" x14ac:dyDescent="0.25">
      <c r="C69" s="17"/>
      <c r="D69" s="113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>
        <f t="shared" si="21"/>
        <v>0</v>
      </c>
    </row>
    <row r="70" spans="3:21" x14ac:dyDescent="0.25">
      <c r="C70" s="17"/>
      <c r="D70" s="114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>
        <f t="shared" si="21"/>
        <v>0</v>
      </c>
    </row>
    <row r="71" spans="3:21" x14ac:dyDescent="0.25">
      <c r="C71" s="17"/>
      <c r="D71" s="114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>
        <f t="shared" si="21"/>
        <v>0</v>
      </c>
    </row>
    <row r="72" spans="3:21" x14ac:dyDescent="0.25">
      <c r="C72" s="17"/>
      <c r="D72" s="113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>
        <f t="shared" si="21"/>
        <v>0</v>
      </c>
    </row>
    <row r="73" spans="3:21" x14ac:dyDescent="0.25">
      <c r="C73" s="17"/>
      <c r="D73" s="113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>
        <f t="shared" si="21"/>
        <v>0</v>
      </c>
    </row>
    <row r="74" spans="3:21" x14ac:dyDescent="0.25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>
        <f t="shared" si="21"/>
        <v>0</v>
      </c>
    </row>
    <row r="75" spans="3:21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>
        <f t="shared" si="21"/>
        <v>0</v>
      </c>
    </row>
    <row r="76" spans="3:21" x14ac:dyDescent="0.25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>
        <f t="shared" si="21"/>
        <v>0</v>
      </c>
    </row>
    <row r="77" spans="3:21" x14ac:dyDescent="0.25">
      <c r="C77" s="751" t="s">
        <v>212</v>
      </c>
      <c r="D77" s="752"/>
      <c r="E77" s="17">
        <f>SUM(E51:E76)</f>
        <v>16775</v>
      </c>
      <c r="F77" s="17">
        <f t="shared" ref="F77:T77" si="23">SUM(F51:F76)</f>
        <v>0</v>
      </c>
      <c r="G77" s="17">
        <f t="shared" si="23"/>
        <v>3704.3199999999997</v>
      </c>
      <c r="H77" s="17">
        <f t="shared" si="23"/>
        <v>1090.9222399999999</v>
      </c>
      <c r="I77" s="17">
        <f t="shared" si="23"/>
        <v>667.6444108799999</v>
      </c>
      <c r="J77" s="17">
        <f t="shared" si="23"/>
        <v>689.89922457600005</v>
      </c>
      <c r="K77" s="17">
        <f t="shared" si="23"/>
        <v>667.6444108799999</v>
      </c>
      <c r="L77" s="17">
        <f t="shared" si="23"/>
        <v>689.89922457600005</v>
      </c>
      <c r="M77" s="17">
        <f t="shared" si="23"/>
        <v>689.89922457600005</v>
      </c>
      <c r="N77" s="17">
        <f t="shared" si="23"/>
        <v>667.6444108799999</v>
      </c>
      <c r="O77" s="17">
        <f t="shared" si="23"/>
        <v>689.89922457600005</v>
      </c>
      <c r="P77" s="17">
        <f t="shared" si="23"/>
        <v>667.6444108799999</v>
      </c>
      <c r="Q77" s="17">
        <f t="shared" si="23"/>
        <v>689.89922457600005</v>
      </c>
      <c r="R77" s="17">
        <f t="shared" si="23"/>
        <v>689.89922457600005</v>
      </c>
      <c r="S77" s="17">
        <f t="shared" si="23"/>
        <v>623.13478348800004</v>
      </c>
      <c r="T77" s="17">
        <f t="shared" si="23"/>
        <v>689.89922457600005</v>
      </c>
      <c r="U77" s="86">
        <f>SUM(I77:T77)</f>
        <v>8123.0069990399998</v>
      </c>
    </row>
    <row r="78" spans="3:21" x14ac:dyDescent="0.25">
      <c r="C78" s="753" t="s">
        <v>387</v>
      </c>
      <c r="D78" s="754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</row>
    <row r="79" spans="3:21" x14ac:dyDescent="0.25">
      <c r="C79" s="805" t="s">
        <v>388</v>
      </c>
      <c r="D79" s="17" t="s">
        <v>389</v>
      </c>
      <c r="E79" s="17">
        <f>[43]Gen!DB68</f>
        <v>440</v>
      </c>
      <c r="F79" s="17"/>
      <c r="G79" s="17">
        <f>[43]Gen!DD68</f>
        <v>22.044</v>
      </c>
      <c r="H79" s="66">
        <f>G79*0.2945</f>
        <v>6.4919579999999995</v>
      </c>
      <c r="I79" s="66">
        <f t="shared" ref="I79:T83" si="24">$H79*I$6*24/1000</f>
        <v>4.6742097600000001</v>
      </c>
      <c r="J79" s="66">
        <f t="shared" si="24"/>
        <v>4.8300167519999997</v>
      </c>
      <c r="K79" s="66">
        <f t="shared" si="24"/>
        <v>4.6742097600000001</v>
      </c>
      <c r="L79" s="66">
        <f t="shared" si="24"/>
        <v>4.8300167519999997</v>
      </c>
      <c r="M79" s="66">
        <f t="shared" si="24"/>
        <v>4.8300167519999997</v>
      </c>
      <c r="N79" s="66">
        <f t="shared" si="24"/>
        <v>4.6742097600000001</v>
      </c>
      <c r="O79" s="66">
        <f t="shared" si="24"/>
        <v>4.8300167519999997</v>
      </c>
      <c r="P79" s="66">
        <f t="shared" si="24"/>
        <v>4.6742097600000001</v>
      </c>
      <c r="Q79" s="66">
        <f t="shared" si="24"/>
        <v>4.8300167519999997</v>
      </c>
      <c r="R79" s="66">
        <f t="shared" si="24"/>
        <v>4.8300167519999997</v>
      </c>
      <c r="S79" s="66">
        <f t="shared" si="24"/>
        <v>4.362595776</v>
      </c>
      <c r="T79" s="66">
        <f t="shared" si="24"/>
        <v>4.8300167519999997</v>
      </c>
      <c r="U79" s="17">
        <f t="shared" ref="U79:U92" si="25">+SUM(I79:T79)</f>
        <v>56.869552079999991</v>
      </c>
    </row>
    <row r="80" spans="3:21" x14ac:dyDescent="0.25">
      <c r="C80" s="806"/>
      <c r="D80" s="17" t="s">
        <v>390</v>
      </c>
      <c r="E80" s="17">
        <f>[43]Gen!DB69</f>
        <v>440</v>
      </c>
      <c r="F80" s="17"/>
      <c r="G80" s="17">
        <f>[43]Gen!DD69</f>
        <v>67.716000000000008</v>
      </c>
      <c r="H80" s="66">
        <f t="shared" ref="H80:H83" si="26">G80*0.2945</f>
        <v>19.942362000000003</v>
      </c>
      <c r="I80" s="66">
        <f t="shared" si="24"/>
        <v>14.358500640000003</v>
      </c>
      <c r="J80" s="66">
        <f t="shared" si="24"/>
        <v>14.837117328000001</v>
      </c>
      <c r="K80" s="66">
        <f t="shared" si="24"/>
        <v>14.358500640000003</v>
      </c>
      <c r="L80" s="66">
        <f t="shared" si="24"/>
        <v>14.837117328000001</v>
      </c>
      <c r="M80" s="66">
        <f t="shared" si="24"/>
        <v>14.837117328000001</v>
      </c>
      <c r="N80" s="66">
        <f t="shared" si="24"/>
        <v>14.358500640000003</v>
      </c>
      <c r="O80" s="66">
        <f t="shared" si="24"/>
        <v>14.837117328000001</v>
      </c>
      <c r="P80" s="66">
        <f t="shared" si="24"/>
        <v>14.358500640000003</v>
      </c>
      <c r="Q80" s="66">
        <f t="shared" si="24"/>
        <v>14.837117328000001</v>
      </c>
      <c r="R80" s="66">
        <f t="shared" si="24"/>
        <v>14.837117328000001</v>
      </c>
      <c r="S80" s="66">
        <f t="shared" si="24"/>
        <v>13.401267264000001</v>
      </c>
      <c r="T80" s="66">
        <f t="shared" si="24"/>
        <v>14.837117328000001</v>
      </c>
      <c r="U80" s="17">
        <f t="shared" si="25"/>
        <v>174.69509112000006</v>
      </c>
    </row>
    <row r="81" spans="3:22" x14ac:dyDescent="0.25">
      <c r="C81" s="806"/>
      <c r="D81" s="17" t="s">
        <v>391</v>
      </c>
      <c r="E81" s="17">
        <f>[43]Gen!DB70</f>
        <v>440</v>
      </c>
      <c r="F81" s="17"/>
      <c r="G81" s="17">
        <f>[43]Gen!DD70</f>
        <v>72.028000000000006</v>
      </c>
      <c r="H81" s="66">
        <f t="shared" si="26"/>
        <v>21.212246</v>
      </c>
      <c r="I81" s="66">
        <f t="shared" si="24"/>
        <v>15.272817119999999</v>
      </c>
      <c r="J81" s="66">
        <f t="shared" si="24"/>
        <v>15.781911023999999</v>
      </c>
      <c r="K81" s="66">
        <f t="shared" si="24"/>
        <v>15.272817119999999</v>
      </c>
      <c r="L81" s="66">
        <f t="shared" si="24"/>
        <v>15.781911023999999</v>
      </c>
      <c r="M81" s="66">
        <f t="shared" si="24"/>
        <v>15.781911023999999</v>
      </c>
      <c r="N81" s="66">
        <f t="shared" si="24"/>
        <v>15.272817119999999</v>
      </c>
      <c r="O81" s="66">
        <f t="shared" si="24"/>
        <v>15.781911023999999</v>
      </c>
      <c r="P81" s="66">
        <f t="shared" si="24"/>
        <v>15.272817119999999</v>
      </c>
      <c r="Q81" s="66">
        <f t="shared" si="24"/>
        <v>15.781911023999999</v>
      </c>
      <c r="R81" s="66">
        <f t="shared" si="24"/>
        <v>15.781911023999999</v>
      </c>
      <c r="S81" s="66">
        <f t="shared" si="24"/>
        <v>14.254629312</v>
      </c>
      <c r="T81" s="66">
        <f t="shared" si="24"/>
        <v>15.781911023999999</v>
      </c>
      <c r="U81" s="17">
        <f t="shared" si="25"/>
        <v>185.81927496</v>
      </c>
    </row>
    <row r="82" spans="3:22" x14ac:dyDescent="0.25">
      <c r="C82" s="807"/>
      <c r="D82" s="17" t="s">
        <v>392</v>
      </c>
      <c r="E82" s="17">
        <f>[43]Gen!$DB$72</f>
        <v>1000</v>
      </c>
      <c r="F82" s="17"/>
      <c r="G82" s="17">
        <f>[43]Gen!$DD$72</f>
        <v>50</v>
      </c>
      <c r="H82" s="66">
        <f t="shared" si="26"/>
        <v>14.725</v>
      </c>
      <c r="I82" s="66">
        <f t="shared" si="24"/>
        <v>10.602</v>
      </c>
      <c r="J82" s="66">
        <f t="shared" si="24"/>
        <v>10.955399999999999</v>
      </c>
      <c r="K82" s="66">
        <f t="shared" si="24"/>
        <v>10.602</v>
      </c>
      <c r="L82" s="66">
        <f t="shared" si="24"/>
        <v>10.955399999999999</v>
      </c>
      <c r="M82" s="66">
        <f t="shared" si="24"/>
        <v>10.955399999999999</v>
      </c>
      <c r="N82" s="66">
        <f t="shared" si="24"/>
        <v>10.602</v>
      </c>
      <c r="O82" s="66">
        <f t="shared" si="24"/>
        <v>10.955399999999999</v>
      </c>
      <c r="P82" s="66">
        <f t="shared" si="24"/>
        <v>10.602</v>
      </c>
      <c r="Q82" s="66">
        <f t="shared" si="24"/>
        <v>10.955399999999999</v>
      </c>
      <c r="R82" s="66">
        <f t="shared" si="24"/>
        <v>10.955399999999999</v>
      </c>
      <c r="S82" s="66">
        <f t="shared" si="24"/>
        <v>9.8952000000000009</v>
      </c>
      <c r="T82" s="66">
        <f t="shared" si="24"/>
        <v>10.955399999999999</v>
      </c>
      <c r="U82" s="17">
        <f t="shared" si="25"/>
        <v>128.99100000000001</v>
      </c>
    </row>
    <row r="83" spans="3:22" x14ac:dyDescent="0.25">
      <c r="C83" s="17"/>
      <c r="D83" s="17" t="s">
        <v>452</v>
      </c>
      <c r="E83" s="17"/>
      <c r="F83" s="17"/>
      <c r="G83" s="66">
        <v>4.5306123769857845</v>
      </c>
      <c r="H83" s="66">
        <f t="shared" si="26"/>
        <v>1.3342653450223134</v>
      </c>
      <c r="I83" s="66">
        <f t="shared" si="24"/>
        <v>0.96067104841606565</v>
      </c>
      <c r="J83" s="66">
        <f t="shared" si="24"/>
        <v>0.99269341669660116</v>
      </c>
      <c r="K83" s="66">
        <f t="shared" si="24"/>
        <v>0.96067104841606565</v>
      </c>
      <c r="L83" s="66">
        <f t="shared" si="24"/>
        <v>0.99269341669660116</v>
      </c>
      <c r="M83" s="66">
        <f t="shared" si="24"/>
        <v>0.99269341669660116</v>
      </c>
      <c r="N83" s="66">
        <f t="shared" si="24"/>
        <v>0.96067104841606565</v>
      </c>
      <c r="O83" s="66">
        <f t="shared" si="24"/>
        <v>0.99269341669660116</v>
      </c>
      <c r="P83" s="66">
        <f t="shared" si="24"/>
        <v>0.96067104841606565</v>
      </c>
      <c r="Q83" s="66">
        <f t="shared" si="24"/>
        <v>0.99269341669660116</v>
      </c>
      <c r="R83" s="66">
        <f t="shared" si="24"/>
        <v>0.99269341669660116</v>
      </c>
      <c r="S83" s="66">
        <f t="shared" si="24"/>
        <v>0.89662631185499453</v>
      </c>
      <c r="T83" s="66">
        <f t="shared" si="24"/>
        <v>0.99269341669660116</v>
      </c>
      <c r="U83" s="17">
        <f t="shared" si="25"/>
        <v>11.688164422395467</v>
      </c>
    </row>
    <row r="84" spans="3:22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>
        <f t="shared" si="25"/>
        <v>0</v>
      </c>
    </row>
    <row r="85" spans="3:22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>
        <f t="shared" si="25"/>
        <v>0</v>
      </c>
    </row>
    <row r="86" spans="3:22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>
        <f t="shared" si="25"/>
        <v>0</v>
      </c>
    </row>
    <row r="87" spans="3:22" x14ac:dyDescent="0.25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>
        <f t="shared" si="25"/>
        <v>0</v>
      </c>
    </row>
    <row r="88" spans="3:22" x14ac:dyDescent="0.25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>
        <f t="shared" si="25"/>
        <v>0</v>
      </c>
    </row>
    <row r="89" spans="3:22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>
        <f t="shared" si="25"/>
        <v>0</v>
      </c>
    </row>
    <row r="90" spans="3:22" x14ac:dyDescent="0.25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>
        <f t="shared" si="25"/>
        <v>0</v>
      </c>
    </row>
    <row r="91" spans="3:22" x14ac:dyDescent="0.25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>
        <f t="shared" si="25"/>
        <v>0</v>
      </c>
    </row>
    <row r="92" spans="3:22" x14ac:dyDescent="0.25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>
        <f t="shared" si="25"/>
        <v>0</v>
      </c>
    </row>
    <row r="93" spans="3:22" x14ac:dyDescent="0.25">
      <c r="C93" s="751" t="s">
        <v>212</v>
      </c>
      <c r="D93" s="752"/>
      <c r="E93" s="17">
        <f>SUM(E79:E92)</f>
        <v>2320</v>
      </c>
      <c r="F93" s="17">
        <f t="shared" ref="F93:T93" si="27">SUM(F79:F92)</f>
        <v>0</v>
      </c>
      <c r="G93" s="17">
        <f t="shared" si="27"/>
        <v>216.31861237698578</v>
      </c>
      <c r="H93" s="17">
        <f t="shared" si="27"/>
        <v>63.705831345022325</v>
      </c>
      <c r="I93" s="17">
        <f t="shared" si="27"/>
        <v>45.868198568416069</v>
      </c>
      <c r="J93" s="17">
        <f t="shared" si="27"/>
        <v>47.3971385206966</v>
      </c>
      <c r="K93" s="17">
        <f t="shared" si="27"/>
        <v>45.868198568416069</v>
      </c>
      <c r="L93" s="17">
        <f t="shared" si="27"/>
        <v>47.3971385206966</v>
      </c>
      <c r="M93" s="17">
        <f t="shared" si="27"/>
        <v>47.3971385206966</v>
      </c>
      <c r="N93" s="17">
        <f t="shared" si="27"/>
        <v>45.868198568416069</v>
      </c>
      <c r="O93" s="17">
        <f t="shared" si="27"/>
        <v>47.3971385206966</v>
      </c>
      <c r="P93" s="17">
        <f t="shared" si="27"/>
        <v>45.868198568416069</v>
      </c>
      <c r="Q93" s="17">
        <f t="shared" si="27"/>
        <v>47.3971385206966</v>
      </c>
      <c r="R93" s="17">
        <f t="shared" si="27"/>
        <v>47.3971385206966</v>
      </c>
      <c r="S93" s="17">
        <f t="shared" si="27"/>
        <v>42.810318663855</v>
      </c>
      <c r="T93" s="17">
        <f t="shared" si="27"/>
        <v>47.3971385206966</v>
      </c>
      <c r="U93" s="86">
        <f>SUM(I93:T93)</f>
        <v>558.06308258239551</v>
      </c>
    </row>
    <row r="94" spans="3:22" x14ac:dyDescent="0.25">
      <c r="C94" s="753" t="s">
        <v>394</v>
      </c>
      <c r="D94" s="754"/>
      <c r="E94" s="17">
        <f>E77+E93</f>
        <v>19095</v>
      </c>
      <c r="F94" s="17">
        <f t="shared" ref="F94:T94" si="28">F77+F93</f>
        <v>0</v>
      </c>
      <c r="G94" s="17">
        <f t="shared" si="28"/>
        <v>3920.6386123769853</v>
      </c>
      <c r="H94" s="17">
        <f t="shared" si="28"/>
        <v>1154.6280713450221</v>
      </c>
      <c r="I94" s="17">
        <f t="shared" si="28"/>
        <v>713.51260944841601</v>
      </c>
      <c r="J94" s="17">
        <f t="shared" si="28"/>
        <v>737.29636309669661</v>
      </c>
      <c r="K94" s="17">
        <f t="shared" si="28"/>
        <v>713.51260944841601</v>
      </c>
      <c r="L94" s="17">
        <f t="shared" si="28"/>
        <v>737.29636309669661</v>
      </c>
      <c r="M94" s="17">
        <f t="shared" si="28"/>
        <v>737.29636309669661</v>
      </c>
      <c r="N94" s="17">
        <f t="shared" si="28"/>
        <v>713.51260944841601</v>
      </c>
      <c r="O94" s="17">
        <f t="shared" si="28"/>
        <v>737.29636309669661</v>
      </c>
      <c r="P94" s="17">
        <f t="shared" si="28"/>
        <v>713.51260944841601</v>
      </c>
      <c r="Q94" s="17">
        <f t="shared" si="28"/>
        <v>737.29636309669661</v>
      </c>
      <c r="R94" s="17">
        <f t="shared" si="28"/>
        <v>737.29636309669661</v>
      </c>
      <c r="S94" s="17">
        <f t="shared" si="28"/>
        <v>665.94510215185505</v>
      </c>
      <c r="T94" s="17">
        <f t="shared" si="28"/>
        <v>737.29636309669661</v>
      </c>
      <c r="U94" s="86">
        <f>U77+U93</f>
        <v>8681.0700816223944</v>
      </c>
      <c r="V94" s="427">
        <v>8681</v>
      </c>
    </row>
    <row r="95" spans="3:22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</row>
    <row r="96" spans="3:22" x14ac:dyDescent="0.25">
      <c r="C96" s="17" t="s">
        <v>396</v>
      </c>
      <c r="D96" s="17" t="s">
        <v>396</v>
      </c>
      <c r="E96" s="111">
        <v>500</v>
      </c>
      <c r="F96" s="17"/>
      <c r="G96" s="66">
        <v>269.45</v>
      </c>
      <c r="H96" s="17">
        <f>G96*0.2945</f>
        <v>79.353024999999988</v>
      </c>
      <c r="I96" s="17">
        <f>$H96*0.85*I$6*24/1000</f>
        <v>48.564051300000003</v>
      </c>
      <c r="J96" s="17">
        <f t="shared" ref="J96:T96" si="29">$H96*0.85*J$6*24/1000</f>
        <v>50.182853010000002</v>
      </c>
      <c r="K96" s="17">
        <f t="shared" si="29"/>
        <v>48.564051300000003</v>
      </c>
      <c r="L96" s="17">
        <f t="shared" si="29"/>
        <v>50.182853010000002</v>
      </c>
      <c r="M96" s="17">
        <f t="shared" si="29"/>
        <v>50.182853010000002</v>
      </c>
      <c r="N96" s="17">
        <f t="shared" si="29"/>
        <v>48.564051300000003</v>
      </c>
      <c r="O96" s="17">
        <f t="shared" si="29"/>
        <v>50.182853010000002</v>
      </c>
      <c r="P96" s="17">
        <f t="shared" si="29"/>
        <v>48.564051300000003</v>
      </c>
      <c r="Q96" s="17">
        <f t="shared" si="29"/>
        <v>50.182853010000002</v>
      </c>
      <c r="R96" s="17">
        <f t="shared" si="29"/>
        <v>50.182853010000002</v>
      </c>
      <c r="S96" s="17">
        <f t="shared" si="29"/>
        <v>45.326447879999989</v>
      </c>
      <c r="T96" s="17">
        <f t="shared" si="29"/>
        <v>50.182853010000002</v>
      </c>
      <c r="U96" s="17">
        <f t="shared" ref="U96:U102" si="30">+SUM(I96:T96)</f>
        <v>590.86262414999999</v>
      </c>
    </row>
    <row r="97" spans="3:22" x14ac:dyDescent="0.25">
      <c r="C97" s="17" t="s">
        <v>397</v>
      </c>
      <c r="D97" s="17" t="s">
        <v>397</v>
      </c>
      <c r="E97" s="111">
        <v>570</v>
      </c>
      <c r="F97" s="17"/>
      <c r="G97" s="111">
        <v>570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f t="shared" si="30"/>
        <v>0</v>
      </c>
    </row>
    <row r="98" spans="3:22" x14ac:dyDescent="0.25"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>
        <f t="shared" si="30"/>
        <v>0</v>
      </c>
    </row>
    <row r="99" spans="3:22" x14ac:dyDescent="0.25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>
        <f t="shared" si="30"/>
        <v>0</v>
      </c>
    </row>
    <row r="100" spans="3:22" x14ac:dyDescent="0.2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>
        <f t="shared" si="30"/>
        <v>0</v>
      </c>
    </row>
    <row r="101" spans="3:22" x14ac:dyDescent="0.2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>
        <f t="shared" si="30"/>
        <v>0</v>
      </c>
    </row>
    <row r="102" spans="3:22" x14ac:dyDescent="0.25"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>
        <f t="shared" si="30"/>
        <v>0</v>
      </c>
    </row>
    <row r="103" spans="3:22" x14ac:dyDescent="0.25">
      <c r="C103" s="753" t="s">
        <v>398</v>
      </c>
      <c r="D103" s="754"/>
      <c r="E103" s="17">
        <f>SUM(E96:E102)</f>
        <v>1070</v>
      </c>
      <c r="F103" s="17">
        <f t="shared" ref="F103:T103" si="31">SUM(F96:F102)</f>
        <v>0</v>
      </c>
      <c r="G103" s="17">
        <f t="shared" si="31"/>
        <v>839.45</v>
      </c>
      <c r="H103" s="17">
        <f t="shared" si="31"/>
        <v>79.353024999999988</v>
      </c>
      <c r="I103" s="17">
        <f t="shared" si="31"/>
        <v>48.564051300000003</v>
      </c>
      <c r="J103" s="17">
        <f t="shared" si="31"/>
        <v>50.182853010000002</v>
      </c>
      <c r="K103" s="17">
        <f t="shared" si="31"/>
        <v>48.564051300000003</v>
      </c>
      <c r="L103" s="17">
        <f t="shared" si="31"/>
        <v>50.182853010000002</v>
      </c>
      <c r="M103" s="17">
        <f t="shared" si="31"/>
        <v>50.182853010000002</v>
      </c>
      <c r="N103" s="17">
        <f t="shared" si="31"/>
        <v>48.564051300000003</v>
      </c>
      <c r="O103" s="17">
        <f t="shared" si="31"/>
        <v>50.182853010000002</v>
      </c>
      <c r="P103" s="17">
        <f t="shared" si="31"/>
        <v>48.564051300000003</v>
      </c>
      <c r="Q103" s="17">
        <f t="shared" si="31"/>
        <v>50.182853010000002</v>
      </c>
      <c r="R103" s="17">
        <f t="shared" si="31"/>
        <v>50.182853010000002</v>
      </c>
      <c r="S103" s="17">
        <f t="shared" si="31"/>
        <v>45.326447879999989</v>
      </c>
      <c r="T103" s="17">
        <f t="shared" si="31"/>
        <v>50.182853010000002</v>
      </c>
      <c r="U103" s="86">
        <f>SUM(I103:T103)</f>
        <v>590.86262414999999</v>
      </c>
      <c r="V103" s="427">
        <v>591</v>
      </c>
    </row>
    <row r="104" spans="3:22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3:22" x14ac:dyDescent="0.25">
      <c r="C105" s="17" t="s">
        <v>400</v>
      </c>
      <c r="D105" s="17" t="s">
        <v>400</v>
      </c>
      <c r="E105" s="17">
        <v>1200</v>
      </c>
      <c r="F105" s="17"/>
      <c r="G105" s="17">
        <v>1200</v>
      </c>
      <c r="H105" s="66">
        <f>G105*0.2945</f>
        <v>353.4</v>
      </c>
      <c r="I105" s="66">
        <f>H105*0.85*30*24/1000</f>
        <v>216.2808</v>
      </c>
      <c r="J105" s="66">
        <f>H105*0.85*31*24/1000</f>
        <v>223.49016</v>
      </c>
      <c r="K105" s="66">
        <f>H105*0.85*30*24/1000</f>
        <v>216.2808</v>
      </c>
      <c r="L105" s="66">
        <f>H105*0.85*31*24/1000</f>
        <v>223.49016</v>
      </c>
      <c r="M105" s="66">
        <f>H105*0.85*31*24/1000</f>
        <v>223.49016</v>
      </c>
      <c r="N105" s="66">
        <f>H105*0.85*30*24/1000</f>
        <v>216.2808</v>
      </c>
      <c r="O105" s="66">
        <f>H105*0.85*31*24/1000</f>
        <v>223.49016</v>
      </c>
      <c r="P105" s="66">
        <f>H105*0.85*30*24/1000</f>
        <v>216.2808</v>
      </c>
      <c r="Q105" s="66">
        <f>H105*0.85*31*24/1000</f>
        <v>223.49016</v>
      </c>
      <c r="R105" s="66">
        <f>H105*0.85*31*24/1000</f>
        <v>223.49016</v>
      </c>
      <c r="S105" s="66">
        <f>H105*0.85*28*24/1000</f>
        <v>201.86208000000002</v>
      </c>
      <c r="T105" s="66">
        <f>H105*0.85*31*24/1000</f>
        <v>223.49016</v>
      </c>
      <c r="U105" s="17">
        <f t="shared" ref="U105:U112" si="32">+SUM(I105:T105)</f>
        <v>2631.4164000000001</v>
      </c>
    </row>
    <row r="106" spans="3:22" x14ac:dyDescent="0.25">
      <c r="C106" s="17" t="s">
        <v>401</v>
      </c>
      <c r="D106" s="17" t="s">
        <v>401</v>
      </c>
      <c r="E106" s="111">
        <v>1000</v>
      </c>
      <c r="F106" s="17"/>
      <c r="G106" s="111">
        <v>1000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f t="shared" si="32"/>
        <v>0</v>
      </c>
    </row>
    <row r="107" spans="3:22" x14ac:dyDescent="0.25">
      <c r="C107" s="17" t="s">
        <v>402</v>
      </c>
      <c r="D107" s="17" t="s">
        <v>402</v>
      </c>
      <c r="E107" s="111">
        <f>'F9-Year(n-1)'!E108</f>
        <v>0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>
        <f t="shared" si="32"/>
        <v>0</v>
      </c>
    </row>
    <row r="108" spans="3:22" x14ac:dyDescent="0.2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>
        <f t="shared" si="32"/>
        <v>0</v>
      </c>
    </row>
    <row r="109" spans="3:22" x14ac:dyDescent="0.2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f t="shared" si="32"/>
        <v>0</v>
      </c>
    </row>
    <row r="110" spans="3:22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>
        <f t="shared" si="32"/>
        <v>0</v>
      </c>
    </row>
    <row r="111" spans="3:22" x14ac:dyDescent="0.25"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f t="shared" si="32"/>
        <v>0</v>
      </c>
    </row>
    <row r="112" spans="3:22" x14ac:dyDescent="0.25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>
        <f t="shared" si="32"/>
        <v>0</v>
      </c>
    </row>
    <row r="113" spans="3:22" x14ac:dyDescent="0.25">
      <c r="C113" s="753" t="s">
        <v>403</v>
      </c>
      <c r="D113" s="754"/>
      <c r="E113" s="17">
        <f>SUM(E105:E112)</f>
        <v>2200</v>
      </c>
      <c r="F113" s="17">
        <f t="shared" ref="F113:T113" si="33">SUM(F105:F112)</f>
        <v>0</v>
      </c>
      <c r="G113" s="17">
        <f t="shared" si="33"/>
        <v>2200</v>
      </c>
      <c r="H113" s="17">
        <f t="shared" si="33"/>
        <v>353.4</v>
      </c>
      <c r="I113" s="17">
        <f t="shared" si="33"/>
        <v>216.2808</v>
      </c>
      <c r="J113" s="17">
        <f t="shared" si="33"/>
        <v>223.49016</v>
      </c>
      <c r="K113" s="17">
        <f t="shared" si="33"/>
        <v>216.2808</v>
      </c>
      <c r="L113" s="17">
        <f t="shared" si="33"/>
        <v>223.49016</v>
      </c>
      <c r="M113" s="17">
        <f t="shared" si="33"/>
        <v>223.49016</v>
      </c>
      <c r="N113" s="17">
        <f t="shared" si="33"/>
        <v>216.2808</v>
      </c>
      <c r="O113" s="17">
        <f t="shared" si="33"/>
        <v>223.49016</v>
      </c>
      <c r="P113" s="17">
        <f t="shared" si="33"/>
        <v>216.2808</v>
      </c>
      <c r="Q113" s="17">
        <f t="shared" si="33"/>
        <v>223.49016</v>
      </c>
      <c r="R113" s="17">
        <f t="shared" si="33"/>
        <v>223.49016</v>
      </c>
      <c r="S113" s="17">
        <f t="shared" si="33"/>
        <v>201.86208000000002</v>
      </c>
      <c r="T113" s="17">
        <f t="shared" si="33"/>
        <v>223.49016</v>
      </c>
      <c r="U113" s="86">
        <f>SUM(I113:T113)</f>
        <v>2631.4164000000001</v>
      </c>
      <c r="V113" s="427">
        <v>2632</v>
      </c>
    </row>
    <row r="114" spans="3:22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3:22" x14ac:dyDescent="0.25">
      <c r="C115" s="17"/>
      <c r="D115" s="17" t="s">
        <v>405</v>
      </c>
      <c r="E115" s="111">
        <f>'F9-Year(n)'!E114</f>
        <v>6</v>
      </c>
      <c r="F115" s="128"/>
      <c r="G115" s="111">
        <f>'F9-Year(n)'!G114</f>
        <v>6</v>
      </c>
      <c r="H115" s="111">
        <f>'F9-Year(n)'!H114</f>
        <v>6</v>
      </c>
      <c r="I115" s="66">
        <f>'F11-Year(n+3) '!E115</f>
        <v>3.246513007437709E-2</v>
      </c>
      <c r="J115" s="66">
        <f>'F11-Year(n+3) '!F115</f>
        <v>3.246513007437709E-2</v>
      </c>
      <c r="K115" s="66">
        <f>'F11-Year(n+3) '!G115</f>
        <v>3.246513007437709E-2</v>
      </c>
      <c r="L115" s="66">
        <f>'F11-Year(n+3) '!H115</f>
        <v>3.246513007437709E-2</v>
      </c>
      <c r="M115" s="66">
        <f>'F11-Year(n+3) '!I115</f>
        <v>3.246513007437709E-2</v>
      </c>
      <c r="N115" s="66">
        <f>'F11-Year(n+3) '!J115</f>
        <v>3.246513007437709E-2</v>
      </c>
      <c r="O115" s="66">
        <f>'F11-Year(n+3) '!K115</f>
        <v>3.246513007437709E-2</v>
      </c>
      <c r="P115" s="66">
        <f>'F11-Year(n+3) '!L115</f>
        <v>3.246513007437709E-2</v>
      </c>
      <c r="Q115" s="66">
        <f>'F11-Year(n+3) '!M115</f>
        <v>3.246513007437709E-2</v>
      </c>
      <c r="R115" s="66">
        <f>'F11-Year(n+3) '!N115</f>
        <v>3.246513007437709E-2</v>
      </c>
      <c r="S115" s="66">
        <f>'F11-Year(n+3) '!O115</f>
        <v>3.246513007437709E-2</v>
      </c>
      <c r="T115" s="66">
        <f>'F11-Year(n+3) '!P115</f>
        <v>3.246513007437709E-2</v>
      </c>
      <c r="U115" s="17">
        <f t="shared" ref="U115:U138" si="34">+SUM(I115:T115)</f>
        <v>0.38958156089252499</v>
      </c>
    </row>
    <row r="116" spans="3:22" x14ac:dyDescent="0.25">
      <c r="C116" s="17"/>
      <c r="D116" s="17" t="s">
        <v>406</v>
      </c>
      <c r="E116" s="111">
        <f>'F9-Year(n)'!E115</f>
        <v>46.7</v>
      </c>
      <c r="F116" s="128"/>
      <c r="G116" s="111">
        <f>'F9-Year(n)'!G115</f>
        <v>46.7</v>
      </c>
      <c r="H116" s="111">
        <f>'F9-Year(n)'!H115</f>
        <v>46.7</v>
      </c>
      <c r="I116" s="66">
        <f>'F11-Year(n+3) '!E116</f>
        <v>0</v>
      </c>
      <c r="J116" s="66">
        <f>'F11-Year(n+3) '!F116</f>
        <v>0</v>
      </c>
      <c r="K116" s="66">
        <f>'F11-Year(n+3) '!G116</f>
        <v>0</v>
      </c>
      <c r="L116" s="66">
        <f>'F11-Year(n+3) '!H116</f>
        <v>0</v>
      </c>
      <c r="M116" s="66">
        <f>'F11-Year(n+3) '!I116</f>
        <v>0</v>
      </c>
      <c r="N116" s="66">
        <f>'F11-Year(n+3) '!J116</f>
        <v>0</v>
      </c>
      <c r="O116" s="66">
        <f>'F11-Year(n+3) '!K116</f>
        <v>0</v>
      </c>
      <c r="P116" s="66">
        <f>'F11-Year(n+3) '!L116</f>
        <v>0</v>
      </c>
      <c r="Q116" s="66">
        <f>'F11-Year(n+3) '!M116</f>
        <v>0</v>
      </c>
      <c r="R116" s="66">
        <f>'F11-Year(n+3) '!N116</f>
        <v>0</v>
      </c>
      <c r="S116" s="66">
        <f>'F11-Year(n+3) '!O116</f>
        <v>0</v>
      </c>
      <c r="T116" s="66">
        <f>'F11-Year(n+3) '!P116</f>
        <v>0</v>
      </c>
      <c r="U116" s="17">
        <f t="shared" si="34"/>
        <v>0</v>
      </c>
    </row>
    <row r="117" spans="3:22" x14ac:dyDescent="0.25">
      <c r="C117" s="17"/>
      <c r="D117" s="17" t="s">
        <v>407</v>
      </c>
      <c r="E117" s="111">
        <f>'F9-Year(n)'!E116</f>
        <v>19.8</v>
      </c>
      <c r="F117" s="128"/>
      <c r="G117" s="111">
        <f>'F9-Year(n)'!G116</f>
        <v>19.8</v>
      </c>
      <c r="H117" s="111"/>
      <c r="I117" s="66">
        <f>'F11-Year(n+3) '!E117</f>
        <v>0</v>
      </c>
      <c r="J117" s="66">
        <f>'F11-Year(n+3) '!F117</f>
        <v>0</v>
      </c>
      <c r="K117" s="66">
        <f>'F11-Year(n+3) '!G117</f>
        <v>0</v>
      </c>
      <c r="L117" s="66">
        <f>'F11-Year(n+3) '!H117</f>
        <v>0</v>
      </c>
      <c r="M117" s="66">
        <f>'F11-Year(n+3) '!I117</f>
        <v>0</v>
      </c>
      <c r="N117" s="66">
        <f>'F11-Year(n+3) '!J117</f>
        <v>0</v>
      </c>
      <c r="O117" s="66">
        <f>'F11-Year(n+3) '!K117</f>
        <v>0</v>
      </c>
      <c r="P117" s="66">
        <f>'F11-Year(n+3) '!L117</f>
        <v>0</v>
      </c>
      <c r="Q117" s="66">
        <f>'F11-Year(n+3) '!M117</f>
        <v>0</v>
      </c>
      <c r="R117" s="66">
        <f>'F11-Year(n+3) '!N117</f>
        <v>0</v>
      </c>
      <c r="S117" s="66">
        <f>'F11-Year(n+3) '!O117</f>
        <v>0</v>
      </c>
      <c r="T117" s="66">
        <f>'F11-Year(n+3) '!P117</f>
        <v>0</v>
      </c>
      <c r="U117" s="17">
        <f t="shared" si="34"/>
        <v>0</v>
      </c>
    </row>
    <row r="118" spans="3:22" x14ac:dyDescent="0.25">
      <c r="C118" s="17"/>
      <c r="D118" s="17" t="s">
        <v>408</v>
      </c>
      <c r="E118" s="111">
        <f>'F9-Year(n)'!E117</f>
        <v>15</v>
      </c>
      <c r="F118" s="128"/>
      <c r="G118" s="111">
        <f>'F9-Year(n)'!G117</f>
        <v>15</v>
      </c>
      <c r="H118" s="111">
        <f>'F9-Year(n)'!H117</f>
        <v>7.5</v>
      </c>
      <c r="I118" s="66">
        <f>'F11-Year(n+3) '!E118</f>
        <v>3.4230403982486481</v>
      </c>
      <c r="J118" s="66">
        <f>'F11-Year(n+3) '!F118</f>
        <v>2.4068827715478456</v>
      </c>
      <c r="K118" s="66">
        <f>'F11-Year(n+3) '!G118</f>
        <v>2.0011918250327527</v>
      </c>
      <c r="L118" s="66">
        <f>'F11-Year(n+3) '!H118</f>
        <v>2.8257201817807629</v>
      </c>
      <c r="M118" s="66">
        <f>'F11-Year(n+3) '!I118</f>
        <v>2.8257201817807629</v>
      </c>
      <c r="N118" s="66">
        <f>'F11-Year(n+3) '!J118</f>
        <v>2.0143318222165307</v>
      </c>
      <c r="O118" s="66">
        <f>'F11-Year(n+3) '!K118</f>
        <v>2.8257201817807629</v>
      </c>
      <c r="P118" s="66">
        <f>'F11-Year(n+3) '!L118</f>
        <v>2.6550931366573942</v>
      </c>
      <c r="Q118" s="66">
        <f>'F11-Year(n+3) '!M118</f>
        <v>4.3331770437353327</v>
      </c>
      <c r="R118" s="66">
        <f>'F11-Year(n+3) '!N118</f>
        <v>4.4055828254611002</v>
      </c>
      <c r="S118" s="66">
        <f>'F11-Year(n+3) '!O118</f>
        <v>4.6468384332029542</v>
      </c>
      <c r="T118" s="66">
        <f>'F11-Year(n+3) '!P118</f>
        <v>4.6664923856835445</v>
      </c>
      <c r="U118" s="17">
        <f t="shared" si="34"/>
        <v>39.029791187128396</v>
      </c>
    </row>
    <row r="119" spans="3:22" x14ac:dyDescent="0.25">
      <c r="C119" s="17"/>
      <c r="D119" s="17" t="s">
        <v>409</v>
      </c>
      <c r="E119" s="111">
        <f>'F9-Year(n)'!E118</f>
        <v>128.1</v>
      </c>
      <c r="F119" s="128"/>
      <c r="G119" s="111">
        <f>'F9-Year(n)'!G118</f>
        <v>128.1</v>
      </c>
      <c r="H119" s="111"/>
      <c r="I119" s="66">
        <f>'F11-Year(n+3) '!E119</f>
        <v>0</v>
      </c>
      <c r="J119" s="66">
        <f>'F11-Year(n+3) '!F119</f>
        <v>0</v>
      </c>
      <c r="K119" s="66">
        <f>'F11-Year(n+3) '!G119</f>
        <v>0</v>
      </c>
      <c r="L119" s="66">
        <f>'F11-Year(n+3) '!H119</f>
        <v>0</v>
      </c>
      <c r="M119" s="66">
        <f>'F11-Year(n+3) '!I119</f>
        <v>0</v>
      </c>
      <c r="N119" s="66">
        <f>'F11-Year(n+3) '!J119</f>
        <v>0</v>
      </c>
      <c r="O119" s="66">
        <f>'F11-Year(n+3) '!K119</f>
        <v>0</v>
      </c>
      <c r="P119" s="66">
        <f>'F11-Year(n+3) '!L119</f>
        <v>0</v>
      </c>
      <c r="Q119" s="66">
        <f>'F11-Year(n+3) '!M119</f>
        <v>0</v>
      </c>
      <c r="R119" s="66">
        <f>'F11-Year(n+3) '!N119</f>
        <v>0</v>
      </c>
      <c r="S119" s="66">
        <f>'F11-Year(n+3) '!O119</f>
        <v>0</v>
      </c>
      <c r="T119" s="66">
        <f>'F11-Year(n+3) '!P119</f>
        <v>0</v>
      </c>
      <c r="U119" s="17">
        <f t="shared" si="34"/>
        <v>0</v>
      </c>
    </row>
    <row r="120" spans="3:22" x14ac:dyDescent="0.25">
      <c r="C120" s="17"/>
      <c r="D120" s="17" t="s">
        <v>367</v>
      </c>
      <c r="E120" s="111">
        <f>'F9-Year(n)'!E119</f>
        <v>3.55</v>
      </c>
      <c r="F120" s="128"/>
      <c r="G120" s="111">
        <f>'F9-Year(n)'!G119</f>
        <v>3.55</v>
      </c>
      <c r="H120" s="111">
        <f>'F9-Year(n)'!H119</f>
        <v>2</v>
      </c>
      <c r="I120" s="66">
        <f>'F11-Year(n+3) '!E120</f>
        <v>1.0190928297479484E-2</v>
      </c>
      <c r="J120" s="66">
        <f>'F11-Year(n+3) '!F120</f>
        <v>1.0190928297479484E-2</v>
      </c>
      <c r="K120" s="66">
        <f>'F11-Year(n+3) '!G120</f>
        <v>1.0190928297479484E-2</v>
      </c>
      <c r="L120" s="66">
        <f>'F11-Year(n+3) '!H120</f>
        <v>1.0190928297479484E-2</v>
      </c>
      <c r="M120" s="66">
        <f>'F11-Year(n+3) '!I120</f>
        <v>1.0190928297479484E-2</v>
      </c>
      <c r="N120" s="66">
        <f>'F11-Year(n+3) '!J120</f>
        <v>1.0190928297479484E-2</v>
      </c>
      <c r="O120" s="66">
        <f>'F11-Year(n+3) '!K120</f>
        <v>1.0190928297479484E-2</v>
      </c>
      <c r="P120" s="66">
        <f>'F11-Year(n+3) '!L120</f>
        <v>1.0190928297479484E-2</v>
      </c>
      <c r="Q120" s="66">
        <f>'F11-Year(n+3) '!M120</f>
        <v>1.0190928297479484E-2</v>
      </c>
      <c r="R120" s="66">
        <f>'F11-Year(n+3) '!N120</f>
        <v>1.0190928297479484E-2</v>
      </c>
      <c r="S120" s="66">
        <f>'F11-Year(n+3) '!O120</f>
        <v>1.0190928297479484E-2</v>
      </c>
      <c r="T120" s="66">
        <f>'F11-Year(n+3) '!P120</f>
        <v>1.0190928297479484E-2</v>
      </c>
      <c r="U120" s="17">
        <f t="shared" si="34"/>
        <v>0.12229113956975383</v>
      </c>
    </row>
    <row r="121" spans="3:22" x14ac:dyDescent="0.25">
      <c r="C121" s="17"/>
      <c r="D121" s="17" t="s">
        <v>410</v>
      </c>
      <c r="E121" s="111">
        <f>'F9-Year(n)'!E120</f>
        <v>2833.74</v>
      </c>
      <c r="F121" s="128"/>
      <c r="G121" s="111">
        <f>'F9-Year(n)'!G120</f>
        <v>2833.74</v>
      </c>
      <c r="H121" s="111">
        <f>'F9-Year(n)'!H120</f>
        <v>872</v>
      </c>
      <c r="I121" s="66">
        <f>'F11-Year(n+3) '!E121</f>
        <v>218.66626561572374</v>
      </c>
      <c r="J121" s="66">
        <f>'F11-Year(n+3) '!F121</f>
        <v>225.47976283895861</v>
      </c>
      <c r="K121" s="66">
        <f>'F11-Year(n+3) '!G121</f>
        <v>211.10559487797087</v>
      </c>
      <c r="L121" s="66">
        <f>'F11-Year(n+3) '!H121</f>
        <v>165.34072749082293</v>
      </c>
      <c r="M121" s="66">
        <f>'F11-Year(n+3) '!I121</f>
        <v>203.35743595861499</v>
      </c>
      <c r="N121" s="66">
        <f>'F11-Year(n+3) '!J121</f>
        <v>179.25302400117482</v>
      </c>
      <c r="O121" s="66">
        <f>'F11-Year(n+3) '!K121</f>
        <v>219.76011064591242</v>
      </c>
      <c r="P121" s="66">
        <f>'F11-Year(n+3) '!L121</f>
        <v>169.45072073092365</v>
      </c>
      <c r="Q121" s="66">
        <f>'F11-Year(n+3) '!M121</f>
        <v>185.75531251776084</v>
      </c>
      <c r="R121" s="66">
        <f>'F11-Year(n+3) '!N121</f>
        <v>198.04237100251726</v>
      </c>
      <c r="S121" s="66">
        <f>'F11-Year(n+3) '!O121</f>
        <v>203.27782550421426</v>
      </c>
      <c r="T121" s="66">
        <f>'F11-Year(n+3) '!P121</f>
        <v>217.9710129275023</v>
      </c>
      <c r="U121" s="17">
        <f t="shared" si="34"/>
        <v>2397.4601641120967</v>
      </c>
    </row>
    <row r="122" spans="3:22" x14ac:dyDescent="0.25">
      <c r="C122" s="17"/>
      <c r="D122" s="17" t="s">
        <v>411</v>
      </c>
      <c r="E122" s="111">
        <f>'F9-Year(n)'!E121</f>
        <v>45.81</v>
      </c>
      <c r="F122" s="128"/>
      <c r="G122" s="111">
        <f>'F9-Year(n)'!G121</f>
        <v>45.81</v>
      </c>
      <c r="H122" s="111">
        <f>'F9-Year(n)'!H121</f>
        <v>23.49</v>
      </c>
      <c r="I122" s="66">
        <f>'F11-Year(n+3) '!E122</f>
        <v>5.8904479120565982</v>
      </c>
      <c r="J122" s="66">
        <f>'F11-Year(n+3) '!F122</f>
        <v>6.0739904003292891</v>
      </c>
      <c r="K122" s="66">
        <f>'F11-Year(n+3) '!G122</f>
        <v>5.6867780088113973</v>
      </c>
      <c r="L122" s="66">
        <f>'F11-Year(n+3) '!H122</f>
        <v>4.453960652247055</v>
      </c>
      <c r="M122" s="66">
        <f>'F11-Year(n+3) '!I122</f>
        <v>5.4780575351695742</v>
      </c>
      <c r="N122" s="66">
        <f>'F11-Year(n+3) '!J122</f>
        <v>4.828731116728898</v>
      </c>
      <c r="O122" s="66">
        <f>'F11-Year(n+3) '!K122</f>
        <v>5.9199139897620254</v>
      </c>
      <c r="P122" s="66">
        <f>'F11-Year(n+3) '!L122</f>
        <v>4.564675951799769</v>
      </c>
      <c r="Q122" s="66">
        <f>'F11-Year(n+3) '!M122</f>
        <v>5.0038902420208755</v>
      </c>
      <c r="R122" s="66">
        <f>'F11-Year(n+3) '!N122</f>
        <v>5.3348799252857031</v>
      </c>
      <c r="S122" s="66">
        <f>'F11-Year(n+3) '!O122</f>
        <v>5.4759129829059576</v>
      </c>
      <c r="T122" s="66">
        <f>'F11-Year(n+3) '!P122</f>
        <v>5.8717191441135688</v>
      </c>
      <c r="U122" s="17">
        <f t="shared" si="34"/>
        <v>64.58295786123071</v>
      </c>
    </row>
    <row r="123" spans="3:22" x14ac:dyDescent="0.25">
      <c r="C123" s="17"/>
      <c r="D123" s="17" t="s">
        <v>412</v>
      </c>
      <c r="E123" s="111">
        <f>'F9-Year(n)'!E122</f>
        <v>400</v>
      </c>
      <c r="F123" s="128"/>
      <c r="G123" s="111">
        <f>'F9-Year(n)'!G122</f>
        <v>400</v>
      </c>
      <c r="H123" s="111">
        <f>'F9-Year(n)'!H122</f>
        <v>117.8</v>
      </c>
      <c r="I123" s="66">
        <f>'F11-Year(n+3) '!E123</f>
        <v>29.54000698340856</v>
      </c>
      <c r="J123" s="66">
        <f>'F11-Year(n+3) '!F123</f>
        <v>30.460454200033645</v>
      </c>
      <c r="K123" s="66">
        <f>'F11-Year(n+3) '!G123</f>
        <v>28.518622794294707</v>
      </c>
      <c r="L123" s="66">
        <f>'F11-Year(n+3) '!H123</f>
        <v>22.336167085342829</v>
      </c>
      <c r="M123" s="66">
        <f>'F11-Year(n+3) '!I123</f>
        <v>27.471910499913832</v>
      </c>
      <c r="N123" s="66">
        <f>'F11-Year(n+3) '!J123</f>
        <v>24.215603471718357</v>
      </c>
      <c r="O123" s="66">
        <f>'F11-Year(n+3) '!K123</f>
        <v>29.687776415239099</v>
      </c>
      <c r="P123" s="66">
        <f>'F11-Year(n+3) '!L123</f>
        <v>22.891393236356439</v>
      </c>
      <c r="Q123" s="66">
        <f>'F11-Year(n+3) '!M123</f>
        <v>25.094008961688345</v>
      </c>
      <c r="R123" s="66">
        <f>'F11-Year(n+3) '!N123</f>
        <v>26.753889110202465</v>
      </c>
      <c r="S123" s="66">
        <f>'F11-Year(n+3) '!O123</f>
        <v>27.461155784858317</v>
      </c>
      <c r="T123" s="66">
        <f>'F11-Year(n+3) '!P123</f>
        <v>29.446084085848369</v>
      </c>
      <c r="U123" s="17">
        <f t="shared" si="34"/>
        <v>323.87707262890495</v>
      </c>
    </row>
    <row r="124" spans="3:22" x14ac:dyDescent="0.25">
      <c r="C124" s="17"/>
      <c r="D124" s="17" t="s">
        <v>413</v>
      </c>
      <c r="E124" s="111">
        <f>'F9-Year(n)'!E123</f>
        <v>400</v>
      </c>
      <c r="F124" s="128"/>
      <c r="G124" s="111">
        <f>'F9-Year(n)'!G123</f>
        <v>400</v>
      </c>
      <c r="H124" s="111">
        <f>'F9-Year(n)'!H123</f>
        <v>117.8</v>
      </c>
      <c r="I124" s="66">
        <f>'F11-Year(n+3) '!E124</f>
        <v>29.540006983408567</v>
      </c>
      <c r="J124" s="66">
        <f>'F11-Year(n+3) '!F124</f>
        <v>30.460454200033642</v>
      </c>
      <c r="K124" s="66">
        <f>'F11-Year(n+3) '!G124</f>
        <v>28.518622794294703</v>
      </c>
      <c r="L124" s="66">
        <f>'F11-Year(n+3) '!H124</f>
        <v>22.336167085342829</v>
      </c>
      <c r="M124" s="66">
        <f>'F11-Year(n+3) '!I124</f>
        <v>27.471910499913829</v>
      </c>
      <c r="N124" s="66">
        <f>'F11-Year(n+3) '!J124</f>
        <v>24.215603471718353</v>
      </c>
      <c r="O124" s="66">
        <f>'F11-Year(n+3) '!K124</f>
        <v>29.687776415239099</v>
      </c>
      <c r="P124" s="66">
        <f>'F11-Year(n+3) '!L124</f>
        <v>22.891393236356439</v>
      </c>
      <c r="Q124" s="66">
        <f>'F11-Year(n+3) '!M124</f>
        <v>25.094008961688345</v>
      </c>
      <c r="R124" s="66">
        <f>'F11-Year(n+3) '!N124</f>
        <v>26.753889110202461</v>
      </c>
      <c r="S124" s="66">
        <f>'F11-Year(n+3) '!O124</f>
        <v>27.461155784858317</v>
      </c>
      <c r="T124" s="66">
        <f>'F11-Year(n+3) '!P124</f>
        <v>29.446084085848373</v>
      </c>
      <c r="U124" s="17">
        <f t="shared" si="34"/>
        <v>323.87707262890495</v>
      </c>
    </row>
    <row r="125" spans="3:22" x14ac:dyDescent="0.25">
      <c r="C125" s="17"/>
      <c r="D125" s="17" t="s">
        <v>414</v>
      </c>
      <c r="E125" s="111">
        <v>1545</v>
      </c>
      <c r="F125" s="128"/>
      <c r="G125" s="111">
        <v>1545</v>
      </c>
      <c r="H125" s="111">
        <f>'F9-Year(n)'!H124</f>
        <v>216.45750000000001</v>
      </c>
      <c r="I125" s="66">
        <f>'F11-Year(n+3) '!E125</f>
        <v>114.09827697341557</v>
      </c>
      <c r="J125" s="66">
        <f>'F11-Year(n+3) '!F125</f>
        <v>117.65350434762995</v>
      </c>
      <c r="K125" s="66">
        <f>'F11-Year(n+3) '!G125</f>
        <v>110.1531805429633</v>
      </c>
      <c r="L125" s="66">
        <f>'F11-Year(n+3) '!H125</f>
        <v>86.273445367136688</v>
      </c>
      <c r="M125" s="66">
        <f>'F11-Year(n+3) '!I125</f>
        <v>106.11025430591717</v>
      </c>
      <c r="N125" s="66">
        <f>'F11-Year(n+3) '!J125</f>
        <v>93.532768409512158</v>
      </c>
      <c r="O125" s="66">
        <f>'F11-Year(n+3) '!K125</f>
        <v>114.66903640386104</v>
      </c>
      <c r="P125" s="66">
        <f>'F11-Year(n+3) '!L125</f>
        <v>88.418006375426756</v>
      </c>
      <c r="Q125" s="66">
        <f>'F11-Year(n+3) '!M125</f>
        <v>96.925609614521221</v>
      </c>
      <c r="R125" s="66">
        <f>'F11-Year(n+3) '!N125</f>
        <v>103.33689668815703</v>
      </c>
      <c r="S125" s="66">
        <f>'F11-Year(n+3) '!O125</f>
        <v>106.06871421901526</v>
      </c>
      <c r="T125" s="66">
        <f>'F11-Year(n+3) '!P125</f>
        <v>113.73549978158933</v>
      </c>
      <c r="U125" s="17">
        <f t="shared" si="34"/>
        <v>1250.9751930291454</v>
      </c>
    </row>
    <row r="126" spans="3:22" x14ac:dyDescent="0.25">
      <c r="C126" s="17"/>
      <c r="D126" s="17" t="s">
        <v>415</v>
      </c>
      <c r="E126" s="111"/>
      <c r="F126" s="128"/>
      <c r="G126" s="111"/>
      <c r="H126" s="111"/>
      <c r="I126" s="66">
        <f>'F11-Year(n+3) '!E126</f>
        <v>0</v>
      </c>
      <c r="J126" s="66">
        <f>'F11-Year(n+3) '!F126</f>
        <v>0</v>
      </c>
      <c r="K126" s="66">
        <f>'F11-Year(n+3) '!G126</f>
        <v>0</v>
      </c>
      <c r="L126" s="66">
        <f>'F11-Year(n+3) '!H126</f>
        <v>0</v>
      </c>
      <c r="M126" s="66">
        <f>'F11-Year(n+3) '!I126</f>
        <v>0</v>
      </c>
      <c r="N126" s="66">
        <f>'F11-Year(n+3) '!J126</f>
        <v>0</v>
      </c>
      <c r="O126" s="66">
        <f>'F11-Year(n+3) '!K126</f>
        <v>0</v>
      </c>
      <c r="P126" s="66">
        <f>'F11-Year(n+3) '!L126</f>
        <v>0</v>
      </c>
      <c r="Q126" s="66">
        <f>'F11-Year(n+3) '!M126</f>
        <v>0</v>
      </c>
      <c r="R126" s="66">
        <f>'F11-Year(n+3) '!N126</f>
        <v>0</v>
      </c>
      <c r="S126" s="66">
        <f>'F11-Year(n+3) '!O126</f>
        <v>0</v>
      </c>
      <c r="T126" s="66">
        <f>'F11-Year(n+3) '!P126</f>
        <v>0</v>
      </c>
      <c r="U126" s="17">
        <f t="shared" si="34"/>
        <v>0</v>
      </c>
    </row>
    <row r="127" spans="3:22" x14ac:dyDescent="0.25">
      <c r="C127" s="17"/>
      <c r="D127" s="17" t="s">
        <v>416</v>
      </c>
      <c r="E127" s="111">
        <f>'F9-Year(n)'!E126</f>
        <v>1692</v>
      </c>
      <c r="F127" s="128"/>
      <c r="G127" s="111">
        <f>'F9-Year(n)'!G126</f>
        <v>1692</v>
      </c>
      <c r="H127" s="111">
        <f>'F9-Year(n)'!H126</f>
        <v>498.29399999999998</v>
      </c>
      <c r="I127" s="66">
        <f>'F11-Year(n+3) '!E127</f>
        <v>124.9542295398182</v>
      </c>
      <c r="J127" s="66">
        <f>'F11-Year(n+3) '!F127</f>
        <v>128.84772126614229</v>
      </c>
      <c r="K127" s="66">
        <f>'F11-Year(n+3) '!G127</f>
        <v>120.6337744198666</v>
      </c>
      <c r="L127" s="66">
        <f>'F11-Year(n+3) '!H127</f>
        <v>94.481986771000166</v>
      </c>
      <c r="M127" s="66">
        <f>'F11-Year(n+3) '!I127</f>
        <v>116.20618141463551</v>
      </c>
      <c r="N127" s="66">
        <f>'F11-Year(n+3) '!J127</f>
        <v>102.43200268536864</v>
      </c>
      <c r="O127" s="66">
        <f>'F11-Year(n+3) '!K127</f>
        <v>125.57929423646139</v>
      </c>
      <c r="P127" s="66">
        <f>'F11-Year(n+3) '!L127</f>
        <v>96.830593389787751</v>
      </c>
      <c r="Q127" s="66">
        <f>'F11-Year(n+3) '!M127</f>
        <v>106.14765790794169</v>
      </c>
      <c r="R127" s="66">
        <f>'F11-Year(n+3) '!N127</f>
        <v>113.16895093615641</v>
      </c>
      <c r="S127" s="66">
        <f>'F11-Year(n+3) '!O127</f>
        <v>116.16068896995067</v>
      </c>
      <c r="T127" s="66">
        <f>'F11-Year(n+3) '!P127</f>
        <v>124.55693568313859</v>
      </c>
      <c r="U127" s="17">
        <f t="shared" si="34"/>
        <v>1370.0000172202676</v>
      </c>
    </row>
    <row r="128" spans="3:22" x14ac:dyDescent="0.25">
      <c r="C128" s="17"/>
      <c r="D128" s="17" t="s">
        <v>417</v>
      </c>
      <c r="E128" s="111">
        <f>'F9-Year(n)'!E127</f>
        <v>0</v>
      </c>
      <c r="F128" s="128"/>
      <c r="G128" s="111">
        <f>'F9-Year(n)'!G127</f>
        <v>0</v>
      </c>
      <c r="H128" s="111">
        <f>'F9-Year(n)'!H127</f>
        <v>294.5</v>
      </c>
      <c r="I128" s="66">
        <f>'F11-Year(n+3) '!E128</f>
        <v>73.850017458521393</v>
      </c>
      <c r="J128" s="66">
        <f>'F11-Year(n+3) '!F128</f>
        <v>76.151135500084095</v>
      </c>
      <c r="K128" s="66">
        <f>'F11-Year(n+3) '!G128</f>
        <v>71.296556985736757</v>
      </c>
      <c r="L128" s="66">
        <f>'F11-Year(n+3) '!H128</f>
        <v>55.840417713357063</v>
      </c>
      <c r="M128" s="66">
        <f>'F11-Year(n+3) '!I128</f>
        <v>68.679776249784567</v>
      </c>
      <c r="N128" s="66">
        <f>'F11-Year(n+3) '!J128</f>
        <v>60.539008679295883</v>
      </c>
      <c r="O128" s="66">
        <f>'F11-Year(n+3) '!K128</f>
        <v>74.219441038097742</v>
      </c>
      <c r="P128" s="66">
        <f>'F11-Year(n+3) '!L128</f>
        <v>57.228483090891096</v>
      </c>
      <c r="Q128" s="66">
        <f>'F11-Year(n+3) '!M128</f>
        <v>62.73502240422085</v>
      </c>
      <c r="R128" s="66">
        <f>'F11-Year(n+3) '!N128</f>
        <v>66.884722775506148</v>
      </c>
      <c r="S128" s="66">
        <f>'F11-Year(n+3) '!O128</f>
        <v>68.652889462145794</v>
      </c>
      <c r="T128" s="66">
        <f>'F11-Year(n+3) '!P128</f>
        <v>73.615210214620916</v>
      </c>
      <c r="U128" s="17">
        <f t="shared" si="34"/>
        <v>809.69268157226225</v>
      </c>
    </row>
    <row r="129" spans="3:22" x14ac:dyDescent="0.25">
      <c r="C129" s="17"/>
      <c r="D129" s="114" t="s">
        <v>418</v>
      </c>
      <c r="E129" s="127"/>
      <c r="F129" s="128"/>
      <c r="G129" s="127"/>
      <c r="H129" s="12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>
        <f t="shared" si="34"/>
        <v>0</v>
      </c>
    </row>
    <row r="130" spans="3:22" x14ac:dyDescent="0.25">
      <c r="C130" s="17"/>
      <c r="D130" s="114" t="s">
        <v>446</v>
      </c>
      <c r="E130" s="127"/>
      <c r="F130" s="128"/>
      <c r="G130" s="127"/>
      <c r="H130" s="128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>
        <f t="shared" si="34"/>
        <v>0</v>
      </c>
    </row>
    <row r="131" spans="3:22" x14ac:dyDescent="0.25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>
        <f t="shared" si="34"/>
        <v>0</v>
      </c>
    </row>
    <row r="132" spans="3:22" x14ac:dyDescent="0.25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>
        <f t="shared" si="34"/>
        <v>0</v>
      </c>
    </row>
    <row r="133" spans="3:22" x14ac:dyDescent="0.25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>
        <f t="shared" si="34"/>
        <v>0</v>
      </c>
    </row>
    <row r="134" spans="3:22" x14ac:dyDescent="0.25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>
        <f t="shared" si="34"/>
        <v>0</v>
      </c>
    </row>
    <row r="135" spans="3:22" x14ac:dyDescent="0.2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>
        <f t="shared" si="34"/>
        <v>0</v>
      </c>
    </row>
    <row r="136" spans="3:22" x14ac:dyDescent="0.25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>
        <f t="shared" si="34"/>
        <v>0</v>
      </c>
    </row>
    <row r="137" spans="3:22" x14ac:dyDescent="0.25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>
        <f t="shared" si="34"/>
        <v>0</v>
      </c>
    </row>
    <row r="138" spans="3:22" x14ac:dyDescent="0.25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>
        <f t="shared" si="34"/>
        <v>0</v>
      </c>
    </row>
    <row r="139" spans="3:22" x14ac:dyDescent="0.25">
      <c r="C139" s="753" t="s">
        <v>420</v>
      </c>
      <c r="D139" s="754"/>
      <c r="E139" s="17">
        <f>SUM(E115:E138)</f>
        <v>7135.7</v>
      </c>
      <c r="F139" s="17">
        <f t="shared" ref="F139:T139" si="35">SUM(F115:F138)</f>
        <v>0</v>
      </c>
      <c r="G139" s="17">
        <f t="shared" si="35"/>
        <v>7135.7</v>
      </c>
      <c r="H139" s="17">
        <f t="shared" si="35"/>
        <v>2202.5414999999998</v>
      </c>
      <c r="I139" s="17">
        <f t="shared" si="35"/>
        <v>600.00494792297309</v>
      </c>
      <c r="J139" s="17">
        <f t="shared" si="35"/>
        <v>617.57656158313125</v>
      </c>
      <c r="K139" s="17">
        <f t="shared" si="35"/>
        <v>577.95697830734298</v>
      </c>
      <c r="L139" s="17">
        <f t="shared" si="35"/>
        <v>453.93124840540213</v>
      </c>
      <c r="M139" s="17">
        <f t="shared" si="35"/>
        <v>557.64390270410206</v>
      </c>
      <c r="N139" s="17">
        <f t="shared" si="35"/>
        <v>491.0737297161055</v>
      </c>
      <c r="O139" s="17">
        <f t="shared" si="35"/>
        <v>602.39172538472542</v>
      </c>
      <c r="P139" s="17">
        <f t="shared" si="35"/>
        <v>464.97301520657112</v>
      </c>
      <c r="Q139" s="17">
        <f t="shared" si="35"/>
        <v>511.13134371194934</v>
      </c>
      <c r="R139" s="17">
        <f t="shared" si="35"/>
        <v>544.72383843186049</v>
      </c>
      <c r="S139" s="17">
        <f t="shared" si="35"/>
        <v>559.24783719952336</v>
      </c>
      <c r="T139" s="17">
        <f t="shared" si="35"/>
        <v>599.35169436671686</v>
      </c>
      <c r="U139" s="86">
        <f>SUM(I139:T139)</f>
        <v>6580.0068229404042</v>
      </c>
      <c r="V139" s="427">
        <v>6580</v>
      </c>
    </row>
    <row r="140" spans="3:22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3:22" x14ac:dyDescent="0.25">
      <c r="C141" s="17"/>
      <c r="D141" s="322" t="s">
        <v>453</v>
      </c>
      <c r="E141" s="17"/>
      <c r="F141" s="17"/>
      <c r="G141" s="17"/>
      <c r="H141" s="17"/>
      <c r="I141" s="66">
        <f>'F11-Year(n+3) '!E141</f>
        <v>0</v>
      </c>
      <c r="J141" s="66">
        <f>'F11-Year(n+3) '!F141</f>
        <v>0</v>
      </c>
      <c r="K141" s="66">
        <f>'F11-Year(n+3) '!G141</f>
        <v>0</v>
      </c>
      <c r="L141" s="66">
        <f>'F11-Year(n+3) '!H141</f>
        <v>0</v>
      </c>
      <c r="M141" s="66">
        <f>'F11-Year(n+3) '!I141</f>
        <v>0</v>
      </c>
      <c r="N141" s="66">
        <f>'F11-Year(n+3) '!J141</f>
        <v>0</v>
      </c>
      <c r="O141" s="66">
        <f>'F11-Year(n+3) '!K141</f>
        <v>0</v>
      </c>
      <c r="P141" s="66">
        <f>'F11-Year(n+3) '!L141</f>
        <v>0</v>
      </c>
      <c r="Q141" s="66">
        <f>'F11-Year(n+3) '!M141</f>
        <v>0</v>
      </c>
      <c r="R141" s="66">
        <f>'F11-Year(n+3) '!N141</f>
        <v>0</v>
      </c>
      <c r="S141" s="66">
        <f>'F11-Year(n+3) '!O141</f>
        <v>27.597861890123113</v>
      </c>
      <c r="T141" s="66">
        <f>'F11-Year(n+3) '!P141</f>
        <v>24.635383652957444</v>
      </c>
      <c r="U141" s="17">
        <f t="shared" ref="U141:U151" si="36">+SUM(I141:T141)</f>
        <v>52.233245543080557</v>
      </c>
    </row>
    <row r="142" spans="3:22" x14ac:dyDescent="0.25">
      <c r="C142" s="17"/>
      <c r="D142" s="322" t="s">
        <v>422</v>
      </c>
      <c r="E142" s="17"/>
      <c r="F142" s="17"/>
      <c r="G142" s="17"/>
      <c r="H142" s="17"/>
      <c r="I142" s="66">
        <f>'F11-Year(n+3) '!E142</f>
        <v>-17.094250795282733</v>
      </c>
      <c r="J142" s="66">
        <f>'F11-Year(n+3) '!F142</f>
        <v>0</v>
      </c>
      <c r="K142" s="66">
        <f>'F11-Year(n+3) '!G142</f>
        <v>0</v>
      </c>
      <c r="L142" s="66">
        <f>'F11-Year(n+3) '!H142</f>
        <v>0</v>
      </c>
      <c r="M142" s="66">
        <f>'F11-Year(n+3) '!I142</f>
        <v>-154.80184589448982</v>
      </c>
      <c r="N142" s="66">
        <f>'F11-Year(n+3) '!J142</f>
        <v>-5.8034798223161488E-2</v>
      </c>
      <c r="O142" s="66">
        <f>'F11-Year(n+3) '!K142</f>
        <v>-375.60107397707975</v>
      </c>
      <c r="P142" s="66">
        <f>'F11-Year(n+3) '!L142</f>
        <v>-47.167004469309177</v>
      </c>
      <c r="Q142" s="66">
        <f>'F11-Year(n+3) '!M142</f>
        <v>-38.820798031828417</v>
      </c>
      <c r="R142" s="66">
        <f>'F11-Year(n+3) '!N142</f>
        <v>-60.199312097084203</v>
      </c>
      <c r="S142" s="66">
        <f>'F11-Year(n+3) '!O142</f>
        <v>0</v>
      </c>
      <c r="T142" s="66">
        <f>'F11-Year(n+3) '!P142</f>
        <v>0</v>
      </c>
      <c r="U142" s="17">
        <f t="shared" si="36"/>
        <v>-693.74232006329726</v>
      </c>
    </row>
    <row r="143" spans="3:22" x14ac:dyDescent="0.25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>
        <f t="shared" si="36"/>
        <v>0</v>
      </c>
    </row>
    <row r="144" spans="3:22" x14ac:dyDescent="0.25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>
        <f t="shared" si="36"/>
        <v>0</v>
      </c>
    </row>
    <row r="145" spans="3:23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>
        <f t="shared" si="36"/>
        <v>0</v>
      </c>
    </row>
    <row r="146" spans="3:23" x14ac:dyDescent="0.25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>
        <f t="shared" si="36"/>
        <v>0</v>
      </c>
    </row>
    <row r="147" spans="3:23" x14ac:dyDescent="0.25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>
        <f t="shared" si="36"/>
        <v>0</v>
      </c>
    </row>
    <row r="148" spans="3:23" x14ac:dyDescent="0.25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>
        <f t="shared" si="36"/>
        <v>0</v>
      </c>
    </row>
    <row r="149" spans="3:23" x14ac:dyDescent="0.25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>
        <f t="shared" si="36"/>
        <v>0</v>
      </c>
    </row>
    <row r="150" spans="3:23" x14ac:dyDescent="0.25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>
        <f t="shared" si="36"/>
        <v>0</v>
      </c>
    </row>
    <row r="151" spans="3:23" x14ac:dyDescent="0.25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>
        <f t="shared" si="36"/>
        <v>0</v>
      </c>
    </row>
    <row r="152" spans="3:23" x14ac:dyDescent="0.25">
      <c r="C152" s="753" t="s">
        <v>423</v>
      </c>
      <c r="D152" s="754"/>
      <c r="E152" s="17">
        <f>SUM(E141:E151)</f>
        <v>0</v>
      </c>
      <c r="F152" s="17">
        <f t="shared" ref="F152:T152" si="37">SUM(F141:F151)</f>
        <v>0</v>
      </c>
      <c r="G152" s="17">
        <f t="shared" si="37"/>
        <v>0</v>
      </c>
      <c r="H152" s="17">
        <f t="shared" si="37"/>
        <v>0</v>
      </c>
      <c r="I152" s="17">
        <f t="shared" si="37"/>
        <v>-17.094250795282733</v>
      </c>
      <c r="J152" s="17">
        <f t="shared" si="37"/>
        <v>0</v>
      </c>
      <c r="K152" s="17">
        <f t="shared" si="37"/>
        <v>0</v>
      </c>
      <c r="L152" s="17">
        <f t="shared" si="37"/>
        <v>0</v>
      </c>
      <c r="M152" s="17">
        <f t="shared" si="37"/>
        <v>-154.80184589448982</v>
      </c>
      <c r="N152" s="17">
        <f t="shared" si="37"/>
        <v>-5.8034798223161488E-2</v>
      </c>
      <c r="O152" s="17">
        <f t="shared" si="37"/>
        <v>-375.60107397707975</v>
      </c>
      <c r="P152" s="17">
        <f t="shared" si="37"/>
        <v>-47.167004469309177</v>
      </c>
      <c r="Q152" s="17">
        <f t="shared" si="37"/>
        <v>-38.820798031828417</v>
      </c>
      <c r="R152" s="17">
        <f t="shared" si="37"/>
        <v>-60.199312097084203</v>
      </c>
      <c r="S152" s="17">
        <f t="shared" si="37"/>
        <v>27.597861890123113</v>
      </c>
      <c r="T152" s="17">
        <f t="shared" si="37"/>
        <v>24.635383652957444</v>
      </c>
      <c r="U152" s="86">
        <f>SUM(I152:T152)</f>
        <v>-641.5090745202167</v>
      </c>
      <c r="V152" s="428">
        <v>99</v>
      </c>
    </row>
    <row r="153" spans="3:23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</row>
    <row r="154" spans="3:23" x14ac:dyDescent="0.25">
      <c r="C154" s="17" t="s">
        <v>425</v>
      </c>
      <c r="D154" s="17" t="s">
        <v>426</v>
      </c>
      <c r="E154" s="17"/>
      <c r="F154" s="17"/>
      <c r="G154" s="17"/>
      <c r="H154" s="17"/>
      <c r="I154" s="66">
        <f>'F11-Year(n+3) '!E154</f>
        <v>-174.36043896855699</v>
      </c>
      <c r="J154" s="66">
        <f>'F11-Year(n+3) '!F154</f>
        <v>-636.33312092374717</v>
      </c>
      <c r="K154" s="66">
        <f>'F11-Year(n+3) '!G154</f>
        <v>-601.00174197501747</v>
      </c>
      <c r="L154" s="66">
        <f>'F11-Year(n+3) '!H154</f>
        <v>-340.7172701379277</v>
      </c>
      <c r="M154" s="66">
        <f>'F11-Year(n+3) '!I154</f>
        <v>-309.83456216986451</v>
      </c>
      <c r="N154" s="66">
        <f>'F11-Year(n+3) '!J154</f>
        <v>-425.25704433977626</v>
      </c>
      <c r="O154" s="66">
        <f>'F11-Year(n+3) '!K154</f>
        <v>-193.88384589279121</v>
      </c>
      <c r="P154" s="66">
        <f>'F11-Year(n+3) '!L154</f>
        <v>-414.64038388800418</v>
      </c>
      <c r="Q154" s="66">
        <f>'F11-Year(n+3) '!M154</f>
        <v>-199.71809120339822</v>
      </c>
      <c r="R154" s="66">
        <f>'F11-Year(n+3) '!N154</f>
        <v>-156.28186549467318</v>
      </c>
      <c r="S154" s="66">
        <f>'F11-Year(n+3) '!O154</f>
        <v>0</v>
      </c>
      <c r="T154" s="66">
        <f>'F11-Year(n+3) '!P154</f>
        <v>0</v>
      </c>
      <c r="U154" s="17">
        <f t="shared" ref="U154:U155" si="38">+SUM(I154:T154)</f>
        <v>-3452.0283649937569</v>
      </c>
    </row>
    <row r="155" spans="3:23" x14ac:dyDescent="0.25">
      <c r="C155" s="17" t="s">
        <v>425</v>
      </c>
      <c r="D155" s="17" t="s">
        <v>427</v>
      </c>
      <c r="E155" s="17"/>
      <c r="F155" s="17"/>
      <c r="G155" s="17"/>
      <c r="H155" s="17"/>
      <c r="I155" s="66">
        <f>'F11-Year(n+3) '!E155</f>
        <v>0</v>
      </c>
      <c r="J155" s="66">
        <f>'F11-Year(n+3) '!F155</f>
        <v>0</v>
      </c>
      <c r="K155" s="66">
        <f>'F11-Year(n+3) '!G155</f>
        <v>0</v>
      </c>
      <c r="L155" s="66">
        <f>'F11-Year(n+3) '!H155</f>
        <v>0</v>
      </c>
      <c r="M155" s="66">
        <f>'F11-Year(n+3) '!I155</f>
        <v>0</v>
      </c>
      <c r="N155" s="66">
        <f>'F11-Year(n+3) '!J155</f>
        <v>0</v>
      </c>
      <c r="O155" s="66">
        <f>'F11-Year(n+3) '!K155</f>
        <v>0</v>
      </c>
      <c r="P155" s="66">
        <f>'F11-Year(n+3) '!L155</f>
        <v>0</v>
      </c>
      <c r="Q155" s="66">
        <f>'F11-Year(n+3) '!M155</f>
        <v>0</v>
      </c>
      <c r="R155" s="66">
        <f>'F11-Year(n+3) '!N155</f>
        <v>0</v>
      </c>
      <c r="S155" s="66">
        <f>'F11-Year(n+3) '!O155</f>
        <v>0</v>
      </c>
      <c r="T155" s="66">
        <f>'F11-Year(n+3) '!P155</f>
        <v>0</v>
      </c>
      <c r="U155" s="17">
        <f t="shared" si="38"/>
        <v>0</v>
      </c>
    </row>
    <row r="156" spans="3:23" x14ac:dyDescent="0.25">
      <c r="C156" s="753" t="s">
        <v>428</v>
      </c>
      <c r="D156" s="754"/>
      <c r="E156" s="17">
        <f>SUM(E154:E155)</f>
        <v>0</v>
      </c>
      <c r="F156" s="17">
        <f t="shared" ref="F156:T156" si="39">SUM(F154:F155)</f>
        <v>0</v>
      </c>
      <c r="G156" s="17">
        <f t="shared" si="39"/>
        <v>0</v>
      </c>
      <c r="H156" s="17">
        <f t="shared" si="39"/>
        <v>0</v>
      </c>
      <c r="I156" s="17">
        <f t="shared" si="39"/>
        <v>-174.36043896855699</v>
      </c>
      <c r="J156" s="17">
        <f t="shared" si="39"/>
        <v>-636.33312092374717</v>
      </c>
      <c r="K156" s="17">
        <f t="shared" si="39"/>
        <v>-601.00174197501747</v>
      </c>
      <c r="L156" s="17">
        <f t="shared" si="39"/>
        <v>-340.7172701379277</v>
      </c>
      <c r="M156" s="17">
        <f t="shared" si="39"/>
        <v>-309.83456216986451</v>
      </c>
      <c r="N156" s="17">
        <f t="shared" si="39"/>
        <v>-425.25704433977626</v>
      </c>
      <c r="O156" s="17">
        <f t="shared" si="39"/>
        <v>-193.88384589279121</v>
      </c>
      <c r="P156" s="17">
        <f t="shared" si="39"/>
        <v>-414.64038388800418</v>
      </c>
      <c r="Q156" s="17">
        <f t="shared" si="39"/>
        <v>-199.71809120339822</v>
      </c>
      <c r="R156" s="17">
        <f t="shared" si="39"/>
        <v>-156.28186549467318</v>
      </c>
      <c r="S156" s="17">
        <f t="shared" si="39"/>
        <v>0</v>
      </c>
      <c r="T156" s="17">
        <f t="shared" si="39"/>
        <v>0</v>
      </c>
      <c r="U156" s="86">
        <f>U154-U155</f>
        <v>-3452.0283649937569</v>
      </c>
    </row>
    <row r="157" spans="3:23" x14ac:dyDescent="0.25">
      <c r="C157" s="753" t="s">
        <v>220</v>
      </c>
      <c r="D157" s="754"/>
      <c r="E157" s="17">
        <f>E48+E94+E103+E113+E139+E152+E156</f>
        <v>39984.959999999999</v>
      </c>
      <c r="F157" s="17">
        <f t="shared" ref="F157:T157" si="40">F48+F94+F103+F113+F139+F152+F156</f>
        <v>0</v>
      </c>
      <c r="G157" s="17">
        <f t="shared" si="40"/>
        <v>24463.048612376988</v>
      </c>
      <c r="H157" s="17">
        <f t="shared" si="40"/>
        <v>6843.0806663450221</v>
      </c>
      <c r="I157" s="17">
        <f t="shared" si="40"/>
        <v>2897.8563429738201</v>
      </c>
      <c r="J157" s="17">
        <f t="shared" si="40"/>
        <v>2555.7903482463294</v>
      </c>
      <c r="K157" s="17">
        <f t="shared" si="40"/>
        <v>2472.7862310829955</v>
      </c>
      <c r="L157" s="17">
        <f t="shared" si="40"/>
        <v>2768.0263167051248</v>
      </c>
      <c r="M157" s="17">
        <f t="shared" si="40"/>
        <v>2941.5208282564058</v>
      </c>
      <c r="N157" s="17">
        <f t="shared" si="40"/>
        <v>2666.2705225900863</v>
      </c>
      <c r="O157" s="17">
        <f t="shared" si="40"/>
        <v>2731.8474987927248</v>
      </c>
      <c r="P157" s="17">
        <f t="shared" si="40"/>
        <v>2497.6864866360743</v>
      </c>
      <c r="Q157" s="17">
        <f t="shared" si="40"/>
        <v>2894.2137631338092</v>
      </c>
      <c r="R157" s="17">
        <f t="shared" si="40"/>
        <v>3050.2345412010795</v>
      </c>
      <c r="S157" s="17">
        <f t="shared" si="40"/>
        <v>3044.3404955426613</v>
      </c>
      <c r="T157" s="17">
        <f t="shared" si="40"/>
        <v>3223.0646956562769</v>
      </c>
      <c r="U157" s="86">
        <f>U48+U94+U103+U113+U139+U152+U156</f>
        <v>33743.638070817389</v>
      </c>
      <c r="V157" s="428">
        <v>37844</v>
      </c>
      <c r="W157" s="429">
        <f>V157-U160</f>
        <v>-92.175510331362602</v>
      </c>
    </row>
    <row r="159" spans="3:23" x14ac:dyDescent="0.25">
      <c r="D159" s="22"/>
      <c r="E159" s="22"/>
      <c r="F159" s="22"/>
      <c r="G159" s="22"/>
      <c r="H159" s="22"/>
      <c r="I159" s="22"/>
    </row>
    <row r="160" spans="3:23" x14ac:dyDescent="0.25">
      <c r="D160" s="24"/>
      <c r="E160" s="24"/>
      <c r="F160" s="24"/>
      <c r="G160" s="24"/>
      <c r="H160" s="24"/>
      <c r="I160" s="24"/>
      <c r="U160" s="64">
        <f>U157-U156-U152+V152</f>
        <v>37936.175510331363</v>
      </c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4">
    <mergeCell ref="C9:C26"/>
    <mergeCell ref="C29:C46"/>
    <mergeCell ref="C51:C59"/>
    <mergeCell ref="C93:D93"/>
    <mergeCell ref="E4:E6"/>
    <mergeCell ref="C48:D48"/>
    <mergeCell ref="C49:D49"/>
    <mergeCell ref="C50:D50"/>
    <mergeCell ref="C47:D47"/>
    <mergeCell ref="C27:D27"/>
    <mergeCell ref="C28:D28"/>
    <mergeCell ref="C79:C82"/>
    <mergeCell ref="C77:D77"/>
    <mergeCell ref="C78:D78"/>
    <mergeCell ref="F4:F6"/>
    <mergeCell ref="I4:U4"/>
    <mergeCell ref="C7:D7"/>
    <mergeCell ref="C8:D8"/>
    <mergeCell ref="G4:G6"/>
    <mergeCell ref="H4:H6"/>
    <mergeCell ref="C4:C6"/>
    <mergeCell ref="D4:D6"/>
    <mergeCell ref="C157:D157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W162"/>
  <sheetViews>
    <sheetView showGridLines="0" topLeftCell="G137" zoomScale="70" zoomScaleNormal="70" workbookViewId="0">
      <selection activeCell="N30" sqref="N30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22.33203125" style="4" customWidth="1"/>
    <col min="4" max="4" width="41.33203125" style="4" customWidth="1"/>
    <col min="5" max="7" width="16.44140625" style="4" customWidth="1"/>
    <col min="8" max="8" width="16.6640625" style="4" customWidth="1"/>
    <col min="9" max="9" width="13.6640625" style="4" bestFit="1" customWidth="1"/>
    <col min="10" max="10" width="12.5546875" style="4" bestFit="1" customWidth="1"/>
    <col min="11" max="11" width="13.44140625" style="4" bestFit="1" customWidth="1"/>
    <col min="12" max="12" width="13.6640625" style="4" bestFit="1" customWidth="1"/>
    <col min="13" max="13" width="12.5546875" style="4" bestFit="1" customWidth="1"/>
    <col min="14" max="14" width="14.6640625" style="4" customWidth="1"/>
    <col min="15" max="15" width="12.5546875" style="4" customWidth="1"/>
    <col min="16" max="16" width="11.6640625" style="4" bestFit="1" customWidth="1"/>
    <col min="17" max="17" width="13.6640625" style="4" bestFit="1" customWidth="1"/>
    <col min="18" max="20" width="11.6640625" style="4" bestFit="1" customWidth="1"/>
    <col min="21" max="21" width="11.44140625" style="4" bestFit="1" customWidth="1"/>
    <col min="22" max="22" width="12.44140625" style="4" customWidth="1"/>
    <col min="23" max="23" width="12.6640625" style="4" customWidth="1"/>
    <col min="24" max="16384" width="9.33203125" style="4"/>
  </cols>
  <sheetData>
    <row r="2" spans="2:23" x14ac:dyDescent="0.25">
      <c r="I2" s="23" t="s">
        <v>38</v>
      </c>
    </row>
    <row r="3" spans="2:23" x14ac:dyDescent="0.25">
      <c r="I3" s="25" t="s">
        <v>455</v>
      </c>
    </row>
    <row r="4" spans="2:23" ht="15" customHeight="1" x14ac:dyDescent="0.25">
      <c r="C4" s="762" t="s">
        <v>346</v>
      </c>
      <c r="D4" s="762" t="s">
        <v>347</v>
      </c>
      <c r="E4" s="758" t="s">
        <v>430</v>
      </c>
      <c r="F4" s="758" t="s">
        <v>431</v>
      </c>
      <c r="G4" s="758" t="s">
        <v>432</v>
      </c>
      <c r="H4" s="758" t="s">
        <v>433</v>
      </c>
      <c r="I4" s="768" t="s">
        <v>259</v>
      </c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</row>
    <row r="5" spans="2:23" x14ac:dyDescent="0.25">
      <c r="C5" s="764"/>
      <c r="D5" s="764"/>
      <c r="E5" s="792"/>
      <c r="F5" s="792"/>
      <c r="G5" s="792"/>
      <c r="H5" s="792"/>
      <c r="I5" s="13" t="s">
        <v>239</v>
      </c>
      <c r="J5" s="13" t="s">
        <v>240</v>
      </c>
      <c r="K5" s="13" t="s">
        <v>241</v>
      </c>
      <c r="L5" s="13" t="s">
        <v>242</v>
      </c>
      <c r="M5" s="13" t="s">
        <v>243</v>
      </c>
      <c r="N5" s="13" t="s">
        <v>244</v>
      </c>
      <c r="O5" s="13" t="s">
        <v>245</v>
      </c>
      <c r="P5" s="13" t="s">
        <v>246</v>
      </c>
      <c r="Q5" s="13" t="s">
        <v>247</v>
      </c>
      <c r="R5" s="13" t="s">
        <v>248</v>
      </c>
      <c r="S5" s="13" t="s">
        <v>249</v>
      </c>
      <c r="T5" s="13" t="s">
        <v>250</v>
      </c>
      <c r="U5" s="13" t="s">
        <v>251</v>
      </c>
    </row>
    <row r="6" spans="2:23" ht="14.25" customHeight="1" x14ac:dyDescent="0.25">
      <c r="C6" s="766"/>
      <c r="D6" s="766"/>
      <c r="E6" s="793"/>
      <c r="F6" s="793"/>
      <c r="G6" s="793"/>
      <c r="H6" s="793"/>
      <c r="I6" s="66">
        <v>30</v>
      </c>
      <c r="J6" s="66">
        <v>31</v>
      </c>
      <c r="K6" s="66">
        <v>30</v>
      </c>
      <c r="L6" s="66">
        <v>31</v>
      </c>
      <c r="M6" s="66">
        <v>31</v>
      </c>
      <c r="N6" s="66">
        <v>30</v>
      </c>
      <c r="O6" s="66">
        <v>31</v>
      </c>
      <c r="P6" s="66">
        <v>30</v>
      </c>
      <c r="Q6" s="66">
        <v>31</v>
      </c>
      <c r="R6" s="66">
        <v>31</v>
      </c>
      <c r="S6" s="66">
        <v>28</v>
      </c>
      <c r="T6" s="66">
        <v>31</v>
      </c>
      <c r="U6" s="66"/>
    </row>
    <row r="7" spans="2:23" x14ac:dyDescent="0.25">
      <c r="B7" s="60"/>
      <c r="C7" s="800" t="s">
        <v>348</v>
      </c>
      <c r="D7" s="801"/>
      <c r="E7" s="59"/>
      <c r="F7" s="59"/>
      <c r="G7" s="58"/>
      <c r="H7" s="59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2:23" x14ac:dyDescent="0.25">
      <c r="C8" s="753" t="s">
        <v>349</v>
      </c>
      <c r="D8" s="754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2:23" ht="14.25" customHeight="1" x14ac:dyDescent="0.25">
      <c r="B9" s="60"/>
      <c r="C9" s="802" t="s">
        <v>350</v>
      </c>
      <c r="D9" s="59" t="s">
        <v>351</v>
      </c>
      <c r="E9" s="109">
        <v>500</v>
      </c>
      <c r="F9" s="109"/>
      <c r="G9" s="109">
        <f t="shared" ref="G9:G16" si="0">E9</f>
        <v>500</v>
      </c>
      <c r="H9" s="109">
        <f>G9*0.2945</f>
        <v>147.25</v>
      </c>
      <c r="I9" s="66">
        <f t="shared" ref="I9:T15" si="1">$H9*0.85*I$6*24/1000</f>
        <v>90.117000000000004</v>
      </c>
      <c r="J9" s="66">
        <f t="shared" si="1"/>
        <v>93.120899999999992</v>
      </c>
      <c r="K9" s="66">
        <f t="shared" si="1"/>
        <v>90.117000000000004</v>
      </c>
      <c r="L9" s="66">
        <f t="shared" si="1"/>
        <v>93.120899999999992</v>
      </c>
      <c r="M9" s="66">
        <f t="shared" si="1"/>
        <v>93.120899999999992</v>
      </c>
      <c r="N9" s="66">
        <f t="shared" si="1"/>
        <v>90.117000000000004</v>
      </c>
      <c r="O9" s="66">
        <f t="shared" si="1"/>
        <v>93.120899999999992</v>
      </c>
      <c r="P9" s="66">
        <f t="shared" si="1"/>
        <v>90.117000000000004</v>
      </c>
      <c r="Q9" s="66">
        <f t="shared" si="1"/>
        <v>93.120899999999992</v>
      </c>
      <c r="R9" s="66">
        <f t="shared" si="1"/>
        <v>93.120899999999992</v>
      </c>
      <c r="S9" s="66">
        <f t="shared" si="1"/>
        <v>84.109200000000001</v>
      </c>
      <c r="T9" s="66">
        <f t="shared" si="1"/>
        <v>93.120899999999992</v>
      </c>
      <c r="U9" s="17">
        <f>+SUM(I9:T9)</f>
        <v>1096.4234999999999</v>
      </c>
      <c r="V9" s="4">
        <v>1097</v>
      </c>
      <c r="W9" s="64">
        <f t="shared" ref="W9:W16" si="2">V9-U9</f>
        <v>0.57650000000012369</v>
      </c>
    </row>
    <row r="10" spans="2:23" ht="14.25" customHeight="1" x14ac:dyDescent="0.25">
      <c r="B10" s="60"/>
      <c r="C10" s="803"/>
      <c r="D10" s="59" t="s">
        <v>352</v>
      </c>
      <c r="E10" s="109">
        <v>500</v>
      </c>
      <c r="F10" s="109"/>
      <c r="G10" s="109">
        <f t="shared" si="0"/>
        <v>500</v>
      </c>
      <c r="H10" s="109">
        <f t="shared" ref="H10:H16" si="3">G10*0.2945</f>
        <v>147.25</v>
      </c>
      <c r="I10" s="66">
        <f t="shared" si="1"/>
        <v>90.117000000000004</v>
      </c>
      <c r="J10" s="66">
        <f t="shared" si="1"/>
        <v>93.120899999999992</v>
      </c>
      <c r="K10" s="66">
        <f t="shared" si="1"/>
        <v>90.117000000000004</v>
      </c>
      <c r="L10" s="66">
        <f t="shared" si="1"/>
        <v>93.120899999999992</v>
      </c>
      <c r="M10" s="66">
        <f t="shared" si="1"/>
        <v>93.120899999999992</v>
      </c>
      <c r="N10" s="66">
        <f t="shared" si="1"/>
        <v>90.117000000000004</v>
      </c>
      <c r="O10" s="66">
        <f t="shared" si="1"/>
        <v>93.120899999999992</v>
      </c>
      <c r="P10" s="66">
        <f t="shared" si="1"/>
        <v>90.117000000000004</v>
      </c>
      <c r="Q10" s="66">
        <f t="shared" si="1"/>
        <v>93.120899999999992</v>
      </c>
      <c r="R10" s="66">
        <f t="shared" si="1"/>
        <v>93.120899999999992</v>
      </c>
      <c r="S10" s="66">
        <f t="shared" si="1"/>
        <v>84.109200000000001</v>
      </c>
      <c r="T10" s="66">
        <f t="shared" si="1"/>
        <v>93.120899999999992</v>
      </c>
      <c r="U10" s="17">
        <f t="shared" ref="U10:U46" si="4">+SUM(I10:T10)</f>
        <v>1096.4234999999999</v>
      </c>
      <c r="V10" s="4">
        <v>1097</v>
      </c>
      <c r="W10" s="64">
        <f t="shared" si="2"/>
        <v>0.57650000000012369</v>
      </c>
    </row>
    <row r="11" spans="2:23" ht="14.25" customHeight="1" x14ac:dyDescent="0.25">
      <c r="B11" s="60"/>
      <c r="C11" s="803"/>
      <c r="D11" s="59" t="s">
        <v>353</v>
      </c>
      <c r="E11" s="109">
        <v>800</v>
      </c>
      <c r="F11" s="109"/>
      <c r="G11" s="109">
        <f t="shared" si="0"/>
        <v>800</v>
      </c>
      <c r="H11" s="109">
        <f t="shared" si="3"/>
        <v>235.6</v>
      </c>
      <c r="I11" s="66">
        <f t="shared" si="1"/>
        <v>144.18719999999999</v>
      </c>
      <c r="J11" s="66">
        <f t="shared" si="1"/>
        <v>148.99343999999999</v>
      </c>
      <c r="K11" s="66">
        <f t="shared" si="1"/>
        <v>144.18719999999999</v>
      </c>
      <c r="L11" s="66">
        <f t="shared" si="1"/>
        <v>148.99343999999999</v>
      </c>
      <c r="M11" s="66">
        <f t="shared" si="1"/>
        <v>148.99343999999999</v>
      </c>
      <c r="N11" s="66">
        <f t="shared" si="1"/>
        <v>144.18719999999999</v>
      </c>
      <c r="O11" s="66">
        <f t="shared" si="1"/>
        <v>148.99343999999999</v>
      </c>
      <c r="P11" s="66">
        <f t="shared" si="1"/>
        <v>144.18719999999999</v>
      </c>
      <c r="Q11" s="66">
        <f t="shared" si="1"/>
        <v>148.99343999999999</v>
      </c>
      <c r="R11" s="66">
        <f t="shared" si="1"/>
        <v>148.99343999999999</v>
      </c>
      <c r="S11" s="66">
        <f t="shared" si="1"/>
        <v>134.57472000000001</v>
      </c>
      <c r="T11" s="66">
        <f t="shared" si="1"/>
        <v>148.99343999999999</v>
      </c>
      <c r="U11" s="17">
        <f t="shared" si="4"/>
        <v>1754.2775999999999</v>
      </c>
      <c r="V11" s="4">
        <v>1754</v>
      </c>
      <c r="W11" s="64">
        <f t="shared" si="2"/>
        <v>-0.27759999999989304</v>
      </c>
    </row>
    <row r="12" spans="2:23" ht="14.25" customHeight="1" x14ac:dyDescent="0.25">
      <c r="B12" s="60"/>
      <c r="C12" s="803"/>
      <c r="D12" s="59" t="s">
        <v>354</v>
      </c>
      <c r="E12" s="109">
        <v>62.5</v>
      </c>
      <c r="F12" s="109"/>
      <c r="G12" s="109">
        <f t="shared" si="0"/>
        <v>62.5</v>
      </c>
      <c r="H12" s="109">
        <f t="shared" si="3"/>
        <v>18.40625</v>
      </c>
      <c r="I12" s="66">
        <f t="shared" si="1"/>
        <v>11.264625000000001</v>
      </c>
      <c r="J12" s="66">
        <f t="shared" si="1"/>
        <v>11.640112499999999</v>
      </c>
      <c r="K12" s="66">
        <f t="shared" si="1"/>
        <v>11.264625000000001</v>
      </c>
      <c r="L12" s="66">
        <f t="shared" si="1"/>
        <v>11.640112499999999</v>
      </c>
      <c r="M12" s="66">
        <f t="shared" si="1"/>
        <v>11.640112499999999</v>
      </c>
      <c r="N12" s="66">
        <f t="shared" si="1"/>
        <v>11.264625000000001</v>
      </c>
      <c r="O12" s="66">
        <f t="shared" si="1"/>
        <v>11.640112499999999</v>
      </c>
      <c r="P12" s="66">
        <f t="shared" si="1"/>
        <v>11.264625000000001</v>
      </c>
      <c r="Q12" s="66">
        <f t="shared" si="1"/>
        <v>11.640112499999999</v>
      </c>
      <c r="R12" s="66">
        <f t="shared" si="1"/>
        <v>11.640112499999999</v>
      </c>
      <c r="S12" s="66">
        <f t="shared" si="1"/>
        <v>10.51365</v>
      </c>
      <c r="T12" s="66">
        <f t="shared" si="1"/>
        <v>11.640112499999999</v>
      </c>
      <c r="U12" s="17">
        <f t="shared" si="4"/>
        <v>137.05293749999998</v>
      </c>
      <c r="V12" s="4">
        <v>137</v>
      </c>
      <c r="W12" s="64">
        <f t="shared" si="2"/>
        <v>-5.2937499999984539E-2</v>
      </c>
    </row>
    <row r="13" spans="2:23" ht="14.25" customHeight="1" x14ac:dyDescent="0.25">
      <c r="B13" s="60"/>
      <c r="C13" s="803"/>
      <c r="D13" s="59" t="s">
        <v>355</v>
      </c>
      <c r="E13" s="109">
        <v>500</v>
      </c>
      <c r="F13" s="109"/>
      <c r="G13" s="109">
        <f t="shared" si="0"/>
        <v>500</v>
      </c>
      <c r="H13" s="109">
        <f t="shared" si="3"/>
        <v>147.25</v>
      </c>
      <c r="I13" s="66">
        <f t="shared" si="1"/>
        <v>90.117000000000004</v>
      </c>
      <c r="J13" s="66">
        <f t="shared" si="1"/>
        <v>93.120899999999992</v>
      </c>
      <c r="K13" s="66">
        <f t="shared" si="1"/>
        <v>90.117000000000004</v>
      </c>
      <c r="L13" s="66">
        <f t="shared" si="1"/>
        <v>93.120899999999992</v>
      </c>
      <c r="M13" s="66">
        <f t="shared" si="1"/>
        <v>93.120899999999992</v>
      </c>
      <c r="N13" s="66">
        <f t="shared" si="1"/>
        <v>90.117000000000004</v>
      </c>
      <c r="O13" s="66">
        <f t="shared" si="1"/>
        <v>93.120899999999992</v>
      </c>
      <c r="P13" s="66">
        <f t="shared" si="1"/>
        <v>90.117000000000004</v>
      </c>
      <c r="Q13" s="66">
        <f t="shared" si="1"/>
        <v>93.120899999999992</v>
      </c>
      <c r="R13" s="66">
        <f t="shared" si="1"/>
        <v>93.120899999999992</v>
      </c>
      <c r="S13" s="66">
        <f t="shared" si="1"/>
        <v>84.109200000000001</v>
      </c>
      <c r="T13" s="66">
        <f t="shared" si="1"/>
        <v>93.120899999999992</v>
      </c>
      <c r="U13" s="17">
        <f t="shared" si="4"/>
        <v>1096.4234999999999</v>
      </c>
      <c r="V13" s="4">
        <v>1097</v>
      </c>
      <c r="W13" s="64">
        <f t="shared" si="2"/>
        <v>0.57650000000012369</v>
      </c>
    </row>
    <row r="14" spans="2:23" ht="14.25" customHeight="1" x14ac:dyDescent="0.25">
      <c r="B14" s="60"/>
      <c r="C14" s="803"/>
      <c r="D14" s="59" t="s">
        <v>356</v>
      </c>
      <c r="E14" s="109">
        <v>600</v>
      </c>
      <c r="F14" s="109"/>
      <c r="G14" s="109">
        <f t="shared" si="0"/>
        <v>600</v>
      </c>
      <c r="H14" s="109">
        <f t="shared" si="3"/>
        <v>176.7</v>
      </c>
      <c r="I14" s="66">
        <f t="shared" si="1"/>
        <v>108.1404</v>
      </c>
      <c r="J14" s="66">
        <f t="shared" si="1"/>
        <v>111.74508</v>
      </c>
      <c r="K14" s="66">
        <f t="shared" si="1"/>
        <v>108.1404</v>
      </c>
      <c r="L14" s="66">
        <f t="shared" si="1"/>
        <v>111.74508</v>
      </c>
      <c r="M14" s="66">
        <f t="shared" si="1"/>
        <v>111.74508</v>
      </c>
      <c r="N14" s="66">
        <f t="shared" si="1"/>
        <v>108.1404</v>
      </c>
      <c r="O14" s="66">
        <f t="shared" si="1"/>
        <v>111.74508</v>
      </c>
      <c r="P14" s="66">
        <f t="shared" si="1"/>
        <v>108.1404</v>
      </c>
      <c r="Q14" s="66">
        <f t="shared" si="1"/>
        <v>111.74508</v>
      </c>
      <c r="R14" s="66">
        <f t="shared" si="1"/>
        <v>111.74508</v>
      </c>
      <c r="S14" s="66">
        <f t="shared" si="1"/>
        <v>100.93104000000001</v>
      </c>
      <c r="T14" s="66">
        <f t="shared" si="1"/>
        <v>111.74508</v>
      </c>
      <c r="U14" s="17">
        <f t="shared" si="4"/>
        <v>1315.7082</v>
      </c>
      <c r="V14" s="4">
        <v>1316</v>
      </c>
      <c r="W14" s="64">
        <f t="shared" si="2"/>
        <v>0.29179999999996653</v>
      </c>
    </row>
    <row r="15" spans="2:23" ht="14.25" customHeight="1" x14ac:dyDescent="0.25">
      <c r="B15" s="60"/>
      <c r="C15" s="803"/>
      <c r="D15" s="59" t="s">
        <v>357</v>
      </c>
      <c r="E15" s="109">
        <v>1080</v>
      </c>
      <c r="F15" s="109"/>
      <c r="G15" s="109">
        <f t="shared" si="0"/>
        <v>1080</v>
      </c>
      <c r="H15" s="109">
        <f t="shared" si="3"/>
        <v>318.06</v>
      </c>
      <c r="I15" s="66">
        <f t="shared" si="1"/>
        <v>194.65271999999999</v>
      </c>
      <c r="J15" s="66">
        <f t="shared" si="1"/>
        <v>201.14114399999997</v>
      </c>
      <c r="K15" s="66">
        <f t="shared" si="1"/>
        <v>194.65271999999999</v>
      </c>
      <c r="L15" s="66">
        <f t="shared" si="1"/>
        <v>201.14114399999997</v>
      </c>
      <c r="M15" s="66">
        <f t="shared" si="1"/>
        <v>201.14114399999997</v>
      </c>
      <c r="N15" s="66">
        <f t="shared" si="1"/>
        <v>194.65271999999999</v>
      </c>
      <c r="O15" s="66">
        <f t="shared" si="1"/>
        <v>201.14114399999997</v>
      </c>
      <c r="P15" s="66">
        <f t="shared" si="1"/>
        <v>194.65271999999999</v>
      </c>
      <c r="Q15" s="66">
        <f t="shared" si="1"/>
        <v>201.14114399999997</v>
      </c>
      <c r="R15" s="66">
        <f t="shared" si="1"/>
        <v>201.14114399999997</v>
      </c>
      <c r="S15" s="66">
        <f t="shared" si="1"/>
        <v>181.67587199999997</v>
      </c>
      <c r="T15" s="66">
        <f t="shared" si="1"/>
        <v>201.14114399999997</v>
      </c>
      <c r="U15" s="17">
        <f t="shared" si="4"/>
        <v>2368.2747599999998</v>
      </c>
      <c r="V15" s="4">
        <v>2368</v>
      </c>
      <c r="W15" s="64">
        <f t="shared" si="2"/>
        <v>-0.2747599999997874</v>
      </c>
    </row>
    <row r="16" spans="2:23" ht="14.25" customHeight="1" x14ac:dyDescent="0.25">
      <c r="B16" s="60"/>
      <c r="C16" s="803"/>
      <c r="D16" s="59" t="s">
        <v>358</v>
      </c>
      <c r="E16" s="109">
        <v>4000</v>
      </c>
      <c r="F16" s="109"/>
      <c r="G16" s="109">
        <f t="shared" si="0"/>
        <v>4000</v>
      </c>
      <c r="H16" s="109">
        <f t="shared" si="3"/>
        <v>1178</v>
      </c>
      <c r="I16" s="66">
        <f>$H16*0.8526*I$6*24/1000</f>
        <v>723.14121599999999</v>
      </c>
      <c r="J16" s="66">
        <f t="shared" ref="J16:T16" si="5">$H16*0.8526*J$6*24/1000</f>
        <v>747.24592320000011</v>
      </c>
      <c r="K16" s="66">
        <f t="shared" si="5"/>
        <v>723.14121599999999</v>
      </c>
      <c r="L16" s="66">
        <f t="shared" si="5"/>
        <v>747.24592320000011</v>
      </c>
      <c r="M16" s="66">
        <f t="shared" si="5"/>
        <v>747.24592320000011</v>
      </c>
      <c r="N16" s="66">
        <f t="shared" si="5"/>
        <v>723.14121599999999</v>
      </c>
      <c r="O16" s="66">
        <f t="shared" si="5"/>
        <v>747.24592320000011</v>
      </c>
      <c r="P16" s="66">
        <f t="shared" si="5"/>
        <v>723.14121599999999</v>
      </c>
      <c r="Q16" s="66">
        <f t="shared" si="5"/>
        <v>747.24592320000011</v>
      </c>
      <c r="R16" s="66">
        <f t="shared" si="5"/>
        <v>747.24592320000011</v>
      </c>
      <c r="S16" s="66">
        <f t="shared" si="5"/>
        <v>674.93180159999997</v>
      </c>
      <c r="T16" s="66">
        <f t="shared" si="5"/>
        <v>747.24592320000011</v>
      </c>
      <c r="U16" s="17">
        <f t="shared" si="4"/>
        <v>8798.2181280000004</v>
      </c>
      <c r="V16" s="4">
        <v>8798</v>
      </c>
      <c r="W16" s="429">
        <f t="shared" si="2"/>
        <v>-0.21812800000043353</v>
      </c>
    </row>
    <row r="17" spans="2:23" ht="14.25" customHeight="1" x14ac:dyDescent="0.25">
      <c r="B17" s="60"/>
      <c r="C17" s="803"/>
      <c r="D17" s="59"/>
      <c r="E17" s="59"/>
      <c r="F17" s="59"/>
      <c r="G17" s="59"/>
      <c r="H17" s="59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f t="shared" si="4"/>
        <v>0</v>
      </c>
    </row>
    <row r="18" spans="2:23" ht="14.25" customHeight="1" x14ac:dyDescent="0.25">
      <c r="B18" s="60"/>
      <c r="C18" s="803"/>
      <c r="D18" s="59"/>
      <c r="E18" s="59"/>
      <c r="F18" s="59"/>
      <c r="G18" s="59"/>
      <c r="H18" s="59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>
        <f t="shared" si="4"/>
        <v>0</v>
      </c>
    </row>
    <row r="19" spans="2:23" ht="14.25" customHeight="1" x14ac:dyDescent="0.25">
      <c r="B19" s="60"/>
      <c r="C19" s="803"/>
      <c r="D19" s="59"/>
      <c r="E19" s="59"/>
      <c r="F19" s="59"/>
      <c r="G19" s="59"/>
      <c r="H19" s="59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>
        <f t="shared" si="4"/>
        <v>0</v>
      </c>
    </row>
    <row r="20" spans="2:23" ht="14.25" customHeight="1" x14ac:dyDescent="0.25">
      <c r="B20" s="60"/>
      <c r="C20" s="803"/>
      <c r="D20" s="59"/>
      <c r="E20" s="59"/>
      <c r="F20" s="59"/>
      <c r="G20" s="59"/>
      <c r="H20" s="59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>
        <f t="shared" si="4"/>
        <v>0</v>
      </c>
    </row>
    <row r="21" spans="2:23" ht="14.25" customHeight="1" x14ac:dyDescent="0.25">
      <c r="B21" s="60"/>
      <c r="C21" s="803"/>
      <c r="D21" s="59"/>
      <c r="E21" s="59"/>
      <c r="F21" s="59"/>
      <c r="G21" s="59"/>
      <c r="H21" s="59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>
        <f t="shared" si="4"/>
        <v>0</v>
      </c>
    </row>
    <row r="22" spans="2:23" ht="14.25" customHeight="1" x14ac:dyDescent="0.25">
      <c r="B22" s="60"/>
      <c r="C22" s="803"/>
      <c r="D22" s="59"/>
      <c r="E22" s="59"/>
      <c r="F22" s="59"/>
      <c r="G22" s="59"/>
      <c r="H22" s="59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>
        <f t="shared" si="4"/>
        <v>0</v>
      </c>
    </row>
    <row r="23" spans="2:23" ht="14.25" customHeight="1" x14ac:dyDescent="0.25">
      <c r="B23" s="60"/>
      <c r="C23" s="803"/>
      <c r="D23" s="59"/>
      <c r="E23" s="59"/>
      <c r="F23" s="59"/>
      <c r="G23" s="59"/>
      <c r="H23" s="59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>
        <f t="shared" si="4"/>
        <v>0</v>
      </c>
    </row>
    <row r="24" spans="2:23" ht="14.25" customHeight="1" x14ac:dyDescent="0.25">
      <c r="B24" s="60"/>
      <c r="C24" s="803"/>
      <c r="D24" s="59"/>
      <c r="E24" s="59"/>
      <c r="F24" s="59"/>
      <c r="G24" s="59"/>
      <c r="H24" s="5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>
        <f t="shared" si="4"/>
        <v>0</v>
      </c>
    </row>
    <row r="25" spans="2:23" ht="14.25" customHeight="1" x14ac:dyDescent="0.25">
      <c r="B25" s="60"/>
      <c r="C25" s="803"/>
      <c r="D25" s="59"/>
      <c r="E25" s="59"/>
      <c r="F25" s="59"/>
      <c r="G25" s="59"/>
      <c r="H25" s="5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>
        <f t="shared" si="4"/>
        <v>0</v>
      </c>
    </row>
    <row r="26" spans="2:23" ht="14.25" customHeight="1" x14ac:dyDescent="0.25">
      <c r="B26" s="60"/>
      <c r="C26" s="804"/>
      <c r="D26" s="59"/>
      <c r="E26" s="59"/>
      <c r="F26" s="59"/>
      <c r="G26" s="59"/>
      <c r="H26" s="59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>
        <f t="shared" si="4"/>
        <v>0</v>
      </c>
    </row>
    <row r="27" spans="2:23" x14ac:dyDescent="0.25">
      <c r="C27" s="751" t="s">
        <v>212</v>
      </c>
      <c r="D27" s="752"/>
      <c r="E27" s="17">
        <f>SUM(E9:E26)</f>
        <v>8042.5</v>
      </c>
      <c r="F27" s="17">
        <f t="shared" ref="F27:T27" si="6">SUM(F9:F26)</f>
        <v>0</v>
      </c>
      <c r="G27" s="17">
        <f t="shared" si="6"/>
        <v>8042.5</v>
      </c>
      <c r="H27" s="17">
        <f t="shared" si="6"/>
        <v>2368.5162499999997</v>
      </c>
      <c r="I27" s="17">
        <f t="shared" si="6"/>
        <v>1451.737161</v>
      </c>
      <c r="J27" s="17">
        <f t="shared" si="6"/>
        <v>1500.1283997</v>
      </c>
      <c r="K27" s="17">
        <f t="shared" si="6"/>
        <v>1451.737161</v>
      </c>
      <c r="L27" s="17">
        <f t="shared" si="6"/>
        <v>1500.1283997</v>
      </c>
      <c r="M27" s="17">
        <f t="shared" si="6"/>
        <v>1500.1283997</v>
      </c>
      <c r="N27" s="17">
        <f t="shared" si="6"/>
        <v>1451.737161</v>
      </c>
      <c r="O27" s="17">
        <f t="shared" si="6"/>
        <v>1500.1283997</v>
      </c>
      <c r="P27" s="17">
        <f t="shared" si="6"/>
        <v>1451.737161</v>
      </c>
      <c r="Q27" s="17">
        <f t="shared" si="6"/>
        <v>1500.1283997</v>
      </c>
      <c r="R27" s="17">
        <f t="shared" si="6"/>
        <v>1500.1283997</v>
      </c>
      <c r="S27" s="17">
        <f t="shared" si="6"/>
        <v>1354.9546836</v>
      </c>
      <c r="T27" s="17">
        <f t="shared" si="6"/>
        <v>1500.1283997</v>
      </c>
      <c r="U27" s="86">
        <f>SUM(I27:T27)</f>
        <v>17662.802125499999</v>
      </c>
      <c r="V27" s="427">
        <v>17663</v>
      </c>
      <c r="W27" s="429">
        <f t="shared" ref="W27" si="7">V27-U27</f>
        <v>0.19787450000148965</v>
      </c>
    </row>
    <row r="28" spans="2:23" x14ac:dyDescent="0.25">
      <c r="C28" s="753" t="s">
        <v>359</v>
      </c>
      <c r="D28" s="75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2:23" x14ac:dyDescent="0.25">
      <c r="C29" s="805" t="s">
        <v>350</v>
      </c>
      <c r="D29" s="17" t="s">
        <v>360</v>
      </c>
      <c r="E29" s="111">
        <v>234</v>
      </c>
      <c r="F29" s="17"/>
      <c r="G29" s="111">
        <f>117</f>
        <v>117</v>
      </c>
      <c r="H29" s="17">
        <f t="shared" ref="H29:H36" si="8">G29*0.2945</f>
        <v>34.456499999999998</v>
      </c>
      <c r="I29" s="66">
        <f>'F11-Year(n+4)'!E30</f>
        <v>5.7004422806795318</v>
      </c>
      <c r="J29" s="66">
        <f>'F11-Year(n+4)'!F30</f>
        <v>6.1084137216424548</v>
      </c>
      <c r="K29" s="66">
        <f>'F11-Year(n+4)'!G30</f>
        <v>6.3286124110996678</v>
      </c>
      <c r="L29" s="66">
        <f>'F11-Year(n+4)'!H30</f>
        <v>13.835776499120559</v>
      </c>
      <c r="M29" s="66">
        <f>'F11-Year(n+4)'!I30</f>
        <v>32.483877484098635</v>
      </c>
      <c r="N29" s="66">
        <f>'F11-Year(n+4)'!J30</f>
        <v>16.406514016927662</v>
      </c>
      <c r="O29" s="66">
        <f>'F11-Year(n+4)'!K30</f>
        <v>18.084128535726652</v>
      </c>
      <c r="P29" s="66">
        <f>'F11-Year(n+4)'!L30</f>
        <v>6.2024822944871012</v>
      </c>
      <c r="Q29" s="66">
        <f>'F11-Year(n+4)'!M30</f>
        <v>10.640389327405881</v>
      </c>
      <c r="R29" s="66">
        <f>'F11-Year(n+4)'!N30</f>
        <v>20.303326553538248</v>
      </c>
      <c r="S29" s="66">
        <f>'F11-Year(n+4)'!O30</f>
        <v>18.885894809942965</v>
      </c>
      <c r="T29" s="66">
        <f>'F11-Year(n+4)'!P30</f>
        <v>8.4700492817307431</v>
      </c>
      <c r="U29" s="17">
        <f t="shared" si="4"/>
        <v>163.44990721640008</v>
      </c>
    </row>
    <row r="30" spans="2:23" x14ac:dyDescent="0.25">
      <c r="C30" s="806"/>
      <c r="D30" s="17" t="s">
        <v>361</v>
      </c>
      <c r="E30" s="66">
        <v>875.6</v>
      </c>
      <c r="F30" s="17"/>
      <c r="G30" s="66">
        <v>875.6</v>
      </c>
      <c r="H30" s="17">
        <f t="shared" si="8"/>
        <v>257.86419999999998</v>
      </c>
      <c r="I30" s="66">
        <f>'F11-Year(n+4)'!E31</f>
        <v>19.868721043257374</v>
      </c>
      <c r="J30" s="66">
        <f>'F11-Year(n+4)'!F31</f>
        <v>21.290693296459768</v>
      </c>
      <c r="K30" s="66">
        <f>'F11-Year(n+4)'!G31</f>
        <v>22.058189241422603</v>
      </c>
      <c r="L30" s="66">
        <f>'F11-Year(n+4)'!H31</f>
        <v>48.224185096934733</v>
      </c>
      <c r="M30" s="66">
        <f>'F11-Year(n+4)'!I31</f>
        <v>113.22158323090109</v>
      </c>
      <c r="N30" s="66">
        <f>'F11-Year(n+4)'!J31</f>
        <v>57.184413812847012</v>
      </c>
      <c r="O30" s="66">
        <f>'F11-Year(n+4)'!K31</f>
        <v>63.031689033071174</v>
      </c>
      <c r="P30" s="66">
        <f>'F11-Year(n+4)'!L31</f>
        <v>21.618566493092651</v>
      </c>
      <c r="Q30" s="66">
        <f>'F11-Year(n+4)'!M31</f>
        <v>37.086758698428369</v>
      </c>
      <c r="R30" s="66">
        <f>'F11-Year(n+4)'!N31</f>
        <v>70.766637337888</v>
      </c>
      <c r="S30" s="66">
        <f>'F11-Year(n+4)'!O31</f>
        <v>65.826221397390924</v>
      </c>
      <c r="T30" s="66">
        <f>'F11-Year(n+4)'!P31</f>
        <v>29.522103393929889</v>
      </c>
      <c r="U30" s="17">
        <f t="shared" si="4"/>
        <v>569.69976207562365</v>
      </c>
    </row>
    <row r="31" spans="2:23" x14ac:dyDescent="0.25">
      <c r="C31" s="806"/>
      <c r="D31" s="17" t="s">
        <v>362</v>
      </c>
      <c r="E31" s="111">
        <v>900</v>
      </c>
      <c r="F31" s="17"/>
      <c r="G31" s="111">
        <v>900</v>
      </c>
      <c r="H31" s="17">
        <f t="shared" si="8"/>
        <v>265.05</v>
      </c>
      <c r="I31" s="66">
        <f>'F11-Year(n+4)'!E32</f>
        <v>21.924778002613586</v>
      </c>
      <c r="J31" s="66">
        <f>'F11-Year(n+4)'!F32</f>
        <v>23.493898929394057</v>
      </c>
      <c r="K31" s="66">
        <f>'F11-Year(n+4)'!G32</f>
        <v>24.340816965767949</v>
      </c>
      <c r="L31" s="66">
        <f>'F11-Year(n+4)'!H32</f>
        <v>53.214524996617556</v>
      </c>
      <c r="M31" s="66">
        <f>'F11-Year(n+4)'!I32</f>
        <v>124.93799032345632</v>
      </c>
      <c r="N31" s="66">
        <f>'F11-Year(n+4)'!J32</f>
        <v>63.101976988183324</v>
      </c>
      <c r="O31" s="66">
        <f>'F11-Year(n+4)'!K32</f>
        <v>69.554340522025569</v>
      </c>
      <c r="P31" s="66">
        <f>'F11-Year(n+4)'!L32</f>
        <v>23.8557011326427</v>
      </c>
      <c r="Q31" s="66">
        <f>'F11-Year(n+4)'!M32</f>
        <v>40.924574336176462</v>
      </c>
      <c r="R31" s="66">
        <f>'F11-Year(n+4)'!N32</f>
        <v>78.089717513608633</v>
      </c>
      <c r="S31" s="66">
        <f>'F11-Year(n+4)'!O32</f>
        <v>72.638056961319094</v>
      </c>
      <c r="T31" s="66">
        <f>'F11-Year(n+4)'!P32</f>
        <v>32.577112622041319</v>
      </c>
      <c r="U31" s="17">
        <f t="shared" si="4"/>
        <v>628.65348929384652</v>
      </c>
    </row>
    <row r="32" spans="2:23" x14ac:dyDescent="0.25">
      <c r="C32" s="806"/>
      <c r="D32" s="17" t="s">
        <v>363</v>
      </c>
      <c r="E32" s="111">
        <v>240</v>
      </c>
      <c r="F32" s="17"/>
      <c r="G32" s="111">
        <v>240</v>
      </c>
      <c r="H32" s="17">
        <f t="shared" si="8"/>
        <v>70.679999999999993</v>
      </c>
      <c r="I32" s="66">
        <f>'F11-Year(n+4)'!E33</f>
        <v>5.8466074673636239</v>
      </c>
      <c r="J32" s="66">
        <f>'F11-Year(n+4)'!F33</f>
        <v>6.2650397145050842</v>
      </c>
      <c r="K32" s="66">
        <f>'F11-Year(n+4)'!G33</f>
        <v>6.4908845242047892</v>
      </c>
      <c r="L32" s="66">
        <f>'F11-Year(n+4)'!H33</f>
        <v>14.190539999098011</v>
      </c>
      <c r="M32" s="66">
        <f>'F11-Year(n+4)'!I33</f>
        <v>33.316797419588362</v>
      </c>
      <c r="N32" s="66">
        <f>'F11-Year(n+4)'!J33</f>
        <v>16.827193863515561</v>
      </c>
      <c r="O32" s="66">
        <f>'F11-Year(n+4)'!K33</f>
        <v>18.547824139206821</v>
      </c>
      <c r="P32" s="66">
        <f>'F11-Year(n+4)'!L33</f>
        <v>6.3615203020380537</v>
      </c>
      <c r="Q32" s="66">
        <f>'F11-Year(n+4)'!M33</f>
        <v>10.913219822980391</v>
      </c>
      <c r="R32" s="66">
        <f>'F11-Year(n+4)'!N33</f>
        <v>20.823924670295632</v>
      </c>
      <c r="S32" s="66">
        <f>'F11-Year(n+4)'!O33</f>
        <v>19.370148523018425</v>
      </c>
      <c r="T32" s="66">
        <f>'F11-Year(n+4)'!P33</f>
        <v>8.6872300325443526</v>
      </c>
      <c r="U32" s="17">
        <f t="shared" si="4"/>
        <v>167.64093047835914</v>
      </c>
    </row>
    <row r="33" spans="3:23" x14ac:dyDescent="0.25">
      <c r="C33" s="806"/>
      <c r="D33" s="17" t="s">
        <v>364</v>
      </c>
      <c r="E33" s="111">
        <v>120</v>
      </c>
      <c r="F33" s="17"/>
      <c r="G33" s="111">
        <v>120</v>
      </c>
      <c r="H33" s="17">
        <f t="shared" si="8"/>
        <v>35.339999999999996</v>
      </c>
      <c r="I33" s="66">
        <f>'F11-Year(n+4)'!E34</f>
        <v>2.9233037336818111</v>
      </c>
      <c r="J33" s="66">
        <f>'F11-Year(n+4)'!F34</f>
        <v>3.1325198572525412</v>
      </c>
      <c r="K33" s="66">
        <f>'F11-Year(n+4)'!G34</f>
        <v>3.2454422621023937</v>
      </c>
      <c r="L33" s="66">
        <f>'F11-Year(n+4)'!H34</f>
        <v>7.0952699995490036</v>
      </c>
      <c r="M33" s="66">
        <f>'F11-Year(n+4)'!I34</f>
        <v>16.658398709794177</v>
      </c>
      <c r="N33" s="66">
        <f>'F11-Year(n+4)'!J34</f>
        <v>8.4135969317577768</v>
      </c>
      <c r="O33" s="66">
        <f>'F11-Year(n+4)'!K34</f>
        <v>9.2739120696034085</v>
      </c>
      <c r="P33" s="66">
        <f>'F11-Year(n+4)'!L34</f>
        <v>3.180760151019026</v>
      </c>
      <c r="Q33" s="66">
        <f>'F11-Year(n+4)'!M34</f>
        <v>5.4566099114901956</v>
      </c>
      <c r="R33" s="66">
        <f>'F11-Year(n+4)'!N34</f>
        <v>10.41196233514782</v>
      </c>
      <c r="S33" s="66">
        <f>'F11-Year(n+4)'!O34</f>
        <v>9.6850742615092109</v>
      </c>
      <c r="T33" s="66">
        <f>'F11-Year(n+4)'!P34</f>
        <v>4.3436150162721763</v>
      </c>
      <c r="U33" s="17">
        <f t="shared" si="4"/>
        <v>83.820465239179569</v>
      </c>
    </row>
    <row r="34" spans="3:23" x14ac:dyDescent="0.25">
      <c r="C34" s="806"/>
      <c r="D34" s="17" t="s">
        <v>365</v>
      </c>
      <c r="E34" s="111">
        <v>9</v>
      </c>
      <c r="F34" s="17"/>
      <c r="G34" s="111">
        <v>9</v>
      </c>
      <c r="H34" s="17">
        <f t="shared" si="8"/>
        <v>2.6505000000000001</v>
      </c>
      <c r="I34" s="66">
        <f>'F11-Year(n+4)'!E35</f>
        <v>0.43849556005227175</v>
      </c>
      <c r="J34" s="66">
        <f>'F11-Year(n+4)'!F35</f>
        <v>0.46987797858788127</v>
      </c>
      <c r="K34" s="66">
        <f>'F11-Year(n+4)'!G35</f>
        <v>0.48681633931535906</v>
      </c>
      <c r="L34" s="66">
        <f>'F11-Year(n+4)'!H35</f>
        <v>1.0642904999323508</v>
      </c>
      <c r="M34" s="66">
        <f>'F11-Year(n+4)'!I35</f>
        <v>2.4987598064691268</v>
      </c>
      <c r="N34" s="66">
        <f>'F11-Year(n+4)'!J35</f>
        <v>1.2620395397636668</v>
      </c>
      <c r="O34" s="66">
        <f>'F11-Year(n+4)'!K35</f>
        <v>1.3910868104405116</v>
      </c>
      <c r="P34" s="66">
        <f>'F11-Year(n+4)'!L35</f>
        <v>0.47711402265285408</v>
      </c>
      <c r="Q34" s="66">
        <f>'F11-Year(n+4)'!M35</f>
        <v>0.81849148672352934</v>
      </c>
      <c r="R34" s="66">
        <f>'F11-Year(n+4)'!N35</f>
        <v>1.5617943502721729</v>
      </c>
      <c r="S34" s="66">
        <f>'F11-Year(n+4)'!O35</f>
        <v>1.4527611392263817</v>
      </c>
      <c r="T34" s="66">
        <f>'F11-Year(n+4)'!P35</f>
        <v>0.65154225244082631</v>
      </c>
      <c r="U34" s="17">
        <f t="shared" si="4"/>
        <v>12.573069785876934</v>
      </c>
    </row>
    <row r="35" spans="3:23" x14ac:dyDescent="0.25">
      <c r="C35" s="806"/>
      <c r="D35" s="17" t="s">
        <v>366</v>
      </c>
      <c r="E35" s="111">
        <v>54</v>
      </c>
      <c r="F35" s="17"/>
      <c r="G35" s="111">
        <v>54</v>
      </c>
      <c r="H35" s="17">
        <f t="shared" si="8"/>
        <v>15.902999999999999</v>
      </c>
      <c r="I35" s="66">
        <f>'F11-Year(n+4)'!E36</f>
        <v>1.4616518668409055</v>
      </c>
      <c r="J35" s="66">
        <f>'F11-Year(n+4)'!F36</f>
        <v>1.5662599286262706</v>
      </c>
      <c r="K35" s="66">
        <f>'F11-Year(n+4)'!G36</f>
        <v>1.6227211310511969</v>
      </c>
      <c r="L35" s="66">
        <f>'F11-Year(n+4)'!H36</f>
        <v>3.5476349997745018</v>
      </c>
      <c r="M35" s="66">
        <f>'F11-Year(n+4)'!I36</f>
        <v>8.3291993548970886</v>
      </c>
      <c r="N35" s="66">
        <f>'F11-Year(n+4)'!J36</f>
        <v>4.2067984658788884</v>
      </c>
      <c r="O35" s="66">
        <f>'F11-Year(n+4)'!K36</f>
        <v>4.6369560348017043</v>
      </c>
      <c r="P35" s="66">
        <f>'F11-Year(n+4)'!L36</f>
        <v>1.590380075509513</v>
      </c>
      <c r="Q35" s="66">
        <f>'F11-Year(n+4)'!M36</f>
        <v>2.7283049557450978</v>
      </c>
      <c r="R35" s="66">
        <f>'F11-Year(n+4)'!N36</f>
        <v>5.2059811675739098</v>
      </c>
      <c r="S35" s="66">
        <f>'F11-Year(n+4)'!O36</f>
        <v>4.8425371307546055</v>
      </c>
      <c r="T35" s="66">
        <f>'F11-Year(n+4)'!P36</f>
        <v>2.1718075081360881</v>
      </c>
      <c r="U35" s="17">
        <f t="shared" si="4"/>
        <v>41.910232619589785</v>
      </c>
    </row>
    <row r="36" spans="3:23" x14ac:dyDescent="0.25">
      <c r="C36" s="806"/>
      <c r="D36" s="17" t="s">
        <v>367</v>
      </c>
      <c r="E36" s="66">
        <v>9.16</v>
      </c>
      <c r="F36" s="17"/>
      <c r="G36" s="66">
        <v>9.16</v>
      </c>
      <c r="H36" s="17">
        <f t="shared" si="8"/>
        <v>2.6976199999999997</v>
      </c>
      <c r="I36" s="66">
        <f>'F11-Year(n+4)'!E37</f>
        <v>0.36541296671022638</v>
      </c>
      <c r="J36" s="66">
        <f>'F11-Year(n+4)'!F37</f>
        <v>0.39156498215656765</v>
      </c>
      <c r="K36" s="66">
        <f>'F11-Year(n+4)'!G37</f>
        <v>0.40568028276279922</v>
      </c>
      <c r="L36" s="66">
        <f>'F11-Year(n+4)'!H37</f>
        <v>0.88690874994362545</v>
      </c>
      <c r="M36" s="66">
        <f>'F11-Year(n+4)'!I37</f>
        <v>2.0822998387242722</v>
      </c>
      <c r="N36" s="66">
        <f>'F11-Year(n+4)'!J37</f>
        <v>1.0516996164697221</v>
      </c>
      <c r="O36" s="66">
        <f>'F11-Year(n+4)'!K37</f>
        <v>1.1592390087004261</v>
      </c>
      <c r="P36" s="66">
        <f>'F11-Year(n+4)'!L37</f>
        <v>0.39759501887737825</v>
      </c>
      <c r="Q36" s="66">
        <f>'F11-Year(n+4)'!M37</f>
        <v>0.68207623893627445</v>
      </c>
      <c r="R36" s="66">
        <f>'F11-Year(n+4)'!N37</f>
        <v>1.3014952918934775</v>
      </c>
      <c r="S36" s="66">
        <f>'F11-Year(n+4)'!O37</f>
        <v>1.2106342826886514</v>
      </c>
      <c r="T36" s="66">
        <f>'F11-Year(n+4)'!P37</f>
        <v>0.54295187703402203</v>
      </c>
      <c r="U36" s="17">
        <f t="shared" si="4"/>
        <v>10.477558154897446</v>
      </c>
    </row>
    <row r="37" spans="3:23" x14ac:dyDescent="0.25">
      <c r="C37" s="806"/>
      <c r="D37" s="126" t="s">
        <v>448</v>
      </c>
      <c r="E37" s="17"/>
      <c r="F37" s="17"/>
      <c r="G37" s="17"/>
      <c r="H37" s="17"/>
      <c r="I37" s="66">
        <f>'F11-Year(n+4)'!E38</f>
        <v>0</v>
      </c>
      <c r="J37" s="66">
        <f>'F11-Year(n+4)'!F38</f>
        <v>0</v>
      </c>
      <c r="K37" s="66">
        <f>'F11-Year(n+4)'!G38</f>
        <v>0</v>
      </c>
      <c r="L37" s="66">
        <f>'F11-Year(n+4)'!H38</f>
        <v>0</v>
      </c>
      <c r="M37" s="66">
        <f>'F11-Year(n+4)'!I38</f>
        <v>0</v>
      </c>
      <c r="N37" s="66">
        <f>'F11-Year(n+4)'!J38</f>
        <v>0</v>
      </c>
      <c r="O37" s="66">
        <f>'F11-Year(n+4)'!K38</f>
        <v>0</v>
      </c>
      <c r="P37" s="66">
        <f>'F11-Year(n+4)'!L38</f>
        <v>0</v>
      </c>
      <c r="Q37" s="66">
        <f>'F11-Year(n+4)'!M38</f>
        <v>0</v>
      </c>
      <c r="R37" s="66">
        <f>'F11-Year(n+4)'!N38</f>
        <v>0</v>
      </c>
      <c r="S37" s="66">
        <f>'F11-Year(n+4)'!O38</f>
        <v>0</v>
      </c>
      <c r="T37" s="66">
        <f>'F11-Year(n+4)'!P38</f>
        <v>0</v>
      </c>
      <c r="U37" s="17">
        <f t="shared" si="4"/>
        <v>0</v>
      </c>
    </row>
    <row r="38" spans="3:23" x14ac:dyDescent="0.25">
      <c r="C38" s="806"/>
      <c r="D38" s="126" t="s">
        <v>449</v>
      </c>
      <c r="E38" s="17"/>
      <c r="F38" s="17"/>
      <c r="G38" s="17"/>
      <c r="H38" s="17"/>
      <c r="I38" s="66">
        <f>'F11-Year(n+4)'!E39</f>
        <v>0.43849556005227175</v>
      </c>
      <c r="J38" s="66">
        <f>'F11-Year(n+4)'!F39</f>
        <v>0.46987797858788127</v>
      </c>
      <c r="K38" s="66">
        <f>'F11-Year(n+4)'!G39</f>
        <v>0.48681633931535906</v>
      </c>
      <c r="L38" s="66">
        <f>'F11-Year(n+4)'!H39</f>
        <v>1.0642904999323508</v>
      </c>
      <c r="M38" s="66">
        <f>'F11-Year(n+4)'!I39</f>
        <v>2.4987598064691268</v>
      </c>
      <c r="N38" s="66">
        <f>'F11-Year(n+4)'!J39</f>
        <v>1.2620395397636668</v>
      </c>
      <c r="O38" s="66">
        <f>'F11-Year(n+4)'!K39</f>
        <v>1.3910868104405116</v>
      </c>
      <c r="P38" s="66">
        <f>'F11-Year(n+4)'!L39</f>
        <v>0.47711402265285408</v>
      </c>
      <c r="Q38" s="66">
        <f>'F11-Year(n+4)'!M39</f>
        <v>0.81849148672352934</v>
      </c>
      <c r="R38" s="66">
        <f>'F11-Year(n+4)'!N39</f>
        <v>1.5617943502721729</v>
      </c>
      <c r="S38" s="66">
        <f>'F11-Year(n+4)'!O39</f>
        <v>1.4527611392263817</v>
      </c>
      <c r="T38" s="66">
        <f>'F11-Year(n+4)'!P39</f>
        <v>0.65154225244082631</v>
      </c>
      <c r="U38" s="17">
        <f t="shared" si="4"/>
        <v>12.573069785876934</v>
      </c>
    </row>
    <row r="39" spans="3:23" x14ac:dyDescent="0.25">
      <c r="C39" s="806"/>
      <c r="D39" s="126" t="s">
        <v>450</v>
      </c>
      <c r="E39" s="17"/>
      <c r="F39" s="17"/>
      <c r="G39" s="17"/>
      <c r="H39" s="17"/>
      <c r="I39" s="66">
        <f>'F11-Year(n+4)'!E40</f>
        <v>0.24360864447348429</v>
      </c>
      <c r="J39" s="66">
        <f>'F11-Year(n+4)'!F40</f>
        <v>0.26104332143771181</v>
      </c>
      <c r="K39" s="66">
        <f>'F11-Year(n+4)'!G40</f>
        <v>0.27045352184186622</v>
      </c>
      <c r="L39" s="66">
        <f>'F11-Year(n+4)'!H40</f>
        <v>0.59127249996241704</v>
      </c>
      <c r="M39" s="66">
        <f>'F11-Year(n+4)'!I40</f>
        <v>1.3881998924828483</v>
      </c>
      <c r="N39" s="66">
        <f>'F11-Year(n+4)'!J40</f>
        <v>0.70113307764648169</v>
      </c>
      <c r="O39" s="66">
        <f>'F11-Year(n+4)'!K40</f>
        <v>0.77282600580028427</v>
      </c>
      <c r="P39" s="66">
        <f>'F11-Year(n+4)'!L40</f>
        <v>0.2650633459182522</v>
      </c>
      <c r="Q39" s="66">
        <f>'F11-Year(n+4)'!M40</f>
        <v>0.45471749262418304</v>
      </c>
      <c r="R39" s="66">
        <f>'F11-Year(n+4)'!N40</f>
        <v>0.86766352792898482</v>
      </c>
      <c r="S39" s="66">
        <f>'F11-Year(n+4)'!O40</f>
        <v>0.80708952179243432</v>
      </c>
      <c r="T39" s="66">
        <f>'F11-Year(n+4)'!P40</f>
        <v>0.36196791802268136</v>
      </c>
      <c r="U39" s="17">
        <f t="shared" si="4"/>
        <v>6.985038769931629</v>
      </c>
    </row>
    <row r="40" spans="3:23" x14ac:dyDescent="0.25">
      <c r="C40" s="806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>
        <f t="shared" si="4"/>
        <v>0</v>
      </c>
    </row>
    <row r="41" spans="3:23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>
        <f t="shared" si="4"/>
        <v>0</v>
      </c>
    </row>
    <row r="42" spans="3:23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>
        <f t="shared" si="4"/>
        <v>0</v>
      </c>
    </row>
    <row r="43" spans="3:23" x14ac:dyDescent="0.25">
      <c r="C43" s="806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>
        <f t="shared" si="4"/>
        <v>0</v>
      </c>
    </row>
    <row r="44" spans="3:23" x14ac:dyDescent="0.25">
      <c r="C44" s="806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>
        <f t="shared" si="4"/>
        <v>0</v>
      </c>
    </row>
    <row r="45" spans="3:23" x14ac:dyDescent="0.25">
      <c r="C45" s="80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>
        <f t="shared" si="4"/>
        <v>0</v>
      </c>
    </row>
    <row r="46" spans="3:23" x14ac:dyDescent="0.25">
      <c r="C46" s="807"/>
      <c r="D46" s="10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>
        <f t="shared" si="4"/>
        <v>0</v>
      </c>
    </row>
    <row r="47" spans="3:23" x14ac:dyDescent="0.25">
      <c r="C47" s="751" t="s">
        <v>212</v>
      </c>
      <c r="D47" s="752"/>
      <c r="E47" s="17">
        <f>SUM(E29:E46)</f>
        <v>2441.7599999999998</v>
      </c>
      <c r="F47" s="17">
        <f t="shared" ref="F47:T47" si="9">SUM(F29:F46)</f>
        <v>0</v>
      </c>
      <c r="G47" s="17">
        <f t="shared" si="9"/>
        <v>2324.7599999999998</v>
      </c>
      <c r="H47" s="17">
        <f t="shared" si="9"/>
        <v>684.64181999999994</v>
      </c>
      <c r="I47" s="17">
        <f t="shared" si="9"/>
        <v>59.211517125725088</v>
      </c>
      <c r="J47" s="17">
        <f t="shared" si="9"/>
        <v>63.449189708650216</v>
      </c>
      <c r="K47" s="17">
        <f t="shared" si="9"/>
        <v>65.736433018883986</v>
      </c>
      <c r="L47" s="17">
        <f t="shared" si="9"/>
        <v>143.7146938408651</v>
      </c>
      <c r="M47" s="17">
        <f t="shared" si="9"/>
        <v>337.41586586688112</v>
      </c>
      <c r="N47" s="17">
        <f t="shared" si="9"/>
        <v>170.41740585275375</v>
      </c>
      <c r="O47" s="17">
        <f t="shared" si="9"/>
        <v>187.84308896981705</v>
      </c>
      <c r="P47" s="17">
        <f t="shared" si="9"/>
        <v>64.426296858890368</v>
      </c>
      <c r="Q47" s="17">
        <f t="shared" si="9"/>
        <v>110.52363375723392</v>
      </c>
      <c r="R47" s="17">
        <f t="shared" si="9"/>
        <v>210.89429709841906</v>
      </c>
      <c r="S47" s="17">
        <f t="shared" si="9"/>
        <v>196.17117916686905</v>
      </c>
      <c r="T47" s="17">
        <f t="shared" si="9"/>
        <v>87.979922154592913</v>
      </c>
      <c r="U47" s="86">
        <f>SUM(I47:T47)</f>
        <v>1697.7835234195813</v>
      </c>
      <c r="V47" s="427">
        <v>1691</v>
      </c>
      <c r="W47" s="429">
        <f t="shared" ref="W47" si="10">V47-U47</f>
        <v>-6.7835234195813428</v>
      </c>
    </row>
    <row r="48" spans="3:23" x14ac:dyDescent="0.25">
      <c r="C48" s="753" t="s">
        <v>368</v>
      </c>
      <c r="D48" s="754"/>
      <c r="E48" s="17">
        <f>E27+E47</f>
        <v>10484.26</v>
      </c>
      <c r="F48" s="17">
        <f t="shared" ref="F48:T48" si="11">F27+F47</f>
        <v>0</v>
      </c>
      <c r="G48" s="17">
        <f t="shared" si="11"/>
        <v>10367.26</v>
      </c>
      <c r="H48" s="17">
        <f t="shared" si="11"/>
        <v>3053.1580699999995</v>
      </c>
      <c r="I48" s="17">
        <f t="shared" si="11"/>
        <v>1510.9486781257251</v>
      </c>
      <c r="J48" s="17">
        <f t="shared" si="11"/>
        <v>1563.5775894086503</v>
      </c>
      <c r="K48" s="17">
        <f t="shared" si="11"/>
        <v>1517.4735940188839</v>
      </c>
      <c r="L48" s="17">
        <f t="shared" si="11"/>
        <v>1643.8430935408651</v>
      </c>
      <c r="M48" s="17">
        <f t="shared" si="11"/>
        <v>1837.5442655668812</v>
      </c>
      <c r="N48" s="17">
        <f t="shared" si="11"/>
        <v>1622.1545668527538</v>
      </c>
      <c r="O48" s="17">
        <f t="shared" si="11"/>
        <v>1687.9714886698171</v>
      </c>
      <c r="P48" s="17">
        <f t="shared" si="11"/>
        <v>1516.1634578588903</v>
      </c>
      <c r="Q48" s="17">
        <f t="shared" si="11"/>
        <v>1610.652033457234</v>
      </c>
      <c r="R48" s="17">
        <f t="shared" si="11"/>
        <v>1711.022696798419</v>
      </c>
      <c r="S48" s="17">
        <f t="shared" si="11"/>
        <v>1551.125862766869</v>
      </c>
      <c r="T48" s="17">
        <f t="shared" si="11"/>
        <v>1588.108321854593</v>
      </c>
      <c r="U48" s="86">
        <f>U27+U47</f>
        <v>19360.585648919579</v>
      </c>
    </row>
    <row r="49" spans="3:21" x14ac:dyDescent="0.25">
      <c r="C49" s="800" t="s">
        <v>369</v>
      </c>
      <c r="D49" s="801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  <row r="50" spans="3:21" x14ac:dyDescent="0.25">
      <c r="C50" s="753" t="s">
        <v>349</v>
      </c>
      <c r="D50" s="75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</row>
    <row r="51" spans="3:21" x14ac:dyDescent="0.25">
      <c r="C51" s="805" t="s">
        <v>370</v>
      </c>
      <c r="D51" s="17" t="s">
        <v>371</v>
      </c>
      <c r="E51" s="17">
        <v>2100</v>
      </c>
      <c r="F51" s="17"/>
      <c r="G51" s="17">
        <v>352.5</v>
      </c>
      <c r="H51" s="66">
        <f>G51*0.2945</f>
        <v>103.81125</v>
      </c>
      <c r="I51" s="66">
        <f t="shared" ref="I51:I67" si="12">$H51*0.85*30*24/1000</f>
        <v>63.532485000000008</v>
      </c>
      <c r="J51" s="66">
        <f t="shared" ref="J51:J67" si="13">$H51*0.85*31*24/1000</f>
        <v>65.65023450000001</v>
      </c>
      <c r="K51" s="66">
        <f t="shared" ref="K51:K67" si="14">$H51*0.85*30*24/1000</f>
        <v>63.532485000000008</v>
      </c>
      <c r="L51" s="66">
        <f t="shared" ref="L51:M67" si="15">$H51*0.85*31*24/1000</f>
        <v>65.65023450000001</v>
      </c>
      <c r="M51" s="66">
        <f t="shared" si="15"/>
        <v>65.65023450000001</v>
      </c>
      <c r="N51" s="66">
        <f t="shared" ref="N51:N67" si="16">$H51*0.85*30*24/1000</f>
        <v>63.532485000000008</v>
      </c>
      <c r="O51" s="66">
        <f t="shared" ref="O51:O67" si="17">$H51*0.85*31*24/1000</f>
        <v>65.65023450000001</v>
      </c>
      <c r="P51" s="66">
        <f t="shared" ref="P51:P67" si="18">$H51*0.85*30*24/1000</f>
        <v>63.532485000000008</v>
      </c>
      <c r="Q51" s="66">
        <f t="shared" ref="Q51:R67" si="19">$H51*0.85*31*24/1000</f>
        <v>65.65023450000001</v>
      </c>
      <c r="R51" s="66">
        <f t="shared" si="19"/>
        <v>65.65023450000001</v>
      </c>
      <c r="S51" s="66">
        <f t="shared" ref="S51:S67" si="20">$H51*0.85*28*24/1000</f>
        <v>59.296986000000004</v>
      </c>
      <c r="T51" s="66">
        <f t="shared" ref="T51:T67" si="21">$H51*0.85*31*24/1000</f>
        <v>65.65023450000001</v>
      </c>
      <c r="U51" s="17">
        <f t="shared" ref="U51:U76" si="22">+SUM(I51:T51)</f>
        <v>772.97856750000017</v>
      </c>
    </row>
    <row r="52" spans="3:21" x14ac:dyDescent="0.25">
      <c r="C52" s="806"/>
      <c r="D52" s="17" t="s">
        <v>372</v>
      </c>
      <c r="E52" s="17">
        <v>500</v>
      </c>
      <c r="F52" s="17"/>
      <c r="G52" s="17">
        <v>88.5</v>
      </c>
      <c r="H52" s="66">
        <f t="shared" ref="H52:H67" si="23">G52*0.2945</f>
        <v>26.06325</v>
      </c>
      <c r="I52" s="66">
        <f t="shared" si="12"/>
        <v>15.950709000000002</v>
      </c>
      <c r="J52" s="66">
        <f t="shared" si="13"/>
        <v>16.482399300000001</v>
      </c>
      <c r="K52" s="66">
        <f t="shared" si="14"/>
        <v>15.950709000000002</v>
      </c>
      <c r="L52" s="66">
        <f t="shared" si="15"/>
        <v>16.482399300000001</v>
      </c>
      <c r="M52" s="66">
        <f t="shared" si="15"/>
        <v>16.482399300000001</v>
      </c>
      <c r="N52" s="66">
        <f t="shared" si="16"/>
        <v>15.950709000000002</v>
      </c>
      <c r="O52" s="66">
        <f t="shared" si="17"/>
        <v>16.482399300000001</v>
      </c>
      <c r="P52" s="66">
        <f t="shared" si="18"/>
        <v>15.950709000000002</v>
      </c>
      <c r="Q52" s="66">
        <f t="shared" si="19"/>
        <v>16.482399300000001</v>
      </c>
      <c r="R52" s="66">
        <f t="shared" si="19"/>
        <v>16.482399300000001</v>
      </c>
      <c r="S52" s="66">
        <f t="shared" si="20"/>
        <v>14.887328399999998</v>
      </c>
      <c r="T52" s="66">
        <f t="shared" si="21"/>
        <v>16.482399300000001</v>
      </c>
      <c r="U52" s="17">
        <f t="shared" si="22"/>
        <v>194.0669595</v>
      </c>
    </row>
    <row r="53" spans="3:21" x14ac:dyDescent="0.25">
      <c r="C53" s="806"/>
      <c r="D53" s="17" t="s">
        <v>373</v>
      </c>
      <c r="E53" s="17">
        <v>2000</v>
      </c>
      <c r="F53" s="17"/>
      <c r="G53" s="17">
        <v>217.4</v>
      </c>
      <c r="H53" s="66">
        <f t="shared" si="23"/>
        <v>64.024299999999997</v>
      </c>
      <c r="I53" s="66">
        <f t="shared" si="12"/>
        <v>39.182871599999999</v>
      </c>
      <c r="J53" s="66">
        <f t="shared" si="13"/>
        <v>40.488967319999993</v>
      </c>
      <c r="K53" s="66">
        <f t="shared" si="14"/>
        <v>39.182871599999999</v>
      </c>
      <c r="L53" s="66">
        <f t="shared" si="15"/>
        <v>40.488967319999993</v>
      </c>
      <c r="M53" s="66">
        <f t="shared" si="15"/>
        <v>40.488967319999993</v>
      </c>
      <c r="N53" s="66">
        <f t="shared" si="16"/>
        <v>39.182871599999999</v>
      </c>
      <c r="O53" s="66">
        <f t="shared" si="17"/>
        <v>40.488967319999993</v>
      </c>
      <c r="P53" s="66">
        <f t="shared" si="18"/>
        <v>39.182871599999999</v>
      </c>
      <c r="Q53" s="66">
        <f t="shared" si="19"/>
        <v>40.488967319999993</v>
      </c>
      <c r="R53" s="66">
        <f t="shared" si="19"/>
        <v>40.488967319999993</v>
      </c>
      <c r="S53" s="66">
        <f t="shared" si="20"/>
        <v>36.570680159999995</v>
      </c>
      <c r="T53" s="66">
        <f t="shared" si="21"/>
        <v>40.488967319999993</v>
      </c>
      <c r="U53" s="17">
        <f t="shared" si="22"/>
        <v>476.72493779999991</v>
      </c>
    </row>
    <row r="54" spans="3:21" x14ac:dyDescent="0.25">
      <c r="C54" s="806"/>
      <c r="D54" s="17" t="s">
        <v>374</v>
      </c>
      <c r="E54" s="17">
        <v>1000</v>
      </c>
      <c r="F54" s="17"/>
      <c r="G54" s="17">
        <v>538.9</v>
      </c>
      <c r="H54" s="66">
        <f t="shared" si="23"/>
        <v>158.70604999999998</v>
      </c>
      <c r="I54" s="66">
        <f t="shared" si="12"/>
        <v>97.128102600000005</v>
      </c>
      <c r="J54" s="66">
        <f t="shared" si="13"/>
        <v>100.36570602</v>
      </c>
      <c r="K54" s="66">
        <f t="shared" si="14"/>
        <v>97.128102600000005</v>
      </c>
      <c r="L54" s="66">
        <f t="shared" si="15"/>
        <v>100.36570602</v>
      </c>
      <c r="M54" s="66">
        <f t="shared" si="15"/>
        <v>100.36570602</v>
      </c>
      <c r="N54" s="66">
        <f t="shared" si="16"/>
        <v>97.128102600000005</v>
      </c>
      <c r="O54" s="66">
        <f t="shared" si="17"/>
        <v>100.36570602</v>
      </c>
      <c r="P54" s="66">
        <f t="shared" si="18"/>
        <v>97.128102600000005</v>
      </c>
      <c r="Q54" s="66">
        <f t="shared" si="19"/>
        <v>100.36570602</v>
      </c>
      <c r="R54" s="66">
        <f t="shared" si="19"/>
        <v>100.36570602</v>
      </c>
      <c r="S54" s="66">
        <f t="shared" si="20"/>
        <v>90.652895759999979</v>
      </c>
      <c r="T54" s="66">
        <f t="shared" si="21"/>
        <v>100.36570602</v>
      </c>
      <c r="U54" s="17">
        <f t="shared" si="22"/>
        <v>1181.7252483</v>
      </c>
    </row>
    <row r="55" spans="3:21" x14ac:dyDescent="0.25">
      <c r="C55" s="806"/>
      <c r="D55" s="17" t="s">
        <v>375</v>
      </c>
      <c r="E55" s="17">
        <v>1000</v>
      </c>
      <c r="F55" s="17"/>
      <c r="G55" s="17">
        <v>256.7</v>
      </c>
      <c r="H55" s="66">
        <f t="shared" si="23"/>
        <v>75.59814999999999</v>
      </c>
      <c r="I55" s="66">
        <f t="shared" si="12"/>
        <v>46.266067799999995</v>
      </c>
      <c r="J55" s="66">
        <f t="shared" si="13"/>
        <v>47.808270059999998</v>
      </c>
      <c r="K55" s="66">
        <f t="shared" si="14"/>
        <v>46.266067799999995</v>
      </c>
      <c r="L55" s="66">
        <f t="shared" si="15"/>
        <v>47.808270059999998</v>
      </c>
      <c r="M55" s="66">
        <f t="shared" si="15"/>
        <v>47.808270059999998</v>
      </c>
      <c r="N55" s="66">
        <f t="shared" si="16"/>
        <v>46.266067799999995</v>
      </c>
      <c r="O55" s="66">
        <f t="shared" si="17"/>
        <v>47.808270059999998</v>
      </c>
      <c r="P55" s="66">
        <f t="shared" si="18"/>
        <v>46.266067799999995</v>
      </c>
      <c r="Q55" s="66">
        <f t="shared" si="19"/>
        <v>47.808270059999998</v>
      </c>
      <c r="R55" s="66">
        <f t="shared" si="19"/>
        <v>47.808270059999998</v>
      </c>
      <c r="S55" s="66">
        <f t="shared" si="20"/>
        <v>43.181663280000002</v>
      </c>
      <c r="T55" s="66">
        <f t="shared" si="21"/>
        <v>47.808270059999998</v>
      </c>
      <c r="U55" s="17">
        <f t="shared" si="22"/>
        <v>562.9038248999999</v>
      </c>
    </row>
    <row r="56" spans="3:21" x14ac:dyDescent="0.25">
      <c r="C56" s="806"/>
      <c r="D56" s="17" t="s">
        <v>376</v>
      </c>
      <c r="E56" s="17">
        <v>2400</v>
      </c>
      <c r="F56" s="17"/>
      <c r="G56" s="17">
        <v>281.04000000000002</v>
      </c>
      <c r="H56" s="66">
        <f t="shared" si="23"/>
        <v>82.766279999999995</v>
      </c>
      <c r="I56" s="66">
        <f t="shared" si="12"/>
        <v>50.652963360000001</v>
      </c>
      <c r="J56" s="66">
        <f t="shared" si="13"/>
        <v>52.341395472000002</v>
      </c>
      <c r="K56" s="66">
        <f t="shared" si="14"/>
        <v>50.652963360000001</v>
      </c>
      <c r="L56" s="66">
        <f t="shared" si="15"/>
        <v>52.341395472000002</v>
      </c>
      <c r="M56" s="66">
        <f t="shared" si="15"/>
        <v>52.341395472000002</v>
      </c>
      <c r="N56" s="66">
        <f t="shared" si="16"/>
        <v>50.652963360000001</v>
      </c>
      <c r="O56" s="66">
        <f t="shared" si="17"/>
        <v>52.341395472000002</v>
      </c>
      <c r="P56" s="66">
        <f t="shared" si="18"/>
        <v>50.652963360000001</v>
      </c>
      <c r="Q56" s="66">
        <f t="shared" si="19"/>
        <v>52.341395472000002</v>
      </c>
      <c r="R56" s="66">
        <f t="shared" si="19"/>
        <v>52.341395472000002</v>
      </c>
      <c r="S56" s="66">
        <f t="shared" si="20"/>
        <v>47.276099135999999</v>
      </c>
      <c r="T56" s="66">
        <f t="shared" si="21"/>
        <v>52.341395472000002</v>
      </c>
      <c r="U56" s="17">
        <f t="shared" si="22"/>
        <v>616.27772087999995</v>
      </c>
    </row>
    <row r="57" spans="3:21" x14ac:dyDescent="0.25">
      <c r="C57" s="806"/>
      <c r="D57" s="17" t="s">
        <v>377</v>
      </c>
      <c r="E57" s="17">
        <v>85</v>
      </c>
      <c r="F57" s="17"/>
      <c r="G57" s="17">
        <v>45.81</v>
      </c>
      <c r="H57" s="66">
        <f t="shared" si="23"/>
        <v>13.491045</v>
      </c>
      <c r="I57" s="66">
        <f t="shared" si="12"/>
        <v>8.2565195399999993</v>
      </c>
      <c r="J57" s="66">
        <f t="shared" si="13"/>
        <v>8.5317368580000004</v>
      </c>
      <c r="K57" s="66">
        <f t="shared" si="14"/>
        <v>8.2565195399999993</v>
      </c>
      <c r="L57" s="66">
        <f t="shared" si="15"/>
        <v>8.5317368580000004</v>
      </c>
      <c r="M57" s="66">
        <f t="shared" si="15"/>
        <v>8.5317368580000004</v>
      </c>
      <c r="N57" s="66">
        <f t="shared" si="16"/>
        <v>8.2565195399999993</v>
      </c>
      <c r="O57" s="66">
        <f t="shared" si="17"/>
        <v>8.5317368580000004</v>
      </c>
      <c r="P57" s="66">
        <f t="shared" si="18"/>
        <v>8.2565195399999993</v>
      </c>
      <c r="Q57" s="66">
        <f t="shared" si="19"/>
        <v>8.5317368580000004</v>
      </c>
      <c r="R57" s="66">
        <f t="shared" si="19"/>
        <v>8.5317368580000004</v>
      </c>
      <c r="S57" s="66">
        <f t="shared" si="20"/>
        <v>7.706084903999999</v>
      </c>
      <c r="T57" s="66">
        <f t="shared" si="21"/>
        <v>8.5317368580000004</v>
      </c>
      <c r="U57" s="17">
        <f t="shared" si="22"/>
        <v>100.45432107000001</v>
      </c>
    </row>
    <row r="58" spans="3:21" x14ac:dyDescent="0.25">
      <c r="C58" s="806"/>
      <c r="D58" s="17" t="s">
        <v>378</v>
      </c>
      <c r="E58" s="17">
        <v>200</v>
      </c>
      <c r="F58" s="17"/>
      <c r="G58" s="17">
        <v>200</v>
      </c>
      <c r="H58" s="66">
        <f t="shared" si="23"/>
        <v>58.9</v>
      </c>
      <c r="I58" s="66">
        <f t="shared" si="12"/>
        <v>36.046799999999998</v>
      </c>
      <c r="J58" s="66">
        <f t="shared" si="13"/>
        <v>37.248359999999998</v>
      </c>
      <c r="K58" s="66">
        <f t="shared" si="14"/>
        <v>36.046799999999998</v>
      </c>
      <c r="L58" s="66">
        <f t="shared" si="15"/>
        <v>37.248359999999998</v>
      </c>
      <c r="M58" s="66">
        <f t="shared" si="15"/>
        <v>37.248359999999998</v>
      </c>
      <c r="N58" s="66">
        <f t="shared" si="16"/>
        <v>36.046799999999998</v>
      </c>
      <c r="O58" s="66">
        <f t="shared" si="17"/>
        <v>37.248359999999998</v>
      </c>
      <c r="P58" s="66">
        <f t="shared" si="18"/>
        <v>36.046799999999998</v>
      </c>
      <c r="Q58" s="66">
        <f t="shared" si="19"/>
        <v>37.248359999999998</v>
      </c>
      <c r="R58" s="66">
        <f t="shared" si="19"/>
        <v>37.248359999999998</v>
      </c>
      <c r="S58" s="66">
        <f t="shared" si="20"/>
        <v>33.643680000000003</v>
      </c>
      <c r="T58" s="66">
        <f t="shared" si="21"/>
        <v>37.248359999999998</v>
      </c>
      <c r="U58" s="17">
        <f t="shared" si="22"/>
        <v>438.56939999999997</v>
      </c>
    </row>
    <row r="59" spans="3:21" x14ac:dyDescent="0.25">
      <c r="C59" s="807"/>
      <c r="D59" s="17" t="s">
        <v>379</v>
      </c>
      <c r="E59" s="17">
        <v>1600</v>
      </c>
      <c r="F59" s="17"/>
      <c r="G59" s="17">
        <v>1390.78</v>
      </c>
      <c r="H59" s="66">
        <f t="shared" si="23"/>
        <v>409.58470999999997</v>
      </c>
      <c r="I59" s="66">
        <f t="shared" si="12"/>
        <v>250.66584251999998</v>
      </c>
      <c r="J59" s="66">
        <f t="shared" si="13"/>
        <v>259.02137060399997</v>
      </c>
      <c r="K59" s="66">
        <f t="shared" si="14"/>
        <v>250.66584251999998</v>
      </c>
      <c r="L59" s="66">
        <f t="shared" si="15"/>
        <v>259.02137060399997</v>
      </c>
      <c r="M59" s="66">
        <f t="shared" si="15"/>
        <v>259.02137060399997</v>
      </c>
      <c r="N59" s="66">
        <f t="shared" si="16"/>
        <v>250.66584251999998</v>
      </c>
      <c r="O59" s="66">
        <f t="shared" si="17"/>
        <v>259.02137060399997</v>
      </c>
      <c r="P59" s="66">
        <f t="shared" si="18"/>
        <v>250.66584251999998</v>
      </c>
      <c r="Q59" s="66">
        <f t="shared" si="19"/>
        <v>259.02137060399997</v>
      </c>
      <c r="R59" s="66">
        <f t="shared" si="19"/>
        <v>259.02137060399997</v>
      </c>
      <c r="S59" s="66">
        <f t="shared" si="20"/>
        <v>233.95478635199996</v>
      </c>
      <c r="T59" s="66">
        <f t="shared" si="21"/>
        <v>259.02137060399997</v>
      </c>
      <c r="U59" s="17">
        <f t="shared" si="22"/>
        <v>3049.7677506599998</v>
      </c>
    </row>
    <row r="60" spans="3:21" x14ac:dyDescent="0.25">
      <c r="C60" s="17"/>
      <c r="D60" s="17" t="s">
        <v>380</v>
      </c>
      <c r="E60" s="17"/>
      <c r="F60" s="17"/>
      <c r="G60" s="17"/>
      <c r="H60" s="66">
        <f t="shared" si="23"/>
        <v>0</v>
      </c>
      <c r="I60" s="66">
        <f t="shared" si="12"/>
        <v>0</v>
      </c>
      <c r="J60" s="66">
        <f t="shared" si="13"/>
        <v>0</v>
      </c>
      <c r="K60" s="66">
        <f t="shared" si="14"/>
        <v>0</v>
      </c>
      <c r="L60" s="66">
        <f t="shared" si="15"/>
        <v>0</v>
      </c>
      <c r="M60" s="66">
        <f t="shared" si="15"/>
        <v>0</v>
      </c>
      <c r="N60" s="66">
        <f t="shared" si="16"/>
        <v>0</v>
      </c>
      <c r="O60" s="66">
        <f t="shared" si="17"/>
        <v>0</v>
      </c>
      <c r="P60" s="66">
        <f t="shared" si="18"/>
        <v>0</v>
      </c>
      <c r="Q60" s="66">
        <f t="shared" si="19"/>
        <v>0</v>
      </c>
      <c r="R60" s="66">
        <f t="shared" si="19"/>
        <v>0</v>
      </c>
      <c r="S60" s="66">
        <f t="shared" si="20"/>
        <v>0</v>
      </c>
      <c r="T60" s="66">
        <f t="shared" si="21"/>
        <v>0</v>
      </c>
      <c r="U60" s="17">
        <f t="shared" si="22"/>
        <v>0</v>
      </c>
    </row>
    <row r="61" spans="3:21" x14ac:dyDescent="0.25">
      <c r="C61" s="17"/>
      <c r="D61" s="17" t="s">
        <v>381</v>
      </c>
      <c r="E61" s="17">
        <v>630</v>
      </c>
      <c r="F61" s="17"/>
      <c r="G61" s="66">
        <v>5.23</v>
      </c>
      <c r="H61" s="66">
        <f t="shared" si="23"/>
        <v>1.540235</v>
      </c>
      <c r="I61" s="66">
        <f t="shared" si="12"/>
        <v>0.94262381999999978</v>
      </c>
      <c r="J61" s="66">
        <f t="shared" si="13"/>
        <v>0.97404461399999986</v>
      </c>
      <c r="K61" s="66">
        <f t="shared" si="14"/>
        <v>0.94262381999999978</v>
      </c>
      <c r="L61" s="66">
        <f t="shared" si="15"/>
        <v>0.97404461399999986</v>
      </c>
      <c r="M61" s="66">
        <f t="shared" si="15"/>
        <v>0.97404461399999986</v>
      </c>
      <c r="N61" s="66">
        <f t="shared" si="16"/>
        <v>0.94262381999999978</v>
      </c>
      <c r="O61" s="66">
        <f t="shared" si="17"/>
        <v>0.97404461399999986</v>
      </c>
      <c r="P61" s="66">
        <f t="shared" si="18"/>
        <v>0.94262381999999978</v>
      </c>
      <c r="Q61" s="66">
        <f t="shared" si="19"/>
        <v>0.97404461399999986</v>
      </c>
      <c r="R61" s="66">
        <f t="shared" si="19"/>
        <v>0.97404461399999986</v>
      </c>
      <c r="S61" s="66">
        <f t="shared" si="20"/>
        <v>0.87978223200000005</v>
      </c>
      <c r="T61" s="66">
        <f t="shared" si="21"/>
        <v>0.97404461399999986</v>
      </c>
      <c r="U61" s="17">
        <f t="shared" si="22"/>
        <v>11.468589809999999</v>
      </c>
    </row>
    <row r="62" spans="3:21" x14ac:dyDescent="0.25">
      <c r="C62" s="17"/>
      <c r="D62" s="17" t="s">
        <v>382</v>
      </c>
      <c r="E62" s="17">
        <v>840</v>
      </c>
      <c r="F62" s="17"/>
      <c r="G62" s="66">
        <v>6.89</v>
      </c>
      <c r="H62" s="66">
        <f t="shared" si="23"/>
        <v>2.0291049999999999</v>
      </c>
      <c r="I62" s="66">
        <f t="shared" si="12"/>
        <v>1.2418122599999999</v>
      </c>
      <c r="J62" s="66">
        <f t="shared" si="13"/>
        <v>1.2832060019999998</v>
      </c>
      <c r="K62" s="66">
        <f t="shared" si="14"/>
        <v>1.2418122599999999</v>
      </c>
      <c r="L62" s="66">
        <f t="shared" si="15"/>
        <v>1.2832060019999998</v>
      </c>
      <c r="M62" s="66">
        <f t="shared" si="15"/>
        <v>1.2832060019999998</v>
      </c>
      <c r="N62" s="66">
        <f t="shared" si="16"/>
        <v>1.2418122599999999</v>
      </c>
      <c r="O62" s="66">
        <f t="shared" si="17"/>
        <v>1.2832060019999998</v>
      </c>
      <c r="P62" s="66">
        <f t="shared" si="18"/>
        <v>1.2418122599999999</v>
      </c>
      <c r="Q62" s="66">
        <f t="shared" si="19"/>
        <v>1.2832060019999998</v>
      </c>
      <c r="R62" s="66">
        <f t="shared" si="19"/>
        <v>1.2832060019999998</v>
      </c>
      <c r="S62" s="66">
        <f t="shared" si="20"/>
        <v>1.1590247759999999</v>
      </c>
      <c r="T62" s="66">
        <f t="shared" si="21"/>
        <v>1.2832060019999998</v>
      </c>
      <c r="U62" s="17">
        <f t="shared" si="22"/>
        <v>15.108715829999998</v>
      </c>
    </row>
    <row r="63" spans="3:21" x14ac:dyDescent="0.25">
      <c r="C63" s="17"/>
      <c r="D63" s="17" t="s">
        <v>383</v>
      </c>
      <c r="E63" s="17">
        <v>1000</v>
      </c>
      <c r="F63" s="17"/>
      <c r="G63" s="66">
        <v>66.25</v>
      </c>
      <c r="H63" s="66">
        <f t="shared" si="23"/>
        <v>19.510624999999997</v>
      </c>
      <c r="I63" s="66">
        <f t="shared" si="12"/>
        <v>11.940502499999999</v>
      </c>
      <c r="J63" s="66">
        <f t="shared" si="13"/>
        <v>12.338519250000001</v>
      </c>
      <c r="K63" s="66">
        <f t="shared" si="14"/>
        <v>11.940502499999999</v>
      </c>
      <c r="L63" s="66">
        <f t="shared" si="15"/>
        <v>12.338519250000001</v>
      </c>
      <c r="M63" s="66">
        <f t="shared" si="15"/>
        <v>12.338519250000001</v>
      </c>
      <c r="N63" s="66">
        <f t="shared" si="16"/>
        <v>11.940502499999999</v>
      </c>
      <c r="O63" s="66">
        <f t="shared" si="17"/>
        <v>12.338519250000001</v>
      </c>
      <c r="P63" s="66">
        <f t="shared" si="18"/>
        <v>11.940502499999999</v>
      </c>
      <c r="Q63" s="66">
        <f t="shared" si="19"/>
        <v>12.338519250000001</v>
      </c>
      <c r="R63" s="66">
        <f t="shared" si="19"/>
        <v>12.338519250000001</v>
      </c>
      <c r="S63" s="66">
        <f t="shared" si="20"/>
        <v>11.144468999999999</v>
      </c>
      <c r="T63" s="66">
        <f t="shared" si="21"/>
        <v>12.338519250000001</v>
      </c>
      <c r="U63" s="17">
        <f t="shared" si="22"/>
        <v>145.27611374999998</v>
      </c>
    </row>
    <row r="64" spans="3:21" x14ac:dyDescent="0.25">
      <c r="C64" s="17"/>
      <c r="D64" s="17" t="s">
        <v>384</v>
      </c>
      <c r="E64" s="17">
        <v>0</v>
      </c>
      <c r="F64" s="17"/>
      <c r="G64" s="66"/>
      <c r="H64" s="66">
        <f t="shared" si="23"/>
        <v>0</v>
      </c>
      <c r="I64" s="66">
        <f t="shared" si="12"/>
        <v>0</v>
      </c>
      <c r="J64" s="66">
        <f t="shared" si="13"/>
        <v>0</v>
      </c>
      <c r="K64" s="66">
        <f t="shared" si="14"/>
        <v>0</v>
      </c>
      <c r="L64" s="66">
        <f t="shared" si="15"/>
        <v>0</v>
      </c>
      <c r="M64" s="66">
        <f t="shared" si="15"/>
        <v>0</v>
      </c>
      <c r="N64" s="66">
        <f t="shared" si="16"/>
        <v>0</v>
      </c>
      <c r="O64" s="66">
        <f t="shared" si="17"/>
        <v>0</v>
      </c>
      <c r="P64" s="66">
        <f t="shared" si="18"/>
        <v>0</v>
      </c>
      <c r="Q64" s="66">
        <f t="shared" si="19"/>
        <v>0</v>
      </c>
      <c r="R64" s="66">
        <f t="shared" si="19"/>
        <v>0</v>
      </c>
      <c r="S64" s="66">
        <f t="shared" si="20"/>
        <v>0</v>
      </c>
      <c r="T64" s="66">
        <f t="shared" si="21"/>
        <v>0</v>
      </c>
      <c r="U64" s="17">
        <f t="shared" si="22"/>
        <v>0</v>
      </c>
    </row>
    <row r="65" spans="3:21" x14ac:dyDescent="0.25">
      <c r="C65" s="17"/>
      <c r="D65" s="17" t="s">
        <v>379</v>
      </c>
      <c r="E65" s="17">
        <v>920</v>
      </c>
      <c r="F65" s="17"/>
      <c r="G65" s="66">
        <v>0</v>
      </c>
      <c r="H65" s="66">
        <f t="shared" si="23"/>
        <v>0</v>
      </c>
      <c r="I65" s="66">
        <f t="shared" si="12"/>
        <v>0</v>
      </c>
      <c r="J65" s="66">
        <f t="shared" si="13"/>
        <v>0</v>
      </c>
      <c r="K65" s="66">
        <f t="shared" si="14"/>
        <v>0</v>
      </c>
      <c r="L65" s="66">
        <f t="shared" si="15"/>
        <v>0</v>
      </c>
      <c r="M65" s="66">
        <f t="shared" si="15"/>
        <v>0</v>
      </c>
      <c r="N65" s="66">
        <f t="shared" si="16"/>
        <v>0</v>
      </c>
      <c r="O65" s="66">
        <f t="shared" si="17"/>
        <v>0</v>
      </c>
      <c r="P65" s="66">
        <f t="shared" si="18"/>
        <v>0</v>
      </c>
      <c r="Q65" s="66">
        <f t="shared" si="19"/>
        <v>0</v>
      </c>
      <c r="R65" s="66">
        <f t="shared" si="19"/>
        <v>0</v>
      </c>
      <c r="S65" s="66">
        <f t="shared" si="20"/>
        <v>0</v>
      </c>
      <c r="T65" s="66">
        <f t="shared" si="21"/>
        <v>0</v>
      </c>
      <c r="U65" s="17">
        <f t="shared" si="22"/>
        <v>0</v>
      </c>
    </row>
    <row r="66" spans="3:21" x14ac:dyDescent="0.25">
      <c r="C66" s="17"/>
      <c r="D66" s="17" t="s">
        <v>385</v>
      </c>
      <c r="E66" s="17">
        <v>1500</v>
      </c>
      <c r="F66" s="17"/>
      <c r="G66" s="66">
        <v>106.41</v>
      </c>
      <c r="H66" s="66">
        <f t="shared" si="23"/>
        <v>31.337744999999998</v>
      </c>
      <c r="I66" s="66">
        <f t="shared" si="12"/>
        <v>19.178699939999998</v>
      </c>
      <c r="J66" s="66">
        <f t="shared" si="13"/>
        <v>19.817989937999997</v>
      </c>
      <c r="K66" s="66">
        <f t="shared" si="14"/>
        <v>19.178699939999998</v>
      </c>
      <c r="L66" s="66">
        <f t="shared" si="15"/>
        <v>19.817989937999997</v>
      </c>
      <c r="M66" s="66">
        <f t="shared" si="15"/>
        <v>19.817989937999997</v>
      </c>
      <c r="N66" s="66">
        <f t="shared" si="16"/>
        <v>19.178699939999998</v>
      </c>
      <c r="O66" s="66">
        <f t="shared" si="17"/>
        <v>19.817989937999997</v>
      </c>
      <c r="P66" s="66">
        <f t="shared" si="18"/>
        <v>19.178699939999998</v>
      </c>
      <c r="Q66" s="66">
        <f t="shared" si="19"/>
        <v>19.817989937999997</v>
      </c>
      <c r="R66" s="66">
        <f t="shared" si="19"/>
        <v>19.817989937999997</v>
      </c>
      <c r="S66" s="66">
        <f t="shared" si="20"/>
        <v>17.900119943999997</v>
      </c>
      <c r="T66" s="66">
        <f t="shared" si="21"/>
        <v>19.817989937999997</v>
      </c>
      <c r="U66" s="17">
        <f t="shared" si="22"/>
        <v>233.34084926999992</v>
      </c>
    </row>
    <row r="67" spans="3:21" x14ac:dyDescent="0.25">
      <c r="C67" s="17"/>
      <c r="D67" s="17" t="s">
        <v>386</v>
      </c>
      <c r="E67" s="17">
        <v>1000</v>
      </c>
      <c r="F67" s="17"/>
      <c r="G67" s="66">
        <v>147.91</v>
      </c>
      <c r="H67" s="66">
        <f t="shared" si="23"/>
        <v>43.559494999999998</v>
      </c>
      <c r="I67" s="66">
        <f t="shared" si="12"/>
        <v>26.65841094</v>
      </c>
      <c r="J67" s="66">
        <f t="shared" si="13"/>
        <v>27.547024638</v>
      </c>
      <c r="K67" s="66">
        <f t="shared" si="14"/>
        <v>26.65841094</v>
      </c>
      <c r="L67" s="66">
        <f t="shared" si="15"/>
        <v>27.547024638</v>
      </c>
      <c r="M67" s="66">
        <f t="shared" si="15"/>
        <v>27.547024638</v>
      </c>
      <c r="N67" s="66">
        <f t="shared" si="16"/>
        <v>26.65841094</v>
      </c>
      <c r="O67" s="66">
        <f t="shared" si="17"/>
        <v>27.547024638</v>
      </c>
      <c r="P67" s="66">
        <f t="shared" si="18"/>
        <v>26.65841094</v>
      </c>
      <c r="Q67" s="66">
        <f t="shared" si="19"/>
        <v>27.547024638</v>
      </c>
      <c r="R67" s="66">
        <f t="shared" si="19"/>
        <v>27.547024638</v>
      </c>
      <c r="S67" s="66">
        <f t="shared" si="20"/>
        <v>24.881183543999999</v>
      </c>
      <c r="T67" s="66">
        <f t="shared" si="21"/>
        <v>27.547024638</v>
      </c>
      <c r="U67" s="17">
        <f t="shared" si="22"/>
        <v>324.34399977000004</v>
      </c>
    </row>
    <row r="68" spans="3:21" x14ac:dyDescent="0.25">
      <c r="C68" s="17"/>
      <c r="D68" s="113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>
        <f t="shared" si="22"/>
        <v>0</v>
      </c>
    </row>
    <row r="69" spans="3:21" x14ac:dyDescent="0.25">
      <c r="C69" s="17"/>
      <c r="D69" s="113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>
        <f t="shared" si="22"/>
        <v>0</v>
      </c>
    </row>
    <row r="70" spans="3:21" x14ac:dyDescent="0.25">
      <c r="C70" s="17"/>
      <c r="D70" s="114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>
        <f t="shared" si="22"/>
        <v>0</v>
      </c>
    </row>
    <row r="71" spans="3:21" x14ac:dyDescent="0.25">
      <c r="C71" s="17"/>
      <c r="D71" s="114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>
        <f t="shared" si="22"/>
        <v>0</v>
      </c>
    </row>
    <row r="72" spans="3:21" x14ac:dyDescent="0.25">
      <c r="C72" s="17"/>
      <c r="D72" s="113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>
        <f t="shared" si="22"/>
        <v>0</v>
      </c>
    </row>
    <row r="73" spans="3:21" x14ac:dyDescent="0.25">
      <c r="C73" s="17"/>
      <c r="D73" s="113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>
        <f t="shared" si="22"/>
        <v>0</v>
      </c>
    </row>
    <row r="74" spans="3:21" x14ac:dyDescent="0.25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>
        <f t="shared" si="22"/>
        <v>0</v>
      </c>
    </row>
    <row r="75" spans="3:21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>
        <f t="shared" si="22"/>
        <v>0</v>
      </c>
    </row>
    <row r="76" spans="3:21" x14ac:dyDescent="0.25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>
        <f t="shared" si="22"/>
        <v>0</v>
      </c>
    </row>
    <row r="77" spans="3:21" x14ac:dyDescent="0.25">
      <c r="C77" s="751" t="s">
        <v>212</v>
      </c>
      <c r="D77" s="752"/>
      <c r="E77" s="17">
        <f>SUM(E51:E76)</f>
        <v>16775</v>
      </c>
      <c r="F77" s="17">
        <f t="shared" ref="F77:T77" si="24">SUM(F51:F76)</f>
        <v>0</v>
      </c>
      <c r="G77" s="17">
        <f t="shared" si="24"/>
        <v>3704.3199999999997</v>
      </c>
      <c r="H77" s="17">
        <f t="shared" si="24"/>
        <v>1090.9222399999999</v>
      </c>
      <c r="I77" s="17">
        <f t="shared" si="24"/>
        <v>667.6444108799999</v>
      </c>
      <c r="J77" s="17">
        <f t="shared" si="24"/>
        <v>689.89922457600005</v>
      </c>
      <c r="K77" s="17">
        <f t="shared" si="24"/>
        <v>667.6444108799999</v>
      </c>
      <c r="L77" s="17">
        <f t="shared" si="24"/>
        <v>689.89922457600005</v>
      </c>
      <c r="M77" s="17">
        <f t="shared" si="24"/>
        <v>689.89922457600005</v>
      </c>
      <c r="N77" s="17">
        <f t="shared" si="24"/>
        <v>667.6444108799999</v>
      </c>
      <c r="O77" s="17">
        <f t="shared" si="24"/>
        <v>689.89922457600005</v>
      </c>
      <c r="P77" s="17">
        <f t="shared" si="24"/>
        <v>667.6444108799999</v>
      </c>
      <c r="Q77" s="17">
        <f t="shared" si="24"/>
        <v>689.89922457600005</v>
      </c>
      <c r="R77" s="17">
        <f t="shared" si="24"/>
        <v>689.89922457600005</v>
      </c>
      <c r="S77" s="17">
        <f t="shared" si="24"/>
        <v>623.13478348800004</v>
      </c>
      <c r="T77" s="17">
        <f t="shared" si="24"/>
        <v>689.89922457600005</v>
      </c>
      <c r="U77" s="86">
        <f>SUM(I77:T77)</f>
        <v>8123.0069990399998</v>
      </c>
    </row>
    <row r="78" spans="3:21" x14ac:dyDescent="0.25">
      <c r="C78" s="753" t="s">
        <v>387</v>
      </c>
      <c r="D78" s="754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</row>
    <row r="79" spans="3:21" x14ac:dyDescent="0.25">
      <c r="C79" s="805" t="s">
        <v>388</v>
      </c>
      <c r="D79" s="17" t="s">
        <v>389</v>
      </c>
      <c r="E79" s="17">
        <f>[43]Gen!DB68</f>
        <v>440</v>
      </c>
      <c r="F79" s="17"/>
      <c r="G79" s="17">
        <f>[43]Gen!DD68</f>
        <v>22.044</v>
      </c>
      <c r="H79" s="66">
        <f>G79*0.2945</f>
        <v>6.4919579999999995</v>
      </c>
      <c r="I79" s="66">
        <f t="shared" ref="I79:T83" si="25">$H79*I$6*24/1000</f>
        <v>4.6742097600000001</v>
      </c>
      <c r="J79" s="66">
        <f t="shared" si="25"/>
        <v>4.8300167519999997</v>
      </c>
      <c r="K79" s="66">
        <f t="shared" si="25"/>
        <v>4.6742097600000001</v>
      </c>
      <c r="L79" s="66">
        <f t="shared" si="25"/>
        <v>4.8300167519999997</v>
      </c>
      <c r="M79" s="66">
        <f t="shared" si="25"/>
        <v>4.8300167519999997</v>
      </c>
      <c r="N79" s="66">
        <f t="shared" si="25"/>
        <v>4.6742097600000001</v>
      </c>
      <c r="O79" s="66">
        <f t="shared" si="25"/>
        <v>4.8300167519999997</v>
      </c>
      <c r="P79" s="66">
        <f t="shared" si="25"/>
        <v>4.6742097600000001</v>
      </c>
      <c r="Q79" s="66">
        <f t="shared" si="25"/>
        <v>4.8300167519999997</v>
      </c>
      <c r="R79" s="66">
        <f t="shared" si="25"/>
        <v>4.8300167519999997</v>
      </c>
      <c r="S79" s="66">
        <f t="shared" si="25"/>
        <v>4.362595776</v>
      </c>
      <c r="T79" s="66">
        <f t="shared" si="25"/>
        <v>4.8300167519999997</v>
      </c>
      <c r="U79" s="17">
        <f t="shared" ref="U79:U92" si="26">+SUM(I79:T79)</f>
        <v>56.869552079999991</v>
      </c>
    </row>
    <row r="80" spans="3:21" x14ac:dyDescent="0.25">
      <c r="C80" s="806"/>
      <c r="D80" s="17" t="s">
        <v>390</v>
      </c>
      <c r="E80" s="17">
        <f>[43]Gen!DB69</f>
        <v>440</v>
      </c>
      <c r="F80" s="17"/>
      <c r="G80" s="17">
        <f>[43]Gen!DD69</f>
        <v>67.716000000000008</v>
      </c>
      <c r="H80" s="66">
        <f t="shared" ref="H80:H83" si="27">G80*0.2945</f>
        <v>19.942362000000003</v>
      </c>
      <c r="I80" s="66">
        <f t="shared" si="25"/>
        <v>14.358500640000003</v>
      </c>
      <c r="J80" s="66">
        <f t="shared" si="25"/>
        <v>14.837117328000001</v>
      </c>
      <c r="K80" s="66">
        <f t="shared" si="25"/>
        <v>14.358500640000003</v>
      </c>
      <c r="L80" s="66">
        <f t="shared" si="25"/>
        <v>14.837117328000001</v>
      </c>
      <c r="M80" s="66">
        <f t="shared" si="25"/>
        <v>14.837117328000001</v>
      </c>
      <c r="N80" s="66">
        <f t="shared" si="25"/>
        <v>14.358500640000003</v>
      </c>
      <c r="O80" s="66">
        <f t="shared" si="25"/>
        <v>14.837117328000001</v>
      </c>
      <c r="P80" s="66">
        <f t="shared" si="25"/>
        <v>14.358500640000003</v>
      </c>
      <c r="Q80" s="66">
        <f t="shared" si="25"/>
        <v>14.837117328000001</v>
      </c>
      <c r="R80" s="66">
        <f t="shared" si="25"/>
        <v>14.837117328000001</v>
      </c>
      <c r="S80" s="66">
        <f t="shared" si="25"/>
        <v>13.401267264000001</v>
      </c>
      <c r="T80" s="66">
        <f t="shared" si="25"/>
        <v>14.837117328000001</v>
      </c>
      <c r="U80" s="17">
        <f t="shared" si="26"/>
        <v>174.69509112000006</v>
      </c>
    </row>
    <row r="81" spans="3:22" x14ac:dyDescent="0.25">
      <c r="C81" s="806"/>
      <c r="D81" s="17" t="s">
        <v>391</v>
      </c>
      <c r="E81" s="17">
        <f>[43]Gen!DB70</f>
        <v>440</v>
      </c>
      <c r="F81" s="17"/>
      <c r="G81" s="17">
        <f>[43]Gen!DD70</f>
        <v>72.028000000000006</v>
      </c>
      <c r="H81" s="66">
        <f t="shared" si="27"/>
        <v>21.212246</v>
      </c>
      <c r="I81" s="66">
        <f t="shared" si="25"/>
        <v>15.272817119999999</v>
      </c>
      <c r="J81" s="66">
        <f t="shared" si="25"/>
        <v>15.781911023999999</v>
      </c>
      <c r="K81" s="66">
        <f t="shared" si="25"/>
        <v>15.272817119999999</v>
      </c>
      <c r="L81" s="66">
        <f t="shared" si="25"/>
        <v>15.781911023999999</v>
      </c>
      <c r="M81" s="66">
        <f t="shared" si="25"/>
        <v>15.781911023999999</v>
      </c>
      <c r="N81" s="66">
        <f t="shared" si="25"/>
        <v>15.272817119999999</v>
      </c>
      <c r="O81" s="66">
        <f t="shared" si="25"/>
        <v>15.781911023999999</v>
      </c>
      <c r="P81" s="66">
        <f t="shared" si="25"/>
        <v>15.272817119999999</v>
      </c>
      <c r="Q81" s="66">
        <f t="shared" si="25"/>
        <v>15.781911023999999</v>
      </c>
      <c r="R81" s="66">
        <f t="shared" si="25"/>
        <v>15.781911023999999</v>
      </c>
      <c r="S81" s="66">
        <f t="shared" si="25"/>
        <v>14.254629312</v>
      </c>
      <c r="T81" s="66">
        <f t="shared" si="25"/>
        <v>15.781911023999999</v>
      </c>
      <c r="U81" s="17">
        <f t="shared" si="26"/>
        <v>185.81927496</v>
      </c>
    </row>
    <row r="82" spans="3:22" x14ac:dyDescent="0.25">
      <c r="C82" s="807"/>
      <c r="D82" s="17" t="s">
        <v>392</v>
      </c>
      <c r="E82" s="17">
        <f>[43]Gen!$DB$72</f>
        <v>1000</v>
      </c>
      <c r="F82" s="17"/>
      <c r="G82" s="17">
        <f>[43]Gen!$DD$72</f>
        <v>50</v>
      </c>
      <c r="H82" s="66">
        <f t="shared" si="27"/>
        <v>14.725</v>
      </c>
      <c r="I82" s="66">
        <f t="shared" si="25"/>
        <v>10.602</v>
      </c>
      <c r="J82" s="66">
        <f t="shared" si="25"/>
        <v>10.955399999999999</v>
      </c>
      <c r="K82" s="66">
        <f t="shared" si="25"/>
        <v>10.602</v>
      </c>
      <c r="L82" s="66">
        <f t="shared" si="25"/>
        <v>10.955399999999999</v>
      </c>
      <c r="M82" s="66">
        <f t="shared" si="25"/>
        <v>10.955399999999999</v>
      </c>
      <c r="N82" s="66">
        <f t="shared" si="25"/>
        <v>10.602</v>
      </c>
      <c r="O82" s="66">
        <f t="shared" si="25"/>
        <v>10.955399999999999</v>
      </c>
      <c r="P82" s="66">
        <f t="shared" si="25"/>
        <v>10.602</v>
      </c>
      <c r="Q82" s="66">
        <f t="shared" si="25"/>
        <v>10.955399999999999</v>
      </c>
      <c r="R82" s="66">
        <f t="shared" si="25"/>
        <v>10.955399999999999</v>
      </c>
      <c r="S82" s="66">
        <f t="shared" si="25"/>
        <v>9.8952000000000009</v>
      </c>
      <c r="T82" s="66">
        <f t="shared" si="25"/>
        <v>10.955399999999999</v>
      </c>
      <c r="U82" s="17">
        <f t="shared" si="26"/>
        <v>128.99100000000001</v>
      </c>
    </row>
    <row r="83" spans="3:22" x14ac:dyDescent="0.25">
      <c r="C83" s="17"/>
      <c r="D83" s="17" t="s">
        <v>452</v>
      </c>
      <c r="E83" s="17"/>
      <c r="F83" s="17"/>
      <c r="G83" s="66">
        <v>4.5306123769857845</v>
      </c>
      <c r="H83" s="66">
        <f t="shared" si="27"/>
        <v>1.3342653450223134</v>
      </c>
      <c r="I83" s="66">
        <f t="shared" si="25"/>
        <v>0.96067104841606565</v>
      </c>
      <c r="J83" s="66">
        <f t="shared" si="25"/>
        <v>0.99269341669660116</v>
      </c>
      <c r="K83" s="66">
        <f t="shared" si="25"/>
        <v>0.96067104841606565</v>
      </c>
      <c r="L83" s="66">
        <f t="shared" si="25"/>
        <v>0.99269341669660116</v>
      </c>
      <c r="M83" s="66">
        <f t="shared" si="25"/>
        <v>0.99269341669660116</v>
      </c>
      <c r="N83" s="66">
        <f t="shared" si="25"/>
        <v>0.96067104841606565</v>
      </c>
      <c r="O83" s="66">
        <f t="shared" si="25"/>
        <v>0.99269341669660116</v>
      </c>
      <c r="P83" s="66">
        <f t="shared" si="25"/>
        <v>0.96067104841606565</v>
      </c>
      <c r="Q83" s="66">
        <f t="shared" si="25"/>
        <v>0.99269341669660116</v>
      </c>
      <c r="R83" s="66">
        <f t="shared" si="25"/>
        <v>0.99269341669660116</v>
      </c>
      <c r="S83" s="66">
        <f t="shared" si="25"/>
        <v>0.89662631185499453</v>
      </c>
      <c r="T83" s="66">
        <f t="shared" si="25"/>
        <v>0.99269341669660116</v>
      </c>
      <c r="U83" s="17">
        <f t="shared" si="26"/>
        <v>11.688164422395467</v>
      </c>
    </row>
    <row r="84" spans="3:22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>
        <f t="shared" si="26"/>
        <v>0</v>
      </c>
    </row>
    <row r="85" spans="3:22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>
        <f t="shared" si="26"/>
        <v>0</v>
      </c>
    </row>
    <row r="86" spans="3:22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>
        <f t="shared" si="26"/>
        <v>0</v>
      </c>
    </row>
    <row r="87" spans="3:22" x14ac:dyDescent="0.25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>
        <f t="shared" si="26"/>
        <v>0</v>
      </c>
    </row>
    <row r="88" spans="3:22" x14ac:dyDescent="0.25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>
        <f t="shared" si="26"/>
        <v>0</v>
      </c>
    </row>
    <row r="89" spans="3:22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>
        <f t="shared" si="26"/>
        <v>0</v>
      </c>
    </row>
    <row r="90" spans="3:22" x14ac:dyDescent="0.25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>
        <f t="shared" si="26"/>
        <v>0</v>
      </c>
    </row>
    <row r="91" spans="3:22" x14ac:dyDescent="0.25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>
        <f t="shared" si="26"/>
        <v>0</v>
      </c>
    </row>
    <row r="92" spans="3:22" x14ac:dyDescent="0.25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>
        <f t="shared" si="26"/>
        <v>0</v>
      </c>
    </row>
    <row r="93" spans="3:22" x14ac:dyDescent="0.25">
      <c r="C93" s="751" t="s">
        <v>212</v>
      </c>
      <c r="D93" s="752"/>
      <c r="E93" s="17">
        <f>SUM(E79:E92)</f>
        <v>2320</v>
      </c>
      <c r="F93" s="17">
        <f t="shared" ref="F93:T93" si="28">SUM(F79:F92)</f>
        <v>0</v>
      </c>
      <c r="G93" s="17">
        <f t="shared" si="28"/>
        <v>216.31861237698578</v>
      </c>
      <c r="H93" s="17">
        <f t="shared" si="28"/>
        <v>63.705831345022325</v>
      </c>
      <c r="I93" s="17">
        <f t="shared" si="28"/>
        <v>45.868198568416069</v>
      </c>
      <c r="J93" s="17">
        <f t="shared" si="28"/>
        <v>47.3971385206966</v>
      </c>
      <c r="K93" s="17">
        <f t="shared" si="28"/>
        <v>45.868198568416069</v>
      </c>
      <c r="L93" s="17">
        <f t="shared" si="28"/>
        <v>47.3971385206966</v>
      </c>
      <c r="M93" s="17">
        <f t="shared" si="28"/>
        <v>47.3971385206966</v>
      </c>
      <c r="N93" s="17">
        <f t="shared" si="28"/>
        <v>45.868198568416069</v>
      </c>
      <c r="O93" s="17">
        <f t="shared" si="28"/>
        <v>47.3971385206966</v>
      </c>
      <c r="P93" s="17">
        <f t="shared" si="28"/>
        <v>45.868198568416069</v>
      </c>
      <c r="Q93" s="17">
        <f t="shared" si="28"/>
        <v>47.3971385206966</v>
      </c>
      <c r="R93" s="17">
        <f t="shared" si="28"/>
        <v>47.3971385206966</v>
      </c>
      <c r="S93" s="17">
        <f t="shared" si="28"/>
        <v>42.810318663855</v>
      </c>
      <c r="T93" s="17">
        <f t="shared" si="28"/>
        <v>47.3971385206966</v>
      </c>
      <c r="U93" s="86">
        <f>SUM(I93:T93)</f>
        <v>558.06308258239551</v>
      </c>
    </row>
    <row r="94" spans="3:22" x14ac:dyDescent="0.25">
      <c r="C94" s="753" t="s">
        <v>394</v>
      </c>
      <c r="D94" s="754"/>
      <c r="E94" s="17">
        <f>E77+E93</f>
        <v>19095</v>
      </c>
      <c r="F94" s="17">
        <f t="shared" ref="F94:T94" si="29">F77+F93</f>
        <v>0</v>
      </c>
      <c r="G94" s="17">
        <f t="shared" si="29"/>
        <v>3920.6386123769853</v>
      </c>
      <c r="H94" s="17">
        <f t="shared" si="29"/>
        <v>1154.6280713450221</v>
      </c>
      <c r="I94" s="17">
        <f t="shared" si="29"/>
        <v>713.51260944841601</v>
      </c>
      <c r="J94" s="17">
        <f t="shared" si="29"/>
        <v>737.29636309669661</v>
      </c>
      <c r="K94" s="17">
        <f t="shared" si="29"/>
        <v>713.51260944841601</v>
      </c>
      <c r="L94" s="17">
        <f t="shared" si="29"/>
        <v>737.29636309669661</v>
      </c>
      <c r="M94" s="17">
        <f t="shared" si="29"/>
        <v>737.29636309669661</v>
      </c>
      <c r="N94" s="17">
        <f t="shared" si="29"/>
        <v>713.51260944841601</v>
      </c>
      <c r="O94" s="17">
        <f t="shared" si="29"/>
        <v>737.29636309669661</v>
      </c>
      <c r="P94" s="17">
        <f t="shared" si="29"/>
        <v>713.51260944841601</v>
      </c>
      <c r="Q94" s="17">
        <f t="shared" si="29"/>
        <v>737.29636309669661</v>
      </c>
      <c r="R94" s="17">
        <f t="shared" si="29"/>
        <v>737.29636309669661</v>
      </c>
      <c r="S94" s="17">
        <f t="shared" si="29"/>
        <v>665.94510215185505</v>
      </c>
      <c r="T94" s="17">
        <f t="shared" si="29"/>
        <v>737.29636309669661</v>
      </c>
      <c r="U94" s="86">
        <f>U77+U93</f>
        <v>8681.0700816223944</v>
      </c>
      <c r="V94" s="427">
        <v>8681</v>
      </c>
    </row>
    <row r="95" spans="3:22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</row>
    <row r="96" spans="3:22" x14ac:dyDescent="0.25">
      <c r="C96" s="17" t="s">
        <v>396</v>
      </c>
      <c r="D96" s="17" t="s">
        <v>396</v>
      </c>
      <c r="E96" s="111">
        <v>500</v>
      </c>
      <c r="F96" s="17"/>
      <c r="G96" s="66">
        <v>269.45</v>
      </c>
      <c r="H96" s="17">
        <f>G96*0.2945</f>
        <v>79.353024999999988</v>
      </c>
      <c r="I96" s="17">
        <f>$H96*0.85*I$6*24/1000</f>
        <v>48.564051300000003</v>
      </c>
      <c r="J96" s="17">
        <f t="shared" ref="J96:T96" si="30">$H96*0.85*J$6*24/1000</f>
        <v>50.182853010000002</v>
      </c>
      <c r="K96" s="17">
        <f t="shared" si="30"/>
        <v>48.564051300000003</v>
      </c>
      <c r="L96" s="17">
        <f t="shared" si="30"/>
        <v>50.182853010000002</v>
      </c>
      <c r="M96" s="17">
        <f t="shared" si="30"/>
        <v>50.182853010000002</v>
      </c>
      <c r="N96" s="17">
        <f t="shared" si="30"/>
        <v>48.564051300000003</v>
      </c>
      <c r="O96" s="17">
        <f t="shared" si="30"/>
        <v>50.182853010000002</v>
      </c>
      <c r="P96" s="17">
        <f t="shared" si="30"/>
        <v>48.564051300000003</v>
      </c>
      <c r="Q96" s="17">
        <f t="shared" si="30"/>
        <v>50.182853010000002</v>
      </c>
      <c r="R96" s="17">
        <f t="shared" si="30"/>
        <v>50.182853010000002</v>
      </c>
      <c r="S96" s="17">
        <f t="shared" si="30"/>
        <v>45.326447879999989</v>
      </c>
      <c r="T96" s="17">
        <f t="shared" si="30"/>
        <v>50.182853010000002</v>
      </c>
      <c r="U96" s="17">
        <f t="shared" ref="U96:U102" si="31">+SUM(I96:T96)</f>
        <v>590.86262414999999</v>
      </c>
    </row>
    <row r="97" spans="3:22" x14ac:dyDescent="0.25">
      <c r="C97" s="17" t="s">
        <v>397</v>
      </c>
      <c r="D97" s="17" t="s">
        <v>397</v>
      </c>
      <c r="E97" s="111">
        <v>570</v>
      </c>
      <c r="F97" s="17"/>
      <c r="G97" s="111">
        <v>570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f t="shared" si="31"/>
        <v>0</v>
      </c>
    </row>
    <row r="98" spans="3:22" x14ac:dyDescent="0.25"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>
        <f t="shared" si="31"/>
        <v>0</v>
      </c>
    </row>
    <row r="99" spans="3:22" x14ac:dyDescent="0.25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>
        <f t="shared" si="31"/>
        <v>0</v>
      </c>
    </row>
    <row r="100" spans="3:22" x14ac:dyDescent="0.2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>
        <f t="shared" si="31"/>
        <v>0</v>
      </c>
    </row>
    <row r="101" spans="3:22" x14ac:dyDescent="0.2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>
        <f t="shared" si="31"/>
        <v>0</v>
      </c>
    </row>
    <row r="102" spans="3:22" x14ac:dyDescent="0.25"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>
        <f t="shared" si="31"/>
        <v>0</v>
      </c>
    </row>
    <row r="103" spans="3:22" x14ac:dyDescent="0.25">
      <c r="C103" s="753" t="s">
        <v>398</v>
      </c>
      <c r="D103" s="754"/>
      <c r="E103" s="17">
        <f>SUM(E96:E102)</f>
        <v>1070</v>
      </c>
      <c r="F103" s="17">
        <f t="shared" ref="F103:T103" si="32">SUM(F96:F102)</f>
        <v>0</v>
      </c>
      <c r="G103" s="17">
        <f t="shared" si="32"/>
        <v>839.45</v>
      </c>
      <c r="H103" s="17">
        <f t="shared" si="32"/>
        <v>79.353024999999988</v>
      </c>
      <c r="I103" s="17">
        <f t="shared" si="32"/>
        <v>48.564051300000003</v>
      </c>
      <c r="J103" s="17">
        <f t="shared" si="32"/>
        <v>50.182853010000002</v>
      </c>
      <c r="K103" s="17">
        <f t="shared" si="32"/>
        <v>48.564051300000003</v>
      </c>
      <c r="L103" s="17">
        <f t="shared" si="32"/>
        <v>50.182853010000002</v>
      </c>
      <c r="M103" s="17">
        <f t="shared" si="32"/>
        <v>50.182853010000002</v>
      </c>
      <c r="N103" s="17">
        <f t="shared" si="32"/>
        <v>48.564051300000003</v>
      </c>
      <c r="O103" s="17">
        <f t="shared" si="32"/>
        <v>50.182853010000002</v>
      </c>
      <c r="P103" s="17">
        <f t="shared" si="32"/>
        <v>48.564051300000003</v>
      </c>
      <c r="Q103" s="17">
        <f t="shared" si="32"/>
        <v>50.182853010000002</v>
      </c>
      <c r="R103" s="17">
        <f t="shared" si="32"/>
        <v>50.182853010000002</v>
      </c>
      <c r="S103" s="17">
        <f t="shared" si="32"/>
        <v>45.326447879999989</v>
      </c>
      <c r="T103" s="17">
        <f t="shared" si="32"/>
        <v>50.182853010000002</v>
      </c>
      <c r="U103" s="86">
        <f>SUM(I103:T103)</f>
        <v>590.86262414999999</v>
      </c>
      <c r="V103" s="427">
        <v>591</v>
      </c>
    </row>
    <row r="104" spans="3:22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3:22" x14ac:dyDescent="0.25">
      <c r="C105" s="17" t="s">
        <v>400</v>
      </c>
      <c r="D105" s="17" t="s">
        <v>400</v>
      </c>
      <c r="E105" s="17">
        <f>1200+800</f>
        <v>2000</v>
      </c>
      <c r="F105" s="17"/>
      <c r="G105" s="17">
        <f>1200+800</f>
        <v>2000</v>
      </c>
      <c r="H105" s="66">
        <f>G105*0.2945</f>
        <v>589</v>
      </c>
      <c r="I105" s="66">
        <f>H105*0.85*30*24/1000</f>
        <v>360.46800000000002</v>
      </c>
      <c r="J105" s="66">
        <f>H105*0.85*31*24/1000</f>
        <v>372.48359999999997</v>
      </c>
      <c r="K105" s="66">
        <f>H105*0.85*30*24/1000</f>
        <v>360.46800000000002</v>
      </c>
      <c r="L105" s="66">
        <f>H105*0.85*31*24/1000</f>
        <v>372.48359999999997</v>
      </c>
      <c r="M105" s="66">
        <f>H105*0.85*31*24/1000</f>
        <v>372.48359999999997</v>
      </c>
      <c r="N105" s="66">
        <f>H105*0.85*30*24/1000</f>
        <v>360.46800000000002</v>
      </c>
      <c r="O105" s="66">
        <f>H105*0.85*31*24/1000</f>
        <v>372.48359999999997</v>
      </c>
      <c r="P105" s="66">
        <f>H105*0.85*30*24/1000</f>
        <v>360.46800000000002</v>
      </c>
      <c r="Q105" s="66">
        <f>H105*0.85*31*24/1000</f>
        <v>372.48359999999997</v>
      </c>
      <c r="R105" s="66">
        <f>H105*0.85*31*24/1000</f>
        <v>372.48359999999997</v>
      </c>
      <c r="S105" s="66">
        <f>H105*0.85*28*24/1000</f>
        <v>336.43680000000001</v>
      </c>
      <c r="T105" s="66">
        <f>H105*0.85*31*24/1000</f>
        <v>372.48359999999997</v>
      </c>
      <c r="U105" s="17">
        <f t="shared" ref="U105:U112" si="33">+SUM(I105:T105)</f>
        <v>4385.6939999999995</v>
      </c>
      <c r="V105" s="427"/>
    </row>
    <row r="106" spans="3:22" x14ac:dyDescent="0.25">
      <c r="C106" s="17" t="s">
        <v>401</v>
      </c>
      <c r="D106" s="17" t="s">
        <v>401</v>
      </c>
      <c r="E106" s="111">
        <v>1000</v>
      </c>
      <c r="G106" s="111">
        <v>1000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f t="shared" si="33"/>
        <v>0</v>
      </c>
    </row>
    <row r="107" spans="3:22" x14ac:dyDescent="0.25">
      <c r="C107" s="17" t="s">
        <v>402</v>
      </c>
      <c r="D107" s="17" t="s">
        <v>402</v>
      </c>
      <c r="E107" s="111">
        <f>'F9-Year(n-1)'!E108</f>
        <v>0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>
        <f t="shared" si="33"/>
        <v>0</v>
      </c>
    </row>
    <row r="108" spans="3:22" x14ac:dyDescent="0.2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>
        <f t="shared" si="33"/>
        <v>0</v>
      </c>
    </row>
    <row r="109" spans="3:22" x14ac:dyDescent="0.2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f t="shared" si="33"/>
        <v>0</v>
      </c>
    </row>
    <row r="110" spans="3:22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>
        <f t="shared" si="33"/>
        <v>0</v>
      </c>
    </row>
    <row r="111" spans="3:22" x14ac:dyDescent="0.25"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f t="shared" si="33"/>
        <v>0</v>
      </c>
    </row>
    <row r="112" spans="3:22" x14ac:dyDescent="0.25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>
        <f t="shared" si="33"/>
        <v>0</v>
      </c>
    </row>
    <row r="113" spans="3:22" x14ac:dyDescent="0.25">
      <c r="C113" s="753" t="s">
        <v>403</v>
      </c>
      <c r="D113" s="754"/>
      <c r="E113" s="17">
        <f t="shared" ref="E113:T113" si="34">SUM(E105:E112)</f>
        <v>3000</v>
      </c>
      <c r="F113" s="17">
        <f t="shared" si="34"/>
        <v>0</v>
      </c>
      <c r="G113" s="17">
        <f t="shared" si="34"/>
        <v>3000</v>
      </c>
      <c r="H113" s="17">
        <f t="shared" si="34"/>
        <v>589</v>
      </c>
      <c r="I113" s="17">
        <f t="shared" si="34"/>
        <v>360.46800000000002</v>
      </c>
      <c r="J113" s="17">
        <f t="shared" si="34"/>
        <v>372.48359999999997</v>
      </c>
      <c r="K113" s="17">
        <f t="shared" si="34"/>
        <v>360.46800000000002</v>
      </c>
      <c r="L113" s="17">
        <f t="shared" si="34"/>
        <v>372.48359999999997</v>
      </c>
      <c r="M113" s="17">
        <f t="shared" si="34"/>
        <v>372.48359999999997</v>
      </c>
      <c r="N113" s="17">
        <f t="shared" si="34"/>
        <v>360.46800000000002</v>
      </c>
      <c r="O113" s="17">
        <f t="shared" si="34"/>
        <v>372.48359999999997</v>
      </c>
      <c r="P113" s="17">
        <f t="shared" si="34"/>
        <v>360.46800000000002</v>
      </c>
      <c r="Q113" s="17">
        <f t="shared" si="34"/>
        <v>372.48359999999997</v>
      </c>
      <c r="R113" s="17">
        <f t="shared" si="34"/>
        <v>372.48359999999997</v>
      </c>
      <c r="S113" s="17">
        <f t="shared" si="34"/>
        <v>336.43680000000001</v>
      </c>
      <c r="T113" s="17">
        <f t="shared" si="34"/>
        <v>372.48359999999997</v>
      </c>
      <c r="U113" s="86">
        <f>SUM(I113:T113)</f>
        <v>4385.6939999999995</v>
      </c>
      <c r="V113" s="427">
        <v>4386</v>
      </c>
    </row>
    <row r="114" spans="3:22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3:22" x14ac:dyDescent="0.25">
      <c r="C115" s="17"/>
      <c r="D115" s="17" t="s">
        <v>405</v>
      </c>
      <c r="E115" s="111">
        <f>'F9-Year(n)'!E114</f>
        <v>6</v>
      </c>
      <c r="F115" s="128"/>
      <c r="G115" s="111">
        <f>'F9-Year(n)'!G114</f>
        <v>6</v>
      </c>
      <c r="H115" s="111">
        <f>'F9-Year(n)'!H114</f>
        <v>6</v>
      </c>
      <c r="I115" s="66">
        <f>'F11-Year(n+4)'!E115</f>
        <v>3.246513007437709E-2</v>
      </c>
      <c r="J115" s="66">
        <f>'F11-Year(n+4)'!F115</f>
        <v>3.246513007437709E-2</v>
      </c>
      <c r="K115" s="66">
        <f>'F11-Year(n+4)'!G115</f>
        <v>3.246513007437709E-2</v>
      </c>
      <c r="L115" s="66">
        <f>'F11-Year(n+4)'!H115</f>
        <v>3.246513007437709E-2</v>
      </c>
      <c r="M115" s="66">
        <f>'F11-Year(n+4)'!I115</f>
        <v>3.246513007437709E-2</v>
      </c>
      <c r="N115" s="66">
        <f>'F11-Year(n+4)'!J115</f>
        <v>3.246513007437709E-2</v>
      </c>
      <c r="O115" s="66">
        <f>'F11-Year(n+4)'!K115</f>
        <v>3.246513007437709E-2</v>
      </c>
      <c r="P115" s="66">
        <f>'F11-Year(n+4)'!L115</f>
        <v>3.246513007437709E-2</v>
      </c>
      <c r="Q115" s="66">
        <f>'F11-Year(n+4)'!M115</f>
        <v>3.246513007437709E-2</v>
      </c>
      <c r="R115" s="66">
        <f>'F11-Year(n+4)'!N115</f>
        <v>3.246513007437709E-2</v>
      </c>
      <c r="S115" s="66">
        <f>'F11-Year(n+4)'!O115</f>
        <v>3.246513007437709E-2</v>
      </c>
      <c r="T115" s="66">
        <f>'F11-Year(n+4)'!P115</f>
        <v>3.246513007437709E-2</v>
      </c>
      <c r="U115" s="17">
        <f t="shared" ref="U115:U138" si="35">+SUM(I115:T115)</f>
        <v>0.38958156089252499</v>
      </c>
    </row>
    <row r="116" spans="3:22" x14ac:dyDescent="0.25">
      <c r="C116" s="17"/>
      <c r="D116" s="17" t="s">
        <v>406</v>
      </c>
      <c r="E116" s="111">
        <f>'F9-Year(n)'!E115</f>
        <v>46.7</v>
      </c>
      <c r="F116" s="128"/>
      <c r="G116" s="111">
        <f>'F9-Year(n)'!G115</f>
        <v>46.7</v>
      </c>
      <c r="H116" s="111">
        <f>'F9-Year(n)'!H115</f>
        <v>46.7</v>
      </c>
      <c r="I116" s="66">
        <f>'F11-Year(n+4)'!E116</f>
        <v>0</v>
      </c>
      <c r="J116" s="66">
        <f>'F11-Year(n+4)'!F116</f>
        <v>0</v>
      </c>
      <c r="K116" s="66">
        <f>'F11-Year(n+4)'!G116</f>
        <v>0</v>
      </c>
      <c r="L116" s="66">
        <f>'F11-Year(n+4)'!H116</f>
        <v>0</v>
      </c>
      <c r="M116" s="66">
        <f>'F11-Year(n+4)'!I116</f>
        <v>0</v>
      </c>
      <c r="N116" s="66">
        <f>'F11-Year(n+4)'!J116</f>
        <v>0</v>
      </c>
      <c r="O116" s="66">
        <f>'F11-Year(n+4)'!K116</f>
        <v>0</v>
      </c>
      <c r="P116" s="66">
        <f>'F11-Year(n+4)'!L116</f>
        <v>0</v>
      </c>
      <c r="Q116" s="66">
        <f>'F11-Year(n+4)'!M116</f>
        <v>0</v>
      </c>
      <c r="R116" s="66">
        <f>'F11-Year(n+4)'!N116</f>
        <v>0</v>
      </c>
      <c r="S116" s="66">
        <f>'F11-Year(n+4)'!O116</f>
        <v>0</v>
      </c>
      <c r="T116" s="66">
        <f>'F11-Year(n+4)'!P116</f>
        <v>0</v>
      </c>
      <c r="U116" s="17">
        <f t="shared" si="35"/>
        <v>0</v>
      </c>
    </row>
    <row r="117" spans="3:22" x14ac:dyDescent="0.25">
      <c r="C117" s="17"/>
      <c r="D117" s="17" t="s">
        <v>407</v>
      </c>
      <c r="E117" s="111">
        <f>'F9-Year(n)'!E116</f>
        <v>19.8</v>
      </c>
      <c r="F117" s="128"/>
      <c r="G117" s="111">
        <f>'F9-Year(n)'!G116</f>
        <v>19.8</v>
      </c>
      <c r="H117" s="111">
        <f>'F9-Year(n)'!H116</f>
        <v>0</v>
      </c>
      <c r="I117" s="66">
        <f>'F11-Year(n+4)'!E117</f>
        <v>0</v>
      </c>
      <c r="J117" s="66">
        <f>'F11-Year(n+4)'!F117</f>
        <v>0</v>
      </c>
      <c r="K117" s="66">
        <f>'F11-Year(n+4)'!G117</f>
        <v>0</v>
      </c>
      <c r="L117" s="66">
        <f>'F11-Year(n+4)'!H117</f>
        <v>0</v>
      </c>
      <c r="M117" s="66">
        <f>'F11-Year(n+4)'!I117</f>
        <v>0</v>
      </c>
      <c r="N117" s="66">
        <f>'F11-Year(n+4)'!J117</f>
        <v>0</v>
      </c>
      <c r="O117" s="66">
        <f>'F11-Year(n+4)'!K117</f>
        <v>0</v>
      </c>
      <c r="P117" s="66">
        <f>'F11-Year(n+4)'!L117</f>
        <v>0</v>
      </c>
      <c r="Q117" s="66">
        <f>'F11-Year(n+4)'!M117</f>
        <v>0</v>
      </c>
      <c r="R117" s="66">
        <f>'F11-Year(n+4)'!N117</f>
        <v>0</v>
      </c>
      <c r="S117" s="66">
        <f>'F11-Year(n+4)'!O117</f>
        <v>0</v>
      </c>
      <c r="T117" s="66">
        <f>'F11-Year(n+4)'!P117</f>
        <v>0</v>
      </c>
      <c r="U117" s="17">
        <f t="shared" si="35"/>
        <v>0</v>
      </c>
    </row>
    <row r="118" spans="3:22" x14ac:dyDescent="0.25">
      <c r="C118" s="17"/>
      <c r="D118" s="17" t="s">
        <v>408</v>
      </c>
      <c r="E118" s="111">
        <f>'F9-Year(n)'!E117</f>
        <v>15</v>
      </c>
      <c r="F118" s="128"/>
      <c r="G118" s="111">
        <f>'F9-Year(n)'!G117</f>
        <v>15</v>
      </c>
      <c r="H118" s="111">
        <f>'F9-Year(n)'!H117</f>
        <v>7.5</v>
      </c>
      <c r="I118" s="66">
        <f>'F11-Year(n+4)'!E118</f>
        <v>3.4728501919145072</v>
      </c>
      <c r="J118" s="66">
        <f>'F11-Year(n+4)'!F118</f>
        <v>2.4419061192974212</v>
      </c>
      <c r="K118" s="66">
        <f>'F11-Year(n+4)'!G118</f>
        <v>2.0303118295590461</v>
      </c>
      <c r="L118" s="66">
        <f>'F11-Year(n+4)'!H118</f>
        <v>2.8668381712979074</v>
      </c>
      <c r="M118" s="66">
        <f>'F11-Year(n+4)'!I118</f>
        <v>2.8668381712979074</v>
      </c>
      <c r="N118" s="66">
        <f>'F11-Year(n+4)'!J118</f>
        <v>2.0436430311904337</v>
      </c>
      <c r="O118" s="66">
        <f>'F11-Year(n+4)'!K118</f>
        <v>2.8668381712979074</v>
      </c>
      <c r="P118" s="66">
        <f>'F11-Year(n+4)'!L118</f>
        <v>2.6937282755731391</v>
      </c>
      <c r="Q118" s="66">
        <f>'F11-Year(n+4)'!M118</f>
        <v>4.3962305369329355</v>
      </c>
      <c r="R118" s="66">
        <f>'F11-Year(n+4)'!N118</f>
        <v>4.469689919150774</v>
      </c>
      <c r="S118" s="66">
        <f>'F11-Year(n+4)'!O118</f>
        <v>4.8828295498356677</v>
      </c>
      <c r="T118" s="66">
        <f>'F11-Year(n+4)'!P118</f>
        <v>4.7343960607301847</v>
      </c>
      <c r="U118" s="17">
        <f t="shared" si="35"/>
        <v>39.76610002807783</v>
      </c>
    </row>
    <row r="119" spans="3:22" x14ac:dyDescent="0.25">
      <c r="C119" s="17"/>
      <c r="D119" s="17" t="s">
        <v>409</v>
      </c>
      <c r="E119" s="111">
        <f>'F9-Year(n)'!E118</f>
        <v>128.1</v>
      </c>
      <c r="F119" s="128"/>
      <c r="G119" s="111">
        <f>'F9-Year(n)'!G118</f>
        <v>128.1</v>
      </c>
      <c r="H119" s="111">
        <f>'F9-Year(n)'!H118</f>
        <v>0</v>
      </c>
      <c r="I119" s="66">
        <f>'F11-Year(n+4)'!E119</f>
        <v>0</v>
      </c>
      <c r="J119" s="66">
        <f>'F11-Year(n+4)'!F119</f>
        <v>0</v>
      </c>
      <c r="K119" s="66">
        <f>'F11-Year(n+4)'!G119</f>
        <v>0</v>
      </c>
      <c r="L119" s="66">
        <f>'F11-Year(n+4)'!H119</f>
        <v>0</v>
      </c>
      <c r="M119" s="66">
        <f>'F11-Year(n+4)'!I119</f>
        <v>0</v>
      </c>
      <c r="N119" s="66">
        <f>'F11-Year(n+4)'!J119</f>
        <v>0</v>
      </c>
      <c r="O119" s="66">
        <f>'F11-Year(n+4)'!K119</f>
        <v>0</v>
      </c>
      <c r="P119" s="66">
        <f>'F11-Year(n+4)'!L119</f>
        <v>0</v>
      </c>
      <c r="Q119" s="66">
        <f>'F11-Year(n+4)'!M119</f>
        <v>0</v>
      </c>
      <c r="R119" s="66">
        <f>'F11-Year(n+4)'!N119</f>
        <v>0</v>
      </c>
      <c r="S119" s="66">
        <f>'F11-Year(n+4)'!O119</f>
        <v>0</v>
      </c>
      <c r="T119" s="66">
        <f>'F11-Year(n+4)'!P119</f>
        <v>0</v>
      </c>
      <c r="U119" s="17">
        <f t="shared" si="35"/>
        <v>0</v>
      </c>
    </row>
    <row r="120" spans="3:22" x14ac:dyDescent="0.25">
      <c r="C120" s="17"/>
      <c r="D120" s="17" t="s">
        <v>367</v>
      </c>
      <c r="E120" s="111">
        <f>'F9-Year(n)'!E119</f>
        <v>3.55</v>
      </c>
      <c r="F120" s="128"/>
      <c r="G120" s="111">
        <f>'F9-Year(n)'!G119</f>
        <v>3.55</v>
      </c>
      <c r="H120" s="111">
        <f>'F9-Year(n)'!H119</f>
        <v>2</v>
      </c>
      <c r="I120" s="66">
        <f>'F11-Year(n+4)'!E120</f>
        <v>1.0150324314589851E-2</v>
      </c>
      <c r="J120" s="66">
        <f>'F11-Year(n+4)'!F120</f>
        <v>1.0150324314589851E-2</v>
      </c>
      <c r="K120" s="66">
        <f>'F11-Year(n+4)'!G120</f>
        <v>1.0150324314589851E-2</v>
      </c>
      <c r="L120" s="66">
        <f>'F11-Year(n+4)'!H120</f>
        <v>1.0150324314589851E-2</v>
      </c>
      <c r="M120" s="66">
        <f>'F11-Year(n+4)'!I120</f>
        <v>1.0150324314589851E-2</v>
      </c>
      <c r="N120" s="66">
        <f>'F11-Year(n+4)'!J120</f>
        <v>1.0150324314589851E-2</v>
      </c>
      <c r="O120" s="66">
        <f>'F11-Year(n+4)'!K120</f>
        <v>1.0150324314589851E-2</v>
      </c>
      <c r="P120" s="66">
        <f>'F11-Year(n+4)'!L120</f>
        <v>1.0150324314589851E-2</v>
      </c>
      <c r="Q120" s="66">
        <f>'F11-Year(n+4)'!M120</f>
        <v>1.0150324314589851E-2</v>
      </c>
      <c r="R120" s="66">
        <f>'F11-Year(n+4)'!N120</f>
        <v>1.0150324314589851E-2</v>
      </c>
      <c r="S120" s="66">
        <f>'F11-Year(n+4)'!O120</f>
        <v>1.0150324314589851E-2</v>
      </c>
      <c r="T120" s="66">
        <f>'F11-Year(n+4)'!P120</f>
        <v>1.0150324314589851E-2</v>
      </c>
      <c r="U120" s="17">
        <f t="shared" si="35"/>
        <v>0.12180389177507824</v>
      </c>
    </row>
    <row r="121" spans="3:22" x14ac:dyDescent="0.25">
      <c r="C121" s="17"/>
      <c r="D121" s="17" t="s">
        <v>410</v>
      </c>
      <c r="E121" s="111">
        <f>'F9-Year(n)'!E120</f>
        <v>2833.74</v>
      </c>
      <c r="F121" s="128"/>
      <c r="G121" s="111">
        <f>'F9-Year(n)'!G120</f>
        <v>2833.74</v>
      </c>
      <c r="H121" s="111">
        <f>'F9-Year(n)'!H120</f>
        <v>872</v>
      </c>
      <c r="I121" s="66">
        <f>'F11-Year(n+4)'!E121</f>
        <v>221.84815081274789</v>
      </c>
      <c r="J121" s="66">
        <f>'F11-Year(n+4)'!F121</f>
        <v>228.76079348895666</v>
      </c>
      <c r="K121" s="66">
        <f>'F11-Year(n+4)'!G121</f>
        <v>214.17746225293965</v>
      </c>
      <c r="L121" s="66">
        <f>'F11-Year(n+4)'!H121</f>
        <v>167.74665513488299</v>
      </c>
      <c r="M121" s="66">
        <f>'F11-Year(n+4)'!I121</f>
        <v>206.31655730895</v>
      </c>
      <c r="N121" s="66">
        <f>'F11-Year(n+4)'!J121</f>
        <v>181.86139407593294</v>
      </c>
      <c r="O121" s="66">
        <f>'F11-Year(n+4)'!K121</f>
        <v>222.95791274397115</v>
      </c>
      <c r="P121" s="66">
        <f>'F11-Year(n+4)'!L121</f>
        <v>171.91645424679356</v>
      </c>
      <c r="Q121" s="66">
        <f>'F11-Year(n+4)'!M121</f>
        <v>188.45829954461004</v>
      </c>
      <c r="R121" s="66">
        <f>'F11-Year(n+4)'!N121</f>
        <v>200.92415108369303</v>
      </c>
      <c r="S121" s="66">
        <f>'F11-Year(n+4)'!O121</f>
        <v>213.60135228849788</v>
      </c>
      <c r="T121" s="66">
        <f>'F11-Year(n+4)'!P121</f>
        <v>221.14278127257117</v>
      </c>
      <c r="U121" s="17">
        <f t="shared" si="35"/>
        <v>2439.7119642545467</v>
      </c>
    </row>
    <row r="122" spans="3:22" x14ac:dyDescent="0.25">
      <c r="C122" s="17"/>
      <c r="D122" s="17" t="s">
        <v>411</v>
      </c>
      <c r="E122" s="111">
        <f>'F9-Year(n)'!E121</f>
        <v>45.81</v>
      </c>
      <c r="F122" s="128"/>
      <c r="G122" s="111">
        <f>'F9-Year(n)'!G121</f>
        <v>45.81</v>
      </c>
      <c r="H122" s="111">
        <f>'F9-Year(n)'!H121</f>
        <v>23.49</v>
      </c>
      <c r="I122" s="66">
        <f>'F11-Year(n+4)'!E122</f>
        <v>5.9761617690268922</v>
      </c>
      <c r="J122" s="66">
        <f>'F11-Year(n+4)'!F122</f>
        <v>6.1623750447885239</v>
      </c>
      <c r="K122" s="66">
        <f>'F11-Year(n+4)'!G122</f>
        <v>5.7695281976164603</v>
      </c>
      <c r="L122" s="66">
        <f>'F11-Year(n+4)'!H122</f>
        <v>4.5187717077045901</v>
      </c>
      <c r="M122" s="66">
        <f>'F11-Year(n+4)'!I122</f>
        <v>5.5577705632881154</v>
      </c>
      <c r="N122" s="66">
        <f>'F11-Year(n+4)'!J122</f>
        <v>4.8989955812427359</v>
      </c>
      <c r="O122" s="66">
        <f>'F11-Year(n+4)'!K122</f>
        <v>6.0060566173806</v>
      </c>
      <c r="P122" s="66">
        <f>'F11-Year(n+4)'!L122</f>
        <v>4.6310980622215387</v>
      </c>
      <c r="Q122" s="66">
        <f>'F11-Year(n+4)'!M122</f>
        <v>5.0767035049345077</v>
      </c>
      <c r="R122" s="66">
        <f>'F11-Year(n+4)'!N122</f>
        <v>5.4125095286192098</v>
      </c>
      <c r="S122" s="66">
        <f>'F11-Year(n+4)'!O122</f>
        <v>5.7540089051110286</v>
      </c>
      <c r="T122" s="66">
        <f>'F11-Year(n+4)'!P122</f>
        <v>5.9571604725833698</v>
      </c>
      <c r="U122" s="17">
        <f t="shared" si="35"/>
        <v>65.721139954517582</v>
      </c>
    </row>
    <row r="123" spans="3:22" x14ac:dyDescent="0.25">
      <c r="C123" s="17"/>
      <c r="D123" s="17" t="s">
        <v>412</v>
      </c>
      <c r="E123" s="111">
        <f>'F9-Year(n)'!E122</f>
        <v>400</v>
      </c>
      <c r="F123" s="128"/>
      <c r="G123" s="111">
        <f>'F9-Year(n)'!G122</f>
        <v>400</v>
      </c>
      <c r="H123" s="111">
        <f>'F9-Year(n)'!H122</f>
        <v>117.8</v>
      </c>
      <c r="I123" s="66">
        <f>'F11-Year(n+4)'!E123</f>
        <v>29.969853401079952</v>
      </c>
      <c r="J123" s="66">
        <f>'F11-Year(n+4)'!F123</f>
        <v>30.903694349769616</v>
      </c>
      <c r="K123" s="66">
        <f>'F11-Year(n+4)'!G123</f>
        <v>28.933606712610437</v>
      </c>
      <c r="L123" s="66">
        <f>'F11-Year(n+4)'!H123</f>
        <v>22.66118804459774</v>
      </c>
      <c r="M123" s="66">
        <f>'F11-Year(n+4)'!I123</f>
        <v>27.871663361232027</v>
      </c>
      <c r="N123" s="66">
        <f>'F11-Year(n+4)'!J123</f>
        <v>24.567972731817559</v>
      </c>
      <c r="O123" s="66">
        <f>'F11-Year(n+4)'!K123</f>
        <v>30.119773074816298</v>
      </c>
      <c r="P123" s="66">
        <f>'F11-Year(n+4)'!L123</f>
        <v>23.224493475082898</v>
      </c>
      <c r="Q123" s="66">
        <f>'F11-Year(n+4)'!M123</f>
        <v>25.459160190774167</v>
      </c>
      <c r="R123" s="66">
        <f>'F11-Year(n+4)'!N123</f>
        <v>27.143193804654874</v>
      </c>
      <c r="S123" s="66">
        <f>'F11-Year(n+4)'!O123</f>
        <v>28.855779013285623</v>
      </c>
      <c r="T123" s="66">
        <f>'F11-Year(n+4)'!P123</f>
        <v>29.874563800354235</v>
      </c>
      <c r="U123" s="17">
        <f t="shared" si="35"/>
        <v>329.58494196007535</v>
      </c>
    </row>
    <row r="124" spans="3:22" x14ac:dyDescent="0.25">
      <c r="C124" s="17"/>
      <c r="D124" s="17" t="s">
        <v>413</v>
      </c>
      <c r="E124" s="111">
        <f>'F9-Year(n)'!E123</f>
        <v>400</v>
      </c>
      <c r="F124" s="128"/>
      <c r="G124" s="111">
        <f>'F9-Year(n)'!G123</f>
        <v>400</v>
      </c>
      <c r="H124" s="111">
        <f>'F9-Year(n)'!H123</f>
        <v>117.8</v>
      </c>
      <c r="I124" s="66">
        <f>'F11-Year(n+4)'!E124</f>
        <v>29.969853401079945</v>
      </c>
      <c r="J124" s="66">
        <f>'F11-Year(n+4)'!F124</f>
        <v>30.903694349769616</v>
      </c>
      <c r="K124" s="66">
        <f>'F11-Year(n+4)'!G124</f>
        <v>28.933606712610437</v>
      </c>
      <c r="L124" s="66">
        <f>'F11-Year(n+4)'!H124</f>
        <v>22.661188044597733</v>
      </c>
      <c r="M124" s="66">
        <f>'F11-Year(n+4)'!I124</f>
        <v>27.871663361232017</v>
      </c>
      <c r="N124" s="66">
        <f>'F11-Year(n+4)'!J124</f>
        <v>24.567972731817555</v>
      </c>
      <c r="O124" s="66">
        <f>'F11-Year(n+4)'!K124</f>
        <v>30.119773074816301</v>
      </c>
      <c r="P124" s="66">
        <f>'F11-Year(n+4)'!L124</f>
        <v>23.224493475082898</v>
      </c>
      <c r="Q124" s="66">
        <f>'F11-Year(n+4)'!M124</f>
        <v>25.459160190774163</v>
      </c>
      <c r="R124" s="66">
        <f>'F11-Year(n+4)'!N124</f>
        <v>27.143193804654871</v>
      </c>
      <c r="S124" s="66">
        <f>'F11-Year(n+4)'!O124</f>
        <v>28.85577901328562</v>
      </c>
      <c r="T124" s="66">
        <f>'F11-Year(n+4)'!P124</f>
        <v>29.874563800354235</v>
      </c>
      <c r="U124" s="17">
        <f t="shared" si="35"/>
        <v>329.58494196007535</v>
      </c>
    </row>
    <row r="125" spans="3:22" x14ac:dyDescent="0.25">
      <c r="C125" s="17"/>
      <c r="D125" s="17" t="s">
        <v>414</v>
      </c>
      <c r="E125" s="111">
        <v>1545</v>
      </c>
      <c r="F125" s="128"/>
      <c r="G125" s="111">
        <v>1545</v>
      </c>
      <c r="H125" s="111">
        <v>1545</v>
      </c>
      <c r="I125" s="66">
        <f>'F11-Year(n+4)'!E125</f>
        <v>115.75855876167131</v>
      </c>
      <c r="J125" s="66">
        <f>'F11-Year(n+4)'!F125</f>
        <v>119.36551942598514</v>
      </c>
      <c r="K125" s="66">
        <f>'F11-Year(n+4)'!G125</f>
        <v>111.75605592745782</v>
      </c>
      <c r="L125" s="66">
        <f>'F11-Year(n+4)'!H125</f>
        <v>87.528838822258777</v>
      </c>
      <c r="M125" s="66">
        <f>'F11-Year(n+4)'!I125</f>
        <v>107.6542997327587</v>
      </c>
      <c r="N125" s="66">
        <f>'F11-Year(n+4)'!J125</f>
        <v>94.893794676645314</v>
      </c>
      <c r="O125" s="66">
        <f>'F11-Year(n+4)'!K125</f>
        <v>116.33762350147795</v>
      </c>
      <c r="P125" s="66">
        <f>'F11-Year(n+4)'!L125</f>
        <v>89.704606047507696</v>
      </c>
      <c r="Q125" s="66">
        <f>'F11-Year(n+4)'!M125</f>
        <v>98.336006236865202</v>
      </c>
      <c r="R125" s="66">
        <f>'F11-Year(n+4)'!N125</f>
        <v>104.84058607047943</v>
      </c>
      <c r="S125" s="66">
        <f>'F11-Year(n+4)'!O125</f>
        <v>111.4554464388157</v>
      </c>
      <c r="T125" s="66">
        <f>'F11-Year(n+4)'!P125</f>
        <v>115.39050267886823</v>
      </c>
      <c r="U125" s="17">
        <f t="shared" si="35"/>
        <v>1273.0218383207912</v>
      </c>
    </row>
    <row r="126" spans="3:22" x14ac:dyDescent="0.25">
      <c r="C126" s="17"/>
      <c r="D126" s="17" t="s">
        <v>415</v>
      </c>
      <c r="E126" s="111"/>
      <c r="F126" s="128"/>
      <c r="G126" s="111"/>
      <c r="H126" s="111"/>
      <c r="I126" s="66">
        <f>'F11-Year(n+4)'!E126</f>
        <v>0</v>
      </c>
      <c r="J126" s="66">
        <f>'F11-Year(n+4)'!F126</f>
        <v>0</v>
      </c>
      <c r="K126" s="66">
        <f>'F11-Year(n+4)'!G126</f>
        <v>0</v>
      </c>
      <c r="L126" s="66">
        <f>'F11-Year(n+4)'!H126</f>
        <v>0</v>
      </c>
      <c r="M126" s="66">
        <f>'F11-Year(n+4)'!I126</f>
        <v>0</v>
      </c>
      <c r="N126" s="66">
        <f>'F11-Year(n+4)'!J126</f>
        <v>0</v>
      </c>
      <c r="O126" s="66">
        <f>'F11-Year(n+4)'!K126</f>
        <v>0</v>
      </c>
      <c r="P126" s="66">
        <f>'F11-Year(n+4)'!L126</f>
        <v>0</v>
      </c>
      <c r="Q126" s="66">
        <f>'F11-Year(n+4)'!M126</f>
        <v>0</v>
      </c>
      <c r="R126" s="66">
        <f>'F11-Year(n+4)'!N126</f>
        <v>0</v>
      </c>
      <c r="S126" s="66">
        <f>'F11-Year(n+4)'!O126</f>
        <v>0</v>
      </c>
      <c r="T126" s="66">
        <f>'F11-Year(n+4)'!P126</f>
        <v>0</v>
      </c>
      <c r="U126" s="17">
        <f t="shared" si="35"/>
        <v>0</v>
      </c>
    </row>
    <row r="127" spans="3:22" x14ac:dyDescent="0.25">
      <c r="C127" s="17"/>
      <c r="D127" s="17" t="s">
        <v>416</v>
      </c>
      <c r="E127" s="111">
        <f>'F9-Year(n)'!E126</f>
        <v>1692</v>
      </c>
      <c r="F127" s="128"/>
      <c r="G127" s="111">
        <f>'F9-Year(n)'!G126</f>
        <v>1692</v>
      </c>
      <c r="H127" s="111">
        <f>'F9-Year(n)'!H126</f>
        <v>498.29399999999998</v>
      </c>
      <c r="I127" s="66">
        <f>'F11-Year(n+4)'!E127</f>
        <v>126.77247988656818</v>
      </c>
      <c r="J127" s="66">
        <f>'F11-Year(n+4)'!F127</f>
        <v>130.72262709952545</v>
      </c>
      <c r="K127" s="66">
        <f>'F11-Year(n+4)'!G127</f>
        <v>122.38915639434214</v>
      </c>
      <c r="L127" s="66">
        <f>'F11-Year(n+4)'!H127</f>
        <v>95.856825428648435</v>
      </c>
      <c r="M127" s="66">
        <f>'F11-Year(n+4)'!I127</f>
        <v>117.89713601801145</v>
      </c>
      <c r="N127" s="66">
        <f>'F11-Year(n+4)'!J127</f>
        <v>103.92252465558826</v>
      </c>
      <c r="O127" s="66">
        <f>'F11-Year(n+4)'!K127</f>
        <v>127.40664010647292</v>
      </c>
      <c r="P127" s="66">
        <f>'F11-Year(n+4)'!L127</f>
        <v>98.239607399600644</v>
      </c>
      <c r="Q127" s="66">
        <f>'F11-Year(n+4)'!M127</f>
        <v>107.6922476069747</v>
      </c>
      <c r="R127" s="66">
        <f>'F11-Year(n+4)'!N127</f>
        <v>114.81570979369009</v>
      </c>
      <c r="S127" s="66">
        <f>'F11-Year(n+4)'!O127</f>
        <v>122.05994522619817</v>
      </c>
      <c r="T127" s="66">
        <f>'F11-Year(n+4)'!P127</f>
        <v>126.36940487549842</v>
      </c>
      <c r="U127" s="17">
        <f t="shared" si="35"/>
        <v>1394.1443044911189</v>
      </c>
    </row>
    <row r="128" spans="3:22" x14ac:dyDescent="0.25">
      <c r="C128" s="17"/>
      <c r="D128" s="17" t="s">
        <v>417</v>
      </c>
      <c r="E128" s="111">
        <f>'F9-Year(n)'!E127</f>
        <v>0</v>
      </c>
      <c r="F128" s="128"/>
      <c r="G128" s="111">
        <f>'F9-Year(n)'!G127</f>
        <v>0</v>
      </c>
      <c r="H128" s="111">
        <f>'F9-Year(n)'!H127</f>
        <v>294.5</v>
      </c>
      <c r="I128" s="66">
        <f>'F11-Year(n+4)'!E128</f>
        <v>74.924633502699848</v>
      </c>
      <c r="J128" s="66">
        <f>'F11-Year(n+4)'!F128</f>
        <v>77.259235874424022</v>
      </c>
      <c r="K128" s="66">
        <f>'F11-Year(n+4)'!G128</f>
        <v>72.334016781526074</v>
      </c>
      <c r="L128" s="66">
        <f>'F11-Year(n+4)'!H128</f>
        <v>56.652970111494334</v>
      </c>
      <c r="M128" s="66">
        <f>'F11-Year(n+4)'!I128</f>
        <v>69.679158403080038</v>
      </c>
      <c r="N128" s="66">
        <f>'F11-Year(n+4)'!J128</f>
        <v>61.41993182954387</v>
      </c>
      <c r="O128" s="66">
        <f>'F11-Year(n+4)'!K128</f>
        <v>75.299432687040721</v>
      </c>
      <c r="P128" s="66">
        <f>'F11-Year(n+4)'!L128</f>
        <v>58.061233687707229</v>
      </c>
      <c r="Q128" s="66">
        <f>'F11-Year(n+4)'!M128</f>
        <v>63.647900476935391</v>
      </c>
      <c r="R128" s="66">
        <f>'F11-Year(n+4)'!N128</f>
        <v>67.85798451163717</v>
      </c>
      <c r="S128" s="66">
        <f>'F11-Year(n+4)'!O128</f>
        <v>72.139447533214039</v>
      </c>
      <c r="T128" s="66">
        <f>'F11-Year(n+4)'!P128</f>
        <v>74.686409500885574</v>
      </c>
      <c r="U128" s="17">
        <f t="shared" si="35"/>
        <v>823.96235490018842</v>
      </c>
    </row>
    <row r="129" spans="3:22" x14ac:dyDescent="0.25">
      <c r="C129" s="17"/>
      <c r="D129" s="114" t="s">
        <v>418</v>
      </c>
      <c r="E129" s="111"/>
      <c r="F129" s="128"/>
      <c r="G129" s="127"/>
      <c r="H129" s="12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>
        <f t="shared" si="35"/>
        <v>0</v>
      </c>
    </row>
    <row r="130" spans="3:22" x14ac:dyDescent="0.25">
      <c r="C130" s="17"/>
      <c r="D130" s="114" t="s">
        <v>446</v>
      </c>
      <c r="E130" s="111"/>
      <c r="F130" s="128"/>
      <c r="G130" s="127"/>
      <c r="H130" s="128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>
        <f t="shared" si="35"/>
        <v>0</v>
      </c>
    </row>
    <row r="131" spans="3:22" x14ac:dyDescent="0.25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>
        <f t="shared" si="35"/>
        <v>0</v>
      </c>
    </row>
    <row r="132" spans="3:22" x14ac:dyDescent="0.25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>
        <f t="shared" si="35"/>
        <v>0</v>
      </c>
    </row>
    <row r="133" spans="3:22" x14ac:dyDescent="0.25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>
        <f t="shared" si="35"/>
        <v>0</v>
      </c>
    </row>
    <row r="134" spans="3:22" x14ac:dyDescent="0.25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>
        <f t="shared" si="35"/>
        <v>0</v>
      </c>
    </row>
    <row r="135" spans="3:22" x14ac:dyDescent="0.2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>
        <f t="shared" si="35"/>
        <v>0</v>
      </c>
    </row>
    <row r="136" spans="3:22" x14ac:dyDescent="0.25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>
        <f t="shared" si="35"/>
        <v>0</v>
      </c>
    </row>
    <row r="137" spans="3:22" x14ac:dyDescent="0.25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>
        <f t="shared" si="35"/>
        <v>0</v>
      </c>
    </row>
    <row r="138" spans="3:22" x14ac:dyDescent="0.25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>
        <f t="shared" si="35"/>
        <v>0</v>
      </c>
    </row>
    <row r="139" spans="3:22" x14ac:dyDescent="0.25">
      <c r="C139" s="753" t="s">
        <v>420</v>
      </c>
      <c r="D139" s="754"/>
      <c r="E139" s="17">
        <f>SUM(E115:E138)</f>
        <v>7135.7</v>
      </c>
      <c r="F139" s="17">
        <f t="shared" ref="F139:T139" si="36">SUM(F115:F138)</f>
        <v>0</v>
      </c>
      <c r="G139" s="17">
        <f t="shared" si="36"/>
        <v>7135.7</v>
      </c>
      <c r="H139" s="17">
        <f t="shared" si="36"/>
        <v>3531.0839999999998</v>
      </c>
      <c r="I139" s="17">
        <f t="shared" si="36"/>
        <v>608.73515718117744</v>
      </c>
      <c r="J139" s="17">
        <f t="shared" si="36"/>
        <v>626.56246120690548</v>
      </c>
      <c r="K139" s="17">
        <f t="shared" si="36"/>
        <v>586.36636026305109</v>
      </c>
      <c r="L139" s="17">
        <f t="shared" si="36"/>
        <v>460.53589091987146</v>
      </c>
      <c r="M139" s="17">
        <f t="shared" si="36"/>
        <v>565.75770237423922</v>
      </c>
      <c r="N139" s="17">
        <f t="shared" si="36"/>
        <v>498.21884476816763</v>
      </c>
      <c r="O139" s="17">
        <f t="shared" si="36"/>
        <v>611.15666543166276</v>
      </c>
      <c r="P139" s="17">
        <f t="shared" si="36"/>
        <v>471.73833012395858</v>
      </c>
      <c r="Q139" s="17">
        <f t="shared" si="36"/>
        <v>518.56832374319004</v>
      </c>
      <c r="R139" s="17">
        <f t="shared" si="36"/>
        <v>552.64963397096847</v>
      </c>
      <c r="S139" s="17">
        <f t="shared" si="36"/>
        <v>587.64720342263263</v>
      </c>
      <c r="T139" s="17">
        <f t="shared" si="36"/>
        <v>608.07239791623442</v>
      </c>
      <c r="U139" s="86">
        <f>SUM(I139:T139)</f>
        <v>6696.0089713220605</v>
      </c>
      <c r="V139" s="427">
        <v>6696</v>
      </c>
    </row>
    <row r="140" spans="3:22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3:22" x14ac:dyDescent="0.25">
      <c r="C141" s="17"/>
      <c r="D141" s="322" t="s">
        <v>453</v>
      </c>
      <c r="E141" s="17"/>
      <c r="F141" s="17"/>
      <c r="G141" s="17"/>
      <c r="H141" s="17"/>
      <c r="I141" s="66">
        <f>'F11-Year(n+4)'!E141</f>
        <v>0</v>
      </c>
      <c r="J141" s="66">
        <f>'F11-Year(n+4)'!F141</f>
        <v>0</v>
      </c>
      <c r="K141" s="66">
        <f>'F11-Year(n+4)'!G141</f>
        <v>0</v>
      </c>
      <c r="L141" s="66">
        <f>'F11-Year(n+4)'!H141</f>
        <v>0</v>
      </c>
      <c r="M141" s="66">
        <f>'F11-Year(n+4)'!I141</f>
        <v>0</v>
      </c>
      <c r="N141" s="66">
        <f>'F11-Year(n+4)'!J141</f>
        <v>0</v>
      </c>
      <c r="O141" s="66">
        <f>'F11-Year(n+4)'!K141</f>
        <v>0</v>
      </c>
      <c r="P141" s="66">
        <f>'F11-Year(n+4)'!L141</f>
        <v>0</v>
      </c>
      <c r="Q141" s="66">
        <f>'F11-Year(n+4)'!M141</f>
        <v>0</v>
      </c>
      <c r="R141" s="66">
        <f>'F11-Year(n+4)'!N141</f>
        <v>0</v>
      </c>
      <c r="S141" s="66">
        <f>'F11-Year(n+4)'!O141</f>
        <v>0</v>
      </c>
      <c r="T141" s="66">
        <f>'F11-Year(n+4)'!P141</f>
        <v>0</v>
      </c>
      <c r="U141" s="17">
        <f t="shared" ref="U141:U151" si="37">+SUM(I141:T141)</f>
        <v>0</v>
      </c>
    </row>
    <row r="142" spans="3:22" x14ac:dyDescent="0.25">
      <c r="C142" s="17"/>
      <c r="D142" s="322" t="s">
        <v>422</v>
      </c>
      <c r="E142" s="17"/>
      <c r="F142" s="17"/>
      <c r="G142" s="17"/>
      <c r="H142" s="17"/>
      <c r="I142" s="66">
        <f>'F11-Year(n+4)'!E142</f>
        <v>0</v>
      </c>
      <c r="J142" s="66">
        <f>'F11-Year(n+4)'!F142</f>
        <v>0</v>
      </c>
      <c r="K142" s="66">
        <f>'F11-Year(n+4)'!G142</f>
        <v>0</v>
      </c>
      <c r="L142" s="66">
        <f>'F11-Year(n+4)'!H142</f>
        <v>0</v>
      </c>
      <c r="M142" s="66">
        <f>'F11-Year(n+4)'!I142</f>
        <v>-54.230592082976727</v>
      </c>
      <c r="N142" s="66">
        <f>'F11-Year(n+4)'!J142</f>
        <v>0</v>
      </c>
      <c r="O142" s="66">
        <f>'F11-Year(n+4)'!K142</f>
        <v>-255.67560792188715</v>
      </c>
      <c r="P142" s="66">
        <f>'F11-Year(n+4)'!L142</f>
        <v>0</v>
      </c>
      <c r="Q142" s="66">
        <f>'F11-Year(n+4)'!M142</f>
        <v>0</v>
      </c>
      <c r="R142" s="66">
        <f>'F11-Year(n+4)'!N142</f>
        <v>0</v>
      </c>
      <c r="S142" s="66">
        <f>'F11-Year(n+4)'!O142</f>
        <v>0</v>
      </c>
      <c r="T142" s="66">
        <f>'F11-Year(n+4)'!P142</f>
        <v>0</v>
      </c>
      <c r="U142" s="17">
        <f t="shared" si="37"/>
        <v>-309.90620000486388</v>
      </c>
    </row>
    <row r="143" spans="3:22" x14ac:dyDescent="0.25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>
        <f t="shared" si="37"/>
        <v>0</v>
      </c>
    </row>
    <row r="144" spans="3:22" x14ac:dyDescent="0.25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>
        <f t="shared" si="37"/>
        <v>0</v>
      </c>
    </row>
    <row r="145" spans="3:23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>
        <f t="shared" si="37"/>
        <v>0</v>
      </c>
    </row>
    <row r="146" spans="3:23" x14ac:dyDescent="0.25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>
        <f t="shared" si="37"/>
        <v>0</v>
      </c>
    </row>
    <row r="147" spans="3:23" x14ac:dyDescent="0.25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>
        <f t="shared" si="37"/>
        <v>0</v>
      </c>
    </row>
    <row r="148" spans="3:23" x14ac:dyDescent="0.25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>
        <f t="shared" si="37"/>
        <v>0</v>
      </c>
    </row>
    <row r="149" spans="3:23" x14ac:dyDescent="0.25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>
        <f t="shared" si="37"/>
        <v>0</v>
      </c>
    </row>
    <row r="150" spans="3:23" x14ac:dyDescent="0.25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>
        <f t="shared" si="37"/>
        <v>0</v>
      </c>
    </row>
    <row r="151" spans="3:23" x14ac:dyDescent="0.25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>
        <f t="shared" si="37"/>
        <v>0</v>
      </c>
    </row>
    <row r="152" spans="3:23" x14ac:dyDescent="0.25">
      <c r="C152" s="753" t="s">
        <v>423</v>
      </c>
      <c r="D152" s="754"/>
      <c r="E152" s="17">
        <f>SUM(E141:E151)</f>
        <v>0</v>
      </c>
      <c r="F152" s="17">
        <f t="shared" ref="F152:T152" si="38">SUM(F141:F151)</f>
        <v>0</v>
      </c>
      <c r="G152" s="17">
        <f t="shared" si="38"/>
        <v>0</v>
      </c>
      <c r="H152" s="17">
        <f t="shared" si="38"/>
        <v>0</v>
      </c>
      <c r="I152" s="17">
        <f t="shared" si="38"/>
        <v>0</v>
      </c>
      <c r="J152" s="17">
        <f t="shared" si="38"/>
        <v>0</v>
      </c>
      <c r="K152" s="17">
        <f t="shared" si="38"/>
        <v>0</v>
      </c>
      <c r="L152" s="17">
        <f t="shared" si="38"/>
        <v>0</v>
      </c>
      <c r="M152" s="17">
        <f t="shared" si="38"/>
        <v>-54.230592082976727</v>
      </c>
      <c r="N152" s="17">
        <f t="shared" si="38"/>
        <v>0</v>
      </c>
      <c r="O152" s="17">
        <f t="shared" si="38"/>
        <v>-255.67560792188715</v>
      </c>
      <c r="P152" s="17">
        <f t="shared" si="38"/>
        <v>0</v>
      </c>
      <c r="Q152" s="17">
        <f t="shared" si="38"/>
        <v>0</v>
      </c>
      <c r="R152" s="17">
        <f t="shared" si="38"/>
        <v>0</v>
      </c>
      <c r="S152" s="17">
        <f t="shared" si="38"/>
        <v>0</v>
      </c>
      <c r="T152" s="17">
        <f t="shared" si="38"/>
        <v>0</v>
      </c>
      <c r="U152" s="86">
        <f>SUM(I152:T152)</f>
        <v>-309.90620000486388</v>
      </c>
      <c r="V152" s="428">
        <v>6</v>
      </c>
    </row>
    <row r="153" spans="3:23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</row>
    <row r="154" spans="3:23" x14ac:dyDescent="0.25">
      <c r="C154" s="17" t="s">
        <v>425</v>
      </c>
      <c r="D154" s="17" t="s">
        <v>426</v>
      </c>
      <c r="E154" s="17"/>
      <c r="F154" s="17"/>
      <c r="G154" s="17"/>
      <c r="H154" s="17"/>
      <c r="I154" s="66">
        <f>'F11-Year(n+4)'!E154</f>
        <v>-283.16847138621142</v>
      </c>
      <c r="J154" s="66">
        <f>'F11-Year(n+4)'!F154</f>
        <v>-624.45415588715309</v>
      </c>
      <c r="K154" s="66">
        <f>'F11-Year(n+4)'!G154</f>
        <v>-642.55318908442246</v>
      </c>
      <c r="L154" s="66">
        <f>'F11-Year(n+4)'!H154</f>
        <v>-457.30961125445083</v>
      </c>
      <c r="M154" s="66">
        <f>'F11-Year(n+4)'!I154</f>
        <v>-515.12851049554592</v>
      </c>
      <c r="N154" s="66">
        <f>'F11-Year(n+4)'!J154</f>
        <v>-551.33047279398716</v>
      </c>
      <c r="O154" s="66">
        <f>'F11-Year(n+4)'!K154</f>
        <v>-416.15245348642839</v>
      </c>
      <c r="P154" s="66">
        <f>'F11-Year(n+4)'!L154</f>
        <v>-565.60893668346012</v>
      </c>
      <c r="Q154" s="66">
        <f>'F11-Year(n+4)'!M154</f>
        <v>-334.46046209304541</v>
      </c>
      <c r="R154" s="66">
        <f>'F11-Year(n+4)'!N154</f>
        <v>-310.62553620300696</v>
      </c>
      <c r="S154" s="66">
        <f>'F11-Year(n+4)'!O154</f>
        <v>-46.652997396592582</v>
      </c>
      <c r="T154" s="66">
        <f>'F11-Year(n+4)'!P154</f>
        <v>-7.6264039000207049</v>
      </c>
      <c r="U154" s="17">
        <f t="shared" ref="U154:U155" si="39">+SUM(I154:T154)</f>
        <v>-4755.0712006643253</v>
      </c>
    </row>
    <row r="155" spans="3:23" x14ac:dyDescent="0.25">
      <c r="C155" s="17" t="s">
        <v>425</v>
      </c>
      <c r="D155" s="17" t="s">
        <v>427</v>
      </c>
      <c r="E155" s="17"/>
      <c r="F155" s="17"/>
      <c r="G155" s="17"/>
      <c r="H155" s="17"/>
      <c r="I155" s="66">
        <f>'F11-Year(n+4)'!E155</f>
        <v>0</v>
      </c>
      <c r="J155" s="66">
        <f>'F11-Year(n+4)'!F155</f>
        <v>0</v>
      </c>
      <c r="K155" s="66">
        <f>'F11-Year(n+4)'!G155</f>
        <v>0</v>
      </c>
      <c r="L155" s="66">
        <f>'F11-Year(n+4)'!H155</f>
        <v>0</v>
      </c>
      <c r="M155" s="66">
        <f>'F11-Year(n+4)'!I155</f>
        <v>0</v>
      </c>
      <c r="N155" s="66">
        <f>'F11-Year(n+4)'!J155</f>
        <v>0</v>
      </c>
      <c r="O155" s="66">
        <f>'F11-Year(n+4)'!K155</f>
        <v>0</v>
      </c>
      <c r="P155" s="66">
        <f>'F11-Year(n+4)'!L155</f>
        <v>0</v>
      </c>
      <c r="Q155" s="66">
        <f>'F11-Year(n+4)'!M155</f>
        <v>0</v>
      </c>
      <c r="R155" s="66">
        <f>'F11-Year(n+4)'!N155</f>
        <v>0</v>
      </c>
      <c r="S155" s="66">
        <f>'F11-Year(n+4)'!O155</f>
        <v>0</v>
      </c>
      <c r="T155" s="66">
        <f>'F11-Year(n+4)'!P155</f>
        <v>0</v>
      </c>
      <c r="U155" s="17">
        <f t="shared" si="39"/>
        <v>0</v>
      </c>
    </row>
    <row r="156" spans="3:23" x14ac:dyDescent="0.25">
      <c r="C156" s="753" t="s">
        <v>428</v>
      </c>
      <c r="D156" s="754"/>
      <c r="E156" s="17">
        <f>SUM(E154:E155)</f>
        <v>0</v>
      </c>
      <c r="F156" s="17">
        <f t="shared" ref="F156:T156" si="40">SUM(F154:F155)</f>
        <v>0</v>
      </c>
      <c r="G156" s="17">
        <f t="shared" si="40"/>
        <v>0</v>
      </c>
      <c r="H156" s="17">
        <f t="shared" si="40"/>
        <v>0</v>
      </c>
      <c r="I156" s="17">
        <f t="shared" si="40"/>
        <v>-283.16847138621142</v>
      </c>
      <c r="J156" s="17">
        <f t="shared" si="40"/>
        <v>-624.45415588715309</v>
      </c>
      <c r="K156" s="17">
        <f t="shared" si="40"/>
        <v>-642.55318908442246</v>
      </c>
      <c r="L156" s="17">
        <f t="shared" si="40"/>
        <v>-457.30961125445083</v>
      </c>
      <c r="M156" s="17">
        <f t="shared" si="40"/>
        <v>-515.12851049554592</v>
      </c>
      <c r="N156" s="17">
        <f t="shared" si="40"/>
        <v>-551.33047279398716</v>
      </c>
      <c r="O156" s="17">
        <f t="shared" si="40"/>
        <v>-416.15245348642839</v>
      </c>
      <c r="P156" s="17">
        <f t="shared" si="40"/>
        <v>-565.60893668346012</v>
      </c>
      <c r="Q156" s="17">
        <f t="shared" si="40"/>
        <v>-334.46046209304541</v>
      </c>
      <c r="R156" s="17">
        <f t="shared" si="40"/>
        <v>-310.62553620300696</v>
      </c>
      <c r="S156" s="17">
        <f t="shared" si="40"/>
        <v>-46.652997396592582</v>
      </c>
      <c r="T156" s="17">
        <f t="shared" si="40"/>
        <v>-7.6264039000207049</v>
      </c>
      <c r="U156" s="86">
        <f>U154-U155</f>
        <v>-4755.0712006643253</v>
      </c>
    </row>
    <row r="157" spans="3:23" x14ac:dyDescent="0.25">
      <c r="C157" s="753" t="s">
        <v>220</v>
      </c>
      <c r="D157" s="754"/>
      <c r="E157" s="17">
        <f t="shared" ref="E157:U157" si="41">E48+E94+E103+E113+E139+E152+E156</f>
        <v>40784.959999999999</v>
      </c>
      <c r="F157" s="17">
        <f t="shared" si="41"/>
        <v>0</v>
      </c>
      <c r="G157" s="17">
        <f t="shared" si="41"/>
        <v>25263.048612376988</v>
      </c>
      <c r="H157" s="17">
        <f t="shared" si="41"/>
        <v>8407.223166345022</v>
      </c>
      <c r="I157" s="17">
        <f t="shared" si="41"/>
        <v>2959.060024669107</v>
      </c>
      <c r="J157" s="17">
        <f t="shared" si="41"/>
        <v>2725.6487108350993</v>
      </c>
      <c r="K157" s="17">
        <f t="shared" si="41"/>
        <v>2583.8314259459285</v>
      </c>
      <c r="L157" s="17">
        <f t="shared" si="41"/>
        <v>2807.0321893129822</v>
      </c>
      <c r="M157" s="17">
        <f t="shared" si="41"/>
        <v>2993.9056814692944</v>
      </c>
      <c r="N157" s="17">
        <f t="shared" si="41"/>
        <v>2691.5875995753499</v>
      </c>
      <c r="O157" s="17">
        <f t="shared" si="41"/>
        <v>2787.2629087998607</v>
      </c>
      <c r="P157" s="17">
        <f t="shared" si="41"/>
        <v>2544.837512047804</v>
      </c>
      <c r="Q157" s="17">
        <f t="shared" si="41"/>
        <v>2954.7227112140754</v>
      </c>
      <c r="R157" s="17">
        <f t="shared" si="41"/>
        <v>3113.0096106730771</v>
      </c>
      <c r="S157" s="17">
        <f t="shared" si="41"/>
        <v>3139.828418824764</v>
      </c>
      <c r="T157" s="17">
        <f t="shared" si="41"/>
        <v>3348.5171319775036</v>
      </c>
      <c r="U157" s="86">
        <f t="shared" si="41"/>
        <v>34649.243925344847</v>
      </c>
      <c r="V157" s="428">
        <v>39708</v>
      </c>
      <c r="W157" s="429">
        <f>V157-U160</f>
        <v>-12.221326014034275</v>
      </c>
    </row>
    <row r="159" spans="3:23" x14ac:dyDescent="0.25">
      <c r="D159" s="22"/>
      <c r="E159" s="22"/>
      <c r="F159" s="22"/>
      <c r="G159" s="22"/>
      <c r="H159" s="22"/>
      <c r="I159" s="22"/>
    </row>
    <row r="160" spans="3:23" x14ac:dyDescent="0.25">
      <c r="D160" s="24"/>
      <c r="E160" s="24"/>
      <c r="F160" s="24"/>
      <c r="G160" s="24"/>
      <c r="H160" s="24"/>
      <c r="I160" s="24"/>
      <c r="U160" s="64">
        <f>U157-U156-U152+V152</f>
        <v>39720.221326014034</v>
      </c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4">
    <mergeCell ref="C9:C26"/>
    <mergeCell ref="C29:C46"/>
    <mergeCell ref="C51:C59"/>
    <mergeCell ref="C93:D93"/>
    <mergeCell ref="E4:E6"/>
    <mergeCell ref="C48:D48"/>
    <mergeCell ref="C49:D49"/>
    <mergeCell ref="C50:D50"/>
    <mergeCell ref="C47:D47"/>
    <mergeCell ref="C27:D27"/>
    <mergeCell ref="C28:D28"/>
    <mergeCell ref="C79:C82"/>
    <mergeCell ref="C77:D77"/>
    <mergeCell ref="C78:D78"/>
    <mergeCell ref="F4:F6"/>
    <mergeCell ref="I4:U4"/>
    <mergeCell ref="C7:D7"/>
    <mergeCell ref="C8:D8"/>
    <mergeCell ref="G4:G6"/>
    <mergeCell ref="H4:H6"/>
    <mergeCell ref="C4:C6"/>
    <mergeCell ref="D4:D6"/>
    <mergeCell ref="C157:D157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W162"/>
  <sheetViews>
    <sheetView showGridLines="0" topLeftCell="F129" zoomScale="70" zoomScaleNormal="70" workbookViewId="0">
      <selection activeCell="N30" sqref="N30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22.33203125" style="4" customWidth="1"/>
    <col min="4" max="4" width="41.33203125" style="4" customWidth="1"/>
    <col min="5" max="7" width="16.44140625" style="4" customWidth="1"/>
    <col min="8" max="8" width="16.6640625" style="4" customWidth="1"/>
    <col min="9" max="9" width="13.6640625" style="4" bestFit="1" customWidth="1"/>
    <col min="10" max="10" width="12.5546875" style="4" bestFit="1" customWidth="1"/>
    <col min="11" max="11" width="13.44140625" style="4" bestFit="1" customWidth="1"/>
    <col min="12" max="12" width="13.6640625" style="4" bestFit="1" customWidth="1"/>
    <col min="13" max="13" width="12.5546875" style="4" bestFit="1" customWidth="1"/>
    <col min="14" max="14" width="14.6640625" style="4" customWidth="1"/>
    <col min="15" max="15" width="12.5546875" style="4" customWidth="1"/>
    <col min="16" max="16" width="11.6640625" style="4" bestFit="1" customWidth="1"/>
    <col min="17" max="17" width="13.6640625" style="4" bestFit="1" customWidth="1"/>
    <col min="18" max="20" width="11.6640625" style="4" bestFit="1" customWidth="1"/>
    <col min="21" max="21" width="11.44140625" style="4" bestFit="1" customWidth="1"/>
    <col min="22" max="22" width="12.44140625" style="4" customWidth="1"/>
    <col min="23" max="23" width="12.6640625" style="4" customWidth="1"/>
    <col min="24" max="16384" width="9.33203125" style="4"/>
  </cols>
  <sheetData>
    <row r="2" spans="2:23" x14ac:dyDescent="0.25">
      <c r="I2" s="23" t="s">
        <v>38</v>
      </c>
    </row>
    <row r="3" spans="2:23" x14ac:dyDescent="0.25">
      <c r="I3" s="25" t="s">
        <v>456</v>
      </c>
    </row>
    <row r="4" spans="2:23" ht="15" customHeight="1" x14ac:dyDescent="0.25">
      <c r="C4" s="762" t="s">
        <v>346</v>
      </c>
      <c r="D4" s="762" t="s">
        <v>347</v>
      </c>
      <c r="E4" s="758" t="s">
        <v>430</v>
      </c>
      <c r="F4" s="758" t="s">
        <v>431</v>
      </c>
      <c r="G4" s="758" t="s">
        <v>432</v>
      </c>
      <c r="H4" s="758" t="s">
        <v>433</v>
      </c>
      <c r="I4" s="768" t="s">
        <v>259</v>
      </c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</row>
    <row r="5" spans="2:23" x14ac:dyDescent="0.25">
      <c r="C5" s="764"/>
      <c r="D5" s="764"/>
      <c r="E5" s="792"/>
      <c r="F5" s="792"/>
      <c r="G5" s="792"/>
      <c r="H5" s="792"/>
      <c r="I5" s="13" t="s">
        <v>239</v>
      </c>
      <c r="J5" s="13" t="s">
        <v>240</v>
      </c>
      <c r="K5" s="13" t="s">
        <v>241</v>
      </c>
      <c r="L5" s="13" t="s">
        <v>242</v>
      </c>
      <c r="M5" s="13" t="s">
        <v>243</v>
      </c>
      <c r="N5" s="13" t="s">
        <v>244</v>
      </c>
      <c r="O5" s="13" t="s">
        <v>245</v>
      </c>
      <c r="P5" s="13" t="s">
        <v>246</v>
      </c>
      <c r="Q5" s="13" t="s">
        <v>247</v>
      </c>
      <c r="R5" s="13" t="s">
        <v>248</v>
      </c>
      <c r="S5" s="13" t="s">
        <v>249</v>
      </c>
      <c r="T5" s="13" t="s">
        <v>250</v>
      </c>
      <c r="U5" s="13" t="s">
        <v>251</v>
      </c>
    </row>
    <row r="6" spans="2:23" ht="14.25" customHeight="1" x14ac:dyDescent="0.25">
      <c r="C6" s="766"/>
      <c r="D6" s="766"/>
      <c r="E6" s="793"/>
      <c r="F6" s="793"/>
      <c r="G6" s="793"/>
      <c r="H6" s="793"/>
      <c r="I6" s="66">
        <v>30</v>
      </c>
      <c r="J6" s="66">
        <v>31</v>
      </c>
      <c r="K6" s="66">
        <v>30</v>
      </c>
      <c r="L6" s="66">
        <v>31</v>
      </c>
      <c r="M6" s="66">
        <v>31</v>
      </c>
      <c r="N6" s="66">
        <v>30</v>
      </c>
      <c r="O6" s="66">
        <v>31</v>
      </c>
      <c r="P6" s="66">
        <v>30</v>
      </c>
      <c r="Q6" s="66">
        <v>31</v>
      </c>
      <c r="R6" s="66">
        <v>31</v>
      </c>
      <c r="S6" s="66">
        <v>28</v>
      </c>
      <c r="T6" s="66">
        <v>31</v>
      </c>
      <c r="U6" s="66"/>
    </row>
    <row r="7" spans="2:23" x14ac:dyDescent="0.25">
      <c r="B7" s="60"/>
      <c r="C7" s="800" t="s">
        <v>348</v>
      </c>
      <c r="D7" s="801"/>
      <c r="E7" s="59"/>
      <c r="F7" s="59"/>
      <c r="G7" s="58"/>
      <c r="H7" s="59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2:23" x14ac:dyDescent="0.25">
      <c r="C8" s="753" t="s">
        <v>349</v>
      </c>
      <c r="D8" s="754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9" spans="2:23" ht="14.25" customHeight="1" x14ac:dyDescent="0.25">
      <c r="B9" s="60"/>
      <c r="C9" s="802" t="s">
        <v>350</v>
      </c>
      <c r="D9" s="59" t="s">
        <v>351</v>
      </c>
      <c r="E9" s="109">
        <v>500</v>
      </c>
      <c r="F9" s="109"/>
      <c r="G9" s="109">
        <f t="shared" ref="G9:G16" si="0">E9</f>
        <v>500</v>
      </c>
      <c r="H9" s="109">
        <f>G9*0.2945</f>
        <v>147.25</v>
      </c>
      <c r="I9" s="66">
        <f t="shared" ref="I9:T15" si="1">$H9*0.85*I$6*24/1000</f>
        <v>90.117000000000004</v>
      </c>
      <c r="J9" s="66">
        <f t="shared" si="1"/>
        <v>93.120899999999992</v>
      </c>
      <c r="K9" s="66">
        <f t="shared" si="1"/>
        <v>90.117000000000004</v>
      </c>
      <c r="L9" s="66">
        <f t="shared" si="1"/>
        <v>93.120899999999992</v>
      </c>
      <c r="M9" s="66">
        <f t="shared" si="1"/>
        <v>93.120899999999992</v>
      </c>
      <c r="N9" s="66">
        <f t="shared" si="1"/>
        <v>90.117000000000004</v>
      </c>
      <c r="O9" s="66">
        <f t="shared" si="1"/>
        <v>93.120899999999992</v>
      </c>
      <c r="P9" s="66">
        <f t="shared" si="1"/>
        <v>90.117000000000004</v>
      </c>
      <c r="Q9" s="66">
        <f t="shared" si="1"/>
        <v>93.120899999999992</v>
      </c>
      <c r="R9" s="66">
        <f t="shared" si="1"/>
        <v>93.120899999999992</v>
      </c>
      <c r="S9" s="66">
        <f t="shared" si="1"/>
        <v>84.109200000000001</v>
      </c>
      <c r="T9" s="66">
        <f t="shared" si="1"/>
        <v>93.120899999999992</v>
      </c>
      <c r="U9" s="17">
        <f>+SUM(I9:T9)</f>
        <v>1096.4234999999999</v>
      </c>
      <c r="V9" s="4">
        <v>1097</v>
      </c>
      <c r="W9" s="64">
        <f t="shared" ref="W9:W16" si="2">V9-U9</f>
        <v>0.57650000000012369</v>
      </c>
    </row>
    <row r="10" spans="2:23" ht="14.25" customHeight="1" x14ac:dyDescent="0.25">
      <c r="B10" s="60"/>
      <c r="C10" s="803"/>
      <c r="D10" s="59" t="s">
        <v>352</v>
      </c>
      <c r="E10" s="109">
        <v>500</v>
      </c>
      <c r="F10" s="109"/>
      <c r="G10" s="109">
        <f t="shared" si="0"/>
        <v>500</v>
      </c>
      <c r="H10" s="109">
        <f t="shared" ref="H10:H16" si="3">G10*0.2945</f>
        <v>147.25</v>
      </c>
      <c r="I10" s="66">
        <f t="shared" si="1"/>
        <v>90.117000000000004</v>
      </c>
      <c r="J10" s="66">
        <f t="shared" si="1"/>
        <v>93.120899999999992</v>
      </c>
      <c r="K10" s="66">
        <f t="shared" si="1"/>
        <v>90.117000000000004</v>
      </c>
      <c r="L10" s="66">
        <f t="shared" si="1"/>
        <v>93.120899999999992</v>
      </c>
      <c r="M10" s="66">
        <f t="shared" si="1"/>
        <v>93.120899999999992</v>
      </c>
      <c r="N10" s="66">
        <f t="shared" si="1"/>
        <v>90.117000000000004</v>
      </c>
      <c r="O10" s="66">
        <f t="shared" si="1"/>
        <v>93.120899999999992</v>
      </c>
      <c r="P10" s="66">
        <f t="shared" si="1"/>
        <v>90.117000000000004</v>
      </c>
      <c r="Q10" s="66">
        <f t="shared" si="1"/>
        <v>93.120899999999992</v>
      </c>
      <c r="R10" s="66">
        <f t="shared" si="1"/>
        <v>93.120899999999992</v>
      </c>
      <c r="S10" s="66">
        <f t="shared" si="1"/>
        <v>84.109200000000001</v>
      </c>
      <c r="T10" s="66">
        <f t="shared" si="1"/>
        <v>93.120899999999992</v>
      </c>
      <c r="U10" s="17">
        <f t="shared" ref="U10:U46" si="4">+SUM(I10:T10)</f>
        <v>1096.4234999999999</v>
      </c>
      <c r="V10" s="4">
        <v>1097</v>
      </c>
      <c r="W10" s="64">
        <f t="shared" si="2"/>
        <v>0.57650000000012369</v>
      </c>
    </row>
    <row r="11" spans="2:23" ht="14.25" customHeight="1" x14ac:dyDescent="0.25">
      <c r="B11" s="60"/>
      <c r="C11" s="803"/>
      <c r="D11" s="59" t="s">
        <v>353</v>
      </c>
      <c r="E11" s="109">
        <v>800</v>
      </c>
      <c r="F11" s="109"/>
      <c r="G11" s="109">
        <f t="shared" si="0"/>
        <v>800</v>
      </c>
      <c r="H11" s="109">
        <f t="shared" si="3"/>
        <v>235.6</v>
      </c>
      <c r="I11" s="66">
        <f t="shared" si="1"/>
        <v>144.18719999999999</v>
      </c>
      <c r="J11" s="66">
        <f t="shared" si="1"/>
        <v>148.99343999999999</v>
      </c>
      <c r="K11" s="66">
        <f t="shared" si="1"/>
        <v>144.18719999999999</v>
      </c>
      <c r="L11" s="66">
        <f t="shared" si="1"/>
        <v>148.99343999999999</v>
      </c>
      <c r="M11" s="66">
        <f t="shared" si="1"/>
        <v>148.99343999999999</v>
      </c>
      <c r="N11" s="66">
        <f t="shared" si="1"/>
        <v>144.18719999999999</v>
      </c>
      <c r="O11" s="66">
        <f t="shared" si="1"/>
        <v>148.99343999999999</v>
      </c>
      <c r="P11" s="66">
        <f t="shared" si="1"/>
        <v>144.18719999999999</v>
      </c>
      <c r="Q11" s="66">
        <f t="shared" si="1"/>
        <v>148.99343999999999</v>
      </c>
      <c r="R11" s="66">
        <f t="shared" si="1"/>
        <v>148.99343999999999</v>
      </c>
      <c r="S11" s="66">
        <f t="shared" si="1"/>
        <v>134.57472000000001</v>
      </c>
      <c r="T11" s="66">
        <f t="shared" si="1"/>
        <v>148.99343999999999</v>
      </c>
      <c r="U11" s="17">
        <f t="shared" si="4"/>
        <v>1754.2775999999999</v>
      </c>
      <c r="V11" s="4">
        <v>1754</v>
      </c>
      <c r="W11" s="64">
        <f t="shared" si="2"/>
        <v>-0.27759999999989304</v>
      </c>
    </row>
    <row r="12" spans="2:23" ht="14.25" customHeight="1" x14ac:dyDescent="0.25">
      <c r="B12" s="60"/>
      <c r="C12" s="803"/>
      <c r="D12" s="59" t="s">
        <v>354</v>
      </c>
      <c r="E12" s="109">
        <v>62.5</v>
      </c>
      <c r="F12" s="109"/>
      <c r="G12" s="109">
        <f t="shared" si="0"/>
        <v>62.5</v>
      </c>
      <c r="H12" s="109">
        <f t="shared" si="3"/>
        <v>18.40625</v>
      </c>
      <c r="I12" s="66">
        <f t="shared" si="1"/>
        <v>11.264625000000001</v>
      </c>
      <c r="J12" s="66">
        <f t="shared" si="1"/>
        <v>11.640112499999999</v>
      </c>
      <c r="K12" s="66">
        <f t="shared" si="1"/>
        <v>11.264625000000001</v>
      </c>
      <c r="L12" s="66">
        <f t="shared" si="1"/>
        <v>11.640112499999999</v>
      </c>
      <c r="M12" s="66">
        <f t="shared" si="1"/>
        <v>11.640112499999999</v>
      </c>
      <c r="N12" s="66">
        <f t="shared" si="1"/>
        <v>11.264625000000001</v>
      </c>
      <c r="O12" s="66">
        <f t="shared" si="1"/>
        <v>11.640112499999999</v>
      </c>
      <c r="P12" s="66">
        <f t="shared" si="1"/>
        <v>11.264625000000001</v>
      </c>
      <c r="Q12" s="66">
        <f t="shared" si="1"/>
        <v>11.640112499999999</v>
      </c>
      <c r="R12" s="66">
        <f t="shared" si="1"/>
        <v>11.640112499999999</v>
      </c>
      <c r="S12" s="66">
        <f t="shared" si="1"/>
        <v>10.51365</v>
      </c>
      <c r="T12" s="66">
        <f t="shared" si="1"/>
        <v>11.640112499999999</v>
      </c>
      <c r="U12" s="17">
        <f t="shared" si="4"/>
        <v>137.05293749999998</v>
      </c>
      <c r="V12" s="4">
        <v>137</v>
      </c>
      <c r="W12" s="64">
        <f t="shared" si="2"/>
        <v>-5.2937499999984539E-2</v>
      </c>
    </row>
    <row r="13" spans="2:23" ht="14.25" customHeight="1" x14ac:dyDescent="0.25">
      <c r="B13" s="60"/>
      <c r="C13" s="803"/>
      <c r="D13" s="59" t="s">
        <v>355</v>
      </c>
      <c r="E13" s="109">
        <v>500</v>
      </c>
      <c r="F13" s="109"/>
      <c r="G13" s="109">
        <f t="shared" si="0"/>
        <v>500</v>
      </c>
      <c r="H13" s="109">
        <f t="shared" si="3"/>
        <v>147.25</v>
      </c>
      <c r="I13" s="66">
        <f t="shared" si="1"/>
        <v>90.117000000000004</v>
      </c>
      <c r="J13" s="66">
        <f t="shared" si="1"/>
        <v>93.120899999999992</v>
      </c>
      <c r="K13" s="66">
        <f t="shared" si="1"/>
        <v>90.117000000000004</v>
      </c>
      <c r="L13" s="66">
        <f t="shared" si="1"/>
        <v>93.120899999999992</v>
      </c>
      <c r="M13" s="66">
        <f t="shared" si="1"/>
        <v>93.120899999999992</v>
      </c>
      <c r="N13" s="66">
        <f t="shared" si="1"/>
        <v>90.117000000000004</v>
      </c>
      <c r="O13" s="66">
        <f t="shared" si="1"/>
        <v>93.120899999999992</v>
      </c>
      <c r="P13" s="66">
        <f t="shared" si="1"/>
        <v>90.117000000000004</v>
      </c>
      <c r="Q13" s="66">
        <f t="shared" si="1"/>
        <v>93.120899999999992</v>
      </c>
      <c r="R13" s="66">
        <f t="shared" si="1"/>
        <v>93.120899999999992</v>
      </c>
      <c r="S13" s="66">
        <f t="shared" si="1"/>
        <v>84.109200000000001</v>
      </c>
      <c r="T13" s="66">
        <f t="shared" si="1"/>
        <v>93.120899999999992</v>
      </c>
      <c r="U13" s="17">
        <f t="shared" si="4"/>
        <v>1096.4234999999999</v>
      </c>
      <c r="V13" s="4">
        <v>1097</v>
      </c>
      <c r="W13" s="64">
        <f t="shared" si="2"/>
        <v>0.57650000000012369</v>
      </c>
    </row>
    <row r="14" spans="2:23" ht="14.25" customHeight="1" x14ac:dyDescent="0.25">
      <c r="B14" s="60"/>
      <c r="C14" s="803"/>
      <c r="D14" s="59" t="s">
        <v>356</v>
      </c>
      <c r="E14" s="109">
        <v>600</v>
      </c>
      <c r="F14" s="109"/>
      <c r="G14" s="109">
        <f t="shared" si="0"/>
        <v>600</v>
      </c>
      <c r="H14" s="109">
        <f t="shared" si="3"/>
        <v>176.7</v>
      </c>
      <c r="I14" s="66">
        <f t="shared" si="1"/>
        <v>108.1404</v>
      </c>
      <c r="J14" s="66">
        <f t="shared" si="1"/>
        <v>111.74508</v>
      </c>
      <c r="K14" s="66">
        <f t="shared" si="1"/>
        <v>108.1404</v>
      </c>
      <c r="L14" s="66">
        <f t="shared" si="1"/>
        <v>111.74508</v>
      </c>
      <c r="M14" s="66">
        <f t="shared" si="1"/>
        <v>111.74508</v>
      </c>
      <c r="N14" s="66">
        <f t="shared" si="1"/>
        <v>108.1404</v>
      </c>
      <c r="O14" s="66">
        <f t="shared" si="1"/>
        <v>111.74508</v>
      </c>
      <c r="P14" s="66">
        <f t="shared" si="1"/>
        <v>108.1404</v>
      </c>
      <c r="Q14" s="66">
        <f t="shared" si="1"/>
        <v>111.74508</v>
      </c>
      <c r="R14" s="66">
        <f t="shared" si="1"/>
        <v>111.74508</v>
      </c>
      <c r="S14" s="66">
        <f t="shared" si="1"/>
        <v>100.93104000000001</v>
      </c>
      <c r="T14" s="66">
        <f t="shared" si="1"/>
        <v>111.74508</v>
      </c>
      <c r="U14" s="17">
        <f t="shared" si="4"/>
        <v>1315.7082</v>
      </c>
      <c r="V14" s="4">
        <v>1316</v>
      </c>
      <c r="W14" s="64">
        <f t="shared" si="2"/>
        <v>0.29179999999996653</v>
      </c>
    </row>
    <row r="15" spans="2:23" ht="14.25" customHeight="1" x14ac:dyDescent="0.25">
      <c r="B15" s="60"/>
      <c r="C15" s="803"/>
      <c r="D15" s="59" t="s">
        <v>357</v>
      </c>
      <c r="E15" s="109">
        <v>1080</v>
      </c>
      <c r="F15" s="109"/>
      <c r="G15" s="109">
        <f t="shared" si="0"/>
        <v>1080</v>
      </c>
      <c r="H15" s="109">
        <f t="shared" si="3"/>
        <v>318.06</v>
      </c>
      <c r="I15" s="66">
        <f t="shared" si="1"/>
        <v>194.65271999999999</v>
      </c>
      <c r="J15" s="66">
        <f t="shared" si="1"/>
        <v>201.14114399999997</v>
      </c>
      <c r="K15" s="66">
        <f t="shared" si="1"/>
        <v>194.65271999999999</v>
      </c>
      <c r="L15" s="66">
        <f t="shared" si="1"/>
        <v>201.14114399999997</v>
      </c>
      <c r="M15" s="66">
        <f t="shared" si="1"/>
        <v>201.14114399999997</v>
      </c>
      <c r="N15" s="66">
        <f t="shared" si="1"/>
        <v>194.65271999999999</v>
      </c>
      <c r="O15" s="66">
        <f t="shared" si="1"/>
        <v>201.14114399999997</v>
      </c>
      <c r="P15" s="66">
        <f t="shared" si="1"/>
        <v>194.65271999999999</v>
      </c>
      <c r="Q15" s="66">
        <f t="shared" si="1"/>
        <v>201.14114399999997</v>
      </c>
      <c r="R15" s="66">
        <f t="shared" si="1"/>
        <v>201.14114399999997</v>
      </c>
      <c r="S15" s="66">
        <f t="shared" si="1"/>
        <v>181.67587199999997</v>
      </c>
      <c r="T15" s="66">
        <f t="shared" si="1"/>
        <v>201.14114399999997</v>
      </c>
      <c r="U15" s="17">
        <f t="shared" si="4"/>
        <v>2368.2747599999998</v>
      </c>
      <c r="V15" s="4">
        <v>2368</v>
      </c>
      <c r="W15" s="64">
        <f t="shared" si="2"/>
        <v>-0.2747599999997874</v>
      </c>
    </row>
    <row r="16" spans="2:23" ht="14.25" customHeight="1" x14ac:dyDescent="0.25">
      <c r="B16" s="60"/>
      <c r="C16" s="803"/>
      <c r="D16" s="59" t="s">
        <v>358</v>
      </c>
      <c r="E16" s="109">
        <v>4000</v>
      </c>
      <c r="F16" s="109"/>
      <c r="G16" s="109">
        <f t="shared" si="0"/>
        <v>4000</v>
      </c>
      <c r="H16" s="109">
        <f t="shared" si="3"/>
        <v>1178</v>
      </c>
      <c r="I16" s="66">
        <f>$H16*0.8526*I$6*24/1000</f>
        <v>723.14121599999999</v>
      </c>
      <c r="J16" s="66">
        <f t="shared" ref="J16:T16" si="5">$H16*0.8526*J$6*24/1000</f>
        <v>747.24592320000011</v>
      </c>
      <c r="K16" s="66">
        <f t="shared" si="5"/>
        <v>723.14121599999999</v>
      </c>
      <c r="L16" s="66">
        <f t="shared" si="5"/>
        <v>747.24592320000011</v>
      </c>
      <c r="M16" s="66">
        <f t="shared" si="5"/>
        <v>747.24592320000011</v>
      </c>
      <c r="N16" s="66">
        <f t="shared" si="5"/>
        <v>723.14121599999999</v>
      </c>
      <c r="O16" s="66">
        <f t="shared" si="5"/>
        <v>747.24592320000011</v>
      </c>
      <c r="P16" s="66">
        <f t="shared" si="5"/>
        <v>723.14121599999999</v>
      </c>
      <c r="Q16" s="66">
        <f t="shared" si="5"/>
        <v>747.24592320000011</v>
      </c>
      <c r="R16" s="66">
        <f t="shared" si="5"/>
        <v>747.24592320000011</v>
      </c>
      <c r="S16" s="66">
        <f t="shared" si="5"/>
        <v>674.93180159999997</v>
      </c>
      <c r="T16" s="66">
        <f t="shared" si="5"/>
        <v>747.24592320000011</v>
      </c>
      <c r="U16" s="17">
        <f t="shared" si="4"/>
        <v>8798.2181280000004</v>
      </c>
      <c r="V16" s="4">
        <v>8798</v>
      </c>
      <c r="W16" s="429">
        <f t="shared" si="2"/>
        <v>-0.21812800000043353</v>
      </c>
    </row>
    <row r="17" spans="2:23" ht="14.25" customHeight="1" x14ac:dyDescent="0.25">
      <c r="B17" s="60"/>
      <c r="C17" s="803"/>
      <c r="D17" s="59"/>
      <c r="E17" s="59"/>
      <c r="F17" s="59"/>
      <c r="G17" s="59"/>
      <c r="H17" s="59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f t="shared" si="4"/>
        <v>0</v>
      </c>
    </row>
    <row r="18" spans="2:23" ht="14.25" customHeight="1" x14ac:dyDescent="0.25">
      <c r="B18" s="60"/>
      <c r="C18" s="803"/>
      <c r="D18" s="59"/>
      <c r="E18" s="59"/>
      <c r="F18" s="59"/>
      <c r="G18" s="59"/>
      <c r="H18" s="59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>
        <f t="shared" si="4"/>
        <v>0</v>
      </c>
    </row>
    <row r="19" spans="2:23" ht="14.25" customHeight="1" x14ac:dyDescent="0.25">
      <c r="B19" s="60"/>
      <c r="C19" s="803"/>
      <c r="D19" s="59"/>
      <c r="E19" s="59"/>
      <c r="F19" s="59"/>
      <c r="G19" s="59"/>
      <c r="H19" s="59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>
        <f t="shared" si="4"/>
        <v>0</v>
      </c>
    </row>
    <row r="20" spans="2:23" ht="14.25" customHeight="1" x14ac:dyDescent="0.25">
      <c r="B20" s="60"/>
      <c r="C20" s="803"/>
      <c r="D20" s="59"/>
      <c r="E20" s="59"/>
      <c r="F20" s="59"/>
      <c r="G20" s="59"/>
      <c r="H20" s="59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>
        <f t="shared" si="4"/>
        <v>0</v>
      </c>
    </row>
    <row r="21" spans="2:23" ht="14.25" customHeight="1" x14ac:dyDescent="0.25">
      <c r="B21" s="60"/>
      <c r="C21" s="803"/>
      <c r="D21" s="59"/>
      <c r="E21" s="59"/>
      <c r="F21" s="59"/>
      <c r="G21" s="59"/>
      <c r="H21" s="59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>
        <f t="shared" si="4"/>
        <v>0</v>
      </c>
    </row>
    <row r="22" spans="2:23" ht="14.25" customHeight="1" x14ac:dyDescent="0.25">
      <c r="B22" s="60"/>
      <c r="C22" s="803"/>
      <c r="D22" s="59"/>
      <c r="E22" s="59"/>
      <c r="F22" s="59"/>
      <c r="G22" s="59"/>
      <c r="H22" s="59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>
        <f t="shared" si="4"/>
        <v>0</v>
      </c>
    </row>
    <row r="23" spans="2:23" ht="14.25" customHeight="1" x14ac:dyDescent="0.25">
      <c r="B23" s="60"/>
      <c r="C23" s="803"/>
      <c r="D23" s="59"/>
      <c r="E23" s="59"/>
      <c r="F23" s="59"/>
      <c r="G23" s="59"/>
      <c r="H23" s="59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>
        <f t="shared" si="4"/>
        <v>0</v>
      </c>
    </row>
    <row r="24" spans="2:23" ht="14.25" customHeight="1" x14ac:dyDescent="0.25">
      <c r="B24" s="60"/>
      <c r="C24" s="803"/>
      <c r="D24" s="59"/>
      <c r="E24" s="59"/>
      <c r="F24" s="59"/>
      <c r="G24" s="59"/>
      <c r="H24" s="59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>
        <f t="shared" si="4"/>
        <v>0</v>
      </c>
    </row>
    <row r="25" spans="2:23" ht="14.25" customHeight="1" x14ac:dyDescent="0.25">
      <c r="B25" s="60"/>
      <c r="C25" s="803"/>
      <c r="D25" s="59"/>
      <c r="E25" s="59"/>
      <c r="F25" s="59"/>
      <c r="G25" s="59"/>
      <c r="H25" s="59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>
        <f t="shared" si="4"/>
        <v>0</v>
      </c>
    </row>
    <row r="26" spans="2:23" ht="14.25" customHeight="1" x14ac:dyDescent="0.25">
      <c r="B26" s="60"/>
      <c r="C26" s="804"/>
      <c r="D26" s="59"/>
      <c r="E26" s="59"/>
      <c r="F26" s="59"/>
      <c r="G26" s="59"/>
      <c r="H26" s="59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>
        <f t="shared" si="4"/>
        <v>0</v>
      </c>
    </row>
    <row r="27" spans="2:23" x14ac:dyDescent="0.25">
      <c r="C27" s="751" t="s">
        <v>212</v>
      </c>
      <c r="D27" s="752"/>
      <c r="E27" s="17">
        <f>SUM(E9:E26)</f>
        <v>8042.5</v>
      </c>
      <c r="F27" s="17">
        <f t="shared" ref="F27:T27" si="6">SUM(F9:F26)</f>
        <v>0</v>
      </c>
      <c r="G27" s="17">
        <f t="shared" si="6"/>
        <v>8042.5</v>
      </c>
      <c r="H27" s="17">
        <f t="shared" si="6"/>
        <v>2368.5162499999997</v>
      </c>
      <c r="I27" s="17">
        <f t="shared" si="6"/>
        <v>1451.737161</v>
      </c>
      <c r="J27" s="17">
        <f t="shared" si="6"/>
        <v>1500.1283997</v>
      </c>
      <c r="K27" s="17">
        <f t="shared" si="6"/>
        <v>1451.737161</v>
      </c>
      <c r="L27" s="17">
        <f t="shared" si="6"/>
        <v>1500.1283997</v>
      </c>
      <c r="M27" s="17">
        <f t="shared" si="6"/>
        <v>1500.1283997</v>
      </c>
      <c r="N27" s="17">
        <f t="shared" si="6"/>
        <v>1451.737161</v>
      </c>
      <c r="O27" s="17">
        <f t="shared" si="6"/>
        <v>1500.1283997</v>
      </c>
      <c r="P27" s="17">
        <f t="shared" si="6"/>
        <v>1451.737161</v>
      </c>
      <c r="Q27" s="17">
        <f t="shared" si="6"/>
        <v>1500.1283997</v>
      </c>
      <c r="R27" s="17">
        <f t="shared" si="6"/>
        <v>1500.1283997</v>
      </c>
      <c r="S27" s="17">
        <f t="shared" si="6"/>
        <v>1354.9546836</v>
      </c>
      <c r="T27" s="17">
        <f t="shared" si="6"/>
        <v>1500.1283997</v>
      </c>
      <c r="U27" s="86">
        <f>SUM(I27:T27)</f>
        <v>17662.802125499999</v>
      </c>
      <c r="V27" s="427">
        <v>17663</v>
      </c>
      <c r="W27" s="429">
        <f t="shared" ref="W27" si="7">V27-U27</f>
        <v>0.19787450000148965</v>
      </c>
    </row>
    <row r="28" spans="2:23" x14ac:dyDescent="0.25">
      <c r="C28" s="753" t="s">
        <v>359</v>
      </c>
      <c r="D28" s="75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2:23" x14ac:dyDescent="0.25">
      <c r="C29" s="805" t="s">
        <v>350</v>
      </c>
      <c r="D29" s="17" t="s">
        <v>360</v>
      </c>
      <c r="E29" s="111">
        <v>234</v>
      </c>
      <c r="F29" s="17"/>
      <c r="G29" s="111">
        <f>117</f>
        <v>117</v>
      </c>
      <c r="H29" s="17">
        <f t="shared" ref="H29:H36" si="8">G29*0.2945</f>
        <v>34.456499999999998</v>
      </c>
      <c r="I29" s="66">
        <f>'F11-Year(n+5)'!E30</f>
        <v>5.7004422806795318</v>
      </c>
      <c r="J29" s="66">
        <f>'F11-Year(n+5)'!F30</f>
        <v>6.1084137216424548</v>
      </c>
      <c r="K29" s="66">
        <f>'F11-Year(n+5)'!G30</f>
        <v>6.3286124110996678</v>
      </c>
      <c r="L29" s="66">
        <f>'F11-Year(n+5)'!H30</f>
        <v>13.835776499120559</v>
      </c>
      <c r="M29" s="66">
        <f>'F11-Year(n+5)'!I30</f>
        <v>32.483877484098635</v>
      </c>
      <c r="N29" s="66">
        <f>'F11-Year(n+5)'!J30</f>
        <v>16.406514016927677</v>
      </c>
      <c r="O29" s="66">
        <f>'F11-Year(n+5)'!K30</f>
        <v>18.084128535726652</v>
      </c>
      <c r="P29" s="66">
        <f>'F11-Year(n+5)'!L30</f>
        <v>6.2024822944871012</v>
      </c>
      <c r="Q29" s="66">
        <f>'F11-Year(n+5)'!M30</f>
        <v>10.640389327405881</v>
      </c>
      <c r="R29" s="66">
        <f>'F11-Year(n+5)'!N30</f>
        <v>20.303326553538263</v>
      </c>
      <c r="S29" s="66">
        <f>'F11-Year(n+5)'!O30</f>
        <v>18.234657057875967</v>
      </c>
      <c r="T29" s="66">
        <f>'F11-Year(n+5)'!P30</f>
        <v>8.4700492817307467</v>
      </c>
      <c r="U29" s="17">
        <f t="shared" si="4"/>
        <v>162.79866946433313</v>
      </c>
    </row>
    <row r="30" spans="2:23" x14ac:dyDescent="0.25">
      <c r="C30" s="806"/>
      <c r="D30" s="17" t="s">
        <v>361</v>
      </c>
      <c r="E30" s="66">
        <v>875.6</v>
      </c>
      <c r="F30" s="17"/>
      <c r="G30" s="66">
        <v>875.6</v>
      </c>
      <c r="H30" s="17">
        <f t="shared" si="8"/>
        <v>257.86419999999998</v>
      </c>
      <c r="I30" s="66">
        <f>'F11-Year(n+5)'!E31</f>
        <v>19.868721043257381</v>
      </c>
      <c r="J30" s="66">
        <f>'F11-Year(n+5)'!F31</f>
        <v>21.290693296459768</v>
      </c>
      <c r="K30" s="66">
        <f>'F11-Year(n+5)'!G31</f>
        <v>22.058189241422603</v>
      </c>
      <c r="L30" s="66">
        <f>'F11-Year(n+5)'!H31</f>
        <v>48.224185096934733</v>
      </c>
      <c r="M30" s="66">
        <f>'F11-Year(n+5)'!I31</f>
        <v>113.22158323090109</v>
      </c>
      <c r="N30" s="66">
        <f>'F11-Year(n+5)'!J31</f>
        <v>57.184413812847041</v>
      </c>
      <c r="O30" s="66">
        <f>'F11-Year(n+5)'!K31</f>
        <v>63.031689033071174</v>
      </c>
      <c r="P30" s="66">
        <f>'F11-Year(n+5)'!L31</f>
        <v>21.618566493092651</v>
      </c>
      <c r="Q30" s="66">
        <f>'F11-Year(n+5)'!M31</f>
        <v>37.086758698428369</v>
      </c>
      <c r="R30" s="66">
        <f>'F11-Year(n+5)'!N31</f>
        <v>70.766637337888056</v>
      </c>
      <c r="S30" s="66">
        <f>'F11-Year(n+5)'!O31</f>
        <v>63.556351694032642</v>
      </c>
      <c r="T30" s="66">
        <f>'F11-Year(n+5)'!P31</f>
        <v>29.522103393929896</v>
      </c>
      <c r="U30" s="17">
        <f t="shared" si="4"/>
        <v>567.42989237226539</v>
      </c>
    </row>
    <row r="31" spans="2:23" x14ac:dyDescent="0.25">
      <c r="C31" s="806"/>
      <c r="D31" s="17" t="s">
        <v>362</v>
      </c>
      <c r="E31" s="111">
        <v>900</v>
      </c>
      <c r="F31" s="17"/>
      <c r="G31" s="111">
        <v>900</v>
      </c>
      <c r="H31" s="17">
        <f t="shared" si="8"/>
        <v>265.05</v>
      </c>
      <c r="I31" s="66">
        <f>'F11-Year(n+5)'!E32</f>
        <v>21.924778002613586</v>
      </c>
      <c r="J31" s="66">
        <f>'F11-Year(n+5)'!F32</f>
        <v>23.493898929394071</v>
      </c>
      <c r="K31" s="66">
        <f>'F11-Year(n+5)'!G32</f>
        <v>24.340816965767949</v>
      </c>
      <c r="L31" s="66">
        <f>'F11-Year(n+5)'!H32</f>
        <v>53.214524996617556</v>
      </c>
      <c r="M31" s="66">
        <f>'F11-Year(n+5)'!I32</f>
        <v>124.93799032345632</v>
      </c>
      <c r="N31" s="66">
        <f>'F11-Year(n+5)'!J32</f>
        <v>63.101976988183353</v>
      </c>
      <c r="O31" s="66">
        <f>'F11-Year(n+5)'!K32</f>
        <v>69.554340522025569</v>
      </c>
      <c r="P31" s="66">
        <f>'F11-Year(n+5)'!L32</f>
        <v>23.8557011326427</v>
      </c>
      <c r="Q31" s="66">
        <f>'F11-Year(n+5)'!M32</f>
        <v>40.924574336176462</v>
      </c>
      <c r="R31" s="66">
        <f>'F11-Year(n+5)'!N32</f>
        <v>78.08971751360869</v>
      </c>
      <c r="S31" s="66">
        <f>'F11-Year(n+5)'!O32</f>
        <v>70.133296376446012</v>
      </c>
      <c r="T31" s="66">
        <f>'F11-Year(n+5)'!P32</f>
        <v>32.577112622041341</v>
      </c>
      <c r="U31" s="17">
        <f t="shared" si="4"/>
        <v>626.14872870897364</v>
      </c>
    </row>
    <row r="32" spans="2:23" x14ac:dyDescent="0.25">
      <c r="C32" s="806"/>
      <c r="D32" s="17" t="s">
        <v>363</v>
      </c>
      <c r="E32" s="111">
        <v>240</v>
      </c>
      <c r="F32" s="17"/>
      <c r="G32" s="111">
        <v>240</v>
      </c>
      <c r="H32" s="17">
        <f t="shared" si="8"/>
        <v>70.679999999999993</v>
      </c>
      <c r="I32" s="66">
        <f>'F11-Year(n+5)'!E33</f>
        <v>5.8466074673636239</v>
      </c>
      <c r="J32" s="66">
        <f>'F11-Year(n+5)'!F33</f>
        <v>6.2650397145050842</v>
      </c>
      <c r="K32" s="66">
        <f>'F11-Year(n+5)'!G33</f>
        <v>6.4908845242047892</v>
      </c>
      <c r="L32" s="66">
        <f>'F11-Year(n+5)'!H33</f>
        <v>14.190539999098011</v>
      </c>
      <c r="M32" s="66">
        <f>'F11-Year(n+5)'!I33</f>
        <v>33.316797419588362</v>
      </c>
      <c r="N32" s="66">
        <f>'F11-Year(n+5)'!J33</f>
        <v>16.827193863515561</v>
      </c>
      <c r="O32" s="66">
        <f>'F11-Year(n+5)'!K33</f>
        <v>18.547824139206821</v>
      </c>
      <c r="P32" s="66">
        <f>'F11-Year(n+5)'!L33</f>
        <v>6.3615203020380555</v>
      </c>
      <c r="Q32" s="66">
        <f>'F11-Year(n+5)'!M33</f>
        <v>10.913219822980391</v>
      </c>
      <c r="R32" s="66">
        <f>'F11-Year(n+5)'!N33</f>
        <v>20.823924670295646</v>
      </c>
      <c r="S32" s="66">
        <f>'F11-Year(n+5)'!O33</f>
        <v>18.702212367052272</v>
      </c>
      <c r="T32" s="66">
        <f>'F11-Year(n+5)'!P33</f>
        <v>8.6872300325443543</v>
      </c>
      <c r="U32" s="17">
        <f t="shared" si="4"/>
        <v>166.97299432239302</v>
      </c>
    </row>
    <row r="33" spans="3:22" x14ac:dyDescent="0.25">
      <c r="C33" s="806"/>
      <c r="D33" s="17" t="s">
        <v>364</v>
      </c>
      <c r="E33" s="111">
        <v>120</v>
      </c>
      <c r="F33" s="17"/>
      <c r="G33" s="111">
        <v>120</v>
      </c>
      <c r="H33" s="17">
        <f t="shared" si="8"/>
        <v>35.339999999999996</v>
      </c>
      <c r="I33" s="66">
        <f>'F11-Year(n+5)'!E34</f>
        <v>2.923303733681812</v>
      </c>
      <c r="J33" s="66">
        <f>'F11-Year(n+5)'!F34</f>
        <v>3.1325198572525412</v>
      </c>
      <c r="K33" s="66">
        <f>'F11-Year(n+5)'!G34</f>
        <v>3.2454422621023937</v>
      </c>
      <c r="L33" s="66">
        <f>'F11-Year(n+5)'!H34</f>
        <v>7.0952699995490036</v>
      </c>
      <c r="M33" s="66">
        <f>'F11-Year(n+5)'!I34</f>
        <v>16.658398709794177</v>
      </c>
      <c r="N33" s="66">
        <f>'F11-Year(n+5)'!J34</f>
        <v>8.4135969317577803</v>
      </c>
      <c r="O33" s="66">
        <f>'F11-Year(n+5)'!K34</f>
        <v>9.2739120696034085</v>
      </c>
      <c r="P33" s="66">
        <f>'F11-Year(n+5)'!L34</f>
        <v>3.1807601510190269</v>
      </c>
      <c r="Q33" s="66">
        <f>'F11-Year(n+5)'!M34</f>
        <v>5.4566099114901956</v>
      </c>
      <c r="R33" s="66">
        <f>'F11-Year(n+5)'!N34</f>
        <v>10.411962335147823</v>
      </c>
      <c r="S33" s="66">
        <f>'F11-Year(n+5)'!O34</f>
        <v>9.3511061835261344</v>
      </c>
      <c r="T33" s="66">
        <f>'F11-Year(n+5)'!P34</f>
        <v>4.3436150162721781</v>
      </c>
      <c r="U33" s="17">
        <f t="shared" si="4"/>
        <v>83.486497161196482</v>
      </c>
    </row>
    <row r="34" spans="3:22" x14ac:dyDescent="0.25">
      <c r="C34" s="806"/>
      <c r="D34" s="17" t="s">
        <v>365</v>
      </c>
      <c r="E34" s="111">
        <v>9</v>
      </c>
      <c r="F34" s="17"/>
      <c r="G34" s="111">
        <v>9</v>
      </c>
      <c r="H34" s="17">
        <f t="shared" si="8"/>
        <v>2.6505000000000001</v>
      </c>
      <c r="I34" s="66">
        <f>'F11-Year(n+5)'!E35</f>
        <v>0.43849556005227175</v>
      </c>
      <c r="J34" s="66">
        <f>'F11-Year(n+5)'!F35</f>
        <v>0.46987797858788127</v>
      </c>
      <c r="K34" s="66">
        <f>'F11-Year(n+5)'!G35</f>
        <v>0.48681633931535906</v>
      </c>
      <c r="L34" s="66">
        <f>'F11-Year(n+5)'!H35</f>
        <v>1.0642904999323508</v>
      </c>
      <c r="M34" s="66">
        <f>'F11-Year(n+5)'!I35</f>
        <v>2.4987598064691268</v>
      </c>
      <c r="N34" s="66">
        <f>'F11-Year(n+5)'!J35</f>
        <v>1.2620395397636677</v>
      </c>
      <c r="O34" s="66">
        <f>'F11-Year(n+5)'!K35</f>
        <v>1.3910868104405116</v>
      </c>
      <c r="P34" s="66">
        <f>'F11-Year(n+5)'!L35</f>
        <v>0.47711402265285408</v>
      </c>
      <c r="Q34" s="66">
        <f>'F11-Year(n+5)'!M35</f>
        <v>0.81849148672352934</v>
      </c>
      <c r="R34" s="66">
        <f>'F11-Year(n+5)'!N35</f>
        <v>1.5617943502721738</v>
      </c>
      <c r="S34" s="66">
        <f>'F11-Year(n+5)'!O35</f>
        <v>1.4026659275289206</v>
      </c>
      <c r="T34" s="66">
        <f>'F11-Year(n+5)'!P35</f>
        <v>0.65154225244082675</v>
      </c>
      <c r="U34" s="17">
        <f t="shared" si="4"/>
        <v>12.522974574179473</v>
      </c>
    </row>
    <row r="35" spans="3:22" x14ac:dyDescent="0.25">
      <c r="C35" s="806"/>
      <c r="D35" s="17" t="s">
        <v>366</v>
      </c>
      <c r="E35" s="111">
        <v>54</v>
      </c>
      <c r="F35" s="17"/>
      <c r="G35" s="111">
        <v>54</v>
      </c>
      <c r="H35" s="17">
        <f t="shared" si="8"/>
        <v>15.902999999999999</v>
      </c>
      <c r="I35" s="66">
        <f>'F11-Year(n+5)'!E36</f>
        <v>1.461651866840906</v>
      </c>
      <c r="J35" s="66">
        <f>'F11-Year(n+5)'!F36</f>
        <v>1.5662599286262706</v>
      </c>
      <c r="K35" s="66">
        <f>'F11-Year(n+5)'!G36</f>
        <v>1.6227211310511969</v>
      </c>
      <c r="L35" s="66">
        <f>'F11-Year(n+5)'!H36</f>
        <v>3.5476349997745018</v>
      </c>
      <c r="M35" s="66">
        <f>'F11-Year(n+5)'!I36</f>
        <v>8.3291993548970886</v>
      </c>
      <c r="N35" s="66">
        <f>'F11-Year(n+5)'!J36</f>
        <v>4.2067984658788902</v>
      </c>
      <c r="O35" s="66">
        <f>'F11-Year(n+5)'!K36</f>
        <v>4.6369560348017043</v>
      </c>
      <c r="P35" s="66">
        <f>'F11-Year(n+5)'!L36</f>
        <v>1.5903800755095134</v>
      </c>
      <c r="Q35" s="66">
        <f>'F11-Year(n+5)'!M36</f>
        <v>2.7283049557450978</v>
      </c>
      <c r="R35" s="66">
        <f>'F11-Year(n+5)'!N36</f>
        <v>5.2059811675739116</v>
      </c>
      <c r="S35" s="66">
        <f>'F11-Year(n+5)'!O36</f>
        <v>4.6755530917630672</v>
      </c>
      <c r="T35" s="66">
        <f>'F11-Year(n+5)'!P36</f>
        <v>2.171807508136089</v>
      </c>
      <c r="U35" s="17">
        <f t="shared" si="4"/>
        <v>41.743248580598241</v>
      </c>
    </row>
    <row r="36" spans="3:22" x14ac:dyDescent="0.25">
      <c r="C36" s="806"/>
      <c r="D36" s="17" t="s">
        <v>367</v>
      </c>
      <c r="E36" s="66">
        <v>9.16</v>
      </c>
      <c r="F36" s="17"/>
      <c r="G36" s="66">
        <v>9.16</v>
      </c>
      <c r="H36" s="17">
        <f t="shared" si="8"/>
        <v>2.6976199999999997</v>
      </c>
      <c r="I36" s="66">
        <f>'F11-Year(n+5)'!E37</f>
        <v>0.36541296671022649</v>
      </c>
      <c r="J36" s="66">
        <f>'F11-Year(n+5)'!F37</f>
        <v>0.39156498215656765</v>
      </c>
      <c r="K36" s="66">
        <f>'F11-Year(n+5)'!G37</f>
        <v>0.40568028276279922</v>
      </c>
      <c r="L36" s="66">
        <f>'F11-Year(n+5)'!H37</f>
        <v>0.88690874994362545</v>
      </c>
      <c r="M36" s="66">
        <f>'F11-Year(n+5)'!I37</f>
        <v>2.0822998387242722</v>
      </c>
      <c r="N36" s="66">
        <f>'F11-Year(n+5)'!J37</f>
        <v>1.0516996164697225</v>
      </c>
      <c r="O36" s="66">
        <f>'F11-Year(n+5)'!K37</f>
        <v>1.1592390087004261</v>
      </c>
      <c r="P36" s="66">
        <f>'F11-Year(n+5)'!L37</f>
        <v>0.39759501887737836</v>
      </c>
      <c r="Q36" s="66">
        <f>'F11-Year(n+5)'!M37</f>
        <v>0.68207623893627445</v>
      </c>
      <c r="R36" s="66">
        <f>'F11-Year(n+5)'!N37</f>
        <v>1.3014952918934779</v>
      </c>
      <c r="S36" s="66">
        <f>'F11-Year(n+5)'!O37</f>
        <v>1.1688882729407668</v>
      </c>
      <c r="T36" s="66">
        <f>'F11-Year(n+5)'!P37</f>
        <v>0.54295187703402226</v>
      </c>
      <c r="U36" s="17">
        <f t="shared" si="4"/>
        <v>10.43581214514956</v>
      </c>
    </row>
    <row r="37" spans="3:22" x14ac:dyDescent="0.25">
      <c r="C37" s="806"/>
      <c r="D37" s="126" t="s">
        <v>448</v>
      </c>
      <c r="E37" s="17"/>
      <c r="F37" s="17"/>
      <c r="G37" s="17"/>
      <c r="H37" s="17"/>
      <c r="I37" s="66">
        <f>'F11-Year(n+5)'!E38</f>
        <v>0</v>
      </c>
      <c r="J37" s="66">
        <f>'F11-Year(n+5)'!F38</f>
        <v>0</v>
      </c>
      <c r="K37" s="66">
        <f>'F11-Year(n+5)'!G38</f>
        <v>0</v>
      </c>
      <c r="L37" s="66">
        <f>'F11-Year(n+5)'!H38</f>
        <v>0</v>
      </c>
      <c r="M37" s="66">
        <f>'F11-Year(n+5)'!I38</f>
        <v>0</v>
      </c>
      <c r="N37" s="66">
        <f>'F11-Year(n+5)'!J38</f>
        <v>0</v>
      </c>
      <c r="O37" s="66">
        <f>'F11-Year(n+5)'!K38</f>
        <v>0</v>
      </c>
      <c r="P37" s="66">
        <f>'F11-Year(n+5)'!L38</f>
        <v>0</v>
      </c>
      <c r="Q37" s="66">
        <f>'F11-Year(n+5)'!M38</f>
        <v>0</v>
      </c>
      <c r="R37" s="66">
        <f>'F11-Year(n+5)'!N38</f>
        <v>0</v>
      </c>
      <c r="S37" s="66">
        <f>'F11-Year(n+5)'!O38</f>
        <v>0</v>
      </c>
      <c r="T37" s="66">
        <f>'F11-Year(n+5)'!P38</f>
        <v>0</v>
      </c>
      <c r="U37" s="17">
        <f t="shared" si="4"/>
        <v>0</v>
      </c>
    </row>
    <row r="38" spans="3:22" x14ac:dyDescent="0.25">
      <c r="C38" s="806"/>
      <c r="D38" s="126" t="s">
        <v>449</v>
      </c>
      <c r="E38" s="17"/>
      <c r="F38" s="17"/>
      <c r="G38" s="17"/>
      <c r="H38" s="17"/>
      <c r="I38" s="66">
        <f>'F11-Year(n+5)'!E39</f>
        <v>0.43849556005227175</v>
      </c>
      <c r="J38" s="66">
        <f>'F11-Year(n+5)'!F39</f>
        <v>0.46987797858788127</v>
      </c>
      <c r="K38" s="66">
        <f>'F11-Year(n+5)'!G39</f>
        <v>0.48681633931535906</v>
      </c>
      <c r="L38" s="66">
        <f>'F11-Year(n+5)'!H39</f>
        <v>1.0642904999323508</v>
      </c>
      <c r="M38" s="66">
        <f>'F11-Year(n+5)'!I39</f>
        <v>2.4987598064691268</v>
      </c>
      <c r="N38" s="66">
        <f>'F11-Year(n+5)'!J39</f>
        <v>1.2620395397636677</v>
      </c>
      <c r="O38" s="66">
        <f>'F11-Year(n+5)'!K39</f>
        <v>1.3910868104405116</v>
      </c>
      <c r="P38" s="66">
        <f>'F11-Year(n+5)'!L39</f>
        <v>0.47711402265285408</v>
      </c>
      <c r="Q38" s="66">
        <f>'F11-Year(n+5)'!M39</f>
        <v>0.81849148672352934</v>
      </c>
      <c r="R38" s="66">
        <f>'F11-Year(n+5)'!N39</f>
        <v>1.5617943502721738</v>
      </c>
      <c r="S38" s="66">
        <f>'F11-Year(n+5)'!O39</f>
        <v>1.4026659275289206</v>
      </c>
      <c r="T38" s="66">
        <f>'F11-Year(n+5)'!P39</f>
        <v>0.65154225244082675</v>
      </c>
      <c r="U38" s="17">
        <f t="shared" si="4"/>
        <v>12.522974574179473</v>
      </c>
    </row>
    <row r="39" spans="3:22" x14ac:dyDescent="0.25">
      <c r="C39" s="806"/>
      <c r="D39" s="126" t="s">
        <v>450</v>
      </c>
      <c r="E39" s="17"/>
      <c r="F39" s="17"/>
      <c r="G39" s="17"/>
      <c r="H39" s="17"/>
      <c r="I39" s="66">
        <f>'F11-Year(n+5)'!E40</f>
        <v>0.24360864447348429</v>
      </c>
      <c r="J39" s="66">
        <f>'F11-Year(n+5)'!F40</f>
        <v>0.26104332143771181</v>
      </c>
      <c r="K39" s="66">
        <f>'F11-Year(n+5)'!G40</f>
        <v>0.27045352184186622</v>
      </c>
      <c r="L39" s="66">
        <f>'F11-Year(n+5)'!H40</f>
        <v>0.59127249996241704</v>
      </c>
      <c r="M39" s="66">
        <f>'F11-Year(n+5)'!I40</f>
        <v>1.3881998924828483</v>
      </c>
      <c r="N39" s="66">
        <f>'F11-Year(n+5)'!J40</f>
        <v>0.70113307764648169</v>
      </c>
      <c r="O39" s="66">
        <f>'F11-Year(n+5)'!K40</f>
        <v>0.77282600580028427</v>
      </c>
      <c r="P39" s="66">
        <f>'F11-Year(n+5)'!L40</f>
        <v>0.26506334591825231</v>
      </c>
      <c r="Q39" s="66">
        <f>'F11-Year(n+5)'!M40</f>
        <v>0.45471749262418304</v>
      </c>
      <c r="R39" s="66">
        <f>'F11-Year(n+5)'!N40</f>
        <v>0.86766352792898527</v>
      </c>
      <c r="S39" s="66">
        <f>'F11-Year(n+5)'!O40</f>
        <v>0.77925884862717809</v>
      </c>
      <c r="T39" s="66">
        <f>'F11-Year(n+5)'!P40</f>
        <v>0.36196791802268147</v>
      </c>
      <c r="U39" s="17">
        <f t="shared" si="4"/>
        <v>6.9572080967663741</v>
      </c>
    </row>
    <row r="40" spans="3:22" x14ac:dyDescent="0.25">
      <c r="C40" s="806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>
        <f t="shared" si="4"/>
        <v>0</v>
      </c>
    </row>
    <row r="41" spans="3:22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>
        <f t="shared" si="4"/>
        <v>0</v>
      </c>
    </row>
    <row r="42" spans="3:22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>
        <f t="shared" si="4"/>
        <v>0</v>
      </c>
    </row>
    <row r="43" spans="3:22" x14ac:dyDescent="0.25">
      <c r="C43" s="806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>
        <f t="shared" si="4"/>
        <v>0</v>
      </c>
    </row>
    <row r="44" spans="3:22" x14ac:dyDescent="0.25">
      <c r="C44" s="806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>
        <f t="shared" si="4"/>
        <v>0</v>
      </c>
    </row>
    <row r="45" spans="3:22" x14ac:dyDescent="0.25">
      <c r="C45" s="806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>
        <f t="shared" si="4"/>
        <v>0</v>
      </c>
    </row>
    <row r="46" spans="3:22" x14ac:dyDescent="0.25">
      <c r="C46" s="807"/>
      <c r="D46" s="10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>
        <f t="shared" si="4"/>
        <v>0</v>
      </c>
    </row>
    <row r="47" spans="3:22" x14ac:dyDescent="0.25">
      <c r="C47" s="751" t="s">
        <v>212</v>
      </c>
      <c r="D47" s="752"/>
      <c r="E47" s="17">
        <f>SUM(E29:E46)</f>
        <v>2441.7599999999998</v>
      </c>
      <c r="F47" s="17">
        <f t="shared" ref="F47:T47" si="9">SUM(F29:F46)</f>
        <v>0</v>
      </c>
      <c r="G47" s="17">
        <f t="shared" si="9"/>
        <v>2324.7599999999998</v>
      </c>
      <c r="H47" s="17">
        <f t="shared" si="9"/>
        <v>684.64181999999994</v>
      </c>
      <c r="I47" s="17">
        <f t="shared" si="9"/>
        <v>59.211517125725095</v>
      </c>
      <c r="J47" s="17">
        <f t="shared" si="9"/>
        <v>63.449189708650231</v>
      </c>
      <c r="K47" s="17">
        <f t="shared" si="9"/>
        <v>65.736433018883986</v>
      </c>
      <c r="L47" s="17">
        <f t="shared" si="9"/>
        <v>143.7146938408651</v>
      </c>
      <c r="M47" s="17">
        <f t="shared" si="9"/>
        <v>337.41586586688112</v>
      </c>
      <c r="N47" s="17">
        <f t="shared" si="9"/>
        <v>170.41740585275386</v>
      </c>
      <c r="O47" s="17">
        <f t="shared" si="9"/>
        <v>187.84308896981705</v>
      </c>
      <c r="P47" s="17">
        <f t="shared" si="9"/>
        <v>64.426296858890382</v>
      </c>
      <c r="Q47" s="17">
        <f t="shared" si="9"/>
        <v>110.52363375723392</v>
      </c>
      <c r="R47" s="17">
        <f t="shared" si="9"/>
        <v>210.8942970984192</v>
      </c>
      <c r="S47" s="17">
        <f t="shared" si="9"/>
        <v>189.40665574732185</v>
      </c>
      <c r="T47" s="17">
        <f t="shared" si="9"/>
        <v>87.97992215459297</v>
      </c>
      <c r="U47" s="86">
        <f>SUM(I47:T47)</f>
        <v>1691.0190000000346</v>
      </c>
      <c r="V47" s="427">
        <v>1691</v>
      </c>
    </row>
    <row r="48" spans="3:22" x14ac:dyDescent="0.25">
      <c r="C48" s="753" t="s">
        <v>368</v>
      </c>
      <c r="D48" s="754"/>
      <c r="E48" s="17">
        <f>E27+E47</f>
        <v>10484.26</v>
      </c>
      <c r="F48" s="17">
        <f t="shared" ref="F48:T48" si="10">F27+F47</f>
        <v>0</v>
      </c>
      <c r="G48" s="17">
        <f t="shared" si="10"/>
        <v>10367.26</v>
      </c>
      <c r="H48" s="17">
        <f t="shared" si="10"/>
        <v>3053.1580699999995</v>
      </c>
      <c r="I48" s="17">
        <f t="shared" si="10"/>
        <v>1510.9486781257251</v>
      </c>
      <c r="J48" s="17">
        <f t="shared" si="10"/>
        <v>1563.5775894086503</v>
      </c>
      <c r="K48" s="17">
        <f t="shared" si="10"/>
        <v>1517.4735940188839</v>
      </c>
      <c r="L48" s="17">
        <f t="shared" si="10"/>
        <v>1643.8430935408651</v>
      </c>
      <c r="M48" s="17">
        <f t="shared" si="10"/>
        <v>1837.5442655668812</v>
      </c>
      <c r="N48" s="17">
        <f t="shared" si="10"/>
        <v>1622.1545668527538</v>
      </c>
      <c r="O48" s="17">
        <f t="shared" si="10"/>
        <v>1687.9714886698171</v>
      </c>
      <c r="P48" s="17">
        <f t="shared" si="10"/>
        <v>1516.1634578588903</v>
      </c>
      <c r="Q48" s="17">
        <f t="shared" si="10"/>
        <v>1610.652033457234</v>
      </c>
      <c r="R48" s="17">
        <f t="shared" si="10"/>
        <v>1711.0226967984192</v>
      </c>
      <c r="S48" s="17">
        <f t="shared" si="10"/>
        <v>1544.3613393473217</v>
      </c>
      <c r="T48" s="17">
        <f t="shared" si="10"/>
        <v>1588.108321854593</v>
      </c>
      <c r="U48" s="86">
        <f>U27+U47</f>
        <v>19353.821125500031</v>
      </c>
    </row>
    <row r="49" spans="3:21" x14ac:dyDescent="0.25">
      <c r="C49" s="800" t="s">
        <v>369</v>
      </c>
      <c r="D49" s="801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</row>
    <row r="50" spans="3:21" x14ac:dyDescent="0.25">
      <c r="C50" s="753" t="s">
        <v>349</v>
      </c>
      <c r="D50" s="75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</row>
    <row r="51" spans="3:21" x14ac:dyDescent="0.25">
      <c r="C51" s="805" t="s">
        <v>370</v>
      </c>
      <c r="D51" s="17" t="s">
        <v>371</v>
      </c>
      <c r="E51" s="17">
        <v>2100</v>
      </c>
      <c r="F51" s="17"/>
      <c r="G51" s="17">
        <v>352.5</v>
      </c>
      <c r="H51" s="66">
        <f>G51*0.2945</f>
        <v>103.81125</v>
      </c>
      <c r="I51" s="66">
        <f t="shared" ref="I51:I67" si="11">$H51*0.85*30*24/1000</f>
        <v>63.532485000000008</v>
      </c>
      <c r="J51" s="66">
        <f t="shared" ref="J51:J67" si="12">$H51*0.85*31*24/1000</f>
        <v>65.65023450000001</v>
      </c>
      <c r="K51" s="66">
        <f t="shared" ref="K51:K67" si="13">$H51*0.85*30*24/1000</f>
        <v>63.532485000000008</v>
      </c>
      <c r="L51" s="66">
        <f t="shared" ref="L51:M67" si="14">$H51*0.85*31*24/1000</f>
        <v>65.65023450000001</v>
      </c>
      <c r="M51" s="66">
        <f t="shared" si="14"/>
        <v>65.65023450000001</v>
      </c>
      <c r="N51" s="66">
        <f t="shared" ref="N51:N67" si="15">$H51*0.85*30*24/1000</f>
        <v>63.532485000000008</v>
      </c>
      <c r="O51" s="66">
        <f t="shared" ref="O51:O67" si="16">$H51*0.85*31*24/1000</f>
        <v>65.65023450000001</v>
      </c>
      <c r="P51" s="66">
        <f t="shared" ref="P51:P67" si="17">$H51*0.85*30*24/1000</f>
        <v>63.532485000000008</v>
      </c>
      <c r="Q51" s="66">
        <f t="shared" ref="Q51:R67" si="18">$H51*0.85*31*24/1000</f>
        <v>65.65023450000001</v>
      </c>
      <c r="R51" s="66">
        <f t="shared" si="18"/>
        <v>65.65023450000001</v>
      </c>
      <c r="S51" s="66">
        <f t="shared" ref="S51:S67" si="19">$H51*0.85*28*24/1000</f>
        <v>59.296986000000004</v>
      </c>
      <c r="T51" s="66">
        <f t="shared" ref="T51:T67" si="20">$H51*0.85*31*24/1000</f>
        <v>65.65023450000001</v>
      </c>
      <c r="U51" s="17">
        <f t="shared" ref="U51:U76" si="21">+SUM(I51:T51)</f>
        <v>772.97856750000017</v>
      </c>
    </row>
    <row r="52" spans="3:21" x14ac:dyDescent="0.25">
      <c r="C52" s="806"/>
      <c r="D52" s="17" t="s">
        <v>372</v>
      </c>
      <c r="E52" s="17">
        <v>500</v>
      </c>
      <c r="F52" s="17"/>
      <c r="G52" s="17">
        <v>88.5</v>
      </c>
      <c r="H52" s="66">
        <f t="shared" ref="H52:H67" si="22">G52*0.2945</f>
        <v>26.06325</v>
      </c>
      <c r="I52" s="66">
        <f t="shared" si="11"/>
        <v>15.950709000000002</v>
      </c>
      <c r="J52" s="66">
        <f t="shared" si="12"/>
        <v>16.482399300000001</v>
      </c>
      <c r="K52" s="66">
        <f t="shared" si="13"/>
        <v>15.950709000000002</v>
      </c>
      <c r="L52" s="66">
        <f t="shared" si="14"/>
        <v>16.482399300000001</v>
      </c>
      <c r="M52" s="66">
        <f t="shared" si="14"/>
        <v>16.482399300000001</v>
      </c>
      <c r="N52" s="66">
        <f t="shared" si="15"/>
        <v>15.950709000000002</v>
      </c>
      <c r="O52" s="66">
        <f t="shared" si="16"/>
        <v>16.482399300000001</v>
      </c>
      <c r="P52" s="66">
        <f t="shared" si="17"/>
        <v>15.950709000000002</v>
      </c>
      <c r="Q52" s="66">
        <f t="shared" si="18"/>
        <v>16.482399300000001</v>
      </c>
      <c r="R52" s="66">
        <f t="shared" si="18"/>
        <v>16.482399300000001</v>
      </c>
      <c r="S52" s="66">
        <f t="shared" si="19"/>
        <v>14.887328399999998</v>
      </c>
      <c r="T52" s="66">
        <f t="shared" si="20"/>
        <v>16.482399300000001</v>
      </c>
      <c r="U52" s="17">
        <f t="shared" si="21"/>
        <v>194.0669595</v>
      </c>
    </row>
    <row r="53" spans="3:21" x14ac:dyDescent="0.25">
      <c r="C53" s="806"/>
      <c r="D53" s="17" t="s">
        <v>373</v>
      </c>
      <c r="E53" s="17">
        <v>2000</v>
      </c>
      <c r="F53" s="17"/>
      <c r="G53" s="17">
        <v>217.4</v>
      </c>
      <c r="H53" s="66">
        <f t="shared" si="22"/>
        <v>64.024299999999997</v>
      </c>
      <c r="I53" s="66">
        <f t="shared" si="11"/>
        <v>39.182871599999999</v>
      </c>
      <c r="J53" s="66">
        <f t="shared" si="12"/>
        <v>40.488967319999993</v>
      </c>
      <c r="K53" s="66">
        <f t="shared" si="13"/>
        <v>39.182871599999999</v>
      </c>
      <c r="L53" s="66">
        <f t="shared" si="14"/>
        <v>40.488967319999993</v>
      </c>
      <c r="M53" s="66">
        <f t="shared" si="14"/>
        <v>40.488967319999993</v>
      </c>
      <c r="N53" s="66">
        <f t="shared" si="15"/>
        <v>39.182871599999999</v>
      </c>
      <c r="O53" s="66">
        <f t="shared" si="16"/>
        <v>40.488967319999993</v>
      </c>
      <c r="P53" s="66">
        <f t="shared" si="17"/>
        <v>39.182871599999999</v>
      </c>
      <c r="Q53" s="66">
        <f t="shared" si="18"/>
        <v>40.488967319999993</v>
      </c>
      <c r="R53" s="66">
        <f t="shared" si="18"/>
        <v>40.488967319999993</v>
      </c>
      <c r="S53" s="66">
        <f t="shared" si="19"/>
        <v>36.570680159999995</v>
      </c>
      <c r="T53" s="66">
        <f t="shared" si="20"/>
        <v>40.488967319999993</v>
      </c>
      <c r="U53" s="17">
        <f t="shared" si="21"/>
        <v>476.72493779999991</v>
      </c>
    </row>
    <row r="54" spans="3:21" x14ac:dyDescent="0.25">
      <c r="C54" s="806"/>
      <c r="D54" s="17" t="s">
        <v>374</v>
      </c>
      <c r="E54" s="17">
        <v>1000</v>
      </c>
      <c r="F54" s="17"/>
      <c r="G54" s="17">
        <v>538.9</v>
      </c>
      <c r="H54" s="66">
        <f t="shared" si="22"/>
        <v>158.70604999999998</v>
      </c>
      <c r="I54" s="66">
        <f t="shared" si="11"/>
        <v>97.128102600000005</v>
      </c>
      <c r="J54" s="66">
        <f t="shared" si="12"/>
        <v>100.36570602</v>
      </c>
      <c r="K54" s="66">
        <f t="shared" si="13"/>
        <v>97.128102600000005</v>
      </c>
      <c r="L54" s="66">
        <f t="shared" si="14"/>
        <v>100.36570602</v>
      </c>
      <c r="M54" s="66">
        <f t="shared" si="14"/>
        <v>100.36570602</v>
      </c>
      <c r="N54" s="66">
        <f t="shared" si="15"/>
        <v>97.128102600000005</v>
      </c>
      <c r="O54" s="66">
        <f t="shared" si="16"/>
        <v>100.36570602</v>
      </c>
      <c r="P54" s="66">
        <f t="shared" si="17"/>
        <v>97.128102600000005</v>
      </c>
      <c r="Q54" s="66">
        <f t="shared" si="18"/>
        <v>100.36570602</v>
      </c>
      <c r="R54" s="66">
        <f t="shared" si="18"/>
        <v>100.36570602</v>
      </c>
      <c r="S54" s="66">
        <f t="shared" si="19"/>
        <v>90.652895759999979</v>
      </c>
      <c r="T54" s="66">
        <f t="shared" si="20"/>
        <v>100.36570602</v>
      </c>
      <c r="U54" s="17">
        <f t="shared" si="21"/>
        <v>1181.7252483</v>
      </c>
    </row>
    <row r="55" spans="3:21" x14ac:dyDescent="0.25">
      <c r="C55" s="806"/>
      <c r="D55" s="17" t="s">
        <v>375</v>
      </c>
      <c r="E55" s="17">
        <v>1000</v>
      </c>
      <c r="F55" s="17"/>
      <c r="G55" s="17">
        <v>256.7</v>
      </c>
      <c r="H55" s="66">
        <f t="shared" si="22"/>
        <v>75.59814999999999</v>
      </c>
      <c r="I55" s="66">
        <f t="shared" si="11"/>
        <v>46.266067799999995</v>
      </c>
      <c r="J55" s="66">
        <f t="shared" si="12"/>
        <v>47.808270059999998</v>
      </c>
      <c r="K55" s="66">
        <f t="shared" si="13"/>
        <v>46.266067799999995</v>
      </c>
      <c r="L55" s="66">
        <f t="shared" si="14"/>
        <v>47.808270059999998</v>
      </c>
      <c r="M55" s="66">
        <f t="shared" si="14"/>
        <v>47.808270059999998</v>
      </c>
      <c r="N55" s="66">
        <f t="shared" si="15"/>
        <v>46.266067799999995</v>
      </c>
      <c r="O55" s="66">
        <f t="shared" si="16"/>
        <v>47.808270059999998</v>
      </c>
      <c r="P55" s="66">
        <f t="shared" si="17"/>
        <v>46.266067799999995</v>
      </c>
      <c r="Q55" s="66">
        <f t="shared" si="18"/>
        <v>47.808270059999998</v>
      </c>
      <c r="R55" s="66">
        <f t="shared" si="18"/>
        <v>47.808270059999998</v>
      </c>
      <c r="S55" s="66">
        <f t="shared" si="19"/>
        <v>43.181663280000002</v>
      </c>
      <c r="T55" s="66">
        <f t="shared" si="20"/>
        <v>47.808270059999998</v>
      </c>
      <c r="U55" s="17">
        <f t="shared" si="21"/>
        <v>562.9038248999999</v>
      </c>
    </row>
    <row r="56" spans="3:21" x14ac:dyDescent="0.25">
      <c r="C56" s="806"/>
      <c r="D56" s="17" t="s">
        <v>376</v>
      </c>
      <c r="E56" s="17">
        <v>2400</v>
      </c>
      <c r="F56" s="17"/>
      <c r="G56" s="17">
        <v>281.04000000000002</v>
      </c>
      <c r="H56" s="66">
        <f t="shared" si="22"/>
        <v>82.766279999999995</v>
      </c>
      <c r="I56" s="66">
        <f t="shared" si="11"/>
        <v>50.652963360000001</v>
      </c>
      <c r="J56" s="66">
        <f t="shared" si="12"/>
        <v>52.341395472000002</v>
      </c>
      <c r="K56" s="66">
        <f t="shared" si="13"/>
        <v>50.652963360000001</v>
      </c>
      <c r="L56" s="66">
        <f t="shared" si="14"/>
        <v>52.341395472000002</v>
      </c>
      <c r="M56" s="66">
        <f t="shared" si="14"/>
        <v>52.341395472000002</v>
      </c>
      <c r="N56" s="66">
        <f t="shared" si="15"/>
        <v>50.652963360000001</v>
      </c>
      <c r="O56" s="66">
        <f t="shared" si="16"/>
        <v>52.341395472000002</v>
      </c>
      <c r="P56" s="66">
        <f t="shared" si="17"/>
        <v>50.652963360000001</v>
      </c>
      <c r="Q56" s="66">
        <f t="shared" si="18"/>
        <v>52.341395472000002</v>
      </c>
      <c r="R56" s="66">
        <f t="shared" si="18"/>
        <v>52.341395472000002</v>
      </c>
      <c r="S56" s="66">
        <f t="shared" si="19"/>
        <v>47.276099135999999</v>
      </c>
      <c r="T56" s="66">
        <f t="shared" si="20"/>
        <v>52.341395472000002</v>
      </c>
      <c r="U56" s="17">
        <f t="shared" si="21"/>
        <v>616.27772087999995</v>
      </c>
    </row>
    <row r="57" spans="3:21" x14ac:dyDescent="0.25">
      <c r="C57" s="806"/>
      <c r="D57" s="17" t="s">
        <v>377</v>
      </c>
      <c r="E57" s="17">
        <v>85</v>
      </c>
      <c r="F57" s="17"/>
      <c r="G57" s="17">
        <v>45.81</v>
      </c>
      <c r="H57" s="66">
        <f t="shared" si="22"/>
        <v>13.491045</v>
      </c>
      <c r="I57" s="66">
        <f t="shared" si="11"/>
        <v>8.2565195399999993</v>
      </c>
      <c r="J57" s="66">
        <f t="shared" si="12"/>
        <v>8.5317368580000004</v>
      </c>
      <c r="K57" s="66">
        <f t="shared" si="13"/>
        <v>8.2565195399999993</v>
      </c>
      <c r="L57" s="66">
        <f t="shared" si="14"/>
        <v>8.5317368580000004</v>
      </c>
      <c r="M57" s="66">
        <f t="shared" si="14"/>
        <v>8.5317368580000004</v>
      </c>
      <c r="N57" s="66">
        <f t="shared" si="15"/>
        <v>8.2565195399999993</v>
      </c>
      <c r="O57" s="66">
        <f t="shared" si="16"/>
        <v>8.5317368580000004</v>
      </c>
      <c r="P57" s="66">
        <f t="shared" si="17"/>
        <v>8.2565195399999993</v>
      </c>
      <c r="Q57" s="66">
        <f t="shared" si="18"/>
        <v>8.5317368580000004</v>
      </c>
      <c r="R57" s="66">
        <f t="shared" si="18"/>
        <v>8.5317368580000004</v>
      </c>
      <c r="S57" s="66">
        <f t="shared" si="19"/>
        <v>7.706084903999999</v>
      </c>
      <c r="T57" s="66">
        <f t="shared" si="20"/>
        <v>8.5317368580000004</v>
      </c>
      <c r="U57" s="17">
        <f t="shared" si="21"/>
        <v>100.45432107000001</v>
      </c>
    </row>
    <row r="58" spans="3:21" x14ac:dyDescent="0.25">
      <c r="C58" s="806"/>
      <c r="D58" s="17" t="s">
        <v>378</v>
      </c>
      <c r="E58" s="17">
        <v>200</v>
      </c>
      <c r="F58" s="17"/>
      <c r="G58" s="17">
        <v>200</v>
      </c>
      <c r="H58" s="66">
        <f t="shared" si="22"/>
        <v>58.9</v>
      </c>
      <c r="I58" s="66">
        <f t="shared" si="11"/>
        <v>36.046799999999998</v>
      </c>
      <c r="J58" s="66">
        <f t="shared" si="12"/>
        <v>37.248359999999998</v>
      </c>
      <c r="K58" s="66">
        <f t="shared" si="13"/>
        <v>36.046799999999998</v>
      </c>
      <c r="L58" s="66">
        <f t="shared" si="14"/>
        <v>37.248359999999998</v>
      </c>
      <c r="M58" s="66">
        <f t="shared" si="14"/>
        <v>37.248359999999998</v>
      </c>
      <c r="N58" s="66">
        <f t="shared" si="15"/>
        <v>36.046799999999998</v>
      </c>
      <c r="O58" s="66">
        <f t="shared" si="16"/>
        <v>37.248359999999998</v>
      </c>
      <c r="P58" s="66">
        <f t="shared" si="17"/>
        <v>36.046799999999998</v>
      </c>
      <c r="Q58" s="66">
        <f t="shared" si="18"/>
        <v>37.248359999999998</v>
      </c>
      <c r="R58" s="66">
        <f t="shared" si="18"/>
        <v>37.248359999999998</v>
      </c>
      <c r="S58" s="66">
        <f t="shared" si="19"/>
        <v>33.643680000000003</v>
      </c>
      <c r="T58" s="66">
        <f t="shared" si="20"/>
        <v>37.248359999999998</v>
      </c>
      <c r="U58" s="17">
        <f t="shared" si="21"/>
        <v>438.56939999999997</v>
      </c>
    </row>
    <row r="59" spans="3:21" x14ac:dyDescent="0.25">
      <c r="C59" s="807"/>
      <c r="D59" s="17" t="s">
        <v>379</v>
      </c>
      <c r="E59" s="17">
        <v>1600</v>
      </c>
      <c r="F59" s="17"/>
      <c r="G59" s="17">
        <v>1390.78</v>
      </c>
      <c r="H59" s="66">
        <f t="shared" si="22"/>
        <v>409.58470999999997</v>
      </c>
      <c r="I59" s="66">
        <f t="shared" si="11"/>
        <v>250.66584251999998</v>
      </c>
      <c r="J59" s="66">
        <f t="shared" si="12"/>
        <v>259.02137060399997</v>
      </c>
      <c r="K59" s="66">
        <f t="shared" si="13"/>
        <v>250.66584251999998</v>
      </c>
      <c r="L59" s="66">
        <f t="shared" si="14"/>
        <v>259.02137060399997</v>
      </c>
      <c r="M59" s="66">
        <f t="shared" si="14"/>
        <v>259.02137060399997</v>
      </c>
      <c r="N59" s="66">
        <f t="shared" si="15"/>
        <v>250.66584251999998</v>
      </c>
      <c r="O59" s="66">
        <f t="shared" si="16"/>
        <v>259.02137060399997</v>
      </c>
      <c r="P59" s="66">
        <f t="shared" si="17"/>
        <v>250.66584251999998</v>
      </c>
      <c r="Q59" s="66">
        <f t="shared" si="18"/>
        <v>259.02137060399997</v>
      </c>
      <c r="R59" s="66">
        <f t="shared" si="18"/>
        <v>259.02137060399997</v>
      </c>
      <c r="S59" s="66">
        <f t="shared" si="19"/>
        <v>233.95478635199996</v>
      </c>
      <c r="T59" s="66">
        <f t="shared" si="20"/>
        <v>259.02137060399997</v>
      </c>
      <c r="U59" s="17">
        <f t="shared" si="21"/>
        <v>3049.7677506599998</v>
      </c>
    </row>
    <row r="60" spans="3:21" x14ac:dyDescent="0.25">
      <c r="C60" s="17"/>
      <c r="D60" s="17" t="s">
        <v>380</v>
      </c>
      <c r="E60" s="17"/>
      <c r="F60" s="17"/>
      <c r="G60" s="17"/>
      <c r="H60" s="66">
        <f t="shared" si="22"/>
        <v>0</v>
      </c>
      <c r="I60" s="66">
        <f t="shared" si="11"/>
        <v>0</v>
      </c>
      <c r="J60" s="66">
        <f t="shared" si="12"/>
        <v>0</v>
      </c>
      <c r="K60" s="66">
        <f t="shared" si="13"/>
        <v>0</v>
      </c>
      <c r="L60" s="66">
        <f t="shared" si="14"/>
        <v>0</v>
      </c>
      <c r="M60" s="66">
        <f t="shared" si="14"/>
        <v>0</v>
      </c>
      <c r="N60" s="66">
        <f t="shared" si="15"/>
        <v>0</v>
      </c>
      <c r="O60" s="66">
        <f t="shared" si="16"/>
        <v>0</v>
      </c>
      <c r="P60" s="66">
        <f t="shared" si="17"/>
        <v>0</v>
      </c>
      <c r="Q60" s="66">
        <f t="shared" si="18"/>
        <v>0</v>
      </c>
      <c r="R60" s="66">
        <f t="shared" si="18"/>
        <v>0</v>
      </c>
      <c r="S60" s="66">
        <f t="shared" si="19"/>
        <v>0</v>
      </c>
      <c r="T60" s="66">
        <f t="shared" si="20"/>
        <v>0</v>
      </c>
      <c r="U60" s="17">
        <f t="shared" si="21"/>
        <v>0</v>
      </c>
    </row>
    <row r="61" spans="3:21" x14ac:dyDescent="0.25">
      <c r="C61" s="17"/>
      <c r="D61" s="17" t="s">
        <v>381</v>
      </c>
      <c r="E61" s="17">
        <v>630</v>
      </c>
      <c r="F61" s="17"/>
      <c r="G61" s="66">
        <v>5.23</v>
      </c>
      <c r="H61" s="66">
        <f t="shared" si="22"/>
        <v>1.540235</v>
      </c>
      <c r="I61" s="66">
        <f t="shared" si="11"/>
        <v>0.94262381999999978</v>
      </c>
      <c r="J61" s="66">
        <f t="shared" si="12"/>
        <v>0.97404461399999986</v>
      </c>
      <c r="K61" s="66">
        <f t="shared" si="13"/>
        <v>0.94262381999999978</v>
      </c>
      <c r="L61" s="66">
        <f t="shared" si="14"/>
        <v>0.97404461399999986</v>
      </c>
      <c r="M61" s="66">
        <f t="shared" si="14"/>
        <v>0.97404461399999986</v>
      </c>
      <c r="N61" s="66">
        <f t="shared" si="15"/>
        <v>0.94262381999999978</v>
      </c>
      <c r="O61" s="66">
        <f t="shared" si="16"/>
        <v>0.97404461399999986</v>
      </c>
      <c r="P61" s="66">
        <f t="shared" si="17"/>
        <v>0.94262381999999978</v>
      </c>
      <c r="Q61" s="66">
        <f t="shared" si="18"/>
        <v>0.97404461399999986</v>
      </c>
      <c r="R61" s="66">
        <f t="shared" si="18"/>
        <v>0.97404461399999986</v>
      </c>
      <c r="S61" s="66">
        <f t="shared" si="19"/>
        <v>0.87978223200000005</v>
      </c>
      <c r="T61" s="66">
        <f t="shared" si="20"/>
        <v>0.97404461399999986</v>
      </c>
      <c r="U61" s="17">
        <f t="shared" si="21"/>
        <v>11.468589809999999</v>
      </c>
    </row>
    <row r="62" spans="3:21" x14ac:dyDescent="0.25">
      <c r="C62" s="17"/>
      <c r="D62" s="17" t="s">
        <v>382</v>
      </c>
      <c r="E62" s="17">
        <v>840</v>
      </c>
      <c r="F62" s="17"/>
      <c r="G62" s="66">
        <v>6.89</v>
      </c>
      <c r="H62" s="66">
        <f t="shared" si="22"/>
        <v>2.0291049999999999</v>
      </c>
      <c r="I62" s="66">
        <f t="shared" si="11"/>
        <v>1.2418122599999999</v>
      </c>
      <c r="J62" s="66">
        <f t="shared" si="12"/>
        <v>1.2832060019999998</v>
      </c>
      <c r="K62" s="66">
        <f t="shared" si="13"/>
        <v>1.2418122599999999</v>
      </c>
      <c r="L62" s="66">
        <f t="shared" si="14"/>
        <v>1.2832060019999998</v>
      </c>
      <c r="M62" s="66">
        <f t="shared" si="14"/>
        <v>1.2832060019999998</v>
      </c>
      <c r="N62" s="66">
        <f t="shared" si="15"/>
        <v>1.2418122599999999</v>
      </c>
      <c r="O62" s="66">
        <f t="shared" si="16"/>
        <v>1.2832060019999998</v>
      </c>
      <c r="P62" s="66">
        <f t="shared" si="17"/>
        <v>1.2418122599999999</v>
      </c>
      <c r="Q62" s="66">
        <f t="shared" si="18"/>
        <v>1.2832060019999998</v>
      </c>
      <c r="R62" s="66">
        <f t="shared" si="18"/>
        <v>1.2832060019999998</v>
      </c>
      <c r="S62" s="66">
        <f t="shared" si="19"/>
        <v>1.1590247759999999</v>
      </c>
      <c r="T62" s="66">
        <f t="shared" si="20"/>
        <v>1.2832060019999998</v>
      </c>
      <c r="U62" s="17">
        <f t="shared" si="21"/>
        <v>15.108715829999998</v>
      </c>
    </row>
    <row r="63" spans="3:21" x14ac:dyDescent="0.25">
      <c r="C63" s="17"/>
      <c r="D63" s="17" t="s">
        <v>383</v>
      </c>
      <c r="E63" s="17">
        <v>1000</v>
      </c>
      <c r="F63" s="17"/>
      <c r="G63" s="66">
        <v>66.25</v>
      </c>
      <c r="H63" s="66">
        <f t="shared" si="22"/>
        <v>19.510624999999997</v>
      </c>
      <c r="I63" s="66">
        <f t="shared" si="11"/>
        <v>11.940502499999999</v>
      </c>
      <c r="J63" s="66">
        <f t="shared" si="12"/>
        <v>12.338519250000001</v>
      </c>
      <c r="K63" s="66">
        <f t="shared" si="13"/>
        <v>11.940502499999999</v>
      </c>
      <c r="L63" s="66">
        <f t="shared" si="14"/>
        <v>12.338519250000001</v>
      </c>
      <c r="M63" s="66">
        <f t="shared" si="14"/>
        <v>12.338519250000001</v>
      </c>
      <c r="N63" s="66">
        <f t="shared" si="15"/>
        <v>11.940502499999999</v>
      </c>
      <c r="O63" s="66">
        <f t="shared" si="16"/>
        <v>12.338519250000001</v>
      </c>
      <c r="P63" s="66">
        <f t="shared" si="17"/>
        <v>11.940502499999999</v>
      </c>
      <c r="Q63" s="66">
        <f t="shared" si="18"/>
        <v>12.338519250000001</v>
      </c>
      <c r="R63" s="66">
        <f t="shared" si="18"/>
        <v>12.338519250000001</v>
      </c>
      <c r="S63" s="66">
        <f t="shared" si="19"/>
        <v>11.144468999999999</v>
      </c>
      <c r="T63" s="66">
        <f t="shared" si="20"/>
        <v>12.338519250000001</v>
      </c>
      <c r="U63" s="17">
        <f t="shared" si="21"/>
        <v>145.27611374999998</v>
      </c>
    </row>
    <row r="64" spans="3:21" x14ac:dyDescent="0.25">
      <c r="C64" s="17"/>
      <c r="D64" s="17" t="s">
        <v>384</v>
      </c>
      <c r="E64" s="17">
        <v>0</v>
      </c>
      <c r="F64" s="17"/>
      <c r="G64" s="66"/>
      <c r="H64" s="66">
        <f t="shared" si="22"/>
        <v>0</v>
      </c>
      <c r="I64" s="66">
        <f t="shared" si="11"/>
        <v>0</v>
      </c>
      <c r="J64" s="66">
        <f t="shared" si="12"/>
        <v>0</v>
      </c>
      <c r="K64" s="66">
        <f t="shared" si="13"/>
        <v>0</v>
      </c>
      <c r="L64" s="66">
        <f t="shared" si="14"/>
        <v>0</v>
      </c>
      <c r="M64" s="66">
        <f t="shared" si="14"/>
        <v>0</v>
      </c>
      <c r="N64" s="66">
        <f t="shared" si="15"/>
        <v>0</v>
      </c>
      <c r="O64" s="66">
        <f t="shared" si="16"/>
        <v>0</v>
      </c>
      <c r="P64" s="66">
        <f t="shared" si="17"/>
        <v>0</v>
      </c>
      <c r="Q64" s="66">
        <f t="shared" si="18"/>
        <v>0</v>
      </c>
      <c r="R64" s="66">
        <f t="shared" si="18"/>
        <v>0</v>
      </c>
      <c r="S64" s="66">
        <f t="shared" si="19"/>
        <v>0</v>
      </c>
      <c r="T64" s="66">
        <f t="shared" si="20"/>
        <v>0</v>
      </c>
      <c r="U64" s="17">
        <f t="shared" si="21"/>
        <v>0</v>
      </c>
    </row>
    <row r="65" spans="3:21" x14ac:dyDescent="0.25">
      <c r="C65" s="17"/>
      <c r="D65" s="17" t="s">
        <v>379</v>
      </c>
      <c r="E65" s="17">
        <v>920</v>
      </c>
      <c r="F65" s="17"/>
      <c r="G65" s="66">
        <v>0</v>
      </c>
      <c r="H65" s="66">
        <f t="shared" si="22"/>
        <v>0</v>
      </c>
      <c r="I65" s="66">
        <f t="shared" si="11"/>
        <v>0</v>
      </c>
      <c r="J65" s="66">
        <f t="shared" si="12"/>
        <v>0</v>
      </c>
      <c r="K65" s="66">
        <f t="shared" si="13"/>
        <v>0</v>
      </c>
      <c r="L65" s="66">
        <f t="shared" si="14"/>
        <v>0</v>
      </c>
      <c r="M65" s="66">
        <f t="shared" si="14"/>
        <v>0</v>
      </c>
      <c r="N65" s="66">
        <f t="shared" si="15"/>
        <v>0</v>
      </c>
      <c r="O65" s="66">
        <f t="shared" si="16"/>
        <v>0</v>
      </c>
      <c r="P65" s="66">
        <f t="shared" si="17"/>
        <v>0</v>
      </c>
      <c r="Q65" s="66">
        <f t="shared" si="18"/>
        <v>0</v>
      </c>
      <c r="R65" s="66">
        <f t="shared" si="18"/>
        <v>0</v>
      </c>
      <c r="S65" s="66">
        <f t="shared" si="19"/>
        <v>0</v>
      </c>
      <c r="T65" s="66">
        <f t="shared" si="20"/>
        <v>0</v>
      </c>
      <c r="U65" s="17">
        <f t="shared" si="21"/>
        <v>0</v>
      </c>
    </row>
    <row r="66" spans="3:21" x14ac:dyDescent="0.25">
      <c r="C66" s="17"/>
      <c r="D66" s="17" t="s">
        <v>385</v>
      </c>
      <c r="E66" s="17">
        <v>1500</v>
      </c>
      <c r="F66" s="17"/>
      <c r="G66" s="66">
        <v>106.41</v>
      </c>
      <c r="H66" s="66">
        <f t="shared" si="22"/>
        <v>31.337744999999998</v>
      </c>
      <c r="I66" s="66">
        <f t="shared" si="11"/>
        <v>19.178699939999998</v>
      </c>
      <c r="J66" s="66">
        <f t="shared" si="12"/>
        <v>19.817989937999997</v>
      </c>
      <c r="K66" s="66">
        <f t="shared" si="13"/>
        <v>19.178699939999998</v>
      </c>
      <c r="L66" s="66">
        <f t="shared" si="14"/>
        <v>19.817989937999997</v>
      </c>
      <c r="M66" s="66">
        <f t="shared" si="14"/>
        <v>19.817989937999997</v>
      </c>
      <c r="N66" s="66">
        <f t="shared" si="15"/>
        <v>19.178699939999998</v>
      </c>
      <c r="O66" s="66">
        <f t="shared" si="16"/>
        <v>19.817989937999997</v>
      </c>
      <c r="P66" s="66">
        <f t="shared" si="17"/>
        <v>19.178699939999998</v>
      </c>
      <c r="Q66" s="66">
        <f t="shared" si="18"/>
        <v>19.817989937999997</v>
      </c>
      <c r="R66" s="66">
        <f t="shared" si="18"/>
        <v>19.817989937999997</v>
      </c>
      <c r="S66" s="66">
        <f t="shared" si="19"/>
        <v>17.900119943999997</v>
      </c>
      <c r="T66" s="66">
        <f t="shared" si="20"/>
        <v>19.817989937999997</v>
      </c>
      <c r="U66" s="17">
        <f t="shared" si="21"/>
        <v>233.34084926999992</v>
      </c>
    </row>
    <row r="67" spans="3:21" x14ac:dyDescent="0.25">
      <c r="C67" s="17"/>
      <c r="D67" s="17" t="s">
        <v>386</v>
      </c>
      <c r="E67" s="17">
        <v>1000</v>
      </c>
      <c r="F67" s="17"/>
      <c r="G67" s="66">
        <v>147.91</v>
      </c>
      <c r="H67" s="66">
        <f t="shared" si="22"/>
        <v>43.559494999999998</v>
      </c>
      <c r="I67" s="66">
        <f t="shared" si="11"/>
        <v>26.65841094</v>
      </c>
      <c r="J67" s="66">
        <f t="shared" si="12"/>
        <v>27.547024638</v>
      </c>
      <c r="K67" s="66">
        <f t="shared" si="13"/>
        <v>26.65841094</v>
      </c>
      <c r="L67" s="66">
        <f t="shared" si="14"/>
        <v>27.547024638</v>
      </c>
      <c r="M67" s="66">
        <f t="shared" si="14"/>
        <v>27.547024638</v>
      </c>
      <c r="N67" s="66">
        <f t="shared" si="15"/>
        <v>26.65841094</v>
      </c>
      <c r="O67" s="66">
        <f t="shared" si="16"/>
        <v>27.547024638</v>
      </c>
      <c r="P67" s="66">
        <f t="shared" si="17"/>
        <v>26.65841094</v>
      </c>
      <c r="Q67" s="66">
        <f t="shared" si="18"/>
        <v>27.547024638</v>
      </c>
      <c r="R67" s="66">
        <f t="shared" si="18"/>
        <v>27.547024638</v>
      </c>
      <c r="S67" s="66">
        <f t="shared" si="19"/>
        <v>24.881183543999999</v>
      </c>
      <c r="T67" s="66">
        <f t="shared" si="20"/>
        <v>27.547024638</v>
      </c>
      <c r="U67" s="17">
        <f t="shared" si="21"/>
        <v>324.34399977000004</v>
      </c>
    </row>
    <row r="68" spans="3:21" x14ac:dyDescent="0.25">
      <c r="C68" s="17"/>
      <c r="D68" s="113" t="s">
        <v>439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>
        <f t="shared" si="21"/>
        <v>0</v>
      </c>
    </row>
    <row r="69" spans="3:21" x14ac:dyDescent="0.25">
      <c r="C69" s="17"/>
      <c r="D69" s="113" t="s">
        <v>440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>
        <f t="shared" si="21"/>
        <v>0</v>
      </c>
    </row>
    <row r="70" spans="3:21" x14ac:dyDescent="0.25">
      <c r="C70" s="17"/>
      <c r="D70" s="114" t="s">
        <v>441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>
        <f t="shared" si="21"/>
        <v>0</v>
      </c>
    </row>
    <row r="71" spans="3:21" x14ac:dyDescent="0.25">
      <c r="C71" s="17"/>
      <c r="D71" s="114" t="s">
        <v>442</v>
      </c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>
        <f t="shared" si="21"/>
        <v>0</v>
      </c>
    </row>
    <row r="72" spans="3:21" x14ac:dyDescent="0.25">
      <c r="C72" s="17"/>
      <c r="D72" s="113" t="s">
        <v>443</v>
      </c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>
        <f t="shared" si="21"/>
        <v>0</v>
      </c>
    </row>
    <row r="73" spans="3:21" x14ac:dyDescent="0.25">
      <c r="C73" s="17"/>
      <c r="D73" s="113" t="s">
        <v>444</v>
      </c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>
        <f t="shared" si="21"/>
        <v>0</v>
      </c>
    </row>
    <row r="74" spans="3:21" x14ac:dyDescent="0.25"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>
        <f t="shared" si="21"/>
        <v>0</v>
      </c>
    </row>
    <row r="75" spans="3:21" x14ac:dyDescent="0.25"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>
        <f t="shared" si="21"/>
        <v>0</v>
      </c>
    </row>
    <row r="76" spans="3:21" x14ac:dyDescent="0.25"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>
        <f t="shared" si="21"/>
        <v>0</v>
      </c>
    </row>
    <row r="77" spans="3:21" x14ac:dyDescent="0.25">
      <c r="C77" s="751" t="s">
        <v>212</v>
      </c>
      <c r="D77" s="752"/>
      <c r="E77" s="17">
        <f>SUM(E51:E76)</f>
        <v>16775</v>
      </c>
      <c r="F77" s="17">
        <f t="shared" ref="F77:T77" si="23">SUM(F51:F76)</f>
        <v>0</v>
      </c>
      <c r="G77" s="17">
        <f t="shared" si="23"/>
        <v>3704.3199999999997</v>
      </c>
      <c r="H77" s="17">
        <f t="shared" si="23"/>
        <v>1090.9222399999999</v>
      </c>
      <c r="I77" s="17">
        <f t="shared" si="23"/>
        <v>667.6444108799999</v>
      </c>
      <c r="J77" s="17">
        <f t="shared" si="23"/>
        <v>689.89922457600005</v>
      </c>
      <c r="K77" s="17">
        <f t="shared" si="23"/>
        <v>667.6444108799999</v>
      </c>
      <c r="L77" s="17">
        <f t="shared" si="23"/>
        <v>689.89922457600005</v>
      </c>
      <c r="M77" s="17">
        <f t="shared" si="23"/>
        <v>689.89922457600005</v>
      </c>
      <c r="N77" s="17">
        <f t="shared" si="23"/>
        <v>667.6444108799999</v>
      </c>
      <c r="O77" s="17">
        <f t="shared" si="23"/>
        <v>689.89922457600005</v>
      </c>
      <c r="P77" s="17">
        <f t="shared" si="23"/>
        <v>667.6444108799999</v>
      </c>
      <c r="Q77" s="17">
        <f t="shared" si="23"/>
        <v>689.89922457600005</v>
      </c>
      <c r="R77" s="17">
        <f t="shared" si="23"/>
        <v>689.89922457600005</v>
      </c>
      <c r="S77" s="17">
        <f t="shared" si="23"/>
        <v>623.13478348800004</v>
      </c>
      <c r="T77" s="17">
        <f t="shared" si="23"/>
        <v>689.89922457600005</v>
      </c>
      <c r="U77" s="86">
        <f>SUM(I77:T77)</f>
        <v>8123.0069990399998</v>
      </c>
    </row>
    <row r="78" spans="3:21" x14ac:dyDescent="0.25">
      <c r="C78" s="753" t="s">
        <v>387</v>
      </c>
      <c r="D78" s="754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</row>
    <row r="79" spans="3:21" x14ac:dyDescent="0.25">
      <c r="C79" s="805" t="s">
        <v>388</v>
      </c>
      <c r="D79" s="17" t="s">
        <v>389</v>
      </c>
      <c r="E79" s="17">
        <f>[43]Gen!DB68</f>
        <v>440</v>
      </c>
      <c r="F79" s="17"/>
      <c r="G79" s="17">
        <f>[43]Gen!DD68</f>
        <v>22.044</v>
      </c>
      <c r="H79" s="66">
        <f>G79*0.2945</f>
        <v>6.4919579999999995</v>
      </c>
      <c r="I79" s="66">
        <f t="shared" ref="I79:T83" si="24">$H79*I$6*24/1000</f>
        <v>4.6742097600000001</v>
      </c>
      <c r="J79" s="66">
        <f t="shared" si="24"/>
        <v>4.8300167519999997</v>
      </c>
      <c r="K79" s="66">
        <f t="shared" si="24"/>
        <v>4.6742097600000001</v>
      </c>
      <c r="L79" s="66">
        <f t="shared" si="24"/>
        <v>4.8300167519999997</v>
      </c>
      <c r="M79" s="66">
        <f t="shared" si="24"/>
        <v>4.8300167519999997</v>
      </c>
      <c r="N79" s="66">
        <f t="shared" si="24"/>
        <v>4.6742097600000001</v>
      </c>
      <c r="O79" s="66">
        <f t="shared" si="24"/>
        <v>4.8300167519999997</v>
      </c>
      <c r="P79" s="66">
        <f t="shared" si="24"/>
        <v>4.6742097600000001</v>
      </c>
      <c r="Q79" s="66">
        <f t="shared" si="24"/>
        <v>4.8300167519999997</v>
      </c>
      <c r="R79" s="66">
        <f t="shared" si="24"/>
        <v>4.8300167519999997</v>
      </c>
      <c r="S79" s="66">
        <f t="shared" si="24"/>
        <v>4.362595776</v>
      </c>
      <c r="T79" s="66">
        <f t="shared" si="24"/>
        <v>4.8300167519999997</v>
      </c>
      <c r="U79" s="17">
        <f t="shared" ref="U79:U92" si="25">+SUM(I79:T79)</f>
        <v>56.869552079999991</v>
      </c>
    </row>
    <row r="80" spans="3:21" x14ac:dyDescent="0.25">
      <c r="C80" s="806"/>
      <c r="D80" s="17" t="s">
        <v>390</v>
      </c>
      <c r="E80" s="17">
        <f>[43]Gen!DB69</f>
        <v>440</v>
      </c>
      <c r="F80" s="17"/>
      <c r="G80" s="17">
        <f>[43]Gen!DD69</f>
        <v>67.716000000000008</v>
      </c>
      <c r="H80" s="66">
        <f t="shared" ref="H80:H83" si="26">G80*0.2945</f>
        <v>19.942362000000003</v>
      </c>
      <c r="I80" s="66">
        <f t="shared" si="24"/>
        <v>14.358500640000003</v>
      </c>
      <c r="J80" s="66">
        <f t="shared" si="24"/>
        <v>14.837117328000001</v>
      </c>
      <c r="K80" s="66">
        <f t="shared" si="24"/>
        <v>14.358500640000003</v>
      </c>
      <c r="L80" s="66">
        <f t="shared" si="24"/>
        <v>14.837117328000001</v>
      </c>
      <c r="M80" s="66">
        <f t="shared" si="24"/>
        <v>14.837117328000001</v>
      </c>
      <c r="N80" s="66">
        <f t="shared" si="24"/>
        <v>14.358500640000003</v>
      </c>
      <c r="O80" s="66">
        <f t="shared" si="24"/>
        <v>14.837117328000001</v>
      </c>
      <c r="P80" s="66">
        <f t="shared" si="24"/>
        <v>14.358500640000003</v>
      </c>
      <c r="Q80" s="66">
        <f t="shared" si="24"/>
        <v>14.837117328000001</v>
      </c>
      <c r="R80" s="66">
        <f t="shared" si="24"/>
        <v>14.837117328000001</v>
      </c>
      <c r="S80" s="66">
        <f t="shared" si="24"/>
        <v>13.401267264000001</v>
      </c>
      <c r="T80" s="66">
        <f t="shared" si="24"/>
        <v>14.837117328000001</v>
      </c>
      <c r="U80" s="17">
        <f t="shared" si="25"/>
        <v>174.69509112000006</v>
      </c>
    </row>
    <row r="81" spans="3:22" x14ac:dyDescent="0.25">
      <c r="C81" s="806"/>
      <c r="D81" s="17" t="s">
        <v>391</v>
      </c>
      <c r="E81" s="17">
        <f>[43]Gen!DB70</f>
        <v>440</v>
      </c>
      <c r="F81" s="17"/>
      <c r="G81" s="17">
        <f>[43]Gen!DD70</f>
        <v>72.028000000000006</v>
      </c>
      <c r="H81" s="66">
        <f t="shared" si="26"/>
        <v>21.212246</v>
      </c>
      <c r="I81" s="66">
        <f t="shared" si="24"/>
        <v>15.272817119999999</v>
      </c>
      <c r="J81" s="66">
        <f t="shared" si="24"/>
        <v>15.781911023999999</v>
      </c>
      <c r="K81" s="66">
        <f t="shared" si="24"/>
        <v>15.272817119999999</v>
      </c>
      <c r="L81" s="66">
        <f t="shared" si="24"/>
        <v>15.781911023999999</v>
      </c>
      <c r="M81" s="66">
        <f t="shared" si="24"/>
        <v>15.781911023999999</v>
      </c>
      <c r="N81" s="66">
        <f t="shared" si="24"/>
        <v>15.272817119999999</v>
      </c>
      <c r="O81" s="66">
        <f t="shared" si="24"/>
        <v>15.781911023999999</v>
      </c>
      <c r="P81" s="66">
        <f t="shared" si="24"/>
        <v>15.272817119999999</v>
      </c>
      <c r="Q81" s="66">
        <f t="shared" si="24"/>
        <v>15.781911023999999</v>
      </c>
      <c r="R81" s="66">
        <f t="shared" si="24"/>
        <v>15.781911023999999</v>
      </c>
      <c r="S81" s="66">
        <f t="shared" si="24"/>
        <v>14.254629312</v>
      </c>
      <c r="T81" s="66">
        <f t="shared" si="24"/>
        <v>15.781911023999999</v>
      </c>
      <c r="U81" s="17">
        <f t="shared" si="25"/>
        <v>185.81927496</v>
      </c>
    </row>
    <row r="82" spans="3:22" x14ac:dyDescent="0.25">
      <c r="C82" s="807"/>
      <c r="D82" s="17" t="s">
        <v>392</v>
      </c>
      <c r="E82" s="17">
        <f>[43]Gen!$DB$72</f>
        <v>1000</v>
      </c>
      <c r="F82" s="17"/>
      <c r="G82" s="17">
        <f>[43]Gen!$DD$72</f>
        <v>50</v>
      </c>
      <c r="H82" s="66">
        <f t="shared" si="26"/>
        <v>14.725</v>
      </c>
      <c r="I82" s="66">
        <f t="shared" si="24"/>
        <v>10.602</v>
      </c>
      <c r="J82" s="66">
        <f t="shared" si="24"/>
        <v>10.955399999999999</v>
      </c>
      <c r="K82" s="66">
        <f t="shared" si="24"/>
        <v>10.602</v>
      </c>
      <c r="L82" s="66">
        <f t="shared" si="24"/>
        <v>10.955399999999999</v>
      </c>
      <c r="M82" s="66">
        <f t="shared" si="24"/>
        <v>10.955399999999999</v>
      </c>
      <c r="N82" s="66">
        <f t="shared" si="24"/>
        <v>10.602</v>
      </c>
      <c r="O82" s="66">
        <f t="shared" si="24"/>
        <v>10.955399999999999</v>
      </c>
      <c r="P82" s="66">
        <f t="shared" si="24"/>
        <v>10.602</v>
      </c>
      <c r="Q82" s="66">
        <f t="shared" si="24"/>
        <v>10.955399999999999</v>
      </c>
      <c r="R82" s="66">
        <f t="shared" si="24"/>
        <v>10.955399999999999</v>
      </c>
      <c r="S82" s="66">
        <f t="shared" si="24"/>
        <v>9.8952000000000009</v>
      </c>
      <c r="T82" s="66">
        <f t="shared" si="24"/>
        <v>10.955399999999999</v>
      </c>
      <c r="U82" s="17">
        <f t="shared" si="25"/>
        <v>128.99100000000001</v>
      </c>
    </row>
    <row r="83" spans="3:22" x14ac:dyDescent="0.25">
      <c r="C83" s="17"/>
      <c r="D83" s="17" t="s">
        <v>452</v>
      </c>
      <c r="E83" s="17"/>
      <c r="F83" s="17"/>
      <c r="G83" s="66">
        <v>4.5306123769857845</v>
      </c>
      <c r="H83" s="66">
        <f t="shared" si="26"/>
        <v>1.3342653450223134</v>
      </c>
      <c r="I83" s="66">
        <f t="shared" si="24"/>
        <v>0.96067104841606565</v>
      </c>
      <c r="J83" s="66">
        <f t="shared" si="24"/>
        <v>0.99269341669660116</v>
      </c>
      <c r="K83" s="66">
        <f t="shared" si="24"/>
        <v>0.96067104841606565</v>
      </c>
      <c r="L83" s="66">
        <f t="shared" si="24"/>
        <v>0.99269341669660116</v>
      </c>
      <c r="M83" s="66">
        <f t="shared" si="24"/>
        <v>0.99269341669660116</v>
      </c>
      <c r="N83" s="66">
        <f t="shared" si="24"/>
        <v>0.96067104841606565</v>
      </c>
      <c r="O83" s="66">
        <f t="shared" si="24"/>
        <v>0.99269341669660116</v>
      </c>
      <c r="P83" s="66">
        <f t="shared" si="24"/>
        <v>0.96067104841606565</v>
      </c>
      <c r="Q83" s="66">
        <f t="shared" si="24"/>
        <v>0.99269341669660116</v>
      </c>
      <c r="R83" s="66">
        <f t="shared" si="24"/>
        <v>0.99269341669660116</v>
      </c>
      <c r="S83" s="66">
        <f t="shared" si="24"/>
        <v>0.89662631185499453</v>
      </c>
      <c r="T83" s="66">
        <f t="shared" si="24"/>
        <v>0.99269341669660116</v>
      </c>
      <c r="U83" s="17">
        <f t="shared" si="25"/>
        <v>11.688164422395467</v>
      </c>
    </row>
    <row r="84" spans="3:22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>
        <f t="shared" si="25"/>
        <v>0</v>
      </c>
    </row>
    <row r="85" spans="3:22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>
        <f t="shared" si="25"/>
        <v>0</v>
      </c>
    </row>
    <row r="86" spans="3:22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>
        <f t="shared" si="25"/>
        <v>0</v>
      </c>
    </row>
    <row r="87" spans="3:22" x14ac:dyDescent="0.25"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>
        <f t="shared" si="25"/>
        <v>0</v>
      </c>
    </row>
    <row r="88" spans="3:22" x14ac:dyDescent="0.25"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>
        <f t="shared" si="25"/>
        <v>0</v>
      </c>
    </row>
    <row r="89" spans="3:22" x14ac:dyDescent="0.25"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>
        <f t="shared" si="25"/>
        <v>0</v>
      </c>
    </row>
    <row r="90" spans="3:22" x14ac:dyDescent="0.25"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>
        <f t="shared" si="25"/>
        <v>0</v>
      </c>
    </row>
    <row r="91" spans="3:22" x14ac:dyDescent="0.25"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>
        <f t="shared" si="25"/>
        <v>0</v>
      </c>
    </row>
    <row r="92" spans="3:22" x14ac:dyDescent="0.25"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>
        <f t="shared" si="25"/>
        <v>0</v>
      </c>
    </row>
    <row r="93" spans="3:22" x14ac:dyDescent="0.25">
      <c r="C93" s="751" t="s">
        <v>212</v>
      </c>
      <c r="D93" s="752"/>
      <c r="E93" s="17">
        <f>SUM(E79:E92)</f>
        <v>2320</v>
      </c>
      <c r="F93" s="17">
        <f t="shared" ref="F93:T93" si="27">SUM(F79:F92)</f>
        <v>0</v>
      </c>
      <c r="G93" s="17">
        <f t="shared" si="27"/>
        <v>216.31861237698578</v>
      </c>
      <c r="H93" s="17">
        <f t="shared" si="27"/>
        <v>63.705831345022325</v>
      </c>
      <c r="I93" s="17">
        <f t="shared" si="27"/>
        <v>45.868198568416069</v>
      </c>
      <c r="J93" s="17">
        <f t="shared" si="27"/>
        <v>47.3971385206966</v>
      </c>
      <c r="K93" s="17">
        <f t="shared" si="27"/>
        <v>45.868198568416069</v>
      </c>
      <c r="L93" s="17">
        <f t="shared" si="27"/>
        <v>47.3971385206966</v>
      </c>
      <c r="M93" s="17">
        <f t="shared" si="27"/>
        <v>47.3971385206966</v>
      </c>
      <c r="N93" s="17">
        <f t="shared" si="27"/>
        <v>45.868198568416069</v>
      </c>
      <c r="O93" s="17">
        <f t="shared" si="27"/>
        <v>47.3971385206966</v>
      </c>
      <c r="P93" s="17">
        <f t="shared" si="27"/>
        <v>45.868198568416069</v>
      </c>
      <c r="Q93" s="17">
        <f t="shared" si="27"/>
        <v>47.3971385206966</v>
      </c>
      <c r="R93" s="17">
        <f t="shared" si="27"/>
        <v>47.3971385206966</v>
      </c>
      <c r="S93" s="17">
        <f t="shared" si="27"/>
        <v>42.810318663855</v>
      </c>
      <c r="T93" s="17">
        <f t="shared" si="27"/>
        <v>47.3971385206966</v>
      </c>
      <c r="U93" s="86">
        <f>SUM(I93:T93)</f>
        <v>558.06308258239551</v>
      </c>
    </row>
    <row r="94" spans="3:22" x14ac:dyDescent="0.25">
      <c r="C94" s="753" t="s">
        <v>394</v>
      </c>
      <c r="D94" s="754"/>
      <c r="E94" s="17">
        <f>E77+E93</f>
        <v>19095</v>
      </c>
      <c r="F94" s="17">
        <f t="shared" ref="F94:T94" si="28">F77+F93</f>
        <v>0</v>
      </c>
      <c r="G94" s="17">
        <f t="shared" si="28"/>
        <v>3920.6386123769853</v>
      </c>
      <c r="H94" s="17">
        <f t="shared" si="28"/>
        <v>1154.6280713450221</v>
      </c>
      <c r="I94" s="17">
        <f t="shared" si="28"/>
        <v>713.51260944841601</v>
      </c>
      <c r="J94" s="17">
        <f t="shared" si="28"/>
        <v>737.29636309669661</v>
      </c>
      <c r="K94" s="17">
        <f t="shared" si="28"/>
        <v>713.51260944841601</v>
      </c>
      <c r="L94" s="17">
        <f t="shared" si="28"/>
        <v>737.29636309669661</v>
      </c>
      <c r="M94" s="17">
        <f t="shared" si="28"/>
        <v>737.29636309669661</v>
      </c>
      <c r="N94" s="17">
        <f t="shared" si="28"/>
        <v>713.51260944841601</v>
      </c>
      <c r="O94" s="17">
        <f t="shared" si="28"/>
        <v>737.29636309669661</v>
      </c>
      <c r="P94" s="17">
        <f t="shared" si="28"/>
        <v>713.51260944841601</v>
      </c>
      <c r="Q94" s="17">
        <f t="shared" si="28"/>
        <v>737.29636309669661</v>
      </c>
      <c r="R94" s="17">
        <f t="shared" si="28"/>
        <v>737.29636309669661</v>
      </c>
      <c r="S94" s="17">
        <f t="shared" si="28"/>
        <v>665.94510215185505</v>
      </c>
      <c r="T94" s="17">
        <f t="shared" si="28"/>
        <v>737.29636309669661</v>
      </c>
      <c r="U94" s="86">
        <f>U77+U93</f>
        <v>8681.0700816223944</v>
      </c>
      <c r="V94" s="427">
        <v>8681</v>
      </c>
    </row>
    <row r="95" spans="3:22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</row>
    <row r="96" spans="3:22" x14ac:dyDescent="0.25">
      <c r="C96" s="17" t="s">
        <v>396</v>
      </c>
      <c r="D96" s="17" t="s">
        <v>396</v>
      </c>
      <c r="E96" s="111">
        <v>500</v>
      </c>
      <c r="F96" s="17"/>
      <c r="G96" s="66">
        <v>269.45</v>
      </c>
      <c r="H96" s="17">
        <f>G96*0.2945</f>
        <v>79.353024999999988</v>
      </c>
      <c r="I96" s="17">
        <f>$H96*0.85*I$6*24/1000</f>
        <v>48.564051300000003</v>
      </c>
      <c r="J96" s="17">
        <f t="shared" ref="J96:T96" si="29">$H96*0.85*J$6*24/1000</f>
        <v>50.182853010000002</v>
      </c>
      <c r="K96" s="17">
        <f t="shared" si="29"/>
        <v>48.564051300000003</v>
      </c>
      <c r="L96" s="17">
        <f t="shared" si="29"/>
        <v>50.182853010000002</v>
      </c>
      <c r="M96" s="17">
        <f t="shared" si="29"/>
        <v>50.182853010000002</v>
      </c>
      <c r="N96" s="17">
        <f t="shared" si="29"/>
        <v>48.564051300000003</v>
      </c>
      <c r="O96" s="17">
        <f t="shared" si="29"/>
        <v>50.182853010000002</v>
      </c>
      <c r="P96" s="17">
        <f t="shared" si="29"/>
        <v>48.564051300000003</v>
      </c>
      <c r="Q96" s="17">
        <f t="shared" si="29"/>
        <v>50.182853010000002</v>
      </c>
      <c r="R96" s="17">
        <f t="shared" si="29"/>
        <v>50.182853010000002</v>
      </c>
      <c r="S96" s="17">
        <f t="shared" si="29"/>
        <v>45.326447879999989</v>
      </c>
      <c r="T96" s="17">
        <f t="shared" si="29"/>
        <v>50.182853010000002</v>
      </c>
      <c r="U96" s="17">
        <f t="shared" ref="U96:U102" si="30">+SUM(I96:T96)</f>
        <v>590.86262414999999</v>
      </c>
    </row>
    <row r="97" spans="3:22" x14ac:dyDescent="0.25">
      <c r="C97" s="17" t="s">
        <v>397</v>
      </c>
      <c r="D97" s="17" t="s">
        <v>397</v>
      </c>
      <c r="E97" s="111">
        <v>570</v>
      </c>
      <c r="F97" s="17"/>
      <c r="G97" s="111">
        <v>570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f t="shared" si="30"/>
        <v>0</v>
      </c>
    </row>
    <row r="98" spans="3:22" x14ac:dyDescent="0.25"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>
        <f t="shared" si="30"/>
        <v>0</v>
      </c>
    </row>
    <row r="99" spans="3:22" x14ac:dyDescent="0.25"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>
        <f t="shared" si="30"/>
        <v>0</v>
      </c>
    </row>
    <row r="100" spans="3:22" x14ac:dyDescent="0.25"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>
        <f t="shared" si="30"/>
        <v>0</v>
      </c>
    </row>
    <row r="101" spans="3:22" x14ac:dyDescent="0.25"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>
        <f t="shared" si="30"/>
        <v>0</v>
      </c>
    </row>
    <row r="102" spans="3:22" x14ac:dyDescent="0.25"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>
        <f t="shared" si="30"/>
        <v>0</v>
      </c>
    </row>
    <row r="103" spans="3:22" x14ac:dyDescent="0.25">
      <c r="C103" s="753" t="s">
        <v>398</v>
      </c>
      <c r="D103" s="754"/>
      <c r="E103" s="17">
        <f>SUM(E96:E102)</f>
        <v>1070</v>
      </c>
      <c r="F103" s="17">
        <f t="shared" ref="F103:T103" si="31">SUM(F96:F102)</f>
        <v>0</v>
      </c>
      <c r="G103" s="17">
        <f t="shared" si="31"/>
        <v>839.45</v>
      </c>
      <c r="H103" s="17">
        <f t="shared" si="31"/>
        <v>79.353024999999988</v>
      </c>
      <c r="I103" s="17">
        <f t="shared" si="31"/>
        <v>48.564051300000003</v>
      </c>
      <c r="J103" s="17">
        <f t="shared" si="31"/>
        <v>50.182853010000002</v>
      </c>
      <c r="K103" s="17">
        <f t="shared" si="31"/>
        <v>48.564051300000003</v>
      </c>
      <c r="L103" s="17">
        <f t="shared" si="31"/>
        <v>50.182853010000002</v>
      </c>
      <c r="M103" s="17">
        <f t="shared" si="31"/>
        <v>50.182853010000002</v>
      </c>
      <c r="N103" s="17">
        <f t="shared" si="31"/>
        <v>48.564051300000003</v>
      </c>
      <c r="O103" s="17">
        <f t="shared" si="31"/>
        <v>50.182853010000002</v>
      </c>
      <c r="P103" s="17">
        <f t="shared" si="31"/>
        <v>48.564051300000003</v>
      </c>
      <c r="Q103" s="17">
        <f t="shared" si="31"/>
        <v>50.182853010000002</v>
      </c>
      <c r="R103" s="17">
        <f t="shared" si="31"/>
        <v>50.182853010000002</v>
      </c>
      <c r="S103" s="17">
        <f t="shared" si="31"/>
        <v>45.326447879999989</v>
      </c>
      <c r="T103" s="17">
        <f t="shared" si="31"/>
        <v>50.182853010000002</v>
      </c>
      <c r="U103" s="86">
        <f>SUM(I103:T103)</f>
        <v>590.86262414999999</v>
      </c>
      <c r="V103" s="427">
        <v>591</v>
      </c>
    </row>
    <row r="104" spans="3:22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3:22" x14ac:dyDescent="0.25">
      <c r="C105" s="17" t="s">
        <v>400</v>
      </c>
      <c r="D105" s="17" t="s">
        <v>400</v>
      </c>
      <c r="E105" s="17">
        <f>1200+800</f>
        <v>2000</v>
      </c>
      <c r="F105" s="17"/>
      <c r="G105" s="17">
        <f>1200+800</f>
        <v>2000</v>
      </c>
      <c r="H105" s="66">
        <f>G105*0.2945</f>
        <v>589</v>
      </c>
      <c r="I105" s="66">
        <f>H105*0.85*30*24/1000</f>
        <v>360.46800000000002</v>
      </c>
      <c r="J105" s="66">
        <f>H105*0.85*31*24/1000</f>
        <v>372.48359999999997</v>
      </c>
      <c r="K105" s="66">
        <f>H105*0.85*30*24/1000</f>
        <v>360.46800000000002</v>
      </c>
      <c r="L105" s="66">
        <f>H105*0.85*31*24/1000</f>
        <v>372.48359999999997</v>
      </c>
      <c r="M105" s="66">
        <f>H105*0.85*31*24/1000</f>
        <v>372.48359999999997</v>
      </c>
      <c r="N105" s="66">
        <f>H105*0.85*30*24/1000</f>
        <v>360.46800000000002</v>
      </c>
      <c r="O105" s="66">
        <f>H105*0.85*31*24/1000</f>
        <v>372.48359999999997</v>
      </c>
      <c r="P105" s="66">
        <f>H105*0.85*30*24/1000</f>
        <v>360.46800000000002</v>
      </c>
      <c r="Q105" s="66">
        <f>H105*0.85*31*24/1000</f>
        <v>372.48359999999997</v>
      </c>
      <c r="R105" s="66">
        <f>H105*0.85*31*24/1000</f>
        <v>372.48359999999997</v>
      </c>
      <c r="S105" s="66">
        <f>H105*0.85*28*24/1000</f>
        <v>336.43680000000001</v>
      </c>
      <c r="T105" s="66">
        <f>H105*0.85*31*24/1000</f>
        <v>372.48359999999997</v>
      </c>
      <c r="U105" s="17">
        <f t="shared" ref="U105:U112" si="32">+SUM(I105:T105)</f>
        <v>4385.6939999999995</v>
      </c>
      <c r="V105" s="427"/>
    </row>
    <row r="106" spans="3:22" x14ac:dyDescent="0.25">
      <c r="C106" s="17" t="s">
        <v>401</v>
      </c>
      <c r="D106" s="17" t="s">
        <v>401</v>
      </c>
      <c r="E106" s="111">
        <v>1000</v>
      </c>
      <c r="G106" s="111">
        <v>1000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f t="shared" si="32"/>
        <v>0</v>
      </c>
    </row>
    <row r="107" spans="3:22" x14ac:dyDescent="0.25">
      <c r="C107" s="17" t="s">
        <v>402</v>
      </c>
      <c r="D107" s="17" t="s">
        <v>402</v>
      </c>
      <c r="E107" s="111">
        <f>'F9-Year(n-1)'!E108</f>
        <v>0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>
        <f t="shared" si="32"/>
        <v>0</v>
      </c>
    </row>
    <row r="108" spans="3:22" x14ac:dyDescent="0.25"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>
        <f t="shared" si="32"/>
        <v>0</v>
      </c>
    </row>
    <row r="109" spans="3:22" x14ac:dyDescent="0.25"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f t="shared" si="32"/>
        <v>0</v>
      </c>
    </row>
    <row r="110" spans="3:22" x14ac:dyDescent="0.25"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>
        <f t="shared" si="32"/>
        <v>0</v>
      </c>
    </row>
    <row r="111" spans="3:22" x14ac:dyDescent="0.25"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f t="shared" si="32"/>
        <v>0</v>
      </c>
    </row>
    <row r="112" spans="3:22" x14ac:dyDescent="0.25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>
        <f t="shared" si="32"/>
        <v>0</v>
      </c>
    </row>
    <row r="113" spans="3:22" x14ac:dyDescent="0.25">
      <c r="C113" s="753" t="s">
        <v>403</v>
      </c>
      <c r="D113" s="754"/>
      <c r="E113" s="17">
        <f t="shared" ref="E113:T113" si="33">SUM(E105:E112)</f>
        <v>3000</v>
      </c>
      <c r="F113" s="17">
        <f t="shared" si="33"/>
        <v>0</v>
      </c>
      <c r="G113" s="17">
        <f t="shared" si="33"/>
        <v>3000</v>
      </c>
      <c r="H113" s="17">
        <f t="shared" si="33"/>
        <v>589</v>
      </c>
      <c r="I113" s="17">
        <f t="shared" si="33"/>
        <v>360.46800000000002</v>
      </c>
      <c r="J113" s="17">
        <f t="shared" si="33"/>
        <v>372.48359999999997</v>
      </c>
      <c r="K113" s="17">
        <f t="shared" si="33"/>
        <v>360.46800000000002</v>
      </c>
      <c r="L113" s="17">
        <f t="shared" si="33"/>
        <v>372.48359999999997</v>
      </c>
      <c r="M113" s="17">
        <f t="shared" si="33"/>
        <v>372.48359999999997</v>
      </c>
      <c r="N113" s="17">
        <f t="shared" si="33"/>
        <v>360.46800000000002</v>
      </c>
      <c r="O113" s="17">
        <f t="shared" si="33"/>
        <v>372.48359999999997</v>
      </c>
      <c r="P113" s="17">
        <f t="shared" si="33"/>
        <v>360.46800000000002</v>
      </c>
      <c r="Q113" s="17">
        <f t="shared" si="33"/>
        <v>372.48359999999997</v>
      </c>
      <c r="R113" s="17">
        <f t="shared" si="33"/>
        <v>372.48359999999997</v>
      </c>
      <c r="S113" s="17">
        <f t="shared" si="33"/>
        <v>336.43680000000001</v>
      </c>
      <c r="T113" s="17">
        <f t="shared" si="33"/>
        <v>372.48359999999997</v>
      </c>
      <c r="U113" s="86">
        <f>SUM(I113:T113)</f>
        <v>4385.6939999999995</v>
      </c>
      <c r="V113" s="427">
        <v>4386</v>
      </c>
    </row>
    <row r="114" spans="3:22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3:22" x14ac:dyDescent="0.25">
      <c r="C115" s="17"/>
      <c r="D115" s="17" t="s">
        <v>405</v>
      </c>
      <c r="E115" s="111">
        <f>'F9-Year(n)'!E114</f>
        <v>6</v>
      </c>
      <c r="F115" s="128"/>
      <c r="G115" s="111">
        <f>'F9-Year(n)'!G114</f>
        <v>6</v>
      </c>
      <c r="H115" s="111">
        <f>'F9-Year(n)'!H114</f>
        <v>6</v>
      </c>
      <c r="I115" s="66">
        <f>'F11-Year(n+5)'!E115</f>
        <v>3.246513007437709E-2</v>
      </c>
      <c r="J115" s="66">
        <f>'F11-Year(n+5)'!F115</f>
        <v>3.246513007437709E-2</v>
      </c>
      <c r="K115" s="66">
        <f>'F11-Year(n+5)'!G115</f>
        <v>3.246513007437709E-2</v>
      </c>
      <c r="L115" s="66">
        <f>'F11-Year(n+5)'!H115</f>
        <v>3.246513007437709E-2</v>
      </c>
      <c r="M115" s="66">
        <f>'F11-Year(n+5)'!I115</f>
        <v>3.246513007437709E-2</v>
      </c>
      <c r="N115" s="66">
        <f>'F11-Year(n+5)'!J115</f>
        <v>3.246513007437709E-2</v>
      </c>
      <c r="O115" s="66">
        <f>'F11-Year(n+5)'!K115</f>
        <v>3.246513007437709E-2</v>
      </c>
      <c r="P115" s="66">
        <f>'F11-Year(n+5)'!L115</f>
        <v>3.246513007437709E-2</v>
      </c>
      <c r="Q115" s="66">
        <f>'F11-Year(n+5)'!M115</f>
        <v>3.246513007437709E-2</v>
      </c>
      <c r="R115" s="66">
        <f>'F11-Year(n+5)'!N115</f>
        <v>3.246513007437709E-2</v>
      </c>
      <c r="S115" s="66">
        <f>'F11-Year(n+5)'!O115</f>
        <v>3.246513007437709E-2</v>
      </c>
      <c r="T115" s="66">
        <f>'F11-Year(n+5)'!P115</f>
        <v>3.246513007437709E-2</v>
      </c>
      <c r="U115" s="17">
        <f t="shared" ref="U115:U138" si="34">+SUM(I115:T115)</f>
        <v>0.38958156089252499</v>
      </c>
    </row>
    <row r="116" spans="3:22" x14ac:dyDescent="0.25">
      <c r="C116" s="17"/>
      <c r="D116" s="17" t="s">
        <v>406</v>
      </c>
      <c r="E116" s="111">
        <f>'F9-Year(n)'!E115</f>
        <v>46.7</v>
      </c>
      <c r="F116" s="128"/>
      <c r="G116" s="111">
        <f>'F9-Year(n)'!G115</f>
        <v>46.7</v>
      </c>
      <c r="H116" s="111">
        <f>'F9-Year(n)'!H115</f>
        <v>46.7</v>
      </c>
      <c r="I116" s="66">
        <f>'F11-Year(n+5)'!E116</f>
        <v>0</v>
      </c>
      <c r="J116" s="66">
        <f>'F11-Year(n+5)'!F116</f>
        <v>0</v>
      </c>
      <c r="K116" s="66">
        <f>'F11-Year(n+5)'!G116</f>
        <v>0</v>
      </c>
      <c r="L116" s="66">
        <f>'F11-Year(n+5)'!H116</f>
        <v>0</v>
      </c>
      <c r="M116" s="66">
        <f>'F11-Year(n+5)'!I116</f>
        <v>0</v>
      </c>
      <c r="N116" s="66">
        <f>'F11-Year(n+5)'!J116</f>
        <v>0</v>
      </c>
      <c r="O116" s="66">
        <f>'F11-Year(n+5)'!K116</f>
        <v>0</v>
      </c>
      <c r="P116" s="66">
        <f>'F11-Year(n+5)'!L116</f>
        <v>0</v>
      </c>
      <c r="Q116" s="66">
        <f>'F11-Year(n+5)'!M116</f>
        <v>0</v>
      </c>
      <c r="R116" s="66">
        <f>'F11-Year(n+5)'!N116</f>
        <v>0</v>
      </c>
      <c r="S116" s="66">
        <f>'F11-Year(n+5)'!O116</f>
        <v>0</v>
      </c>
      <c r="T116" s="66">
        <f>'F11-Year(n+5)'!P116</f>
        <v>0</v>
      </c>
      <c r="U116" s="17">
        <f t="shared" si="34"/>
        <v>0</v>
      </c>
    </row>
    <row r="117" spans="3:22" x14ac:dyDescent="0.25">
      <c r="C117" s="17"/>
      <c r="D117" s="17" t="s">
        <v>407</v>
      </c>
      <c r="E117" s="111">
        <f>'F9-Year(n)'!E116</f>
        <v>19.8</v>
      </c>
      <c r="F117" s="128"/>
      <c r="G117" s="111">
        <f>'F9-Year(n)'!G116</f>
        <v>19.8</v>
      </c>
      <c r="H117" s="111">
        <f>'F9-Year(n)'!H116</f>
        <v>0</v>
      </c>
      <c r="I117" s="66">
        <f>'F11-Year(n+5)'!E117</f>
        <v>0</v>
      </c>
      <c r="J117" s="66">
        <f>'F11-Year(n+5)'!F117</f>
        <v>0</v>
      </c>
      <c r="K117" s="66">
        <f>'F11-Year(n+5)'!G117</f>
        <v>0</v>
      </c>
      <c r="L117" s="66">
        <f>'F11-Year(n+5)'!H117</f>
        <v>0</v>
      </c>
      <c r="M117" s="66">
        <f>'F11-Year(n+5)'!I117</f>
        <v>0</v>
      </c>
      <c r="N117" s="66">
        <f>'F11-Year(n+5)'!J117</f>
        <v>0</v>
      </c>
      <c r="O117" s="66">
        <f>'F11-Year(n+5)'!K117</f>
        <v>0</v>
      </c>
      <c r="P117" s="66">
        <f>'F11-Year(n+5)'!L117</f>
        <v>0</v>
      </c>
      <c r="Q117" s="66">
        <f>'F11-Year(n+5)'!M117</f>
        <v>0</v>
      </c>
      <c r="R117" s="66">
        <f>'F11-Year(n+5)'!N117</f>
        <v>0</v>
      </c>
      <c r="S117" s="66">
        <f>'F11-Year(n+5)'!O117</f>
        <v>0</v>
      </c>
      <c r="T117" s="66">
        <f>'F11-Year(n+5)'!P117</f>
        <v>0</v>
      </c>
      <c r="U117" s="17">
        <f t="shared" si="34"/>
        <v>0</v>
      </c>
    </row>
    <row r="118" spans="3:22" x14ac:dyDescent="0.25">
      <c r="C118" s="17"/>
      <c r="D118" s="17" t="s">
        <v>408</v>
      </c>
      <c r="E118" s="111">
        <f>'F9-Year(n)'!E117</f>
        <v>15</v>
      </c>
      <c r="F118" s="128"/>
      <c r="G118" s="111">
        <f>'F9-Year(n)'!G117</f>
        <v>15</v>
      </c>
      <c r="H118" s="111">
        <f>'F9-Year(n)'!H117</f>
        <v>7.5</v>
      </c>
      <c r="I118" s="66">
        <f>'F11-Year(n+5)'!E118</f>
        <v>3.5476995666069602</v>
      </c>
      <c r="J118" s="66">
        <f>'F11-Year(n+5)'!F118</f>
        <v>2.4945358430075384</v>
      </c>
      <c r="K118" s="66">
        <f>'F11-Year(n+5)'!G118</f>
        <v>2.0740705759705658</v>
      </c>
      <c r="L118" s="66">
        <f>'F11-Year(n+5)'!H118</f>
        <v>2.9286263373885997</v>
      </c>
      <c r="M118" s="66">
        <f>'F11-Year(n+5)'!I118</f>
        <v>2.9286263373885997</v>
      </c>
      <c r="N118" s="66">
        <f>'F11-Year(n+5)'!J118</f>
        <v>2.0876891012844818</v>
      </c>
      <c r="O118" s="66">
        <f>'F11-Year(n+5)'!K118</f>
        <v>2.9286263373885997</v>
      </c>
      <c r="P118" s="66">
        <f>'F11-Year(n+5)'!L118</f>
        <v>2.7517854522078959</v>
      </c>
      <c r="Q118" s="66">
        <f>'F11-Year(n+5)'!M118</f>
        <v>4.490981271490794</v>
      </c>
      <c r="R118" s="66">
        <f>'F11-Year(n+5)'!N118</f>
        <v>4.5660239033509873</v>
      </c>
      <c r="S118" s="66">
        <f>'F11-Year(n+5)'!O118</f>
        <v>4.8160654790990236</v>
      </c>
      <c r="T118" s="66">
        <f>'F11-Year(n+5)'!P118</f>
        <v>4.836435182808386</v>
      </c>
      <c r="U118" s="17">
        <f t="shared" si="34"/>
        <v>40.45116538799244</v>
      </c>
    </row>
    <row r="119" spans="3:22" x14ac:dyDescent="0.25">
      <c r="C119" s="17"/>
      <c r="D119" s="17" t="s">
        <v>409</v>
      </c>
      <c r="E119" s="111">
        <f>'F9-Year(n)'!E118</f>
        <v>128.1</v>
      </c>
      <c r="F119" s="128"/>
      <c r="G119" s="111">
        <f>'F9-Year(n)'!G118</f>
        <v>128.1</v>
      </c>
      <c r="H119" s="111">
        <f>'F9-Year(n)'!H118</f>
        <v>0</v>
      </c>
      <c r="I119" s="66">
        <f>'F11-Year(n+5)'!E119</f>
        <v>0</v>
      </c>
      <c r="J119" s="66">
        <f>'F11-Year(n+5)'!F119</f>
        <v>0</v>
      </c>
      <c r="K119" s="66">
        <f>'F11-Year(n+5)'!G119</f>
        <v>0</v>
      </c>
      <c r="L119" s="66">
        <f>'F11-Year(n+5)'!H119</f>
        <v>0</v>
      </c>
      <c r="M119" s="66">
        <f>'F11-Year(n+5)'!I119</f>
        <v>0</v>
      </c>
      <c r="N119" s="66">
        <f>'F11-Year(n+5)'!J119</f>
        <v>0</v>
      </c>
      <c r="O119" s="66">
        <f>'F11-Year(n+5)'!K119</f>
        <v>0</v>
      </c>
      <c r="P119" s="66">
        <f>'F11-Year(n+5)'!L119</f>
        <v>0</v>
      </c>
      <c r="Q119" s="66">
        <f>'F11-Year(n+5)'!M119</f>
        <v>0</v>
      </c>
      <c r="R119" s="66">
        <f>'F11-Year(n+5)'!N119</f>
        <v>0</v>
      </c>
      <c r="S119" s="66">
        <f>'F11-Year(n+5)'!O119</f>
        <v>0</v>
      </c>
      <c r="T119" s="66">
        <f>'F11-Year(n+5)'!P119</f>
        <v>0</v>
      </c>
      <c r="U119" s="17">
        <f t="shared" si="34"/>
        <v>0</v>
      </c>
    </row>
    <row r="120" spans="3:22" x14ac:dyDescent="0.25">
      <c r="C120" s="17"/>
      <c r="D120" s="17" t="s">
        <v>367</v>
      </c>
      <c r="E120" s="111">
        <f>'F9-Year(n)'!E119</f>
        <v>3.55</v>
      </c>
      <c r="F120" s="128"/>
      <c r="G120" s="111">
        <f>'F9-Year(n)'!G119</f>
        <v>3.55</v>
      </c>
      <c r="H120" s="111">
        <f>'F9-Year(n)'!H119</f>
        <v>2</v>
      </c>
      <c r="I120" s="66">
        <f>'F11-Year(n+5)'!E120</f>
        <v>1.0190928297479487E-2</v>
      </c>
      <c r="J120" s="66">
        <f>'F11-Year(n+5)'!F120</f>
        <v>1.0190928297479487E-2</v>
      </c>
      <c r="K120" s="66">
        <f>'F11-Year(n+5)'!G120</f>
        <v>1.0190928297479487E-2</v>
      </c>
      <c r="L120" s="66">
        <f>'F11-Year(n+5)'!H120</f>
        <v>1.0190928297479487E-2</v>
      </c>
      <c r="M120" s="66">
        <f>'F11-Year(n+5)'!I120</f>
        <v>1.0190928297479487E-2</v>
      </c>
      <c r="N120" s="66">
        <f>'F11-Year(n+5)'!J120</f>
        <v>1.0190928297479487E-2</v>
      </c>
      <c r="O120" s="66">
        <f>'F11-Year(n+5)'!K120</f>
        <v>1.0190928297479487E-2</v>
      </c>
      <c r="P120" s="66">
        <f>'F11-Year(n+5)'!L120</f>
        <v>1.0190928297479487E-2</v>
      </c>
      <c r="Q120" s="66">
        <f>'F11-Year(n+5)'!M120</f>
        <v>1.0190928297479487E-2</v>
      </c>
      <c r="R120" s="66">
        <f>'F11-Year(n+5)'!N120</f>
        <v>1.0190928297479487E-2</v>
      </c>
      <c r="S120" s="66">
        <f>'F11-Year(n+5)'!O120</f>
        <v>1.0190928297479487E-2</v>
      </c>
      <c r="T120" s="66">
        <f>'F11-Year(n+5)'!P120</f>
        <v>1.0190928297479487E-2</v>
      </c>
      <c r="U120" s="17">
        <f t="shared" si="34"/>
        <v>0.12229113956975385</v>
      </c>
    </row>
    <row r="121" spans="3:22" x14ac:dyDescent="0.25">
      <c r="C121" s="17"/>
      <c r="D121" s="17" t="s">
        <v>410</v>
      </c>
      <c r="E121" s="111">
        <f>'F9-Year(n)'!E120</f>
        <v>2833.74</v>
      </c>
      <c r="F121" s="128"/>
      <c r="G121" s="111">
        <f>'F9-Year(n)'!G120</f>
        <v>2833.74</v>
      </c>
      <c r="H121" s="111">
        <f>'F9-Year(n)'!H120</f>
        <v>872</v>
      </c>
      <c r="I121" s="66">
        <f>'F11-Year(n+5)'!E121</f>
        <v>226.62958233077637</v>
      </c>
      <c r="J121" s="66">
        <f>'F11-Year(n+5)'!F121</f>
        <v>233.69121127278808</v>
      </c>
      <c r="K121" s="66">
        <f>'F11-Year(n+5)'!G121</f>
        <v>218.79356955298169</v>
      </c>
      <c r="L121" s="66">
        <f>'F11-Year(n+5)'!H121</f>
        <v>171.36205215742916</v>
      </c>
      <c r="M121" s="66">
        <f>'F11-Year(n+5)'!I121</f>
        <v>210.76324071015981</v>
      </c>
      <c r="N121" s="66">
        <f>'F11-Year(n+5)'!J121</f>
        <v>185.78100214280934</v>
      </c>
      <c r="O121" s="66">
        <f>'F11-Year(n+5)'!K121</f>
        <v>227.7632626523762</v>
      </c>
      <c r="P121" s="66">
        <f>'F11-Year(n+5)'!L121</f>
        <v>175.62172179034471</v>
      </c>
      <c r="Q121" s="66">
        <f>'F11-Year(n+5)'!M121</f>
        <v>192.52008888103424</v>
      </c>
      <c r="R121" s="66">
        <f>'F11-Year(n+5)'!N121</f>
        <v>205.25461345268329</v>
      </c>
      <c r="S121" s="66">
        <f>'F11-Year(n+5)'!O121</f>
        <v>210.68073102820591</v>
      </c>
      <c r="T121" s="66">
        <f>'F11-Year(n+5)'!P121</f>
        <v>225.9090101570014</v>
      </c>
      <c r="U121" s="17">
        <f t="shared" si="34"/>
        <v>2484.7700861285903</v>
      </c>
    </row>
    <row r="122" spans="3:22" x14ac:dyDescent="0.25">
      <c r="C122" s="17"/>
      <c r="D122" s="17" t="s">
        <v>411</v>
      </c>
      <c r="E122" s="111">
        <f>'F9-Year(n)'!E121</f>
        <v>45.81</v>
      </c>
      <c r="F122" s="128"/>
      <c r="G122" s="111">
        <f>'F9-Year(n)'!G121</f>
        <v>45.81</v>
      </c>
      <c r="H122" s="111">
        <f>'F9-Year(n)'!H121</f>
        <v>23.49</v>
      </c>
      <c r="I122" s="66">
        <f>'F11-Year(n+5)'!E122</f>
        <v>6.1049643221902974</v>
      </c>
      <c r="J122" s="66">
        <f>'F11-Year(n+5)'!F122</f>
        <v>6.2951910009149028</v>
      </c>
      <c r="K122" s="66">
        <f>'F11-Year(n+5)'!G122</f>
        <v>5.8938772348618604</v>
      </c>
      <c r="L122" s="66">
        <f>'F11-Year(n+5)'!H122</f>
        <v>4.6161635380481805</v>
      </c>
      <c r="M122" s="66">
        <f>'F11-Year(n+5)'!I122</f>
        <v>5.6775556471119915</v>
      </c>
      <c r="N122" s="66">
        <f>'F11-Year(n+5)'!J122</f>
        <v>5.0045822710259102</v>
      </c>
      <c r="O122" s="66">
        <f>'F11-Year(n+5)'!K122</f>
        <v>6.1355034858994486</v>
      </c>
      <c r="P122" s="66">
        <f>'F11-Year(n+5)'!L122</f>
        <v>4.7309108312559625</v>
      </c>
      <c r="Q122" s="66">
        <f>'F11-Year(n+5)'!M122</f>
        <v>5.186120284192083</v>
      </c>
      <c r="R122" s="66">
        <f>'F11-Year(n+5)'!N122</f>
        <v>5.5291638417471702</v>
      </c>
      <c r="S122" s="66">
        <f>'F11-Year(n+5)'!O122</f>
        <v>5.6753329952437603</v>
      </c>
      <c r="T122" s="66">
        <f>'F11-Year(n+5)'!P122</f>
        <v>6.0855534960871163</v>
      </c>
      <c r="U122" s="17">
        <f t="shared" si="34"/>
        <v>66.934918948578684</v>
      </c>
    </row>
    <row r="123" spans="3:22" x14ac:dyDescent="0.25">
      <c r="C123" s="17"/>
      <c r="D123" s="17" t="s">
        <v>412</v>
      </c>
      <c r="E123" s="111">
        <f>'F9-Year(n)'!E122</f>
        <v>400</v>
      </c>
      <c r="F123" s="128"/>
      <c r="G123" s="111">
        <f>'F9-Year(n)'!G122</f>
        <v>400</v>
      </c>
      <c r="H123" s="111">
        <f>'F9-Year(n)'!H122</f>
        <v>117.8</v>
      </c>
      <c r="I123" s="66">
        <f>'F11-Year(n+5)'!E123</f>
        <v>30.615785319455821</v>
      </c>
      <c r="J123" s="66">
        <f>'F11-Year(n+5)'!F123</f>
        <v>31.569753082493634</v>
      </c>
      <c r="K123" s="66">
        <f>'F11-Year(n+5)'!G123</f>
        <v>29.557204694198688</v>
      </c>
      <c r="L123" s="66">
        <f>'F11-Year(n+5)'!H123</f>
        <v>23.149598330441705</v>
      </c>
      <c r="M123" s="66">
        <f>'F11-Year(n+5)'!I123</f>
        <v>28.472373573000965</v>
      </c>
      <c r="N123" s="66">
        <f>'F11-Year(n+5)'!J123</f>
        <v>25.097479417916229</v>
      </c>
      <c r="O123" s="66">
        <f>'F11-Year(n+5)'!K123</f>
        <v>30.768936170240746</v>
      </c>
      <c r="P123" s="66">
        <f>'F11-Year(n+5)'!L123</f>
        <v>23.725044526264469</v>
      </c>
      <c r="Q123" s="66">
        <f>'F11-Year(n+5)'!M123</f>
        <v>26.007874392414955</v>
      </c>
      <c r="R123" s="66">
        <f>'F11-Year(n+5)'!N123</f>
        <v>27.728203514594153</v>
      </c>
      <c r="S123" s="66">
        <f>'F11-Year(n+5)'!O123</f>
        <v>28.461227196241591</v>
      </c>
      <c r="T123" s="66">
        <f>'F11-Year(n+5)'!P123</f>
        <v>30.518441968457317</v>
      </c>
      <c r="U123" s="17">
        <f t="shared" si="34"/>
        <v>335.67192218572023</v>
      </c>
    </row>
    <row r="124" spans="3:22" x14ac:dyDescent="0.25">
      <c r="C124" s="17"/>
      <c r="D124" s="17" t="s">
        <v>413</v>
      </c>
      <c r="E124" s="111">
        <f>'F9-Year(n)'!E123</f>
        <v>400</v>
      </c>
      <c r="F124" s="128"/>
      <c r="G124" s="111">
        <f>'F9-Year(n)'!G123</f>
        <v>400</v>
      </c>
      <c r="H124" s="111">
        <f>'F9-Year(n)'!H123</f>
        <v>117.8</v>
      </c>
      <c r="I124" s="66">
        <f>'F11-Year(n+5)'!E124</f>
        <v>30.61578531945581</v>
      </c>
      <c r="J124" s="66">
        <f>'F11-Year(n+5)'!F124</f>
        <v>31.569753082493634</v>
      </c>
      <c r="K124" s="66">
        <f>'F11-Year(n+5)'!G124</f>
        <v>29.557204694198681</v>
      </c>
      <c r="L124" s="66">
        <f>'F11-Year(n+5)'!H124</f>
        <v>23.149598330441702</v>
      </c>
      <c r="M124" s="66">
        <f>'F11-Year(n+5)'!I124</f>
        <v>28.472373573000961</v>
      </c>
      <c r="N124" s="66">
        <f>'F11-Year(n+5)'!J124</f>
        <v>25.097479417916226</v>
      </c>
      <c r="O124" s="66">
        <f>'F11-Year(n+5)'!K124</f>
        <v>30.768936170240735</v>
      </c>
      <c r="P124" s="66">
        <f>'F11-Year(n+5)'!L124</f>
        <v>23.725044526264465</v>
      </c>
      <c r="Q124" s="66">
        <f>'F11-Year(n+5)'!M124</f>
        <v>26.007874392414955</v>
      </c>
      <c r="R124" s="66">
        <f>'F11-Year(n+5)'!N124</f>
        <v>27.728203514594153</v>
      </c>
      <c r="S124" s="66">
        <f>'F11-Year(n+5)'!O124</f>
        <v>28.461227196241587</v>
      </c>
      <c r="T124" s="66">
        <f>'F11-Year(n+5)'!P124</f>
        <v>30.51844196845731</v>
      </c>
      <c r="U124" s="17">
        <f t="shared" si="34"/>
        <v>335.67192218572018</v>
      </c>
    </row>
    <row r="125" spans="3:22" x14ac:dyDescent="0.25">
      <c r="C125" s="17"/>
      <c r="D125" s="17" t="s">
        <v>414</v>
      </c>
      <c r="E125" s="111">
        <v>1545</v>
      </c>
      <c r="F125" s="128"/>
      <c r="G125" s="111">
        <v>1545</v>
      </c>
      <c r="H125" s="111">
        <v>1545</v>
      </c>
      <c r="I125" s="66">
        <f>'F11-Year(n+5)'!E125</f>
        <v>118.25347079639809</v>
      </c>
      <c r="J125" s="66">
        <f>'F11-Year(n+5)'!F125</f>
        <v>121.93817128113166</v>
      </c>
      <c r="K125" s="66">
        <f>'F11-Year(n+5)'!G125</f>
        <v>114.16470313134243</v>
      </c>
      <c r="L125" s="66">
        <f>'F11-Year(n+5)'!H125</f>
        <v>89.41532355133107</v>
      </c>
      <c r="M125" s="66">
        <f>'F11-Year(n+5)'!I125</f>
        <v>109.97454292571622</v>
      </c>
      <c r="N125" s="66">
        <f>'F11-Year(n+5)'!J125</f>
        <v>96.939014251701423</v>
      </c>
      <c r="O125" s="66">
        <f>'F11-Year(n+5)'!K125</f>
        <v>118.84501595755488</v>
      </c>
      <c r="P125" s="66">
        <f>'F11-Year(n+5)'!L125</f>
        <v>91.637984482696524</v>
      </c>
      <c r="Q125" s="66">
        <f>'F11-Year(n+5)'!M125</f>
        <v>100.45541484070277</v>
      </c>
      <c r="R125" s="66">
        <f>'F11-Year(n+5)'!N125</f>
        <v>107.10018607511991</v>
      </c>
      <c r="S125" s="66">
        <f>'F11-Year(n+5)'!O125</f>
        <v>109.93149004548314</v>
      </c>
      <c r="T125" s="66">
        <f>'F11-Year(n+5)'!P125</f>
        <v>117.87748210316637</v>
      </c>
      <c r="U125" s="17">
        <f t="shared" si="34"/>
        <v>1296.5327994423446</v>
      </c>
    </row>
    <row r="126" spans="3:22" x14ac:dyDescent="0.25">
      <c r="C126" s="17"/>
      <c r="D126" s="17" t="s">
        <v>415</v>
      </c>
      <c r="E126" s="111"/>
      <c r="F126" s="128"/>
      <c r="G126" s="111"/>
      <c r="H126" s="111"/>
      <c r="I126" s="66">
        <f>'F11-Year(n+5)'!E126</f>
        <v>0</v>
      </c>
      <c r="J126" s="66">
        <f>'F11-Year(n+5)'!F126</f>
        <v>0</v>
      </c>
      <c r="K126" s="66">
        <f>'F11-Year(n+5)'!G126</f>
        <v>0</v>
      </c>
      <c r="L126" s="66">
        <f>'F11-Year(n+5)'!H126</f>
        <v>0</v>
      </c>
      <c r="M126" s="66">
        <f>'F11-Year(n+5)'!I126</f>
        <v>0</v>
      </c>
      <c r="N126" s="66">
        <f>'F11-Year(n+5)'!J126</f>
        <v>0</v>
      </c>
      <c r="O126" s="66">
        <f>'F11-Year(n+5)'!K126</f>
        <v>0</v>
      </c>
      <c r="P126" s="66">
        <f>'F11-Year(n+5)'!L126</f>
        <v>0</v>
      </c>
      <c r="Q126" s="66">
        <f>'F11-Year(n+5)'!M126</f>
        <v>0</v>
      </c>
      <c r="R126" s="66">
        <f>'F11-Year(n+5)'!N126</f>
        <v>0</v>
      </c>
      <c r="S126" s="66">
        <f>'F11-Year(n+5)'!O126</f>
        <v>0</v>
      </c>
      <c r="T126" s="66">
        <f>'F11-Year(n+5)'!P126</f>
        <v>0</v>
      </c>
      <c r="U126" s="17">
        <f t="shared" si="34"/>
        <v>0</v>
      </c>
    </row>
    <row r="127" spans="3:22" x14ac:dyDescent="0.25">
      <c r="C127" s="17"/>
      <c r="D127" s="17" t="s">
        <v>416</v>
      </c>
      <c r="E127" s="111">
        <f>'F9-Year(n)'!E126</f>
        <v>1692</v>
      </c>
      <c r="F127" s="128"/>
      <c r="G127" s="111">
        <f>'F9-Year(n)'!G126</f>
        <v>1692</v>
      </c>
      <c r="H127" s="111">
        <f>'F9-Year(n)'!H126</f>
        <v>498.29399999999998</v>
      </c>
      <c r="I127" s="66">
        <f>'F11-Year(n+5)'!E127</f>
        <v>129.50477190129811</v>
      </c>
      <c r="J127" s="66">
        <f>'F11-Year(n+5)'!F127</f>
        <v>133.54005553894805</v>
      </c>
      <c r="K127" s="66">
        <f>'F11-Year(n+5)'!G127</f>
        <v>125.02697585646044</v>
      </c>
      <c r="L127" s="66">
        <f>'F11-Year(n+5)'!H127</f>
        <v>97.9228009377684</v>
      </c>
      <c r="M127" s="66">
        <f>'F11-Year(n+5)'!I127</f>
        <v>120.43814021379407</v>
      </c>
      <c r="N127" s="66">
        <f>'F11-Year(n+5)'!J127</f>
        <v>106.16233793778564</v>
      </c>
      <c r="O127" s="66">
        <f>'F11-Year(n+5)'!K127</f>
        <v>130.15260000011835</v>
      </c>
      <c r="P127" s="66">
        <f>'F11-Year(n+5)'!L127</f>
        <v>100.3569383460987</v>
      </c>
      <c r="Q127" s="66">
        <f>'F11-Year(n+5)'!M127</f>
        <v>110.01330867991527</v>
      </c>
      <c r="R127" s="66">
        <f>'F11-Year(n+5)'!N127</f>
        <v>117.29030086673325</v>
      </c>
      <c r="S127" s="66">
        <f>'F11-Year(n+5)'!O127</f>
        <v>120.39099104010192</v>
      </c>
      <c r="T127" s="66">
        <f>'F11-Year(n+5)'!P127</f>
        <v>129.09300952657443</v>
      </c>
      <c r="U127" s="17">
        <f t="shared" si="34"/>
        <v>1419.8922308455967</v>
      </c>
    </row>
    <row r="128" spans="3:22" x14ac:dyDescent="0.25">
      <c r="C128" s="17"/>
      <c r="D128" s="17" t="s">
        <v>417</v>
      </c>
      <c r="E128" s="111">
        <f>'F9-Year(n)'!E127</f>
        <v>0</v>
      </c>
      <c r="F128" s="128"/>
      <c r="G128" s="111">
        <f>'F9-Year(n)'!G127</f>
        <v>0</v>
      </c>
      <c r="H128" s="111">
        <f>'F9-Year(n)'!H127</f>
        <v>294.5</v>
      </c>
      <c r="I128" s="66">
        <f>'F11-Year(n+5)'!E128</f>
        <v>76.539463298639518</v>
      </c>
      <c r="J128" s="66">
        <f>'F11-Year(n+5)'!F128</f>
        <v>78.92438270623407</v>
      </c>
      <c r="K128" s="66">
        <f>'F11-Year(n+5)'!G128</f>
        <v>73.8930117354967</v>
      </c>
      <c r="L128" s="66">
        <f>'F11-Year(n+5)'!H128</f>
        <v>57.873995826104235</v>
      </c>
      <c r="M128" s="66">
        <f>'F11-Year(n+5)'!I128</f>
        <v>71.180933932502384</v>
      </c>
      <c r="N128" s="66">
        <f>'F11-Year(n+5)'!J128</f>
        <v>62.743698544790547</v>
      </c>
      <c r="O128" s="66">
        <f>'F11-Year(n+5)'!K128</f>
        <v>76.922340425601831</v>
      </c>
      <c r="P128" s="66">
        <f>'F11-Year(n+5)'!L128</f>
        <v>59.312611315661158</v>
      </c>
      <c r="Q128" s="66">
        <f>'F11-Year(n+5)'!M128</f>
        <v>65.019685981037384</v>
      </c>
      <c r="R128" s="66">
        <f>'F11-Year(n+5)'!N128</f>
        <v>69.320508786485348</v>
      </c>
      <c r="S128" s="66">
        <f>'F11-Year(n+5)'!O128</f>
        <v>71.153067990603958</v>
      </c>
      <c r="T128" s="66">
        <f>'F11-Year(n+5)'!P128</f>
        <v>76.296104921143268</v>
      </c>
      <c r="U128" s="17">
        <f t="shared" si="34"/>
        <v>839.17980546430044</v>
      </c>
    </row>
    <row r="129" spans="3:22" x14ac:dyDescent="0.25">
      <c r="C129" s="17"/>
      <c r="D129" s="114" t="s">
        <v>418</v>
      </c>
      <c r="E129" s="111"/>
      <c r="F129" s="128"/>
      <c r="G129" s="127"/>
      <c r="H129" s="12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>
        <f t="shared" si="34"/>
        <v>0</v>
      </c>
    </row>
    <row r="130" spans="3:22" x14ac:dyDescent="0.25">
      <c r="C130" s="17"/>
      <c r="D130" s="114" t="s">
        <v>446</v>
      </c>
      <c r="E130" s="111"/>
      <c r="F130" s="128"/>
      <c r="G130" s="127"/>
      <c r="H130" s="128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>
        <f t="shared" si="34"/>
        <v>0</v>
      </c>
    </row>
    <row r="131" spans="3:22" x14ac:dyDescent="0.25"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>
        <f t="shared" si="34"/>
        <v>0</v>
      </c>
    </row>
    <row r="132" spans="3:22" x14ac:dyDescent="0.25"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>
        <f t="shared" si="34"/>
        <v>0</v>
      </c>
    </row>
    <row r="133" spans="3:22" x14ac:dyDescent="0.25"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>
        <f t="shared" si="34"/>
        <v>0</v>
      </c>
    </row>
    <row r="134" spans="3:22" x14ac:dyDescent="0.25"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>
        <f t="shared" si="34"/>
        <v>0</v>
      </c>
    </row>
    <row r="135" spans="3:22" x14ac:dyDescent="0.25"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>
        <f t="shared" si="34"/>
        <v>0</v>
      </c>
    </row>
    <row r="136" spans="3:22" x14ac:dyDescent="0.25"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>
        <f t="shared" si="34"/>
        <v>0</v>
      </c>
    </row>
    <row r="137" spans="3:22" x14ac:dyDescent="0.25"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>
        <f t="shared" si="34"/>
        <v>0</v>
      </c>
    </row>
    <row r="138" spans="3:22" x14ac:dyDescent="0.25"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>
        <f t="shared" si="34"/>
        <v>0</v>
      </c>
    </row>
    <row r="139" spans="3:22" x14ac:dyDescent="0.25">
      <c r="C139" s="753" t="s">
        <v>420</v>
      </c>
      <c r="D139" s="754"/>
      <c r="E139" s="17">
        <f>SUM(E115:E138)</f>
        <v>7135.7</v>
      </c>
      <c r="F139" s="17">
        <f t="shared" ref="F139:T139" si="35">SUM(F115:F138)</f>
        <v>0</v>
      </c>
      <c r="G139" s="17">
        <f t="shared" si="35"/>
        <v>7135.7</v>
      </c>
      <c r="H139" s="17">
        <f t="shared" si="35"/>
        <v>3531.0839999999998</v>
      </c>
      <c r="I139" s="17">
        <f t="shared" si="35"/>
        <v>621.85417891319275</v>
      </c>
      <c r="J139" s="17">
        <f t="shared" si="35"/>
        <v>640.06570986638349</v>
      </c>
      <c r="K139" s="17">
        <f t="shared" si="35"/>
        <v>599.00327353388286</v>
      </c>
      <c r="L139" s="17">
        <f t="shared" si="35"/>
        <v>470.46081506732492</v>
      </c>
      <c r="M139" s="17">
        <f t="shared" si="35"/>
        <v>577.95044297104687</v>
      </c>
      <c r="N139" s="17">
        <f t="shared" si="35"/>
        <v>508.95593914360171</v>
      </c>
      <c r="O139" s="17">
        <f t="shared" si="35"/>
        <v>624.32787725779269</v>
      </c>
      <c r="P139" s="17">
        <f t="shared" si="35"/>
        <v>481.9046973291658</v>
      </c>
      <c r="Q139" s="17">
        <f t="shared" si="35"/>
        <v>529.74400478157429</v>
      </c>
      <c r="R139" s="17">
        <f t="shared" si="35"/>
        <v>564.55986001368012</v>
      </c>
      <c r="S139" s="17">
        <f t="shared" si="35"/>
        <v>579.6127890295927</v>
      </c>
      <c r="T139" s="17">
        <f t="shared" si="35"/>
        <v>621.17713538206749</v>
      </c>
      <c r="U139" s="86">
        <f>SUM(I139:T139)</f>
        <v>6819.6167232893067</v>
      </c>
      <c r="V139" s="427">
        <v>6820</v>
      </c>
    </row>
    <row r="140" spans="3:22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3:22" x14ac:dyDescent="0.25">
      <c r="C141" s="17"/>
      <c r="D141" s="322" t="s">
        <v>453</v>
      </c>
      <c r="E141" s="17"/>
      <c r="F141" s="17"/>
      <c r="G141" s="17"/>
      <c r="H141" s="17"/>
      <c r="I141" s="66">
        <f>'F11-Year(n+5)'!E141</f>
        <v>0</v>
      </c>
      <c r="J141" s="66">
        <f>'F11-Year(n+5)'!F141</f>
        <v>0</v>
      </c>
      <c r="K141" s="66">
        <f>'F11-Year(n+5)'!G141</f>
        <v>0</v>
      </c>
      <c r="L141" s="66">
        <f>'F11-Year(n+5)'!H141</f>
        <v>0</v>
      </c>
      <c r="M141" s="66">
        <f>'F11-Year(n+5)'!I141</f>
        <v>0</v>
      </c>
      <c r="N141" s="66">
        <f>'F11-Year(n+5)'!J141</f>
        <v>0</v>
      </c>
      <c r="O141" s="66">
        <f>'F11-Year(n+5)'!K141</f>
        <v>0</v>
      </c>
      <c r="P141" s="66">
        <f>'F11-Year(n+5)'!L141</f>
        <v>0</v>
      </c>
      <c r="Q141" s="66">
        <f>'F11-Year(n+5)'!M141</f>
        <v>0</v>
      </c>
      <c r="R141" s="66">
        <f>'F11-Year(n+5)'!N141</f>
        <v>0</v>
      </c>
      <c r="S141" s="66">
        <f>'F11-Year(n+5)'!O141</f>
        <v>0</v>
      </c>
      <c r="T141" s="66">
        <f>'F11-Year(n+5)'!P141</f>
        <v>0</v>
      </c>
      <c r="U141" s="17">
        <f t="shared" ref="U141:U151" si="36">+SUM(I141:T141)</f>
        <v>0</v>
      </c>
    </row>
    <row r="142" spans="3:22" x14ac:dyDescent="0.25">
      <c r="C142" s="17"/>
      <c r="D142" s="322" t="s">
        <v>422</v>
      </c>
      <c r="E142" s="17"/>
      <c r="F142" s="17"/>
      <c r="G142" s="17"/>
      <c r="H142" s="17"/>
      <c r="I142" s="66">
        <f>'F11-Year(n+5)'!E142</f>
        <v>0</v>
      </c>
      <c r="J142" s="66">
        <f>'F11-Year(n+5)'!F142</f>
        <v>0</v>
      </c>
      <c r="K142" s="66">
        <f>'F11-Year(n+5)'!G142</f>
        <v>0</v>
      </c>
      <c r="L142" s="66">
        <f>'F11-Year(n+5)'!H142</f>
        <v>0</v>
      </c>
      <c r="M142" s="66">
        <f>'F11-Year(n+5)'!I142</f>
        <v>0</v>
      </c>
      <c r="N142" s="66">
        <f>'F11-Year(n+5)'!J142</f>
        <v>0</v>
      </c>
      <c r="O142" s="66">
        <f>'F11-Year(n+5)'!K142</f>
        <v>-98.813848208658783</v>
      </c>
      <c r="P142" s="66">
        <f>'F11-Year(n+5)'!L142</f>
        <v>0</v>
      </c>
      <c r="Q142" s="66">
        <f>'F11-Year(n+5)'!M142</f>
        <v>0</v>
      </c>
      <c r="R142" s="66">
        <f>'F11-Year(n+5)'!N142</f>
        <v>0</v>
      </c>
      <c r="S142" s="66">
        <f>'F11-Year(n+5)'!O142</f>
        <v>0</v>
      </c>
      <c r="T142" s="66">
        <f>'F11-Year(n+5)'!P142</f>
        <v>0</v>
      </c>
      <c r="U142" s="17">
        <f t="shared" si="36"/>
        <v>-98.813848208658783</v>
      </c>
    </row>
    <row r="143" spans="3:22" x14ac:dyDescent="0.25"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>
        <f t="shared" si="36"/>
        <v>0</v>
      </c>
    </row>
    <row r="144" spans="3:22" x14ac:dyDescent="0.25"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>
        <f t="shared" si="36"/>
        <v>0</v>
      </c>
    </row>
    <row r="145" spans="3:23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>
        <f t="shared" si="36"/>
        <v>0</v>
      </c>
    </row>
    <row r="146" spans="3:23" x14ac:dyDescent="0.25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>
        <f t="shared" si="36"/>
        <v>0</v>
      </c>
    </row>
    <row r="147" spans="3:23" x14ac:dyDescent="0.25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>
        <f t="shared" si="36"/>
        <v>0</v>
      </c>
    </row>
    <row r="148" spans="3:23" x14ac:dyDescent="0.25"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>
        <f t="shared" si="36"/>
        <v>0</v>
      </c>
    </row>
    <row r="149" spans="3:23" x14ac:dyDescent="0.25"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>
        <f t="shared" si="36"/>
        <v>0</v>
      </c>
    </row>
    <row r="150" spans="3:23" x14ac:dyDescent="0.25"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>
        <f t="shared" si="36"/>
        <v>0</v>
      </c>
    </row>
    <row r="151" spans="3:23" x14ac:dyDescent="0.25"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>
        <f t="shared" si="36"/>
        <v>0</v>
      </c>
    </row>
    <row r="152" spans="3:23" x14ac:dyDescent="0.25">
      <c r="C152" s="753" t="s">
        <v>423</v>
      </c>
      <c r="D152" s="754"/>
      <c r="E152" s="17">
        <f>SUM(E141:E151)</f>
        <v>0</v>
      </c>
      <c r="F152" s="17">
        <f t="shared" ref="F152:T152" si="37">SUM(F141:F151)</f>
        <v>0</v>
      </c>
      <c r="G152" s="17">
        <f t="shared" si="37"/>
        <v>0</v>
      </c>
      <c r="H152" s="17">
        <f t="shared" si="37"/>
        <v>0</v>
      </c>
      <c r="I152" s="17">
        <f t="shared" si="37"/>
        <v>0</v>
      </c>
      <c r="J152" s="17">
        <f t="shared" si="37"/>
        <v>0</v>
      </c>
      <c r="K152" s="17">
        <f t="shared" si="37"/>
        <v>0</v>
      </c>
      <c r="L152" s="17">
        <f t="shared" si="37"/>
        <v>0</v>
      </c>
      <c r="M152" s="17">
        <f t="shared" si="37"/>
        <v>0</v>
      </c>
      <c r="N152" s="17">
        <f t="shared" si="37"/>
        <v>0</v>
      </c>
      <c r="O152" s="17">
        <f t="shared" si="37"/>
        <v>-98.813848208658783</v>
      </c>
      <c r="P152" s="17">
        <f t="shared" si="37"/>
        <v>0</v>
      </c>
      <c r="Q152" s="17">
        <f t="shared" si="37"/>
        <v>0</v>
      </c>
      <c r="R152" s="17">
        <f t="shared" si="37"/>
        <v>0</v>
      </c>
      <c r="S152" s="17">
        <f t="shared" si="37"/>
        <v>0</v>
      </c>
      <c r="T152" s="17">
        <f t="shared" si="37"/>
        <v>0</v>
      </c>
      <c r="U152" s="86">
        <f>SUM(I152:T152)</f>
        <v>-98.813848208658783</v>
      </c>
      <c r="V152" s="428">
        <v>0</v>
      </c>
    </row>
    <row r="153" spans="3:23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</row>
    <row r="154" spans="3:23" x14ac:dyDescent="0.25">
      <c r="C154" s="17" t="s">
        <v>425</v>
      </c>
      <c r="D154" s="17" t="s">
        <v>426</v>
      </c>
      <c r="E154" s="17"/>
      <c r="F154" s="17"/>
      <c r="G154" s="17"/>
      <c r="H154" s="17"/>
      <c r="I154" s="66" t="str">
        <f>'F11-Year(n+5)'!E154</f>
        <v>;</v>
      </c>
      <c r="J154" s="66">
        <f>'F11-Year(n+5)'!F154</f>
        <v>-638.22009050709221</v>
      </c>
      <c r="K154" s="66">
        <f>'F11-Year(n+5)'!G154</f>
        <v>-660.96766373912988</v>
      </c>
      <c r="L154" s="66">
        <f>'F11-Year(n+5)'!H154</f>
        <v>-572.23438007479149</v>
      </c>
      <c r="M154" s="66">
        <f>'F11-Year(n+5)'!I154</f>
        <v>-706.41513561055854</v>
      </c>
      <c r="N154" s="66">
        <f>'F11-Year(n+5)'!J154</f>
        <v>-681.54916852458337</v>
      </c>
      <c r="O154" s="66">
        <f>'F11-Year(n+5)'!K154</f>
        <v>-685.25713523233298</v>
      </c>
      <c r="P154" s="66">
        <f>'F11-Year(n+5)'!L154</f>
        <v>-622.45114767828363</v>
      </c>
      <c r="Q154" s="66">
        <f>'F11-Year(n+5)'!M154</f>
        <v>-443.51197135112943</v>
      </c>
      <c r="R154" s="66">
        <f>'F11-Year(n+5)'!N154</f>
        <v>-426.17658938351497</v>
      </c>
      <c r="S154" s="66">
        <f>'F11-Year(n+5)'!O154</f>
        <v>-59.748476047714121</v>
      </c>
      <c r="T154" s="66">
        <f>'F11-Year(n+5)'!P154</f>
        <v>-59.932747906500481</v>
      </c>
      <c r="U154" s="17">
        <f t="shared" ref="U154:U155" si="38">+SUM(I154:T154)</f>
        <v>-5556.4645060556313</v>
      </c>
    </row>
    <row r="155" spans="3:23" x14ac:dyDescent="0.25">
      <c r="C155" s="17" t="s">
        <v>425</v>
      </c>
      <c r="D155" s="17" t="s">
        <v>427</v>
      </c>
      <c r="E155" s="17"/>
      <c r="F155" s="17"/>
      <c r="G155" s="17"/>
      <c r="H155" s="17"/>
      <c r="I155" s="66">
        <f>'F11-Year(n+5)'!E155</f>
        <v>0</v>
      </c>
      <c r="J155" s="66">
        <f>'F11-Year(n+5)'!F155</f>
        <v>0</v>
      </c>
      <c r="K155" s="66">
        <f>'F11-Year(n+5)'!G155</f>
        <v>0</v>
      </c>
      <c r="L155" s="66">
        <f>'F11-Year(n+5)'!H155</f>
        <v>0</v>
      </c>
      <c r="M155" s="66">
        <f>'F11-Year(n+5)'!I155</f>
        <v>0</v>
      </c>
      <c r="N155" s="66">
        <f>'F11-Year(n+5)'!J155</f>
        <v>0</v>
      </c>
      <c r="O155" s="66">
        <f>'F11-Year(n+5)'!K155</f>
        <v>0</v>
      </c>
      <c r="P155" s="66">
        <f>'F11-Year(n+5)'!L155</f>
        <v>0</v>
      </c>
      <c r="Q155" s="66">
        <f>'F11-Year(n+5)'!M155</f>
        <v>0</v>
      </c>
      <c r="R155" s="66">
        <f>'F11-Year(n+5)'!N155</f>
        <v>0</v>
      </c>
      <c r="S155" s="66">
        <f>'F11-Year(n+5)'!O155</f>
        <v>0</v>
      </c>
      <c r="T155" s="66">
        <f>'F11-Year(n+5)'!P155</f>
        <v>0</v>
      </c>
      <c r="U155" s="17">
        <f t="shared" si="38"/>
        <v>0</v>
      </c>
    </row>
    <row r="156" spans="3:23" x14ac:dyDescent="0.25">
      <c r="C156" s="753" t="s">
        <v>428</v>
      </c>
      <c r="D156" s="754"/>
      <c r="E156" s="17">
        <f>SUM(E154:E155)</f>
        <v>0</v>
      </c>
      <c r="F156" s="17">
        <f t="shared" ref="F156:T156" si="39">SUM(F154:F155)</f>
        <v>0</v>
      </c>
      <c r="G156" s="17">
        <f t="shared" si="39"/>
        <v>0</v>
      </c>
      <c r="H156" s="17">
        <f t="shared" si="39"/>
        <v>0</v>
      </c>
      <c r="I156" s="17">
        <f t="shared" si="39"/>
        <v>0</v>
      </c>
      <c r="J156" s="17">
        <f t="shared" si="39"/>
        <v>-638.22009050709221</v>
      </c>
      <c r="K156" s="17">
        <f t="shared" si="39"/>
        <v>-660.96766373912988</v>
      </c>
      <c r="L156" s="17">
        <f t="shared" si="39"/>
        <v>-572.23438007479149</v>
      </c>
      <c r="M156" s="17">
        <f t="shared" si="39"/>
        <v>-706.41513561055854</v>
      </c>
      <c r="N156" s="17">
        <f t="shared" si="39"/>
        <v>-681.54916852458337</v>
      </c>
      <c r="O156" s="17">
        <f t="shared" si="39"/>
        <v>-685.25713523233298</v>
      </c>
      <c r="P156" s="17">
        <f t="shared" si="39"/>
        <v>-622.45114767828363</v>
      </c>
      <c r="Q156" s="17">
        <f t="shared" si="39"/>
        <v>-443.51197135112943</v>
      </c>
      <c r="R156" s="17">
        <f t="shared" si="39"/>
        <v>-426.17658938351497</v>
      </c>
      <c r="S156" s="17">
        <f t="shared" si="39"/>
        <v>-59.748476047714121</v>
      </c>
      <c r="T156" s="17">
        <f t="shared" si="39"/>
        <v>-59.932747906500481</v>
      </c>
      <c r="U156" s="86">
        <f>U154-U155</f>
        <v>-5556.4645060556313</v>
      </c>
    </row>
    <row r="157" spans="3:23" x14ac:dyDescent="0.25">
      <c r="C157" s="753" t="s">
        <v>220</v>
      </c>
      <c r="D157" s="754"/>
      <c r="E157" s="17">
        <f t="shared" ref="E157:U157" si="40">E48+E94+E103+E113+E139+E152+E156</f>
        <v>40784.959999999999</v>
      </c>
      <c r="F157" s="17">
        <f t="shared" si="40"/>
        <v>0</v>
      </c>
      <c r="G157" s="17">
        <f t="shared" si="40"/>
        <v>25263.048612376988</v>
      </c>
      <c r="H157" s="17">
        <f t="shared" si="40"/>
        <v>8407.223166345022</v>
      </c>
      <c r="I157" s="17">
        <f t="shared" si="40"/>
        <v>3255.3475177873338</v>
      </c>
      <c r="J157" s="17">
        <f t="shared" si="40"/>
        <v>2725.3860248746387</v>
      </c>
      <c r="K157" s="17">
        <f t="shared" si="40"/>
        <v>2578.0538645620522</v>
      </c>
      <c r="L157" s="17">
        <f t="shared" si="40"/>
        <v>2702.0323446400953</v>
      </c>
      <c r="M157" s="17">
        <f t="shared" si="40"/>
        <v>2869.0423890340662</v>
      </c>
      <c r="N157" s="17">
        <f t="shared" si="40"/>
        <v>2572.1059982201882</v>
      </c>
      <c r="O157" s="17">
        <f t="shared" si="40"/>
        <v>2688.1911985933148</v>
      </c>
      <c r="P157" s="17">
        <f t="shared" si="40"/>
        <v>2498.161668258188</v>
      </c>
      <c r="Q157" s="17">
        <f t="shared" si="40"/>
        <v>2856.8468829943758</v>
      </c>
      <c r="R157" s="17">
        <f t="shared" si="40"/>
        <v>3009.3687835352812</v>
      </c>
      <c r="S157" s="17">
        <f t="shared" si="40"/>
        <v>3111.9340023610553</v>
      </c>
      <c r="T157" s="17">
        <f t="shared" si="40"/>
        <v>3309.3155254368567</v>
      </c>
      <c r="U157" s="86">
        <f t="shared" si="40"/>
        <v>34175.786200297443</v>
      </c>
      <c r="V157" s="428">
        <v>39832</v>
      </c>
      <c r="W157" s="429">
        <f>V157-U160</f>
        <v>0.93544543827010784</v>
      </c>
    </row>
    <row r="159" spans="3:23" x14ac:dyDescent="0.25">
      <c r="D159" s="22"/>
      <c r="E159" s="22"/>
      <c r="F159" s="22"/>
      <c r="G159" s="22"/>
      <c r="H159" s="22"/>
      <c r="I159" s="22"/>
    </row>
    <row r="160" spans="3:23" x14ac:dyDescent="0.25">
      <c r="D160" s="24"/>
      <c r="E160" s="24"/>
      <c r="F160" s="24"/>
      <c r="G160" s="24"/>
      <c r="H160" s="24"/>
      <c r="I160" s="24"/>
      <c r="U160" s="64">
        <f>U157-U156-U152+V152</f>
        <v>39831.06455456173</v>
      </c>
    </row>
    <row r="161" spans="5:9" x14ac:dyDescent="0.25">
      <c r="E161" s="24"/>
      <c r="F161" s="24"/>
      <c r="G161" s="24"/>
      <c r="H161" s="24"/>
      <c r="I161" s="24"/>
    </row>
    <row r="162" spans="5:9" x14ac:dyDescent="0.25">
      <c r="E162" s="24"/>
      <c r="F162" s="24"/>
      <c r="G162" s="24"/>
      <c r="H162" s="24"/>
      <c r="I162" s="24"/>
    </row>
  </sheetData>
  <mergeCells count="34">
    <mergeCell ref="C9:C26"/>
    <mergeCell ref="C29:C46"/>
    <mergeCell ref="C51:C59"/>
    <mergeCell ref="C93:D93"/>
    <mergeCell ref="E4:E6"/>
    <mergeCell ref="C48:D48"/>
    <mergeCell ref="C49:D49"/>
    <mergeCell ref="C50:D50"/>
    <mergeCell ref="C47:D47"/>
    <mergeCell ref="C27:D27"/>
    <mergeCell ref="C28:D28"/>
    <mergeCell ref="C79:C82"/>
    <mergeCell ref="C77:D77"/>
    <mergeCell ref="C78:D78"/>
    <mergeCell ref="F4:F6"/>
    <mergeCell ref="I4:U4"/>
    <mergeCell ref="C7:D7"/>
    <mergeCell ref="C8:D8"/>
    <mergeCell ref="G4:G6"/>
    <mergeCell ref="H4:H6"/>
    <mergeCell ref="C4:C6"/>
    <mergeCell ref="D4:D6"/>
    <mergeCell ref="C157:D157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Q166"/>
  <sheetViews>
    <sheetView showGridLines="0" view="pageBreakPreview" zoomScale="60" zoomScaleNormal="60" workbookViewId="0">
      <selection activeCell="K17" sqref="K17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2.88671875" style="4" customWidth="1"/>
    <col min="5" max="7" width="16.44140625" style="4" hidden="1" customWidth="1"/>
    <col min="8" max="8" width="16.88671875" style="4" hidden="1" customWidth="1"/>
    <col min="9" max="9" width="13.88671875" style="4" hidden="1" customWidth="1"/>
    <col min="10" max="10" width="12.5546875" style="4" hidden="1" customWidth="1"/>
    <col min="11" max="11" width="13.44140625" style="4" hidden="1" customWidth="1"/>
    <col min="12" max="12" width="25" style="4" customWidth="1"/>
    <col min="13" max="13" width="15.6640625" style="4" hidden="1" customWidth="1"/>
    <col min="14" max="14" width="14.88671875" style="4" hidden="1" customWidth="1"/>
    <col min="15" max="15" width="12.5546875" style="4" hidden="1" customWidth="1"/>
    <col min="16" max="16" width="11.88671875" style="4" hidden="1" customWidth="1"/>
    <col min="17" max="17" width="13.88671875" style="4" bestFit="1" customWidth="1"/>
    <col min="18" max="20" width="11.88671875" style="4" bestFit="1" customWidth="1"/>
    <col min="21" max="21" width="11.44140625" style="4" bestFit="1" customWidth="1"/>
    <col min="22" max="22" width="12.44140625" style="4" customWidth="1"/>
    <col min="23" max="23" width="12.88671875" style="4" customWidth="1"/>
    <col min="24" max="16384" width="9.109375" style="4"/>
  </cols>
  <sheetData>
    <row r="2" spans="2:16" ht="14.25" customHeight="1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6" ht="14.25" customHeight="1" x14ac:dyDescent="0.25">
      <c r="C3" s="826" t="s">
        <v>457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2:16" x14ac:dyDescent="0.25">
      <c r="B4" s="14"/>
      <c r="C4" s="14"/>
      <c r="D4" s="57"/>
      <c r="E4" s="57"/>
      <c r="F4" s="57"/>
      <c r="G4" s="57"/>
      <c r="H4" s="57"/>
      <c r="I4" s="57"/>
      <c r="J4" s="57"/>
      <c r="K4" s="57"/>
      <c r="L4" s="25" t="s">
        <v>229</v>
      </c>
      <c r="P4" s="15" t="s">
        <v>229</v>
      </c>
    </row>
    <row r="5" spans="2:16" hidden="1" x14ac:dyDescent="0.25">
      <c r="B5" s="60"/>
      <c r="C5" s="827" t="s">
        <v>346</v>
      </c>
      <c r="D5" s="762" t="s">
        <v>347</v>
      </c>
      <c r="E5" s="755" t="s">
        <v>299</v>
      </c>
      <c r="F5" s="756"/>
      <c r="G5" s="757"/>
      <c r="H5" s="755" t="s">
        <v>300</v>
      </c>
      <c r="I5" s="756"/>
      <c r="J5" s="756"/>
      <c r="K5" s="756"/>
      <c r="L5" s="768" t="s">
        <v>9</v>
      </c>
      <c r="M5" s="768"/>
      <c r="N5" s="768"/>
      <c r="O5" s="768"/>
      <c r="P5" s="768"/>
    </row>
    <row r="6" spans="2:16" ht="27.6" x14ac:dyDescent="0.25">
      <c r="B6" s="60"/>
      <c r="C6" s="828"/>
      <c r="D6" s="764"/>
      <c r="E6" s="7" t="s">
        <v>10</v>
      </c>
      <c r="F6" s="7" t="s">
        <v>11</v>
      </c>
      <c r="G6" s="7" t="s">
        <v>12</v>
      </c>
      <c r="H6" s="7" t="s">
        <v>10</v>
      </c>
      <c r="I6" s="7" t="s">
        <v>13</v>
      </c>
      <c r="J6" s="7" t="s">
        <v>14</v>
      </c>
      <c r="K6" s="7" t="s">
        <v>15</v>
      </c>
      <c r="L6" s="514" t="s">
        <v>1235</v>
      </c>
      <c r="M6" s="7" t="s">
        <v>301</v>
      </c>
      <c r="N6" s="7" t="s">
        <v>302</v>
      </c>
      <c r="O6" s="7" t="s">
        <v>303</v>
      </c>
      <c r="P6" s="7" t="s">
        <v>304</v>
      </c>
    </row>
    <row r="7" spans="2:16" ht="15" customHeight="1" x14ac:dyDescent="0.25">
      <c r="B7" s="60"/>
      <c r="C7" s="829"/>
      <c r="D7" s="766"/>
      <c r="E7" s="7" t="s">
        <v>21</v>
      </c>
      <c r="F7" s="7" t="s">
        <v>22</v>
      </c>
      <c r="G7" s="7" t="s">
        <v>23</v>
      </c>
      <c r="H7" s="7" t="s">
        <v>21</v>
      </c>
      <c r="I7" s="7" t="s">
        <v>24</v>
      </c>
      <c r="J7" s="7" t="s">
        <v>25</v>
      </c>
      <c r="K7" s="7" t="s">
        <v>25</v>
      </c>
      <c r="L7" s="7" t="s">
        <v>26</v>
      </c>
      <c r="M7" s="7" t="s">
        <v>26</v>
      </c>
      <c r="N7" s="7" t="s">
        <v>26</v>
      </c>
      <c r="O7" s="7" t="s">
        <v>26</v>
      </c>
      <c r="P7" s="7" t="s">
        <v>26</v>
      </c>
    </row>
    <row r="8" spans="2:16" x14ac:dyDescent="0.25">
      <c r="B8" s="60"/>
      <c r="C8" s="800" t="s">
        <v>348</v>
      </c>
      <c r="D8" s="801"/>
      <c r="E8" s="59"/>
      <c r="F8" s="59"/>
      <c r="G8" s="58"/>
      <c r="H8" s="59"/>
      <c r="I8" s="17"/>
      <c r="J8" s="17"/>
      <c r="K8" s="17"/>
      <c r="L8" s="17"/>
      <c r="M8" s="17"/>
      <c r="N8" s="17"/>
      <c r="O8" s="17"/>
      <c r="P8" s="17"/>
    </row>
    <row r="9" spans="2:16" x14ac:dyDescent="0.25">
      <c r="C9" s="753" t="s">
        <v>349</v>
      </c>
      <c r="D9" s="754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2:16" ht="14.25" customHeight="1" x14ac:dyDescent="0.25">
      <c r="B10" s="60"/>
      <c r="C10" s="802" t="s">
        <v>350</v>
      </c>
      <c r="D10" s="59" t="s">
        <v>351</v>
      </c>
      <c r="E10" s="109">
        <f>[44]F8!E9</f>
        <v>2249.0846149999998</v>
      </c>
      <c r="F10" s="109">
        <f>'F11-Year(n-1)'!Q10</f>
        <v>0</v>
      </c>
      <c r="G10" s="109"/>
      <c r="H10" s="109">
        <f>'F8'!H9</f>
        <v>897.72140499999989</v>
      </c>
      <c r="I10" s="66">
        <f>SUM('F11-Year(n)'!E10:J10)</f>
        <v>456.82960745000003</v>
      </c>
      <c r="J10" s="66">
        <f>SUM('F11-Year(n)'!K10:'F11-Year(n)'!P10)</f>
        <v>456.55613475000001</v>
      </c>
      <c r="K10" s="66">
        <f t="shared" ref="K10:K27" si="0">I10+J10</f>
        <v>913.3857422000001</v>
      </c>
      <c r="L10" s="66">
        <f>'F11-Year(n+2)'!Q10</f>
        <v>640.57448903200793</v>
      </c>
      <c r="M10" s="66" t="e">
        <f>#REF!</f>
        <v>#REF!</v>
      </c>
      <c r="N10" s="66">
        <f>'F11-Year(n+3) '!Q10</f>
        <v>644.16831211851638</v>
      </c>
      <c r="O10" s="66">
        <f>'F11-Year(n+4)'!Q10</f>
        <v>665.86450615757258</v>
      </c>
      <c r="P10" s="66">
        <f>'F11-Year(n+5)'!Q10</f>
        <v>731.75663905636861</v>
      </c>
    </row>
    <row r="11" spans="2:16" ht="14.25" customHeight="1" x14ac:dyDescent="0.25">
      <c r="B11" s="60"/>
      <c r="C11" s="803"/>
      <c r="D11" s="59" t="s">
        <v>352</v>
      </c>
      <c r="E11" s="109">
        <f>[44]F8!E10</f>
        <v>2286.6665999999996</v>
      </c>
      <c r="F11" s="109">
        <f>'F11-Year(n-1)'!Q11</f>
        <v>0</v>
      </c>
      <c r="G11" s="109"/>
      <c r="H11" s="109">
        <f>'F8'!H10</f>
        <v>898.08952999999985</v>
      </c>
      <c r="I11" s="66">
        <f>SUM('F11-Year(n)'!E11:J11)</f>
        <v>500.69812129999997</v>
      </c>
      <c r="J11" s="66">
        <f>SUM('F11-Year(n)'!K11:'F11-Year(n)'!P11)</f>
        <v>434.05327194999995</v>
      </c>
      <c r="K11" s="66">
        <f t="shared" si="0"/>
        <v>934.75139324999986</v>
      </c>
      <c r="L11" s="66">
        <f>'F11-Year(n+2)'!Q11</f>
        <v>746.91779549226931</v>
      </c>
      <c r="M11" s="66" t="e">
        <f>#REF!</f>
        <v>#REF!</v>
      </c>
      <c r="N11" s="66">
        <f>'F11-Year(n+3) '!Q11</f>
        <v>638.87334272363353</v>
      </c>
      <c r="O11" s="66">
        <f>'F11-Year(n+4)'!Q11</f>
        <v>670.89656145522417</v>
      </c>
      <c r="P11" s="66">
        <f>'F11-Year(n+5)'!Q11</f>
        <v>739.40944391453445</v>
      </c>
    </row>
    <row r="12" spans="2:16" ht="14.25" customHeight="1" x14ac:dyDescent="0.25">
      <c r="B12" s="60"/>
      <c r="C12" s="803"/>
      <c r="D12" s="59" t="s">
        <v>353</v>
      </c>
      <c r="E12" s="109">
        <f>[44]F8!E11</f>
        <v>3981.8913849999994</v>
      </c>
      <c r="F12" s="109">
        <f>'F11-Year(n-1)'!Q12</f>
        <v>0</v>
      </c>
      <c r="G12" s="109"/>
      <c r="H12" s="109">
        <f>'F8'!H11</f>
        <v>1577.0622249999999</v>
      </c>
      <c r="I12" s="66">
        <f>SUM('F11-Year(n)'!E12:J12)</f>
        <v>871.50860200999989</v>
      </c>
      <c r="J12" s="66">
        <f>SUM('F11-Year(n)'!K12:'F11-Year(n)'!P12)</f>
        <v>823.81508711449999</v>
      </c>
      <c r="K12" s="66">
        <f t="shared" si="0"/>
        <v>1695.3236891244999</v>
      </c>
      <c r="L12" s="66">
        <f>'F11-Year(n+2)'!Q12</f>
        <v>1175.7345078196299</v>
      </c>
      <c r="M12" s="66" t="e">
        <f>#REF!</f>
        <v>#REF!</v>
      </c>
      <c r="N12" s="66">
        <f>'F11-Year(n+3) '!Q12</f>
        <v>1063.0756126862154</v>
      </c>
      <c r="O12" s="66">
        <f>'F11-Year(n+4)'!Q12</f>
        <v>1109.7665689974012</v>
      </c>
      <c r="P12" s="66">
        <f>'F11-Year(n+5)'!Q12</f>
        <v>1227.4101544450214</v>
      </c>
    </row>
    <row r="13" spans="2:16" ht="14.25" customHeight="1" x14ac:dyDescent="0.25">
      <c r="B13" s="60"/>
      <c r="C13" s="803"/>
      <c r="D13" s="59" t="s">
        <v>354</v>
      </c>
      <c r="E13" s="109">
        <f>[44]F8!E12</f>
        <v>260.79512999999997</v>
      </c>
      <c r="F13" s="109">
        <f>'F11-Year(n-1)'!Q13</f>
        <v>0</v>
      </c>
      <c r="G13" s="109"/>
      <c r="H13" s="109">
        <f>'F8'!H12</f>
        <v>89.174600000000012</v>
      </c>
      <c r="I13" s="66">
        <f>SUM('F11-Year(n)'!E13:J13)</f>
        <v>34.632478474999992</v>
      </c>
      <c r="J13" s="66">
        <f>SUM('F11-Year(n)'!K13:'F11-Year(n)'!P13)</f>
        <v>29.880131974999998</v>
      </c>
      <c r="K13" s="66">
        <f t="shared" si="0"/>
        <v>64.512610449999983</v>
      </c>
      <c r="L13" s="66">
        <f>'F11-Year(n+2)'!Q13</f>
        <v>0</v>
      </c>
      <c r="M13" s="66" t="e">
        <f>#REF!</f>
        <v>#REF!</v>
      </c>
      <c r="N13" s="66">
        <f>'F11-Year(n+3) '!Q13</f>
        <v>75.454752155244762</v>
      </c>
      <c r="O13" s="66">
        <f>'F11-Year(n+4)'!Q13</f>
        <v>78.413580151539207</v>
      </c>
      <c r="P13" s="66">
        <f>'F11-Year(n+5)'!Q13</f>
        <v>87.050708940498808</v>
      </c>
    </row>
    <row r="14" spans="2:16" ht="14.25" customHeight="1" x14ac:dyDescent="0.25">
      <c r="B14" s="60"/>
      <c r="C14" s="803"/>
      <c r="D14" s="59" t="s">
        <v>355</v>
      </c>
      <c r="E14" s="109">
        <f>[44]F8!E13</f>
        <v>2286.6665999999996</v>
      </c>
      <c r="F14" s="109">
        <f>'F11-Year(n-1)'!Q14</f>
        <v>0</v>
      </c>
      <c r="G14" s="109"/>
      <c r="H14" s="109">
        <f>'F8'!H13</f>
        <v>783.15796</v>
      </c>
      <c r="I14" s="66">
        <f>SUM('F11-Year(n)'!E14:J14)</f>
        <v>509.43792947600002</v>
      </c>
      <c r="J14" s="66">
        <f>SUM('F11-Year(n)'!K14:'F11-Year(n)'!P14)</f>
        <v>527.5883879669999</v>
      </c>
      <c r="K14" s="66">
        <f t="shared" si="0"/>
        <v>1037.0263174429999</v>
      </c>
      <c r="L14" s="66">
        <f>'F11-Year(n+2)'!Q14</f>
        <v>789.36469173367948</v>
      </c>
      <c r="M14" s="66" t="e">
        <f>#REF!</f>
        <v>#REF!</v>
      </c>
      <c r="N14" s="66">
        <f>'F11-Year(n+3) '!Q14</f>
        <v>782.95912959883481</v>
      </c>
      <c r="O14" s="66">
        <f>'F11-Year(n+4)'!Q14</f>
        <v>829.38289349170907</v>
      </c>
      <c r="P14" s="66">
        <f>'F11-Year(n+5)'!Q14</f>
        <v>850.36734834198364</v>
      </c>
    </row>
    <row r="15" spans="2:16" ht="14.25" customHeight="1" x14ac:dyDescent="0.25">
      <c r="B15" s="60"/>
      <c r="C15" s="803"/>
      <c r="D15" s="59" t="s">
        <v>356</v>
      </c>
      <c r="E15" s="109">
        <f>[44]F8!E14</f>
        <v>2758.82953</v>
      </c>
      <c r="F15" s="109">
        <f>'F11-Year(n-1)'!Q15</f>
        <v>0</v>
      </c>
      <c r="G15" s="109"/>
      <c r="H15" s="109">
        <f>'F8'!H14</f>
        <v>1070.751935</v>
      </c>
      <c r="I15" s="66">
        <f>SUM('F11-Year(n)'!E15:J15)</f>
        <v>609.595210189</v>
      </c>
      <c r="J15" s="66">
        <f>SUM('F11-Year(n)'!K15:'F11-Year(n)'!P15)</f>
        <v>632.9005045015</v>
      </c>
      <c r="K15" s="66">
        <f t="shared" si="0"/>
        <v>1242.4957146904999</v>
      </c>
      <c r="L15" s="66">
        <f>'F11-Year(n+2)'!Q15</f>
        <v>1147.4705000372148</v>
      </c>
      <c r="M15" s="66" t="e">
        <f>#REF!</f>
        <v>#REF!</v>
      </c>
      <c r="N15" s="66">
        <f>'F11-Year(n+3) '!Q15</f>
        <v>960.85758719015746</v>
      </c>
      <c r="O15" s="66">
        <f>'F11-Year(n+4)'!Q15</f>
        <v>1007.6667402790546</v>
      </c>
      <c r="P15" s="66">
        <f>'F11-Year(n+5)'!Q15</f>
        <v>1101.3039709368622</v>
      </c>
    </row>
    <row r="16" spans="2:16" ht="14.25" customHeight="1" x14ac:dyDescent="0.25">
      <c r="B16" s="60"/>
      <c r="C16" s="803"/>
      <c r="D16" s="59" t="s">
        <v>357</v>
      </c>
      <c r="E16" s="109">
        <f>[44]F8!E15</f>
        <v>5193.25605</v>
      </c>
      <c r="F16" s="109">
        <f>'F11-Year(n-1)'!Q16</f>
        <v>0</v>
      </c>
      <c r="G16" s="109"/>
      <c r="H16" s="109">
        <f>'F8'!H15</f>
        <v>2136.6033900000002</v>
      </c>
      <c r="I16" s="66">
        <f>SUM('F11-Year(n)'!E16:J16)</f>
        <v>841.35233800000003</v>
      </c>
      <c r="J16" s="66">
        <f>SUM('F11-Year(n)'!K16:'F11-Year(n)'!P16)</f>
        <v>1021.4753115</v>
      </c>
      <c r="K16" s="66">
        <f t="shared" si="0"/>
        <v>1862.8276495</v>
      </c>
      <c r="L16" s="66">
        <f>'F11-Year(n+2)'!Q16</f>
        <v>2137.9203774706566</v>
      </c>
      <c r="M16" s="66" t="e">
        <f>#REF!</f>
        <v>#REF!</v>
      </c>
      <c r="N16" s="66">
        <f>'F11-Year(n+3) '!Q16</f>
        <v>1696.2833755094148</v>
      </c>
      <c r="O16" s="66">
        <f>'F11-Year(n+4)'!Q16</f>
        <v>1784.3276260288758</v>
      </c>
      <c r="P16" s="66">
        <f>'F11-Year(n+5)'!Q16</f>
        <v>1929.318549238094</v>
      </c>
    </row>
    <row r="17" spans="2:16" x14ac:dyDescent="0.25">
      <c r="B17" s="60"/>
      <c r="C17" s="803"/>
      <c r="D17" s="59" t="s">
        <v>358</v>
      </c>
      <c r="E17" s="109">
        <f>[44]F8!E16</f>
        <v>0</v>
      </c>
      <c r="F17" s="109">
        <f>'F11-Year(n-1)'!Q17</f>
        <v>0</v>
      </c>
      <c r="G17" s="109"/>
      <c r="H17" s="109">
        <f>'F8'!H16</f>
        <v>266.66975000000002</v>
      </c>
      <c r="I17" s="66">
        <f>SUM('F11-Year(n)'!E17:J17)</f>
        <v>0</v>
      </c>
      <c r="J17" s="66">
        <f>SUM('F11-Year(n)'!K17:'F11-Year(n)'!P17)</f>
        <v>0</v>
      </c>
      <c r="K17" s="66">
        <f t="shared" si="0"/>
        <v>0</v>
      </c>
      <c r="L17" s="66">
        <f>'F11-Year(n+2)'!Q17</f>
        <v>7013.0267573026449</v>
      </c>
      <c r="M17" s="66" t="e">
        <f>#REF!</f>
        <v>#REF!</v>
      </c>
      <c r="N17" s="66">
        <f>'F11-Year(n+3) '!Q17</f>
        <v>6758.9653290457754</v>
      </c>
      <c r="O17" s="66">
        <f>'F11-Year(n+4)'!Q17</f>
        <v>7122.7494119805369</v>
      </c>
      <c r="P17" s="66">
        <f>'F11-Year(n+5)'!Q17</f>
        <v>7627.8585127382366</v>
      </c>
    </row>
    <row r="18" spans="2:16" hidden="1" x14ac:dyDescent="0.25">
      <c r="B18" s="60"/>
      <c r="C18" s="803"/>
      <c r="D18" s="59"/>
      <c r="E18" s="109"/>
      <c r="F18" s="109">
        <f>'F11-Year(n-1)'!Q18</f>
        <v>0</v>
      </c>
      <c r="G18" s="109"/>
      <c r="H18" s="109"/>
      <c r="I18" s="66">
        <f>SUM('F11-Year(n)'!E18:J18)</f>
        <v>0</v>
      </c>
      <c r="J18" s="66">
        <f>SUM('F11-Year(n)'!K18:'F11-Year(n)'!P18)</f>
        <v>0</v>
      </c>
      <c r="K18" s="66">
        <f t="shared" si="0"/>
        <v>0</v>
      </c>
      <c r="L18" s="66">
        <f>'F11-Year(n+2)'!Q18</f>
        <v>0</v>
      </c>
      <c r="M18" s="66" t="e">
        <f>#REF!</f>
        <v>#REF!</v>
      </c>
      <c r="N18" s="66">
        <f>'F11-Year(n+3) '!Q18</f>
        <v>0</v>
      </c>
      <c r="O18" s="66">
        <f>'F11-Year(n+4)'!Q18</f>
        <v>0</v>
      </c>
      <c r="P18" s="66">
        <f>'F11-Year(n+5)'!Q18</f>
        <v>0</v>
      </c>
    </row>
    <row r="19" spans="2:16" hidden="1" x14ac:dyDescent="0.25">
      <c r="B19" s="60"/>
      <c r="C19" s="803"/>
      <c r="D19" s="59"/>
      <c r="E19" s="109"/>
      <c r="F19" s="109">
        <f>'F11-Year(n-1)'!Q19</f>
        <v>0</v>
      </c>
      <c r="G19" s="109"/>
      <c r="H19" s="109"/>
      <c r="I19" s="66">
        <f>SUM('F11-Year(n)'!E19:J19)</f>
        <v>0</v>
      </c>
      <c r="J19" s="66">
        <f>SUM('F11-Year(n)'!K19:'F11-Year(n)'!P19)</f>
        <v>0</v>
      </c>
      <c r="K19" s="66">
        <f t="shared" si="0"/>
        <v>0</v>
      </c>
      <c r="L19" s="66">
        <f>'F11-Year(n+2)'!Q19</f>
        <v>0</v>
      </c>
      <c r="M19" s="66" t="e">
        <f>#REF!</f>
        <v>#REF!</v>
      </c>
      <c r="N19" s="66">
        <f>'F11-Year(n+3) '!Q19</f>
        <v>0</v>
      </c>
      <c r="O19" s="66">
        <f>'F11-Year(n+4)'!Q19</f>
        <v>0</v>
      </c>
      <c r="P19" s="66">
        <f>'F11-Year(n+5)'!Q19</f>
        <v>0</v>
      </c>
    </row>
    <row r="20" spans="2:16" hidden="1" x14ac:dyDescent="0.25">
      <c r="B20" s="60"/>
      <c r="C20" s="803"/>
      <c r="D20" s="59"/>
      <c r="E20" s="109"/>
      <c r="F20" s="109">
        <f>'F11-Year(n-1)'!Q20</f>
        <v>0</v>
      </c>
      <c r="G20" s="109"/>
      <c r="H20" s="109"/>
      <c r="I20" s="66">
        <f>SUM('F11-Year(n)'!E20:J20)</f>
        <v>0</v>
      </c>
      <c r="J20" s="66">
        <f>SUM('F11-Year(n)'!K20:'F11-Year(n)'!P20)</f>
        <v>0</v>
      </c>
      <c r="K20" s="66">
        <f t="shared" si="0"/>
        <v>0</v>
      </c>
      <c r="L20" s="66">
        <f>'F11-Year(n+2)'!Q20</f>
        <v>0</v>
      </c>
      <c r="M20" s="66" t="e">
        <f>#REF!</f>
        <v>#REF!</v>
      </c>
      <c r="N20" s="66">
        <f>'F11-Year(n+3) '!Q20</f>
        <v>0</v>
      </c>
      <c r="O20" s="66">
        <f>'F11-Year(n+4)'!Q20</f>
        <v>0</v>
      </c>
      <c r="P20" s="66">
        <f>'F11-Year(n+5)'!Q20</f>
        <v>0</v>
      </c>
    </row>
    <row r="21" spans="2:16" hidden="1" x14ac:dyDescent="0.25">
      <c r="B21" s="60"/>
      <c r="C21" s="803"/>
      <c r="D21" s="59"/>
      <c r="E21" s="109"/>
      <c r="F21" s="109">
        <f>'F11-Year(n-1)'!Q21</f>
        <v>0</v>
      </c>
      <c r="G21" s="109"/>
      <c r="H21" s="109"/>
      <c r="I21" s="66">
        <f>SUM('F11-Year(n)'!E21:J21)</f>
        <v>0</v>
      </c>
      <c r="J21" s="66">
        <f>SUM('F11-Year(n)'!K21:'F11-Year(n)'!P21)</f>
        <v>0</v>
      </c>
      <c r="K21" s="66">
        <f t="shared" si="0"/>
        <v>0</v>
      </c>
      <c r="L21" s="66">
        <f>'F11-Year(n+2)'!Q21</f>
        <v>0</v>
      </c>
      <c r="M21" s="66" t="e">
        <f>#REF!</f>
        <v>#REF!</v>
      </c>
      <c r="N21" s="66">
        <f>'F11-Year(n+3) '!Q21</f>
        <v>0</v>
      </c>
      <c r="O21" s="66">
        <f>'F11-Year(n+4)'!Q21</f>
        <v>0</v>
      </c>
      <c r="P21" s="66">
        <f>'F11-Year(n+5)'!Q21</f>
        <v>0</v>
      </c>
    </row>
    <row r="22" spans="2:16" hidden="1" x14ac:dyDescent="0.25">
      <c r="B22" s="60"/>
      <c r="C22" s="803"/>
      <c r="D22" s="59"/>
      <c r="E22" s="109"/>
      <c r="F22" s="109">
        <f>'F11-Year(n-1)'!Q22</f>
        <v>0</v>
      </c>
      <c r="G22" s="109"/>
      <c r="H22" s="109"/>
      <c r="I22" s="66">
        <f>SUM('F11-Year(n)'!E22:J22)</f>
        <v>0</v>
      </c>
      <c r="J22" s="66">
        <f>SUM('F11-Year(n)'!K22:'F11-Year(n)'!P22)</f>
        <v>0</v>
      </c>
      <c r="K22" s="66">
        <f t="shared" si="0"/>
        <v>0</v>
      </c>
      <c r="L22" s="66">
        <f>'F11-Year(n+2)'!Q22</f>
        <v>0</v>
      </c>
      <c r="M22" s="66" t="e">
        <f>#REF!</f>
        <v>#REF!</v>
      </c>
      <c r="N22" s="66">
        <f>'F11-Year(n+3) '!Q22</f>
        <v>0</v>
      </c>
      <c r="O22" s="66">
        <f>'F11-Year(n+4)'!Q22</f>
        <v>0</v>
      </c>
      <c r="P22" s="66">
        <f>'F11-Year(n+5)'!Q22</f>
        <v>0</v>
      </c>
    </row>
    <row r="23" spans="2:16" hidden="1" x14ac:dyDescent="0.25">
      <c r="B23" s="60"/>
      <c r="C23" s="803"/>
      <c r="D23" s="59"/>
      <c r="E23" s="109"/>
      <c r="F23" s="109">
        <f>'F11-Year(n-1)'!Q23</f>
        <v>0</v>
      </c>
      <c r="G23" s="109"/>
      <c r="H23" s="109"/>
      <c r="I23" s="66">
        <f>SUM('F11-Year(n)'!E23:J23)</f>
        <v>0</v>
      </c>
      <c r="J23" s="66">
        <f>SUM('F11-Year(n)'!K23:'F11-Year(n)'!P23)</f>
        <v>0</v>
      </c>
      <c r="K23" s="66">
        <f t="shared" si="0"/>
        <v>0</v>
      </c>
      <c r="L23" s="66">
        <f>'F11-Year(n+2)'!Q23</f>
        <v>0</v>
      </c>
      <c r="M23" s="66" t="e">
        <f>#REF!</f>
        <v>#REF!</v>
      </c>
      <c r="N23" s="66">
        <f>'F11-Year(n+3) '!Q23</f>
        <v>0</v>
      </c>
      <c r="O23" s="66">
        <f>'F11-Year(n+4)'!Q23</f>
        <v>0</v>
      </c>
      <c r="P23" s="66">
        <f>'F11-Year(n+5)'!Q23</f>
        <v>0</v>
      </c>
    </row>
    <row r="24" spans="2:16" hidden="1" x14ac:dyDescent="0.25">
      <c r="B24" s="60"/>
      <c r="C24" s="803"/>
      <c r="D24" s="59"/>
      <c r="E24" s="109"/>
      <c r="F24" s="109">
        <f>'F11-Year(n-1)'!Q24</f>
        <v>0</v>
      </c>
      <c r="G24" s="109"/>
      <c r="H24" s="109"/>
      <c r="I24" s="66">
        <f>SUM('F11-Year(n)'!E24:J24)</f>
        <v>0</v>
      </c>
      <c r="J24" s="66">
        <f>SUM('F11-Year(n)'!K24:'F11-Year(n)'!P24)</f>
        <v>0</v>
      </c>
      <c r="K24" s="66">
        <f t="shared" si="0"/>
        <v>0</v>
      </c>
      <c r="L24" s="66">
        <f>'F11-Year(n+2)'!Q24</f>
        <v>0</v>
      </c>
      <c r="M24" s="66" t="e">
        <f>#REF!</f>
        <v>#REF!</v>
      </c>
      <c r="N24" s="66">
        <f>'F11-Year(n+3) '!Q24</f>
        <v>0</v>
      </c>
      <c r="O24" s="66">
        <f>'F11-Year(n+4)'!Q24</f>
        <v>0</v>
      </c>
      <c r="P24" s="66">
        <f>'F11-Year(n+5)'!Q24</f>
        <v>0</v>
      </c>
    </row>
    <row r="25" spans="2:16" hidden="1" x14ac:dyDescent="0.25">
      <c r="B25" s="60"/>
      <c r="C25" s="803"/>
      <c r="D25" s="59"/>
      <c r="E25" s="109"/>
      <c r="F25" s="109">
        <f>'F11-Year(n-1)'!Q25</f>
        <v>0</v>
      </c>
      <c r="G25" s="109"/>
      <c r="H25" s="109"/>
      <c r="I25" s="66">
        <f>SUM('F11-Year(n)'!E25:J25)</f>
        <v>0</v>
      </c>
      <c r="J25" s="66">
        <f>SUM('F11-Year(n)'!K25:'F11-Year(n)'!P25)</f>
        <v>0</v>
      </c>
      <c r="K25" s="66">
        <f t="shared" si="0"/>
        <v>0</v>
      </c>
      <c r="L25" s="66">
        <f>'F11-Year(n+2)'!Q25</f>
        <v>0</v>
      </c>
      <c r="M25" s="66" t="e">
        <f>#REF!</f>
        <v>#REF!</v>
      </c>
      <c r="N25" s="66">
        <f>'F11-Year(n+3) '!Q25</f>
        <v>0</v>
      </c>
      <c r="O25" s="66">
        <f>'F11-Year(n+4)'!Q25</f>
        <v>0</v>
      </c>
      <c r="P25" s="66">
        <f>'F11-Year(n+5)'!Q25</f>
        <v>0</v>
      </c>
    </row>
    <row r="26" spans="2:16" hidden="1" x14ac:dyDescent="0.25">
      <c r="B26" s="60"/>
      <c r="C26" s="803"/>
      <c r="D26" s="59"/>
      <c r="E26" s="109"/>
      <c r="F26" s="109">
        <f>'F11-Year(n-1)'!Q26</f>
        <v>0</v>
      </c>
      <c r="G26" s="109"/>
      <c r="H26" s="109"/>
      <c r="I26" s="66">
        <f>SUM('F11-Year(n)'!E26:J26)</f>
        <v>0</v>
      </c>
      <c r="J26" s="66">
        <f>SUM('F11-Year(n)'!K26:'F11-Year(n)'!P26)</f>
        <v>0</v>
      </c>
      <c r="K26" s="66">
        <f t="shared" si="0"/>
        <v>0</v>
      </c>
      <c r="L26" s="66">
        <f>'F11-Year(n+2)'!Q26</f>
        <v>0</v>
      </c>
      <c r="M26" s="66" t="e">
        <f>#REF!</f>
        <v>#REF!</v>
      </c>
      <c r="N26" s="66">
        <f>'F11-Year(n+3) '!Q26</f>
        <v>0</v>
      </c>
      <c r="O26" s="66">
        <f>'F11-Year(n+4)'!Q26</f>
        <v>0</v>
      </c>
      <c r="P26" s="66">
        <f>'F11-Year(n+5)'!Q26</f>
        <v>0</v>
      </c>
    </row>
    <row r="27" spans="2:16" hidden="1" x14ac:dyDescent="0.25">
      <c r="B27" s="60"/>
      <c r="C27" s="804"/>
      <c r="D27" s="59"/>
      <c r="E27" s="109"/>
      <c r="F27" s="109">
        <f>'F11-Year(n-1)'!Q27</f>
        <v>0</v>
      </c>
      <c r="G27" s="109"/>
      <c r="H27" s="109"/>
      <c r="I27" s="66">
        <f>SUM('F11-Year(n)'!E27:J27)</f>
        <v>0</v>
      </c>
      <c r="J27" s="66">
        <f>SUM('F11-Year(n)'!K27:'F11-Year(n)'!P27)</f>
        <v>0</v>
      </c>
      <c r="K27" s="66">
        <f t="shared" si="0"/>
        <v>0</v>
      </c>
      <c r="L27" s="66">
        <f>'F11-Year(n+2)'!Q27</f>
        <v>0</v>
      </c>
      <c r="M27" s="66" t="e">
        <f>#REF!</f>
        <v>#REF!</v>
      </c>
      <c r="N27" s="66">
        <f>'F11-Year(n+3) '!Q27</f>
        <v>0</v>
      </c>
      <c r="O27" s="66">
        <f>'F11-Year(n+4)'!Q27</f>
        <v>0</v>
      </c>
      <c r="P27" s="66">
        <f>'F11-Year(n+5)'!Q27</f>
        <v>0</v>
      </c>
    </row>
    <row r="28" spans="2:16" x14ac:dyDescent="0.25">
      <c r="C28" s="751" t="s">
        <v>212</v>
      </c>
      <c r="D28" s="752"/>
      <c r="E28" s="86">
        <f>SUM(E10:E27)</f>
        <v>19017.189909999997</v>
      </c>
      <c r="F28" s="86">
        <f>SUM(F10:F27)</f>
        <v>0</v>
      </c>
      <c r="G28" s="86">
        <f>F28-E28</f>
        <v>-19017.189909999997</v>
      </c>
      <c r="H28" s="86">
        <f>SUM(H10:H27)</f>
        <v>7719.2307950000004</v>
      </c>
      <c r="I28" s="86">
        <f>SUM(I10:I27)</f>
        <v>3824.0542869000005</v>
      </c>
      <c r="J28" s="86">
        <f>SUM(J10:J27)</f>
        <v>3926.2688297579998</v>
      </c>
      <c r="K28" s="86">
        <f>SUM(K10:K27)</f>
        <v>7750.3231166579999</v>
      </c>
      <c r="L28" s="86">
        <f>SUM(L10:L27)</f>
        <v>13651.009118888103</v>
      </c>
      <c r="M28" s="86" t="e">
        <f>#REF!</f>
        <v>#REF!</v>
      </c>
      <c r="N28" s="86">
        <f>'F11-Year(n+3) '!Q28</f>
        <v>12620.637441027793</v>
      </c>
      <c r="O28" s="86">
        <f>'F11-Year(n+4)'!Q28</f>
        <v>13269.067888541911</v>
      </c>
      <c r="P28" s="86">
        <f>'F11-Year(n+5)'!Q28</f>
        <v>14294.475327611597</v>
      </c>
    </row>
    <row r="29" spans="2:16" x14ac:dyDescent="0.25">
      <c r="C29" s="753" t="s">
        <v>359</v>
      </c>
      <c r="D29" s="754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</row>
    <row r="30" spans="2:16" x14ac:dyDescent="0.25">
      <c r="C30" s="805" t="s">
        <v>350</v>
      </c>
      <c r="D30" s="17" t="s">
        <v>360</v>
      </c>
      <c r="E30" s="66">
        <f>[44]F8!E29</f>
        <v>111.109195</v>
      </c>
      <c r="F30" s="109">
        <f>'F11-Year(n-1)'!Q30</f>
        <v>0</v>
      </c>
      <c r="G30" s="66"/>
      <c r="H30" s="66">
        <f>'F8'!H29</f>
        <v>49.98254</v>
      </c>
      <c r="I30" s="66">
        <f>SUM('F11-Year(n)'!E30:J30)</f>
        <v>0</v>
      </c>
      <c r="J30" s="66">
        <f>SUM('F11-Year(n)'!K30:P30)</f>
        <v>0</v>
      </c>
      <c r="K30" s="66">
        <f t="shared" ref="K30:K49" si="1">I30+J30</f>
        <v>0</v>
      </c>
      <c r="L30" s="66">
        <f>'F11-Year(n+2)'!Q30</f>
        <v>85.515742997927092</v>
      </c>
      <c r="M30" s="129" t="e">
        <f>#REF!</f>
        <v>#REF!</v>
      </c>
      <c r="N30" s="129">
        <f>'F11-Year(n+3) '!Q30</f>
        <v>162.79852083096515</v>
      </c>
      <c r="O30" s="129">
        <f>'F11-Year(n+4)'!Q30</f>
        <v>163.44990721640008</v>
      </c>
      <c r="P30" s="129">
        <f>'F11-Year(n+5)'!Q30</f>
        <v>162.79866946433313</v>
      </c>
    </row>
    <row r="31" spans="2:16" x14ac:dyDescent="0.25">
      <c r="C31" s="806"/>
      <c r="D31" s="17" t="s">
        <v>361</v>
      </c>
      <c r="E31" s="66">
        <f>[44]F8!E30</f>
        <v>1095.47218</v>
      </c>
      <c r="F31" s="109">
        <f>'F11-Year(n-1)'!Q31</f>
        <v>0</v>
      </c>
      <c r="G31" s="66"/>
      <c r="H31" s="66">
        <f>'F8'!H30</f>
        <v>734.88057499999991</v>
      </c>
      <c r="I31" s="66">
        <f>SUM('F11-Year(n)'!E31:J31)</f>
        <v>0</v>
      </c>
      <c r="J31" s="66">
        <f>SUM('F11-Year(n)'!K31:P31)</f>
        <v>0</v>
      </c>
      <c r="K31" s="66">
        <f t="shared" si="1"/>
        <v>0</v>
      </c>
      <c r="L31" s="66">
        <f>'F11-Year(n+2)'!Q31</f>
        <v>596.12512811204567</v>
      </c>
      <c r="M31" s="129" t="e">
        <f>#REF!</f>
        <v>#REF!</v>
      </c>
      <c r="N31" s="129">
        <f>'F11-Year(n+3) '!Q31</f>
        <v>567.42937431510745</v>
      </c>
      <c r="O31" s="129">
        <f>'F11-Year(n+4)'!Q31</f>
        <v>569.69976207562365</v>
      </c>
      <c r="P31" s="129">
        <f>'F11-Year(n+5)'!Q31</f>
        <v>567.42989237226539</v>
      </c>
    </row>
    <row r="32" spans="2:16" x14ac:dyDescent="0.25">
      <c r="C32" s="806"/>
      <c r="D32" s="17" t="s">
        <v>362</v>
      </c>
      <c r="E32" s="66">
        <f>[44]F8!E31</f>
        <v>993.76729999999998</v>
      </c>
      <c r="F32" s="109">
        <f>'F11-Year(n-1)'!Q32</f>
        <v>0</v>
      </c>
      <c r="G32" s="66"/>
      <c r="H32" s="66">
        <f>'F8'!H31</f>
        <v>635.86378500000012</v>
      </c>
      <c r="I32" s="66">
        <f>SUM('F11-Year(n)'!E32:J32)</f>
        <v>0</v>
      </c>
      <c r="J32" s="66">
        <f>SUM('F11-Year(n)'!K32:P32)</f>
        <v>0</v>
      </c>
      <c r="K32" s="66">
        <f t="shared" si="1"/>
        <v>0</v>
      </c>
      <c r="L32" s="66">
        <f>'F11-Year(n+2)'!Q32</f>
        <v>657.8134076763622</v>
      </c>
      <c r="M32" s="129" t="e">
        <f>#REF!</f>
        <v>#REF!</v>
      </c>
      <c r="N32" s="129">
        <f>'F11-Year(n+3) '!Q32</f>
        <v>626.14815704217358</v>
      </c>
      <c r="O32" s="129">
        <f>'F11-Year(n+4)'!Q32</f>
        <v>628.65348929384652</v>
      </c>
      <c r="P32" s="129">
        <f>'F11-Year(n+5)'!Q32</f>
        <v>626.14872870897364</v>
      </c>
    </row>
    <row r="33" spans="3:16" x14ac:dyDescent="0.25">
      <c r="C33" s="806"/>
      <c r="D33" s="17" t="s">
        <v>363</v>
      </c>
      <c r="E33" s="66">
        <f>[44]F8!E32</f>
        <v>223.40363000000002</v>
      </c>
      <c r="F33" s="109">
        <f>'F11-Year(n-1)'!Q33</f>
        <v>0</v>
      </c>
      <c r="G33" s="66"/>
      <c r="H33" s="66">
        <f>'F8'!H32</f>
        <v>110.81151499999999</v>
      </c>
      <c r="I33" s="66">
        <f>SUM('F11-Year(n)'!E33:J33)</f>
        <v>0</v>
      </c>
      <c r="J33" s="66">
        <f>SUM('F11-Year(n)'!K33:P33)</f>
        <v>0</v>
      </c>
      <c r="K33" s="66">
        <f t="shared" si="1"/>
        <v>0</v>
      </c>
      <c r="L33" s="66">
        <f>'F11-Year(n+2)'!Q33</f>
        <v>175.41690871369659</v>
      </c>
      <c r="M33" s="129" t="e">
        <f>#REF!</f>
        <v>#REF!</v>
      </c>
      <c r="N33" s="129">
        <f>'F11-Year(n+3) '!Q33</f>
        <v>166.972841877913</v>
      </c>
      <c r="O33" s="129">
        <f>'F11-Year(n+4)'!Q33</f>
        <v>167.64093047835914</v>
      </c>
      <c r="P33" s="129">
        <f>'F11-Year(n+5)'!Q33</f>
        <v>166.97299432239302</v>
      </c>
    </row>
    <row r="34" spans="3:16" x14ac:dyDescent="0.25">
      <c r="C34" s="806"/>
      <c r="D34" s="17" t="s">
        <v>364</v>
      </c>
      <c r="E34" s="66">
        <f>[44]F8!E33</f>
        <v>119.19422499999999</v>
      </c>
      <c r="F34" s="109">
        <f>'F11-Year(n-1)'!Q34</f>
        <v>0</v>
      </c>
      <c r="G34" s="66"/>
      <c r="H34" s="66">
        <f>'F8'!H33</f>
        <v>95.635929999999988</v>
      </c>
      <c r="I34" s="66">
        <f>SUM('F11-Year(n)'!E34:J34)</f>
        <v>0</v>
      </c>
      <c r="J34" s="66">
        <f>SUM('F11-Year(n)'!K34:P34)</f>
        <v>0</v>
      </c>
      <c r="K34" s="66">
        <f t="shared" si="1"/>
        <v>0</v>
      </c>
      <c r="L34" s="66">
        <f>'F11-Year(n+2)'!Q34</f>
        <v>87.708454356848293</v>
      </c>
      <c r="M34" s="129" t="e">
        <f>#REF!</f>
        <v>#REF!</v>
      </c>
      <c r="N34" s="129">
        <f>'F11-Year(n+3) '!Q34</f>
        <v>83.486420938956485</v>
      </c>
      <c r="O34" s="129">
        <f>'F11-Year(n+4)'!Q34</f>
        <v>83.820465239179569</v>
      </c>
      <c r="P34" s="129">
        <f>'F11-Year(n+5)'!Q34</f>
        <v>83.486497161196482</v>
      </c>
    </row>
    <row r="35" spans="3:16" x14ac:dyDescent="0.25">
      <c r="C35" s="806"/>
      <c r="D35" s="17" t="s">
        <v>365</v>
      </c>
      <c r="E35" s="66">
        <f>[44]F8!E34</f>
        <v>12.882430000000001</v>
      </c>
      <c r="F35" s="109">
        <f>'F11-Year(n-1)'!Q35</f>
        <v>0</v>
      </c>
      <c r="G35" s="66"/>
      <c r="H35" s="66">
        <f>'F8'!H34</f>
        <v>5.118409999999999</v>
      </c>
      <c r="I35" s="66">
        <f>SUM('F11-Year(n)'!E35:J35)</f>
        <v>0</v>
      </c>
      <c r="J35" s="66">
        <f>SUM('F11-Year(n)'!K35:P35)</f>
        <v>0</v>
      </c>
      <c r="K35" s="66">
        <f t="shared" si="1"/>
        <v>0</v>
      </c>
      <c r="L35" s="66">
        <f>'F11-Year(n+2)'!Q35</f>
        <v>13.156268153527243</v>
      </c>
      <c r="M35" s="129" t="e">
        <f>#REF!</f>
        <v>#REF!</v>
      </c>
      <c r="N35" s="129">
        <f>'F11-Year(n+3) '!Q35</f>
        <v>12.522963140843471</v>
      </c>
      <c r="O35" s="129">
        <f>'F11-Year(n+4)'!Q35</f>
        <v>12.573069785876934</v>
      </c>
      <c r="P35" s="129">
        <f>'F11-Year(n+5)'!Q35</f>
        <v>12.522974574179473</v>
      </c>
    </row>
    <row r="36" spans="3:16" x14ac:dyDescent="0.25">
      <c r="C36" s="806"/>
      <c r="D36" s="17" t="s">
        <v>366</v>
      </c>
      <c r="E36" s="66">
        <f>[44]F8!E35</f>
        <v>65.696160000000006</v>
      </c>
      <c r="F36" s="109">
        <f>'F11-Year(n-1)'!Q36</f>
        <v>0</v>
      </c>
      <c r="G36" s="66"/>
      <c r="H36" s="66">
        <f>'F8'!H35</f>
        <v>38.441085000000001</v>
      </c>
      <c r="I36" s="66">
        <f>SUM('F11-Year(n)'!E36:J36)</f>
        <v>0</v>
      </c>
      <c r="J36" s="66">
        <f>SUM('F11-Year(n)'!K36:P36)</f>
        <v>0</v>
      </c>
      <c r="K36" s="66">
        <f t="shared" si="1"/>
        <v>0</v>
      </c>
      <c r="L36" s="66">
        <v>0</v>
      </c>
      <c r="M36" s="129" t="e">
        <f>#REF!</f>
        <v>#REF!</v>
      </c>
      <c r="N36" s="129">
        <f>'F11-Year(n+3) '!Q36</f>
        <v>41.743210469478242</v>
      </c>
      <c r="O36" s="129">
        <f>'F11-Year(n+4)'!Q36</f>
        <v>41.910232619589785</v>
      </c>
      <c r="P36" s="129">
        <f>'F11-Year(n+5)'!Q36</f>
        <v>41.743248580598241</v>
      </c>
    </row>
    <row r="37" spans="3:16" x14ac:dyDescent="0.25">
      <c r="C37" s="806"/>
      <c r="D37" s="17" t="s">
        <v>367</v>
      </c>
      <c r="E37" s="66">
        <f>[44]F8!E36</f>
        <v>1.9048500000000002</v>
      </c>
      <c r="F37" s="109">
        <f>'F11-Year(n-1)'!Q37</f>
        <v>0</v>
      </c>
      <c r="G37" s="66"/>
      <c r="H37" s="66">
        <f>'F8'!H36</f>
        <v>1.03664</v>
      </c>
      <c r="I37" s="66">
        <f>SUM('F11-Year(n)'!E37:J37)</f>
        <v>0</v>
      </c>
      <c r="J37" s="66">
        <f>SUM('F11-Year(n)'!K37:P37)</f>
        <v>0</v>
      </c>
      <c r="K37" s="66">
        <f t="shared" si="1"/>
        <v>0</v>
      </c>
      <c r="L37" s="66">
        <v>0</v>
      </c>
      <c r="M37" s="129" t="e">
        <f>#REF!</f>
        <v>#REF!</v>
      </c>
      <c r="N37" s="129">
        <f>'F11-Year(n+3) '!Q37</f>
        <v>10.435802617369561</v>
      </c>
      <c r="O37" s="129">
        <f>'F11-Year(n+4)'!Q37</f>
        <v>10.477558154897446</v>
      </c>
      <c r="P37" s="129">
        <f>'F11-Year(n+5)'!Q37</f>
        <v>10.43581214514956</v>
      </c>
    </row>
    <row r="38" spans="3:16" x14ac:dyDescent="0.25">
      <c r="C38" s="806"/>
      <c r="D38" s="17" t="s">
        <v>448</v>
      </c>
      <c r="E38" s="66">
        <f>[44]F8!E37</f>
        <v>0</v>
      </c>
      <c r="F38" s="109">
        <v>0</v>
      </c>
      <c r="G38" s="66"/>
      <c r="H38" s="66">
        <f>'F8'!H37</f>
        <v>0</v>
      </c>
      <c r="I38" s="66">
        <v>0</v>
      </c>
      <c r="J38" s="66">
        <v>0</v>
      </c>
      <c r="K38" s="66">
        <f t="shared" si="1"/>
        <v>0</v>
      </c>
      <c r="L38" s="66">
        <f>'F11-Year(n+2)'!Q36</f>
        <v>43.854227178424146</v>
      </c>
      <c r="M38" s="129" t="e">
        <f>#REF!</f>
        <v>#REF!</v>
      </c>
      <c r="N38" s="129">
        <f>'F11-Year(n+3) '!Q38</f>
        <v>0</v>
      </c>
      <c r="O38" s="129">
        <f>'F11-Year(n+4)'!Q38</f>
        <v>0</v>
      </c>
      <c r="P38" s="129">
        <f>'F11-Year(n+5)'!Q38</f>
        <v>0</v>
      </c>
    </row>
    <row r="39" spans="3:16" x14ac:dyDescent="0.25">
      <c r="C39" s="806"/>
      <c r="D39" s="17" t="s">
        <v>449</v>
      </c>
      <c r="E39" s="66"/>
      <c r="F39" s="109">
        <f>'F11-Year(n-1)'!Q39</f>
        <v>0</v>
      </c>
      <c r="G39" s="66"/>
      <c r="H39" s="66">
        <f>'F8'!H38</f>
        <v>0</v>
      </c>
      <c r="I39" s="66">
        <f>SUM('F11-Year(n)'!E39:J39)</f>
        <v>0</v>
      </c>
      <c r="J39" s="66">
        <f>SUM('F11-Year(n)'!K39:P39)</f>
        <v>0</v>
      </c>
      <c r="K39" s="66">
        <f t="shared" si="1"/>
        <v>0</v>
      </c>
      <c r="L39" s="66">
        <f>'F11-Year(n+2)'!Q37</f>
        <v>10.963556794606037</v>
      </c>
      <c r="M39" s="129" t="e">
        <f>#REF!</f>
        <v>#REF!</v>
      </c>
      <c r="N39" s="129">
        <f>'F11-Year(n+3) '!Q39</f>
        <v>12.522963140843471</v>
      </c>
      <c r="O39" s="129">
        <f>'F11-Year(n+4)'!Q39</f>
        <v>12.573069785876934</v>
      </c>
      <c r="P39" s="129">
        <f>'F11-Year(n+5)'!Q39</f>
        <v>12.522974574179473</v>
      </c>
    </row>
    <row r="40" spans="3:16" x14ac:dyDescent="0.25">
      <c r="C40" s="806"/>
      <c r="D40" s="17" t="s">
        <v>450</v>
      </c>
      <c r="E40" s="66"/>
      <c r="F40" s="109">
        <f>'F11-Year(n-1)'!Q40</f>
        <v>0</v>
      </c>
      <c r="G40" s="66"/>
      <c r="H40" s="66">
        <f>'F8'!H39</f>
        <v>0</v>
      </c>
      <c r="I40" s="66">
        <f>SUM('F11-Year(n)'!E40:J40)</f>
        <v>0</v>
      </c>
      <c r="J40" s="66">
        <f>SUM('F11-Year(n)'!K40:P40)</f>
        <v>0</v>
      </c>
      <c r="K40" s="66">
        <f t="shared" si="1"/>
        <v>0</v>
      </c>
      <c r="L40" s="66">
        <f>'F11-Year(n+2)'!Q38</f>
        <v>0</v>
      </c>
      <c r="M40" s="129" t="e">
        <f>#REF!</f>
        <v>#REF!</v>
      </c>
      <c r="N40" s="129">
        <f>'F11-Year(n+3) '!Q40</f>
        <v>6.9572017449130401</v>
      </c>
      <c r="O40" s="129">
        <f>'F11-Year(n+4)'!Q40</f>
        <v>6.985038769931629</v>
      </c>
      <c r="P40" s="129">
        <f>'F11-Year(n+5)'!Q40</f>
        <v>6.9572080967663741</v>
      </c>
    </row>
    <row r="41" spans="3:16" x14ac:dyDescent="0.25">
      <c r="C41" s="806"/>
      <c r="D41" s="17" t="s">
        <v>458</v>
      </c>
      <c r="E41" s="66"/>
      <c r="F41" s="109">
        <f>'F11-Year(n-1)'!Q41</f>
        <v>0</v>
      </c>
      <c r="G41" s="66"/>
      <c r="H41" s="66">
        <f>'F8'!H40</f>
        <v>0</v>
      </c>
      <c r="I41" s="66">
        <f>SUM('F11-Year(n)'!E41:J41)</f>
        <v>0</v>
      </c>
      <c r="J41" s="66">
        <f>SUM('F11-Year(n)'!K41:P41)</f>
        <v>0</v>
      </c>
      <c r="K41" s="66">
        <f t="shared" si="1"/>
        <v>0</v>
      </c>
      <c r="L41" s="66">
        <f>'F11-Year(n+2)'!Q39</f>
        <v>13.156268153527243</v>
      </c>
      <c r="M41" s="129" t="e">
        <f>#REF!</f>
        <v>#REF!</v>
      </c>
      <c r="N41" s="129">
        <f>'F11-Year(n+3) '!Q41</f>
        <v>0</v>
      </c>
      <c r="O41" s="129">
        <f>'F11-Year(n+4)'!Q41</f>
        <v>0</v>
      </c>
      <c r="P41" s="129">
        <f>'F11-Year(n+5)'!Q41</f>
        <v>0</v>
      </c>
    </row>
    <row r="42" spans="3:16" x14ac:dyDescent="0.25">
      <c r="C42" s="806"/>
      <c r="D42" s="17" t="s">
        <v>459</v>
      </c>
      <c r="E42" s="66"/>
      <c r="F42" s="109">
        <f>'F11-Year(n-1)'!Q42</f>
        <v>0</v>
      </c>
      <c r="G42" s="66"/>
      <c r="H42" s="66">
        <f>'F8'!H41</f>
        <v>0</v>
      </c>
      <c r="I42" s="66">
        <f>SUM('F11-Year(n)'!E42:J42)</f>
        <v>0</v>
      </c>
      <c r="J42" s="66">
        <f>SUM('F11-Year(n)'!K42:P42)</f>
        <v>0</v>
      </c>
      <c r="K42" s="66">
        <f t="shared" si="1"/>
        <v>0</v>
      </c>
      <c r="L42" s="66">
        <f>'F11-Year(n+2)'!Q40</f>
        <v>7.3090378630706923</v>
      </c>
      <c r="M42" s="129" t="e">
        <f>#REF!</f>
        <v>#REF!</v>
      </c>
      <c r="N42" s="129">
        <f>'F11-Year(n+3) '!Q42</f>
        <v>0</v>
      </c>
      <c r="O42" s="129">
        <f>'F11-Year(n+4)'!Q42</f>
        <v>0</v>
      </c>
      <c r="P42" s="129">
        <f>'F11-Year(n+5)'!Q42</f>
        <v>0</v>
      </c>
    </row>
    <row r="43" spans="3:16" x14ac:dyDescent="0.25">
      <c r="C43" s="806"/>
      <c r="D43" s="17" t="s">
        <v>460</v>
      </c>
      <c r="E43" s="66"/>
      <c r="F43" s="109">
        <f>'F11-Year(n-1)'!Q38</f>
        <v>0</v>
      </c>
      <c r="G43" s="66"/>
      <c r="H43" s="66"/>
      <c r="I43" s="66">
        <f>SUM('F11-Year(n)'!E38:J38)</f>
        <v>208.6224911242</v>
      </c>
      <c r="J43" s="66">
        <f>SUM('F11-Year(n)'!K38:P38)</f>
        <v>139.05564269540002</v>
      </c>
      <c r="K43" s="66">
        <f t="shared" si="1"/>
        <v>347.67813381960002</v>
      </c>
      <c r="L43" s="66">
        <f>'F11-Year(n+2)'!Q43</f>
        <v>0</v>
      </c>
      <c r="M43" s="129" t="e">
        <f>#REF!</f>
        <v>#REF!</v>
      </c>
      <c r="N43" s="129">
        <f>'F11-Year(n+3) '!Q43</f>
        <v>0</v>
      </c>
      <c r="O43" s="129">
        <f>'F11-Year(n+4)'!Q43</f>
        <v>0</v>
      </c>
      <c r="P43" s="129">
        <f>'F11-Year(n+5)'!Q43</f>
        <v>0</v>
      </c>
    </row>
    <row r="44" spans="3:16" hidden="1" x14ac:dyDescent="0.25">
      <c r="C44" s="806"/>
      <c r="D44" s="17"/>
      <c r="E44" s="66"/>
      <c r="F44" s="109">
        <f>'F11-Year(n-1)'!Q44</f>
        <v>0</v>
      </c>
      <c r="G44" s="66"/>
      <c r="H44" s="66"/>
      <c r="I44" s="66">
        <f>SUM('F11-Year(n)'!E44:J44)</f>
        <v>0</v>
      </c>
      <c r="J44" s="66">
        <f>SUM('F11-Year(n)'!K44:P44)</f>
        <v>0</v>
      </c>
      <c r="K44" s="66">
        <f t="shared" si="1"/>
        <v>0</v>
      </c>
      <c r="L44" s="66">
        <f>'F11-Year(n+2)'!Q44</f>
        <v>0</v>
      </c>
      <c r="M44" s="129" t="e">
        <f>#REF!</f>
        <v>#REF!</v>
      </c>
      <c r="N44" s="129">
        <f>'F11-Year(n+3) '!Q44</f>
        <v>0</v>
      </c>
      <c r="O44" s="129">
        <f>'F11-Year(n+4)'!Q44</f>
        <v>0</v>
      </c>
      <c r="P44" s="129">
        <f>'F11-Year(n+5)'!Q44</f>
        <v>0</v>
      </c>
    </row>
    <row r="45" spans="3:16" hidden="1" x14ac:dyDescent="0.25">
      <c r="C45" s="806"/>
      <c r="D45" s="17"/>
      <c r="E45" s="66"/>
      <c r="F45" s="109">
        <f>'F11-Year(n-1)'!Q45</f>
        <v>0</v>
      </c>
      <c r="G45" s="66"/>
      <c r="H45" s="66"/>
      <c r="I45" s="66">
        <f>SUM('F11-Year(n)'!E45:J45)</f>
        <v>0</v>
      </c>
      <c r="J45" s="66">
        <f>SUM('F11-Year(n)'!K45:P45)</f>
        <v>0</v>
      </c>
      <c r="K45" s="66">
        <f t="shared" si="1"/>
        <v>0</v>
      </c>
      <c r="L45" s="66">
        <f>'F11-Year(n+2)'!Q45</f>
        <v>0</v>
      </c>
      <c r="M45" s="129" t="e">
        <f>#REF!</f>
        <v>#REF!</v>
      </c>
      <c r="N45" s="129">
        <f>'F11-Year(n+3) '!Q45</f>
        <v>0</v>
      </c>
      <c r="O45" s="129">
        <f>'F11-Year(n+4)'!Q45</f>
        <v>0</v>
      </c>
      <c r="P45" s="129">
        <f>'F11-Year(n+5)'!Q45</f>
        <v>0</v>
      </c>
    </row>
    <row r="46" spans="3:16" hidden="1" x14ac:dyDescent="0.25">
      <c r="C46" s="806"/>
      <c r="D46" s="17"/>
      <c r="E46" s="66"/>
      <c r="F46" s="109">
        <f>'F11-Year(n-1)'!Q46</f>
        <v>0</v>
      </c>
      <c r="G46" s="66"/>
      <c r="H46" s="66"/>
      <c r="I46" s="66">
        <f>SUM('F11-Year(n)'!E46:J46)</f>
        <v>0</v>
      </c>
      <c r="J46" s="66">
        <f>SUM('F11-Year(n)'!K46:P46)</f>
        <v>0</v>
      </c>
      <c r="K46" s="66">
        <f t="shared" si="1"/>
        <v>0</v>
      </c>
      <c r="L46" s="66">
        <f>'F11-Year(n+2)'!Q46</f>
        <v>0</v>
      </c>
      <c r="M46" s="129" t="e">
        <f>#REF!</f>
        <v>#REF!</v>
      </c>
      <c r="N46" s="129">
        <f>'F11-Year(n+3) '!Q46</f>
        <v>0</v>
      </c>
      <c r="O46" s="129">
        <f>'F11-Year(n+4)'!Q46</f>
        <v>0</v>
      </c>
      <c r="P46" s="129">
        <f>'F11-Year(n+5)'!Q46</f>
        <v>0</v>
      </c>
    </row>
    <row r="47" spans="3:16" hidden="1" x14ac:dyDescent="0.25">
      <c r="C47" s="807"/>
      <c r="D47" s="107"/>
      <c r="E47" s="66"/>
      <c r="F47" s="109">
        <f>'F11-Year(n-1)'!Q47</f>
        <v>0</v>
      </c>
      <c r="G47" s="66"/>
      <c r="H47" s="66"/>
      <c r="I47" s="66">
        <f>SUM('F11-Year(n)'!E47:J47)</f>
        <v>0</v>
      </c>
      <c r="J47" s="66">
        <f>SUM('F11-Year(n)'!K47:P47)</f>
        <v>0</v>
      </c>
      <c r="K47" s="66">
        <f t="shared" si="1"/>
        <v>0</v>
      </c>
      <c r="L47" s="66">
        <f>'F11-Year(n+2)'!Q47</f>
        <v>0</v>
      </c>
      <c r="M47" s="129" t="e">
        <f>#REF!</f>
        <v>#REF!</v>
      </c>
      <c r="N47" s="129">
        <f>'F11-Year(n+3) '!Q47</f>
        <v>0</v>
      </c>
      <c r="O47" s="129">
        <f>'F11-Year(n+4)'!Q47</f>
        <v>0</v>
      </c>
      <c r="P47" s="129">
        <f>'F11-Year(n+5)'!Q47</f>
        <v>0</v>
      </c>
    </row>
    <row r="48" spans="3:16" x14ac:dyDescent="0.25">
      <c r="C48" s="751" t="s">
        <v>212</v>
      </c>
      <c r="D48" s="752"/>
      <c r="E48" s="86">
        <f>SUM(E30:E47)</f>
        <v>2623.4299700000001</v>
      </c>
      <c r="F48" s="86">
        <f>'F11-Year(n-1)'!Q48</f>
        <v>0</v>
      </c>
      <c r="G48" s="86">
        <f>F48-E48</f>
        <v>-2623.4299700000001</v>
      </c>
      <c r="H48" s="86">
        <f>SUM(H30:H47)</f>
        <v>1671.7704799999999</v>
      </c>
      <c r="I48" s="86">
        <f>SUM('F11-Year(n)'!E48:J48)</f>
        <v>208.6224911242</v>
      </c>
      <c r="J48" s="86">
        <f>SUM('F11-Year(n)'!K48:P48)</f>
        <v>139.05564269540002</v>
      </c>
      <c r="K48" s="86">
        <f t="shared" si="1"/>
        <v>347.67813381960002</v>
      </c>
      <c r="L48" s="86">
        <f>'F11-Year(n+2)'!Q48</f>
        <v>1691.0190000000355</v>
      </c>
      <c r="M48" s="86" t="e">
        <f>#REF!</f>
        <v>#REF!</v>
      </c>
      <c r="N48" s="86">
        <f>'F11-Year(n+3) '!Q48</f>
        <v>1691.0174561185631</v>
      </c>
      <c r="O48" s="86">
        <f>'F11-Year(n+4)'!Q48</f>
        <v>1697.7835234195813</v>
      </c>
      <c r="P48" s="86">
        <f>'F11-Year(n+5)'!Q48</f>
        <v>1691.0190000000346</v>
      </c>
    </row>
    <row r="49" spans="3:16" x14ac:dyDescent="0.25">
      <c r="C49" s="753" t="s">
        <v>368</v>
      </c>
      <c r="D49" s="754"/>
      <c r="E49" s="86">
        <f>E28+E48</f>
        <v>21640.619879999998</v>
      </c>
      <c r="F49" s="86">
        <f>F28+F48</f>
        <v>0</v>
      </c>
      <c r="G49" s="86">
        <f>F49-E49</f>
        <v>-21640.619879999998</v>
      </c>
      <c r="H49" s="86">
        <f>H28+H48</f>
        <v>9391.0012750000005</v>
      </c>
      <c r="I49" s="86">
        <f>I28+I48</f>
        <v>4032.6767780242008</v>
      </c>
      <c r="J49" s="86">
        <f>SUM('F11-Year(n)'!K49:P49)</f>
        <v>4065.3244724533997</v>
      </c>
      <c r="K49" s="86">
        <f t="shared" si="1"/>
        <v>8098.0012504776005</v>
      </c>
      <c r="L49" s="86">
        <f>'F11-Year(n+2)'!Q49</f>
        <v>15342.02811888814</v>
      </c>
      <c r="M49" s="86" t="e">
        <f>#REF!</f>
        <v>#REF!</v>
      </c>
      <c r="N49" s="86">
        <f>'F11-Year(n+3) '!Q49</f>
        <v>14311.654897146356</v>
      </c>
      <c r="O49" s="86">
        <f>'F11-Year(n+4)'!Q49</f>
        <v>14966.851411961492</v>
      </c>
      <c r="P49" s="86">
        <f>'F11-Year(n+5)'!Q49</f>
        <v>15985.494327611632</v>
      </c>
    </row>
    <row r="50" spans="3:16" x14ac:dyDescent="0.25">
      <c r="C50" s="800" t="s">
        <v>369</v>
      </c>
      <c r="D50" s="801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</row>
    <row r="51" spans="3:16" x14ac:dyDescent="0.25">
      <c r="C51" s="753" t="s">
        <v>349</v>
      </c>
      <c r="D51" s="754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</row>
    <row r="52" spans="3:16" x14ac:dyDescent="0.25">
      <c r="C52" s="805" t="s">
        <v>370</v>
      </c>
      <c r="D52" s="17" t="s">
        <v>371</v>
      </c>
      <c r="E52" s="66">
        <f>[44]F8!E51</f>
        <v>1964.9727099999998</v>
      </c>
      <c r="F52" s="109">
        <f>'F11-Year(n-1)'!Q52</f>
        <v>1399.4445816360001</v>
      </c>
      <c r="G52" s="66"/>
      <c r="H52" s="66">
        <f>'F8'!H51</f>
        <v>582.58578999999997</v>
      </c>
      <c r="I52" s="66">
        <f>SUM('F11-Year(n)'!E52:J52)</f>
        <v>305.072121208</v>
      </c>
      <c r="J52" s="66">
        <f>SUM('F11-Year(n)'!K52:P52)</f>
        <v>291.74095672399994</v>
      </c>
      <c r="K52" s="66">
        <f t="shared" ref="K52:K78" si="2">I52+J52</f>
        <v>596.81307793199994</v>
      </c>
      <c r="L52" s="66">
        <f>'F11-Year(n+2)'!Q52</f>
        <v>495.52053872521611</v>
      </c>
      <c r="M52" s="66" t="e">
        <f>#REF!</f>
        <v>#REF!</v>
      </c>
      <c r="N52" s="66">
        <f>'F11-Year(n+3) '!Q52</f>
        <v>481.56004230712927</v>
      </c>
      <c r="O52" s="66">
        <f>'F11-Year(n+4)'!Q52</f>
        <v>496.98610615811145</v>
      </c>
      <c r="P52" s="66">
        <f>'F11-Year(n+5)'!Q52</f>
        <v>555.71355422963109</v>
      </c>
    </row>
    <row r="53" spans="3:16" x14ac:dyDescent="0.25">
      <c r="C53" s="806"/>
      <c r="D53" s="17" t="s">
        <v>372</v>
      </c>
      <c r="E53" s="66">
        <f>[44]F8!E52</f>
        <v>527.55173500000001</v>
      </c>
      <c r="F53" s="109">
        <f>'F11-Year(n-1)'!Q53</f>
        <v>333.76338293250001</v>
      </c>
      <c r="G53" s="66"/>
      <c r="H53" s="66">
        <f>'F8'!H52</f>
        <v>134.0564</v>
      </c>
      <c r="I53" s="66">
        <f>SUM('F11-Year(n)'!E53:J53)</f>
        <v>83.983260314500001</v>
      </c>
      <c r="J53" s="66">
        <f>SUM('F11-Year(n)'!K53:P53)</f>
        <v>73.792865589000002</v>
      </c>
      <c r="K53" s="66">
        <f t="shared" si="2"/>
        <v>157.7761259035</v>
      </c>
      <c r="L53" s="66">
        <f>'F11-Year(n+2)'!Q53</f>
        <v>115.22728354395477</v>
      </c>
      <c r="M53" s="66" t="e">
        <f>#REF!</f>
        <v>#REF!</v>
      </c>
      <c r="N53" s="66">
        <f>'F11-Year(n+3) '!Q53</f>
        <v>119.15169924316318</v>
      </c>
      <c r="O53" s="66">
        <f>'F11-Year(n+4)'!Q53</f>
        <v>119.17205646936513</v>
      </c>
      <c r="P53" s="66">
        <f>'F11-Year(n+5)'!Q53</f>
        <v>131.08606147963968</v>
      </c>
    </row>
    <row r="54" spans="3:16" x14ac:dyDescent="0.25">
      <c r="C54" s="806"/>
      <c r="D54" s="17" t="s">
        <v>373</v>
      </c>
      <c r="E54" s="66">
        <f>[44]F8!E53</f>
        <v>1156.2651149999999</v>
      </c>
      <c r="F54" s="109">
        <f>'F11-Year(n-1)'!Q54</f>
        <v>1207.2043336165</v>
      </c>
      <c r="G54" s="66"/>
      <c r="H54" s="66">
        <f>'F8'!H53</f>
        <v>470.39306999999997</v>
      </c>
      <c r="I54" s="66">
        <f>SUM('F11-Year(n)'!E54:J54)</f>
        <v>213.2750302195</v>
      </c>
      <c r="J54" s="66">
        <f>SUM('F11-Year(n)'!K54:P54)</f>
        <v>262.2990752055</v>
      </c>
      <c r="K54" s="66">
        <f t="shared" si="2"/>
        <v>475.57410542499997</v>
      </c>
      <c r="L54" s="66">
        <f>'F11-Year(n+2)'!Q54</f>
        <v>434.41860098494408</v>
      </c>
      <c r="M54" s="66" t="e">
        <f>#REF!</f>
        <v>#REF!</v>
      </c>
      <c r="N54" s="66">
        <f>'F11-Year(n+3) '!Q54</f>
        <v>406.12330985917231</v>
      </c>
      <c r="O54" s="66">
        <f>'F11-Year(n+4)'!Q54</f>
        <v>427.37036604971206</v>
      </c>
      <c r="P54" s="66">
        <f>'F11-Year(n+5)'!Q54</f>
        <v>452.28588406967231</v>
      </c>
    </row>
    <row r="55" spans="3:16" x14ac:dyDescent="0.25">
      <c r="C55" s="806"/>
      <c r="D55" s="17" t="s">
        <v>374</v>
      </c>
      <c r="E55" s="66">
        <f>[44]F8!E54</f>
        <v>2942.3230249999997</v>
      </c>
      <c r="F55" s="109">
        <f>'F11-Year(n-1)'!Q55</f>
        <v>2271.8872117229998</v>
      </c>
      <c r="G55" s="66"/>
      <c r="H55" s="66">
        <f>'F8'!H54</f>
        <v>817.16092999999989</v>
      </c>
      <c r="I55" s="66">
        <f>SUM('F11-Year(n)'!E55:J55)</f>
        <v>415.62188490250003</v>
      </c>
      <c r="J55" s="66">
        <f>SUM('F11-Year(n)'!K55:P55)</f>
        <v>497.24008052453843</v>
      </c>
      <c r="K55" s="66">
        <f t="shared" si="2"/>
        <v>912.86196542703851</v>
      </c>
      <c r="L55" s="66">
        <f>'F11-Year(n+2)'!Q55</f>
        <v>710.78202321004278</v>
      </c>
      <c r="M55" s="66" t="e">
        <f>#REF!</f>
        <v>#REF!</v>
      </c>
      <c r="N55" s="66">
        <f>'F11-Year(n+3) '!Q55</f>
        <v>644.58210961503232</v>
      </c>
      <c r="O55" s="66">
        <f>'F11-Year(n+4)'!Q55</f>
        <v>662.28296520145432</v>
      </c>
      <c r="P55" s="66">
        <f>'F11-Year(n+5)'!Q55</f>
        <v>738.97057802930431</v>
      </c>
    </row>
    <row r="56" spans="3:16" x14ac:dyDescent="0.25">
      <c r="C56" s="806"/>
      <c r="D56" s="17" t="s">
        <v>375</v>
      </c>
      <c r="E56" s="66">
        <f>[44]F8!E55</f>
        <v>1348.5844149999998</v>
      </c>
      <c r="F56" s="109">
        <f>'F11-Year(n-1)'!Q56</f>
        <v>1083.8761537615001</v>
      </c>
      <c r="G56" s="66"/>
      <c r="H56" s="66">
        <f>'F8'!H55</f>
        <v>423.98281500000002</v>
      </c>
      <c r="I56" s="66">
        <f>SUM('F11-Year(n)'!E56:J56)</f>
        <v>171.95814123400001</v>
      </c>
      <c r="J56" s="66">
        <f>SUM('F11-Year(n)'!K56:P56)</f>
        <v>264.00776273299999</v>
      </c>
      <c r="K56" s="66">
        <f t="shared" si="2"/>
        <v>435.96590396700003</v>
      </c>
      <c r="L56" s="66">
        <f>'F11-Year(n+2)'!Q56</f>
        <v>355.93240474316099</v>
      </c>
      <c r="M56" s="66" t="e">
        <f>#REF!</f>
        <v>#REF!</v>
      </c>
      <c r="N56" s="66">
        <f>'F11-Year(n+3) '!Q56</f>
        <v>303.63502533766598</v>
      </c>
      <c r="O56" s="66">
        <f>'F11-Year(n+4)'!Q56</f>
        <v>314.32794487302215</v>
      </c>
      <c r="P56" s="66">
        <f>'F11-Year(n+5)'!Q56</f>
        <v>357.18140010556476</v>
      </c>
    </row>
    <row r="57" spans="3:16" x14ac:dyDescent="0.25">
      <c r="C57" s="806"/>
      <c r="D57" s="17" t="s">
        <v>376</v>
      </c>
      <c r="E57" s="66">
        <f>[44]F8!E56</f>
        <v>1507.4347949999999</v>
      </c>
      <c r="F57" s="109">
        <f>'F11-Year(n-1)'!Q57</f>
        <v>800.61741908300007</v>
      </c>
      <c r="G57" s="66"/>
      <c r="H57" s="66">
        <f>'F8'!H56</f>
        <v>422.75180499999999</v>
      </c>
      <c r="I57" s="66">
        <f>SUM('F11-Year(n)'!E57:J57)</f>
        <v>130.7576722215</v>
      </c>
      <c r="J57" s="66">
        <f>SUM('F11-Year(n)'!K57:P57)</f>
        <v>116.12188805149999</v>
      </c>
      <c r="K57" s="66">
        <f t="shared" si="2"/>
        <v>246.87956027299998</v>
      </c>
      <c r="L57" s="66">
        <f>'F11-Year(n+2)'!Q57</f>
        <v>330.34368755577441</v>
      </c>
      <c r="M57" s="66" t="e">
        <f>#REF!</f>
        <v>#REF!</v>
      </c>
      <c r="N57" s="66">
        <f>'F11-Year(n+3) '!Q57</f>
        <v>341.16303187185571</v>
      </c>
      <c r="O57" s="66">
        <f>'F11-Year(n+4)'!Q57</f>
        <v>354.46724998208259</v>
      </c>
      <c r="P57" s="66">
        <f>'F11-Year(n+5)'!Q57</f>
        <v>389.19931069837003</v>
      </c>
    </row>
    <row r="58" spans="3:16" x14ac:dyDescent="0.25">
      <c r="C58" s="806"/>
      <c r="D58" s="17" t="s">
        <v>377</v>
      </c>
      <c r="E58" s="66">
        <f>[44]F8!E57</f>
        <v>237.30198000000001</v>
      </c>
      <c r="F58" s="109">
        <f>'F11-Year(n-1)'!Q58</f>
        <v>178.0839150125</v>
      </c>
      <c r="G58" s="66"/>
      <c r="H58" s="66">
        <f>'F8'!H57</f>
        <v>99.058020000000013</v>
      </c>
      <c r="I58" s="66">
        <f>SUM('F11-Year(n)'!E58:J58)</f>
        <v>268.78523156138999</v>
      </c>
      <c r="J58" s="66">
        <f>SUM('F11-Year(n)'!K58:P58)</f>
        <v>290.04479768739247</v>
      </c>
      <c r="K58" s="66">
        <f t="shared" si="2"/>
        <v>558.83002924878247</v>
      </c>
      <c r="L58" s="66">
        <f>'F11-Year(n+2)'!Q58</f>
        <v>61.881231827628667</v>
      </c>
      <c r="M58" s="66" t="e">
        <f>#REF!</f>
        <v>#REF!</v>
      </c>
      <c r="N58" s="66">
        <f>'F11-Year(n+3) '!Q58</f>
        <v>61.54760774355735</v>
      </c>
      <c r="O58" s="66">
        <f>'F11-Year(n+4)'!Q58</f>
        <v>64.085247296392708</v>
      </c>
      <c r="P58" s="66">
        <f>'F11-Year(n+5)'!Q58</f>
        <v>71.288283918072324</v>
      </c>
    </row>
    <row r="59" spans="3:16" x14ac:dyDescent="0.25">
      <c r="C59" s="806"/>
      <c r="D59" s="17" t="s">
        <v>378</v>
      </c>
      <c r="E59" s="66">
        <f>[44]F8!E58</f>
        <v>981.13884999999993</v>
      </c>
      <c r="F59" s="109">
        <f>'F11-Year(n-1)'!Q59</f>
        <v>1069.8032837693358</v>
      </c>
      <c r="G59" s="66"/>
      <c r="H59" s="66">
        <f>'F8'!H58</f>
        <v>410.74209500000001</v>
      </c>
      <c r="I59" s="66">
        <f>SUM('F11-Year(n)'!E59:J59)</f>
        <v>40.737474960499995</v>
      </c>
      <c r="J59" s="66">
        <f>SUM('F11-Year(n)'!K59:P59)</f>
        <v>50.347732663499997</v>
      </c>
      <c r="K59" s="66">
        <f t="shared" si="2"/>
        <v>91.085207623999992</v>
      </c>
      <c r="L59" s="66">
        <f>'F11-Year(n+2)'!Q59</f>
        <v>266.29548999035103</v>
      </c>
      <c r="M59" s="66" t="e">
        <f>#REF!</f>
        <v>#REF!</v>
      </c>
      <c r="N59" s="66">
        <f>'F11-Year(n+3) '!Q59</f>
        <v>265.65241958455061</v>
      </c>
      <c r="O59" s="66">
        <f>'F11-Year(n+4)'!Q59</f>
        <v>274.82688940668407</v>
      </c>
      <c r="P59" s="66">
        <f>'F11-Year(n+5)'!Q59</f>
        <v>301.42796208053903</v>
      </c>
    </row>
    <row r="60" spans="3:16" x14ac:dyDescent="0.25">
      <c r="C60" s="807"/>
      <c r="D60" s="17" t="s">
        <v>379</v>
      </c>
      <c r="E60" s="66">
        <f>[44]F8!E59</f>
        <v>2468.988965</v>
      </c>
      <c r="F60" s="109">
        <f>'F11-Year(n-1)'!Q60</f>
        <v>0</v>
      </c>
      <c r="G60" s="66"/>
      <c r="H60" s="66">
        <f>'F8'!H59</f>
        <v>2331.2796699999999</v>
      </c>
      <c r="I60" s="66">
        <f>SUM('F11-Year(n)'!E60:J60)</f>
        <v>2.54148714375</v>
      </c>
      <c r="J60" s="66">
        <f>SUM('F11-Year(n)'!K60:P60)</f>
        <v>776.45762940849988</v>
      </c>
      <c r="K60" s="66">
        <f t="shared" si="2"/>
        <v>778.99911655224992</v>
      </c>
      <c r="L60" s="66">
        <f>'F11-Year(n+2)'!Q60</f>
        <v>1090.0125220593204</v>
      </c>
      <c r="M60" s="66" t="e">
        <f>#REF!</f>
        <v>#REF!</v>
      </c>
      <c r="N60" s="66">
        <f>'F11-Year(n+3) '!Q60</f>
        <v>1197.9293293673045</v>
      </c>
      <c r="O60" s="66">
        <f>'F11-Year(n+4)'!Q60</f>
        <v>1276.594251283328</v>
      </c>
      <c r="P60" s="66">
        <f>'F11-Year(n+5)'!Q60</f>
        <v>1310.5854336947</v>
      </c>
    </row>
    <row r="61" spans="3:16" x14ac:dyDescent="0.25">
      <c r="C61" s="250"/>
      <c r="D61" s="17" t="s">
        <v>451</v>
      </c>
      <c r="E61" s="66"/>
      <c r="F61" s="109"/>
      <c r="G61" s="66"/>
      <c r="H61" s="66"/>
      <c r="I61" s="66">
        <v>0</v>
      </c>
      <c r="J61" s="66">
        <v>0</v>
      </c>
      <c r="K61" s="66">
        <v>0</v>
      </c>
      <c r="L61" s="66">
        <f>'F11-Year(n+2)'!Q61</f>
        <v>1033.4188415391791</v>
      </c>
      <c r="M61" s="66" t="e">
        <f>#REF!</f>
        <v>#REF!</v>
      </c>
      <c r="N61" s="66">
        <f>'F11-Year(n+3) '!Q61</f>
        <v>1164.0853691982056</v>
      </c>
      <c r="O61" s="66">
        <f>'F11-Year(n+4)'!Q61</f>
        <v>1244.4948075754101</v>
      </c>
      <c r="P61" s="66">
        <f>'F11-Year(n+5)'!Q61</f>
        <v>1289.7831783354532</v>
      </c>
    </row>
    <row r="62" spans="3:16" x14ac:dyDescent="0.25">
      <c r="C62" s="17"/>
      <c r="D62" s="17" t="s">
        <v>380</v>
      </c>
      <c r="E62" s="66">
        <f>[44]F8!E60</f>
        <v>279.19457</v>
      </c>
      <c r="F62" s="66">
        <f>'F11-Year(n-1)'!Q61</f>
        <v>48.101486672</v>
      </c>
      <c r="G62" s="66"/>
      <c r="H62" s="66">
        <f>'F8'!H60</f>
        <v>10.280994999999999</v>
      </c>
      <c r="I62" s="66">
        <f>SUM('F11-Year(n)'!E61:J61)</f>
        <v>3.9938134519999995</v>
      </c>
      <c r="J62" s="66">
        <f>SUM('F11-Year(n)'!K61:P61)</f>
        <v>3.3206038275000003</v>
      </c>
      <c r="K62" s="66">
        <f t="shared" si="2"/>
        <v>7.3144172794999998</v>
      </c>
      <c r="L62" s="66">
        <f>'F11-Year(n+2)'!Q62</f>
        <v>10.944232211081147</v>
      </c>
      <c r="M62" s="66" t="e">
        <f>#REF!</f>
        <v>#REF!</v>
      </c>
      <c r="N62" s="66">
        <f>'F11-Year(n+3) '!Q62</f>
        <v>7.8256996918256814</v>
      </c>
      <c r="O62" s="66">
        <f>'F11-Year(n+4)'!Q62</f>
        <v>8.0975681651200251</v>
      </c>
      <c r="P62" s="66">
        <f>'F11-Year(n+5)'!Q62</f>
        <v>8.8166269911168733</v>
      </c>
    </row>
    <row r="63" spans="3:16" x14ac:dyDescent="0.25">
      <c r="C63" s="17"/>
      <c r="D63" s="17" t="s">
        <v>381</v>
      </c>
      <c r="E63" s="66">
        <f>[44]F8!E61</f>
        <v>501.08843000000002</v>
      </c>
      <c r="F63" s="66">
        <f>'F11-Year(n-1)'!Q62</f>
        <v>72.394910014499999</v>
      </c>
      <c r="G63" s="66"/>
      <c r="H63" s="66">
        <f>'F8'!H61</f>
        <v>13.152369999999999</v>
      </c>
      <c r="I63" s="66">
        <f>SUM('F11-Year(n)'!E62:J62)</f>
        <v>3.8798581495</v>
      </c>
      <c r="J63" s="66">
        <f>SUM('F11-Year(n)'!K62:P62)</f>
        <v>4.1582734429999997</v>
      </c>
      <c r="K63" s="66">
        <f t="shared" si="2"/>
        <v>8.0381315924999992</v>
      </c>
      <c r="L63" s="66">
        <f>'F11-Year(n+2)'!Q63</f>
        <v>14.422631595998293</v>
      </c>
      <c r="M63" s="66" t="e">
        <f>#REF!</f>
        <v>#REF!</v>
      </c>
      <c r="N63" s="66">
        <f>'F11-Year(n+3) '!Q63</f>
        <v>13.808057959816948</v>
      </c>
      <c r="O63" s="66">
        <f>'F11-Year(n+4)'!Q63</f>
        <v>14.385783020920263</v>
      </c>
      <c r="P63" s="66">
        <f>'F11-Year(n+5)'!Q63</f>
        <v>15.635846806833412</v>
      </c>
    </row>
    <row r="64" spans="3:16" x14ac:dyDescent="0.25">
      <c r="C64" s="17"/>
      <c r="D64" s="17" t="s">
        <v>382</v>
      </c>
      <c r="E64" s="66">
        <f>[44]F8!E62</f>
        <v>284.11896000000002</v>
      </c>
      <c r="F64" s="109">
        <f>'F11-Year(n-1)'!Q63</f>
        <v>312.34004082600006</v>
      </c>
      <c r="G64" s="66"/>
      <c r="H64" s="66">
        <f>'F8'!H62</f>
        <v>108.45845999999999</v>
      </c>
      <c r="I64" s="66">
        <f>SUM('F11-Year(n)'!E63:J63)</f>
        <v>58.924280346999993</v>
      </c>
      <c r="J64" s="66">
        <f>SUM('F11-Year(n)'!K63:P63)</f>
        <v>67.544959444499995</v>
      </c>
      <c r="K64" s="66">
        <f t="shared" si="2"/>
        <v>126.46923979149999</v>
      </c>
      <c r="L64" s="66">
        <f>'F11-Year(n+2)'!Q64</f>
        <v>126.48566365018539</v>
      </c>
      <c r="M64" s="66" t="e">
        <f>#REF!</f>
        <v>#REF!</v>
      </c>
      <c r="N64" s="66">
        <f>'F11-Year(n+3) '!Q64</f>
        <v>122.52732270917039</v>
      </c>
      <c r="O64" s="66">
        <f>'F11-Year(n+4)'!Q64</f>
        <v>127.74911268223057</v>
      </c>
      <c r="P64" s="66">
        <f>'F11-Year(n+5)'!Q64</f>
        <v>139.13548570152543</v>
      </c>
    </row>
    <row r="65" spans="3:16" x14ac:dyDescent="0.25">
      <c r="C65" s="17"/>
      <c r="D65" s="17" t="s">
        <v>383</v>
      </c>
      <c r="E65" s="66">
        <f>[44]F8!E63</f>
        <v>0</v>
      </c>
      <c r="F65" s="109">
        <f>'F11-Year(n-1)'!Q64</f>
        <v>17.256442518</v>
      </c>
      <c r="G65" s="66"/>
      <c r="H65" s="66">
        <f>'F8'!H63</f>
        <v>12.003820000000001</v>
      </c>
      <c r="I65" s="66">
        <f>SUM('F11-Year(n)'!E64:J64)</f>
        <v>6.541150985499999</v>
      </c>
      <c r="J65" s="66">
        <f>SUM('F11-Year(n)'!K64:P64)</f>
        <v>5.7715836114999997</v>
      </c>
      <c r="K65" s="66">
        <f t="shared" si="2"/>
        <v>12.312734596999999</v>
      </c>
      <c r="L65" s="66">
        <f>'F11-Year(n+2)'!Q65</f>
        <v>0</v>
      </c>
      <c r="M65" s="66" t="e">
        <f>#REF!</f>
        <v>#REF!</v>
      </c>
      <c r="N65" s="66">
        <f>'F11-Year(n+3) '!Q65</f>
        <v>0</v>
      </c>
      <c r="O65" s="66">
        <f>'F11-Year(n+4)'!Q65</f>
        <v>0</v>
      </c>
      <c r="P65" s="66">
        <f>'F11-Year(n+5)'!Q65</f>
        <v>0</v>
      </c>
    </row>
    <row r="66" spans="3:16" x14ac:dyDescent="0.25">
      <c r="C66" s="17"/>
      <c r="D66" s="17" t="s">
        <v>384</v>
      </c>
      <c r="E66" s="66">
        <f>[44]F8!E64</f>
        <v>0</v>
      </c>
      <c r="F66" s="109">
        <f>'F11-Year(n-1)'!Q65</f>
        <v>7.2135265555000005</v>
      </c>
      <c r="G66" s="66"/>
      <c r="H66" s="66">
        <f>'F8'!H64</f>
        <v>8.8408900000000017</v>
      </c>
      <c r="I66" s="66">
        <f>SUM('F11-Year(n)'!E65:J65)</f>
        <v>4.0466358554999999</v>
      </c>
      <c r="J66" s="66">
        <f>SUM('F11-Year(n)'!K65:P65)</f>
        <v>3.3690764659999997</v>
      </c>
      <c r="K66" s="66">
        <f t="shared" si="2"/>
        <v>7.4157123214999991</v>
      </c>
      <c r="L66" s="66">
        <f>'F11-Year(n+2)'!Q66</f>
        <v>0</v>
      </c>
      <c r="M66" s="66" t="e">
        <f>#REF!</f>
        <v>#REF!</v>
      </c>
      <c r="N66" s="66">
        <f>'F11-Year(n+3) '!Q66</f>
        <v>0</v>
      </c>
      <c r="O66" s="66">
        <f>'F11-Year(n+4)'!Q66</f>
        <v>0</v>
      </c>
      <c r="P66" s="66">
        <f>'F11-Year(n+5)'!Q66</f>
        <v>0</v>
      </c>
    </row>
    <row r="67" spans="3:16" x14ac:dyDescent="0.25">
      <c r="C67" s="17"/>
      <c r="D67" s="17" t="s">
        <v>385</v>
      </c>
      <c r="E67" s="66">
        <f>[44]F8!E65</f>
        <v>0</v>
      </c>
      <c r="F67" s="109">
        <f>'F11-Year(n-1)'!Q66</f>
        <v>497.35984133500006</v>
      </c>
      <c r="G67" s="66"/>
      <c r="H67" s="66">
        <f>'F8'!H65</f>
        <v>0</v>
      </c>
      <c r="I67" s="66">
        <f>SUM('F11-Year(n)'!E66:J66)</f>
        <v>87.601480541000001</v>
      </c>
      <c r="J67" s="66">
        <f>SUM('F11-Year(n)'!K66:P66)</f>
        <v>36.995021970499998</v>
      </c>
      <c r="K67" s="66">
        <f t="shared" si="2"/>
        <v>124.59650251150001</v>
      </c>
      <c r="L67" s="66">
        <f>'F11-Year(n+2)'!Q67</f>
        <v>153.58007160077781</v>
      </c>
      <c r="M67" s="66" t="e">
        <f>#REF!</f>
        <v>#REF!</v>
      </c>
      <c r="N67" s="66">
        <f>'F11-Year(n+3) '!Q67</f>
        <v>146.16016663320784</v>
      </c>
      <c r="O67" s="66">
        <f>'F11-Year(n+4)'!Q67</f>
        <v>150.67292312113733</v>
      </c>
      <c r="P67" s="66">
        <f>'F11-Year(n+5)'!Q67</f>
        <v>170.8835344274853</v>
      </c>
    </row>
    <row r="68" spans="3:16" x14ac:dyDescent="0.25">
      <c r="C68" s="17"/>
      <c r="D68" s="17" t="s">
        <v>386</v>
      </c>
      <c r="E68" s="66">
        <f>[44]F8!E66</f>
        <v>0</v>
      </c>
      <c r="F68" s="109">
        <f>'F11-Year(n-1)'!Q67</f>
        <v>656.10948510650007</v>
      </c>
      <c r="G68" s="66"/>
      <c r="H68" s="66">
        <f>'F8'!H66</f>
        <v>0</v>
      </c>
      <c r="I68" s="66">
        <f>SUM('F11-Year(n)'!E67:J67)</f>
        <v>112.28773394599999</v>
      </c>
      <c r="J68" s="66">
        <f>SUM('F11-Year(n)'!K67:P67)</f>
        <v>110.58433858349999</v>
      </c>
      <c r="K68" s="66">
        <f t="shared" si="2"/>
        <v>222.87207252949997</v>
      </c>
      <c r="L68" s="66">
        <f>'F11-Year(n+2)'!Q68</f>
        <v>183.97265006046115</v>
      </c>
      <c r="M68" s="66" t="e">
        <f>#REF!</f>
        <v>#REF!</v>
      </c>
      <c r="N68" s="66">
        <f>'F11-Year(n+3) '!Q68</f>
        <v>209.23034595483196</v>
      </c>
      <c r="O68" s="66">
        <f>'F11-Year(n+4)'!Q68</f>
        <v>205.72937287828407</v>
      </c>
      <c r="P68" s="66">
        <f>'F11-Year(n+5)'!Q68</f>
        <v>231.05852562306234</v>
      </c>
    </row>
    <row r="69" spans="3:16" x14ac:dyDescent="0.25">
      <c r="C69" s="17"/>
      <c r="D69" s="113" t="s">
        <v>438</v>
      </c>
      <c r="E69" s="66">
        <f>[44]F8!E67</f>
        <v>0</v>
      </c>
      <c r="F69" s="109">
        <f>'F11-Year(n-1)'!Q68</f>
        <v>0</v>
      </c>
      <c r="G69" s="66"/>
      <c r="H69" s="66">
        <f>'F8'!H67</f>
        <v>0</v>
      </c>
      <c r="I69" s="66">
        <f>SUM('F11-Year(n)'!E68:J68)</f>
        <v>5.4817935499999998E-2</v>
      </c>
      <c r="J69" s="66">
        <f>SUM('F11-Year(n)'!K68:P68)</f>
        <v>0</v>
      </c>
      <c r="K69" s="66">
        <f t="shared" si="2"/>
        <v>5.4817935499999998E-2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</row>
    <row r="70" spans="3:16" x14ac:dyDescent="0.25">
      <c r="C70" s="17"/>
      <c r="D70" s="113" t="s">
        <v>439</v>
      </c>
      <c r="E70" s="66">
        <f>[44]F8!E68</f>
        <v>0</v>
      </c>
      <c r="F70" s="109">
        <f>'F11-Year(n-1)'!Q69</f>
        <v>0</v>
      </c>
      <c r="G70" s="66"/>
      <c r="H70" s="66">
        <f>'F8'!H68</f>
        <v>0</v>
      </c>
      <c r="I70" s="66">
        <f>SUM('F11-Year(n)'!E69:J69)</f>
        <v>0.41571443299999994</v>
      </c>
      <c r="J70" s="66">
        <f>SUM('F11-Year(n)'!K69:P69)</f>
        <v>0</v>
      </c>
      <c r="K70" s="66">
        <f t="shared" si="2"/>
        <v>0.41571443299999994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</row>
    <row r="71" spans="3:16" x14ac:dyDescent="0.25">
      <c r="C71" s="17"/>
      <c r="D71" s="113" t="s">
        <v>440</v>
      </c>
      <c r="E71" s="66">
        <f>[44]F8!E69</f>
        <v>0</v>
      </c>
      <c r="F71" s="109">
        <f>'F11-Year(n-1)'!Q70</f>
        <v>0</v>
      </c>
      <c r="G71" s="66"/>
      <c r="H71" s="66">
        <f>'F8'!H69</f>
        <v>0</v>
      </c>
      <c r="I71" s="66">
        <f>SUM('F11-Year(n)'!E70:J70)</f>
        <v>0</v>
      </c>
      <c r="J71" s="66">
        <f>SUM('F11-Year(n)'!K70:P70)</f>
        <v>0</v>
      </c>
      <c r="K71" s="66">
        <f t="shared" si="2"/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</row>
    <row r="72" spans="3:16" x14ac:dyDescent="0.25">
      <c r="C72" s="17"/>
      <c r="D72" s="114" t="s">
        <v>441</v>
      </c>
      <c r="E72" s="66">
        <f>[44]F8!E70</f>
        <v>0</v>
      </c>
      <c r="F72" s="109">
        <f>'F11-Year(n-1)'!Q71</f>
        <v>0</v>
      </c>
      <c r="G72" s="66"/>
      <c r="H72" s="66">
        <f>'F8'!H70</f>
        <v>0</v>
      </c>
      <c r="I72" s="66">
        <f>SUM('F11-Year(n)'!E71:J71)</f>
        <v>6.8480674000000005E-2</v>
      </c>
      <c r="J72" s="66">
        <f>SUM('F11-Year(n)'!K71:P71)</f>
        <v>0</v>
      </c>
      <c r="K72" s="66">
        <f t="shared" si="2"/>
        <v>6.8480674000000005E-2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</row>
    <row r="73" spans="3:16" x14ac:dyDescent="0.25">
      <c r="C73" s="17"/>
      <c r="D73" s="114" t="s">
        <v>442</v>
      </c>
      <c r="E73" s="66">
        <f>[44]F8!E71</f>
        <v>0</v>
      </c>
      <c r="F73" s="109">
        <f>'F11-Year(n-1)'!Q72</f>
        <v>0</v>
      </c>
      <c r="G73" s="66"/>
      <c r="H73" s="66">
        <f>'F8'!H71</f>
        <v>0</v>
      </c>
      <c r="I73" s="66">
        <f>SUM('F11-Year(n)'!E72:J72)</f>
        <v>0.17311829100000001</v>
      </c>
      <c r="J73" s="66">
        <f>SUM('F11-Year(n)'!K72:P72)</f>
        <v>0</v>
      </c>
      <c r="K73" s="66">
        <f t="shared" si="2"/>
        <v>0.17311829100000001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</row>
    <row r="74" spans="3:16" x14ac:dyDescent="0.25">
      <c r="C74" s="17"/>
      <c r="D74" s="113" t="s">
        <v>443</v>
      </c>
      <c r="E74" s="66">
        <f>[44]F8!E72</f>
        <v>0</v>
      </c>
      <c r="F74" s="109">
        <f>'F11-Year(n-1)'!Q73</f>
        <v>0</v>
      </c>
      <c r="G74" s="66"/>
      <c r="H74" s="66">
        <f>'F8'!H72</f>
        <v>0</v>
      </c>
      <c r="I74" s="66">
        <f>SUM('F11-Year(n)'!E73:J73)</f>
        <v>0</v>
      </c>
      <c r="J74" s="66">
        <f>SUM('F11-Year(n)'!K73:P73)</f>
        <v>1.7149912542109357E-2</v>
      </c>
      <c r="K74" s="66">
        <f t="shared" si="2"/>
        <v>1.7149912542109357E-2</v>
      </c>
      <c r="L74" s="66">
        <v>0</v>
      </c>
      <c r="M74" s="66">
        <v>0</v>
      </c>
      <c r="N74" s="66">
        <v>0</v>
      </c>
      <c r="O74" s="66">
        <v>0</v>
      </c>
      <c r="P74" s="66">
        <v>0</v>
      </c>
    </row>
    <row r="75" spans="3:16" x14ac:dyDescent="0.25">
      <c r="C75" s="17"/>
      <c r="D75" s="113" t="s">
        <v>444</v>
      </c>
      <c r="E75" s="66">
        <f>[44]F8!E73</f>
        <v>0</v>
      </c>
      <c r="F75" s="109">
        <f>'F11-Year(n-1)'!Q74</f>
        <v>0</v>
      </c>
      <c r="G75" s="66"/>
      <c r="H75" s="66">
        <f>'F8'!H73</f>
        <v>0</v>
      </c>
      <c r="I75" s="66">
        <f>SUM('F11-Year(n)'!E74:J74)</f>
        <v>0</v>
      </c>
      <c r="J75" s="66">
        <f>SUM('F11-Year(n)'!K74:P74)</f>
        <v>0</v>
      </c>
      <c r="K75" s="66">
        <f t="shared" si="2"/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</row>
    <row r="76" spans="3:16" hidden="1" x14ac:dyDescent="0.25">
      <c r="C76" s="17"/>
      <c r="D76" s="17"/>
      <c r="E76" s="66"/>
      <c r="F76" s="109">
        <f>'F11-Year(n-1)'!Q75</f>
        <v>0</v>
      </c>
      <c r="G76" s="66"/>
      <c r="H76" s="66"/>
      <c r="I76" s="66"/>
      <c r="J76" s="66"/>
      <c r="K76" s="66">
        <f t="shared" si="2"/>
        <v>0</v>
      </c>
      <c r="L76" s="66"/>
      <c r="M76" s="66"/>
      <c r="N76" s="66"/>
      <c r="O76" s="66"/>
      <c r="P76" s="66"/>
    </row>
    <row r="77" spans="3:16" hidden="1" x14ac:dyDescent="0.25">
      <c r="C77" s="17"/>
      <c r="D77" s="17"/>
      <c r="E77" s="66"/>
      <c r="F77" s="109">
        <f>'F11-Year(n-1)'!Q76</f>
        <v>0</v>
      </c>
      <c r="G77" s="66"/>
      <c r="H77" s="66"/>
      <c r="I77" s="66"/>
      <c r="J77" s="66"/>
      <c r="K77" s="66">
        <f t="shared" si="2"/>
        <v>0</v>
      </c>
      <c r="L77" s="66"/>
      <c r="M77" s="66"/>
      <c r="N77" s="66"/>
      <c r="O77" s="66"/>
      <c r="P77" s="66"/>
    </row>
    <row r="78" spans="3:16" x14ac:dyDescent="0.25">
      <c r="C78" s="751" t="s">
        <v>212</v>
      </c>
      <c r="D78" s="752"/>
      <c r="E78" s="86">
        <f>SUM(E52:E77)</f>
        <v>14198.963549999999</v>
      </c>
      <c r="F78" s="86">
        <f>SUM(F52:F77)</f>
        <v>9955.4560145618398</v>
      </c>
      <c r="G78" s="86">
        <f>F78-E78</f>
        <v>-4243.5075354381588</v>
      </c>
      <c r="H78" s="86">
        <f>SUM(H52:H77)</f>
        <v>5844.7471299999997</v>
      </c>
      <c r="I78" s="86">
        <f>SUM(I52:I77)</f>
        <v>1910.7193883756399</v>
      </c>
      <c r="J78" s="86">
        <f>SUM(J52:J77)</f>
        <v>2853.8137958459724</v>
      </c>
      <c r="K78" s="86">
        <f t="shared" si="2"/>
        <v>4764.5331842216128</v>
      </c>
      <c r="L78" s="86">
        <f>SUM(L52:L77)</f>
        <v>5383.2378732980769</v>
      </c>
      <c r="M78" s="86" t="e">
        <f>SUM(M52:M77)</f>
        <v>#REF!</v>
      </c>
      <c r="N78" s="86">
        <f>SUM(N52:N77)</f>
        <v>5484.9815370764891</v>
      </c>
      <c r="O78" s="86">
        <f>SUM(O52:O77)</f>
        <v>5741.2426441632551</v>
      </c>
      <c r="P78" s="86">
        <f>SUM(P52:P77)</f>
        <v>6163.0516661909714</v>
      </c>
    </row>
    <row r="79" spans="3:16" x14ac:dyDescent="0.25">
      <c r="C79" s="753" t="s">
        <v>387</v>
      </c>
      <c r="D79" s="754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</row>
    <row r="80" spans="3:16" x14ac:dyDescent="0.25">
      <c r="C80" s="805" t="s">
        <v>388</v>
      </c>
      <c r="D80" s="17" t="s">
        <v>389</v>
      </c>
      <c r="E80" s="66">
        <f>[44]F8!E79</f>
        <v>41.448124999999997</v>
      </c>
      <c r="F80" s="109">
        <f>'F11-Year(n-1)'!Q79</f>
        <v>51.309256188499994</v>
      </c>
      <c r="G80" s="66"/>
      <c r="H80" s="66">
        <f>'F8'!H79</f>
        <v>16.621579999999998</v>
      </c>
      <c r="I80" s="66">
        <f>SUM('F11-Year(n)'!E79:J79)</f>
        <v>6.6638714915000001</v>
      </c>
      <c r="J80" s="66">
        <f>SUM('F11-Year(n)'!K79:P79)</f>
        <v>11.478957388</v>
      </c>
      <c r="K80" s="66">
        <f t="shared" ref="K80:K94" si="3">I80+J80</f>
        <v>18.142828879500001</v>
      </c>
      <c r="L80" s="66">
        <f>'F11-Year(n+2)'!Q79</f>
        <v>55.610542235154512</v>
      </c>
      <c r="M80" s="129" t="e">
        <f>#REF!</f>
        <v>#REF!</v>
      </c>
      <c r="N80" s="129">
        <f>'F11-Year(n+3) '!Q79</f>
        <v>52.384685724038107</v>
      </c>
      <c r="O80" s="129">
        <f>'F11-Year(n+4)'!Q79</f>
        <v>53.292560711725109</v>
      </c>
      <c r="P80" s="129">
        <f>'F11-Year(n+5)'!Q79</f>
        <v>54.292414116729972</v>
      </c>
    </row>
    <row r="81" spans="3:16" x14ac:dyDescent="0.25">
      <c r="C81" s="806"/>
      <c r="D81" s="17" t="s">
        <v>390</v>
      </c>
      <c r="E81" s="66">
        <f>[44]F8!E80</f>
        <v>317.98296000000005</v>
      </c>
      <c r="F81" s="109">
        <f>'F11-Year(n-1)'!Q80</f>
        <v>766.85603899650005</v>
      </c>
      <c r="G81" s="66"/>
      <c r="H81" s="66">
        <f>'F8'!H80</f>
        <v>125.71026999999998</v>
      </c>
      <c r="I81" s="66">
        <f>SUM('F11-Year(n)'!E80:J80)</f>
        <v>158.78611836549999</v>
      </c>
      <c r="J81" s="66">
        <f>SUM('F11-Year(n)'!K80:P80)</f>
        <v>159.11158710199999</v>
      </c>
      <c r="K81" s="66">
        <f t="shared" si="3"/>
        <v>317.89770546749997</v>
      </c>
      <c r="L81" s="66">
        <f>'F11-Year(n+2)'!Q80</f>
        <v>170.82832305164919</v>
      </c>
      <c r="M81" s="129" t="e">
        <f>#REF!</f>
        <v>#REF!</v>
      </c>
      <c r="N81" s="129">
        <f>'F11-Year(n+3) '!Q80</f>
        <v>166.04996338804202</v>
      </c>
      <c r="O81" s="129">
        <f>'F11-Year(n+4)'!Q80</f>
        <v>168.92776262235455</v>
      </c>
      <c r="P81" s="129">
        <f>'F11-Year(n+5)'!Q80</f>
        <v>172.09711677614459</v>
      </c>
    </row>
    <row r="82" spans="3:16" x14ac:dyDescent="0.25">
      <c r="C82" s="806"/>
      <c r="D82" s="17" t="s">
        <v>391</v>
      </c>
      <c r="E82" s="66">
        <f>[44]F8!E81</f>
        <v>316.27564999999998</v>
      </c>
      <c r="F82" s="109">
        <f>'F11-Year(n-1)'!Q81</f>
        <v>0</v>
      </c>
      <c r="G82" s="66"/>
      <c r="H82" s="66">
        <f>'F8'!H81</f>
        <v>136.21803000000003</v>
      </c>
      <c r="I82" s="66">
        <f>SUM('F11-Year(n)'!E81:J81)</f>
        <v>0</v>
      </c>
      <c r="J82" s="66">
        <f>SUM('F11-Year(n)'!K81:P81)</f>
        <v>0</v>
      </c>
      <c r="K82" s="66">
        <f t="shared" si="3"/>
        <v>0</v>
      </c>
      <c r="L82" s="66">
        <f>'F11-Year(n+2)'!Q81</f>
        <v>181.67808044572675</v>
      </c>
      <c r="M82" s="129" t="e">
        <f>#REF!</f>
        <v>#REF!</v>
      </c>
      <c r="N82" s="129">
        <f>'F11-Year(n+3) '!Q81</f>
        <v>166.04996338804202</v>
      </c>
      <c r="O82" s="129">
        <f>'F11-Year(n+4)'!Q81</f>
        <v>168.92776262235455</v>
      </c>
      <c r="P82" s="129">
        <f>'F11-Year(n+5)'!Q81</f>
        <v>172.09711677614459</v>
      </c>
    </row>
    <row r="83" spans="3:16" x14ac:dyDescent="0.25">
      <c r="C83" s="807"/>
      <c r="D83" s="17" t="s">
        <v>392</v>
      </c>
      <c r="E83" s="66">
        <f>[44]F8!E82</f>
        <v>202.94413</v>
      </c>
      <c r="F83" s="109">
        <f>'F11-Year(n-1)'!Q82</f>
        <v>247.95213251150003</v>
      </c>
      <c r="G83" s="66"/>
      <c r="H83" s="66">
        <f>'F8'!H82</f>
        <v>98.598600000000005</v>
      </c>
      <c r="I83" s="66">
        <f>SUM('F11-Year(n)'!E82:J82)</f>
        <v>36.028518323499995</v>
      </c>
      <c r="J83" s="66">
        <f>SUM('F11-Year(n)'!K82:P82)</f>
        <v>61.940944565999999</v>
      </c>
      <c r="K83" s="66">
        <f t="shared" si="3"/>
        <v>97.969462889499994</v>
      </c>
      <c r="L83" s="66">
        <f>'F11-Year(n+2)'!Q82</f>
        <v>137.10651215289522</v>
      </c>
      <c r="M83" s="129" t="e">
        <f>#REF!</f>
        <v>#REF!</v>
      </c>
      <c r="N83" s="129">
        <f>'F11-Year(n+3) '!Q82</f>
        <v>129.15323715919666</v>
      </c>
      <c r="O83" s="129">
        <f>'F11-Year(n+4)'!Q82</f>
        <v>131.39158204902449</v>
      </c>
      <c r="P83" s="129">
        <f>'F11-Year(n+5)'!Q82</f>
        <v>133.85669761011235</v>
      </c>
    </row>
    <row r="84" spans="3:16" x14ac:dyDescent="0.25">
      <c r="C84" s="17"/>
      <c r="D84" s="17" t="s">
        <v>445</v>
      </c>
      <c r="E84" s="66">
        <f>[44]F8!E83</f>
        <v>0</v>
      </c>
      <c r="F84" s="109">
        <f>'F11-Year(n-1)'!Q84</f>
        <v>0</v>
      </c>
      <c r="G84" s="66"/>
      <c r="H84" s="66">
        <f>'F8'!H83</f>
        <v>0</v>
      </c>
      <c r="I84" s="66">
        <f>SUM('F11-Year(n)'!E83:J83)</f>
        <v>0</v>
      </c>
      <c r="J84" s="66">
        <f>SUM('F11-Year(n)'!K83:P83)</f>
        <v>0</v>
      </c>
      <c r="K84" s="66">
        <f t="shared" si="3"/>
        <v>0</v>
      </c>
      <c r="L84" s="66">
        <f>'F11-Year(n+2)'!Q83</f>
        <v>0</v>
      </c>
      <c r="M84" s="129" t="e">
        <f>#REF!</f>
        <v>#REF!</v>
      </c>
      <c r="N84" s="129">
        <f>'F11-Year(n+3) '!Q83</f>
        <v>0</v>
      </c>
      <c r="O84" s="129">
        <f>'F11-Year(n+4)'!Q83</f>
        <v>0</v>
      </c>
      <c r="P84" s="129">
        <f>'F11-Year(n+5)'!Q83</f>
        <v>0</v>
      </c>
    </row>
    <row r="85" spans="3:16" hidden="1" x14ac:dyDescent="0.25">
      <c r="C85" s="17"/>
      <c r="D85" s="17"/>
      <c r="E85" s="66"/>
      <c r="F85" s="109">
        <f>'F11-Year(n-1)'!Q85</f>
        <v>0</v>
      </c>
      <c r="G85" s="66"/>
      <c r="H85" s="66"/>
      <c r="I85" s="66">
        <f>SUM('F11-Year(n)'!E84:J84)</f>
        <v>0</v>
      </c>
      <c r="J85" s="66">
        <f>SUM('F11-Year(n)'!K84:P84)</f>
        <v>0</v>
      </c>
      <c r="K85" s="66">
        <f t="shared" si="3"/>
        <v>0</v>
      </c>
      <c r="L85" s="66">
        <f>'F11-Year(n+2)'!Q84</f>
        <v>0</v>
      </c>
      <c r="M85" s="66"/>
      <c r="N85" s="66"/>
      <c r="O85" s="66"/>
      <c r="P85" s="66"/>
    </row>
    <row r="86" spans="3:16" hidden="1" x14ac:dyDescent="0.25">
      <c r="C86" s="17"/>
      <c r="D86" s="17"/>
      <c r="E86" s="66"/>
      <c r="F86" s="109">
        <f>'F11-Year(n-1)'!Q86</f>
        <v>0</v>
      </c>
      <c r="G86" s="66"/>
      <c r="H86" s="66"/>
      <c r="I86" s="66">
        <f>SUM('F11-Year(n)'!E85:J85)</f>
        <v>0</v>
      </c>
      <c r="J86" s="66">
        <f>SUM('F11-Year(n)'!K85:P85)</f>
        <v>0</v>
      </c>
      <c r="K86" s="66">
        <f t="shared" si="3"/>
        <v>0</v>
      </c>
      <c r="L86" s="66">
        <f>'F11-Year(n+2)'!Q85</f>
        <v>0</v>
      </c>
      <c r="M86" s="66"/>
      <c r="N86" s="66"/>
      <c r="O86" s="66"/>
      <c r="P86" s="66"/>
    </row>
    <row r="87" spans="3:16" hidden="1" x14ac:dyDescent="0.25">
      <c r="C87" s="17"/>
      <c r="D87" s="17"/>
      <c r="E87" s="66"/>
      <c r="F87" s="109">
        <f>'F11-Year(n-1)'!Q87</f>
        <v>0</v>
      </c>
      <c r="G87" s="66"/>
      <c r="H87" s="66"/>
      <c r="I87" s="66">
        <f>SUM('F11-Year(n)'!E86:J86)</f>
        <v>0</v>
      </c>
      <c r="J87" s="66">
        <f>SUM('F11-Year(n)'!K86:P86)</f>
        <v>0</v>
      </c>
      <c r="K87" s="66">
        <f t="shared" si="3"/>
        <v>0</v>
      </c>
      <c r="L87" s="66">
        <f>'F11-Year(n+2)'!Q86</f>
        <v>0</v>
      </c>
      <c r="M87" s="66"/>
      <c r="N87" s="66"/>
      <c r="O87" s="66"/>
      <c r="P87" s="66"/>
    </row>
    <row r="88" spans="3:16" hidden="1" x14ac:dyDescent="0.25">
      <c r="C88" s="17"/>
      <c r="D88" s="17"/>
      <c r="E88" s="66"/>
      <c r="F88" s="109">
        <f>'F11-Year(n-1)'!Q88</f>
        <v>0</v>
      </c>
      <c r="G88" s="66"/>
      <c r="H88" s="66"/>
      <c r="I88" s="66">
        <f>SUM('F11-Year(n)'!E87:J87)</f>
        <v>0</v>
      </c>
      <c r="J88" s="66">
        <f>SUM('F11-Year(n)'!K87:P87)</f>
        <v>0</v>
      </c>
      <c r="K88" s="66">
        <f t="shared" si="3"/>
        <v>0</v>
      </c>
      <c r="L88" s="66">
        <f>'F11-Year(n+2)'!Q87</f>
        <v>0</v>
      </c>
      <c r="M88" s="66"/>
      <c r="N88" s="66"/>
      <c r="O88" s="66"/>
      <c r="P88" s="66"/>
    </row>
    <row r="89" spans="3:16" hidden="1" x14ac:dyDescent="0.25">
      <c r="C89" s="17"/>
      <c r="D89" s="17"/>
      <c r="E89" s="66"/>
      <c r="F89" s="109">
        <f>'F11-Year(n-1)'!Q89</f>
        <v>0</v>
      </c>
      <c r="G89" s="66"/>
      <c r="H89" s="66"/>
      <c r="I89" s="66">
        <f>SUM('F11-Year(n)'!E88:J88)</f>
        <v>0</v>
      </c>
      <c r="J89" s="66">
        <f>SUM('F11-Year(n)'!K88:P88)</f>
        <v>0</v>
      </c>
      <c r="K89" s="66">
        <f t="shared" si="3"/>
        <v>0</v>
      </c>
      <c r="L89" s="66">
        <f>'F11-Year(n+2)'!Q88</f>
        <v>0</v>
      </c>
      <c r="M89" s="66"/>
      <c r="N89" s="66"/>
      <c r="O89" s="66"/>
      <c r="P89" s="66"/>
    </row>
    <row r="90" spans="3:16" hidden="1" x14ac:dyDescent="0.25">
      <c r="C90" s="17"/>
      <c r="D90" s="17"/>
      <c r="E90" s="66"/>
      <c r="F90" s="109">
        <f>'F11-Year(n-1)'!Q90</f>
        <v>0</v>
      </c>
      <c r="G90" s="66"/>
      <c r="H90" s="66"/>
      <c r="I90" s="66">
        <f>SUM('F11-Year(n)'!E89:J89)</f>
        <v>0</v>
      </c>
      <c r="J90" s="66">
        <f>SUM('F11-Year(n)'!K89:P89)</f>
        <v>0</v>
      </c>
      <c r="K90" s="66">
        <f t="shared" si="3"/>
        <v>0</v>
      </c>
      <c r="L90" s="66">
        <f>'F11-Year(n+2)'!Q89</f>
        <v>0</v>
      </c>
      <c r="M90" s="66"/>
      <c r="N90" s="66"/>
      <c r="O90" s="66"/>
      <c r="P90" s="66"/>
    </row>
    <row r="91" spans="3:16" hidden="1" x14ac:dyDescent="0.25">
      <c r="C91" s="17"/>
      <c r="D91" s="17"/>
      <c r="E91" s="66"/>
      <c r="F91" s="109">
        <f>'F11-Year(n-1)'!Q91</f>
        <v>0</v>
      </c>
      <c r="G91" s="66"/>
      <c r="H91" s="66"/>
      <c r="I91" s="66">
        <f>SUM('F11-Year(n)'!E90:J90)</f>
        <v>0</v>
      </c>
      <c r="J91" s="66">
        <f>SUM('F11-Year(n)'!K90:P90)</f>
        <v>0</v>
      </c>
      <c r="K91" s="66">
        <f t="shared" si="3"/>
        <v>0</v>
      </c>
      <c r="L91" s="66">
        <f>'F11-Year(n+2)'!Q90</f>
        <v>0</v>
      </c>
      <c r="M91" s="66"/>
      <c r="N91" s="66"/>
      <c r="O91" s="66"/>
      <c r="P91" s="66"/>
    </row>
    <row r="92" spans="3:16" hidden="1" x14ac:dyDescent="0.25">
      <c r="C92" s="17"/>
      <c r="D92" s="17"/>
      <c r="E92" s="66"/>
      <c r="F92" s="109">
        <f>'F11-Year(n-1)'!Q92</f>
        <v>0</v>
      </c>
      <c r="G92" s="66"/>
      <c r="H92" s="66"/>
      <c r="I92" s="66">
        <f>SUM('F11-Year(n)'!E91:J91)</f>
        <v>0</v>
      </c>
      <c r="J92" s="66">
        <f>SUM('F11-Year(n)'!K91:P91)</f>
        <v>0</v>
      </c>
      <c r="K92" s="66">
        <f t="shared" si="3"/>
        <v>0</v>
      </c>
      <c r="L92" s="66">
        <f>'F11-Year(n+2)'!Q91</f>
        <v>0</v>
      </c>
      <c r="M92" s="66"/>
      <c r="N92" s="66"/>
      <c r="O92" s="66"/>
      <c r="P92" s="66"/>
    </row>
    <row r="93" spans="3:16" hidden="1" x14ac:dyDescent="0.25">
      <c r="C93" s="17"/>
      <c r="D93" s="17"/>
      <c r="E93" s="66"/>
      <c r="F93" s="109">
        <f>'F11-Year(n-1)'!Q93</f>
        <v>1066.1174276965</v>
      </c>
      <c r="G93" s="66"/>
      <c r="H93" s="66"/>
      <c r="I93" s="66">
        <f>SUM('F11-Year(n)'!E92:J92)</f>
        <v>0</v>
      </c>
      <c r="J93" s="66">
        <f>SUM('F11-Year(n)'!K92:P92)</f>
        <v>0</v>
      </c>
      <c r="K93" s="66">
        <f t="shared" si="3"/>
        <v>0</v>
      </c>
      <c r="L93" s="66">
        <f>'F11-Year(n+2)'!Q92</f>
        <v>0</v>
      </c>
      <c r="M93" s="66"/>
      <c r="N93" s="66"/>
      <c r="O93" s="66"/>
      <c r="P93" s="66"/>
    </row>
    <row r="94" spans="3:16" x14ac:dyDescent="0.25">
      <c r="C94" s="751" t="s">
        <v>212</v>
      </c>
      <c r="D94" s="752"/>
      <c r="E94" s="86">
        <f>SUM(E80:E93)</f>
        <v>878.65086499999995</v>
      </c>
      <c r="F94" s="86">
        <f>SUM(F80:F93)</f>
        <v>2132.2348553930001</v>
      </c>
      <c r="G94" s="86">
        <f>F94-E94</f>
        <v>1253.583990393</v>
      </c>
      <c r="H94" s="86">
        <f>SUM(H80:H93)</f>
        <v>377.14848000000006</v>
      </c>
      <c r="I94" s="86">
        <f>SUM(I80:I93)</f>
        <v>201.4785081805</v>
      </c>
      <c r="J94" s="86">
        <f>SUM(J80:J93)</f>
        <v>232.531489056</v>
      </c>
      <c r="K94" s="86">
        <f t="shared" si="3"/>
        <v>434.0099972365</v>
      </c>
      <c r="L94" s="86">
        <f>SUM(L80:L93)</f>
        <v>545.22345788542566</v>
      </c>
      <c r="M94" s="86" t="e">
        <f>SUM(M80:M93)</f>
        <v>#REF!</v>
      </c>
      <c r="N94" s="86">
        <f>SUM(N80:N93)</f>
        <v>513.63784965931882</v>
      </c>
      <c r="O94" s="86">
        <f>SUM(O80:O93)</f>
        <v>522.53966800545868</v>
      </c>
      <c r="P94" s="86">
        <f>SUM(P80:P93)</f>
        <v>532.34334527913143</v>
      </c>
    </row>
    <row r="95" spans="3:16" x14ac:dyDescent="0.25">
      <c r="C95" s="753" t="s">
        <v>394</v>
      </c>
      <c r="D95" s="754"/>
      <c r="E95" s="86">
        <f t="shared" ref="E95:P95" si="4">E78+E94</f>
        <v>15077.614414999998</v>
      </c>
      <c r="F95" s="86">
        <f t="shared" si="4"/>
        <v>12087.69086995484</v>
      </c>
      <c r="G95" s="86">
        <f t="shared" si="4"/>
        <v>-2989.9235450451588</v>
      </c>
      <c r="H95" s="86">
        <f t="shared" si="4"/>
        <v>6221.8956099999996</v>
      </c>
      <c r="I95" s="86">
        <f t="shared" si="4"/>
        <v>2112.1978965561398</v>
      </c>
      <c r="J95" s="86">
        <f t="shared" si="4"/>
        <v>3086.3452849019723</v>
      </c>
      <c r="K95" s="86">
        <f t="shared" si="4"/>
        <v>5198.5431814581125</v>
      </c>
      <c r="L95" s="86">
        <f t="shared" si="4"/>
        <v>5928.4613311835028</v>
      </c>
      <c r="M95" s="86" t="e">
        <f t="shared" si="4"/>
        <v>#REF!</v>
      </c>
      <c r="N95" s="86">
        <f t="shared" si="4"/>
        <v>5998.6193867358079</v>
      </c>
      <c r="O95" s="86">
        <f t="shared" si="4"/>
        <v>6263.7823121687143</v>
      </c>
      <c r="P95" s="86">
        <f t="shared" si="4"/>
        <v>6695.3950114701029</v>
      </c>
    </row>
    <row r="96" spans="3:16" x14ac:dyDescent="0.25">
      <c r="C96" s="800" t="s">
        <v>395</v>
      </c>
      <c r="D96" s="801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</row>
    <row r="97" spans="3:17" x14ac:dyDescent="0.25">
      <c r="C97" s="17" t="s">
        <v>396</v>
      </c>
      <c r="D97" s="17" t="s">
        <v>396</v>
      </c>
      <c r="E97" s="66">
        <f>[44]F8!E96</f>
        <v>1665.24809</v>
      </c>
      <c r="F97" s="109">
        <f>'F11-Year(n-1)'!Q96</f>
        <v>2847.8266946057506</v>
      </c>
      <c r="G97" s="66"/>
      <c r="H97" s="66">
        <f>'F8'!H96</f>
        <v>652.88882999999998</v>
      </c>
      <c r="I97" s="66">
        <f>SUM('F11-Year(n)'!E96:J96)</f>
        <v>657.19415642249999</v>
      </c>
      <c r="J97" s="66">
        <f>SUM('F11-Year(n)'!K96:P96)</f>
        <v>602.91817233874974</v>
      </c>
      <c r="K97" s="66">
        <f t="shared" ref="K97:K103" si="5">I97+J97</f>
        <v>1260.1123287612497</v>
      </c>
      <c r="L97" s="66">
        <f>'F11-Year(n+2)'!Q96</f>
        <v>527.18785960843127</v>
      </c>
      <c r="M97" s="129" t="e">
        <f>#REF!</f>
        <v>#REF!</v>
      </c>
      <c r="N97" s="129">
        <f>'F11-Year(n+3) '!Q96</f>
        <v>496.54821891497738</v>
      </c>
      <c r="O97" s="129">
        <f>'F11-Year(n+4)'!Q96</f>
        <v>517.57240377044593</v>
      </c>
      <c r="P97" s="129">
        <f>'F11-Year(n+5)'!Q96</f>
        <v>565.4608841972256</v>
      </c>
    </row>
    <row r="98" spans="3:17" x14ac:dyDescent="0.25">
      <c r="C98" s="17" t="s">
        <v>397</v>
      </c>
      <c r="D98" s="17" t="s">
        <v>397</v>
      </c>
      <c r="E98" s="66">
        <f>[44]F8!E97</f>
        <v>3520.2059999999997</v>
      </c>
      <c r="F98" s="109">
        <f>'F11-Year(n-1)'!Q97</f>
        <v>1542.5597534930002</v>
      </c>
      <c r="G98" s="66"/>
      <c r="H98" s="66">
        <f>'F8'!H97</f>
        <v>1328.2450650000001</v>
      </c>
      <c r="I98" s="66">
        <f>SUM('F11-Year(n)'!E97:J97)</f>
        <v>332.91143150049999</v>
      </c>
      <c r="J98" s="66">
        <f>SUM('F11-Year(n)'!K97:P97)</f>
        <v>284.462428687</v>
      </c>
      <c r="K98" s="66">
        <f t="shared" si="5"/>
        <v>617.37386018749999</v>
      </c>
      <c r="L98" s="66">
        <f>'F11-Year(n+2)'!Q97</f>
        <v>0</v>
      </c>
      <c r="M98" s="129" t="e">
        <f>#REF!</f>
        <v>#REF!</v>
      </c>
      <c r="N98" s="129">
        <f>'F11-Year(n+3) '!Q97</f>
        <v>0</v>
      </c>
      <c r="O98" s="129">
        <f>'F11-Year(n+4)'!Q97</f>
        <v>0</v>
      </c>
      <c r="P98" s="129">
        <f>'F11-Year(n+5)'!Q97</f>
        <v>0</v>
      </c>
    </row>
    <row r="99" spans="3:17" hidden="1" x14ac:dyDescent="0.25">
      <c r="C99" s="17"/>
      <c r="D99" s="17"/>
      <c r="E99" s="66"/>
      <c r="F99" s="109">
        <f>'F11-Year(n-1)'!Q99</f>
        <v>0</v>
      </c>
      <c r="G99" s="66"/>
      <c r="H99" s="66"/>
      <c r="I99" s="66">
        <f>SUM('F11-Year(n)'!E98:J98)</f>
        <v>0</v>
      </c>
      <c r="J99" s="66">
        <f>SUM('F11-Year(n)'!K98:P98)</f>
        <v>0</v>
      </c>
      <c r="K99" s="66">
        <f t="shared" si="5"/>
        <v>0</v>
      </c>
      <c r="L99" s="66">
        <f>'F11-Year(n+2)'!Q98</f>
        <v>0</v>
      </c>
      <c r="M99" s="66"/>
      <c r="N99" s="66"/>
      <c r="O99" s="66"/>
      <c r="P99" s="66"/>
    </row>
    <row r="100" spans="3:17" hidden="1" x14ac:dyDescent="0.25">
      <c r="C100" s="17"/>
      <c r="D100" s="17"/>
      <c r="E100" s="66"/>
      <c r="F100" s="109">
        <f>'F11-Year(n-1)'!Q100</f>
        <v>0</v>
      </c>
      <c r="G100" s="66"/>
      <c r="H100" s="66"/>
      <c r="I100" s="66">
        <f>SUM('F11-Year(n)'!E99:J99)</f>
        <v>0</v>
      </c>
      <c r="J100" s="66">
        <f>SUM('F11-Year(n)'!K99:P99)</f>
        <v>0</v>
      </c>
      <c r="K100" s="66">
        <f t="shared" si="5"/>
        <v>0</v>
      </c>
      <c r="L100" s="66">
        <f>'F11-Year(n+2)'!Q99</f>
        <v>0</v>
      </c>
      <c r="M100" s="66"/>
      <c r="N100" s="66"/>
      <c r="O100" s="66"/>
      <c r="P100" s="66"/>
    </row>
    <row r="101" spans="3:17" hidden="1" x14ac:dyDescent="0.25">
      <c r="C101" s="17"/>
      <c r="D101" s="17"/>
      <c r="E101" s="66"/>
      <c r="F101" s="109">
        <f>'F11-Year(n-1)'!Q101</f>
        <v>0</v>
      </c>
      <c r="G101" s="66"/>
      <c r="H101" s="66"/>
      <c r="I101" s="66">
        <f>SUM('F11-Year(n)'!E100:J100)</f>
        <v>0</v>
      </c>
      <c r="J101" s="66">
        <f>SUM('F11-Year(n)'!K100:P100)</f>
        <v>0</v>
      </c>
      <c r="K101" s="66">
        <f t="shared" si="5"/>
        <v>0</v>
      </c>
      <c r="L101" s="66">
        <f>'F11-Year(n+2)'!Q100</f>
        <v>0</v>
      </c>
      <c r="M101" s="66"/>
      <c r="N101" s="66"/>
      <c r="O101" s="66"/>
      <c r="P101" s="66"/>
    </row>
    <row r="102" spans="3:17" hidden="1" x14ac:dyDescent="0.25">
      <c r="C102" s="17"/>
      <c r="D102" s="17"/>
      <c r="E102" s="66"/>
      <c r="F102" s="109">
        <f>'F11-Year(n-1)'!Q102</f>
        <v>0</v>
      </c>
      <c r="G102" s="66"/>
      <c r="H102" s="66"/>
      <c r="I102" s="66">
        <f>SUM('F11-Year(n)'!E101:J101)</f>
        <v>0</v>
      </c>
      <c r="J102" s="66">
        <f>SUM('F11-Year(n)'!K101:P101)</f>
        <v>0</v>
      </c>
      <c r="K102" s="66">
        <f t="shared" si="5"/>
        <v>0</v>
      </c>
      <c r="L102" s="66">
        <f>'F11-Year(n+2)'!Q101</f>
        <v>0</v>
      </c>
      <c r="M102" s="66"/>
      <c r="N102" s="66"/>
      <c r="O102" s="66"/>
      <c r="P102" s="66"/>
    </row>
    <row r="103" spans="3:17" hidden="1" x14ac:dyDescent="0.25">
      <c r="C103" s="17"/>
      <c r="D103" s="17"/>
      <c r="E103" s="66"/>
      <c r="F103" s="109">
        <f>'F11-Year(n-1)'!Q103</f>
        <v>4390.3864480987495</v>
      </c>
      <c r="G103" s="66"/>
      <c r="H103" s="66"/>
      <c r="I103" s="66">
        <f>SUM('F11-Year(n)'!E102:J102)</f>
        <v>0</v>
      </c>
      <c r="J103" s="66">
        <f>SUM('F11-Year(n)'!K102:P102)</f>
        <v>0</v>
      </c>
      <c r="K103" s="66">
        <f t="shared" si="5"/>
        <v>0</v>
      </c>
      <c r="L103" s="66">
        <f>'F11-Year(n+2)'!Q102</f>
        <v>0</v>
      </c>
      <c r="M103" s="66"/>
      <c r="N103" s="66"/>
      <c r="O103" s="66"/>
      <c r="P103" s="66"/>
    </row>
    <row r="104" spans="3:17" x14ac:dyDescent="0.25">
      <c r="C104" s="753" t="s">
        <v>398</v>
      </c>
      <c r="D104" s="754"/>
      <c r="E104" s="86">
        <f>SUM(E97:E103)</f>
        <v>5185.4540899999993</v>
      </c>
      <c r="F104" s="86">
        <f>SUM(F97:F103)</f>
        <v>8780.7728961975008</v>
      </c>
      <c r="G104" s="86">
        <f>F104-E104</f>
        <v>3595.3188061975015</v>
      </c>
      <c r="H104" s="86">
        <f t="shared" ref="H104:P104" si="6">SUM(H97:H103)</f>
        <v>1981.1338949999999</v>
      </c>
      <c r="I104" s="86">
        <f t="shared" si="6"/>
        <v>990.10558792300003</v>
      </c>
      <c r="J104" s="86">
        <f t="shared" si="6"/>
        <v>887.38060102574968</v>
      </c>
      <c r="K104" s="86">
        <f t="shared" si="6"/>
        <v>1877.4861889487497</v>
      </c>
      <c r="L104" s="86">
        <f t="shared" si="6"/>
        <v>527.18785960843127</v>
      </c>
      <c r="M104" s="86" t="e">
        <f t="shared" si="6"/>
        <v>#REF!</v>
      </c>
      <c r="N104" s="86">
        <f t="shared" si="6"/>
        <v>496.54821891497738</v>
      </c>
      <c r="O104" s="86">
        <f t="shared" si="6"/>
        <v>517.57240377044593</v>
      </c>
      <c r="P104" s="86">
        <f t="shared" si="6"/>
        <v>565.4608841972256</v>
      </c>
    </row>
    <row r="105" spans="3:17" x14ac:dyDescent="0.25">
      <c r="C105" s="800" t="s">
        <v>399</v>
      </c>
      <c r="D105" s="801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</row>
    <row r="106" spans="3:17" x14ac:dyDescent="0.25">
      <c r="C106" s="17" t="s">
        <v>400</v>
      </c>
      <c r="D106" s="17" t="s">
        <v>400</v>
      </c>
      <c r="E106" s="66">
        <f>[44]F8!E105</f>
        <v>6380.8100899999999</v>
      </c>
      <c r="F106" s="109">
        <f>'F11-Year(n-1)'!Q105</f>
        <v>6152.9984960000002</v>
      </c>
      <c r="G106" s="66"/>
      <c r="H106" s="66">
        <f>'F8'!H105</f>
        <v>2330.145845</v>
      </c>
      <c r="I106" s="66">
        <f>SUM('F11-Year(n)'!E105:J105)</f>
        <v>1222.8267284999999</v>
      </c>
      <c r="J106" s="66">
        <f>SUM('F11-Year(n)'!K105:P105)</f>
        <v>1217.501874</v>
      </c>
      <c r="K106" s="66">
        <f t="shared" ref="K106:K114" si="7">I106+J106</f>
        <v>2440.3286024999998</v>
      </c>
      <c r="L106" s="93">
        <f>'F11-Year(n+2)'!Q105</f>
        <v>1529.7634908604384</v>
      </c>
      <c r="M106" s="93" t="e">
        <f>#REF!</f>
        <v>#REF!</v>
      </c>
      <c r="N106" s="93">
        <f>'F11-Year(n+3) '!Q105</f>
        <v>1883.581858267989</v>
      </c>
      <c r="O106" s="93">
        <f>'F11-Year(n+4)'!Q105</f>
        <v>2948.1878450711151</v>
      </c>
      <c r="P106" s="93">
        <f>'F11-Year(n+5)'!Q105</f>
        <v>3419.5561864313709</v>
      </c>
    </row>
    <row r="107" spans="3:17" x14ac:dyDescent="0.25">
      <c r="C107" s="17" t="s">
        <v>401</v>
      </c>
      <c r="D107" s="17" t="s">
        <v>401</v>
      </c>
      <c r="E107" s="66">
        <f>[44]F8!E106</f>
        <v>4479.6286899999996</v>
      </c>
      <c r="F107" s="109">
        <f>'F11-Year(n-1)'!Q106</f>
        <v>0</v>
      </c>
      <c r="G107" s="66"/>
      <c r="H107" s="66">
        <f>'F8'!H106</f>
        <v>2009.8829849999997</v>
      </c>
      <c r="I107" s="66">
        <f>SUM('F11-Year(n)'!E106:J106)</f>
        <v>0</v>
      </c>
      <c r="J107" s="66">
        <f>SUM('F11-Year(n)'!K106:P106)</f>
        <v>0</v>
      </c>
      <c r="K107" s="66">
        <f t="shared" si="7"/>
        <v>0</v>
      </c>
      <c r="L107" s="93">
        <f>'F11-Year(n+2)'!Q106</f>
        <v>0</v>
      </c>
      <c r="M107" s="93" t="e">
        <f>#REF!</f>
        <v>#REF!</v>
      </c>
      <c r="N107" s="93">
        <f>'F11-Year(n+3) '!Q106</f>
        <v>0</v>
      </c>
      <c r="O107" s="93">
        <f>'F11-Year(n+4)'!Q106</f>
        <v>0</v>
      </c>
      <c r="P107" s="93">
        <f>'F11-Year(n+5)'!Q106</f>
        <v>0</v>
      </c>
    </row>
    <row r="108" spans="3:17" x14ac:dyDescent="0.25">
      <c r="C108" s="17" t="s">
        <v>402</v>
      </c>
      <c r="D108" s="17" t="s">
        <v>402</v>
      </c>
      <c r="E108" s="66">
        <f>[44]F8!E107</f>
        <v>0</v>
      </c>
      <c r="F108" s="109">
        <f>'F11-Year(n-1)'!Q107</f>
        <v>0</v>
      </c>
      <c r="G108" s="66"/>
      <c r="H108" s="66">
        <f>'F8'!H107</f>
        <v>0</v>
      </c>
      <c r="I108" s="66">
        <f>SUM('F11-Year(n)'!E107:J107)</f>
        <v>0</v>
      </c>
      <c r="J108" s="66">
        <f>SUM('F11-Year(n)'!K107:P107)</f>
        <v>0</v>
      </c>
      <c r="K108" s="66">
        <f t="shared" si="7"/>
        <v>0</v>
      </c>
      <c r="L108" s="93">
        <f>'F11-Year(n+2)'!Q107</f>
        <v>0</v>
      </c>
      <c r="M108" s="93" t="e">
        <f>#REF!</f>
        <v>#REF!</v>
      </c>
      <c r="N108" s="93">
        <f>'F11-Year(n+3) '!Q107</f>
        <v>0</v>
      </c>
      <c r="O108" s="93">
        <f>'F11-Year(n+4)'!Q107</f>
        <v>0</v>
      </c>
      <c r="P108" s="93">
        <f>'F11-Year(n+5)'!Q107</f>
        <v>0</v>
      </c>
      <c r="Q108" s="64"/>
    </row>
    <row r="109" spans="3:17" hidden="1" x14ac:dyDescent="0.25">
      <c r="C109" s="17"/>
      <c r="D109" s="17"/>
      <c r="E109" s="66"/>
      <c r="F109" s="109">
        <f>'F11-Year(n-1)'!Q109</f>
        <v>0</v>
      </c>
      <c r="G109" s="66"/>
      <c r="H109" s="66"/>
      <c r="I109" s="66">
        <f>SUM('F11-Year(n)'!E108:J108)</f>
        <v>0</v>
      </c>
      <c r="J109" s="66">
        <f>SUM('F11-Year(n)'!K108:P108)</f>
        <v>0</v>
      </c>
      <c r="K109" s="66">
        <f t="shared" si="7"/>
        <v>0</v>
      </c>
      <c r="L109" s="66">
        <f>'F11-Year(n+2)'!Q108</f>
        <v>0</v>
      </c>
      <c r="M109" s="66"/>
      <c r="N109" s="66"/>
      <c r="O109" s="66"/>
      <c r="P109" s="66"/>
    </row>
    <row r="110" spans="3:17" hidden="1" x14ac:dyDescent="0.25">
      <c r="C110" s="17"/>
      <c r="D110" s="17"/>
      <c r="E110" s="66"/>
      <c r="F110" s="109">
        <f>'F11-Year(n-1)'!Q110</f>
        <v>0</v>
      </c>
      <c r="G110" s="66"/>
      <c r="H110" s="66"/>
      <c r="I110" s="66">
        <f>SUM('F11-Year(n)'!E109:J109)</f>
        <v>0</v>
      </c>
      <c r="J110" s="66">
        <f>SUM('F11-Year(n)'!K109:P109)</f>
        <v>0</v>
      </c>
      <c r="K110" s="66">
        <f t="shared" si="7"/>
        <v>0</v>
      </c>
      <c r="L110" s="66">
        <f>'F11-Year(n+2)'!Q109</f>
        <v>0</v>
      </c>
      <c r="M110" s="66"/>
      <c r="N110" s="66"/>
      <c r="O110" s="66"/>
      <c r="P110" s="66"/>
    </row>
    <row r="111" spans="3:17" hidden="1" x14ac:dyDescent="0.25">
      <c r="C111" s="17"/>
      <c r="D111" s="17"/>
      <c r="E111" s="66"/>
      <c r="F111" s="109">
        <f>'F11-Year(n-1)'!Q111</f>
        <v>0</v>
      </c>
      <c r="G111" s="66"/>
      <c r="H111" s="66"/>
      <c r="I111" s="66">
        <f>SUM('F11-Year(n)'!E110:J110)</f>
        <v>0</v>
      </c>
      <c r="J111" s="66">
        <f>SUM('F11-Year(n)'!K110:P110)</f>
        <v>0</v>
      </c>
      <c r="K111" s="66">
        <f t="shared" si="7"/>
        <v>0</v>
      </c>
      <c r="L111" s="66">
        <f>'F11-Year(n+2)'!Q110</f>
        <v>0</v>
      </c>
      <c r="M111" s="66"/>
      <c r="N111" s="66"/>
      <c r="O111" s="66"/>
      <c r="P111" s="66"/>
    </row>
    <row r="112" spans="3:17" hidden="1" x14ac:dyDescent="0.25">
      <c r="C112" s="17"/>
      <c r="D112" s="17"/>
      <c r="E112" s="66"/>
      <c r="F112" s="109">
        <f>'F11-Year(n-1)'!Q112</f>
        <v>0</v>
      </c>
      <c r="G112" s="66"/>
      <c r="H112" s="66"/>
      <c r="I112" s="66">
        <f>SUM('F11-Year(n)'!E111:J111)</f>
        <v>0</v>
      </c>
      <c r="J112" s="66">
        <f>SUM('F11-Year(n)'!K111:P111)</f>
        <v>0</v>
      </c>
      <c r="K112" s="66">
        <f t="shared" si="7"/>
        <v>0</v>
      </c>
      <c r="L112" s="66">
        <f>'F11-Year(n+2)'!Q111</f>
        <v>0</v>
      </c>
      <c r="M112" s="66"/>
      <c r="N112" s="66"/>
      <c r="O112" s="66"/>
      <c r="P112" s="66"/>
    </row>
    <row r="113" spans="3:16" hidden="1" x14ac:dyDescent="0.25">
      <c r="C113" s="17"/>
      <c r="D113" s="17"/>
      <c r="E113" s="66"/>
      <c r="F113" s="109">
        <f>'F11-Year(n-1)'!Q113</f>
        <v>6152.9984960000002</v>
      </c>
      <c r="G113" s="66"/>
      <c r="H113" s="66"/>
      <c r="I113" s="66">
        <f>SUM('F11-Year(n)'!E112:J112)</f>
        <v>0</v>
      </c>
      <c r="J113" s="66">
        <f>SUM('F11-Year(n)'!K112:P112)</f>
        <v>0</v>
      </c>
      <c r="K113" s="66">
        <f t="shared" si="7"/>
        <v>0</v>
      </c>
      <c r="L113" s="66">
        <f>'F11-Year(n+2)'!Q112</f>
        <v>0</v>
      </c>
      <c r="M113" s="66"/>
      <c r="N113" s="66"/>
      <c r="O113" s="66"/>
      <c r="P113" s="66"/>
    </row>
    <row r="114" spans="3:16" x14ac:dyDescent="0.25">
      <c r="C114" s="753" t="s">
        <v>403</v>
      </c>
      <c r="D114" s="754"/>
      <c r="E114" s="86">
        <f>SUM(E106:E113)</f>
        <v>10860.43878</v>
      </c>
      <c r="F114" s="86">
        <f>SUM(F106:F113)</f>
        <v>12305.996992</v>
      </c>
      <c r="G114" s="86">
        <f>F114-E114</f>
        <v>1445.5582119999999</v>
      </c>
      <c r="H114" s="86">
        <f>SUM(H106:H113)</f>
        <v>4340.0288299999993</v>
      </c>
      <c r="I114" s="86">
        <f>SUM(I106:I113)</f>
        <v>1222.8267284999999</v>
      </c>
      <c r="J114" s="86">
        <f>SUM(J106:J113)</f>
        <v>1217.501874</v>
      </c>
      <c r="K114" s="86">
        <f t="shared" si="7"/>
        <v>2440.3286024999998</v>
      </c>
      <c r="L114" s="86">
        <f>SUM(L106:L113)</f>
        <v>1529.7634908604384</v>
      </c>
      <c r="M114" s="86" t="e">
        <f>SUM(M106:M113)</f>
        <v>#REF!</v>
      </c>
      <c r="N114" s="86">
        <f>SUM(N106:N113)</f>
        <v>1883.581858267989</v>
      </c>
      <c r="O114" s="86">
        <f>SUM(O106:O113)</f>
        <v>2948.1878450711151</v>
      </c>
      <c r="P114" s="86">
        <f>SUM(P106:P113)</f>
        <v>3419.5561864313709</v>
      </c>
    </row>
    <row r="115" spans="3:16" x14ac:dyDescent="0.25">
      <c r="C115" s="800" t="s">
        <v>404</v>
      </c>
      <c r="D115" s="801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</row>
    <row r="116" spans="3:16" x14ac:dyDescent="0.25">
      <c r="C116" s="17"/>
      <c r="D116" s="17" t="s">
        <v>405</v>
      </c>
      <c r="E116" s="66">
        <f>[44]F8!E115</f>
        <v>54.51</v>
      </c>
      <c r="F116" s="109">
        <f>'F11-Year(n-1)'!Q115</f>
        <v>3.5863499999999977</v>
      </c>
      <c r="G116" s="66"/>
      <c r="H116" s="66">
        <f>'F8'!H115</f>
        <v>0</v>
      </c>
      <c r="I116" s="66">
        <f>SUM('F11-Year(n)'!E115:G115)</f>
        <v>0</v>
      </c>
      <c r="J116" s="66">
        <f>SUM('F11-Year(n)'!H115:K115)</f>
        <v>0</v>
      </c>
      <c r="K116" s="66">
        <f t="shared" ref="K116:K140" si="8">I116+J116</f>
        <v>0</v>
      </c>
      <c r="L116" s="66">
        <f>'F11-Year(n+2)'!Q115</f>
        <v>0.52000000000000013</v>
      </c>
      <c r="M116" s="66" t="e">
        <f>#REF!</f>
        <v>#REF!</v>
      </c>
      <c r="N116" s="129">
        <f>'F11-Year(n+3) '!Q115</f>
        <v>0.38958156089252499</v>
      </c>
      <c r="O116" s="129">
        <f>'F11-Year(n+4)'!Q115</f>
        <v>0.38958156089252499</v>
      </c>
      <c r="P116" s="129">
        <f>'F11-Year(n+5)'!Q115</f>
        <v>0.38958156089252499</v>
      </c>
    </row>
    <row r="117" spans="3:16" x14ac:dyDescent="0.25">
      <c r="C117" s="17"/>
      <c r="D117" s="17" t="s">
        <v>406</v>
      </c>
      <c r="E117" s="66">
        <f>[44]F8!E116</f>
        <v>8.6</v>
      </c>
      <c r="F117" s="109">
        <f>'F11-Year(n-1)'!Q116</f>
        <v>4.8519100000000002</v>
      </c>
      <c r="G117" s="66"/>
      <c r="H117" s="66">
        <f>'F8'!H116</f>
        <v>46.95</v>
      </c>
      <c r="I117" s="66">
        <f>SUM('F11-Year(n)'!E116:J116)</f>
        <v>0</v>
      </c>
      <c r="J117" s="66">
        <f>SUM('F11-Year(n)'!K116:P116)</f>
        <v>0</v>
      </c>
      <c r="K117" s="66">
        <f t="shared" si="8"/>
        <v>0</v>
      </c>
      <c r="L117" s="66">
        <f>'F11-Year(n+2)'!Q116</f>
        <v>0</v>
      </c>
      <c r="M117" s="66" t="e">
        <f>#REF!</f>
        <v>#REF!</v>
      </c>
      <c r="N117" s="129">
        <f>'F11-Year(n+3) '!Q116</f>
        <v>0</v>
      </c>
      <c r="O117" s="129">
        <f>'F11-Year(n+4)'!Q116</f>
        <v>0</v>
      </c>
      <c r="P117" s="129">
        <f>'F11-Year(n+5)'!Q116</f>
        <v>0</v>
      </c>
    </row>
    <row r="118" spans="3:16" x14ac:dyDescent="0.25">
      <c r="C118" s="17"/>
      <c r="D118" s="17" t="s">
        <v>407</v>
      </c>
      <c r="E118" s="66">
        <f>[44]F8!E117</f>
        <v>142.05000000000001</v>
      </c>
      <c r="F118" s="109">
        <f>'F11-Year(n-1)'!Q117</f>
        <v>120.28072359999999</v>
      </c>
      <c r="G118" s="66"/>
      <c r="H118" s="66">
        <f>'F8'!H117</f>
        <v>0</v>
      </c>
      <c r="I118" s="66">
        <f>SUM('F11-Year(n)'!E117:J117)</f>
        <v>0</v>
      </c>
      <c r="J118" s="66">
        <f>SUM('F11-Year(n)'!K117:P117)</f>
        <v>0</v>
      </c>
      <c r="K118" s="66">
        <f t="shared" si="8"/>
        <v>0</v>
      </c>
      <c r="L118" s="66">
        <f>'F11-Year(n+2)'!Q117</f>
        <v>0</v>
      </c>
      <c r="M118" s="66" t="e">
        <f>#REF!</f>
        <v>#REF!</v>
      </c>
      <c r="N118" s="129">
        <f>'F11-Year(n+3) '!Q117</f>
        <v>0</v>
      </c>
      <c r="O118" s="129">
        <f>'F11-Year(n+4)'!Q117</f>
        <v>0</v>
      </c>
      <c r="P118" s="129">
        <f>'F11-Year(n+5)'!Q117</f>
        <v>0</v>
      </c>
    </row>
    <row r="119" spans="3:16" x14ac:dyDescent="0.25">
      <c r="C119" s="17"/>
      <c r="D119" s="17" t="s">
        <v>408</v>
      </c>
      <c r="E119" s="66">
        <f>[44]F8!E118</f>
        <v>35.99</v>
      </c>
      <c r="F119" s="109">
        <f>'F11-Year(n-1)'!Q118</f>
        <v>0.83332000000000694</v>
      </c>
      <c r="G119" s="66"/>
      <c r="H119" s="66">
        <f>'F8'!H118</f>
        <v>25.11</v>
      </c>
      <c r="I119" s="66">
        <f>SUM('F11-Year(n)'!E118:J118)</f>
        <v>0</v>
      </c>
      <c r="J119" s="66">
        <f>SUM('F11-Year(n)'!K118:P118)</f>
        <v>0</v>
      </c>
      <c r="K119" s="66">
        <f t="shared" si="8"/>
        <v>0</v>
      </c>
      <c r="L119" s="66">
        <f>'F11-Year(n+2)'!Q118</f>
        <v>41.433251364245336</v>
      </c>
      <c r="M119" s="66" t="e">
        <f>#REF!</f>
        <v>#REF!</v>
      </c>
      <c r="N119" s="129">
        <f>'F11-Year(n+3) '!Q118</f>
        <v>39.029791187128396</v>
      </c>
      <c r="O119" s="129">
        <f>'F11-Year(n+4)'!Q118</f>
        <v>39.76610002807783</v>
      </c>
      <c r="P119" s="129">
        <f>'F11-Year(n+5)'!Q118</f>
        <v>40.45116538799244</v>
      </c>
    </row>
    <row r="120" spans="3:16" x14ac:dyDescent="0.25">
      <c r="C120" s="17"/>
      <c r="D120" s="17" t="s">
        <v>409</v>
      </c>
      <c r="E120" s="66">
        <f>[44]F8!E119</f>
        <v>243.67</v>
      </c>
      <c r="F120" s="109">
        <f>'F11-Year(n-1)'!Q119</f>
        <v>239.41819938000009</v>
      </c>
      <c r="G120" s="66"/>
      <c r="H120" s="66">
        <f>'F8'!H119</f>
        <v>0</v>
      </c>
      <c r="I120" s="66">
        <f>SUM('F11-Year(n)'!E119:J119)</f>
        <v>0</v>
      </c>
      <c r="J120" s="66">
        <f>SUM('F11-Year(n)'!K119:P119)</f>
        <v>0</v>
      </c>
      <c r="K120" s="66">
        <f t="shared" si="8"/>
        <v>0</v>
      </c>
      <c r="L120" s="66">
        <f>'F11-Year(n+2)'!Q119</f>
        <v>0</v>
      </c>
      <c r="M120" s="66" t="e">
        <f>#REF!</f>
        <v>#REF!</v>
      </c>
      <c r="N120" s="129">
        <f>'F11-Year(n+3) '!Q119</f>
        <v>0</v>
      </c>
      <c r="O120" s="129">
        <f>'F11-Year(n+4)'!Q119</f>
        <v>0</v>
      </c>
      <c r="P120" s="129">
        <f>'F11-Year(n+5)'!Q119</f>
        <v>0</v>
      </c>
    </row>
    <row r="121" spans="3:16" x14ac:dyDescent="0.25">
      <c r="C121" s="17"/>
      <c r="D121" s="17" t="s">
        <v>367</v>
      </c>
      <c r="E121" s="66">
        <f>[44]F8!E120</f>
        <v>7.88</v>
      </c>
      <c r="F121" s="109">
        <f>'F11-Year(n-1)'!Q120</f>
        <v>0</v>
      </c>
      <c r="G121" s="66"/>
      <c r="H121" s="66">
        <f>'F8'!H120</f>
        <v>1.46</v>
      </c>
      <c r="I121" s="66">
        <f>SUM('F11-Year(n)'!E120:J120)</f>
        <v>0</v>
      </c>
      <c r="J121" s="66">
        <f>SUM('F11-Year(n)'!K120:P120)</f>
        <v>0</v>
      </c>
      <c r="K121" s="66">
        <f t="shared" si="8"/>
        <v>0</v>
      </c>
      <c r="L121" s="66">
        <f>'F11-Year(n+2)'!Q120</f>
        <v>0.29104225352112673</v>
      </c>
      <c r="M121" s="66" t="e">
        <f>#REF!</f>
        <v>#REF!</v>
      </c>
      <c r="N121" s="129">
        <f>'F11-Year(n+3) '!Q120</f>
        <v>0.12229113956975383</v>
      </c>
      <c r="O121" s="129">
        <f>'F11-Year(n+4)'!Q120</f>
        <v>0.12180389177507824</v>
      </c>
      <c r="P121" s="129">
        <f>'F11-Year(n+5)'!Q120</f>
        <v>0.12229113956975385</v>
      </c>
    </row>
    <row r="122" spans="3:16" x14ac:dyDescent="0.25">
      <c r="C122" s="17"/>
      <c r="D122" s="17" t="s">
        <v>410</v>
      </c>
      <c r="E122" s="66">
        <f>[44]F8!E121</f>
        <v>3691.14</v>
      </c>
      <c r="F122" s="109">
        <f>'F11-Year(n-1)'!Q121</f>
        <v>3591.1917840700007</v>
      </c>
      <c r="G122" s="66"/>
      <c r="H122" s="66">
        <f>'F8'!H121</f>
        <v>1597.39</v>
      </c>
      <c r="I122" s="66">
        <f>SUM('F11-Year(n)'!E121:J121)</f>
        <v>0</v>
      </c>
      <c r="J122" s="66">
        <f>SUM('F11-Year(n)'!K121:P121)</f>
        <v>0</v>
      </c>
      <c r="K122" s="66">
        <f t="shared" si="8"/>
        <v>0</v>
      </c>
      <c r="L122" s="66">
        <f>'F11-Year(n+2)'!Q121</f>
        <v>2040.730719817361</v>
      </c>
      <c r="M122" s="66" t="e">
        <f>#REF!</f>
        <v>#REF!</v>
      </c>
      <c r="N122" s="129">
        <f>'F11-Year(n+3) '!Q121</f>
        <v>2397.4601641120967</v>
      </c>
      <c r="O122" s="129">
        <f>'F11-Year(n+4)'!Q121</f>
        <v>2439.7119642545467</v>
      </c>
      <c r="P122" s="129">
        <f>'F11-Year(n+5)'!Q121</f>
        <v>2484.7700861285903</v>
      </c>
    </row>
    <row r="123" spans="3:16" x14ac:dyDescent="0.25">
      <c r="C123" s="17"/>
      <c r="D123" s="17" t="s">
        <v>411</v>
      </c>
      <c r="E123" s="66">
        <f>[44]F8!E122</f>
        <v>60.32</v>
      </c>
      <c r="F123" s="109">
        <f>'F11-Year(n-1)'!Q122</f>
        <v>577.53923764399997</v>
      </c>
      <c r="G123" s="66"/>
      <c r="H123" s="66">
        <f>'F8'!H122</f>
        <v>10.96</v>
      </c>
      <c r="I123" s="66">
        <f>SUM('F11-Year(n)'!E122:J122)</f>
        <v>0</v>
      </c>
      <c r="J123" s="66">
        <f>SUM('F11-Year(n)'!K122:P122)</f>
        <v>0</v>
      </c>
      <c r="K123" s="66">
        <f t="shared" si="8"/>
        <v>0</v>
      </c>
      <c r="L123" s="66">
        <f>'F11-Year(n+2)'!Q122</f>
        <v>54.35007325227869</v>
      </c>
      <c r="M123" s="66" t="e">
        <f>#REF!</f>
        <v>#REF!</v>
      </c>
      <c r="N123" s="129">
        <f>'F11-Year(n+3) '!Q122</f>
        <v>64.58295786123071</v>
      </c>
      <c r="O123" s="129">
        <f>'F11-Year(n+4)'!Q122</f>
        <v>65.721139954517582</v>
      </c>
      <c r="P123" s="129">
        <f>'F11-Year(n+5)'!Q122</f>
        <v>66.934918948578684</v>
      </c>
    </row>
    <row r="124" spans="3:16" x14ac:dyDescent="0.25">
      <c r="C124" s="17"/>
      <c r="D124" s="17" t="s">
        <v>412</v>
      </c>
      <c r="E124" s="66">
        <f>[44]F8!E123</f>
        <v>579.29999999999995</v>
      </c>
      <c r="F124" s="109">
        <f>'F11-Year(n-1)'!Q123</f>
        <v>1015.0091663415001</v>
      </c>
      <c r="G124" s="66"/>
      <c r="H124" s="66">
        <f>'F8'!H123</f>
        <v>235.57</v>
      </c>
      <c r="I124" s="66">
        <f>SUM('F11-Year(n)'!E123:J123)</f>
        <v>0</v>
      </c>
      <c r="J124" s="66">
        <f>SUM('F11-Year(n)'!K123:P123)</f>
        <v>0</v>
      </c>
      <c r="K124" s="66">
        <f t="shared" si="8"/>
        <v>0</v>
      </c>
      <c r="L124" s="66">
        <f>'F11-Year(n+2)'!Q123</f>
        <v>272.56018003909878</v>
      </c>
      <c r="M124" s="66" t="e">
        <f>#REF!</f>
        <v>#REF!</v>
      </c>
      <c r="N124" s="129">
        <f>'F11-Year(n+3) '!Q123</f>
        <v>323.87707262890495</v>
      </c>
      <c r="O124" s="129">
        <f>'F11-Year(n+4)'!Q123</f>
        <v>329.58494196007535</v>
      </c>
      <c r="P124" s="129">
        <f>'F11-Year(n+5)'!Q123</f>
        <v>335.67192218572023</v>
      </c>
    </row>
    <row r="125" spans="3:16" x14ac:dyDescent="0.25">
      <c r="C125" s="17"/>
      <c r="D125" s="17" t="s">
        <v>413</v>
      </c>
      <c r="E125" s="66">
        <f>[44]F8!E124</f>
        <v>500.05</v>
      </c>
      <c r="F125" s="109">
        <f>'F11-Year(n-1)'!Q124</f>
        <v>435.41154073250004</v>
      </c>
      <c r="G125" s="66"/>
      <c r="H125" s="66">
        <f>'F8'!H124</f>
        <v>233.24</v>
      </c>
      <c r="I125" s="66">
        <f>SUM('F11-Year(n)'!E124:J124)</f>
        <v>0</v>
      </c>
      <c r="J125" s="66">
        <f>SUM('F11-Year(n)'!K124:P124)</f>
        <v>0</v>
      </c>
      <c r="K125" s="66">
        <f t="shared" si="8"/>
        <v>0</v>
      </c>
      <c r="L125" s="66">
        <f>'F11-Year(n+2)'!Q124</f>
        <v>272.56018003909878</v>
      </c>
      <c r="M125" s="66" t="e">
        <f>#REF!</f>
        <v>#REF!</v>
      </c>
      <c r="N125" s="129">
        <f>'F11-Year(n+3) '!Q124</f>
        <v>323.87707262890495</v>
      </c>
      <c r="O125" s="129">
        <f>'F11-Year(n+4)'!Q124</f>
        <v>329.58494196007535</v>
      </c>
      <c r="P125" s="129">
        <f>'F11-Year(n+5)'!Q124</f>
        <v>335.67192218572018</v>
      </c>
    </row>
    <row r="126" spans="3:16" x14ac:dyDescent="0.25">
      <c r="C126" s="17"/>
      <c r="D126" s="17" t="s">
        <v>414</v>
      </c>
      <c r="E126" s="66">
        <f>[44]F8!E125</f>
        <v>0</v>
      </c>
      <c r="F126" s="109">
        <f>'F11-Year(n-1)'!Q125</f>
        <v>0</v>
      </c>
      <c r="G126" s="66"/>
      <c r="H126" s="66">
        <f>'F8'!H125</f>
        <v>359.91</v>
      </c>
      <c r="I126" s="66">
        <f>SUM('F11-Year(n)'!E125:J125)</f>
        <v>0</v>
      </c>
      <c r="J126" s="66">
        <f>SUM('F11-Year(n)'!K125:P125)</f>
        <v>0</v>
      </c>
      <c r="K126" s="66">
        <f t="shared" si="8"/>
        <v>0</v>
      </c>
      <c r="L126" s="66">
        <f>'F11-Year(n+2)'!Q125</f>
        <v>1052.7636954010188</v>
      </c>
      <c r="M126" s="66" t="e">
        <f>#REF!</f>
        <v>#REF!</v>
      </c>
      <c r="N126" s="129">
        <f>'F11-Year(n+3) '!Q125</f>
        <v>1250.9751930291454</v>
      </c>
      <c r="O126" s="129">
        <f>'F11-Year(n+4)'!Q125</f>
        <v>1273.0218383207912</v>
      </c>
      <c r="P126" s="129">
        <f>'F11-Year(n+5)'!Q125</f>
        <v>1296.5327994423446</v>
      </c>
    </row>
    <row r="127" spans="3:16" x14ac:dyDescent="0.25">
      <c r="C127" s="17"/>
      <c r="D127" s="17" t="s">
        <v>415</v>
      </c>
      <c r="E127" s="66">
        <f>[44]F8!E126</f>
        <v>0</v>
      </c>
      <c r="F127" s="109">
        <f>'F11-Year(n-1)'!Q126</f>
        <v>0</v>
      </c>
      <c r="G127" s="66"/>
      <c r="H127" s="66">
        <f>'F8'!H126</f>
        <v>0</v>
      </c>
      <c r="I127" s="66">
        <f>SUM('F11-Year(n)'!E126:J126)</f>
        <v>0</v>
      </c>
      <c r="J127" s="66">
        <f>SUM('F11-Year(n)'!K126:P126)</f>
        <v>0</v>
      </c>
      <c r="K127" s="66">
        <f t="shared" si="8"/>
        <v>0</v>
      </c>
      <c r="L127" s="66">
        <f>'F11-Year(n+2)'!Q126</f>
        <v>0</v>
      </c>
      <c r="M127" s="66" t="e">
        <f>#REF!</f>
        <v>#REF!</v>
      </c>
      <c r="N127" s="129">
        <f>'F11-Year(n+3) '!Q126</f>
        <v>0</v>
      </c>
      <c r="O127" s="129">
        <f>'F11-Year(n+4)'!Q126</f>
        <v>0</v>
      </c>
      <c r="P127" s="129">
        <f>'F11-Year(n+5)'!Q126</f>
        <v>0</v>
      </c>
    </row>
    <row r="128" spans="3:16" x14ac:dyDescent="0.25">
      <c r="C128" s="17"/>
      <c r="D128" s="17" t="s">
        <v>416</v>
      </c>
      <c r="E128" s="66">
        <f>[44]F8!E127</f>
        <v>0</v>
      </c>
      <c r="F128" s="109">
        <f>'F11-Year(n-1)'!Q127</f>
        <v>0</v>
      </c>
      <c r="G128" s="66"/>
      <c r="H128" s="66">
        <f>'F8'!H127</f>
        <v>828.53</v>
      </c>
      <c r="I128" s="66">
        <f>SUM('F11-Year(n)'!E127:J127)</f>
        <v>0</v>
      </c>
      <c r="J128" s="66">
        <f>SUM('F11-Year(n)'!K127:P127)</f>
        <v>0</v>
      </c>
      <c r="K128" s="66">
        <f t="shared" si="8"/>
        <v>0</v>
      </c>
      <c r="L128" s="66">
        <f>'F11-Year(n+2)'!Q127</f>
        <v>1152.929561565388</v>
      </c>
      <c r="M128" s="66" t="e">
        <f>#REF!</f>
        <v>#REF!</v>
      </c>
      <c r="N128" s="129">
        <f>'F11-Year(n+3) '!Q127</f>
        <v>1370.0000172202676</v>
      </c>
      <c r="O128" s="129">
        <f>'F11-Year(n+4)'!Q127</f>
        <v>1394.1443044911189</v>
      </c>
      <c r="P128" s="129">
        <f>'F11-Year(n+5)'!Q127</f>
        <v>1419.8922308455967</v>
      </c>
    </row>
    <row r="129" spans="3:16" x14ac:dyDescent="0.25">
      <c r="C129" s="17"/>
      <c r="D129" s="17" t="s">
        <v>417</v>
      </c>
      <c r="E129" s="66">
        <f>[44]F8!E128</f>
        <v>0</v>
      </c>
      <c r="F129" s="109">
        <f>'F11-Year(n-1)'!Q128</f>
        <v>0</v>
      </c>
      <c r="G129" s="66"/>
      <c r="H129" s="66">
        <f>'F8'!H128</f>
        <v>613.38</v>
      </c>
      <c r="I129" s="66">
        <f>SUM('F11-Year(n)'!E128:J128)</f>
        <v>0</v>
      </c>
      <c r="J129" s="66">
        <f>SUM('F11-Year(n)'!K128:P128)</f>
        <v>0</v>
      </c>
      <c r="K129" s="66">
        <f t="shared" si="8"/>
        <v>0</v>
      </c>
      <c r="L129" s="66">
        <f>'F11-Year(n+2)'!Q128</f>
        <v>681.4004500977469</v>
      </c>
      <c r="M129" s="66" t="e">
        <f>#REF!</f>
        <v>#REF!</v>
      </c>
      <c r="N129" s="129">
        <f>'F11-Year(n+3) '!Q128</f>
        <v>809.69268157226225</v>
      </c>
      <c r="O129" s="129">
        <f>'F11-Year(n+4)'!Q128</f>
        <v>823.96235490018842</v>
      </c>
      <c r="P129" s="129">
        <f>'F11-Year(n+5)'!Q128</f>
        <v>839.17980546430044</v>
      </c>
    </row>
    <row r="130" spans="3:16" x14ac:dyDescent="0.25">
      <c r="C130" s="17"/>
      <c r="D130" s="114" t="s">
        <v>418</v>
      </c>
      <c r="E130" s="66">
        <f>[44]F8!E129</f>
        <v>0</v>
      </c>
      <c r="F130" s="109">
        <f>'F11-Year(n-1)'!Q129</f>
        <v>29.187692372750003</v>
      </c>
      <c r="G130" s="66"/>
      <c r="H130" s="66">
        <f>'F8'!H129</f>
        <v>0</v>
      </c>
      <c r="I130" s="66">
        <f>SUM('F11-Year(n)'!E129:J129)</f>
        <v>0</v>
      </c>
      <c r="J130" s="66">
        <f>SUM('F11-Year(n)'!K129:P129)</f>
        <v>0</v>
      </c>
      <c r="K130" s="66">
        <f t="shared" si="8"/>
        <v>0</v>
      </c>
      <c r="L130" s="66">
        <f>'F11-Year(n+2)'!Q129</f>
        <v>0</v>
      </c>
      <c r="M130" s="66" t="e">
        <f>#REF!</f>
        <v>#REF!</v>
      </c>
      <c r="N130" s="129">
        <f>'F11-Year(n+3) '!Q129</f>
        <v>0</v>
      </c>
      <c r="O130" s="129">
        <f>'F11-Year(n+4)'!Q129</f>
        <v>0</v>
      </c>
      <c r="P130" s="129">
        <f>'F11-Year(n+5)'!Q129</f>
        <v>0</v>
      </c>
    </row>
    <row r="131" spans="3:16" x14ac:dyDescent="0.25">
      <c r="C131" s="17"/>
      <c r="D131" s="114" t="s">
        <v>419</v>
      </c>
      <c r="E131" s="66">
        <f>[44]F8!E130</f>
        <v>0</v>
      </c>
      <c r="F131" s="109">
        <f>'F11-Year(n-1)'!Q130</f>
        <v>0</v>
      </c>
      <c r="G131" s="66"/>
      <c r="H131" s="66">
        <f>'F8'!H130</f>
        <v>0</v>
      </c>
      <c r="I131" s="66">
        <f>SUM('F11-Year(n)'!E130:J130)</f>
        <v>0</v>
      </c>
      <c r="J131" s="66">
        <f>SUM('F11-Year(n)'!K130:P130)</f>
        <v>0</v>
      </c>
      <c r="K131" s="66">
        <f t="shared" si="8"/>
        <v>0</v>
      </c>
      <c r="L131" s="66">
        <f>'F11-Year(n+2)'!Q130</f>
        <v>0</v>
      </c>
      <c r="M131" s="66" t="e">
        <f>#REF!</f>
        <v>#REF!</v>
      </c>
      <c r="N131" s="129">
        <f>'F11-Year(n+3) '!Q130</f>
        <v>0</v>
      </c>
      <c r="O131" s="129">
        <f>'F11-Year(n+4)'!Q130</f>
        <v>0</v>
      </c>
      <c r="P131" s="129">
        <f>'F11-Year(n+5)'!Q130</f>
        <v>0</v>
      </c>
    </row>
    <row r="132" spans="3:16" x14ac:dyDescent="0.25">
      <c r="C132" s="17"/>
      <c r="D132" s="17" t="s">
        <v>461</v>
      </c>
      <c r="E132" s="66"/>
      <c r="F132" s="109">
        <f>'F11-Year(n-1)'!Q131</f>
        <v>0</v>
      </c>
      <c r="G132" s="66"/>
      <c r="H132" s="66"/>
      <c r="I132" s="66">
        <f>SUM('F11-Year(n)'!E131:J131)</f>
        <v>1607.4356743385274</v>
      </c>
      <c r="J132" s="66">
        <f>SUM('F11-Year(n)'!K131:P131)</f>
        <v>1631.001634023</v>
      </c>
      <c r="K132" s="66">
        <f t="shared" si="8"/>
        <v>3238.4373083615274</v>
      </c>
      <c r="L132" s="66">
        <f>'F11-Year(n+2)'!Q131</f>
        <v>0</v>
      </c>
      <c r="M132" s="66" t="e">
        <f>#REF!</f>
        <v>#REF!</v>
      </c>
      <c r="N132" s="129">
        <f>'F11-Year(n+3) '!Q131</f>
        <v>0</v>
      </c>
      <c r="O132" s="129">
        <f>'F11-Year(n+4)'!Q131</f>
        <v>0</v>
      </c>
      <c r="P132" s="129">
        <f>'F11-Year(n+5)'!Q131</f>
        <v>0</v>
      </c>
    </row>
    <row r="133" spans="3:16" hidden="1" x14ac:dyDescent="0.25">
      <c r="C133" s="17"/>
      <c r="D133" s="17"/>
      <c r="E133" s="66"/>
      <c r="F133" s="109">
        <f>'F11-Year(n-1)'!Q133</f>
        <v>0</v>
      </c>
      <c r="G133" s="66"/>
      <c r="H133" s="66"/>
      <c r="I133" s="66">
        <f>SUM('F11-Year(n)'!E132:J132)</f>
        <v>0</v>
      </c>
      <c r="J133" s="66">
        <f>SUM('F11-Year(n)'!K132:P132)</f>
        <v>0</v>
      </c>
      <c r="K133" s="66">
        <f t="shared" si="8"/>
        <v>0</v>
      </c>
      <c r="L133" s="66">
        <f>'F11-Year(n+2)'!Q132</f>
        <v>0</v>
      </c>
      <c r="M133" s="66" t="e">
        <f>#REF!</f>
        <v>#REF!</v>
      </c>
      <c r="N133" s="129">
        <f>'F11-Year(n+3) '!Q132</f>
        <v>0</v>
      </c>
      <c r="O133" s="129">
        <f>'F11-Year(n+4)'!Q132</f>
        <v>0</v>
      </c>
      <c r="P133" s="129">
        <f>'F11-Year(n+5)'!Q132</f>
        <v>0</v>
      </c>
    </row>
    <row r="134" spans="3:16" hidden="1" x14ac:dyDescent="0.25">
      <c r="C134" s="17"/>
      <c r="D134" s="17"/>
      <c r="E134" s="66"/>
      <c r="F134" s="109">
        <f>'F11-Year(n-1)'!Q134</f>
        <v>0</v>
      </c>
      <c r="G134" s="66"/>
      <c r="H134" s="66"/>
      <c r="I134" s="66">
        <f>SUM('F11-Year(n)'!E133:J133)</f>
        <v>0</v>
      </c>
      <c r="J134" s="66">
        <f>SUM('F11-Year(n)'!K133:P133)</f>
        <v>0</v>
      </c>
      <c r="K134" s="66">
        <f t="shared" si="8"/>
        <v>0</v>
      </c>
      <c r="L134" s="66">
        <f>'F11-Year(n+2)'!Q133</f>
        <v>0</v>
      </c>
      <c r="M134" s="66" t="e">
        <f>#REF!</f>
        <v>#REF!</v>
      </c>
      <c r="N134" s="129">
        <f>'F11-Year(n+3) '!Q133</f>
        <v>0</v>
      </c>
      <c r="O134" s="129">
        <f>'F11-Year(n+4)'!Q133</f>
        <v>0</v>
      </c>
      <c r="P134" s="129">
        <f>'F11-Year(n+5)'!Q133</f>
        <v>0</v>
      </c>
    </row>
    <row r="135" spans="3:16" hidden="1" x14ac:dyDescent="0.25">
      <c r="C135" s="17"/>
      <c r="D135" s="17"/>
      <c r="E135" s="66"/>
      <c r="F135" s="109">
        <f>'F11-Year(n-1)'!Q135</f>
        <v>0</v>
      </c>
      <c r="G135" s="66"/>
      <c r="H135" s="66"/>
      <c r="I135" s="66">
        <f>SUM('F11-Year(n)'!E134:J134)</f>
        <v>0</v>
      </c>
      <c r="J135" s="66">
        <f>SUM('F11-Year(n)'!K134:P134)</f>
        <v>0</v>
      </c>
      <c r="K135" s="66">
        <f t="shared" si="8"/>
        <v>0</v>
      </c>
      <c r="L135" s="66">
        <f>'F11-Year(n+2)'!Q134</f>
        <v>0</v>
      </c>
      <c r="M135" s="66" t="e">
        <f>#REF!</f>
        <v>#REF!</v>
      </c>
      <c r="N135" s="129">
        <f>'F11-Year(n+3) '!Q134</f>
        <v>0</v>
      </c>
      <c r="O135" s="129">
        <f>'F11-Year(n+4)'!Q134</f>
        <v>0</v>
      </c>
      <c r="P135" s="129">
        <f>'F11-Year(n+5)'!Q134</f>
        <v>0</v>
      </c>
    </row>
    <row r="136" spans="3:16" hidden="1" x14ac:dyDescent="0.25">
      <c r="C136" s="17"/>
      <c r="D136" s="17"/>
      <c r="E136" s="66"/>
      <c r="F136" s="109">
        <f>'F11-Year(n-1)'!Q136</f>
        <v>0</v>
      </c>
      <c r="G136" s="66"/>
      <c r="H136" s="66"/>
      <c r="I136" s="66">
        <f>SUM('F11-Year(n)'!E135:J135)</f>
        <v>0</v>
      </c>
      <c r="J136" s="66">
        <f>SUM('F11-Year(n)'!K135:P135)</f>
        <v>0</v>
      </c>
      <c r="K136" s="66">
        <f t="shared" si="8"/>
        <v>0</v>
      </c>
      <c r="L136" s="66">
        <f>'F11-Year(n+2)'!Q135</f>
        <v>0</v>
      </c>
      <c r="M136" s="66" t="e">
        <f>#REF!</f>
        <v>#REF!</v>
      </c>
      <c r="N136" s="129">
        <f>'F11-Year(n+3) '!Q135</f>
        <v>0</v>
      </c>
      <c r="O136" s="129">
        <f>'F11-Year(n+4)'!Q135</f>
        <v>0</v>
      </c>
      <c r="P136" s="129">
        <f>'F11-Year(n+5)'!Q135</f>
        <v>0</v>
      </c>
    </row>
    <row r="137" spans="3:16" hidden="1" x14ac:dyDescent="0.25">
      <c r="C137" s="17"/>
      <c r="D137" s="17"/>
      <c r="E137" s="66"/>
      <c r="F137" s="109">
        <f>'F11-Year(n-1)'!Q137</f>
        <v>0</v>
      </c>
      <c r="G137" s="66"/>
      <c r="H137" s="66"/>
      <c r="I137" s="66">
        <f>SUM('F11-Year(n)'!E136:J136)</f>
        <v>0</v>
      </c>
      <c r="J137" s="66">
        <f>SUM('F11-Year(n)'!K136:P136)</f>
        <v>0</v>
      </c>
      <c r="K137" s="66">
        <f t="shared" si="8"/>
        <v>0</v>
      </c>
      <c r="L137" s="66">
        <f>'F11-Year(n+2)'!Q136</f>
        <v>0</v>
      </c>
      <c r="M137" s="66" t="e">
        <f>#REF!</f>
        <v>#REF!</v>
      </c>
      <c r="N137" s="129">
        <f>'F11-Year(n+3) '!Q136</f>
        <v>0</v>
      </c>
      <c r="O137" s="129">
        <f>'F11-Year(n+4)'!Q136</f>
        <v>0</v>
      </c>
      <c r="P137" s="129">
        <f>'F11-Year(n+5)'!Q136</f>
        <v>0</v>
      </c>
    </row>
    <row r="138" spans="3:16" hidden="1" x14ac:dyDescent="0.25">
      <c r="C138" s="17"/>
      <c r="D138" s="17"/>
      <c r="E138" s="66"/>
      <c r="F138" s="109">
        <f>'F11-Year(n-1)'!Q138</f>
        <v>0</v>
      </c>
      <c r="G138" s="66"/>
      <c r="H138" s="66"/>
      <c r="I138" s="66">
        <f>SUM('F11-Year(n)'!E137:J137)</f>
        <v>0</v>
      </c>
      <c r="J138" s="66">
        <f>SUM('F11-Year(n)'!K137:P137)</f>
        <v>0</v>
      </c>
      <c r="K138" s="66">
        <f t="shared" si="8"/>
        <v>0</v>
      </c>
      <c r="L138" s="66">
        <f>'F11-Year(n+2)'!Q137</f>
        <v>0</v>
      </c>
      <c r="M138" s="66" t="e">
        <f>#REF!</f>
        <v>#REF!</v>
      </c>
      <c r="N138" s="129">
        <f>'F11-Year(n+3) '!Q137</f>
        <v>0</v>
      </c>
      <c r="O138" s="129">
        <f>'F11-Year(n+4)'!Q137</f>
        <v>0</v>
      </c>
      <c r="P138" s="129">
        <f>'F11-Year(n+5)'!Q137</f>
        <v>0</v>
      </c>
    </row>
    <row r="139" spans="3:16" hidden="1" x14ac:dyDescent="0.25">
      <c r="C139" s="17"/>
      <c r="D139" s="17"/>
      <c r="E139" s="66"/>
      <c r="F139" s="109">
        <f>'F11-Year(n-1)'!Q139</f>
        <v>6017.3099241407499</v>
      </c>
      <c r="G139" s="66"/>
      <c r="H139" s="66"/>
      <c r="I139" s="66">
        <f>SUM('F11-Year(n)'!E138:J138)</f>
        <v>0</v>
      </c>
      <c r="J139" s="66">
        <f>SUM('F11-Year(n)'!K138:P138)</f>
        <v>0</v>
      </c>
      <c r="K139" s="66">
        <f t="shared" si="8"/>
        <v>0</v>
      </c>
      <c r="L139" s="66">
        <f>'F11-Year(n+2)'!Q138</f>
        <v>0</v>
      </c>
      <c r="M139" s="66" t="e">
        <f>#REF!</f>
        <v>#REF!</v>
      </c>
      <c r="N139" s="129">
        <f>'F11-Year(n+3) '!Q138</f>
        <v>0</v>
      </c>
      <c r="O139" s="129">
        <f>'F11-Year(n+4)'!Q138</f>
        <v>0</v>
      </c>
      <c r="P139" s="129">
        <f>'F11-Year(n+5)'!Q138</f>
        <v>0</v>
      </c>
    </row>
    <row r="140" spans="3:16" x14ac:dyDescent="0.25">
      <c r="C140" s="753" t="s">
        <v>420</v>
      </c>
      <c r="D140" s="754"/>
      <c r="E140" s="86">
        <f>SUM(E116:E139)</f>
        <v>5323.51</v>
      </c>
      <c r="F140" s="86">
        <f>SUM(F116:F139)</f>
        <v>12034.619848281502</v>
      </c>
      <c r="G140" s="86">
        <f>F140-E140</f>
        <v>6711.1098482815014</v>
      </c>
      <c r="H140" s="86">
        <f>SUM(H116:H139)</f>
        <v>3952.5</v>
      </c>
      <c r="I140" s="86">
        <f>SUM(I116:I139)</f>
        <v>1607.4356743385274</v>
      </c>
      <c r="J140" s="86">
        <f>SUM(J116:J139)</f>
        <v>1631.001634023</v>
      </c>
      <c r="K140" s="86">
        <f t="shared" si="8"/>
        <v>3238.4373083615274</v>
      </c>
      <c r="L140" s="86">
        <f>SUM(L116:L139)</f>
        <v>5569.5391538297581</v>
      </c>
      <c r="M140" s="86" t="e">
        <f>SUM(M116:M139)</f>
        <v>#REF!</v>
      </c>
      <c r="N140" s="86">
        <f>SUM(N116:N139)</f>
        <v>6580.0068229404023</v>
      </c>
      <c r="O140" s="86">
        <f>SUM(O116:O139)</f>
        <v>6696.0089713220586</v>
      </c>
      <c r="P140" s="86">
        <f>SUM(P116:P139)</f>
        <v>6819.6167232893058</v>
      </c>
    </row>
    <row r="141" spans="3:16" x14ac:dyDescent="0.25">
      <c r="C141" s="800" t="s">
        <v>421</v>
      </c>
      <c r="D141" s="801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</row>
    <row r="142" spans="3:16" x14ac:dyDescent="0.25">
      <c r="C142" s="17"/>
      <c r="D142" s="17" t="s">
        <v>462</v>
      </c>
      <c r="E142" s="320">
        <f>'[45]PP Cost'!$I$136+373.61</f>
        <v>1013.2257149999999</v>
      </c>
      <c r="F142" s="109">
        <f>'F11-Year(n-1)'!Q141</f>
        <v>9404.3977539999996</v>
      </c>
      <c r="G142" s="66"/>
      <c r="H142" s="320">
        <f>'F8'!H141</f>
        <v>0</v>
      </c>
      <c r="I142" s="66">
        <f>SUM('F11-Year(n)'!E142:J142)</f>
        <v>1918.5323819275</v>
      </c>
      <c r="J142" s="66">
        <f>SUM('F11-Year(n)'!K142:P142)</f>
        <v>2880.0325806837495</v>
      </c>
      <c r="K142" s="66">
        <f t="shared" ref="K142:K153" si="9">I142+J142</f>
        <v>4798.5649626112499</v>
      </c>
      <c r="L142" s="66">
        <f>'F11-Year(n+2)'!Q142</f>
        <v>-759.95826116062278</v>
      </c>
      <c r="M142" s="129" t="e">
        <f>#REF!</f>
        <v>#REF!</v>
      </c>
      <c r="N142" s="129">
        <f>'F11-Year(n+3) '!Q141</f>
        <v>52.233245543080557</v>
      </c>
      <c r="O142" s="129">
        <f>'F11-Year(n+4)'!Q141</f>
        <v>0</v>
      </c>
      <c r="P142" s="129">
        <f>'F11-Year(n+5)'!Q141</f>
        <v>0</v>
      </c>
    </row>
    <row r="143" spans="3:16" x14ac:dyDescent="0.25">
      <c r="C143" s="17"/>
      <c r="D143" s="4" t="s">
        <v>663</v>
      </c>
      <c r="E143" s="66"/>
      <c r="F143" s="109">
        <f>'F11-Year(n-1)'!Q143</f>
        <v>0</v>
      </c>
      <c r="G143" s="66"/>
      <c r="H143" s="66"/>
      <c r="I143" s="66">
        <f>SUM('F11-Year(n)'!E143:J143)</f>
        <v>0</v>
      </c>
      <c r="J143" s="66">
        <f>SUM('F11-Year(n)'!K143:P143)</f>
        <v>0</v>
      </c>
      <c r="K143" s="66">
        <f t="shared" si="9"/>
        <v>0</v>
      </c>
      <c r="L143" s="66">
        <f>'F11-Year(n+2)'!Q141</f>
        <v>438.91457470296291</v>
      </c>
      <c r="M143" s="129" t="e">
        <f>#REF!</f>
        <v>#REF!</v>
      </c>
      <c r="N143" s="129">
        <f>'F11-Year(n+3) '!Q142</f>
        <v>-693.74232006329726</v>
      </c>
      <c r="O143" s="129">
        <f>'F11-Year(n+4)'!Q142</f>
        <v>-309.90620000486388</v>
      </c>
      <c r="P143" s="129">
        <f>'F11-Year(n+5)'!Q142</f>
        <v>-98.813848208658783</v>
      </c>
    </row>
    <row r="144" spans="3:16" hidden="1" x14ac:dyDescent="0.25">
      <c r="C144" s="17"/>
      <c r="D144" s="17"/>
      <c r="E144" s="66"/>
      <c r="F144" s="109">
        <f>'F11-Year(n-1)'!Q144</f>
        <v>0</v>
      </c>
      <c r="G144" s="66"/>
      <c r="H144" s="66"/>
      <c r="I144" s="66">
        <f>SUM('F11-Year(n)'!E144:J144)</f>
        <v>0</v>
      </c>
      <c r="J144" s="66">
        <f>SUM('F11-Year(n)'!K144:P144)</f>
        <v>0</v>
      </c>
      <c r="K144" s="66">
        <f t="shared" si="9"/>
        <v>0</v>
      </c>
      <c r="L144" s="66">
        <f>'F11-Year(n+2)'!Q143</f>
        <v>0</v>
      </c>
      <c r="M144" s="129" t="e">
        <f>#REF!</f>
        <v>#REF!</v>
      </c>
      <c r="N144" s="129">
        <f>'F11-Year(n+3) '!Q143</f>
        <v>0</v>
      </c>
      <c r="O144" s="129">
        <f>'F11-Year(n+4)'!Q143</f>
        <v>0</v>
      </c>
      <c r="P144" s="129">
        <f>'F11-Year(n+5)'!Q143</f>
        <v>0</v>
      </c>
    </row>
    <row r="145" spans="3:16" hidden="1" x14ac:dyDescent="0.25">
      <c r="C145" s="17"/>
      <c r="D145" s="17"/>
      <c r="E145" s="66"/>
      <c r="F145" s="109">
        <f>'F11-Year(n-1)'!Q145</f>
        <v>0</v>
      </c>
      <c r="G145" s="66"/>
      <c r="H145" s="66"/>
      <c r="I145" s="66">
        <f>SUM('F11-Year(n)'!E145:J145)</f>
        <v>0</v>
      </c>
      <c r="J145" s="66">
        <f>SUM('F11-Year(n)'!K145:P145)</f>
        <v>0</v>
      </c>
      <c r="K145" s="66">
        <f t="shared" si="9"/>
        <v>0</v>
      </c>
      <c r="L145" s="66">
        <f>'F11-Year(n+2)'!Q144</f>
        <v>0</v>
      </c>
      <c r="M145" s="129" t="e">
        <f>#REF!</f>
        <v>#REF!</v>
      </c>
      <c r="N145" s="129">
        <f>'F11-Year(n+3) '!Q144</f>
        <v>0</v>
      </c>
      <c r="O145" s="129">
        <f>'F11-Year(n+4)'!Q144</f>
        <v>0</v>
      </c>
      <c r="P145" s="129">
        <f>'F11-Year(n+5)'!Q144</f>
        <v>0</v>
      </c>
    </row>
    <row r="146" spans="3:16" hidden="1" x14ac:dyDescent="0.25">
      <c r="C146" s="17"/>
      <c r="D146" s="17"/>
      <c r="E146" s="66"/>
      <c r="F146" s="109">
        <f>'F11-Year(n-1)'!Q146</f>
        <v>0</v>
      </c>
      <c r="G146" s="66"/>
      <c r="H146" s="66"/>
      <c r="I146" s="66">
        <f>SUM('F11-Year(n)'!E146:J146)</f>
        <v>0</v>
      </c>
      <c r="J146" s="66">
        <f>SUM('F11-Year(n)'!K146:P146)</f>
        <v>0</v>
      </c>
      <c r="K146" s="66">
        <f t="shared" si="9"/>
        <v>0</v>
      </c>
      <c r="L146" s="66">
        <f>'F11-Year(n+2)'!Q145</f>
        <v>0</v>
      </c>
      <c r="M146" s="129" t="e">
        <f>#REF!</f>
        <v>#REF!</v>
      </c>
      <c r="N146" s="129">
        <f>'F11-Year(n+3) '!Q145</f>
        <v>0</v>
      </c>
      <c r="O146" s="129">
        <f>'F11-Year(n+4)'!Q145</f>
        <v>0</v>
      </c>
      <c r="P146" s="129">
        <f>'F11-Year(n+5)'!Q145</f>
        <v>0</v>
      </c>
    </row>
    <row r="147" spans="3:16" hidden="1" x14ac:dyDescent="0.25">
      <c r="C147" s="17"/>
      <c r="D147" s="17"/>
      <c r="E147" s="66"/>
      <c r="F147" s="109">
        <f>'F11-Year(n-1)'!Q147</f>
        <v>0</v>
      </c>
      <c r="G147" s="66"/>
      <c r="H147" s="66"/>
      <c r="I147" s="66">
        <f>SUM('F11-Year(n)'!E147:J147)</f>
        <v>0</v>
      </c>
      <c r="J147" s="66">
        <f>SUM('F11-Year(n)'!K147:P147)</f>
        <v>0</v>
      </c>
      <c r="K147" s="66">
        <f t="shared" si="9"/>
        <v>0</v>
      </c>
      <c r="L147" s="66">
        <f>'F11-Year(n+2)'!Q146</f>
        <v>0</v>
      </c>
      <c r="M147" s="129" t="e">
        <f>#REF!</f>
        <v>#REF!</v>
      </c>
      <c r="N147" s="129">
        <f>'F11-Year(n+3) '!Q146</f>
        <v>0</v>
      </c>
      <c r="O147" s="129">
        <f>'F11-Year(n+4)'!Q146</f>
        <v>0</v>
      </c>
      <c r="P147" s="129">
        <f>'F11-Year(n+5)'!Q146</f>
        <v>0</v>
      </c>
    </row>
    <row r="148" spans="3:16" hidden="1" x14ac:dyDescent="0.25">
      <c r="C148" s="17"/>
      <c r="D148" s="17"/>
      <c r="E148" s="66"/>
      <c r="F148" s="109">
        <f>'F11-Year(n-1)'!Q148</f>
        <v>0</v>
      </c>
      <c r="G148" s="66"/>
      <c r="H148" s="66"/>
      <c r="I148" s="66">
        <f>SUM('F11-Year(n)'!E148:J148)</f>
        <v>0</v>
      </c>
      <c r="J148" s="66">
        <f>SUM('F11-Year(n)'!K148:P148)</f>
        <v>0</v>
      </c>
      <c r="K148" s="66">
        <f t="shared" si="9"/>
        <v>0</v>
      </c>
      <c r="L148" s="66">
        <f>'F11-Year(n+2)'!Q147</f>
        <v>0</v>
      </c>
      <c r="M148" s="129" t="e">
        <f>#REF!</f>
        <v>#REF!</v>
      </c>
      <c r="N148" s="129">
        <f>'F11-Year(n+3) '!Q147</f>
        <v>0</v>
      </c>
      <c r="O148" s="129">
        <f>'F11-Year(n+4)'!Q147</f>
        <v>0</v>
      </c>
      <c r="P148" s="129">
        <f>'F11-Year(n+5)'!Q147</f>
        <v>0</v>
      </c>
    </row>
    <row r="149" spans="3:16" hidden="1" x14ac:dyDescent="0.25">
      <c r="C149" s="17"/>
      <c r="D149" s="17"/>
      <c r="E149" s="66"/>
      <c r="F149" s="109">
        <f>'F11-Year(n-1)'!Q149</f>
        <v>0</v>
      </c>
      <c r="G149" s="66"/>
      <c r="H149" s="66"/>
      <c r="I149" s="66">
        <f>SUM('F11-Year(n)'!E149:J149)</f>
        <v>0</v>
      </c>
      <c r="J149" s="66">
        <f>SUM('F11-Year(n)'!K149:P149)</f>
        <v>0</v>
      </c>
      <c r="K149" s="66">
        <f t="shared" si="9"/>
        <v>0</v>
      </c>
      <c r="L149" s="66">
        <f>'F11-Year(n+2)'!Q148</f>
        <v>0</v>
      </c>
      <c r="M149" s="129" t="e">
        <f>#REF!</f>
        <v>#REF!</v>
      </c>
      <c r="N149" s="129">
        <f>'F11-Year(n+3) '!Q148</f>
        <v>0</v>
      </c>
      <c r="O149" s="129">
        <f>'F11-Year(n+4)'!Q148</f>
        <v>0</v>
      </c>
      <c r="P149" s="129">
        <f>'F11-Year(n+5)'!Q148</f>
        <v>0</v>
      </c>
    </row>
    <row r="150" spans="3:16" hidden="1" x14ac:dyDescent="0.25">
      <c r="C150" s="17"/>
      <c r="D150" s="17"/>
      <c r="E150" s="66"/>
      <c r="F150" s="109">
        <f>'F11-Year(n-1)'!Q150</f>
        <v>0</v>
      </c>
      <c r="G150" s="66"/>
      <c r="H150" s="66"/>
      <c r="I150" s="66">
        <f>SUM('F11-Year(n)'!E150:J150)</f>
        <v>0</v>
      </c>
      <c r="J150" s="66">
        <f>SUM('F11-Year(n)'!K150:P150)</f>
        <v>0</v>
      </c>
      <c r="K150" s="66">
        <f t="shared" si="9"/>
        <v>0</v>
      </c>
      <c r="L150" s="66">
        <f>'F11-Year(n+2)'!Q149</f>
        <v>0</v>
      </c>
      <c r="M150" s="129" t="e">
        <f>#REF!</f>
        <v>#REF!</v>
      </c>
      <c r="N150" s="129">
        <f>'F11-Year(n+3) '!Q149</f>
        <v>0</v>
      </c>
      <c r="O150" s="129">
        <f>'F11-Year(n+4)'!Q149</f>
        <v>0</v>
      </c>
      <c r="P150" s="129">
        <f>'F11-Year(n+5)'!Q149</f>
        <v>0</v>
      </c>
    </row>
    <row r="151" spans="3:16" hidden="1" x14ac:dyDescent="0.25">
      <c r="C151" s="17"/>
      <c r="D151" s="17"/>
      <c r="E151" s="66"/>
      <c r="F151" s="109">
        <f>'F11-Year(n-1)'!Q151</f>
        <v>0</v>
      </c>
      <c r="G151" s="66"/>
      <c r="H151" s="66"/>
      <c r="I151" s="66">
        <f>SUM('F11-Year(n)'!E151:J151)</f>
        <v>0</v>
      </c>
      <c r="J151" s="66">
        <f>SUM('F11-Year(n)'!K151:P151)</f>
        <v>0</v>
      </c>
      <c r="K151" s="66">
        <f t="shared" si="9"/>
        <v>0</v>
      </c>
      <c r="L151" s="66">
        <f>'F11-Year(n+2)'!Q150</f>
        <v>0</v>
      </c>
      <c r="M151" s="129" t="e">
        <f>#REF!</f>
        <v>#REF!</v>
      </c>
      <c r="N151" s="129">
        <f>'F11-Year(n+3) '!Q150</f>
        <v>0</v>
      </c>
      <c r="O151" s="129">
        <f>'F11-Year(n+4)'!Q150</f>
        <v>0</v>
      </c>
      <c r="P151" s="129">
        <f>'F11-Year(n+5)'!Q150</f>
        <v>0</v>
      </c>
    </row>
    <row r="152" spans="3:16" hidden="1" x14ac:dyDescent="0.25">
      <c r="C152" s="17"/>
      <c r="D152" s="17"/>
      <c r="E152" s="66"/>
      <c r="F152" s="109">
        <f>'F11-Year(n-1)'!Q152</f>
        <v>9404.3977539999996</v>
      </c>
      <c r="G152" s="66"/>
      <c r="H152" s="66"/>
      <c r="I152" s="66">
        <f>SUM('F11-Year(n)'!E152:J152)</f>
        <v>0</v>
      </c>
      <c r="J152" s="66">
        <f>SUM('F11-Year(n)'!K152:P152)</f>
        <v>0</v>
      </c>
      <c r="K152" s="66">
        <f t="shared" si="9"/>
        <v>0</v>
      </c>
      <c r="L152" s="66">
        <f>'F11-Year(n+2)'!Q151</f>
        <v>0</v>
      </c>
      <c r="M152" s="129" t="e">
        <f>#REF!</f>
        <v>#REF!</v>
      </c>
      <c r="N152" s="129">
        <f>'F11-Year(n+3) '!Q151</f>
        <v>0</v>
      </c>
      <c r="O152" s="129">
        <f>'F11-Year(n+4)'!Q151</f>
        <v>0</v>
      </c>
      <c r="P152" s="129">
        <f>'F11-Year(n+5)'!Q151</f>
        <v>0</v>
      </c>
    </row>
    <row r="153" spans="3:16" x14ac:dyDescent="0.25">
      <c r="C153" s="753" t="s">
        <v>423</v>
      </c>
      <c r="D153" s="754"/>
      <c r="E153" s="86">
        <f>SUM(E142:E152)</f>
        <v>1013.2257149999999</v>
      </c>
      <c r="F153" s="86">
        <f>SUM(F142:F152)</f>
        <v>18808.795507999999</v>
      </c>
      <c r="G153" s="86">
        <f>F153-E153</f>
        <v>17795.569792999999</v>
      </c>
      <c r="H153" s="86">
        <f>SUM(H142:H152)</f>
        <v>0</v>
      </c>
      <c r="I153" s="86">
        <f>SUM(I142:I152)</f>
        <v>1918.5323819275</v>
      </c>
      <c r="J153" s="86">
        <f>SUM(J142:J152)</f>
        <v>2880.0325806837495</v>
      </c>
      <c r="K153" s="86">
        <f t="shared" si="9"/>
        <v>4798.5649626112499</v>
      </c>
      <c r="L153" s="86">
        <f>'F11-Year(n+2)'!Q152</f>
        <v>-321.04368645765987</v>
      </c>
      <c r="M153" s="86" t="e">
        <f>#REF!</f>
        <v>#REF!</v>
      </c>
      <c r="N153" s="86">
        <f>'F11-Year(n+3) '!Q152</f>
        <v>-641.5090745202167</v>
      </c>
      <c r="O153" s="86">
        <f>'F11-Year(n+4)'!Q152</f>
        <v>-309.90620000486388</v>
      </c>
      <c r="P153" s="86">
        <f>'F11-Year(n+5)'!Q152</f>
        <v>-98.813848208658783</v>
      </c>
    </row>
    <row r="154" spans="3:16" x14ac:dyDescent="0.25">
      <c r="C154" s="800" t="s">
        <v>424</v>
      </c>
      <c r="D154" s="801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</row>
    <row r="155" spans="3:16" x14ac:dyDescent="0.25">
      <c r="C155" s="17" t="s">
        <v>425</v>
      </c>
      <c r="D155" s="17" t="s">
        <v>426</v>
      </c>
      <c r="E155" s="66">
        <f>'[45]PP Cost'!I138</f>
        <v>470.13</v>
      </c>
      <c r="F155" s="109">
        <f>'F11-Year(n-1)'!Q154</f>
        <v>0</v>
      </c>
      <c r="G155" s="66"/>
      <c r="H155" s="66">
        <f>'F8'!H154</f>
        <v>137.16999999999999</v>
      </c>
      <c r="I155" s="66">
        <f>SUM('F11-Year(n)'!E155:J155)</f>
        <v>0</v>
      </c>
      <c r="J155" s="66">
        <f>SUM('F11-Year(n)'!K155:P155)</f>
        <v>0</v>
      </c>
      <c r="K155" s="66">
        <f>I155+J155</f>
        <v>0</v>
      </c>
      <c r="L155" s="66">
        <f>'F11-Year(n+2)'!Q154</f>
        <v>0</v>
      </c>
      <c r="M155" s="66" t="e">
        <f>#REF!</f>
        <v>#REF!</v>
      </c>
      <c r="N155" s="129">
        <f>'F11-Year(n+3) '!Q154</f>
        <v>-3452.0283649937569</v>
      </c>
      <c r="O155" s="129">
        <f>'F11-Year(n+4)'!Q154</f>
        <v>-4755.0712006643253</v>
      </c>
      <c r="P155" s="129">
        <f>'F11-Year(n+5)'!Q154</f>
        <v>-5556.4645060556313</v>
      </c>
    </row>
    <row r="156" spans="3:16" x14ac:dyDescent="0.25">
      <c r="C156" s="17" t="s">
        <v>425</v>
      </c>
      <c r="D156" s="17" t="s">
        <v>427</v>
      </c>
      <c r="E156" s="66">
        <f>'[45]PP Cost'!I139</f>
        <v>-655.47</v>
      </c>
      <c r="F156" s="109">
        <f>'F11-Year(n-1)'!Q155</f>
        <v>0</v>
      </c>
      <c r="G156" s="66"/>
      <c r="H156" s="66">
        <f>'F8'!H155</f>
        <v>-1271.0899999999999</v>
      </c>
      <c r="I156" s="66">
        <f>SUM('F11-Year(n)'!E156:J156)</f>
        <v>0</v>
      </c>
      <c r="J156" s="66">
        <f>SUM('F11-Year(n)'!K156:P156)</f>
        <v>0</v>
      </c>
      <c r="K156" s="66">
        <f>I156+J156</f>
        <v>0</v>
      </c>
      <c r="L156" s="66">
        <f>'F11-Year(n+2)'!Q155</f>
        <v>-1433.1042771726079</v>
      </c>
      <c r="M156" s="66" t="e">
        <f>#REF!</f>
        <v>#REF!</v>
      </c>
      <c r="N156" s="129">
        <f>'F11-Year(n+3) '!Q155</f>
        <v>0</v>
      </c>
      <c r="O156" s="129">
        <f>'F11-Year(n+4)'!Q155</f>
        <v>0</v>
      </c>
      <c r="P156" s="129">
        <f>'F11-Year(n+5)'!Q155</f>
        <v>0</v>
      </c>
    </row>
    <row r="157" spans="3:16" x14ac:dyDescent="0.25">
      <c r="C157" s="116"/>
      <c r="D157" s="117"/>
      <c r="E157" s="66"/>
      <c r="F157" s="109"/>
      <c r="G157" s="66"/>
      <c r="H157" s="66"/>
      <c r="I157" s="66"/>
      <c r="J157" s="66"/>
      <c r="K157" s="66"/>
      <c r="L157" s="66"/>
      <c r="M157" s="66" t="e">
        <f>#REF!</f>
        <v>#REF!</v>
      </c>
      <c r="N157" s="129">
        <f>'F11-Year(n+3) '!Q156</f>
        <v>0</v>
      </c>
      <c r="O157" s="129">
        <f>'F11-Year(n+4)'!Q156</f>
        <v>0</v>
      </c>
      <c r="P157" s="129">
        <f>'F11-Year(n+5)'!Q156</f>
        <v>0</v>
      </c>
    </row>
    <row r="158" spans="3:16" x14ac:dyDescent="0.25">
      <c r="C158" s="753" t="s">
        <v>428</v>
      </c>
      <c r="D158" s="754"/>
      <c r="E158" s="86">
        <f>SUM(E155:E157)</f>
        <v>-185.34000000000003</v>
      </c>
      <c r="F158" s="86">
        <f>SUM(F155:F156)</f>
        <v>0</v>
      </c>
      <c r="G158" s="86">
        <f>F158-E158</f>
        <v>185.34000000000003</v>
      </c>
      <c r="H158" s="86">
        <f>SUM(H155:H157)</f>
        <v>-1133.9199999999998</v>
      </c>
      <c r="I158" s="86">
        <f>SUM(I155:I157)</f>
        <v>0</v>
      </c>
      <c r="J158" s="86">
        <f>SUM(J155:J157)</f>
        <v>0</v>
      </c>
      <c r="K158" s="86">
        <f>I158+J158</f>
        <v>0</v>
      </c>
      <c r="L158" s="86">
        <f>SUM(L155:L157)</f>
        <v>-1433.1042771726079</v>
      </c>
      <c r="M158" s="270" t="e">
        <f>SUM(M155:M157)</f>
        <v>#REF!</v>
      </c>
      <c r="N158" s="270">
        <f>SUM(N155:N157)</f>
        <v>-3452.0283649937569</v>
      </c>
      <c r="O158" s="270">
        <f>SUM(O155:O157)</f>
        <v>-4755.0712006643253</v>
      </c>
      <c r="P158" s="270">
        <f>SUM(P155:P157)</f>
        <v>-5556.4645060556313</v>
      </c>
    </row>
    <row r="159" spans="3:16" x14ac:dyDescent="0.25">
      <c r="C159" s="753" t="s">
        <v>220</v>
      </c>
      <c r="D159" s="754"/>
      <c r="E159" s="86">
        <f t="shared" ref="E159:P159" si="10">SUM(E49,E95,E104,E114,E140,E153,E158)</f>
        <v>58915.522880000004</v>
      </c>
      <c r="F159" s="86">
        <f t="shared" si="10"/>
        <v>64017.87611443385</v>
      </c>
      <c r="G159" s="86">
        <f t="shared" si="10"/>
        <v>5102.3532344338437</v>
      </c>
      <c r="H159" s="86">
        <f t="shared" si="10"/>
        <v>24752.639610000002</v>
      </c>
      <c r="I159" s="86">
        <f t="shared" si="10"/>
        <v>11883.775047269366</v>
      </c>
      <c r="J159" s="86">
        <f t="shared" si="10"/>
        <v>13767.586447087871</v>
      </c>
      <c r="K159" s="86">
        <f t="shared" si="10"/>
        <v>25651.361494357239</v>
      </c>
      <c r="L159" s="86">
        <f>SUM(L49,L95,L104,L114,L140,L153,L158)</f>
        <v>27142.831990740007</v>
      </c>
      <c r="M159" s="86" t="e">
        <f t="shared" si="10"/>
        <v>#REF!</v>
      </c>
      <c r="N159" s="86">
        <f t="shared" si="10"/>
        <v>25176.873744491561</v>
      </c>
      <c r="O159" s="86">
        <f t="shared" si="10"/>
        <v>26327.425543624635</v>
      </c>
      <c r="P159" s="86">
        <f t="shared" si="10"/>
        <v>27830.244778735349</v>
      </c>
    </row>
    <row r="163" spans="4:9" x14ac:dyDescent="0.25">
      <c r="D163" s="22"/>
      <c r="E163" s="22"/>
      <c r="F163" s="22"/>
      <c r="G163" s="22"/>
      <c r="H163" s="22"/>
      <c r="I163" s="22"/>
    </row>
    <row r="164" spans="4:9" x14ac:dyDescent="0.25">
      <c r="D164" s="24"/>
      <c r="E164" s="24"/>
      <c r="F164" s="24"/>
      <c r="G164" s="24"/>
      <c r="H164" s="24"/>
      <c r="I164" s="24"/>
    </row>
    <row r="165" spans="4:9" x14ac:dyDescent="0.25">
      <c r="E165" s="24"/>
      <c r="F165" s="24"/>
      <c r="G165" s="24"/>
      <c r="H165" s="24"/>
      <c r="I165" s="24"/>
    </row>
    <row r="166" spans="4:9" x14ac:dyDescent="0.25">
      <c r="E166" s="24"/>
      <c r="F166" s="124">
        <f>E159-'[45]PP Cost'!$I$141</f>
        <v>35329.841285000002</v>
      </c>
      <c r="G166" s="24"/>
      <c r="H166" s="24"/>
      <c r="I166" s="24"/>
    </row>
  </sheetData>
  <mergeCells count="34">
    <mergeCell ref="C10:C27"/>
    <mergeCell ref="H5:K5"/>
    <mergeCell ref="C158:D158"/>
    <mergeCell ref="C79:D79"/>
    <mergeCell ref="C80:C83"/>
    <mergeCell ref="C94:D94"/>
    <mergeCell ref="C95:D95"/>
    <mergeCell ref="C96:D96"/>
    <mergeCell ref="C29:D29"/>
    <mergeCell ref="C48:D48"/>
    <mergeCell ref="C159:D159"/>
    <mergeCell ref="C104:D104"/>
    <mergeCell ref="C105:D105"/>
    <mergeCell ref="C114:D114"/>
    <mergeCell ref="C115:D115"/>
    <mergeCell ref="C140:D140"/>
    <mergeCell ref="C154:D154"/>
    <mergeCell ref="C153:D153"/>
    <mergeCell ref="C2:P2"/>
    <mergeCell ref="C3:P3"/>
    <mergeCell ref="C141:D141"/>
    <mergeCell ref="C49:D49"/>
    <mergeCell ref="C50:D50"/>
    <mergeCell ref="C51:D51"/>
    <mergeCell ref="C52:C60"/>
    <mergeCell ref="C78:D78"/>
    <mergeCell ref="C30:C47"/>
    <mergeCell ref="L5:P5"/>
    <mergeCell ref="C28:D28"/>
    <mergeCell ref="C9:D9"/>
    <mergeCell ref="C8:D8"/>
    <mergeCell ref="E5:G5"/>
    <mergeCell ref="C5:C7"/>
    <mergeCell ref="D5:D7"/>
  </mergeCells>
  <pageMargins left="1.95" right="0.7" top="0.75" bottom="0.75" header="0.3" footer="0.3"/>
  <pageSetup paperSize="9" scale="69" orientation="landscape" r:id="rId1"/>
  <rowBreaks count="2" manualBreakCount="2">
    <brk id="49" max="16383" man="1"/>
    <brk id="10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0"/>
  <sheetViews>
    <sheetView showGridLines="0" tabSelected="1" zoomScale="80" zoomScaleNormal="80" zoomScaleSheetLayoutView="80" workbookViewId="0">
      <selection activeCell="I21" sqref="I21"/>
    </sheetView>
  </sheetViews>
  <sheetFormatPr defaultColWidth="9.33203125" defaultRowHeight="13.8" x14ac:dyDescent="0.25"/>
  <cols>
    <col min="1" max="1" width="6.33203125" style="5" customWidth="1"/>
    <col min="2" max="2" width="9.33203125" style="5" customWidth="1"/>
    <col min="3" max="3" width="16.33203125" style="5" customWidth="1"/>
    <col min="4" max="4" width="80.6640625" style="5" customWidth="1"/>
    <col min="5" max="5" width="17.6640625" style="5" hidden="1" customWidth="1"/>
    <col min="6" max="6" width="20.6640625" style="5" customWidth="1"/>
    <col min="7" max="15" width="18.6640625" style="5" customWidth="1"/>
    <col min="16" max="16384" width="9.33203125" style="5"/>
  </cols>
  <sheetData>
    <row r="1" spans="2:15" ht="10.5" customHeight="1" x14ac:dyDescent="0.25"/>
    <row r="2" spans="2:15" ht="10.5" customHeight="1" x14ac:dyDescent="0.25">
      <c r="D2" s="23" t="s">
        <v>160</v>
      </c>
      <c r="E2" s="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2:15" s="3" customFormat="1" ht="10.5" customHeight="1" x14ac:dyDescent="0.25">
      <c r="C3" s="81"/>
      <c r="D3" s="48" t="s">
        <v>39</v>
      </c>
      <c r="E3" s="80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2:15" ht="10.5" customHeight="1" x14ac:dyDescent="0.25">
      <c r="D4" s="23" t="s">
        <v>40</v>
      </c>
    </row>
    <row r="5" spans="2:15" ht="10.5" customHeight="1" x14ac:dyDescent="0.25">
      <c r="N5" s="16"/>
    </row>
    <row r="6" spans="2:15" x14ac:dyDescent="0.25">
      <c r="B6" s="72" t="s">
        <v>4</v>
      </c>
      <c r="C6" s="72" t="s">
        <v>41</v>
      </c>
      <c r="D6" s="6" t="s">
        <v>42</v>
      </c>
      <c r="E6" s="6" t="s">
        <v>43</v>
      </c>
    </row>
    <row r="7" spans="2:15" x14ac:dyDescent="0.25">
      <c r="B7" s="1">
        <v>1</v>
      </c>
      <c r="C7" s="1" t="s">
        <v>44</v>
      </c>
      <c r="D7" s="2" t="s">
        <v>45</v>
      </c>
      <c r="E7" s="8"/>
    </row>
    <row r="8" spans="2:15" x14ac:dyDescent="0.25">
      <c r="B8" s="1">
        <f t="shared" ref="B8:B13" si="0">B7+1</f>
        <v>2</v>
      </c>
      <c r="C8" s="1" t="s">
        <v>46</v>
      </c>
      <c r="D8" s="2" t="s">
        <v>47</v>
      </c>
      <c r="E8" s="8"/>
    </row>
    <row r="9" spans="2:15" x14ac:dyDescent="0.25">
      <c r="B9" s="1">
        <f t="shared" si="0"/>
        <v>3</v>
      </c>
      <c r="C9" s="1" t="s">
        <v>48</v>
      </c>
      <c r="D9" s="2" t="s">
        <v>49</v>
      </c>
      <c r="E9" s="8"/>
    </row>
    <row r="10" spans="2:15" x14ac:dyDescent="0.25">
      <c r="B10" s="1">
        <f t="shared" si="0"/>
        <v>4</v>
      </c>
      <c r="C10" s="1" t="s">
        <v>50</v>
      </c>
      <c r="D10" s="2" t="s">
        <v>51</v>
      </c>
      <c r="E10" s="8"/>
    </row>
    <row r="11" spans="2:15" x14ac:dyDescent="0.25">
      <c r="B11" s="1">
        <f t="shared" si="0"/>
        <v>5</v>
      </c>
      <c r="C11" s="1" t="s">
        <v>52</v>
      </c>
      <c r="D11" s="2" t="s">
        <v>53</v>
      </c>
      <c r="E11" s="8"/>
    </row>
    <row r="12" spans="2:15" x14ac:dyDescent="0.25">
      <c r="B12" s="1">
        <f t="shared" si="0"/>
        <v>6</v>
      </c>
      <c r="C12" s="1" t="s">
        <v>54</v>
      </c>
      <c r="D12" s="2" t="s">
        <v>55</v>
      </c>
      <c r="E12" s="8"/>
    </row>
    <row r="13" spans="2:15" x14ac:dyDescent="0.25">
      <c r="B13" s="1">
        <f t="shared" si="0"/>
        <v>7</v>
      </c>
      <c r="C13" s="1" t="s">
        <v>56</v>
      </c>
      <c r="D13" s="2" t="s">
        <v>57</v>
      </c>
      <c r="E13" s="8"/>
    </row>
    <row r="14" spans="2:15" x14ac:dyDescent="0.25">
      <c r="B14" s="1">
        <f t="shared" ref="B14:B33" si="1">B13+1</f>
        <v>8</v>
      </c>
      <c r="C14" s="1" t="s">
        <v>58</v>
      </c>
      <c r="D14" s="2" t="s">
        <v>59</v>
      </c>
      <c r="E14" s="8"/>
    </row>
    <row r="15" spans="2:15" x14ac:dyDescent="0.25">
      <c r="B15" s="1">
        <f t="shared" si="1"/>
        <v>9</v>
      </c>
      <c r="C15" s="1" t="s">
        <v>60</v>
      </c>
      <c r="D15" s="2" t="s">
        <v>61</v>
      </c>
      <c r="E15" s="8"/>
    </row>
    <row r="16" spans="2:15" x14ac:dyDescent="0.25">
      <c r="B16" s="1">
        <f t="shared" si="1"/>
        <v>10</v>
      </c>
      <c r="C16" s="1" t="s">
        <v>62</v>
      </c>
      <c r="D16" s="9" t="s">
        <v>63</v>
      </c>
      <c r="E16" s="8"/>
    </row>
    <row r="17" spans="2:5" x14ac:dyDescent="0.25">
      <c r="B17" s="1">
        <f t="shared" si="1"/>
        <v>11</v>
      </c>
      <c r="C17" s="1" t="s">
        <v>64</v>
      </c>
      <c r="D17" s="9" t="s">
        <v>65</v>
      </c>
      <c r="E17" s="8"/>
    </row>
    <row r="18" spans="2:5" x14ac:dyDescent="0.25">
      <c r="B18" s="1">
        <f t="shared" si="1"/>
        <v>12</v>
      </c>
      <c r="C18" s="1" t="s">
        <v>66</v>
      </c>
      <c r="D18" s="2" t="s">
        <v>67</v>
      </c>
      <c r="E18" s="8"/>
    </row>
    <row r="19" spans="2:5" x14ac:dyDescent="0.25">
      <c r="B19" s="1">
        <f t="shared" si="1"/>
        <v>13</v>
      </c>
      <c r="C19" s="1" t="s">
        <v>68</v>
      </c>
      <c r="D19" s="9" t="s">
        <v>69</v>
      </c>
      <c r="E19" s="8"/>
    </row>
    <row r="20" spans="2:5" x14ac:dyDescent="0.25">
      <c r="B20" s="1">
        <f t="shared" si="1"/>
        <v>14</v>
      </c>
      <c r="C20" s="1" t="s">
        <v>70</v>
      </c>
      <c r="D20" s="9" t="s">
        <v>71</v>
      </c>
      <c r="E20" s="8"/>
    </row>
    <row r="21" spans="2:5" x14ac:dyDescent="0.25">
      <c r="B21" s="1">
        <f t="shared" si="1"/>
        <v>15</v>
      </c>
      <c r="C21" s="1" t="s">
        <v>72</v>
      </c>
      <c r="D21" s="9" t="s">
        <v>73</v>
      </c>
      <c r="E21" s="8"/>
    </row>
    <row r="22" spans="2:5" x14ac:dyDescent="0.25">
      <c r="B22" s="1">
        <f t="shared" si="1"/>
        <v>16</v>
      </c>
      <c r="C22" s="1" t="s">
        <v>74</v>
      </c>
      <c r="D22" s="9" t="s">
        <v>75</v>
      </c>
      <c r="E22" s="8"/>
    </row>
    <row r="23" spans="2:5" hidden="1" x14ac:dyDescent="0.25">
      <c r="B23" s="1">
        <f t="shared" si="1"/>
        <v>17</v>
      </c>
      <c r="C23" s="1" t="s">
        <v>76</v>
      </c>
      <c r="D23" s="9" t="s">
        <v>77</v>
      </c>
      <c r="E23" s="8"/>
    </row>
    <row r="24" spans="2:5" hidden="1" x14ac:dyDescent="0.25">
      <c r="B24" s="1">
        <f t="shared" si="1"/>
        <v>18</v>
      </c>
      <c r="C24" s="1" t="s">
        <v>28</v>
      </c>
      <c r="D24" s="9" t="s">
        <v>78</v>
      </c>
      <c r="E24" s="8"/>
    </row>
    <row r="25" spans="2:5" hidden="1" x14ac:dyDescent="0.25">
      <c r="B25" s="1">
        <f t="shared" si="1"/>
        <v>19</v>
      </c>
      <c r="C25" s="1" t="s">
        <v>30</v>
      </c>
      <c r="D25" s="9" t="s">
        <v>79</v>
      </c>
      <c r="E25" s="8"/>
    </row>
    <row r="26" spans="2:5" hidden="1" x14ac:dyDescent="0.25">
      <c r="B26" s="1">
        <f t="shared" si="1"/>
        <v>20</v>
      </c>
      <c r="C26" s="1" t="s">
        <v>32</v>
      </c>
      <c r="D26" s="9" t="s">
        <v>80</v>
      </c>
      <c r="E26" s="8"/>
    </row>
    <row r="27" spans="2:5" hidden="1" x14ac:dyDescent="0.25">
      <c r="B27" s="1">
        <f t="shared" si="1"/>
        <v>21</v>
      </c>
      <c r="C27" s="1" t="s">
        <v>81</v>
      </c>
      <c r="D27" s="9" t="s">
        <v>82</v>
      </c>
      <c r="E27" s="8"/>
    </row>
    <row r="28" spans="2:5" hidden="1" x14ac:dyDescent="0.25">
      <c r="B28" s="1">
        <f t="shared" si="1"/>
        <v>22</v>
      </c>
      <c r="C28" s="1" t="s">
        <v>83</v>
      </c>
      <c r="D28" s="9" t="s">
        <v>84</v>
      </c>
      <c r="E28" s="8"/>
    </row>
    <row r="29" spans="2:5" hidden="1" x14ac:dyDescent="0.25">
      <c r="B29" s="1">
        <f t="shared" si="1"/>
        <v>23</v>
      </c>
      <c r="C29" s="1" t="s">
        <v>85</v>
      </c>
      <c r="D29" s="9" t="s">
        <v>86</v>
      </c>
      <c r="E29" s="8"/>
    </row>
    <row r="30" spans="2:5" hidden="1" x14ac:dyDescent="0.25">
      <c r="B30" s="1">
        <f t="shared" si="1"/>
        <v>24</v>
      </c>
      <c r="C30" s="1" t="s">
        <v>87</v>
      </c>
      <c r="D30" s="2" t="s">
        <v>88</v>
      </c>
      <c r="E30" s="8"/>
    </row>
    <row r="31" spans="2:5" hidden="1" x14ac:dyDescent="0.25">
      <c r="B31" s="1">
        <f t="shared" si="1"/>
        <v>25</v>
      </c>
      <c r="C31" s="1" t="s">
        <v>89</v>
      </c>
      <c r="D31" s="2" t="s">
        <v>90</v>
      </c>
      <c r="E31" s="8"/>
    </row>
    <row r="32" spans="2:5" hidden="1" x14ac:dyDescent="0.25">
      <c r="B32" s="1">
        <f t="shared" si="1"/>
        <v>26</v>
      </c>
      <c r="C32" s="1" t="s">
        <v>91</v>
      </c>
      <c r="D32" s="9" t="s">
        <v>92</v>
      </c>
      <c r="E32" s="8"/>
    </row>
    <row r="33" spans="2:5" hidden="1" x14ac:dyDescent="0.25">
      <c r="B33" s="1">
        <f t="shared" si="1"/>
        <v>27</v>
      </c>
      <c r="C33" s="1" t="s">
        <v>93</v>
      </c>
      <c r="D33" s="9" t="s">
        <v>94</v>
      </c>
      <c r="E33" s="8"/>
    </row>
    <row r="34" spans="2:5" x14ac:dyDescent="0.25">
      <c r="B34" s="1">
        <v>17</v>
      </c>
      <c r="C34" s="1" t="s">
        <v>95</v>
      </c>
      <c r="D34" s="9" t="s">
        <v>96</v>
      </c>
      <c r="E34" s="8"/>
    </row>
    <row r="35" spans="2:5" hidden="1" x14ac:dyDescent="0.25">
      <c r="B35" s="1"/>
      <c r="C35" s="1" t="s">
        <v>97</v>
      </c>
      <c r="D35" s="9" t="s">
        <v>98</v>
      </c>
      <c r="E35" s="8"/>
    </row>
    <row r="36" spans="2:5" x14ac:dyDescent="0.25">
      <c r="B36" s="1">
        <v>18</v>
      </c>
      <c r="C36" s="1" t="s">
        <v>99</v>
      </c>
      <c r="D36" s="69" t="s">
        <v>100</v>
      </c>
      <c r="E36" s="8"/>
    </row>
    <row r="37" spans="2:5" x14ac:dyDescent="0.25">
      <c r="B37" s="1">
        <v>19</v>
      </c>
      <c r="C37" s="1" t="s">
        <v>101</v>
      </c>
      <c r="D37" s="9" t="s">
        <v>102</v>
      </c>
      <c r="E37" s="8"/>
    </row>
    <row r="38" spans="2:5" x14ac:dyDescent="0.25">
      <c r="B38" s="1">
        <v>20</v>
      </c>
      <c r="C38" s="1" t="s">
        <v>103</v>
      </c>
      <c r="D38" s="9" t="s">
        <v>104</v>
      </c>
      <c r="E38" s="8"/>
    </row>
    <row r="39" spans="2:5" x14ac:dyDescent="0.25">
      <c r="B39" s="1">
        <v>21</v>
      </c>
      <c r="C39" s="1" t="s">
        <v>105</v>
      </c>
      <c r="D39" s="9" t="s">
        <v>106</v>
      </c>
      <c r="E39" s="8"/>
    </row>
    <row r="40" spans="2:5" x14ac:dyDescent="0.25">
      <c r="B40" s="1">
        <v>22</v>
      </c>
      <c r="C40" s="1" t="s">
        <v>107</v>
      </c>
      <c r="D40" s="9" t="s">
        <v>108</v>
      </c>
      <c r="E40" s="8"/>
    </row>
    <row r="41" spans="2:5" x14ac:dyDescent="0.25">
      <c r="B41" s="1">
        <v>23</v>
      </c>
      <c r="C41" s="1" t="s">
        <v>109</v>
      </c>
      <c r="D41" s="9" t="s">
        <v>110</v>
      </c>
      <c r="E41" s="8"/>
    </row>
    <row r="42" spans="2:5" x14ac:dyDescent="0.25">
      <c r="B42" s="1">
        <v>24</v>
      </c>
      <c r="C42" s="1" t="s">
        <v>111</v>
      </c>
      <c r="D42" s="69" t="s">
        <v>112</v>
      </c>
      <c r="E42" s="8"/>
    </row>
    <row r="43" spans="2:5" x14ac:dyDescent="0.25">
      <c r="B43" s="1">
        <v>25</v>
      </c>
      <c r="C43" s="1" t="s">
        <v>113</v>
      </c>
      <c r="D43" s="9" t="s">
        <v>114</v>
      </c>
      <c r="E43" s="8"/>
    </row>
    <row r="44" spans="2:5" x14ac:dyDescent="0.25">
      <c r="B44" s="1">
        <v>26</v>
      </c>
      <c r="C44" s="1" t="s">
        <v>115</v>
      </c>
      <c r="D44" s="9" t="s">
        <v>116</v>
      </c>
      <c r="E44" s="8"/>
    </row>
    <row r="45" spans="2:5" x14ac:dyDescent="0.25">
      <c r="B45" s="1">
        <v>27</v>
      </c>
      <c r="C45" s="1" t="s">
        <v>117</v>
      </c>
      <c r="D45" s="9" t="s">
        <v>118</v>
      </c>
      <c r="E45" s="8"/>
    </row>
    <row r="46" spans="2:5" hidden="1" x14ac:dyDescent="0.25">
      <c r="B46" s="1">
        <v>28</v>
      </c>
      <c r="C46" s="1" t="s">
        <v>119</v>
      </c>
      <c r="D46" s="9" t="s">
        <v>120</v>
      </c>
      <c r="E46" s="8"/>
    </row>
    <row r="47" spans="2:5" x14ac:dyDescent="0.25">
      <c r="B47" s="1">
        <v>28</v>
      </c>
      <c r="C47" s="1" t="s">
        <v>121</v>
      </c>
      <c r="D47" s="9" t="s">
        <v>122</v>
      </c>
      <c r="E47" s="8"/>
    </row>
    <row r="48" spans="2:5" hidden="1" x14ac:dyDescent="0.25">
      <c r="B48" s="1"/>
      <c r="C48" s="1" t="s">
        <v>123</v>
      </c>
      <c r="D48" s="9" t="s">
        <v>124</v>
      </c>
      <c r="E48" s="8"/>
    </row>
    <row r="49" spans="2:5" hidden="1" x14ac:dyDescent="0.25">
      <c r="B49" s="1"/>
      <c r="C49" s="1" t="s">
        <v>125</v>
      </c>
      <c r="D49" s="9" t="s">
        <v>126</v>
      </c>
      <c r="E49" s="8"/>
    </row>
    <row r="50" spans="2:5" x14ac:dyDescent="0.25">
      <c r="B50" s="1">
        <v>29</v>
      </c>
      <c r="C50" s="1" t="s">
        <v>127</v>
      </c>
      <c r="D50" s="9" t="s">
        <v>1240</v>
      </c>
      <c r="E50" s="8"/>
    </row>
  </sheetData>
  <phoneticPr fontId="18" type="noConversion"/>
  <pageMargins left="1.05" right="0.23622047244094499" top="1.1023622047244099" bottom="0.98425196850393704" header="0.23622047244094499" footer="0.23622047244094499"/>
  <pageSetup paperSize="9" scale="8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Q164"/>
  <sheetViews>
    <sheetView showGridLines="0" zoomScale="59" workbookViewId="0">
      <selection activeCell="K21" sqref="K21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6.88671875" style="4" customWidth="1"/>
    <col min="4" max="4" width="38.109375" style="4" customWidth="1"/>
    <col min="5" max="5" width="14.33203125" style="4" bestFit="1" customWidth="1"/>
    <col min="6" max="9" width="14.109375" style="4" bestFit="1" customWidth="1"/>
    <col min="10" max="10" width="18.5546875" style="4" customWidth="1"/>
    <col min="11" max="12" width="14.109375" style="4" bestFit="1" customWidth="1"/>
    <col min="13" max="13" width="13.88671875" style="4" bestFit="1" customWidth="1"/>
    <col min="14" max="16" width="14.109375" style="4" bestFit="1" customWidth="1"/>
    <col min="17" max="17" width="13.109375" style="4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296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7" ht="14.25" customHeight="1" x14ac:dyDescent="0.25">
      <c r="C3" s="826" t="s">
        <v>464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</row>
    <row r="4" spans="2:17" x14ac:dyDescent="0.25">
      <c r="J4" s="25"/>
    </row>
    <row r="5" spans="2:17" x14ac:dyDescent="0.25">
      <c r="C5" s="14"/>
      <c r="Q5" s="25" t="s">
        <v>229</v>
      </c>
    </row>
    <row r="6" spans="2:17" x14ac:dyDescent="0.25">
      <c r="C6" s="762" t="s">
        <v>346</v>
      </c>
      <c r="D6" s="762" t="s">
        <v>347</v>
      </c>
      <c r="E6" s="768" t="s">
        <v>465</v>
      </c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</row>
    <row r="7" spans="2:17" x14ac:dyDescent="0.25">
      <c r="C7" s="764"/>
      <c r="D7" s="764"/>
      <c r="E7" s="13" t="s">
        <v>239</v>
      </c>
      <c r="F7" s="13" t="s">
        <v>240</v>
      </c>
      <c r="G7" s="13" t="s">
        <v>241</v>
      </c>
      <c r="H7" s="13" t="s">
        <v>242</v>
      </c>
      <c r="I7" s="13" t="s">
        <v>243</v>
      </c>
      <c r="J7" s="13" t="s">
        <v>244</v>
      </c>
      <c r="K7" s="13" t="s">
        <v>245</v>
      </c>
      <c r="L7" s="13" t="s">
        <v>246</v>
      </c>
      <c r="M7" s="13" t="s">
        <v>247</v>
      </c>
      <c r="N7" s="13" t="s">
        <v>248</v>
      </c>
      <c r="O7" s="13" t="s">
        <v>249</v>
      </c>
      <c r="P7" s="13" t="s">
        <v>250</v>
      </c>
      <c r="Q7" s="13" t="s">
        <v>251</v>
      </c>
    </row>
    <row r="8" spans="2:17" x14ac:dyDescent="0.25">
      <c r="B8" s="60"/>
      <c r="C8" s="800" t="s">
        <v>348</v>
      </c>
      <c r="D8" s="801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2:17" ht="14.25" customHeight="1" x14ac:dyDescent="0.25">
      <c r="C9" s="753" t="s">
        <v>349</v>
      </c>
      <c r="D9" s="754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x14ac:dyDescent="0.25">
      <c r="B10" s="60"/>
      <c r="C10" s="802" t="s">
        <v>350</v>
      </c>
      <c r="D10" s="59" t="s">
        <v>351</v>
      </c>
      <c r="E10" s="66">
        <f>'[44]F9-Year(n-1)'!I9</f>
        <v>0</v>
      </c>
      <c r="F10" s="66">
        <f>'[44]F9-Year(n-1)'!J9</f>
        <v>0</v>
      </c>
      <c r="G10" s="66">
        <f>'[44]F9-Year(n-1)'!K9</f>
        <v>0</v>
      </c>
      <c r="H10" s="66">
        <f>'[44]F9-Year(n-1)'!L9</f>
        <v>0</v>
      </c>
      <c r="I10" s="66">
        <f>'[44]F9-Year(n-1)'!M9</f>
        <v>0</v>
      </c>
      <c r="J10" s="66">
        <f>'[44]F9-Year(n-1)'!N9</f>
        <v>0</v>
      </c>
      <c r="K10" s="66">
        <f>'[44]F9-Year(n-1)'!O9</f>
        <v>0</v>
      </c>
      <c r="L10" s="66">
        <f>'[44]F9-Year(n-1)'!P9</f>
        <v>0</v>
      </c>
      <c r="M10" s="66">
        <f>'[44]F9-Year(n-1)'!Q9</f>
        <v>0</v>
      </c>
      <c r="N10" s="66">
        <f>'[44]F9-Year(n-1)'!R9</f>
        <v>0</v>
      </c>
      <c r="O10" s="66">
        <f>'[44]F9-Year(n-1)'!S9</f>
        <v>0</v>
      </c>
      <c r="P10" s="66">
        <f>'[44]F9-Year(n-1)'!T9</f>
        <v>0</v>
      </c>
      <c r="Q10" s="66">
        <f t="shared" ref="Q10:Q28" si="0">SUM(E10:P10)</f>
        <v>0</v>
      </c>
    </row>
    <row r="11" spans="2:17" x14ac:dyDescent="0.25">
      <c r="B11" s="60"/>
      <c r="C11" s="803"/>
      <c r="D11" s="59" t="s">
        <v>352</v>
      </c>
      <c r="E11" s="66">
        <f>'[44]F9-Year(n-1)'!I10</f>
        <v>0</v>
      </c>
      <c r="F11" s="66">
        <f>'[44]F9-Year(n-1)'!J10</f>
        <v>0</v>
      </c>
      <c r="G11" s="66">
        <f>'[44]F9-Year(n-1)'!K10</f>
        <v>0</v>
      </c>
      <c r="H11" s="66">
        <f>'[44]F9-Year(n-1)'!L10</f>
        <v>0</v>
      </c>
      <c r="I11" s="66">
        <f>'[44]F9-Year(n-1)'!M10</f>
        <v>0</v>
      </c>
      <c r="J11" s="66">
        <f>'[44]F9-Year(n-1)'!N10</f>
        <v>0</v>
      </c>
      <c r="K11" s="66">
        <f>'[44]F9-Year(n-1)'!O10</f>
        <v>0</v>
      </c>
      <c r="L11" s="66">
        <f>'[44]F9-Year(n-1)'!P10</f>
        <v>0</v>
      </c>
      <c r="M11" s="66">
        <f>'[44]F9-Year(n-1)'!Q10</f>
        <v>0</v>
      </c>
      <c r="N11" s="66">
        <f>'[44]F9-Year(n-1)'!R10</f>
        <v>0</v>
      </c>
      <c r="O11" s="66">
        <f>'[44]F9-Year(n-1)'!S10</f>
        <v>0</v>
      </c>
      <c r="P11" s="66">
        <f>'[44]F9-Year(n-1)'!T10</f>
        <v>0</v>
      </c>
      <c r="Q11" s="66">
        <f t="shared" si="0"/>
        <v>0</v>
      </c>
    </row>
    <row r="12" spans="2:17" x14ac:dyDescent="0.25">
      <c r="B12" s="60"/>
      <c r="C12" s="803"/>
      <c r="D12" s="59" t="s">
        <v>353</v>
      </c>
      <c r="E12" s="66">
        <f>'[44]F9-Year(n-1)'!I11</f>
        <v>0</v>
      </c>
      <c r="F12" s="66">
        <f>'[44]F9-Year(n-1)'!J11</f>
        <v>0</v>
      </c>
      <c r="G12" s="66">
        <f>'[44]F9-Year(n-1)'!K11</f>
        <v>0</v>
      </c>
      <c r="H12" s="66">
        <f>'[44]F9-Year(n-1)'!L11</f>
        <v>0</v>
      </c>
      <c r="I12" s="66">
        <f>'[44]F9-Year(n-1)'!M11</f>
        <v>0</v>
      </c>
      <c r="J12" s="66">
        <f>'[44]F9-Year(n-1)'!N11</f>
        <v>0</v>
      </c>
      <c r="K12" s="66">
        <f>'[44]F9-Year(n-1)'!O11</f>
        <v>0</v>
      </c>
      <c r="L12" s="66">
        <f>'[44]F9-Year(n-1)'!P11</f>
        <v>0</v>
      </c>
      <c r="M12" s="66">
        <f>'[44]F9-Year(n-1)'!Q11</f>
        <v>0</v>
      </c>
      <c r="N12" s="66">
        <f>'[44]F9-Year(n-1)'!R11</f>
        <v>0</v>
      </c>
      <c r="O12" s="66">
        <f>'[44]F9-Year(n-1)'!S11</f>
        <v>0</v>
      </c>
      <c r="P12" s="66">
        <f>'[44]F9-Year(n-1)'!T11</f>
        <v>0</v>
      </c>
      <c r="Q12" s="66">
        <f t="shared" si="0"/>
        <v>0</v>
      </c>
    </row>
    <row r="13" spans="2:17" x14ac:dyDescent="0.25">
      <c r="B13" s="60"/>
      <c r="C13" s="803"/>
      <c r="D13" s="59" t="s">
        <v>354</v>
      </c>
      <c r="E13" s="66">
        <f>'[44]F9-Year(n-1)'!I12</f>
        <v>0</v>
      </c>
      <c r="F13" s="66">
        <f>'[44]F9-Year(n-1)'!J12</f>
        <v>0</v>
      </c>
      <c r="G13" s="66">
        <f>'[44]F9-Year(n-1)'!K12</f>
        <v>0</v>
      </c>
      <c r="H13" s="66">
        <f>'[44]F9-Year(n-1)'!L12</f>
        <v>0</v>
      </c>
      <c r="I13" s="66">
        <f>'[44]F9-Year(n-1)'!M12</f>
        <v>0</v>
      </c>
      <c r="J13" s="66">
        <f>'[44]F9-Year(n-1)'!N12</f>
        <v>0</v>
      </c>
      <c r="K13" s="66">
        <f>'[44]F9-Year(n-1)'!O12</f>
        <v>0</v>
      </c>
      <c r="L13" s="66">
        <f>'[44]F9-Year(n-1)'!P12</f>
        <v>0</v>
      </c>
      <c r="M13" s="66">
        <f>'[44]F9-Year(n-1)'!Q12</f>
        <v>0</v>
      </c>
      <c r="N13" s="66">
        <f>'[44]F9-Year(n-1)'!R12</f>
        <v>0</v>
      </c>
      <c r="O13" s="66">
        <f>'[44]F9-Year(n-1)'!S12</f>
        <v>0</v>
      </c>
      <c r="P13" s="66">
        <f>'[44]F9-Year(n-1)'!T12</f>
        <v>0</v>
      </c>
      <c r="Q13" s="66">
        <f t="shared" si="0"/>
        <v>0</v>
      </c>
    </row>
    <row r="14" spans="2:17" x14ac:dyDescent="0.25">
      <c r="B14" s="60"/>
      <c r="C14" s="803"/>
      <c r="D14" s="59" t="s">
        <v>355</v>
      </c>
      <c r="E14" s="66">
        <f>'[44]F9-Year(n-1)'!I13</f>
        <v>0</v>
      </c>
      <c r="F14" s="66">
        <f>'[44]F9-Year(n-1)'!J13</f>
        <v>0</v>
      </c>
      <c r="G14" s="66">
        <f>'[44]F9-Year(n-1)'!K13</f>
        <v>0</v>
      </c>
      <c r="H14" s="66">
        <f>'[44]F9-Year(n-1)'!L13</f>
        <v>0</v>
      </c>
      <c r="I14" s="66">
        <f>'[44]F9-Year(n-1)'!M13</f>
        <v>0</v>
      </c>
      <c r="J14" s="66">
        <f>'[44]F9-Year(n-1)'!N13</f>
        <v>0</v>
      </c>
      <c r="K14" s="66">
        <f>'[44]F9-Year(n-1)'!O13</f>
        <v>0</v>
      </c>
      <c r="L14" s="66">
        <f>'[44]F9-Year(n-1)'!P13</f>
        <v>0</v>
      </c>
      <c r="M14" s="66">
        <f>'[44]F9-Year(n-1)'!Q13</f>
        <v>0</v>
      </c>
      <c r="N14" s="66">
        <f>'[44]F9-Year(n-1)'!R13</f>
        <v>0</v>
      </c>
      <c r="O14" s="66">
        <f>'[44]F9-Year(n-1)'!S13</f>
        <v>0</v>
      </c>
      <c r="P14" s="66">
        <f>'[44]F9-Year(n-1)'!T13</f>
        <v>0</v>
      </c>
      <c r="Q14" s="66">
        <f t="shared" si="0"/>
        <v>0</v>
      </c>
    </row>
    <row r="15" spans="2:17" x14ac:dyDescent="0.25">
      <c r="B15" s="60"/>
      <c r="C15" s="803"/>
      <c r="D15" s="59" t="s">
        <v>356</v>
      </c>
      <c r="E15" s="66">
        <f>'[44]F9-Year(n-1)'!I14</f>
        <v>0</v>
      </c>
      <c r="F15" s="66">
        <f>'[44]F9-Year(n-1)'!J14</f>
        <v>0</v>
      </c>
      <c r="G15" s="66">
        <f>'[44]F9-Year(n-1)'!K14</f>
        <v>0</v>
      </c>
      <c r="H15" s="66">
        <f>'[44]F9-Year(n-1)'!L14</f>
        <v>0</v>
      </c>
      <c r="I15" s="66">
        <f>'[44]F9-Year(n-1)'!M14</f>
        <v>0</v>
      </c>
      <c r="J15" s="66">
        <f>'[44]F9-Year(n-1)'!N14</f>
        <v>0</v>
      </c>
      <c r="K15" s="66">
        <f>'[44]F9-Year(n-1)'!O14</f>
        <v>0</v>
      </c>
      <c r="L15" s="66">
        <f>'[44]F9-Year(n-1)'!P14</f>
        <v>0</v>
      </c>
      <c r="M15" s="66">
        <f>'[44]F9-Year(n-1)'!Q14</f>
        <v>0</v>
      </c>
      <c r="N15" s="66">
        <f>'[44]F9-Year(n-1)'!R14</f>
        <v>0</v>
      </c>
      <c r="O15" s="66">
        <f>'[44]F9-Year(n-1)'!S14</f>
        <v>0</v>
      </c>
      <c r="P15" s="66">
        <f>'[44]F9-Year(n-1)'!T14</f>
        <v>0</v>
      </c>
      <c r="Q15" s="66">
        <f t="shared" si="0"/>
        <v>0</v>
      </c>
    </row>
    <row r="16" spans="2:17" x14ac:dyDescent="0.25">
      <c r="B16" s="60"/>
      <c r="C16" s="803"/>
      <c r="D16" s="59" t="s">
        <v>357</v>
      </c>
      <c r="E16" s="66">
        <f>'[44]F9-Year(n-1)'!I15</f>
        <v>0</v>
      </c>
      <c r="F16" s="66">
        <f>'[44]F9-Year(n-1)'!J15</f>
        <v>0</v>
      </c>
      <c r="G16" s="66">
        <f>'[44]F9-Year(n-1)'!K15</f>
        <v>0</v>
      </c>
      <c r="H16" s="66">
        <f>'[44]F9-Year(n-1)'!L15</f>
        <v>0</v>
      </c>
      <c r="I16" s="66">
        <f>'[44]F9-Year(n-1)'!M15</f>
        <v>0</v>
      </c>
      <c r="J16" s="66">
        <f>'[44]F9-Year(n-1)'!N15</f>
        <v>0</v>
      </c>
      <c r="K16" s="66">
        <f>'[44]F9-Year(n-1)'!O15</f>
        <v>0</v>
      </c>
      <c r="L16" s="66">
        <f>'[44]F9-Year(n-1)'!P15</f>
        <v>0</v>
      </c>
      <c r="M16" s="66">
        <f>'[44]F9-Year(n-1)'!Q15</f>
        <v>0</v>
      </c>
      <c r="N16" s="66">
        <f>'[44]F9-Year(n-1)'!R15</f>
        <v>0</v>
      </c>
      <c r="O16" s="66">
        <f>'[44]F9-Year(n-1)'!S15</f>
        <v>0</v>
      </c>
      <c r="P16" s="66">
        <f>'[44]F9-Year(n-1)'!T15</f>
        <v>0</v>
      </c>
      <c r="Q16" s="66">
        <f t="shared" si="0"/>
        <v>0</v>
      </c>
    </row>
    <row r="17" spans="2:17" x14ac:dyDescent="0.25">
      <c r="B17" s="60"/>
      <c r="C17" s="803"/>
      <c r="D17" s="59" t="s">
        <v>358</v>
      </c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>
        <f t="shared" si="0"/>
        <v>0</v>
      </c>
    </row>
    <row r="18" spans="2:17" x14ac:dyDescent="0.25">
      <c r="B18" s="60"/>
      <c r="C18" s="803"/>
      <c r="D18" s="59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>
        <f t="shared" si="0"/>
        <v>0</v>
      </c>
    </row>
    <row r="19" spans="2:17" x14ac:dyDescent="0.25">
      <c r="B19" s="60"/>
      <c r="C19" s="803"/>
      <c r="D19" s="59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>
        <f t="shared" si="0"/>
        <v>0</v>
      </c>
    </row>
    <row r="20" spans="2:17" x14ac:dyDescent="0.25">
      <c r="B20" s="60"/>
      <c r="C20" s="803"/>
      <c r="D20" s="59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>
        <f t="shared" si="0"/>
        <v>0</v>
      </c>
    </row>
    <row r="21" spans="2:17" x14ac:dyDescent="0.25">
      <c r="B21" s="60"/>
      <c r="C21" s="803"/>
      <c r="D21" s="59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>
        <f t="shared" si="0"/>
        <v>0</v>
      </c>
    </row>
    <row r="22" spans="2:17" x14ac:dyDescent="0.25">
      <c r="B22" s="60"/>
      <c r="C22" s="803"/>
      <c r="D22" s="59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>
        <f t="shared" si="0"/>
        <v>0</v>
      </c>
    </row>
    <row r="23" spans="2:17" x14ac:dyDescent="0.25">
      <c r="B23" s="60"/>
      <c r="C23" s="803"/>
      <c r="D23" s="59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>
        <f t="shared" si="0"/>
        <v>0</v>
      </c>
    </row>
    <row r="24" spans="2:17" x14ac:dyDescent="0.25">
      <c r="B24" s="60"/>
      <c r="C24" s="803"/>
      <c r="D24" s="59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>
        <f t="shared" si="0"/>
        <v>0</v>
      </c>
    </row>
    <row r="25" spans="2:17" x14ac:dyDescent="0.25">
      <c r="B25" s="60"/>
      <c r="C25" s="803"/>
      <c r="D25" s="59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>
        <f t="shared" si="0"/>
        <v>0</v>
      </c>
    </row>
    <row r="26" spans="2:17" x14ac:dyDescent="0.25">
      <c r="B26" s="60"/>
      <c r="C26" s="803"/>
      <c r="D26" s="59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>
        <f t="shared" si="0"/>
        <v>0</v>
      </c>
    </row>
    <row r="27" spans="2:17" x14ac:dyDescent="0.25">
      <c r="B27" s="60"/>
      <c r="C27" s="804"/>
      <c r="D27" s="59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>
        <f t="shared" si="0"/>
        <v>0</v>
      </c>
    </row>
    <row r="28" spans="2:17" x14ac:dyDescent="0.25">
      <c r="C28" s="751" t="s">
        <v>212</v>
      </c>
      <c r="D28" s="752"/>
      <c r="E28" s="66">
        <f t="shared" ref="E28:P28" si="1">SUM(E10:E27)</f>
        <v>0</v>
      </c>
      <c r="F28" s="66">
        <f t="shared" si="1"/>
        <v>0</v>
      </c>
      <c r="G28" s="66">
        <f t="shared" si="1"/>
        <v>0</v>
      </c>
      <c r="H28" s="66">
        <f t="shared" si="1"/>
        <v>0</v>
      </c>
      <c r="I28" s="66">
        <f t="shared" si="1"/>
        <v>0</v>
      </c>
      <c r="J28" s="66">
        <f t="shared" si="1"/>
        <v>0</v>
      </c>
      <c r="K28" s="66">
        <f t="shared" si="1"/>
        <v>0</v>
      </c>
      <c r="L28" s="66">
        <f t="shared" si="1"/>
        <v>0</v>
      </c>
      <c r="M28" s="66">
        <f t="shared" si="1"/>
        <v>0</v>
      </c>
      <c r="N28" s="66">
        <f t="shared" si="1"/>
        <v>0</v>
      </c>
      <c r="O28" s="66">
        <f t="shared" si="1"/>
        <v>0</v>
      </c>
      <c r="P28" s="66">
        <f t="shared" si="1"/>
        <v>0</v>
      </c>
      <c r="Q28" s="86">
        <f t="shared" si="0"/>
        <v>0</v>
      </c>
    </row>
    <row r="29" spans="2:17" x14ac:dyDescent="0.25">
      <c r="C29" s="753" t="s">
        <v>359</v>
      </c>
      <c r="D29" s="754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2:17" x14ac:dyDescent="0.25">
      <c r="C30" s="805" t="s">
        <v>350</v>
      </c>
      <c r="D30" s="17" t="s">
        <v>360</v>
      </c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>
        <f t="shared" ref="Q30:Q48" si="2">SUM(E30:P30)</f>
        <v>0</v>
      </c>
    </row>
    <row r="31" spans="2:17" x14ac:dyDescent="0.25">
      <c r="C31" s="806"/>
      <c r="D31" s="17" t="s">
        <v>361</v>
      </c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>
        <f t="shared" si="2"/>
        <v>0</v>
      </c>
    </row>
    <row r="32" spans="2:17" x14ac:dyDescent="0.25">
      <c r="C32" s="806"/>
      <c r="D32" s="17" t="s">
        <v>362</v>
      </c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>
        <f t="shared" si="2"/>
        <v>0</v>
      </c>
    </row>
    <row r="33" spans="3:17" x14ac:dyDescent="0.25">
      <c r="C33" s="806"/>
      <c r="D33" s="17" t="s">
        <v>363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>
        <f t="shared" si="2"/>
        <v>0</v>
      </c>
    </row>
    <row r="34" spans="3:17" x14ac:dyDescent="0.25">
      <c r="C34" s="806"/>
      <c r="D34" s="17" t="s">
        <v>364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>
        <f t="shared" si="2"/>
        <v>0</v>
      </c>
    </row>
    <row r="35" spans="3:17" x14ac:dyDescent="0.25">
      <c r="C35" s="806"/>
      <c r="D35" s="17" t="s">
        <v>365</v>
      </c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>
        <f t="shared" si="2"/>
        <v>0</v>
      </c>
    </row>
    <row r="36" spans="3:17" x14ac:dyDescent="0.25">
      <c r="C36" s="806"/>
      <c r="D36" s="17" t="s">
        <v>366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>
        <f t="shared" si="2"/>
        <v>0</v>
      </c>
    </row>
    <row r="37" spans="3:17" x14ac:dyDescent="0.25">
      <c r="C37" s="806"/>
      <c r="D37" s="17" t="s">
        <v>367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>
        <f t="shared" si="2"/>
        <v>0</v>
      </c>
    </row>
    <row r="38" spans="3:17" x14ac:dyDescent="0.25">
      <c r="C38" s="806"/>
      <c r="D38" s="17"/>
      <c r="E38" s="66">
        <f>'[44]F9-Year(n-1)'!I37</f>
        <v>0</v>
      </c>
      <c r="F38" s="66">
        <f>'[44]F9-Year(n-1)'!J37</f>
        <v>0</v>
      </c>
      <c r="G38" s="66">
        <f>'[44]F9-Year(n-1)'!K37</f>
        <v>0</v>
      </c>
      <c r="H38" s="66">
        <f>'[44]F9-Year(n-1)'!L37</f>
        <v>0</v>
      </c>
      <c r="I38" s="66">
        <f>'[44]F9-Year(n-1)'!M37</f>
        <v>0</v>
      </c>
      <c r="J38" s="66">
        <f>'[44]F9-Year(n-1)'!N37</f>
        <v>0</v>
      </c>
      <c r="K38" s="66">
        <f>'[44]F9-Year(n-1)'!O37</f>
        <v>0</v>
      </c>
      <c r="L38" s="66">
        <f>'[44]F9-Year(n-1)'!P37</f>
        <v>0</v>
      </c>
      <c r="M38" s="66">
        <f>'[44]F9-Year(n-1)'!Q37</f>
        <v>0</v>
      </c>
      <c r="N38" s="66">
        <f>'[44]F9-Year(n-1)'!R37</f>
        <v>0</v>
      </c>
      <c r="O38" s="66">
        <f>'[44]F9-Year(n-1)'!S37</f>
        <v>0</v>
      </c>
      <c r="P38" s="66">
        <f>'[44]F9-Year(n-1)'!T37</f>
        <v>0</v>
      </c>
      <c r="Q38" s="66">
        <f t="shared" si="2"/>
        <v>0</v>
      </c>
    </row>
    <row r="39" spans="3:17" x14ac:dyDescent="0.25">
      <c r="C39" s="806"/>
      <c r="D39" s="17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>
        <f t="shared" si="2"/>
        <v>0</v>
      </c>
    </row>
    <row r="40" spans="3:17" x14ac:dyDescent="0.25">
      <c r="C40" s="806"/>
      <c r="D40" s="17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>
        <f t="shared" si="2"/>
        <v>0</v>
      </c>
    </row>
    <row r="41" spans="3:17" x14ac:dyDescent="0.25">
      <c r="C41" s="806"/>
      <c r="D41" s="17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>
        <f t="shared" si="2"/>
        <v>0</v>
      </c>
    </row>
    <row r="42" spans="3:17" x14ac:dyDescent="0.25">
      <c r="C42" s="806"/>
      <c r="D42" s="17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>
        <f t="shared" si="2"/>
        <v>0</v>
      </c>
    </row>
    <row r="43" spans="3:17" x14ac:dyDescent="0.25">
      <c r="C43" s="806"/>
      <c r="D43" s="17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>
        <f t="shared" si="2"/>
        <v>0</v>
      </c>
    </row>
    <row r="44" spans="3:17" x14ac:dyDescent="0.25">
      <c r="C44" s="806"/>
      <c r="D44" s="17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>
        <f t="shared" si="2"/>
        <v>0</v>
      </c>
    </row>
    <row r="45" spans="3:17" x14ac:dyDescent="0.25">
      <c r="C45" s="806"/>
      <c r="D45" s="17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>
        <f t="shared" si="2"/>
        <v>0</v>
      </c>
    </row>
    <row r="46" spans="3:17" x14ac:dyDescent="0.25">
      <c r="C46" s="806"/>
      <c r="D46" s="17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>
        <f t="shared" si="2"/>
        <v>0</v>
      </c>
    </row>
    <row r="47" spans="3:17" x14ac:dyDescent="0.25">
      <c r="C47" s="807"/>
      <c r="D47" s="107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>
        <f t="shared" si="2"/>
        <v>0</v>
      </c>
    </row>
    <row r="48" spans="3:17" x14ac:dyDescent="0.25">
      <c r="C48" s="751" t="s">
        <v>212</v>
      </c>
      <c r="D48" s="752"/>
      <c r="E48" s="66">
        <f t="shared" ref="E48:P48" si="3">SUM(E30:E47)</f>
        <v>0</v>
      </c>
      <c r="F48" s="66">
        <f t="shared" si="3"/>
        <v>0</v>
      </c>
      <c r="G48" s="66">
        <f t="shared" si="3"/>
        <v>0</v>
      </c>
      <c r="H48" s="66">
        <f t="shared" si="3"/>
        <v>0</v>
      </c>
      <c r="I48" s="66">
        <f t="shared" si="3"/>
        <v>0</v>
      </c>
      <c r="J48" s="66">
        <f t="shared" si="3"/>
        <v>0</v>
      </c>
      <c r="K48" s="66">
        <f t="shared" si="3"/>
        <v>0</v>
      </c>
      <c r="L48" s="66">
        <f t="shared" si="3"/>
        <v>0</v>
      </c>
      <c r="M48" s="66">
        <f t="shared" si="3"/>
        <v>0</v>
      </c>
      <c r="N48" s="66">
        <f t="shared" si="3"/>
        <v>0</v>
      </c>
      <c r="O48" s="66">
        <f t="shared" si="3"/>
        <v>0</v>
      </c>
      <c r="P48" s="66">
        <f t="shared" si="3"/>
        <v>0</v>
      </c>
      <c r="Q48" s="86">
        <f t="shared" si="2"/>
        <v>0</v>
      </c>
    </row>
    <row r="49" spans="3:17" x14ac:dyDescent="0.25">
      <c r="C49" s="753" t="s">
        <v>368</v>
      </c>
      <c r="D49" s="754"/>
      <c r="E49" s="66">
        <f t="shared" ref="E49:Q49" si="4">E28+E48</f>
        <v>0</v>
      </c>
      <c r="F49" s="66">
        <f t="shared" si="4"/>
        <v>0</v>
      </c>
      <c r="G49" s="66">
        <f t="shared" si="4"/>
        <v>0</v>
      </c>
      <c r="H49" s="66">
        <f t="shared" si="4"/>
        <v>0</v>
      </c>
      <c r="I49" s="66">
        <f t="shared" si="4"/>
        <v>0</v>
      </c>
      <c r="J49" s="66">
        <f t="shared" si="4"/>
        <v>0</v>
      </c>
      <c r="K49" s="66">
        <f t="shared" si="4"/>
        <v>0</v>
      </c>
      <c r="L49" s="66">
        <f t="shared" si="4"/>
        <v>0</v>
      </c>
      <c r="M49" s="66">
        <f t="shared" si="4"/>
        <v>0</v>
      </c>
      <c r="N49" s="66">
        <f t="shared" si="4"/>
        <v>0</v>
      </c>
      <c r="O49" s="66">
        <f t="shared" si="4"/>
        <v>0</v>
      </c>
      <c r="P49" s="66">
        <f t="shared" si="4"/>
        <v>0</v>
      </c>
      <c r="Q49" s="86">
        <f t="shared" si="4"/>
        <v>0</v>
      </c>
    </row>
    <row r="50" spans="3:17" x14ac:dyDescent="0.25">
      <c r="C50" s="800" t="s">
        <v>369</v>
      </c>
      <c r="D50" s="801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3:17" x14ac:dyDescent="0.25">
      <c r="C51" s="753" t="s">
        <v>349</v>
      </c>
      <c r="D51" s="754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3:17" x14ac:dyDescent="0.25">
      <c r="C52" s="805" t="s">
        <v>370</v>
      </c>
      <c r="D52" s="17" t="s">
        <v>371</v>
      </c>
      <c r="E52" s="66">
        <f>'[44]F9-Year(n-1)'!I51</f>
        <v>148.5699179545</v>
      </c>
      <c r="F52" s="66">
        <f>'[44]F9-Year(n-1)'!J51</f>
        <v>154.47163498800001</v>
      </c>
      <c r="G52" s="66">
        <f>'[44]F9-Year(n-1)'!K51</f>
        <v>162.57876689199998</v>
      </c>
      <c r="H52" s="66">
        <f>'[44]F9-Year(n-1)'!L51</f>
        <v>131.08742970900002</v>
      </c>
      <c r="I52" s="66">
        <f>'[44]F9-Year(n-1)'!M51</f>
        <v>87.503200980499997</v>
      </c>
      <c r="J52" s="66">
        <f>'[44]F9-Year(n-1)'!N51</f>
        <v>76.676289677</v>
      </c>
      <c r="K52" s="66">
        <f>'[44]F9-Year(n-1)'!O51</f>
        <v>45.197657843500004</v>
      </c>
      <c r="L52" s="66">
        <f>'[44]F9-Year(n-1)'!P51</f>
        <v>50.178288187</v>
      </c>
      <c r="M52" s="66">
        <f>'[44]F9-Year(n-1)'!Q51</f>
        <v>78.838364976999998</v>
      </c>
      <c r="N52" s="66">
        <f>'[44]F9-Year(n-1)'!R51</f>
        <v>120.2238394605</v>
      </c>
      <c r="O52" s="66">
        <f>'[44]F9-Year(n-1)'!S51</f>
        <v>167.50662301350002</v>
      </c>
      <c r="P52" s="66">
        <f>'[44]F9-Year(n-1)'!T51</f>
        <v>176.61256795349999</v>
      </c>
      <c r="Q52" s="66">
        <f t="shared" ref="Q52:Q77" si="5">SUM(E52:P52)</f>
        <v>1399.4445816360001</v>
      </c>
    </row>
    <row r="53" spans="3:17" x14ac:dyDescent="0.25">
      <c r="C53" s="806"/>
      <c r="D53" s="17" t="s">
        <v>372</v>
      </c>
      <c r="E53" s="66">
        <f>'[44]F9-Year(n-1)'!I52</f>
        <v>42.051278820500002</v>
      </c>
      <c r="F53" s="66">
        <f>'[44]F9-Year(n-1)'!J52</f>
        <v>42.274604140000001</v>
      </c>
      <c r="G53" s="66">
        <f>'[44]F9-Year(n-1)'!K52</f>
        <v>15.603495526</v>
      </c>
      <c r="H53" s="66">
        <f>'[44]F9-Year(n-1)'!L52</f>
        <v>0</v>
      </c>
      <c r="I53" s="66">
        <f>'[44]F9-Year(n-1)'!M52</f>
        <v>17.503212308000002</v>
      </c>
      <c r="J53" s="66">
        <f>'[44]F9-Year(n-1)'!N52</f>
        <v>26.207913999999999</v>
      </c>
      <c r="K53" s="66">
        <f>'[44]F9-Year(n-1)'!O52</f>
        <v>17.506200806000003</v>
      </c>
      <c r="L53" s="66">
        <f>'[44]F9-Year(n-1)'!P52</f>
        <v>19.988972419</v>
      </c>
      <c r="M53" s="66">
        <f>'[44]F9-Year(n-1)'!Q52</f>
        <v>29.554020073</v>
      </c>
      <c r="N53" s="66">
        <f>'[44]F9-Year(n-1)'!R52</f>
        <v>37.619845657500001</v>
      </c>
      <c r="O53" s="66">
        <f>'[44]F9-Year(n-1)'!S52</f>
        <v>43.740909696000003</v>
      </c>
      <c r="P53" s="66">
        <f>'[44]F9-Year(n-1)'!T52</f>
        <v>41.712929486500002</v>
      </c>
      <c r="Q53" s="66">
        <f t="shared" si="5"/>
        <v>333.76338293250001</v>
      </c>
    </row>
    <row r="54" spans="3:17" x14ac:dyDescent="0.25">
      <c r="C54" s="806"/>
      <c r="D54" s="17" t="s">
        <v>373</v>
      </c>
      <c r="E54" s="66">
        <f>'[44]F9-Year(n-1)'!I53</f>
        <v>99.075872347000001</v>
      </c>
      <c r="F54" s="66">
        <f>'[44]F9-Year(n-1)'!J53</f>
        <v>116.2879763065</v>
      </c>
      <c r="G54" s="66">
        <f>'[44]F9-Year(n-1)'!K53</f>
        <v>110.76186606200001</v>
      </c>
      <c r="H54" s="66">
        <f>'[44]F9-Year(n-1)'!L53</f>
        <v>130.14471027250002</v>
      </c>
      <c r="I54" s="66">
        <f>'[44]F9-Year(n-1)'!M53</f>
        <v>110.6141858635</v>
      </c>
      <c r="J54" s="66">
        <f>'[44]F9-Year(n-1)'!N53</f>
        <v>103.93691338550001</v>
      </c>
      <c r="K54" s="66">
        <f>'[44]F9-Year(n-1)'!O53</f>
        <v>92.543513096500007</v>
      </c>
      <c r="L54" s="66">
        <f>'[44]F9-Year(n-1)'!P53</f>
        <v>76.144383595999997</v>
      </c>
      <c r="M54" s="66">
        <f>'[44]F9-Year(n-1)'!Q53</f>
        <v>87.2588595215</v>
      </c>
      <c r="N54" s="66">
        <f>'[44]F9-Year(n-1)'!R53</f>
        <v>87.637371559500011</v>
      </c>
      <c r="O54" s="66">
        <f>'[44]F9-Year(n-1)'!S53</f>
        <v>89.213373193999999</v>
      </c>
      <c r="P54" s="66">
        <f>'[44]F9-Year(n-1)'!T53</f>
        <v>103.585308412</v>
      </c>
      <c r="Q54" s="66">
        <f t="shared" si="5"/>
        <v>1207.2043336165</v>
      </c>
    </row>
    <row r="55" spans="3:17" x14ac:dyDescent="0.25">
      <c r="C55" s="806"/>
      <c r="D55" s="17" t="s">
        <v>374</v>
      </c>
      <c r="E55" s="66">
        <f>'[44]F9-Year(n-1)'!I54</f>
        <v>246.18258612350002</v>
      </c>
      <c r="F55" s="66">
        <f>'[44]F9-Year(n-1)'!J54</f>
        <v>232.73271259650002</v>
      </c>
      <c r="G55" s="66">
        <f>'[44]F9-Year(n-1)'!K54</f>
        <v>232.33568541650001</v>
      </c>
      <c r="H55" s="66">
        <f>'[44]F9-Year(n-1)'!L54</f>
        <v>202.32153542149999</v>
      </c>
      <c r="I55" s="66">
        <f>'[44]F9-Year(n-1)'!M54</f>
        <v>174.12595066</v>
      </c>
      <c r="J55" s="66">
        <f>'[44]F9-Year(n-1)'!N54</f>
        <v>169.49003961000003</v>
      </c>
      <c r="K55" s="66">
        <f>'[44]F9-Year(n-1)'!O54</f>
        <v>19.9855542715</v>
      </c>
      <c r="L55" s="66">
        <f>'[44]F9-Year(n-1)'!P54</f>
        <v>27.736171627500003</v>
      </c>
      <c r="M55" s="66">
        <f>'[44]F9-Year(n-1)'!Q54</f>
        <v>219.15783011350001</v>
      </c>
      <c r="N55" s="66">
        <f>'[44]F9-Year(n-1)'!R54</f>
        <v>258.61003635150001</v>
      </c>
      <c r="O55" s="66">
        <f>'[44]F9-Year(n-1)'!S54</f>
        <v>234.492638081</v>
      </c>
      <c r="P55" s="66">
        <f>'[44]F9-Year(n-1)'!T54</f>
        <v>254.71647145000003</v>
      </c>
      <c r="Q55" s="66">
        <f t="shared" si="5"/>
        <v>2271.8872117229998</v>
      </c>
    </row>
    <row r="56" spans="3:17" x14ac:dyDescent="0.25">
      <c r="C56" s="806"/>
      <c r="D56" s="17" t="s">
        <v>375</v>
      </c>
      <c r="E56" s="66">
        <f>'[44]F9-Year(n-1)'!I55</f>
        <v>113.3320427755</v>
      </c>
      <c r="F56" s="66">
        <f>'[44]F9-Year(n-1)'!J55</f>
        <v>92.778676000500013</v>
      </c>
      <c r="G56" s="66">
        <f>'[44]F9-Year(n-1)'!K55</f>
        <v>55.695893629000004</v>
      </c>
      <c r="H56" s="66">
        <f>'[44]F9-Year(n-1)'!L55</f>
        <v>77.308021186000005</v>
      </c>
      <c r="I56" s="66">
        <f>'[44]F9-Year(n-1)'!M55</f>
        <v>83.916918720500007</v>
      </c>
      <c r="J56" s="66">
        <f>'[44]F9-Year(n-1)'!N55</f>
        <v>63.092164438499999</v>
      </c>
      <c r="K56" s="66">
        <f>'[44]F9-Year(n-1)'!O55</f>
        <v>55.476560028499996</v>
      </c>
      <c r="L56" s="66">
        <f>'[44]F9-Year(n-1)'!P55</f>
        <v>72.700787300000002</v>
      </c>
      <c r="M56" s="66">
        <f>'[44]F9-Year(n-1)'!Q55</f>
        <v>108.2624552315</v>
      </c>
      <c r="N56" s="66">
        <f>'[44]F9-Year(n-1)'!R55</f>
        <v>116.6587814625</v>
      </c>
      <c r="O56" s="66">
        <f>'[44]F9-Year(n-1)'!S55</f>
        <v>113.6276063565</v>
      </c>
      <c r="P56" s="66">
        <f>'[44]F9-Year(n-1)'!T55</f>
        <v>131.0262466325</v>
      </c>
      <c r="Q56" s="66">
        <f t="shared" si="5"/>
        <v>1083.8761537615001</v>
      </c>
    </row>
    <row r="57" spans="3:17" x14ac:dyDescent="0.25">
      <c r="C57" s="806"/>
      <c r="D57" s="17" t="s">
        <v>376</v>
      </c>
      <c r="E57" s="66">
        <f>'[44]F9-Year(n-1)'!I56</f>
        <v>95.90031454950001</v>
      </c>
      <c r="F57" s="66">
        <f>'[44]F9-Year(n-1)'!J56</f>
        <v>84.010096927500001</v>
      </c>
      <c r="G57" s="66">
        <f>'[44]F9-Year(n-1)'!K56</f>
        <v>109.951520296</v>
      </c>
      <c r="H57" s="66">
        <f>'[44]F9-Year(n-1)'!L56</f>
        <v>75.150441332</v>
      </c>
      <c r="I57" s="66">
        <f>'[44]F9-Year(n-1)'!M56</f>
        <v>69.366795367500004</v>
      </c>
      <c r="J57" s="66">
        <f>'[44]F9-Year(n-1)'!N56</f>
        <v>72.828789692499996</v>
      </c>
      <c r="K57" s="66">
        <f>'[44]F9-Year(n-1)'!O56</f>
        <v>2.9763782155</v>
      </c>
      <c r="L57" s="66">
        <f>'[44]F9-Year(n-1)'!P56</f>
        <v>0</v>
      </c>
      <c r="M57" s="66">
        <f>'[44]F9-Year(n-1)'!Q56</f>
        <v>47.199403329999996</v>
      </c>
      <c r="N57" s="66">
        <f>'[44]F9-Year(n-1)'!R56</f>
        <v>70.202618854999997</v>
      </c>
      <c r="O57" s="66">
        <f>'[44]F9-Year(n-1)'!S56</f>
        <v>104.79238787</v>
      </c>
      <c r="P57" s="66">
        <f>'[44]F9-Year(n-1)'!T56</f>
        <v>68.23867264750001</v>
      </c>
      <c r="Q57" s="66">
        <f t="shared" si="5"/>
        <v>800.61741908300007</v>
      </c>
    </row>
    <row r="58" spans="3:17" x14ac:dyDescent="0.25">
      <c r="C58" s="806"/>
      <c r="D58" s="17" t="s">
        <v>377</v>
      </c>
      <c r="E58" s="66">
        <f>'[44]F9-Year(n-1)'!I57</f>
        <v>18.89241518</v>
      </c>
      <c r="F58" s="66">
        <f>'[44]F9-Year(n-1)'!J57</f>
        <v>16.969305429000002</v>
      </c>
      <c r="G58" s="66">
        <f>'[44]F9-Year(n-1)'!K57</f>
        <v>18.2066966945</v>
      </c>
      <c r="H58" s="66">
        <f>'[44]F9-Year(n-1)'!L57</f>
        <v>12.406297221499999</v>
      </c>
      <c r="I58" s="66">
        <f>'[44]F9-Year(n-1)'!M57</f>
        <v>10.929984853500001</v>
      </c>
      <c r="J58" s="66">
        <f>'[44]F9-Year(n-1)'!N57</f>
        <v>14.628404222</v>
      </c>
      <c r="K58" s="66">
        <f>'[44]F9-Year(n-1)'!O57</f>
        <v>10.3152093315</v>
      </c>
      <c r="L58" s="66">
        <f>'[44]F9-Year(n-1)'!P57</f>
        <v>12.946759606500001</v>
      </c>
      <c r="M58" s="66">
        <f>'[44]F9-Year(n-1)'!Q57</f>
        <v>12.149916405000001</v>
      </c>
      <c r="N58" s="66">
        <f>'[44]F9-Year(n-1)'!R57</f>
        <v>21.6380440995</v>
      </c>
      <c r="O58" s="66">
        <f>'[44]F9-Year(n-1)'!S57</f>
        <v>10.630711048</v>
      </c>
      <c r="P58" s="66">
        <f>'[44]F9-Year(n-1)'!T57</f>
        <v>18.370170921500002</v>
      </c>
      <c r="Q58" s="66">
        <f t="shared" si="5"/>
        <v>178.0839150125</v>
      </c>
    </row>
    <row r="59" spans="3:17" x14ac:dyDescent="0.25">
      <c r="C59" s="806"/>
      <c r="D59" s="17" t="s">
        <v>378</v>
      </c>
      <c r="E59" s="66">
        <f>'[44]F9-Year(n-1)'!I58</f>
        <v>84.250615281999998</v>
      </c>
      <c r="F59" s="66">
        <f>'[44]F9-Year(n-1)'!J58</f>
        <v>86.281040979554504</v>
      </c>
      <c r="G59" s="66">
        <f>'[44]F9-Year(n-1)'!K58</f>
        <v>97.643989273265987</v>
      </c>
      <c r="H59" s="66">
        <f>'[44]F9-Year(n-1)'!L58</f>
        <v>68.177567374245498</v>
      </c>
      <c r="I59" s="66">
        <f>'[44]F9-Year(n-1)'!M58</f>
        <v>92.788604330563487</v>
      </c>
      <c r="J59" s="66">
        <f>'[44]F9-Year(n-1)'!N58</f>
        <v>66.54210117940751</v>
      </c>
      <c r="K59" s="66">
        <f>'[44]F9-Year(n-1)'!O58</f>
        <v>57.469289833141005</v>
      </c>
      <c r="L59" s="66">
        <f>'[44]F9-Year(n-1)'!P58</f>
        <v>59.975286874411999</v>
      </c>
      <c r="M59" s="66">
        <f>'[44]F9-Year(n-1)'!Q58</f>
        <v>77.096772384801497</v>
      </c>
      <c r="N59" s="66">
        <f>'[44]F9-Year(n-1)'!R58</f>
        <v>80.736428116384999</v>
      </c>
      <c r="O59" s="66">
        <f>'[44]F9-Year(n-1)'!S58</f>
        <v>136.855978680411</v>
      </c>
      <c r="P59" s="66">
        <f>'[44]F9-Year(n-1)'!T58</f>
        <v>161.9856094611485</v>
      </c>
      <c r="Q59" s="66">
        <f t="shared" si="5"/>
        <v>1069.8032837693358</v>
      </c>
    </row>
    <row r="60" spans="3:17" x14ac:dyDescent="0.25">
      <c r="C60" s="807"/>
      <c r="D60" s="17" t="s">
        <v>379</v>
      </c>
      <c r="E60" s="66">
        <f>'[44]F9-Year(n-1)'!I59</f>
        <v>0</v>
      </c>
      <c r="F60" s="66">
        <f>'[44]F9-Year(n-1)'!J59</f>
        <v>0</v>
      </c>
      <c r="G60" s="66">
        <f>'[44]F9-Year(n-1)'!K59</f>
        <v>0</v>
      </c>
      <c r="H60" s="66">
        <f>'[44]F9-Year(n-1)'!L59</f>
        <v>0</v>
      </c>
      <c r="I60" s="66">
        <f>'[44]F9-Year(n-1)'!M59</f>
        <v>0</v>
      </c>
      <c r="J60" s="66">
        <f>'[44]F9-Year(n-1)'!N59</f>
        <v>0</v>
      </c>
      <c r="K60" s="66">
        <f>'[44]F9-Year(n-1)'!O59</f>
        <v>0</v>
      </c>
      <c r="L60" s="66">
        <f>'[44]F9-Year(n-1)'!P59</f>
        <v>0</v>
      </c>
      <c r="M60" s="66">
        <f>'[44]F9-Year(n-1)'!Q59</f>
        <v>0</v>
      </c>
      <c r="N60" s="66">
        <f>'[44]F9-Year(n-1)'!R59</f>
        <v>0</v>
      </c>
      <c r="O60" s="66">
        <f>'[44]F9-Year(n-1)'!S59</f>
        <v>0</v>
      </c>
      <c r="P60" s="66">
        <f>'[44]F9-Year(n-1)'!T59</f>
        <v>0</v>
      </c>
      <c r="Q60" s="66">
        <f t="shared" si="5"/>
        <v>0</v>
      </c>
    </row>
    <row r="61" spans="3:17" x14ac:dyDescent="0.25">
      <c r="C61" s="17"/>
      <c r="D61" s="17" t="s">
        <v>380</v>
      </c>
      <c r="E61" s="66">
        <f>'[44]F9-Year(n-1)'!I60</f>
        <v>4.5508510315000006</v>
      </c>
      <c r="F61" s="66">
        <f>'[44]F9-Year(n-1)'!J60</f>
        <v>9.3155828540000005</v>
      </c>
      <c r="G61" s="66">
        <f>'[44]F9-Year(n-1)'!K60</f>
        <v>4.8763405114999996</v>
      </c>
      <c r="H61" s="66">
        <f>'[44]F9-Year(n-1)'!L60</f>
        <v>5.5305929915000007</v>
      </c>
      <c r="I61" s="66">
        <f>'[44]F9-Year(n-1)'!M60</f>
        <v>3.3312087349999997</v>
      </c>
      <c r="J61" s="66">
        <f>'[44]F9-Year(n-1)'!N60</f>
        <v>2.0236526724999999</v>
      </c>
      <c r="K61" s="66">
        <f>'[44]F9-Year(n-1)'!O60</f>
        <v>1.6977963325000001</v>
      </c>
      <c r="L61" s="66">
        <f>'[44]F9-Year(n-1)'!P60</f>
        <v>2.5154412014999998</v>
      </c>
      <c r="M61" s="66">
        <f>'[44]F9-Year(n-1)'!Q60</f>
        <v>3.184971284</v>
      </c>
      <c r="N61" s="66">
        <f>'[44]F9-Year(n-1)'!R60</f>
        <v>4.5236977475000009</v>
      </c>
      <c r="O61" s="66">
        <f>'[44]F9-Year(n-1)'!S60</f>
        <v>3.6773432614999999</v>
      </c>
      <c r="P61" s="66">
        <f>'[44]F9-Year(n-1)'!T60</f>
        <v>2.874008049</v>
      </c>
      <c r="Q61" s="66">
        <f t="shared" si="5"/>
        <v>48.101486672</v>
      </c>
    </row>
    <row r="62" spans="3:17" x14ac:dyDescent="0.25">
      <c r="C62" s="17"/>
      <c r="D62" s="17" t="s">
        <v>381</v>
      </c>
      <c r="E62" s="66">
        <f>'[44]F9-Year(n-1)'!I61</f>
        <v>5.6302625040000001</v>
      </c>
      <c r="F62" s="66">
        <f>'[44]F9-Year(n-1)'!J61</f>
        <v>16.6848654665</v>
      </c>
      <c r="G62" s="66">
        <f>'[44]F9-Year(n-1)'!K61</f>
        <v>5.9044247424999998</v>
      </c>
      <c r="H62" s="66">
        <f>'[44]F9-Year(n-1)'!L61</f>
        <v>11.4464658825</v>
      </c>
      <c r="I62" s="66">
        <f>'[44]F9-Year(n-1)'!M61</f>
        <v>9.2234763014999999</v>
      </c>
      <c r="J62" s="66">
        <f>'[44]F9-Year(n-1)'!N61</f>
        <v>6.881219829</v>
      </c>
      <c r="K62" s="66">
        <f>'[44]F9-Year(n-1)'!O61</f>
        <v>2.6199553824999997</v>
      </c>
      <c r="L62" s="66">
        <f>'[44]F9-Year(n-1)'!P61</f>
        <v>2.1063796025000001</v>
      </c>
      <c r="M62" s="66">
        <f>'[44]F9-Year(n-1)'!Q61</f>
        <v>2.3489290915000001</v>
      </c>
      <c r="N62" s="66">
        <f>'[44]F9-Year(n-1)'!R61</f>
        <v>1.7953952025000002</v>
      </c>
      <c r="O62" s="66">
        <f>'[44]F9-Year(n-1)'!S61</f>
        <v>4.0236202990000001</v>
      </c>
      <c r="P62" s="66">
        <f>'[44]F9-Year(n-1)'!T61</f>
        <v>3.7299157105000003</v>
      </c>
      <c r="Q62" s="66">
        <f t="shared" si="5"/>
        <v>72.394910014499999</v>
      </c>
    </row>
    <row r="63" spans="3:17" x14ac:dyDescent="0.25">
      <c r="C63" s="17"/>
      <c r="D63" s="17" t="s">
        <v>382</v>
      </c>
      <c r="E63" s="66">
        <f>'[44]F9-Year(n-1)'!I62</f>
        <v>24.857391576500003</v>
      </c>
      <c r="F63" s="66">
        <f>'[44]F9-Year(n-1)'!J62</f>
        <v>31.827105092500002</v>
      </c>
      <c r="G63" s="66">
        <f>'[44]F9-Year(n-1)'!K62</f>
        <v>25.500056219000001</v>
      </c>
      <c r="H63" s="66">
        <f>'[44]F9-Year(n-1)'!L62</f>
        <v>32.152220657500003</v>
      </c>
      <c r="I63" s="66">
        <f>'[44]F9-Year(n-1)'!M62</f>
        <v>28.011946639000001</v>
      </c>
      <c r="J63" s="66">
        <f>'[44]F9-Year(n-1)'!N62</f>
        <v>25.787594737500001</v>
      </c>
      <c r="K63" s="66">
        <f>'[44]F9-Year(n-1)'!O62</f>
        <v>25.468211359999998</v>
      </c>
      <c r="L63" s="66">
        <f>'[44]F9-Year(n-1)'!P62</f>
        <v>24.678335676500001</v>
      </c>
      <c r="M63" s="66">
        <f>'[44]F9-Year(n-1)'!Q62</f>
        <v>10.53126659</v>
      </c>
      <c r="N63" s="66">
        <f>'[44]F9-Year(n-1)'!R62</f>
        <v>26.218627017500001</v>
      </c>
      <c r="O63" s="66">
        <f>'[44]F9-Year(n-1)'!S62</f>
        <v>26.248099280000002</v>
      </c>
      <c r="P63" s="66">
        <f>'[44]F9-Year(n-1)'!T62</f>
        <v>31.059185979999999</v>
      </c>
      <c r="Q63" s="66">
        <f t="shared" si="5"/>
        <v>312.34004082600006</v>
      </c>
    </row>
    <row r="64" spans="3:17" x14ac:dyDescent="0.25">
      <c r="C64" s="17"/>
      <c r="D64" s="17" t="s">
        <v>383</v>
      </c>
      <c r="E64" s="66">
        <f>'[44]F9-Year(n-1)'!I63</f>
        <v>0</v>
      </c>
      <c r="F64" s="66">
        <f>'[44]F9-Year(n-1)'!J63</f>
        <v>0</v>
      </c>
      <c r="G64" s="66">
        <f>'[44]F9-Year(n-1)'!K63</f>
        <v>0</v>
      </c>
      <c r="H64" s="66">
        <f>'[44]F9-Year(n-1)'!L63</f>
        <v>0</v>
      </c>
      <c r="I64" s="66">
        <f>'[44]F9-Year(n-1)'!M63</f>
        <v>0</v>
      </c>
      <c r="J64" s="66">
        <f>'[44]F9-Year(n-1)'!N63</f>
        <v>0</v>
      </c>
      <c r="K64" s="66">
        <f>'[44]F9-Year(n-1)'!O63</f>
        <v>2.2963319500000003</v>
      </c>
      <c r="L64" s="66">
        <f>'[44]F9-Year(n-1)'!P63</f>
        <v>3.2951986040000003</v>
      </c>
      <c r="M64" s="66">
        <f>'[44]F9-Year(n-1)'!Q63</f>
        <v>3.1342931025</v>
      </c>
      <c r="N64" s="66">
        <f>'[44]F9-Year(n-1)'!R63</f>
        <v>2.8213530565</v>
      </c>
      <c r="O64" s="66">
        <f>'[44]F9-Year(n-1)'!S63</f>
        <v>3.2776859775</v>
      </c>
      <c r="P64" s="66">
        <f>'[44]F9-Year(n-1)'!T63</f>
        <v>2.4315798275000002</v>
      </c>
      <c r="Q64" s="66">
        <f t="shared" si="5"/>
        <v>17.256442518</v>
      </c>
    </row>
    <row r="65" spans="3:17" x14ac:dyDescent="0.25">
      <c r="C65" s="17"/>
      <c r="D65" s="17" t="s">
        <v>384</v>
      </c>
      <c r="E65" s="66">
        <f>'[44]F9-Year(n-1)'!I64</f>
        <v>0</v>
      </c>
      <c r="F65" s="66">
        <f>'[44]F9-Year(n-1)'!J64</f>
        <v>0</v>
      </c>
      <c r="G65" s="66">
        <f>'[44]F9-Year(n-1)'!K64</f>
        <v>0</v>
      </c>
      <c r="H65" s="66">
        <f>'[44]F9-Year(n-1)'!L64</f>
        <v>0</v>
      </c>
      <c r="I65" s="66">
        <f>'[44]F9-Year(n-1)'!M64</f>
        <v>0</v>
      </c>
      <c r="J65" s="66">
        <f>'[44]F9-Year(n-1)'!N64</f>
        <v>0</v>
      </c>
      <c r="K65" s="66">
        <f>'[44]F9-Year(n-1)'!O64</f>
        <v>1.7864424075000001</v>
      </c>
      <c r="L65" s="66">
        <f>'[44]F9-Year(n-1)'!P64</f>
        <v>0.75187815899999999</v>
      </c>
      <c r="M65" s="66">
        <f>'[44]F9-Year(n-1)'!Q64</f>
        <v>1.4919173225</v>
      </c>
      <c r="N65" s="66">
        <f>'[44]F9-Year(n-1)'!R64</f>
        <v>0.66324760500000002</v>
      </c>
      <c r="O65" s="66">
        <f>'[44]F9-Year(n-1)'!S64</f>
        <v>1.686730565</v>
      </c>
      <c r="P65" s="66">
        <f>'[44]F9-Year(n-1)'!T64</f>
        <v>0.8333104965</v>
      </c>
      <c r="Q65" s="66">
        <f t="shared" si="5"/>
        <v>7.2135265555000005</v>
      </c>
    </row>
    <row r="66" spans="3:17" x14ac:dyDescent="0.25">
      <c r="C66" s="17"/>
      <c r="D66" s="17" t="s">
        <v>385</v>
      </c>
      <c r="E66" s="66">
        <f>'[44]F9-Year(n-1)'!I65</f>
        <v>60.247807848999997</v>
      </c>
      <c r="F66" s="66">
        <f>'[44]F9-Year(n-1)'!J65</f>
        <v>66.937924660000007</v>
      </c>
      <c r="G66" s="66">
        <f>'[44]F9-Year(n-1)'!K65</f>
        <v>54.785009880000004</v>
      </c>
      <c r="H66" s="66">
        <f>'[44]F9-Year(n-1)'!L65</f>
        <v>30.401662096500001</v>
      </c>
      <c r="I66" s="66">
        <f>'[44]F9-Year(n-1)'!M65</f>
        <v>29.641215640000002</v>
      </c>
      <c r="J66" s="66">
        <f>'[44]F9-Year(n-1)'!N65</f>
        <v>36.495538281500004</v>
      </c>
      <c r="K66" s="66">
        <f>'[44]F9-Year(n-1)'!O65</f>
        <v>21.396897850000002</v>
      </c>
      <c r="L66" s="66">
        <f>'[44]F9-Year(n-1)'!P65</f>
        <v>35.465460307499995</v>
      </c>
      <c r="M66" s="66">
        <f>'[44]F9-Year(n-1)'!Q65</f>
        <v>36.052256405000001</v>
      </c>
      <c r="N66" s="66">
        <f>'[44]F9-Year(n-1)'!R65</f>
        <v>32.088036383999999</v>
      </c>
      <c r="O66" s="66">
        <f>'[44]F9-Year(n-1)'!S65</f>
        <v>44.469248847500005</v>
      </c>
      <c r="P66" s="66">
        <f>'[44]F9-Year(n-1)'!T65</f>
        <v>49.378783134000003</v>
      </c>
      <c r="Q66" s="66">
        <f t="shared" si="5"/>
        <v>497.35984133500006</v>
      </c>
    </row>
    <row r="67" spans="3:17" x14ac:dyDescent="0.25">
      <c r="C67" s="17"/>
      <c r="D67" s="17" t="s">
        <v>386</v>
      </c>
      <c r="E67" s="66">
        <f>'[44]F9-Year(n-1)'!I66</f>
        <v>41.392646596500001</v>
      </c>
      <c r="F67" s="66">
        <f>'[44]F9-Year(n-1)'!J66</f>
        <v>113.25146691500001</v>
      </c>
      <c r="G67" s="66">
        <f>'[44]F9-Year(n-1)'!K66</f>
        <v>64.674703235999999</v>
      </c>
      <c r="H67" s="66">
        <f>'[44]F9-Year(n-1)'!L66</f>
        <v>54.135920248999994</v>
      </c>
      <c r="I67" s="66">
        <f>'[44]F9-Year(n-1)'!M66</f>
        <v>56.539093119</v>
      </c>
      <c r="J67" s="66">
        <f>'[44]F9-Year(n-1)'!N66</f>
        <v>35.431651336500003</v>
      </c>
      <c r="K67" s="66">
        <f>'[44]F9-Year(n-1)'!O66</f>
        <v>31.835682561500001</v>
      </c>
      <c r="L67" s="66">
        <f>'[44]F9-Year(n-1)'!P66</f>
        <v>25.324691495</v>
      </c>
      <c r="M67" s="66">
        <f>'[44]F9-Year(n-1)'!Q66</f>
        <v>56.365509782499998</v>
      </c>
      <c r="N67" s="66">
        <f>'[44]F9-Year(n-1)'!R66</f>
        <v>58.651303678999994</v>
      </c>
      <c r="O67" s="66">
        <f>'[44]F9-Year(n-1)'!S66</f>
        <v>62.353411401500004</v>
      </c>
      <c r="P67" s="66">
        <f>'[44]F9-Year(n-1)'!T66</f>
        <v>56.153404735000002</v>
      </c>
      <c r="Q67" s="66">
        <f t="shared" si="5"/>
        <v>656.10948510650007</v>
      </c>
    </row>
    <row r="68" spans="3:17" x14ac:dyDescent="0.25">
      <c r="C68" s="17"/>
      <c r="D68" s="17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>
        <f t="shared" si="5"/>
        <v>0</v>
      </c>
    </row>
    <row r="69" spans="3:17" x14ac:dyDescent="0.25">
      <c r="C69" s="17"/>
      <c r="D69" s="17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>
        <f t="shared" si="5"/>
        <v>0</v>
      </c>
    </row>
    <row r="70" spans="3:17" x14ac:dyDescent="0.25">
      <c r="C70" s="17"/>
      <c r="D70" s="17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>
        <f t="shared" si="5"/>
        <v>0</v>
      </c>
    </row>
    <row r="71" spans="3:17" x14ac:dyDescent="0.25">
      <c r="C71" s="17"/>
      <c r="D71" s="17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>
        <f t="shared" si="5"/>
        <v>0</v>
      </c>
    </row>
    <row r="72" spans="3:17" x14ac:dyDescent="0.25">
      <c r="C72" s="17"/>
      <c r="D72" s="17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>
        <f t="shared" si="5"/>
        <v>0</v>
      </c>
    </row>
    <row r="73" spans="3:17" x14ac:dyDescent="0.25">
      <c r="C73" s="17"/>
      <c r="D73" s="17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>
        <f t="shared" si="5"/>
        <v>0</v>
      </c>
    </row>
    <row r="74" spans="3:17" x14ac:dyDescent="0.25">
      <c r="C74" s="17"/>
      <c r="D74" s="17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>
        <f t="shared" si="5"/>
        <v>0</v>
      </c>
    </row>
    <row r="75" spans="3:17" x14ac:dyDescent="0.25">
      <c r="C75" s="17"/>
      <c r="D75" s="17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>
        <f t="shared" si="5"/>
        <v>0</v>
      </c>
    </row>
    <row r="76" spans="3:17" x14ac:dyDescent="0.25">
      <c r="C76" s="17"/>
      <c r="D76" s="17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>
        <f t="shared" si="5"/>
        <v>0</v>
      </c>
    </row>
    <row r="77" spans="3:17" x14ac:dyDescent="0.25">
      <c r="C77" s="751" t="s">
        <v>212</v>
      </c>
      <c r="D77" s="752"/>
      <c r="E77" s="66">
        <f t="shared" ref="E77:P77" si="6">SUM(E52:E76)</f>
        <v>984.93400259000009</v>
      </c>
      <c r="F77" s="66">
        <f t="shared" si="6"/>
        <v>1063.8229923555546</v>
      </c>
      <c r="G77" s="66">
        <f t="shared" si="6"/>
        <v>958.51844837826604</v>
      </c>
      <c r="H77" s="66">
        <f t="shared" si="6"/>
        <v>830.26286439374576</v>
      </c>
      <c r="I77" s="66">
        <f t="shared" si="6"/>
        <v>773.49579351856357</v>
      </c>
      <c r="J77" s="66">
        <f t="shared" si="6"/>
        <v>700.02227306190741</v>
      </c>
      <c r="K77" s="66">
        <f t="shared" si="6"/>
        <v>388.57168127014103</v>
      </c>
      <c r="L77" s="66">
        <f t="shared" si="6"/>
        <v>413.80803465641202</v>
      </c>
      <c r="M77" s="66">
        <f t="shared" si="6"/>
        <v>772.62676561430146</v>
      </c>
      <c r="N77" s="66">
        <f t="shared" si="6"/>
        <v>920.08862625438508</v>
      </c>
      <c r="O77" s="66">
        <f t="shared" si="6"/>
        <v>1046.5963675714108</v>
      </c>
      <c r="P77" s="66">
        <f t="shared" si="6"/>
        <v>1102.7081648971487</v>
      </c>
      <c r="Q77" s="86">
        <f t="shared" si="5"/>
        <v>9955.4560145618379</v>
      </c>
    </row>
    <row r="78" spans="3:17" x14ac:dyDescent="0.25">
      <c r="C78" s="753" t="s">
        <v>387</v>
      </c>
      <c r="D78" s="754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</row>
    <row r="79" spans="3:17" x14ac:dyDescent="0.25">
      <c r="C79" s="805" t="s">
        <v>388</v>
      </c>
      <c r="D79" s="17" t="s">
        <v>389</v>
      </c>
      <c r="E79" s="66">
        <f>'[44]F9-Year(n-1)'!I79</f>
        <v>4.0544273674999998</v>
      </c>
      <c r="F79" s="66">
        <f>'[44]F9-Year(n-1)'!J79</f>
        <v>3.0483335715000002</v>
      </c>
      <c r="G79" s="66">
        <f>'[44]F9-Year(n-1)'!K79</f>
        <v>3.5725362980000002</v>
      </c>
      <c r="H79" s="66">
        <f>'[44]F9-Year(n-1)'!L79</f>
        <v>5.087589082</v>
      </c>
      <c r="I79" s="66">
        <f>'[44]F9-Year(n-1)'!M79</f>
        <v>3.691727701</v>
      </c>
      <c r="J79" s="66">
        <f>'[44]F9-Year(n-1)'!N79</f>
        <v>4.5401076775</v>
      </c>
      <c r="K79" s="66">
        <f>'[44]F9-Year(n-1)'!O79</f>
        <v>4.3574346790000007</v>
      </c>
      <c r="L79" s="66">
        <f>'[44]F9-Year(n-1)'!P79</f>
        <v>4.8229158185000003</v>
      </c>
      <c r="M79" s="66">
        <f>'[44]F9-Year(n-1)'!Q79</f>
        <v>5.0277274069999995</v>
      </c>
      <c r="N79" s="66">
        <f>'[44]F9-Year(n-1)'!R79</f>
        <v>5.0055662410000004</v>
      </c>
      <c r="O79" s="66">
        <f>'[44]F9-Year(n-1)'!S79</f>
        <v>3.404892566</v>
      </c>
      <c r="P79" s="66">
        <f>'[44]F9-Year(n-1)'!T79</f>
        <v>4.6959977794999999</v>
      </c>
      <c r="Q79" s="66">
        <f t="shared" ref="Q79:Q93" si="7">SUM(E79:P79)</f>
        <v>51.309256188499994</v>
      </c>
    </row>
    <row r="80" spans="3:17" x14ac:dyDescent="0.25">
      <c r="C80" s="806"/>
      <c r="D80" s="17" t="s">
        <v>390</v>
      </c>
      <c r="E80" s="66">
        <f>'[44]F9-Year(n-1)'!I80</f>
        <v>67.298399885000009</v>
      </c>
      <c r="F80" s="66">
        <f>'[44]F9-Year(n-1)'!J80</f>
        <v>69.867853460999996</v>
      </c>
      <c r="G80" s="66">
        <f>'[44]F9-Year(n-1)'!K80</f>
        <v>65.007279463499998</v>
      </c>
      <c r="H80" s="66">
        <f>'[44]F9-Year(n-1)'!L80</f>
        <v>69.737192744499993</v>
      </c>
      <c r="I80" s="66">
        <f>'[44]F9-Year(n-1)'!M80</f>
        <v>68.602831288000004</v>
      </c>
      <c r="J80" s="66">
        <f>'[44]F9-Year(n-1)'!N80</f>
        <v>53.883126194500001</v>
      </c>
      <c r="K80" s="66">
        <f>'[44]F9-Year(n-1)'!O80</f>
        <v>65.058123437500001</v>
      </c>
      <c r="L80" s="66">
        <f>'[44]F9-Year(n-1)'!P80</f>
        <v>61.435292750000002</v>
      </c>
      <c r="M80" s="66">
        <f>'[44]F9-Year(n-1)'!Q80</f>
        <v>49.516081194499996</v>
      </c>
      <c r="N80" s="66">
        <f>'[44]F9-Year(n-1)'!R80</f>
        <v>68.351243638500009</v>
      </c>
      <c r="O80" s="66">
        <f>'[44]F9-Year(n-1)'!S80</f>
        <v>60.530752857000003</v>
      </c>
      <c r="P80" s="66">
        <f>'[44]F9-Year(n-1)'!T80</f>
        <v>67.5678620825</v>
      </c>
      <c r="Q80" s="66">
        <f t="shared" si="7"/>
        <v>766.85603899650005</v>
      </c>
    </row>
    <row r="81" spans="3:17" x14ac:dyDescent="0.25">
      <c r="C81" s="806"/>
      <c r="D81" s="17" t="s">
        <v>391</v>
      </c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>
        <f t="shared" si="7"/>
        <v>0</v>
      </c>
    </row>
    <row r="82" spans="3:17" x14ac:dyDescent="0.25">
      <c r="C82" s="807"/>
      <c r="D82" s="17" t="s">
        <v>392</v>
      </c>
      <c r="E82" s="66"/>
      <c r="F82" s="66"/>
      <c r="G82" s="66">
        <f>'[44]F9-Year(n-1)'!K82</f>
        <v>23.595214685000002</v>
      </c>
      <c r="H82" s="66">
        <f>'[44]F9-Year(n-1)'!L82</f>
        <v>23.875466094</v>
      </c>
      <c r="I82" s="66">
        <f>'[44]F9-Year(n-1)'!M82</f>
        <v>25.048378892500001</v>
      </c>
      <c r="J82" s="66">
        <f>'[44]F9-Year(n-1)'!N82</f>
        <v>24.256203278999998</v>
      </c>
      <c r="K82" s="66">
        <f>'[44]F9-Year(n-1)'!O82</f>
        <v>25.132749637499998</v>
      </c>
      <c r="L82" s="66">
        <f>'[44]F9-Year(n-1)'!P82</f>
        <v>25.2506090565</v>
      </c>
      <c r="M82" s="66">
        <f>'[44]F9-Year(n-1)'!Q82</f>
        <v>26.258085632500002</v>
      </c>
      <c r="N82" s="66">
        <f>'[44]F9-Year(n-1)'!R82</f>
        <v>22.976038254000002</v>
      </c>
      <c r="O82" s="66">
        <f>'[44]F9-Year(n-1)'!S82</f>
        <v>24.404646122999999</v>
      </c>
      <c r="P82" s="66">
        <f>'[44]F9-Year(n-1)'!T82</f>
        <v>27.154740857500002</v>
      </c>
      <c r="Q82" s="66">
        <f t="shared" si="7"/>
        <v>247.95213251150003</v>
      </c>
    </row>
    <row r="83" spans="3:17" x14ac:dyDescent="0.25">
      <c r="C83" s="17"/>
      <c r="D83" s="17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>
        <f t="shared" si="7"/>
        <v>0</v>
      </c>
    </row>
    <row r="84" spans="3:17" x14ac:dyDescent="0.25">
      <c r="C84" s="17"/>
      <c r="D84" s="17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>
        <f t="shared" si="7"/>
        <v>0</v>
      </c>
    </row>
    <row r="85" spans="3:17" x14ac:dyDescent="0.25">
      <c r="C85" s="17"/>
      <c r="D85" s="17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>
        <f t="shared" si="7"/>
        <v>0</v>
      </c>
    </row>
    <row r="86" spans="3:17" x14ac:dyDescent="0.25">
      <c r="C86" s="17"/>
      <c r="D86" s="17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>
        <f t="shared" si="7"/>
        <v>0</v>
      </c>
    </row>
    <row r="87" spans="3:17" x14ac:dyDescent="0.25">
      <c r="C87" s="17"/>
      <c r="D87" s="17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>
        <f t="shared" si="7"/>
        <v>0</v>
      </c>
    </row>
    <row r="88" spans="3:17" x14ac:dyDescent="0.25">
      <c r="C88" s="17"/>
      <c r="D88" s="17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>
        <f t="shared" si="7"/>
        <v>0</v>
      </c>
    </row>
    <row r="89" spans="3:17" x14ac:dyDescent="0.25">
      <c r="C89" s="17"/>
      <c r="D89" s="17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>
        <f t="shared" si="7"/>
        <v>0</v>
      </c>
    </row>
    <row r="90" spans="3:17" x14ac:dyDescent="0.25">
      <c r="C90" s="17"/>
      <c r="D90" s="17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>
        <f t="shared" si="7"/>
        <v>0</v>
      </c>
    </row>
    <row r="91" spans="3:17" x14ac:dyDescent="0.25">
      <c r="C91" s="17"/>
      <c r="D91" s="17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>
        <f t="shared" si="7"/>
        <v>0</v>
      </c>
    </row>
    <row r="92" spans="3:17" x14ac:dyDescent="0.25">
      <c r="C92" s="17"/>
      <c r="D92" s="17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>
        <f t="shared" si="7"/>
        <v>0</v>
      </c>
    </row>
    <row r="93" spans="3:17" x14ac:dyDescent="0.25">
      <c r="C93" s="751" t="s">
        <v>212</v>
      </c>
      <c r="D93" s="752"/>
      <c r="E93" s="66">
        <f t="shared" ref="E93:P93" si="8">SUM(E79:E92)</f>
        <v>71.352827252500006</v>
      </c>
      <c r="F93" s="66">
        <f t="shared" si="8"/>
        <v>72.916187032499991</v>
      </c>
      <c r="G93" s="66">
        <f t="shared" si="8"/>
        <v>92.175030446500003</v>
      </c>
      <c r="H93" s="66">
        <f t="shared" si="8"/>
        <v>98.70024792049999</v>
      </c>
      <c r="I93" s="66">
        <f t="shared" si="8"/>
        <v>97.342937881500006</v>
      </c>
      <c r="J93" s="66">
        <f t="shared" si="8"/>
        <v>82.679437151000002</v>
      </c>
      <c r="K93" s="66">
        <f t="shared" si="8"/>
        <v>94.548307753999993</v>
      </c>
      <c r="L93" s="66">
        <f t="shared" si="8"/>
        <v>91.508817625000006</v>
      </c>
      <c r="M93" s="66">
        <f t="shared" si="8"/>
        <v>80.801894234000002</v>
      </c>
      <c r="N93" s="66">
        <f t="shared" si="8"/>
        <v>96.332848133500008</v>
      </c>
      <c r="O93" s="66">
        <f t="shared" si="8"/>
        <v>88.340291546000003</v>
      </c>
      <c r="P93" s="66">
        <f t="shared" si="8"/>
        <v>99.418600719500006</v>
      </c>
      <c r="Q93" s="86">
        <f t="shared" si="7"/>
        <v>1066.1174276965</v>
      </c>
    </row>
    <row r="94" spans="3:17" x14ac:dyDescent="0.25">
      <c r="C94" s="753" t="s">
        <v>394</v>
      </c>
      <c r="D94" s="754"/>
      <c r="E94" s="66">
        <f t="shared" ref="E94:Q94" si="9">E77+E93</f>
        <v>1056.2868298425001</v>
      </c>
      <c r="F94" s="66">
        <f t="shared" si="9"/>
        <v>1136.7391793880545</v>
      </c>
      <c r="G94" s="66">
        <f t="shared" si="9"/>
        <v>1050.6934788247661</v>
      </c>
      <c r="H94" s="66">
        <f t="shared" si="9"/>
        <v>928.96311231424579</v>
      </c>
      <c r="I94" s="66">
        <f t="shared" si="9"/>
        <v>870.83873140006358</v>
      </c>
      <c r="J94" s="66">
        <f t="shared" si="9"/>
        <v>782.70171021290741</v>
      </c>
      <c r="K94" s="66">
        <f t="shared" si="9"/>
        <v>483.11998902414103</v>
      </c>
      <c r="L94" s="66">
        <f t="shared" si="9"/>
        <v>505.31685228141203</v>
      </c>
      <c r="M94" s="66">
        <f t="shared" si="9"/>
        <v>853.42865984830144</v>
      </c>
      <c r="N94" s="66">
        <f t="shared" si="9"/>
        <v>1016.421474387885</v>
      </c>
      <c r="O94" s="66">
        <f t="shared" si="9"/>
        <v>1134.9366591174107</v>
      </c>
      <c r="P94" s="66">
        <f t="shared" si="9"/>
        <v>1202.1267656166488</v>
      </c>
      <c r="Q94" s="86">
        <f t="shared" si="9"/>
        <v>11021.573442258337</v>
      </c>
    </row>
    <row r="95" spans="3:17" x14ac:dyDescent="0.25">
      <c r="C95" s="800" t="s">
        <v>395</v>
      </c>
      <c r="D95" s="801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3:17" x14ac:dyDescent="0.25">
      <c r="C96" s="17" t="s">
        <v>396</v>
      </c>
      <c r="D96" s="17" t="s">
        <v>396</v>
      </c>
      <c r="E96" s="66">
        <f>'[44]F9-Year(n-1)'!I96</f>
        <v>266.24076103750002</v>
      </c>
      <c r="F96" s="66">
        <f>'[44]F9-Year(n-1)'!J96</f>
        <v>229.4338157615</v>
      </c>
      <c r="G96" s="66">
        <f>'[44]F9-Year(n-1)'!K96</f>
        <v>178.03891645875001</v>
      </c>
      <c r="H96" s="66">
        <f>'[44]F9-Year(n-1)'!L96</f>
        <v>261.09249472250002</v>
      </c>
      <c r="I96" s="66">
        <f>'[44]F9-Year(n-1)'!M96</f>
        <v>271.44340023749993</v>
      </c>
      <c r="J96" s="66">
        <f>'[44]F9-Year(n-1)'!N96</f>
        <v>206.8318124425</v>
      </c>
      <c r="K96" s="66">
        <f>'[44]F9-Year(n-1)'!O96</f>
        <v>176.1025450715</v>
      </c>
      <c r="L96" s="66">
        <f>'[44]F9-Year(n-1)'!P96</f>
        <v>247.83757306875</v>
      </c>
      <c r="M96" s="66">
        <f>'[44]F9-Year(n-1)'!Q96</f>
        <v>231.26201107</v>
      </c>
      <c r="N96" s="66">
        <f>'[44]F9-Year(n-1)'!R96</f>
        <v>239.49209892500002</v>
      </c>
      <c r="O96" s="66">
        <f>'[44]F9-Year(n-1)'!S96</f>
        <v>270.09585114375</v>
      </c>
      <c r="P96" s="66">
        <f>'[44]F9-Year(n-1)'!T96</f>
        <v>269.95541466650002</v>
      </c>
      <c r="Q96" s="66">
        <f t="shared" ref="Q96:Q103" si="10">SUM(E96:P96)</f>
        <v>2847.8266946057506</v>
      </c>
    </row>
    <row r="97" spans="3:17" x14ac:dyDescent="0.25">
      <c r="C97" s="17" t="s">
        <v>397</v>
      </c>
      <c r="D97" s="17" t="s">
        <v>397</v>
      </c>
      <c r="E97" s="66">
        <f>'[44]F9-Year(n-1)'!I97</f>
        <v>125.8569620615</v>
      </c>
      <c r="F97" s="66">
        <f>'[44]F9-Year(n-1)'!J97</f>
        <v>134.82357780650003</v>
      </c>
      <c r="G97" s="66">
        <f>'[44]F9-Year(n-1)'!K97</f>
        <v>85.606749252499995</v>
      </c>
      <c r="H97" s="66">
        <f>'[44]F9-Year(n-1)'!L97</f>
        <v>136.50467283750001</v>
      </c>
      <c r="I97" s="66">
        <f>'[44]F9-Year(n-1)'!M97</f>
        <v>141.0695104065</v>
      </c>
      <c r="J97" s="66">
        <f>'[44]F9-Year(n-1)'!N97</f>
        <v>123.576868605</v>
      </c>
      <c r="K97" s="66">
        <f>'[44]F9-Year(n-1)'!O97</f>
        <v>141.354339805</v>
      </c>
      <c r="L97" s="66">
        <f>'[44]F9-Year(n-1)'!P97</f>
        <v>126.18991925900001</v>
      </c>
      <c r="M97" s="66">
        <f>'[44]F9-Year(n-1)'!Q97</f>
        <v>133.04815530900001</v>
      </c>
      <c r="N97" s="66">
        <f>'[44]F9-Year(n-1)'!R97</f>
        <v>126.07214308900001</v>
      </c>
      <c r="O97" s="66">
        <f>'[44]F9-Year(n-1)'!S97</f>
        <v>127.67952254150001</v>
      </c>
      <c r="P97" s="66">
        <f>'[44]F9-Year(n-1)'!T97</f>
        <v>140.77733252000002</v>
      </c>
      <c r="Q97" s="66">
        <f t="shared" si="10"/>
        <v>1542.5597534930002</v>
      </c>
    </row>
    <row r="98" spans="3:17" x14ac:dyDescent="0.25">
      <c r="C98" s="17"/>
      <c r="D98" s="17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>
        <f t="shared" si="10"/>
        <v>0</v>
      </c>
    </row>
    <row r="99" spans="3:17" x14ac:dyDescent="0.25">
      <c r="C99" s="17"/>
      <c r="D99" s="17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>
        <f t="shared" si="10"/>
        <v>0</v>
      </c>
    </row>
    <row r="100" spans="3:17" x14ac:dyDescent="0.25">
      <c r="C100" s="17"/>
      <c r="D100" s="17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>
        <f t="shared" si="10"/>
        <v>0</v>
      </c>
    </row>
    <row r="101" spans="3:17" x14ac:dyDescent="0.25">
      <c r="C101" s="17"/>
      <c r="D101" s="17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>
        <f t="shared" si="10"/>
        <v>0</v>
      </c>
    </row>
    <row r="102" spans="3:17" x14ac:dyDescent="0.25">
      <c r="C102" s="17"/>
      <c r="D102" s="17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>
        <f t="shared" si="10"/>
        <v>0</v>
      </c>
    </row>
    <row r="103" spans="3:17" x14ac:dyDescent="0.25">
      <c r="C103" s="753" t="s">
        <v>398</v>
      </c>
      <c r="D103" s="754"/>
      <c r="E103" s="66">
        <f t="shared" ref="E103:P103" si="11">SUM(E96:E102)</f>
        <v>392.09772309900001</v>
      </c>
      <c r="F103" s="66">
        <f t="shared" si="11"/>
        <v>364.257393568</v>
      </c>
      <c r="G103" s="66">
        <f t="shared" si="11"/>
        <v>263.64566571124999</v>
      </c>
      <c r="H103" s="66">
        <f t="shared" si="11"/>
        <v>397.59716756</v>
      </c>
      <c r="I103" s="66">
        <f t="shared" si="11"/>
        <v>412.51291064399993</v>
      </c>
      <c r="J103" s="66">
        <f t="shared" si="11"/>
        <v>330.40868104750001</v>
      </c>
      <c r="K103" s="66">
        <f t="shared" si="11"/>
        <v>317.4568848765</v>
      </c>
      <c r="L103" s="66">
        <f t="shared" si="11"/>
        <v>374.02749232775</v>
      </c>
      <c r="M103" s="66">
        <f t="shared" si="11"/>
        <v>364.31016637900001</v>
      </c>
      <c r="N103" s="66">
        <f t="shared" si="11"/>
        <v>365.564242014</v>
      </c>
      <c r="O103" s="66">
        <f t="shared" si="11"/>
        <v>397.77537368524997</v>
      </c>
      <c r="P103" s="66">
        <f t="shared" si="11"/>
        <v>410.73274718650003</v>
      </c>
      <c r="Q103" s="86">
        <f t="shared" si="10"/>
        <v>4390.3864480987495</v>
      </c>
    </row>
    <row r="104" spans="3:17" x14ac:dyDescent="0.25">
      <c r="C104" s="800" t="s">
        <v>399</v>
      </c>
      <c r="D104" s="801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3:17" x14ac:dyDescent="0.25">
      <c r="C105" s="17" t="s">
        <v>400</v>
      </c>
      <c r="D105" s="17" t="s">
        <v>400</v>
      </c>
      <c r="E105" s="66">
        <f>'[44]F9-Year(n-1)'!I105</f>
        <v>545.83123999999998</v>
      </c>
      <c r="F105" s="66">
        <f>'[44]F9-Year(n-1)'!J105</f>
        <v>466.39758399999999</v>
      </c>
      <c r="G105" s="66">
        <f>'[44]F9-Year(n-1)'!K105</f>
        <v>507.25873300000001</v>
      </c>
      <c r="H105" s="66">
        <f>'[44]F9-Year(n-1)'!L105</f>
        <v>545.95540800000003</v>
      </c>
      <c r="I105" s="66">
        <f>'[44]F9-Year(n-1)'!M105</f>
        <v>507.5388165</v>
      </c>
      <c r="J105" s="66">
        <f>'[44]F9-Year(n-1)'!N105</f>
        <v>560.19098699999995</v>
      </c>
      <c r="K105" s="66">
        <f>'[44]F9-Year(n-1)'!O105</f>
        <v>543.55600249999998</v>
      </c>
      <c r="L105" s="66">
        <f>'[44]F9-Year(n-1)'!P105</f>
        <v>549.96194249999996</v>
      </c>
      <c r="M105" s="66">
        <f>'[44]F9-Year(n-1)'!Q105</f>
        <v>547.22036949999995</v>
      </c>
      <c r="N105" s="66">
        <f>'[44]F9-Year(n-1)'!R105</f>
        <v>556.86173250000002</v>
      </c>
      <c r="O105" s="66">
        <f>'[44]F9-Year(n-1)'!S105</f>
        <v>236.449736</v>
      </c>
      <c r="P105" s="66">
        <f>'[44]F9-Year(n-1)'!T105</f>
        <v>585.77594450000004</v>
      </c>
      <c r="Q105" s="66">
        <f t="shared" ref="Q105:Q113" si="12">SUM(E105:P105)</f>
        <v>6152.9984960000002</v>
      </c>
    </row>
    <row r="106" spans="3:17" x14ac:dyDescent="0.25">
      <c r="C106" s="17" t="s">
        <v>401</v>
      </c>
      <c r="D106" s="17" t="s">
        <v>401</v>
      </c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>
        <f t="shared" si="12"/>
        <v>0</v>
      </c>
    </row>
    <row r="107" spans="3:17" x14ac:dyDescent="0.25">
      <c r="C107" s="17" t="s">
        <v>402</v>
      </c>
      <c r="D107" s="17" t="s">
        <v>402</v>
      </c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>
        <f t="shared" si="12"/>
        <v>0</v>
      </c>
    </row>
    <row r="108" spans="3:17" x14ac:dyDescent="0.25">
      <c r="C108" s="17"/>
      <c r="D108" s="17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>
        <f t="shared" si="12"/>
        <v>0</v>
      </c>
    </row>
    <row r="109" spans="3:17" x14ac:dyDescent="0.25">
      <c r="C109" s="17"/>
      <c r="D109" s="17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>
        <f t="shared" si="12"/>
        <v>0</v>
      </c>
    </row>
    <row r="110" spans="3:17" x14ac:dyDescent="0.25">
      <c r="C110" s="17"/>
      <c r="D110" s="17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>
        <f t="shared" si="12"/>
        <v>0</v>
      </c>
    </row>
    <row r="111" spans="3:17" x14ac:dyDescent="0.25">
      <c r="C111" s="17"/>
      <c r="D111" s="17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>
        <f t="shared" si="12"/>
        <v>0</v>
      </c>
    </row>
    <row r="112" spans="3:17" x14ac:dyDescent="0.25">
      <c r="C112" s="17"/>
      <c r="D112" s="17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>
        <f t="shared" si="12"/>
        <v>0</v>
      </c>
    </row>
    <row r="113" spans="3:17" x14ac:dyDescent="0.25">
      <c r="C113" s="753" t="s">
        <v>403</v>
      </c>
      <c r="D113" s="754"/>
      <c r="E113" s="66">
        <f t="shared" ref="E113:P113" si="13">SUM(E105:E112)</f>
        <v>545.83123999999998</v>
      </c>
      <c r="F113" s="66">
        <f t="shared" si="13"/>
        <v>466.39758399999999</v>
      </c>
      <c r="G113" s="66">
        <f t="shared" si="13"/>
        <v>507.25873300000001</v>
      </c>
      <c r="H113" s="66">
        <f t="shared" si="13"/>
        <v>545.95540800000003</v>
      </c>
      <c r="I113" s="66">
        <f t="shared" si="13"/>
        <v>507.5388165</v>
      </c>
      <c r="J113" s="66">
        <f t="shared" si="13"/>
        <v>560.19098699999995</v>
      </c>
      <c r="K113" s="66">
        <f t="shared" si="13"/>
        <v>543.55600249999998</v>
      </c>
      <c r="L113" s="66">
        <f t="shared" si="13"/>
        <v>549.96194249999996</v>
      </c>
      <c r="M113" s="66">
        <f t="shared" si="13"/>
        <v>547.22036949999995</v>
      </c>
      <c r="N113" s="66">
        <f t="shared" si="13"/>
        <v>556.86173250000002</v>
      </c>
      <c r="O113" s="66">
        <f t="shared" si="13"/>
        <v>236.449736</v>
      </c>
      <c r="P113" s="66">
        <f t="shared" si="13"/>
        <v>585.77594450000004</v>
      </c>
      <c r="Q113" s="86">
        <f t="shared" si="12"/>
        <v>6152.9984960000002</v>
      </c>
    </row>
    <row r="114" spans="3:17" x14ac:dyDescent="0.25">
      <c r="C114" s="800" t="s">
        <v>404</v>
      </c>
      <c r="D114" s="801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3:17" x14ac:dyDescent="0.25">
      <c r="C115" s="17"/>
      <c r="D115" s="17" t="s">
        <v>405</v>
      </c>
      <c r="E115" s="66">
        <f>'[44]F9-Year(n-1)'!I115</f>
        <v>1.9339500000000001</v>
      </c>
      <c r="F115" s="66">
        <f>'[44]F9-Year(n-1)'!J115</f>
        <v>0.7757999999999956</v>
      </c>
      <c r="G115" s="66">
        <f>'[44]F9-Year(n-1)'!K115</f>
        <v>0</v>
      </c>
      <c r="H115" s="66">
        <f>'[44]F9-Year(n-1)'!L115</f>
        <v>0.87660000000000227</v>
      </c>
      <c r="I115" s="66">
        <f>'[44]F9-Year(n-1)'!M115</f>
        <v>0</v>
      </c>
      <c r="J115" s="66">
        <f>'[44]F9-Year(n-1)'!N115</f>
        <v>0</v>
      </c>
      <c r="K115" s="66">
        <f>'[44]F9-Year(n-1)'!O115</f>
        <v>0</v>
      </c>
      <c r="L115" s="66">
        <f>'[44]F9-Year(n-1)'!P115</f>
        <v>0</v>
      </c>
      <c r="M115" s="66">
        <f>'[44]F9-Year(n-1)'!Q115</f>
        <v>0</v>
      </c>
      <c r="N115" s="66">
        <f>'[44]F9-Year(n-1)'!R115</f>
        <v>0</v>
      </c>
      <c r="O115" s="66">
        <f>'[44]F9-Year(n-1)'!S115</f>
        <v>0</v>
      </c>
      <c r="P115" s="66">
        <f>'[44]F9-Year(n-1)'!T115</f>
        <v>0</v>
      </c>
      <c r="Q115" s="66">
        <f t="shared" ref="Q115:Q139" si="14">SUM(E115:P115)</f>
        <v>3.5863499999999977</v>
      </c>
    </row>
    <row r="116" spans="3:17" x14ac:dyDescent="0.25">
      <c r="C116" s="17"/>
      <c r="D116" s="17" t="s">
        <v>406</v>
      </c>
      <c r="E116" s="66">
        <f>'[44]F9-Year(n-1)'!I116</f>
        <v>0</v>
      </c>
      <c r="F116" s="66">
        <f>'[44]F9-Year(n-1)'!J116</f>
        <v>0</v>
      </c>
      <c r="G116" s="66">
        <f>'[44]F9-Year(n-1)'!K116</f>
        <v>0</v>
      </c>
      <c r="H116" s="66">
        <f>'[44]F9-Year(n-1)'!L116</f>
        <v>0</v>
      </c>
      <c r="I116" s="66">
        <f>'[44]F9-Year(n-1)'!M116</f>
        <v>0</v>
      </c>
      <c r="J116" s="66">
        <f>'[44]F9-Year(n-1)'!N116</f>
        <v>0</v>
      </c>
      <c r="K116" s="66">
        <f>'[44]F9-Year(n-1)'!O116</f>
        <v>0</v>
      </c>
      <c r="L116" s="66">
        <f>'[44]F9-Year(n-1)'!P116</f>
        <v>0</v>
      </c>
      <c r="M116" s="66">
        <f>'[44]F9-Year(n-1)'!Q116</f>
        <v>4.8519100000000002</v>
      </c>
      <c r="N116" s="66">
        <f>'[44]F9-Year(n-1)'!R116</f>
        <v>0</v>
      </c>
      <c r="O116" s="66">
        <f>'[44]F9-Year(n-1)'!S116</f>
        <v>0</v>
      </c>
      <c r="P116" s="66">
        <f>'[44]F9-Year(n-1)'!T116</f>
        <v>0</v>
      </c>
      <c r="Q116" s="66">
        <f t="shared" si="14"/>
        <v>4.8519100000000002</v>
      </c>
    </row>
    <row r="117" spans="3:17" x14ac:dyDescent="0.25">
      <c r="C117" s="17"/>
      <c r="D117" s="17" t="s">
        <v>407</v>
      </c>
      <c r="E117" s="66">
        <f>'[44]F9-Year(n-1)'!I117</f>
        <v>9.8330760000000001</v>
      </c>
      <c r="F117" s="66">
        <f>'[44]F9-Year(n-1)'!J117</f>
        <v>9.5158799999999992</v>
      </c>
      <c r="G117" s="66">
        <f>'[44]F9-Year(n-1)'!K117</f>
        <v>9.8330760000000001</v>
      </c>
      <c r="H117" s="66">
        <f>'[44]F9-Year(n-1)'!L117</f>
        <v>9.5158799999999992</v>
      </c>
      <c r="I117" s="66">
        <f>'[44]F9-Year(n-1)'!M117</f>
        <v>9.8542224000000012</v>
      </c>
      <c r="J117" s="66">
        <f>'[44]F9-Year(n-1)'!N117</f>
        <v>6.1347999999999887</v>
      </c>
      <c r="K117" s="66">
        <f>'[44]F9-Year(n-1)'!O117</f>
        <v>12.68784</v>
      </c>
      <c r="L117" s="66">
        <f>'[44]F9-Year(n-1)'!P117</f>
        <v>12.304861200000003</v>
      </c>
      <c r="M117" s="66">
        <f>'[44]F9-Year(n-1)'!Q117</f>
        <v>10.150271999999999</v>
      </c>
      <c r="N117" s="66">
        <f>'[44]F9-Year(n-1)'!R117</f>
        <v>10.488614999999999</v>
      </c>
      <c r="O117" s="66">
        <f>'[44]F9-Year(n-1)'!S117</f>
        <v>10.488614</v>
      </c>
      <c r="P117" s="66">
        <f>'[44]F9-Year(n-1)'!T117</f>
        <v>9.4735870000000002</v>
      </c>
      <c r="Q117" s="66">
        <f t="shared" si="14"/>
        <v>120.28072359999999</v>
      </c>
    </row>
    <row r="118" spans="3:17" x14ac:dyDescent="0.25">
      <c r="C118" s="17"/>
      <c r="D118" s="17" t="s">
        <v>408</v>
      </c>
      <c r="E118" s="66">
        <f>'[44]F9-Year(n-1)'!I118</f>
        <v>0</v>
      </c>
      <c r="F118" s="66">
        <f>'[44]F9-Year(n-1)'!J118</f>
        <v>0</v>
      </c>
      <c r="G118" s="66">
        <f>'[44]F9-Year(n-1)'!K118</f>
        <v>0</v>
      </c>
      <c r="H118" s="66">
        <f>'[44]F9-Year(n-1)'!L118</f>
        <v>0.83332000000000694</v>
      </c>
      <c r="I118" s="66">
        <f>'[44]F9-Year(n-1)'!M118</f>
        <v>0</v>
      </c>
      <c r="J118" s="66">
        <f>'[44]F9-Year(n-1)'!N118</f>
        <v>0</v>
      </c>
      <c r="K118" s="66">
        <f>'[44]F9-Year(n-1)'!O118</f>
        <v>0</v>
      </c>
      <c r="L118" s="66">
        <f>'[44]F9-Year(n-1)'!P118</f>
        <v>0</v>
      </c>
      <c r="M118" s="66">
        <f>'[44]F9-Year(n-1)'!Q118</f>
        <v>0</v>
      </c>
      <c r="N118" s="66">
        <f>'[44]F9-Year(n-1)'!R118</f>
        <v>0</v>
      </c>
      <c r="O118" s="66">
        <f>'[44]F9-Year(n-1)'!S118</f>
        <v>0</v>
      </c>
      <c r="P118" s="66">
        <f>'[44]F9-Year(n-1)'!T118</f>
        <v>0</v>
      </c>
      <c r="Q118" s="66">
        <f t="shared" si="14"/>
        <v>0.83332000000000694</v>
      </c>
    </row>
    <row r="119" spans="3:17" x14ac:dyDescent="0.25">
      <c r="C119" s="17"/>
      <c r="D119" s="17" t="s">
        <v>409</v>
      </c>
      <c r="E119" s="66">
        <f>'[44]F9-Year(n-1)'!I119</f>
        <v>14.949600000000071</v>
      </c>
      <c r="F119" s="66">
        <f>'[44]F9-Year(n-1)'!J119</f>
        <v>20.450700000000001</v>
      </c>
      <c r="G119" s="66">
        <f>'[44]F9-Year(n-1)'!K119</f>
        <v>29.6814</v>
      </c>
      <c r="H119" s="66">
        <f>'[44]F9-Year(n-1)'!L119</f>
        <v>22.305384480000004</v>
      </c>
      <c r="I119" s="66">
        <f>'[44]F9-Year(n-1)'!M119</f>
        <v>23.155674900000005</v>
      </c>
      <c r="J119" s="66">
        <f>'[44]F9-Year(n-1)'!N119</f>
        <v>22.177440000000001</v>
      </c>
      <c r="K119" s="66">
        <f>'[44]F9-Year(n-1)'!O119</f>
        <v>12.073099999999977</v>
      </c>
      <c r="L119" s="66">
        <f>'[44]F9-Year(n-1)'!P119</f>
        <v>18.849</v>
      </c>
      <c r="M119" s="66">
        <f>'[44]F9-Year(n-1)'!Q119</f>
        <v>19.716000000000005</v>
      </c>
      <c r="N119" s="66">
        <f>'[44]F9-Year(n-1)'!R119</f>
        <v>17.996100000000002</v>
      </c>
      <c r="O119" s="66">
        <f>'[44]F9-Year(n-1)'!S119</f>
        <v>18.558099999999992</v>
      </c>
      <c r="P119" s="66">
        <f>'[44]F9-Year(n-1)'!T119</f>
        <v>19.505700000000008</v>
      </c>
      <c r="Q119" s="66">
        <f t="shared" si="14"/>
        <v>239.41819938000009</v>
      </c>
    </row>
    <row r="120" spans="3:17" x14ac:dyDescent="0.25">
      <c r="C120" s="17"/>
      <c r="D120" s="17" t="s">
        <v>367</v>
      </c>
      <c r="E120" s="66">
        <f>'[44]F9-Year(n-1)'!I120</f>
        <v>0</v>
      </c>
      <c r="F120" s="66">
        <f>'[44]F9-Year(n-1)'!J120</f>
        <v>0</v>
      </c>
      <c r="G120" s="66">
        <f>'[44]F9-Year(n-1)'!K120</f>
        <v>0</v>
      </c>
      <c r="H120" s="66">
        <f>'[44]F9-Year(n-1)'!L120</f>
        <v>0</v>
      </c>
      <c r="I120" s="66">
        <f>'[44]F9-Year(n-1)'!M120</f>
        <v>0</v>
      </c>
      <c r="J120" s="66">
        <f>'[44]F9-Year(n-1)'!N120</f>
        <v>0</v>
      </c>
      <c r="K120" s="66">
        <f>'[44]F9-Year(n-1)'!O120</f>
        <v>0</v>
      </c>
      <c r="L120" s="66">
        <f>'[44]F9-Year(n-1)'!P120</f>
        <v>0</v>
      </c>
      <c r="M120" s="66">
        <f>'[44]F9-Year(n-1)'!Q120</f>
        <v>0</v>
      </c>
      <c r="N120" s="66">
        <f>'[44]F9-Year(n-1)'!R120</f>
        <v>0</v>
      </c>
      <c r="O120" s="66">
        <f>'[44]F9-Year(n-1)'!S120</f>
        <v>0</v>
      </c>
      <c r="P120" s="66">
        <f>'[44]F9-Year(n-1)'!T120</f>
        <v>0</v>
      </c>
      <c r="Q120" s="66">
        <f t="shared" si="14"/>
        <v>0</v>
      </c>
    </row>
    <row r="121" spans="3:17" x14ac:dyDescent="0.25">
      <c r="C121" s="17"/>
      <c r="D121" s="17" t="s">
        <v>410</v>
      </c>
      <c r="E121" s="66">
        <f>'[44]F9-Year(n-1)'!I121</f>
        <v>428.07366865000006</v>
      </c>
      <c r="F121" s="66">
        <f>'[44]F9-Year(n-1)'!J121</f>
        <v>305.12937732000006</v>
      </c>
      <c r="G121" s="66">
        <f>'[44]F9-Year(n-1)'!K121</f>
        <v>323.82634593000006</v>
      </c>
      <c r="H121" s="66">
        <f>'[44]F9-Year(n-1)'!L121</f>
        <v>204.20170647999993</v>
      </c>
      <c r="I121" s="66">
        <f>'[44]F9-Year(n-1)'!M121</f>
        <v>255.86228024000008</v>
      </c>
      <c r="J121" s="66">
        <f>'[44]F9-Year(n-1)'!N121</f>
        <v>264.09524637999988</v>
      </c>
      <c r="K121" s="66">
        <f>'[44]F9-Year(n-1)'!O121</f>
        <v>247.75901632000017</v>
      </c>
      <c r="L121" s="66">
        <f>'[44]F9-Year(n-1)'!P121</f>
        <v>307.29421326999989</v>
      </c>
      <c r="M121" s="66">
        <f>'[44]F9-Year(n-1)'!Q121</f>
        <v>261.79636560000006</v>
      </c>
      <c r="N121" s="66">
        <f>'[44]F9-Year(n-1)'!R121</f>
        <v>307.52076669999985</v>
      </c>
      <c r="O121" s="66">
        <f>'[44]F9-Year(n-1)'!S121</f>
        <v>367.49057372000004</v>
      </c>
      <c r="P121" s="66">
        <f>'[44]F9-Year(n-1)'!T121</f>
        <v>318.14222346000003</v>
      </c>
      <c r="Q121" s="66">
        <f t="shared" si="14"/>
        <v>3591.1917840700007</v>
      </c>
    </row>
    <row r="122" spans="3:17" x14ac:dyDescent="0.25">
      <c r="C122" s="17"/>
      <c r="D122" s="17" t="s">
        <v>411</v>
      </c>
      <c r="E122" s="66">
        <f>'[44]F9-Year(n-1)'!I122</f>
        <v>44.163556403000001</v>
      </c>
      <c r="F122" s="66">
        <f>'[44]F9-Year(n-1)'!J122</f>
        <v>56.906454729500005</v>
      </c>
      <c r="G122" s="66">
        <f>'[44]F9-Year(n-1)'!K122</f>
        <v>45.782666909500001</v>
      </c>
      <c r="H122" s="66">
        <f>'[44]F9-Year(n-1)'!L122</f>
        <v>50.528204193500002</v>
      </c>
      <c r="I122" s="66">
        <f>'[44]F9-Year(n-1)'!M122</f>
        <v>18.538054523499998</v>
      </c>
      <c r="J122" s="66">
        <f>'[44]F9-Year(n-1)'!N122</f>
        <v>51.175873653000004</v>
      </c>
      <c r="K122" s="66">
        <f>'[44]F9-Year(n-1)'!O122</f>
        <v>46.827175180499999</v>
      </c>
      <c r="L122" s="66">
        <f>'[44]F9-Year(n-1)'!P122</f>
        <v>42.785259150000002</v>
      </c>
      <c r="M122" s="66">
        <f>'[44]F9-Year(n-1)'!Q122</f>
        <v>53.9981368045</v>
      </c>
      <c r="N122" s="66">
        <f>'[44]F9-Year(n-1)'!R122</f>
        <v>42.239773605000003</v>
      </c>
      <c r="O122" s="66">
        <f>'[44]F9-Year(n-1)'!S122</f>
        <v>56.584573882000001</v>
      </c>
      <c r="P122" s="66">
        <f>'[44]F9-Year(n-1)'!T122</f>
        <v>68.009508609999997</v>
      </c>
      <c r="Q122" s="66">
        <f t="shared" si="14"/>
        <v>577.53923764399997</v>
      </c>
    </row>
    <row r="123" spans="3:17" x14ac:dyDescent="0.25">
      <c r="C123" s="17"/>
      <c r="D123" s="17" t="s">
        <v>412</v>
      </c>
      <c r="E123" s="66">
        <f>'[44]F9-Year(n-1)'!I123</f>
        <v>30.829588060000003</v>
      </c>
      <c r="F123" s="66">
        <f>'[44]F9-Year(n-1)'!J123</f>
        <v>32.291770321249999</v>
      </c>
      <c r="G123" s="66">
        <f>'[44]F9-Year(n-1)'!K123</f>
        <v>38.479774316250001</v>
      </c>
      <c r="H123" s="66">
        <f>'[44]F9-Year(n-1)'!L123</f>
        <v>38.452048166249995</v>
      </c>
      <c r="I123" s="66">
        <f>'[44]F9-Year(n-1)'!M123</f>
        <v>69.289446111250001</v>
      </c>
      <c r="J123" s="66">
        <f>'[44]F9-Year(n-1)'!N123</f>
        <v>90.859174176500005</v>
      </c>
      <c r="K123" s="66">
        <f>'[44]F9-Year(n-1)'!O123</f>
        <v>104.91954225149999</v>
      </c>
      <c r="L123" s="66">
        <f>'[44]F9-Year(n-1)'!P123</f>
        <v>95.55883209000001</v>
      </c>
      <c r="M123" s="66">
        <f>'[44]F9-Year(n-1)'!Q123</f>
        <v>134.82943416200001</v>
      </c>
      <c r="N123" s="66">
        <f>'[44]F9-Year(n-1)'!R123</f>
        <v>182.8097349825</v>
      </c>
      <c r="O123" s="66">
        <f>'[44]F9-Year(n-1)'!S123</f>
        <v>187.2998756225</v>
      </c>
      <c r="P123" s="66">
        <f>'[44]F9-Year(n-1)'!T123</f>
        <v>9.3899460814999998</v>
      </c>
      <c r="Q123" s="66">
        <f t="shared" si="14"/>
        <v>1015.0091663415001</v>
      </c>
    </row>
    <row r="124" spans="3:17" x14ac:dyDescent="0.25">
      <c r="C124" s="17"/>
      <c r="D124" s="17" t="s">
        <v>413</v>
      </c>
      <c r="E124" s="66">
        <f>'[44]F9-Year(n-1)'!I124</f>
        <v>36.896367753750006</v>
      </c>
      <c r="F124" s="66">
        <f>'[44]F9-Year(n-1)'!J124</f>
        <v>38.478383423000004</v>
      </c>
      <c r="G124" s="66">
        <f>'[44]F9-Year(n-1)'!K124</f>
        <v>33.124066308750002</v>
      </c>
      <c r="H124" s="66">
        <f>'[44]F9-Year(n-1)'!L124</f>
        <v>30.362137870000002</v>
      </c>
      <c r="I124" s="66">
        <f>'[44]F9-Year(n-1)'!M124</f>
        <v>33.239923871500004</v>
      </c>
      <c r="J124" s="66">
        <f>'[44]F9-Year(n-1)'!N124</f>
        <v>39.742106064999994</v>
      </c>
      <c r="K124" s="66">
        <f>'[44]F9-Year(n-1)'!O124</f>
        <v>40.817191411499998</v>
      </c>
      <c r="L124" s="66">
        <f>'[44]F9-Year(n-1)'!P124</f>
        <v>34.124770437499997</v>
      </c>
      <c r="M124" s="66">
        <f>'[44]F9-Year(n-1)'!Q124</f>
        <v>34.508437564000005</v>
      </c>
      <c r="N124" s="66">
        <f>'[44]F9-Year(n-1)'!R124</f>
        <v>37.728552624999999</v>
      </c>
      <c r="O124" s="66">
        <f>'[44]F9-Year(n-1)'!S124</f>
        <v>35.839574611250001</v>
      </c>
      <c r="P124" s="66">
        <f>'[44]F9-Year(n-1)'!T124</f>
        <v>40.55002879125</v>
      </c>
      <c r="Q124" s="66">
        <f t="shared" si="14"/>
        <v>435.41154073250004</v>
      </c>
    </row>
    <row r="125" spans="3:17" x14ac:dyDescent="0.25">
      <c r="C125" s="17"/>
      <c r="D125" s="17" t="s">
        <v>414</v>
      </c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>
        <f t="shared" si="14"/>
        <v>0</v>
      </c>
    </row>
    <row r="126" spans="3:17" x14ac:dyDescent="0.25">
      <c r="C126" s="17"/>
      <c r="D126" s="17" t="s">
        <v>415</v>
      </c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>
        <f t="shared" si="14"/>
        <v>0</v>
      </c>
    </row>
    <row r="127" spans="3:17" x14ac:dyDescent="0.25">
      <c r="C127" s="17"/>
      <c r="D127" s="17" t="s">
        <v>416</v>
      </c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>
        <f t="shared" si="14"/>
        <v>0</v>
      </c>
    </row>
    <row r="128" spans="3:17" x14ac:dyDescent="0.25">
      <c r="C128" s="17"/>
      <c r="D128" s="17" t="s">
        <v>417</v>
      </c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>
        <f t="shared" si="14"/>
        <v>0</v>
      </c>
    </row>
    <row r="129" spans="3:17" x14ac:dyDescent="0.25">
      <c r="C129" s="17"/>
      <c r="D129" s="114" t="s">
        <v>418</v>
      </c>
      <c r="E129" s="66">
        <f>'[44]F9-Year(n-1)'!I129</f>
        <v>2.6915354124999999</v>
      </c>
      <c r="F129" s="66">
        <f>'[44]F9-Year(n-1)'!J129</f>
        <v>2.2607676949999997</v>
      </c>
      <c r="G129" s="66">
        <f>'[44]F9-Year(n-1)'!K129</f>
        <v>2.7854360515000001</v>
      </c>
      <c r="H129" s="66">
        <f>'[44]F9-Year(n-1)'!L129</f>
        <v>1.0050037985</v>
      </c>
      <c r="I129" s="66">
        <f>'[44]F9-Year(n-1)'!M129</f>
        <v>1.7829120855</v>
      </c>
      <c r="J129" s="66">
        <f>'[44]F9-Year(n-1)'!N129</f>
        <v>2.0323095102500002</v>
      </c>
      <c r="K129" s="66">
        <f>'[44]F9-Year(n-1)'!O129</f>
        <v>1.6080796612500001</v>
      </c>
      <c r="L129" s="66">
        <f>'[44]F9-Year(n-1)'!P129</f>
        <v>1.9714880024999999</v>
      </c>
      <c r="M129" s="66">
        <f>'[44]F9-Year(n-1)'!Q129</f>
        <v>1.5845441812500001</v>
      </c>
      <c r="N129" s="66">
        <f>'[44]F9-Year(n-1)'!R129</f>
        <v>3.8665477790000002</v>
      </c>
      <c r="O129" s="66">
        <f>'[44]F9-Year(n-1)'!S129</f>
        <v>3.555951404</v>
      </c>
      <c r="P129" s="66">
        <f>'[44]F9-Year(n-1)'!T129</f>
        <v>4.0431167915000001</v>
      </c>
      <c r="Q129" s="66">
        <f t="shared" si="14"/>
        <v>29.187692372750003</v>
      </c>
    </row>
    <row r="130" spans="3:17" x14ac:dyDescent="0.25">
      <c r="C130" s="17"/>
      <c r="D130" s="114" t="s">
        <v>419</v>
      </c>
      <c r="E130" s="66">
        <f>'[44]F9-Year(n-1)'!I130</f>
        <v>0</v>
      </c>
      <c r="F130" s="66">
        <f>'[44]F9-Year(n-1)'!J130</f>
        <v>0</v>
      </c>
      <c r="G130" s="66">
        <f>'[44]F9-Year(n-1)'!K130</f>
        <v>0</v>
      </c>
      <c r="H130" s="66">
        <f>'[44]F9-Year(n-1)'!L130</f>
        <v>0</v>
      </c>
      <c r="I130" s="66">
        <f>'[44]F9-Year(n-1)'!M130</f>
        <v>0</v>
      </c>
      <c r="J130" s="66">
        <f>'[44]F9-Year(n-1)'!N130</f>
        <v>0</v>
      </c>
      <c r="K130" s="66">
        <f>'[44]F9-Year(n-1)'!O130</f>
        <v>0</v>
      </c>
      <c r="L130" s="66">
        <f>'[44]F9-Year(n-1)'!P130</f>
        <v>0</v>
      </c>
      <c r="M130" s="66">
        <f>'[44]F9-Year(n-1)'!Q130</f>
        <v>0</v>
      </c>
      <c r="N130" s="66">
        <f>'[44]F9-Year(n-1)'!R130</f>
        <v>0</v>
      </c>
      <c r="O130" s="66">
        <f>'[44]F9-Year(n-1)'!S130</f>
        <v>0</v>
      </c>
      <c r="P130" s="66">
        <f>'[44]F9-Year(n-1)'!T130</f>
        <v>0</v>
      </c>
      <c r="Q130" s="66">
        <f t="shared" si="14"/>
        <v>0</v>
      </c>
    </row>
    <row r="131" spans="3:17" x14ac:dyDescent="0.25">
      <c r="C131" s="17"/>
      <c r="D131" s="17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>
        <f t="shared" si="14"/>
        <v>0</v>
      </c>
    </row>
    <row r="132" spans="3:17" x14ac:dyDescent="0.25">
      <c r="C132" s="17"/>
      <c r="D132" s="17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>
        <f t="shared" si="14"/>
        <v>0</v>
      </c>
    </row>
    <row r="133" spans="3:17" x14ac:dyDescent="0.25">
      <c r="C133" s="17"/>
      <c r="D133" s="17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>
        <f t="shared" si="14"/>
        <v>0</v>
      </c>
    </row>
    <row r="134" spans="3:17" x14ac:dyDescent="0.25">
      <c r="C134" s="17"/>
      <c r="D134" s="17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>
        <f t="shared" si="14"/>
        <v>0</v>
      </c>
    </row>
    <row r="135" spans="3:17" x14ac:dyDescent="0.25">
      <c r="C135" s="17"/>
      <c r="D135" s="17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>
        <f t="shared" si="14"/>
        <v>0</v>
      </c>
    </row>
    <row r="136" spans="3:17" x14ac:dyDescent="0.25">
      <c r="C136" s="17"/>
      <c r="D136" s="17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>
        <f t="shared" si="14"/>
        <v>0</v>
      </c>
    </row>
    <row r="137" spans="3:17" x14ac:dyDescent="0.25">
      <c r="C137" s="17"/>
      <c r="D137" s="17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>
        <f t="shared" si="14"/>
        <v>0</v>
      </c>
    </row>
    <row r="138" spans="3:17" x14ac:dyDescent="0.25">
      <c r="C138" s="17"/>
      <c r="D138" s="17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>
        <f t="shared" si="14"/>
        <v>0</v>
      </c>
    </row>
    <row r="139" spans="3:17" x14ac:dyDescent="0.25">
      <c r="C139" s="753" t="s">
        <v>420</v>
      </c>
      <c r="D139" s="754"/>
      <c r="E139" s="66">
        <f t="shared" ref="E139:P139" si="15">SUM(E115:E138)</f>
        <v>569.37134227925014</v>
      </c>
      <c r="F139" s="66">
        <f t="shared" si="15"/>
        <v>465.80913348875009</v>
      </c>
      <c r="G139" s="66">
        <f t="shared" si="15"/>
        <v>483.51276551600006</v>
      </c>
      <c r="H139" s="66">
        <f t="shared" si="15"/>
        <v>358.08028498824996</v>
      </c>
      <c r="I139" s="66">
        <f t="shared" si="15"/>
        <v>411.72251413175013</v>
      </c>
      <c r="J139" s="66">
        <f t="shared" si="15"/>
        <v>476.21694978474983</v>
      </c>
      <c r="K139" s="66">
        <f t="shared" si="15"/>
        <v>466.69194482475007</v>
      </c>
      <c r="L139" s="66">
        <f t="shared" si="15"/>
        <v>512.88842414999988</v>
      </c>
      <c r="M139" s="66">
        <f t="shared" si="15"/>
        <v>521.43510031175003</v>
      </c>
      <c r="N139" s="66">
        <f t="shared" si="15"/>
        <v>602.65009069149983</v>
      </c>
      <c r="O139" s="66">
        <f t="shared" si="15"/>
        <v>679.81726323974999</v>
      </c>
      <c r="P139" s="66">
        <f t="shared" si="15"/>
        <v>469.11411073425</v>
      </c>
      <c r="Q139" s="86">
        <f t="shared" si="14"/>
        <v>6017.3099241407499</v>
      </c>
    </row>
    <row r="140" spans="3:17" x14ac:dyDescent="0.25">
      <c r="C140" s="800" t="s">
        <v>421</v>
      </c>
      <c r="D140" s="801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</row>
    <row r="141" spans="3:17" x14ac:dyDescent="0.25">
      <c r="C141" s="17"/>
      <c r="D141" s="17" t="s">
        <v>422</v>
      </c>
      <c r="E141" s="66">
        <f>'[44]F9-Year(n-1)'!I141</f>
        <v>1544.7334324999999</v>
      </c>
      <c r="F141" s="66">
        <f>'[44]F9-Year(n-1)'!J141</f>
        <v>247.02434</v>
      </c>
      <c r="G141" s="66">
        <f>'[44]F9-Year(n-1)'!K141</f>
        <v>196.17509749999999</v>
      </c>
      <c r="H141" s="66">
        <f>'[44]F9-Year(n-1)'!L141</f>
        <v>500.41859499999998</v>
      </c>
      <c r="I141" s="66">
        <f>'[44]F9-Year(n-1)'!M141</f>
        <v>728.55768999999998</v>
      </c>
      <c r="J141" s="66">
        <f>'[44]F9-Year(n-1)'!N141</f>
        <v>748.14737500000001</v>
      </c>
      <c r="K141" s="66">
        <f>'[44]F9-Year(n-1)'!O141</f>
        <v>151.97303149999999</v>
      </c>
      <c r="L141" s="66">
        <f>'[44]F9-Year(n-1)'!P141</f>
        <v>34.820632500000002</v>
      </c>
      <c r="M141" s="66">
        <f>'[44]F9-Year(n-1)'!Q141</f>
        <v>604.37437</v>
      </c>
      <c r="N141" s="66">
        <f>'[44]F9-Year(n-1)'!R141</f>
        <v>1051.7168675</v>
      </c>
      <c r="O141" s="66">
        <f>'[44]F9-Year(n-1)'!S141</f>
        <v>1519.8058424999999</v>
      </c>
      <c r="P141" s="66">
        <f>'[44]F9-Year(n-1)'!T141</f>
        <v>2076.6504799999998</v>
      </c>
      <c r="Q141" s="66">
        <f t="shared" ref="Q141:Q152" si="16">SUM(E141:P141)</f>
        <v>9404.3977539999996</v>
      </c>
    </row>
    <row r="142" spans="3:17" x14ac:dyDescent="0.25">
      <c r="C142" s="17"/>
      <c r="D142" s="17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>
        <f t="shared" si="16"/>
        <v>0</v>
      </c>
    </row>
    <row r="143" spans="3:17" x14ac:dyDescent="0.25">
      <c r="C143" s="17"/>
      <c r="D143" s="17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>
        <f t="shared" si="16"/>
        <v>0</v>
      </c>
    </row>
    <row r="144" spans="3:17" x14ac:dyDescent="0.25">
      <c r="C144" s="17"/>
      <c r="D144" s="17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>
        <f t="shared" si="16"/>
        <v>0</v>
      </c>
    </row>
    <row r="145" spans="3:17" x14ac:dyDescent="0.25">
      <c r="C145" s="17"/>
      <c r="D145" s="17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>
        <f t="shared" si="16"/>
        <v>0</v>
      </c>
    </row>
    <row r="146" spans="3:17" x14ac:dyDescent="0.25">
      <c r="C146" s="17"/>
      <c r="D146" s="17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>
        <f t="shared" si="16"/>
        <v>0</v>
      </c>
    </row>
    <row r="147" spans="3:17" x14ac:dyDescent="0.25">
      <c r="C147" s="17"/>
      <c r="D147" s="17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>
        <f t="shared" si="16"/>
        <v>0</v>
      </c>
    </row>
    <row r="148" spans="3:17" x14ac:dyDescent="0.25">
      <c r="C148" s="17"/>
      <c r="D148" s="17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>
        <f t="shared" si="16"/>
        <v>0</v>
      </c>
    </row>
    <row r="149" spans="3:17" x14ac:dyDescent="0.25">
      <c r="C149" s="17"/>
      <c r="D149" s="17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>
        <f t="shared" si="16"/>
        <v>0</v>
      </c>
    </row>
    <row r="150" spans="3:17" x14ac:dyDescent="0.25">
      <c r="C150" s="17"/>
      <c r="D150" s="17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>
        <f t="shared" si="16"/>
        <v>0</v>
      </c>
    </row>
    <row r="151" spans="3:17" x14ac:dyDescent="0.25">
      <c r="C151" s="17"/>
      <c r="D151" s="17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>
        <f t="shared" si="16"/>
        <v>0</v>
      </c>
    </row>
    <row r="152" spans="3:17" x14ac:dyDescent="0.25">
      <c r="C152" s="753" t="s">
        <v>423</v>
      </c>
      <c r="D152" s="754"/>
      <c r="E152" s="66">
        <f t="shared" ref="E152:P152" si="17">SUM(E141:E151)</f>
        <v>1544.7334324999999</v>
      </c>
      <c r="F152" s="66">
        <f t="shared" si="17"/>
        <v>247.02434</v>
      </c>
      <c r="G152" s="66">
        <f t="shared" si="17"/>
        <v>196.17509749999999</v>
      </c>
      <c r="H152" s="66">
        <f t="shared" si="17"/>
        <v>500.41859499999998</v>
      </c>
      <c r="I152" s="66">
        <f t="shared" si="17"/>
        <v>728.55768999999998</v>
      </c>
      <c r="J152" s="66">
        <f t="shared" si="17"/>
        <v>748.14737500000001</v>
      </c>
      <c r="K152" s="66">
        <f t="shared" si="17"/>
        <v>151.97303149999999</v>
      </c>
      <c r="L152" s="66">
        <f t="shared" si="17"/>
        <v>34.820632500000002</v>
      </c>
      <c r="M152" s="66">
        <f t="shared" si="17"/>
        <v>604.37437</v>
      </c>
      <c r="N152" s="66">
        <f t="shared" si="17"/>
        <v>1051.7168675</v>
      </c>
      <c r="O152" s="66">
        <f t="shared" si="17"/>
        <v>1519.8058424999999</v>
      </c>
      <c r="P152" s="66">
        <f t="shared" si="17"/>
        <v>2076.6504799999998</v>
      </c>
      <c r="Q152" s="86">
        <f t="shared" si="16"/>
        <v>9404.3977539999996</v>
      </c>
    </row>
    <row r="153" spans="3:17" x14ac:dyDescent="0.25">
      <c r="C153" s="800" t="s">
        <v>424</v>
      </c>
      <c r="D153" s="801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</row>
    <row r="154" spans="3:17" x14ac:dyDescent="0.25">
      <c r="C154" s="17" t="s">
        <v>425</v>
      </c>
      <c r="D154" s="17" t="s">
        <v>426</v>
      </c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>
        <f>SUM(E154:P154)</f>
        <v>0</v>
      </c>
    </row>
    <row r="155" spans="3:17" x14ac:dyDescent="0.25">
      <c r="C155" s="17" t="s">
        <v>425</v>
      </c>
      <c r="D155" s="17" t="s">
        <v>427</v>
      </c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>
        <f>SUM(E155:P155)</f>
        <v>0</v>
      </c>
    </row>
    <row r="156" spans="3:17" x14ac:dyDescent="0.25">
      <c r="C156" s="116"/>
      <c r="D156" s="117" t="s">
        <v>463</v>
      </c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3:17" x14ac:dyDescent="0.25">
      <c r="C157" s="753" t="s">
        <v>428</v>
      </c>
      <c r="D157" s="754"/>
      <c r="E157" s="66">
        <f t="shared" ref="E157:P157" si="18">SUM(E154:E155)</f>
        <v>0</v>
      </c>
      <c r="F157" s="66">
        <f t="shared" si="18"/>
        <v>0</v>
      </c>
      <c r="G157" s="66">
        <f t="shared" si="18"/>
        <v>0</v>
      </c>
      <c r="H157" s="66">
        <f t="shared" si="18"/>
        <v>0</v>
      </c>
      <c r="I157" s="66">
        <f t="shared" si="18"/>
        <v>0</v>
      </c>
      <c r="J157" s="66">
        <f t="shared" si="18"/>
        <v>0</v>
      </c>
      <c r="K157" s="66">
        <f t="shared" si="18"/>
        <v>0</v>
      </c>
      <c r="L157" s="66">
        <f t="shared" si="18"/>
        <v>0</v>
      </c>
      <c r="M157" s="66">
        <f t="shared" si="18"/>
        <v>0</v>
      </c>
      <c r="N157" s="66">
        <f t="shared" si="18"/>
        <v>0</v>
      </c>
      <c r="O157" s="66">
        <f t="shared" si="18"/>
        <v>0</v>
      </c>
      <c r="P157" s="66">
        <f t="shared" si="18"/>
        <v>0</v>
      </c>
      <c r="Q157" s="86">
        <f>Q154-Q155</f>
        <v>0</v>
      </c>
    </row>
    <row r="158" spans="3:17" x14ac:dyDescent="0.25">
      <c r="C158" s="753" t="s">
        <v>220</v>
      </c>
      <c r="D158" s="754"/>
      <c r="E158" s="66">
        <f t="shared" ref="E158:Q158" si="19">E49+E94+E103+E113+E139+E152+E157</f>
        <v>4108.3205677207498</v>
      </c>
      <c r="F158" s="66">
        <f t="shared" si="19"/>
        <v>2680.2276304448046</v>
      </c>
      <c r="G158" s="66">
        <f t="shared" si="19"/>
        <v>2501.2857405520163</v>
      </c>
      <c r="H158" s="66">
        <f t="shared" si="19"/>
        <v>2731.0145678624958</v>
      </c>
      <c r="I158" s="66">
        <f t="shared" si="19"/>
        <v>2931.1706626758137</v>
      </c>
      <c r="J158" s="66">
        <f t="shared" si="19"/>
        <v>2897.665703045157</v>
      </c>
      <c r="K158" s="66">
        <f t="shared" si="19"/>
        <v>1962.7978527253911</v>
      </c>
      <c r="L158" s="66">
        <f t="shared" si="19"/>
        <v>1977.0153437591621</v>
      </c>
      <c r="M158" s="66">
        <f t="shared" si="19"/>
        <v>2890.7686660390514</v>
      </c>
      <c r="N158" s="66">
        <f t="shared" si="19"/>
        <v>3593.2144070933846</v>
      </c>
      <c r="O158" s="66">
        <f t="shared" si="19"/>
        <v>3968.7848745424108</v>
      </c>
      <c r="P158" s="66">
        <f t="shared" si="19"/>
        <v>4744.4000480373988</v>
      </c>
      <c r="Q158" s="86">
        <f t="shared" si="19"/>
        <v>36986.66606449784</v>
      </c>
    </row>
    <row r="161" spans="4:5" x14ac:dyDescent="0.25">
      <c r="D161" s="22"/>
      <c r="E161" s="22"/>
    </row>
    <row r="162" spans="4:5" x14ac:dyDescent="0.25">
      <c r="D162" s="24"/>
      <c r="E162" s="24"/>
    </row>
    <row r="163" spans="4:5" x14ac:dyDescent="0.25">
      <c r="E163" s="24"/>
    </row>
    <row r="164" spans="4:5" x14ac:dyDescent="0.25">
      <c r="E164" s="24"/>
    </row>
  </sheetData>
  <mergeCells count="32">
    <mergeCell ref="C104:D104"/>
    <mergeCell ref="E6:Q6"/>
    <mergeCell ref="C9:D9"/>
    <mergeCell ref="C10:C27"/>
    <mergeCell ref="C48:D48"/>
    <mergeCell ref="C49:D49"/>
    <mergeCell ref="C28:D28"/>
    <mergeCell ref="C29:D29"/>
    <mergeCell ref="C8:D8"/>
    <mergeCell ref="C6:C7"/>
    <mergeCell ref="D6:D7"/>
    <mergeCell ref="C94:D94"/>
    <mergeCell ref="C50:D50"/>
    <mergeCell ref="C51:D51"/>
    <mergeCell ref="C52:C60"/>
    <mergeCell ref="C30:C47"/>
    <mergeCell ref="C2:P2"/>
    <mergeCell ref="C3:Q3"/>
    <mergeCell ref="C158:D158"/>
    <mergeCell ref="C139:D139"/>
    <mergeCell ref="C140:D140"/>
    <mergeCell ref="C152:D152"/>
    <mergeCell ref="C153:D153"/>
    <mergeCell ref="C157:D157"/>
    <mergeCell ref="C95:D95"/>
    <mergeCell ref="C103:D103"/>
    <mergeCell ref="C113:D113"/>
    <mergeCell ref="C114:D114"/>
    <mergeCell ref="C77:D77"/>
    <mergeCell ref="C78:D78"/>
    <mergeCell ref="C79:C82"/>
    <mergeCell ref="C93:D9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Q165"/>
  <sheetViews>
    <sheetView showGridLines="0" topLeftCell="C1" zoomScale="74" workbookViewId="0">
      <pane xSplit="2" ySplit="7" topLeftCell="E41" activePane="bottomRight" state="frozen"/>
      <selection activeCell="N30" sqref="N30"/>
      <selection pane="topRight" activeCell="N30" sqref="N30"/>
      <selection pane="bottomLeft" activeCell="N30" sqref="N30"/>
      <selection pane="bottomRight" activeCell="N30" sqref="N30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2.88671875" style="4" customWidth="1"/>
    <col min="5" max="5" width="13.88671875" style="4" bestFit="1" customWidth="1"/>
    <col min="6" max="6" width="13.109375" style="4" bestFit="1" customWidth="1"/>
    <col min="7" max="7" width="13.5546875" style="4" bestFit="1" customWidth="1"/>
    <col min="8" max="8" width="13.88671875" style="4" bestFit="1" customWidth="1"/>
    <col min="9" max="9" width="13.109375" style="4" bestFit="1" customWidth="1"/>
    <col min="10" max="10" width="14.88671875" style="4" customWidth="1"/>
    <col min="11" max="11" width="12.5546875" style="4" customWidth="1"/>
    <col min="12" max="12" width="13.109375" style="4" bestFit="1" customWidth="1"/>
    <col min="13" max="13" width="14" style="4" bestFit="1" customWidth="1"/>
    <col min="14" max="16" width="13.109375" style="4" bestFit="1" customWidth="1"/>
    <col min="17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296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7" ht="14.25" customHeight="1" x14ac:dyDescent="0.25">
      <c r="C3" s="826" t="s">
        <v>466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</row>
    <row r="4" spans="2:17" x14ac:dyDescent="0.25">
      <c r="C4" s="14"/>
      <c r="Q4" s="25" t="s">
        <v>229</v>
      </c>
    </row>
    <row r="5" spans="2:17" x14ac:dyDescent="0.25">
      <c r="C5" s="762" t="s">
        <v>346</v>
      </c>
      <c r="D5" s="762" t="s">
        <v>347</v>
      </c>
      <c r="E5" s="768" t="s">
        <v>300</v>
      </c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</row>
    <row r="6" spans="2:17" x14ac:dyDescent="0.25">
      <c r="C6" s="764"/>
      <c r="D6" s="764"/>
      <c r="E6" s="13" t="s">
        <v>239</v>
      </c>
      <c r="F6" s="13" t="s">
        <v>240</v>
      </c>
      <c r="G6" s="13" t="s">
        <v>241</v>
      </c>
      <c r="H6" s="13" t="s">
        <v>242</v>
      </c>
      <c r="I6" s="13" t="s">
        <v>243</v>
      </c>
      <c r="J6" s="13" t="s">
        <v>244</v>
      </c>
      <c r="K6" s="13" t="s">
        <v>245</v>
      </c>
      <c r="L6" s="13" t="s">
        <v>246</v>
      </c>
      <c r="M6" s="13" t="s">
        <v>247</v>
      </c>
      <c r="N6" s="13" t="s">
        <v>248</v>
      </c>
      <c r="O6" s="13" t="s">
        <v>249</v>
      </c>
      <c r="P6" s="13" t="s">
        <v>250</v>
      </c>
      <c r="Q6" s="13" t="s">
        <v>251</v>
      </c>
    </row>
    <row r="7" spans="2:17" x14ac:dyDescent="0.25">
      <c r="C7" s="766"/>
      <c r="D7" s="766"/>
      <c r="E7" s="13" t="s">
        <v>24</v>
      </c>
      <c r="F7" s="13" t="s">
        <v>24</v>
      </c>
      <c r="G7" s="13" t="s">
        <v>24</v>
      </c>
      <c r="H7" s="13" t="s">
        <v>24</v>
      </c>
      <c r="I7" s="13" t="s">
        <v>24</v>
      </c>
      <c r="J7" s="13" t="s">
        <v>24</v>
      </c>
      <c r="K7" s="13" t="s">
        <v>24</v>
      </c>
      <c r="L7" s="13" t="s">
        <v>24</v>
      </c>
      <c r="M7" s="13" t="s">
        <v>24</v>
      </c>
      <c r="N7" s="13" t="s">
        <v>24</v>
      </c>
      <c r="O7" s="13" t="s">
        <v>24</v>
      </c>
      <c r="P7" s="13" t="s">
        <v>24</v>
      </c>
      <c r="Q7" s="13" t="s">
        <v>24</v>
      </c>
    </row>
    <row r="8" spans="2:17" x14ac:dyDescent="0.25">
      <c r="B8" s="60"/>
      <c r="C8" s="800" t="s">
        <v>348</v>
      </c>
      <c r="D8" s="801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2:17" x14ac:dyDescent="0.25">
      <c r="C9" s="753" t="s">
        <v>349</v>
      </c>
      <c r="D9" s="754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ht="14.25" customHeight="1" x14ac:dyDescent="0.25">
      <c r="B10" s="60"/>
      <c r="C10" s="802" t="s">
        <v>350</v>
      </c>
      <c r="D10" s="59" t="s">
        <v>351</v>
      </c>
      <c r="E10" s="291">
        <f>'[46]2023-24'!$G209/10^6</f>
        <v>75.849196524999996</v>
      </c>
      <c r="F10" s="291">
        <f>'[46]2023-24'!$M209/10^6</f>
        <v>72.949902925000004</v>
      </c>
      <c r="G10" s="291">
        <f>'[46]2023-24'!$S209/10^6</f>
        <v>79.344381424999995</v>
      </c>
      <c r="H10" s="291">
        <f>'[46]2023-24'!$Y209/10^6</f>
        <v>76.538002575000007</v>
      </c>
      <c r="I10" s="291">
        <f>'[46]2023-24'!$AE209/10^6</f>
        <v>74.318194099999999</v>
      </c>
      <c r="J10" s="291">
        <f>'[46]2023-24'!$AK209/10^6</f>
        <v>77.829929899999996</v>
      </c>
      <c r="K10" s="291">
        <f>'[46]2023-24'!$AQ209/10^6</f>
        <v>79.048924299999996</v>
      </c>
      <c r="L10" s="291">
        <f>'[46]2023-24'!$AW209/10^6</f>
        <v>77.121907725</v>
      </c>
      <c r="M10" s="291">
        <f>'[46]2023-24'!$BC209/10^6</f>
        <v>76.552256374999999</v>
      </c>
      <c r="N10" s="291">
        <f>'[46]2023-24'!$BI209/10^6</f>
        <v>77.529260124999993</v>
      </c>
      <c r="O10" s="291">
        <f>'[46]2023-24'!$BO209/10^6</f>
        <v>70.902038274999995</v>
      </c>
      <c r="P10" s="291">
        <f>'[46]2023-24'!$BU209/10^6</f>
        <v>75.401747950000001</v>
      </c>
      <c r="Q10" s="291">
        <f t="shared" ref="Q10:Q16" si="0">SUM(E10:P10)</f>
        <v>913.38574219999987</v>
      </c>
    </row>
    <row r="11" spans="2:17" x14ac:dyDescent="0.25">
      <c r="B11" s="60"/>
      <c r="C11" s="803"/>
      <c r="D11" s="59" t="s">
        <v>352</v>
      </c>
      <c r="E11" s="291">
        <f>'[46]2023-24'!$G210/10^6</f>
        <v>86.561707649999988</v>
      </c>
      <c r="F11" s="291">
        <f>'[46]2023-24'!$M210/10^6</f>
        <v>90.136289750000003</v>
      </c>
      <c r="G11" s="291">
        <f>'[46]2023-24'!$S210/10^6</f>
        <v>83.846506000000005</v>
      </c>
      <c r="H11" s="291">
        <f>'[46]2023-24'!$Y210/10^6</f>
        <v>89.205816999999996</v>
      </c>
      <c r="I11" s="291">
        <f>'[46]2023-24'!$AE210/10^6</f>
        <v>76.054094899999996</v>
      </c>
      <c r="J11" s="291">
        <f>'[46]2023-24'!$AK210/10^6</f>
        <v>74.893705999999995</v>
      </c>
      <c r="K11" s="291">
        <f>'[46]2023-24'!$AQ210/10^6</f>
        <v>90.708797750000002</v>
      </c>
      <c r="L11" s="291">
        <f>'[46]2023-24'!$AW210/10^6</f>
        <v>45.840426949999994</v>
      </c>
      <c r="M11" s="291">
        <f>'[46]2023-24'!$BC210/10^6</f>
        <v>62.32135375</v>
      </c>
      <c r="N11" s="291">
        <f>'[46]2023-24'!$BI210/10^6</f>
        <v>81.52687675</v>
      </c>
      <c r="O11" s="291">
        <f>'[46]2023-24'!$BO210/10^6</f>
        <v>78.582406849999998</v>
      </c>
      <c r="P11" s="291">
        <f>'[46]2023-24'!$BU210/10^6</f>
        <v>75.073409899999987</v>
      </c>
      <c r="Q11" s="291">
        <f t="shared" si="0"/>
        <v>934.75139324999986</v>
      </c>
    </row>
    <row r="12" spans="2:17" x14ac:dyDescent="0.25">
      <c r="B12" s="60"/>
      <c r="C12" s="803"/>
      <c r="D12" s="59" t="s">
        <v>353</v>
      </c>
      <c r="E12" s="291">
        <f>'[46]2023-24'!$G211/10^6</f>
        <v>146.99890105399999</v>
      </c>
      <c r="F12" s="291">
        <f>'[46]2023-24'!$M211/10^6</f>
        <v>153.37179741599999</v>
      </c>
      <c r="G12" s="291">
        <f>'[46]2023-24'!$S211/10^6</f>
        <v>157.26935354299999</v>
      </c>
      <c r="H12" s="291">
        <f>'[46]2023-24'!$Y211/10^6</f>
        <v>155.82953862549999</v>
      </c>
      <c r="I12" s="291">
        <f>'[46]2023-24'!$AE211/10^6</f>
        <v>144.13864107299997</v>
      </c>
      <c r="J12" s="291">
        <f>'[46]2023-24'!$AK211/10^6</f>
        <v>113.90037029849999</v>
      </c>
      <c r="K12" s="291">
        <f>'[46]2023-24'!$AQ211/10^6</f>
        <v>158.994278917</v>
      </c>
      <c r="L12" s="291">
        <f>'[46]2023-24'!$AW211/10^6</f>
        <v>94.316678670499996</v>
      </c>
      <c r="M12" s="291">
        <f>'[46]2023-24'!$BC211/10^6</f>
        <v>149.26832865599999</v>
      </c>
      <c r="N12" s="291">
        <f>'[46]2023-24'!$BI211/10^6</f>
        <v>142.92443141449999</v>
      </c>
      <c r="O12" s="291">
        <f>'[46]2023-24'!$BO211/10^6</f>
        <v>134.64750862</v>
      </c>
      <c r="P12" s="291">
        <f>'[46]2023-24'!$BU211/10^6</f>
        <v>143.66386083649999</v>
      </c>
      <c r="Q12" s="291">
        <f t="shared" si="0"/>
        <v>1695.3236891245001</v>
      </c>
    </row>
    <row r="13" spans="2:17" x14ac:dyDescent="0.25">
      <c r="B13" s="60"/>
      <c r="C13" s="803"/>
      <c r="D13" s="59" t="s">
        <v>354</v>
      </c>
      <c r="E13" s="291">
        <f>'[46]2023-24'!$G212/10^6</f>
        <v>5.7820171574999994</v>
      </c>
      <c r="F13" s="291">
        <f>'[46]2023-24'!$M212/10^6</f>
        <v>7.2442891724999994</v>
      </c>
      <c r="G13" s="291">
        <f>'[46]2023-24'!$S212/10^6</f>
        <v>6.2643448399999997</v>
      </c>
      <c r="H13" s="291">
        <f>'[46]2023-24'!$Y212/10^6</f>
        <v>7.2473063249999994</v>
      </c>
      <c r="I13" s="291">
        <f>'[46]2023-24'!$AE212/10^6</f>
        <v>7.0728445249999998</v>
      </c>
      <c r="J13" s="291">
        <f>'[46]2023-24'!$AK212/10^6</f>
        <v>1.0216764549999999</v>
      </c>
      <c r="K13" s="291">
        <f>'[46]2023-24'!$AQ212/10^6</f>
        <v>0.50765615499999994</v>
      </c>
      <c r="L13" s="291">
        <f>'[46]2023-24'!$AW212/10^6</f>
        <v>5.4893533649999995</v>
      </c>
      <c r="M13" s="291">
        <f>'[46]2023-24'!$BC212/10^6</f>
        <v>6.7687938899999995</v>
      </c>
      <c r="N13" s="291">
        <f>'[46]2023-24'!$BI212/10^6</f>
        <v>7.2863570249999992</v>
      </c>
      <c r="O13" s="291">
        <f>'[46]2023-24'!$BO212/10^6</f>
        <v>5.9280170050000001</v>
      </c>
      <c r="P13" s="291">
        <f>'[46]2023-24'!$BU212/10^6</f>
        <v>3.8999545349999996</v>
      </c>
      <c r="Q13" s="291">
        <f t="shared" si="0"/>
        <v>64.512610449999997</v>
      </c>
    </row>
    <row r="14" spans="2:17" x14ac:dyDescent="0.25">
      <c r="B14" s="60"/>
      <c r="C14" s="803"/>
      <c r="D14" s="59" t="s">
        <v>355</v>
      </c>
      <c r="E14" s="291">
        <f>'[46]2023-24'!$G213/10^6</f>
        <v>75.05760467399999</v>
      </c>
      <c r="F14" s="291">
        <f>'[46]2023-24'!$M213/10^6</f>
        <v>86.009459483000001</v>
      </c>
      <c r="G14" s="291">
        <f>'[46]2023-24'!$S213/10^6</f>
        <v>90.94690011649999</v>
      </c>
      <c r="H14" s="291">
        <f>'[46]2023-24'!$Y213/10^6</f>
        <v>89.918899273999983</v>
      </c>
      <c r="I14" s="291">
        <f>'[46]2023-24'!$AE213/10^6</f>
        <v>85.733410202499996</v>
      </c>
      <c r="J14" s="291">
        <f>'[46]2023-24'!$AK213/10^6</f>
        <v>81.771655725999992</v>
      </c>
      <c r="K14" s="291">
        <f>'[46]2023-24'!$AQ213/10^6</f>
        <v>83.475446012999996</v>
      </c>
      <c r="L14" s="291">
        <f>'[46]2023-24'!$AW213/10^6</f>
        <v>88.175810906999985</v>
      </c>
      <c r="M14" s="291">
        <f>'[46]2023-24'!$BC213/10^6</f>
        <v>88.605842163000005</v>
      </c>
      <c r="N14" s="291">
        <f>'[46]2023-24'!$BI213/10^6</f>
        <v>93.745477072499995</v>
      </c>
      <c r="O14" s="291">
        <f>'[46]2023-24'!$BO213/10^6</f>
        <v>84.851383585999997</v>
      </c>
      <c r="P14" s="291">
        <f>'[46]2023-24'!$BU213/10^6</f>
        <v>88.734428225499997</v>
      </c>
      <c r="Q14" s="291">
        <f t="shared" si="0"/>
        <v>1037.0263174430002</v>
      </c>
    </row>
    <row r="15" spans="2:17" x14ac:dyDescent="0.25">
      <c r="B15" s="60"/>
      <c r="C15" s="803"/>
      <c r="D15" s="59" t="s">
        <v>356</v>
      </c>
      <c r="E15" s="291">
        <f>'[46]2023-24'!$G214/10^6</f>
        <v>109.75126729099999</v>
      </c>
      <c r="F15" s="291">
        <f>'[46]2023-24'!$M214/10^6</f>
        <v>103.5022585385</v>
      </c>
      <c r="G15" s="291">
        <f>'[46]2023-24'!$S214/10^6</f>
        <v>106.095567522</v>
      </c>
      <c r="H15" s="291">
        <f>'[46]2023-24'!$Y214/10^6</f>
        <v>80.543452310999996</v>
      </c>
      <c r="I15" s="291">
        <f>'[46]2023-24'!$AE214/10^6</f>
        <v>112.10883903749999</v>
      </c>
      <c r="J15" s="291">
        <f>'[46]2023-24'!$AK214/10^6</f>
        <v>97.593825488999997</v>
      </c>
      <c r="K15" s="291">
        <f>'[46]2023-24'!$AQ214/10^6</f>
        <v>103.8229831745</v>
      </c>
      <c r="L15" s="291">
        <f>'[46]2023-24'!$AW214/10^6</f>
        <v>100.1710035295</v>
      </c>
      <c r="M15" s="291">
        <f>'[46]2023-24'!$BC214/10^6</f>
        <v>103.89608985449999</v>
      </c>
      <c r="N15" s="291">
        <f>'[46]2023-24'!$BI214/10^6</f>
        <v>111.95551968699999</v>
      </c>
      <c r="O15" s="291">
        <f>'[46]2023-24'!$BO214/10^6</f>
        <v>101.02421302650001</v>
      </c>
      <c r="P15" s="291">
        <f>'[46]2023-24'!$BU214/10^6</f>
        <v>112.0306952295</v>
      </c>
      <c r="Q15" s="291">
        <f t="shared" si="0"/>
        <v>1242.4957146905001</v>
      </c>
    </row>
    <row r="16" spans="2:17" x14ac:dyDescent="0.25">
      <c r="B16" s="60"/>
      <c r="C16" s="803"/>
      <c r="D16" s="59" t="s">
        <v>357</v>
      </c>
      <c r="E16" s="291">
        <f>'[46]2023-24'!$G215/10^6</f>
        <v>150.845845</v>
      </c>
      <c r="F16" s="291">
        <f>'[46]2023-24'!$M215/10^6</f>
        <v>159.65051149999999</v>
      </c>
      <c r="G16" s="291">
        <f>'[46]2023-24'!$S215/10^6</f>
        <v>150.40380049999999</v>
      </c>
      <c r="H16" s="291">
        <f>'[46]2023-24'!$Y215/10^6</f>
        <v>118.18608949999999</v>
      </c>
      <c r="I16" s="291">
        <f>'[46]2023-24'!$AE215/10^6</f>
        <v>124.90922999999999</v>
      </c>
      <c r="J16" s="291">
        <f>'[46]2023-24'!$AK215/10^6</f>
        <v>137.35686150000001</v>
      </c>
      <c r="K16" s="291">
        <f>'[46]2023-24'!$AQ215/10^6</f>
        <v>157.86760849999999</v>
      </c>
      <c r="L16" s="291">
        <f>'[46]2023-24'!$AW215/10^6</f>
        <v>172.4029505</v>
      </c>
      <c r="M16" s="291">
        <f>'[46]2023-24'!$BC215/10^6</f>
        <v>166.4204775</v>
      </c>
      <c r="N16" s="291">
        <f>'[46]2023-24'!$BI215/10^6</f>
        <v>182.17446050000001</v>
      </c>
      <c r="O16" s="291">
        <f>'[46]2023-24'!$BO215/10^6</f>
        <v>172.979287</v>
      </c>
      <c r="P16" s="291">
        <f>'[46]2023-24'!$BU215/10^6</f>
        <v>169.6305275</v>
      </c>
      <c r="Q16" s="291">
        <f t="shared" si="0"/>
        <v>1862.8276495</v>
      </c>
    </row>
    <row r="17" spans="2:17" x14ac:dyDescent="0.25">
      <c r="B17" s="60"/>
      <c r="C17" s="803"/>
      <c r="D17" s="59" t="s">
        <v>358</v>
      </c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</row>
    <row r="18" spans="2:17" x14ac:dyDescent="0.25">
      <c r="B18" s="60"/>
      <c r="C18" s="803"/>
      <c r="D18" s="59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</row>
    <row r="19" spans="2:17" x14ac:dyDescent="0.25">
      <c r="B19" s="60"/>
      <c r="C19" s="803"/>
      <c r="D19" s="59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</row>
    <row r="20" spans="2:17" x14ac:dyDescent="0.25">
      <c r="B20" s="60"/>
      <c r="C20" s="803"/>
      <c r="D20" s="59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</row>
    <row r="21" spans="2:17" x14ac:dyDescent="0.25">
      <c r="B21" s="60"/>
      <c r="C21" s="803"/>
      <c r="D21" s="59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</row>
    <row r="22" spans="2:17" x14ac:dyDescent="0.25">
      <c r="B22" s="60"/>
      <c r="C22" s="803"/>
      <c r="D22" s="59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</row>
    <row r="23" spans="2:17" x14ac:dyDescent="0.25">
      <c r="B23" s="60"/>
      <c r="C23" s="803"/>
      <c r="D23" s="59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</row>
    <row r="24" spans="2:17" x14ac:dyDescent="0.25">
      <c r="B24" s="60"/>
      <c r="C24" s="803"/>
      <c r="D24" s="59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</row>
    <row r="25" spans="2:17" x14ac:dyDescent="0.25">
      <c r="B25" s="60"/>
      <c r="C25" s="803"/>
      <c r="D25" s="59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</row>
    <row r="26" spans="2:17" x14ac:dyDescent="0.25">
      <c r="B26" s="60"/>
      <c r="C26" s="803"/>
      <c r="D26" s="59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</row>
    <row r="27" spans="2:17" x14ac:dyDescent="0.25">
      <c r="B27" s="60"/>
      <c r="C27" s="804"/>
      <c r="D27" s="59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</row>
    <row r="28" spans="2:17" x14ac:dyDescent="0.25">
      <c r="C28" s="751" t="s">
        <v>212</v>
      </c>
      <c r="D28" s="752"/>
      <c r="E28" s="291">
        <f t="shared" ref="E28:Q28" si="1">SUM(E10:E27)</f>
        <v>650.84653935149993</v>
      </c>
      <c r="F28" s="291">
        <f t="shared" si="1"/>
        <v>672.864508785</v>
      </c>
      <c r="G28" s="291">
        <f t="shared" si="1"/>
        <v>674.17085394649996</v>
      </c>
      <c r="H28" s="291">
        <f t="shared" si="1"/>
        <v>617.46910561050004</v>
      </c>
      <c r="I28" s="291">
        <f t="shared" si="1"/>
        <v>624.33525383799997</v>
      </c>
      <c r="J28" s="291">
        <f t="shared" si="1"/>
        <v>584.36802536849996</v>
      </c>
      <c r="K28" s="291">
        <f t="shared" si="1"/>
        <v>674.42569480949987</v>
      </c>
      <c r="L28" s="291">
        <f t="shared" si="1"/>
        <v>583.51813164700002</v>
      </c>
      <c r="M28" s="291">
        <f t="shared" si="1"/>
        <v>653.83314218850001</v>
      </c>
      <c r="N28" s="291">
        <f t="shared" si="1"/>
        <v>697.14238257399995</v>
      </c>
      <c r="O28" s="291">
        <f t="shared" si="1"/>
        <v>648.91485436250002</v>
      </c>
      <c r="P28" s="291">
        <f t="shared" si="1"/>
        <v>668.43462417649994</v>
      </c>
      <c r="Q28" s="291">
        <f t="shared" si="1"/>
        <v>7750.3231166579999</v>
      </c>
    </row>
    <row r="29" spans="2:17" x14ac:dyDescent="0.25">
      <c r="C29" s="753" t="s">
        <v>359</v>
      </c>
      <c r="D29" s="754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</row>
    <row r="30" spans="2:17" x14ac:dyDescent="0.25">
      <c r="C30" s="805" t="s">
        <v>350</v>
      </c>
      <c r="D30" s="17" t="s">
        <v>360</v>
      </c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>
        <f>SUM(E30:P30)</f>
        <v>0</v>
      </c>
    </row>
    <row r="31" spans="2:17" x14ac:dyDescent="0.25">
      <c r="C31" s="806"/>
      <c r="D31" s="17" t="s">
        <v>361</v>
      </c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>
        <f t="shared" ref="Q31:Q48" si="2">SUM(E31:P31)</f>
        <v>0</v>
      </c>
    </row>
    <row r="32" spans="2:17" x14ac:dyDescent="0.25">
      <c r="C32" s="806"/>
      <c r="D32" s="17" t="s">
        <v>362</v>
      </c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>
        <f t="shared" si="2"/>
        <v>0</v>
      </c>
    </row>
    <row r="33" spans="3:17" x14ac:dyDescent="0.25">
      <c r="C33" s="806"/>
      <c r="D33" s="17" t="s">
        <v>363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>
        <f t="shared" si="2"/>
        <v>0</v>
      </c>
    </row>
    <row r="34" spans="3:17" x14ac:dyDescent="0.25">
      <c r="C34" s="806"/>
      <c r="D34" s="17" t="s">
        <v>364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>
        <f t="shared" si="2"/>
        <v>0</v>
      </c>
    </row>
    <row r="35" spans="3:17" x14ac:dyDescent="0.25">
      <c r="C35" s="806"/>
      <c r="D35" s="17" t="s">
        <v>365</v>
      </c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>
        <f t="shared" si="2"/>
        <v>0</v>
      </c>
    </row>
    <row r="36" spans="3:17" x14ac:dyDescent="0.25">
      <c r="C36" s="806"/>
      <c r="D36" s="17" t="s">
        <v>366</v>
      </c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>
        <f t="shared" si="2"/>
        <v>0</v>
      </c>
    </row>
    <row r="37" spans="3:17" x14ac:dyDescent="0.25">
      <c r="C37" s="806"/>
      <c r="D37" s="17" t="s">
        <v>367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>
        <f t="shared" si="2"/>
        <v>0</v>
      </c>
    </row>
    <row r="38" spans="3:17" x14ac:dyDescent="0.25">
      <c r="C38" s="806"/>
      <c r="D38" s="17"/>
      <c r="E38" s="66">
        <f>'[46]2023-24'!$G218/10^6</f>
        <v>15.247185606999999</v>
      </c>
      <c r="F38" s="66">
        <f>'[46]2023-24'!$M218/10^6</f>
        <v>15.0522465152</v>
      </c>
      <c r="G38" s="66">
        <f>'[46]2023-24'!$S218/10^6</f>
        <v>16.124947421750001</v>
      </c>
      <c r="H38" s="66">
        <f>'[46]2023-24'!$Y218/10^6</f>
        <v>33.742132645800005</v>
      </c>
      <c r="I38" s="66">
        <f>'[46]2023-24'!$AE218/10^6</f>
        <v>84.976902548799998</v>
      </c>
      <c r="J38" s="66">
        <f>'[46]2023-24'!$AK218/10^6</f>
        <v>43.479076385649996</v>
      </c>
      <c r="K38" s="66">
        <f>'[46]2023-24'!$AQ218/10^6</f>
        <v>45.450074827550004</v>
      </c>
      <c r="L38" s="66">
        <f>'[46]2023-24'!$AW218/10^6</f>
        <v>16.5754476352</v>
      </c>
      <c r="M38" s="66">
        <f>'[46]2023-24'!$BC218/10^6</f>
        <v>27.336370260499997</v>
      </c>
      <c r="N38" s="66">
        <f>'[46]2023-24'!$BI218/10^6</f>
        <v>28.370194958300001</v>
      </c>
      <c r="O38" s="66">
        <f>'[46]2023-24'!$BO218/10^6</f>
        <v>13.342600773049998</v>
      </c>
      <c r="P38" s="66">
        <f>'[46]2023-24'!$BU218/10^6</f>
        <v>7.9809542407999992</v>
      </c>
      <c r="Q38" s="66">
        <f t="shared" si="2"/>
        <v>347.67813381959996</v>
      </c>
    </row>
    <row r="39" spans="3:17" x14ac:dyDescent="0.25">
      <c r="C39" s="806"/>
      <c r="D39" s="17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>
        <f t="shared" si="2"/>
        <v>0</v>
      </c>
    </row>
    <row r="40" spans="3:17" x14ac:dyDescent="0.25">
      <c r="C40" s="806"/>
      <c r="D40" s="17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>
        <f t="shared" si="2"/>
        <v>0</v>
      </c>
    </row>
    <row r="41" spans="3:17" x14ac:dyDescent="0.25">
      <c r="C41" s="806"/>
      <c r="D41" s="17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>
        <f t="shared" si="2"/>
        <v>0</v>
      </c>
    </row>
    <row r="42" spans="3:17" x14ac:dyDescent="0.25">
      <c r="C42" s="806"/>
      <c r="D42" s="17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>
        <f t="shared" si="2"/>
        <v>0</v>
      </c>
    </row>
    <row r="43" spans="3:17" x14ac:dyDescent="0.25">
      <c r="C43" s="806"/>
      <c r="D43" s="17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>
        <f t="shared" si="2"/>
        <v>0</v>
      </c>
    </row>
    <row r="44" spans="3:17" x14ac:dyDescent="0.25">
      <c r="C44" s="806"/>
      <c r="D44" s="17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>
        <f t="shared" si="2"/>
        <v>0</v>
      </c>
    </row>
    <row r="45" spans="3:17" x14ac:dyDescent="0.25">
      <c r="C45" s="806"/>
      <c r="D45" s="17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>
        <f t="shared" si="2"/>
        <v>0</v>
      </c>
    </row>
    <row r="46" spans="3:17" x14ac:dyDescent="0.25">
      <c r="C46" s="806"/>
      <c r="D46" s="17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>
        <f t="shared" si="2"/>
        <v>0</v>
      </c>
    </row>
    <row r="47" spans="3:17" x14ac:dyDescent="0.25">
      <c r="C47" s="807"/>
      <c r="D47" s="107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>
        <f t="shared" si="2"/>
        <v>0</v>
      </c>
    </row>
    <row r="48" spans="3:17" x14ac:dyDescent="0.25">
      <c r="C48" s="751" t="s">
        <v>212</v>
      </c>
      <c r="D48" s="752"/>
      <c r="E48" s="66">
        <f t="shared" ref="E48:P48" si="3">SUM(E30:E47)</f>
        <v>15.247185606999999</v>
      </c>
      <c r="F48" s="66">
        <f t="shared" si="3"/>
        <v>15.0522465152</v>
      </c>
      <c r="G48" s="66">
        <f t="shared" si="3"/>
        <v>16.124947421750001</v>
      </c>
      <c r="H48" s="66">
        <f t="shared" si="3"/>
        <v>33.742132645800005</v>
      </c>
      <c r="I48" s="66">
        <f t="shared" si="3"/>
        <v>84.976902548799998</v>
      </c>
      <c r="J48" s="66">
        <f t="shared" si="3"/>
        <v>43.479076385649996</v>
      </c>
      <c r="K48" s="66">
        <f t="shared" si="3"/>
        <v>45.450074827550004</v>
      </c>
      <c r="L48" s="66">
        <f t="shared" si="3"/>
        <v>16.5754476352</v>
      </c>
      <c r="M48" s="66">
        <f t="shared" si="3"/>
        <v>27.336370260499997</v>
      </c>
      <c r="N48" s="66">
        <f t="shared" si="3"/>
        <v>28.370194958300001</v>
      </c>
      <c r="O48" s="66">
        <f t="shared" si="3"/>
        <v>13.342600773049998</v>
      </c>
      <c r="P48" s="66">
        <f t="shared" si="3"/>
        <v>7.9809542407999992</v>
      </c>
      <c r="Q48" s="86">
        <f t="shared" si="2"/>
        <v>347.67813381959996</v>
      </c>
    </row>
    <row r="49" spans="3:17" x14ac:dyDescent="0.25">
      <c r="C49" s="753" t="s">
        <v>368</v>
      </c>
      <c r="D49" s="754"/>
      <c r="E49" s="66">
        <f t="shared" ref="E49:Q49" si="4">E28+E48</f>
        <v>666.09372495849993</v>
      </c>
      <c r="F49" s="66">
        <f t="shared" si="4"/>
        <v>687.91675530019995</v>
      </c>
      <c r="G49" s="66">
        <f t="shared" si="4"/>
        <v>690.29580136824995</v>
      </c>
      <c r="H49" s="66">
        <f t="shared" si="4"/>
        <v>651.21123825630002</v>
      </c>
      <c r="I49" s="66">
        <f t="shared" si="4"/>
        <v>709.31215638679998</v>
      </c>
      <c r="J49" s="66">
        <f t="shared" si="4"/>
        <v>627.84710175415</v>
      </c>
      <c r="K49" s="66">
        <f t="shared" si="4"/>
        <v>719.87576963704987</v>
      </c>
      <c r="L49" s="66">
        <f t="shared" si="4"/>
        <v>600.09357928220004</v>
      </c>
      <c r="M49" s="66">
        <f t="shared" si="4"/>
        <v>681.16951244899997</v>
      </c>
      <c r="N49" s="66">
        <f t="shared" si="4"/>
        <v>725.51257753229993</v>
      </c>
      <c r="O49" s="66">
        <f t="shared" si="4"/>
        <v>662.25745513555</v>
      </c>
      <c r="P49" s="66">
        <f t="shared" si="4"/>
        <v>676.41557841729991</v>
      </c>
      <c r="Q49" s="86">
        <f t="shared" si="4"/>
        <v>8098.0012504775996</v>
      </c>
    </row>
    <row r="50" spans="3:17" x14ac:dyDescent="0.25">
      <c r="C50" s="800" t="s">
        <v>369</v>
      </c>
      <c r="D50" s="801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3:17" x14ac:dyDescent="0.25">
      <c r="C51" s="753" t="s">
        <v>349</v>
      </c>
      <c r="D51" s="754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</row>
    <row r="52" spans="3:17" x14ac:dyDescent="0.25">
      <c r="C52" s="805" t="s">
        <v>370</v>
      </c>
      <c r="D52" s="17" t="s">
        <v>371</v>
      </c>
      <c r="E52" s="291">
        <f>'[46]2023-24'!$G190/10^6</f>
        <v>56.337309003499996</v>
      </c>
      <c r="F52" s="291">
        <f>'[46]2023-24'!$M190/10^6</f>
        <v>46.147035611999996</v>
      </c>
      <c r="G52" s="291">
        <f>'[46]2023-24'!$S190/10^6</f>
        <v>43.299945670999996</v>
      </c>
      <c r="H52" s="291">
        <f>'[46]2023-24'!$Y190/10^6</f>
        <v>52.403118843499996</v>
      </c>
      <c r="I52" s="291">
        <f>'[46]2023-24'!$AE190/10^6</f>
        <v>53.557153611499992</v>
      </c>
      <c r="J52" s="291">
        <f>'[46]2023-24'!$AK190/10^6</f>
        <v>53.327558466500001</v>
      </c>
      <c r="K52" s="291">
        <f>'[46]2023-24'!$AQ190/10^6</f>
        <v>46.678370744999995</v>
      </c>
      <c r="L52" s="291">
        <f>'[46]2023-24'!$AW190/10^6</f>
        <v>45.617428015999998</v>
      </c>
      <c r="M52" s="291">
        <f>'[46]2023-24'!$BC190/10^6</f>
        <v>48.372529114999992</v>
      </c>
      <c r="N52" s="291">
        <f>'[46]2023-24'!$BI190/10^6</f>
        <v>54.541304287499997</v>
      </c>
      <c r="O52" s="291">
        <f>'[46]2023-24'!$BO190/10^6</f>
        <v>45.323369765999992</v>
      </c>
      <c r="P52" s="291">
        <f>'[46]2023-24'!$BU190/10^6</f>
        <v>51.207954794499997</v>
      </c>
      <c r="Q52" s="66">
        <f t="shared" ref="Q52:Q74" si="5">SUM(E52:P52)</f>
        <v>596.81307793200006</v>
      </c>
    </row>
    <row r="53" spans="3:17" x14ac:dyDescent="0.25">
      <c r="C53" s="806"/>
      <c r="D53" s="17" t="s">
        <v>372</v>
      </c>
      <c r="E53" s="291">
        <f>'[46]2023-24'!$G191/10^6</f>
        <v>15.051954783499999</v>
      </c>
      <c r="F53" s="291">
        <f>'[46]2023-24'!$M191/10^6</f>
        <v>12.618288948999998</v>
      </c>
      <c r="G53" s="291">
        <f>'[46]2023-24'!$S191/10^6</f>
        <v>14.032183449</v>
      </c>
      <c r="H53" s="291">
        <f>'[46]2023-24'!$Y191/10^6</f>
        <v>13.908015475499999</v>
      </c>
      <c r="I53" s="291">
        <f>'[46]2023-24'!$AE191/10^6</f>
        <v>15.328136589</v>
      </c>
      <c r="J53" s="291">
        <f>'[46]2023-24'!$AK191/10^6</f>
        <v>13.044681068499999</v>
      </c>
      <c r="K53" s="291">
        <f>'[46]2023-24'!$AQ191/10^6</f>
        <v>14.911307473499999</v>
      </c>
      <c r="L53" s="291">
        <f>'[46]2023-24'!$AW191/10^6</f>
        <v>10.967343447499999</v>
      </c>
      <c r="M53" s="291">
        <f>'[46]2023-24'!$BC191/10^6</f>
        <v>9.9127681029999994</v>
      </c>
      <c r="N53" s="291">
        <f>'[46]2023-24'!$BI191/10^6</f>
        <v>13.402839305000001</v>
      </c>
      <c r="O53" s="291">
        <f>'[46]2023-24'!$BO191/10^6</f>
        <v>12.833632355499999</v>
      </c>
      <c r="P53" s="291">
        <f>'[46]2023-24'!$BU191/10^6</f>
        <v>11.764974904500001</v>
      </c>
      <c r="Q53" s="66">
        <f t="shared" si="5"/>
        <v>157.7761259035</v>
      </c>
    </row>
    <row r="54" spans="3:17" x14ac:dyDescent="0.25">
      <c r="C54" s="806"/>
      <c r="D54" s="17" t="s">
        <v>373</v>
      </c>
      <c r="E54" s="291">
        <f>'[46]2023-24'!$G194/10^6</f>
        <v>41.723874144</v>
      </c>
      <c r="F54" s="291">
        <f>'[46]2023-24'!$M194/10^6</f>
        <v>41.639384155499997</v>
      </c>
      <c r="G54" s="291">
        <f>'[46]2023-24'!$S194/10^6</f>
        <v>31.836176825999999</v>
      </c>
      <c r="H54" s="291">
        <f>'[46]2023-24'!$Y194/10^6</f>
        <v>35.454391162500002</v>
      </c>
      <c r="I54" s="291">
        <f>'[46]2023-24'!$AE194/10^6</f>
        <v>28.256988156999999</v>
      </c>
      <c r="J54" s="291">
        <f>'[46]2023-24'!$AK194/10^6</f>
        <v>34.364215774499996</v>
      </c>
      <c r="K54" s="291">
        <f>'[46]2023-24'!$AQ194/10^6</f>
        <v>46.572713863499999</v>
      </c>
      <c r="L54" s="291">
        <f>'[46]2023-24'!$AW194/10^6</f>
        <v>42.737643568499998</v>
      </c>
      <c r="M54" s="291">
        <f>'[46]2023-24'!$BC194/10^6</f>
        <v>43.981416020499999</v>
      </c>
      <c r="N54" s="291">
        <f>'[46]2023-24'!$BI194/10^6</f>
        <v>43.854951830499999</v>
      </c>
      <c r="O54" s="291">
        <f>'[46]2023-24'!$BO194/10^6</f>
        <v>41.259545123499997</v>
      </c>
      <c r="P54" s="291">
        <f>'[46]2023-24'!$BU194/10^6</f>
        <v>43.892804798999997</v>
      </c>
      <c r="Q54" s="66">
        <f>SUM(E54:P54)</f>
        <v>475.57410542499997</v>
      </c>
    </row>
    <row r="55" spans="3:17" x14ac:dyDescent="0.25">
      <c r="C55" s="806"/>
      <c r="D55" s="17" t="s">
        <v>374</v>
      </c>
      <c r="E55" s="291">
        <f>'[46]2023-24'!$G192/10^6</f>
        <v>59.918875759999999</v>
      </c>
      <c r="F55" s="291">
        <f>'[46]2023-24'!$M192/10^6</f>
        <v>40.948075150000001</v>
      </c>
      <c r="G55" s="291">
        <f>'[46]2023-24'!$S192/10^6</f>
        <v>70.399136822499997</v>
      </c>
      <c r="H55" s="291">
        <f>'[46]2023-24'!$Y192/10^6</f>
        <v>68.526949668499995</v>
      </c>
      <c r="I55" s="291">
        <f>'[46]2023-24'!$AE192/10^6</f>
        <v>82.87690774699999</v>
      </c>
      <c r="J55" s="291">
        <f>'[46]2023-24'!$AK192/10^6</f>
        <v>92.951939754500003</v>
      </c>
      <c r="K55" s="291">
        <f>'[46]2023-24'!$AQ192/10^6</f>
        <v>104.42244175299999</v>
      </c>
      <c r="L55" s="291">
        <f>'[46]2023-24'!$AW192/10^6</f>
        <v>67.397051531499997</v>
      </c>
      <c r="M55" s="291">
        <f>'[46]2023-24'!$BC192/10^6</f>
        <v>41.298066330038459</v>
      </c>
      <c r="N55" s="291">
        <f>'[46]2023-24'!$BI192/10^6</f>
        <v>93.963195326999994</v>
      </c>
      <c r="O55" s="291">
        <f>'[46]2023-24'!$BO192/10^6</f>
        <v>95.940850882499987</v>
      </c>
      <c r="P55" s="291">
        <f>'[46]2023-24'!$BU192/10^6</f>
        <v>94.218474700499996</v>
      </c>
      <c r="Q55" s="66">
        <f t="shared" si="5"/>
        <v>912.8619654270384</v>
      </c>
    </row>
    <row r="56" spans="3:17" x14ac:dyDescent="0.25">
      <c r="C56" s="806"/>
      <c r="D56" s="17" t="s">
        <v>375</v>
      </c>
      <c r="E56" s="291">
        <f>'[46]2023-24'!$G193/10^6</f>
        <v>32.8685162425</v>
      </c>
      <c r="F56" s="291">
        <f>'[46]2023-24'!$M193/10^6</f>
        <v>17.831314730999999</v>
      </c>
      <c r="G56" s="291">
        <f>'[46]2023-24'!$S193/10^6</f>
        <v>31.303885451499998</v>
      </c>
      <c r="H56" s="291">
        <f>'[46]2023-24'!$Y193/10^6</f>
        <v>15.763931798999998</v>
      </c>
      <c r="I56" s="291">
        <f>'[46]2023-24'!$AE193/10^6</f>
        <v>30.8001926775</v>
      </c>
      <c r="J56" s="291">
        <f>'[46]2023-24'!$AK193/10^6</f>
        <v>43.390300332499997</v>
      </c>
      <c r="K56" s="291">
        <f>'[46]2023-24'!$AQ193/10^6</f>
        <v>43.463571932499995</v>
      </c>
      <c r="L56" s="291">
        <f>'[46]2023-24'!$AW193/10^6</f>
        <v>45.876601563000001</v>
      </c>
      <c r="M56" s="291">
        <f>'[46]2023-24'!$BC193/10^6</f>
        <v>44.731933073</v>
      </c>
      <c r="N56" s="291">
        <f>'[46]2023-24'!$BI193/10^6</f>
        <v>46.949545166999997</v>
      </c>
      <c r="O56" s="291">
        <f>'[46]2023-24'!$BO193/10^6</f>
        <v>40.645622766499997</v>
      </c>
      <c r="P56" s="291">
        <f>'[46]2023-24'!$BU193/10^6</f>
        <v>42.340488231000002</v>
      </c>
      <c r="Q56" s="66">
        <f>SUM(E56:P56)</f>
        <v>435.96590396700003</v>
      </c>
    </row>
    <row r="57" spans="3:17" x14ac:dyDescent="0.25">
      <c r="C57" s="806"/>
      <c r="D57" s="17" t="s">
        <v>376</v>
      </c>
      <c r="E57" s="291">
        <f>'[46]2023-24'!$G195/10^6</f>
        <v>20.361270874500001</v>
      </c>
      <c r="F57" s="291">
        <f>'[46]2023-24'!$M195/10^6</f>
        <v>14.1713526635</v>
      </c>
      <c r="G57" s="291">
        <f>'[46]2023-24'!$S195/10^6</f>
        <v>25.5787842475</v>
      </c>
      <c r="H57" s="291">
        <f>'[46]2023-24'!$Y195/10^6</f>
        <v>14.658404125999999</v>
      </c>
      <c r="I57" s="291">
        <f>'[46]2023-24'!$AE195/10^6</f>
        <v>28.280279278499997</v>
      </c>
      <c r="J57" s="291">
        <f>'[46]2023-24'!$AK195/10^6</f>
        <v>27.707581031499998</v>
      </c>
      <c r="K57" s="291">
        <f>'[46]2023-24'!$AQ195/10^6</f>
        <v>34.679057184000001</v>
      </c>
      <c r="L57" s="291">
        <f>'[46]2023-24'!$AW195/10^6</f>
        <v>9.2698528099999979</v>
      </c>
      <c r="M57" s="291">
        <f>'[46]2023-24'!$BC195/10^6</f>
        <v>12.8524673975</v>
      </c>
      <c r="N57" s="291">
        <f>'[46]2023-24'!$BI195/10^6</f>
        <v>30.947942443999999</v>
      </c>
      <c r="O57" s="291">
        <f>'[46]2023-24'!$BO195/10^6</f>
        <v>16.307478668999998</v>
      </c>
      <c r="P57" s="291">
        <f>'[46]2023-24'!$BU195/10^6</f>
        <v>12.065089546999999</v>
      </c>
      <c r="Q57" s="66">
        <f>SUM(E57:P57)</f>
        <v>246.87956027299998</v>
      </c>
    </row>
    <row r="58" spans="3:17" x14ac:dyDescent="0.25">
      <c r="C58" s="806"/>
      <c r="D58" s="17" t="s">
        <v>377</v>
      </c>
      <c r="E58" s="291">
        <f>'[46]2023-24'!$G208/10^6</f>
        <v>34.350548940388492</v>
      </c>
      <c r="F58" s="291">
        <f>'[46]2023-24'!$M208/10^6</f>
        <v>34.283612978671997</v>
      </c>
      <c r="G58" s="291">
        <f>'[46]2023-24'!$S208/10^6</f>
        <v>48.538295907636495</v>
      </c>
      <c r="H58" s="291">
        <f>'[46]2023-24'!$Y208/10^6</f>
        <v>40.90632526561599</v>
      </c>
      <c r="I58" s="291">
        <f>'[46]2023-24'!$AE208/10^6</f>
        <v>44.750798137213494</v>
      </c>
      <c r="J58" s="291">
        <f>'[46]2023-24'!$AK208/10^6</f>
        <v>65.955650331863495</v>
      </c>
      <c r="K58" s="291">
        <f>'[46]2023-24'!$AQ208/10^6</f>
        <v>60.769732266200997</v>
      </c>
      <c r="L58" s="291">
        <f>'[46]2023-24'!$AW208/10^6</f>
        <v>60.921758737552004</v>
      </c>
      <c r="M58" s="291">
        <f>'[46]2023-24'!$BC208/10^6</f>
        <v>48.325490308061006</v>
      </c>
      <c r="N58" s="291">
        <f>'[46]2023-24'!$BI208/10^6</f>
        <v>41.847103339261004</v>
      </c>
      <c r="O58" s="291">
        <f>'[46]2023-24'!$BO208/10^6</f>
        <v>40.465329017456497</v>
      </c>
      <c r="P58" s="291">
        <f>'[46]2023-24'!$BU208/10^6</f>
        <v>37.715384018860995</v>
      </c>
      <c r="Q58" s="66">
        <f t="shared" ref="Q58:Q59" si="6">SUM(E58:P58)</f>
        <v>558.83002924878247</v>
      </c>
    </row>
    <row r="59" spans="3:17" x14ac:dyDescent="0.25">
      <c r="C59" s="806"/>
      <c r="D59" s="17" t="s">
        <v>378</v>
      </c>
      <c r="E59" s="291">
        <f>'[46]2023-24'!$G207/10^6</f>
        <v>7.538575365499999</v>
      </c>
      <c r="F59" s="291">
        <f>'[46]2023-24'!$M207/10^6</f>
        <v>6.827856454</v>
      </c>
      <c r="G59" s="291">
        <f>'[46]2023-24'!$S207/10^6</f>
        <v>6.7458738384999997</v>
      </c>
      <c r="H59" s="291">
        <f>'[46]2023-24'!$Y207/10^6</f>
        <v>6.0252891769999994</v>
      </c>
      <c r="I59" s="291">
        <f>'[46]2023-24'!$AE207/10^6</f>
        <v>6.4915512954999999</v>
      </c>
      <c r="J59" s="291">
        <f>'[46]2023-24'!$AK207/10^6</f>
        <v>7.1083288300000005</v>
      </c>
      <c r="K59" s="291">
        <f>'[46]2023-24'!$AQ207/10^6</f>
        <v>7.8045506844999997</v>
      </c>
      <c r="L59" s="291">
        <f>'[46]2023-24'!$AW207/10^6</f>
        <v>6.8239416654999996</v>
      </c>
      <c r="M59" s="291">
        <f>'[46]2023-24'!$BC207/10^6</f>
        <v>6.2586389024999995</v>
      </c>
      <c r="N59" s="291">
        <f>'[46]2023-24'!$BI207/10^6</f>
        <v>7.7880203994999997</v>
      </c>
      <c r="O59" s="291">
        <f>'[46]2023-24'!$BO207/10^6</f>
        <v>9.9165206220000002</v>
      </c>
      <c r="P59" s="291">
        <f>'[46]2023-24'!$BU207/10^6</f>
        <v>11.7560603895</v>
      </c>
      <c r="Q59" s="66">
        <f t="shared" si="6"/>
        <v>91.085207623999992</v>
      </c>
    </row>
    <row r="60" spans="3:17" x14ac:dyDescent="0.25">
      <c r="C60" s="807"/>
      <c r="D60" s="17" t="s">
        <v>379</v>
      </c>
      <c r="E60" s="291">
        <f>'[46]2023-24'!$G196/10^6</f>
        <v>0</v>
      </c>
      <c r="F60" s="291">
        <f>'[46]2023-24'!$M196/10^6</f>
        <v>0</v>
      </c>
      <c r="G60" s="291">
        <f>'[46]2023-24'!$S196/10^6</f>
        <v>0</v>
      </c>
      <c r="H60" s="291">
        <f>'[46]2023-24'!$Y196/10^6</f>
        <v>0</v>
      </c>
      <c r="I60" s="291">
        <f>'[46]2023-24'!$AE196/10^6</f>
        <v>0</v>
      </c>
      <c r="J60" s="291">
        <f>'[46]2023-24'!$AK196/10^6</f>
        <v>2.54148714375</v>
      </c>
      <c r="K60" s="291">
        <f>'[46]2023-24'!$AQ196/10^6</f>
        <v>130.70478384999998</v>
      </c>
      <c r="L60" s="291">
        <f>'[46]2023-24'!$AW196/10^6</f>
        <v>55.620662985000003</v>
      </c>
      <c r="M60" s="291">
        <f>'[46]2023-24'!$BC196/10^6</f>
        <v>59.103532778499996</v>
      </c>
      <c r="N60" s="291">
        <f>'[46]2023-24'!$BI196/10^6</f>
        <v>101.6697163855</v>
      </c>
      <c r="O60" s="291">
        <f>'[46]2023-24'!$BO196/10^6</f>
        <v>110.76740685149998</v>
      </c>
      <c r="P60" s="291">
        <f>'[46]2023-24'!$BU196/10^6</f>
        <v>318.59152655799994</v>
      </c>
      <c r="Q60" s="66">
        <f>SUM(E60:P60)</f>
        <v>778.99911655224992</v>
      </c>
    </row>
    <row r="61" spans="3:17" x14ac:dyDescent="0.25">
      <c r="C61" s="17"/>
      <c r="D61" s="17" t="s">
        <v>380</v>
      </c>
      <c r="E61" s="291">
        <f>'[46]2023-24'!$G178/10^6</f>
        <v>0.72031018749999998</v>
      </c>
      <c r="F61" s="291">
        <f>'[46]2023-24'!$M178/10^6</f>
        <v>0.51980516349999994</v>
      </c>
      <c r="G61" s="291">
        <f>'[46]2023-24'!$S178/10^6</f>
        <v>0.72789061749999995</v>
      </c>
      <c r="H61" s="291">
        <f>'[46]2023-24'!$Y178/10^6</f>
        <v>0.57893840749999992</v>
      </c>
      <c r="I61" s="291">
        <f>'[46]2023-24'!$AE178/10^6</f>
        <v>0.51035230249999997</v>
      </c>
      <c r="J61" s="291">
        <f>'[46]2023-24'!$AK178/10^6</f>
        <v>0.93651677349999984</v>
      </c>
      <c r="K61" s="291">
        <f>'[46]2023-24'!$AQ178/10^6</f>
        <v>0.42275710599999999</v>
      </c>
      <c r="L61" s="291">
        <f>'[46]2023-24'!$AW178/10^6</f>
        <v>0.518681646</v>
      </c>
      <c r="M61" s="291">
        <f>'[46]2023-24'!$BC178/10^6</f>
        <v>0.46552292349999996</v>
      </c>
      <c r="N61" s="291">
        <f>'[46]2023-24'!$BI178/10^6</f>
        <v>0.62161086850000002</v>
      </c>
      <c r="O61" s="291">
        <f>'[46]2023-24'!$BO178/10^6</f>
        <v>0.52355768250000001</v>
      </c>
      <c r="P61" s="291">
        <f>'[46]2023-24'!$BU178/10^6</f>
        <v>0.76847360099999995</v>
      </c>
      <c r="Q61" s="66">
        <f t="shared" si="5"/>
        <v>7.3144172794999998</v>
      </c>
    </row>
    <row r="62" spans="3:17" x14ac:dyDescent="0.25">
      <c r="C62" s="17"/>
      <c r="D62" s="17" t="s">
        <v>381</v>
      </c>
      <c r="E62" s="291">
        <f>'[46]2023-24'!$G179/10^6</f>
        <v>0.71657092099999997</v>
      </c>
      <c r="F62" s="291">
        <f>'[46]2023-24'!$M179/10^6</f>
        <v>0.254948061</v>
      </c>
      <c r="G62" s="291">
        <f>'[46]2023-24'!$S179/10^6</f>
        <v>0.37003483249999997</v>
      </c>
      <c r="H62" s="291">
        <f>'[46]2023-24'!$Y179/10^6</f>
        <v>0.63013576000000004</v>
      </c>
      <c r="I62" s="291">
        <f>'[46]2023-24'!$AE179/10^6</f>
        <v>0.7725809924999999</v>
      </c>
      <c r="J62" s="291">
        <f>'[46]2023-24'!$AK179/10^6</f>
        <v>1.1355875824999999</v>
      </c>
      <c r="K62" s="291">
        <f>'[46]2023-24'!$AQ179/10^6</f>
        <v>0.64343773599999987</v>
      </c>
      <c r="L62" s="291">
        <f>'[46]2023-24'!$AW179/10^6</f>
        <v>0.56916100749999998</v>
      </c>
      <c r="M62" s="291">
        <f>'[46]2023-24'!$BC179/10^6</f>
        <v>0.41893007850000002</v>
      </c>
      <c r="N62" s="291">
        <f>'[46]2023-24'!$BI179/10^6</f>
        <v>0.85418399749999996</v>
      </c>
      <c r="O62" s="291">
        <f>'[46]2023-24'!$BO179/10^6</f>
        <v>0.73404507849999989</v>
      </c>
      <c r="P62" s="291">
        <f>'[46]2023-24'!$BU179/10^6</f>
        <v>0.9385155449999999</v>
      </c>
      <c r="Q62" s="66">
        <f t="shared" si="5"/>
        <v>8.0381315924999992</v>
      </c>
    </row>
    <row r="63" spans="3:17" x14ac:dyDescent="0.25">
      <c r="C63" s="17"/>
      <c r="D63" s="17" t="s">
        <v>382</v>
      </c>
      <c r="E63" s="291">
        <f>'[46]2023-24'!$G180/10^6</f>
        <v>11.984319682499999</v>
      </c>
      <c r="F63" s="291">
        <f>'[46]2023-24'!$M180/10^6</f>
        <v>9.8379904299999996</v>
      </c>
      <c r="G63" s="291">
        <f>'[46]2023-24'!$S180/10^6</f>
        <v>11.262907476000001</v>
      </c>
      <c r="H63" s="291">
        <f>'[46]2023-24'!$Y180/10^6</f>
        <v>11.342863342499999</v>
      </c>
      <c r="I63" s="291">
        <f>'[46]2023-24'!$AE180/10^6</f>
        <v>7.7863002249999997</v>
      </c>
      <c r="J63" s="291">
        <f>'[46]2023-24'!$AK180/10^6</f>
        <v>6.7098991909999999</v>
      </c>
      <c r="K63" s="291">
        <f>'[46]2023-24'!$AQ180/10^6</f>
        <v>10.365503541999999</v>
      </c>
      <c r="L63" s="291">
        <f>'[46]2023-24'!$AW180/10^6</f>
        <v>11.077345087499998</v>
      </c>
      <c r="M63" s="291">
        <f>'[46]2023-24'!$BC180/10^6</f>
        <v>12.186520731999998</v>
      </c>
      <c r="N63" s="291">
        <f>'[46]2023-24'!$BI180/10^6</f>
        <v>12.5621310385</v>
      </c>
      <c r="O63" s="291">
        <f>'[46]2023-24'!$BO180/10^6</f>
        <v>8.5635911559999993</v>
      </c>
      <c r="P63" s="291">
        <f>'[46]2023-24'!$BU180/10^6</f>
        <v>12.7898678885</v>
      </c>
      <c r="Q63" s="66">
        <f t="shared" si="5"/>
        <v>126.46923979149999</v>
      </c>
    </row>
    <row r="64" spans="3:17" x14ac:dyDescent="0.25">
      <c r="C64" s="17"/>
      <c r="D64" s="17" t="s">
        <v>383</v>
      </c>
      <c r="E64" s="291">
        <f>'[46]2023-24'!$G181/10^6</f>
        <v>1.0572337959999998</v>
      </c>
      <c r="F64" s="291">
        <f>'[46]2023-24'!$M181/10^6</f>
        <v>0.76736628099999993</v>
      </c>
      <c r="G64" s="291">
        <f>'[46]2023-24'!$S181/10^6</f>
        <v>0.68331215249999999</v>
      </c>
      <c r="H64" s="291">
        <f>'[46]2023-24'!$Y181/10^6</f>
        <v>1.5182971059999999</v>
      </c>
      <c r="I64" s="291">
        <f>'[46]2023-24'!$AE181/10^6</f>
        <v>0.98555985849999994</v>
      </c>
      <c r="J64" s="291">
        <f>'[46]2023-24'!$AK181/10^6</f>
        <v>1.5293817914999999</v>
      </c>
      <c r="K64" s="291">
        <f>'[46]2023-24'!$AQ181/10^6</f>
        <v>0.70254447499999995</v>
      </c>
      <c r="L64" s="291">
        <f>'[46]2023-24'!$AW181/10^6</f>
        <v>0.90085724099999998</v>
      </c>
      <c r="M64" s="291">
        <f>'[46]2023-24'!$BC181/10^6</f>
        <v>0.61453845100000004</v>
      </c>
      <c r="N64" s="291">
        <f>'[46]2023-24'!$BI181/10^6</f>
        <v>1.3925883084999997</v>
      </c>
      <c r="O64" s="291">
        <f>'[46]2023-24'!$BO181/10^6</f>
        <v>1.0603893634999999</v>
      </c>
      <c r="P64" s="291">
        <f>'[46]2023-24'!$BU181/10^6</f>
        <v>1.1006657725</v>
      </c>
      <c r="Q64" s="66">
        <f t="shared" si="5"/>
        <v>12.312734596999997</v>
      </c>
    </row>
    <row r="65" spans="3:17" x14ac:dyDescent="0.25">
      <c r="C65" s="17"/>
      <c r="D65" s="17" t="s">
        <v>384</v>
      </c>
      <c r="E65" s="291">
        <f>'[46]2023-24'!$G182/10^6</f>
        <v>0.80634924599999991</v>
      </c>
      <c r="F65" s="291">
        <f>'[46]2023-24'!$M182/10^6</f>
        <v>0.51973742849999993</v>
      </c>
      <c r="G65" s="291">
        <f>'[46]2023-24'!$S182/10^6</f>
        <v>0.59906011999999997</v>
      </c>
      <c r="H65" s="291">
        <f>'[46]2023-24'!$Y182/10^6</f>
        <v>0.91438509849999994</v>
      </c>
      <c r="I65" s="291">
        <f>'[46]2023-24'!$AE182/10^6</f>
        <v>0.3830546775</v>
      </c>
      <c r="J65" s="291">
        <f>'[46]2023-24'!$AK182/10^6</f>
        <v>0.82404928499999996</v>
      </c>
      <c r="K65" s="291">
        <f>'[46]2023-24'!$AQ182/10^6</f>
        <v>0.61917299749999999</v>
      </c>
      <c r="L65" s="291">
        <f>'[46]2023-24'!$AW182/10^6</f>
        <v>0.71374519349999999</v>
      </c>
      <c r="M65" s="291">
        <f>'[46]2023-24'!$BC182/10^6</f>
        <v>0.43781106250000001</v>
      </c>
      <c r="N65" s="291">
        <f>'[46]2023-24'!$BI182/10^6</f>
        <v>0.59043274249999989</v>
      </c>
      <c r="O65" s="291">
        <f>'[46]2023-24'!$BO182/10^6</f>
        <v>0.38451098</v>
      </c>
      <c r="P65" s="291">
        <f>'[46]2023-24'!$BU182/10^6</f>
        <v>0.62340348999999995</v>
      </c>
      <c r="Q65" s="66">
        <f t="shared" si="5"/>
        <v>7.4157123215</v>
      </c>
    </row>
    <row r="66" spans="3:17" x14ac:dyDescent="0.25">
      <c r="C66" s="17"/>
      <c r="D66" s="17" t="s">
        <v>385</v>
      </c>
      <c r="E66" s="291">
        <f>'[46]2023-24'!$G197/10^6</f>
        <v>18.301131169999998</v>
      </c>
      <c r="F66" s="291">
        <f>'[46]2023-24'!$M197/10^6</f>
        <v>12.169144348499998</v>
      </c>
      <c r="G66" s="291">
        <f>'[46]2023-24'!$S197/10^6</f>
        <v>14.288665854999998</v>
      </c>
      <c r="H66" s="291">
        <f>'[46]2023-24'!$Y197/10^6</f>
        <v>17.292088764999999</v>
      </c>
      <c r="I66" s="291">
        <f>'[46]2023-24'!$AE197/10^6</f>
        <v>14.705312380500001</v>
      </c>
      <c r="J66" s="291">
        <f>'[46]2023-24'!$AK197/10^6</f>
        <v>10.845138022</v>
      </c>
      <c r="K66" s="291">
        <f>'[46]2023-24'!$AQ197/10^6</f>
        <v>11.062415115499999</v>
      </c>
      <c r="L66" s="291">
        <f>'[46]2023-24'!$AW197/10^6</f>
        <v>5.2605763410000002</v>
      </c>
      <c r="M66" s="291">
        <f>'[46]2023-24'!$BC197/10^6</f>
        <v>3.132499315</v>
      </c>
      <c r="N66" s="291">
        <f>'[46]2023-24'!$BI197/10^6</f>
        <v>5.1912218855000001</v>
      </c>
      <c r="O66" s="291">
        <f>'[46]2023-24'!$BO197/10^6</f>
        <v>5.2842261634999996</v>
      </c>
      <c r="P66" s="291">
        <f>'[46]2023-24'!$BU197/10^6</f>
        <v>7.0640831499999992</v>
      </c>
      <c r="Q66" s="66">
        <f>SUM(E66:P66)</f>
        <v>124.59650251150001</v>
      </c>
    </row>
    <row r="67" spans="3:17" x14ac:dyDescent="0.25">
      <c r="C67" s="17"/>
      <c r="D67" s="17" t="s">
        <v>386</v>
      </c>
      <c r="E67" s="291">
        <f>'[46]2023-24'!$G198/10^6</f>
        <v>21.880473273499998</v>
      </c>
      <c r="F67" s="291">
        <f>'[46]2023-24'!$M198/10^6</f>
        <v>14.769582882499998</v>
      </c>
      <c r="G67" s="291">
        <f>'[46]2023-24'!$S198/10^6</f>
        <v>20.443715265999998</v>
      </c>
      <c r="H67" s="291">
        <f>'[46]2023-24'!$Y198/10^6</f>
        <v>15.869255600999999</v>
      </c>
      <c r="I67" s="291">
        <f>'[46]2023-24'!$AE198/10^6</f>
        <v>14.033855619999999</v>
      </c>
      <c r="J67" s="291">
        <f>'[46]2023-24'!$AK198/10^6</f>
        <v>25.290851303</v>
      </c>
      <c r="K67" s="291">
        <f>'[46]2023-24'!$AQ198/10^6</f>
        <v>29.595057741999998</v>
      </c>
      <c r="L67" s="291">
        <f>'[46]2023-24'!$AW198/10^6</f>
        <v>16.548802571</v>
      </c>
      <c r="M67" s="291">
        <f>'[46]2023-24'!$BC198/10^6</f>
        <v>11.5011205745</v>
      </c>
      <c r="N67" s="291">
        <f>'[46]2023-24'!$BI198/10^6</f>
        <v>17.2824424175</v>
      </c>
      <c r="O67" s="291">
        <f>'[46]2023-24'!$BO198/10^6</f>
        <v>15.710459433999999</v>
      </c>
      <c r="P67" s="291">
        <f>'[46]2023-24'!$BU198/10^6</f>
        <v>19.946455844499997</v>
      </c>
      <c r="Q67" s="66">
        <f>SUM(E67:P67)</f>
        <v>222.8720725295</v>
      </c>
    </row>
    <row r="68" spans="3:17" x14ac:dyDescent="0.25">
      <c r="C68" s="17"/>
      <c r="D68" s="113" t="s">
        <v>438</v>
      </c>
      <c r="E68" s="291">
        <f>'[46]2023-24'!$G183/10^6</f>
        <v>0</v>
      </c>
      <c r="F68" s="291">
        <f>'[46]2023-24'!$M183/10^6</f>
        <v>0</v>
      </c>
      <c r="G68" s="291">
        <f>'[46]2023-24'!$S183/10^6</f>
        <v>5.4817935499999998E-2</v>
      </c>
      <c r="H68" s="291">
        <f>'[46]2023-24'!$Y183/10^6</f>
        <v>0</v>
      </c>
      <c r="I68" s="291">
        <f>'[46]2023-24'!$AE183/10^6</f>
        <v>0</v>
      </c>
      <c r="J68" s="291">
        <f>'[46]2023-24'!$AK183/10^6</f>
        <v>0</v>
      </c>
      <c r="K68" s="291">
        <f>'[46]2023-24'!$AQ183/10^6</f>
        <v>0</v>
      </c>
      <c r="L68" s="291">
        <f>'[46]2023-24'!$AW183/10^6</f>
        <v>0</v>
      </c>
      <c r="M68" s="291">
        <f>'[46]2023-24'!$BC183/10^6</f>
        <v>0</v>
      </c>
      <c r="N68" s="291">
        <f>'[46]2023-24'!$BI183/10^6</f>
        <v>0</v>
      </c>
      <c r="O68" s="291">
        <f>'[46]2023-24'!$BO183/10^6</f>
        <v>0</v>
      </c>
      <c r="P68" s="291">
        <f>'[46]2023-24'!$BU183/10^6</f>
        <v>0</v>
      </c>
      <c r="Q68" s="66">
        <f t="shared" si="5"/>
        <v>5.4817935499999998E-2</v>
      </c>
    </row>
    <row r="69" spans="3:17" x14ac:dyDescent="0.25">
      <c r="C69" s="17"/>
      <c r="D69" s="113" t="s">
        <v>439</v>
      </c>
      <c r="E69" s="291">
        <f>'[46]2023-24'!$G184/10^6</f>
        <v>0</v>
      </c>
      <c r="F69" s="291">
        <f>'[46]2023-24'!$M184/10^6</f>
        <v>0</v>
      </c>
      <c r="G69" s="291">
        <f>'[46]2023-24'!$S184/10^6</f>
        <v>0.41571443299999994</v>
      </c>
      <c r="H69" s="291">
        <f>'[46]2023-24'!$Y184/10^6</f>
        <v>0</v>
      </c>
      <c r="I69" s="291">
        <f>'[46]2023-24'!$AE184/10^6</f>
        <v>0</v>
      </c>
      <c r="J69" s="291">
        <f>'[46]2023-24'!$AK184/10^6</f>
        <v>0</v>
      </c>
      <c r="K69" s="291">
        <f>'[46]2023-24'!$AQ184/10^6</f>
        <v>0</v>
      </c>
      <c r="L69" s="291">
        <f>'[46]2023-24'!$AW184/10^6</f>
        <v>0</v>
      </c>
      <c r="M69" s="291">
        <f>'[46]2023-24'!$BC184/10^6</f>
        <v>0</v>
      </c>
      <c r="N69" s="291">
        <f>'[46]2023-24'!$BI184/10^6</f>
        <v>0</v>
      </c>
      <c r="O69" s="291">
        <f>'[46]2023-24'!$BO184/10^6</f>
        <v>0</v>
      </c>
      <c r="P69" s="291">
        <f>'[46]2023-24'!$BU184/10^6</f>
        <v>0</v>
      </c>
      <c r="Q69" s="66">
        <f t="shared" si="5"/>
        <v>0.41571443299999994</v>
      </c>
    </row>
    <row r="70" spans="3:17" x14ac:dyDescent="0.25">
      <c r="C70" s="17"/>
      <c r="D70" s="113" t="s">
        <v>440</v>
      </c>
      <c r="E70" s="291">
        <f>'[46]2023-24'!$G185/10^6</f>
        <v>0</v>
      </c>
      <c r="F70" s="291">
        <f>'[46]2023-24'!$M185/10^6</f>
        <v>0</v>
      </c>
      <c r="G70" s="291">
        <f>'[46]2023-24'!$S185/10^6</f>
        <v>0</v>
      </c>
      <c r="H70" s="291">
        <f>'[46]2023-24'!$Y185/10^6</f>
        <v>0</v>
      </c>
      <c r="I70" s="291">
        <f>'[46]2023-24'!$AE185/10^6</f>
        <v>0</v>
      </c>
      <c r="J70" s="291">
        <f>'[46]2023-24'!$AK185/10^6</f>
        <v>0</v>
      </c>
      <c r="K70" s="291">
        <f>'[46]2023-24'!$AQ185/10^6</f>
        <v>0</v>
      </c>
      <c r="L70" s="291">
        <f>'[46]2023-24'!$AW185/10^6</f>
        <v>0</v>
      </c>
      <c r="M70" s="291">
        <f>'[46]2023-24'!$BC185/10^6</f>
        <v>0</v>
      </c>
      <c r="N70" s="291">
        <f>'[46]2023-24'!$BI185/10^6</f>
        <v>0</v>
      </c>
      <c r="O70" s="291">
        <f>'[46]2023-24'!$BO185/10^6</f>
        <v>0</v>
      </c>
      <c r="P70" s="291">
        <f>'[46]2023-24'!$BU185/10^6</f>
        <v>0</v>
      </c>
      <c r="Q70" s="66">
        <f t="shared" si="5"/>
        <v>0</v>
      </c>
    </row>
    <row r="71" spans="3:17" x14ac:dyDescent="0.25">
      <c r="C71" s="17"/>
      <c r="D71" s="114" t="s">
        <v>441</v>
      </c>
      <c r="E71" s="291">
        <f>'[46]2023-24'!$G186/10^6</f>
        <v>0</v>
      </c>
      <c r="F71" s="291">
        <f>'[46]2023-24'!$M186/10^6</f>
        <v>6.8480674000000005E-2</v>
      </c>
      <c r="G71" s="291">
        <f>'[46]2023-24'!$S186/10^6</f>
        <v>0</v>
      </c>
      <c r="H71" s="291">
        <f>'[46]2023-24'!$Y186/10^6</f>
        <v>0</v>
      </c>
      <c r="I71" s="291">
        <f>'[46]2023-24'!$AE186/10^6</f>
        <v>0</v>
      </c>
      <c r="J71" s="291">
        <f>'[46]2023-24'!$AK186/10^6</f>
        <v>0</v>
      </c>
      <c r="K71" s="291">
        <f>'[46]2023-24'!$AQ186/10^6</f>
        <v>0</v>
      </c>
      <c r="L71" s="291">
        <f>'[46]2023-24'!$AW186/10^6</f>
        <v>0</v>
      </c>
      <c r="M71" s="291">
        <f>'[46]2023-24'!$BC186/10^6</f>
        <v>0</v>
      </c>
      <c r="N71" s="291">
        <f>'[46]2023-24'!$BI186/10^6</f>
        <v>0</v>
      </c>
      <c r="O71" s="291">
        <f>'[46]2023-24'!$BO186/10^6</f>
        <v>0</v>
      </c>
      <c r="P71" s="291">
        <f>'[46]2023-24'!$BU186/10^6</f>
        <v>0</v>
      </c>
      <c r="Q71" s="66">
        <f t="shared" si="5"/>
        <v>6.8480674000000005E-2</v>
      </c>
    </row>
    <row r="72" spans="3:17" x14ac:dyDescent="0.25">
      <c r="C72" s="17"/>
      <c r="D72" s="114" t="s">
        <v>442</v>
      </c>
      <c r="E72" s="291">
        <f>'[46]2023-24'!$G187/10^6</f>
        <v>0</v>
      </c>
      <c r="F72" s="291">
        <f>'[46]2023-24'!$M187/10^6</f>
        <v>0.17311829100000001</v>
      </c>
      <c r="G72" s="291">
        <f>'[46]2023-24'!$S187/10^6</f>
        <v>0</v>
      </c>
      <c r="H72" s="291">
        <f>'[46]2023-24'!$Y187/10^6</f>
        <v>0</v>
      </c>
      <c r="I72" s="291">
        <f>'[46]2023-24'!$AE187/10^6</f>
        <v>0</v>
      </c>
      <c r="J72" s="291">
        <f>'[46]2023-24'!$AK187/10^6</f>
        <v>0</v>
      </c>
      <c r="K72" s="291">
        <f>'[46]2023-24'!$AQ187/10^6</f>
        <v>0</v>
      </c>
      <c r="L72" s="291">
        <f>'[46]2023-24'!$AW187/10^6</f>
        <v>0</v>
      </c>
      <c r="M72" s="291">
        <f>'[46]2023-24'!$BC187/10^6</f>
        <v>0</v>
      </c>
      <c r="N72" s="291">
        <f>'[46]2023-24'!$BI187/10^6</f>
        <v>0</v>
      </c>
      <c r="O72" s="291">
        <f>'[46]2023-24'!$BO187/10^6</f>
        <v>0</v>
      </c>
      <c r="P72" s="291">
        <f>'[46]2023-24'!$BU187/10^6</f>
        <v>0</v>
      </c>
      <c r="Q72" s="66">
        <f t="shared" si="5"/>
        <v>0.17311829100000001</v>
      </c>
    </row>
    <row r="73" spans="3:17" x14ac:dyDescent="0.25">
      <c r="C73" s="17"/>
      <c r="D73" s="113" t="s">
        <v>443</v>
      </c>
      <c r="E73" s="291">
        <f>'[46]2023-24'!$G188/10^6</f>
        <v>0</v>
      </c>
      <c r="F73" s="291">
        <f>'[46]2023-24'!$M188/10^6</f>
        <v>0</v>
      </c>
      <c r="G73" s="291">
        <f>'[46]2023-24'!$S188/10^6</f>
        <v>0</v>
      </c>
      <c r="H73" s="291">
        <f>'[46]2023-24'!$Y188/10^6</f>
        <v>0</v>
      </c>
      <c r="I73" s="291">
        <f>'[46]2023-24'!$AE188/10^6</f>
        <v>0</v>
      </c>
      <c r="J73" s="291">
        <f>'[46]2023-24'!$AK188/10^6</f>
        <v>0</v>
      </c>
      <c r="K73" s="291">
        <f>'[46]2023-24'!$AQ188/10^6</f>
        <v>1.7149912542109357E-2</v>
      </c>
      <c r="L73" s="291">
        <f>'[46]2023-24'!$AW188/10^6</f>
        <v>0</v>
      </c>
      <c r="M73" s="291">
        <f>'[46]2023-24'!$BC188/10^6</f>
        <v>0</v>
      </c>
      <c r="N73" s="291">
        <f>'[46]2023-24'!$BI188/10^6</f>
        <v>0</v>
      </c>
      <c r="O73" s="291">
        <f>'[46]2023-24'!$BO188/10^6</f>
        <v>0</v>
      </c>
      <c r="P73" s="291">
        <f>'[46]2023-24'!$BU188/10^6</f>
        <v>0</v>
      </c>
      <c r="Q73" s="66">
        <f t="shared" si="5"/>
        <v>1.7149912542109357E-2</v>
      </c>
    </row>
    <row r="74" spans="3:17" x14ac:dyDescent="0.25">
      <c r="C74" s="17"/>
      <c r="D74" s="113" t="s">
        <v>444</v>
      </c>
      <c r="E74" s="291">
        <f>'[46]2023-24'!$G189/10^6</f>
        <v>0</v>
      </c>
      <c r="F74" s="291">
        <f>'[46]2023-24'!$M189/10^6</f>
        <v>0</v>
      </c>
      <c r="G74" s="291">
        <f>'[46]2023-24'!$S189/10^6</f>
        <v>0</v>
      </c>
      <c r="H74" s="291">
        <f>'[46]2023-24'!$Y189/10^6</f>
        <v>0</v>
      </c>
      <c r="I74" s="291">
        <f>'[46]2023-24'!$AE189/10^6</f>
        <v>0</v>
      </c>
      <c r="J74" s="291">
        <f>'[46]2023-24'!$AK189/10^6</f>
        <v>0</v>
      </c>
      <c r="K74" s="291">
        <f>'[46]2023-24'!$AQ189/10^6</f>
        <v>0</v>
      </c>
      <c r="L74" s="291">
        <f>'[46]2023-24'!$AW189/10^6</f>
        <v>0</v>
      </c>
      <c r="M74" s="291">
        <f>'[46]2023-24'!$BC189/10^6</f>
        <v>0</v>
      </c>
      <c r="N74" s="291">
        <f>'[46]2023-24'!$BI189/10^6</f>
        <v>0</v>
      </c>
      <c r="O74" s="291">
        <f>'[46]2023-24'!$BO189/10^6</f>
        <v>0</v>
      </c>
      <c r="P74" s="291">
        <f>'[46]2023-24'!$BU189/10^6</f>
        <v>0</v>
      </c>
      <c r="Q74" s="66">
        <f t="shared" si="5"/>
        <v>0</v>
      </c>
    </row>
    <row r="75" spans="3:17" x14ac:dyDescent="0.25">
      <c r="C75" s="17"/>
      <c r="D75" s="17"/>
      <c r="Q75" s="66"/>
    </row>
    <row r="76" spans="3:17" x14ac:dyDescent="0.25">
      <c r="C76" s="17"/>
      <c r="D76" s="17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</row>
    <row r="77" spans="3:17" x14ac:dyDescent="0.25">
      <c r="C77" s="751" t="s">
        <v>212</v>
      </c>
      <c r="D77" s="752"/>
      <c r="E77" s="66">
        <f t="shared" ref="E77:P77" si="7">SUM(E52:E76)</f>
        <v>323.61731339038846</v>
      </c>
      <c r="F77" s="66">
        <f t="shared" si="7"/>
        <v>253.54709425367193</v>
      </c>
      <c r="G77" s="66">
        <f t="shared" si="7"/>
        <v>320.58040090163649</v>
      </c>
      <c r="H77" s="66">
        <f t="shared" si="7"/>
        <v>295.79238959811602</v>
      </c>
      <c r="I77" s="66">
        <f t="shared" si="7"/>
        <v>329.51902354971349</v>
      </c>
      <c r="J77" s="66">
        <f t="shared" si="7"/>
        <v>387.66316668211351</v>
      </c>
      <c r="K77" s="66">
        <f t="shared" si="7"/>
        <v>543.43456837874305</v>
      </c>
      <c r="L77" s="66">
        <f t="shared" si="7"/>
        <v>380.82145341205205</v>
      </c>
      <c r="M77" s="66">
        <f t="shared" si="7"/>
        <v>343.59378516509946</v>
      </c>
      <c r="N77" s="66">
        <f t="shared" si="7"/>
        <v>473.45922974376106</v>
      </c>
      <c r="O77" s="66">
        <f t="shared" si="7"/>
        <v>445.72053591195646</v>
      </c>
      <c r="P77" s="66">
        <f t="shared" si="7"/>
        <v>666.78422323436087</v>
      </c>
      <c r="Q77" s="86">
        <f>SUM(E77:P77)</f>
        <v>4764.5331842216128</v>
      </c>
    </row>
    <row r="78" spans="3:17" x14ac:dyDescent="0.25">
      <c r="C78" s="753" t="s">
        <v>387</v>
      </c>
      <c r="D78" s="754"/>
      <c r="Q78" s="66"/>
    </row>
    <row r="79" spans="3:17" x14ac:dyDescent="0.25">
      <c r="C79" s="805" t="s">
        <v>388</v>
      </c>
      <c r="D79" s="17" t="s">
        <v>389</v>
      </c>
      <c r="E79" s="291">
        <f>'[46]2023-24'!$G176/10^6</f>
        <v>1.9459511579999997</v>
      </c>
      <c r="F79" s="291">
        <f>'[46]2023-24'!$M176/10^6</f>
        <v>1.9884357279999998</v>
      </c>
      <c r="G79" s="291">
        <f>'[46]2023-24'!$S176/10^6</f>
        <v>1.7825434155</v>
      </c>
      <c r="H79" s="291">
        <f>'[46]2023-24'!$Y176/10^6</f>
        <v>0</v>
      </c>
      <c r="I79" s="291">
        <f>'[46]2023-24'!$AE176/10^6</f>
        <v>0</v>
      </c>
      <c r="J79" s="291">
        <f>'[46]2023-24'!$AK176/10^6</f>
        <v>0.94694118999999999</v>
      </c>
      <c r="K79" s="291">
        <f>'[46]2023-24'!$AQ176/10^6</f>
        <v>1.7103172904999999</v>
      </c>
      <c r="L79" s="291">
        <f>'[46]2023-24'!$AW176/10^6</f>
        <v>1.9246644034999998</v>
      </c>
      <c r="M79" s="291">
        <f>'[46]2023-24'!$BC176/10^6</f>
        <v>2.0268556090000001</v>
      </c>
      <c r="N79" s="291">
        <f>'[46]2023-24'!$BI176/10^6</f>
        <v>2.006795447</v>
      </c>
      <c r="O79" s="291">
        <f>'[46]2023-24'!$BO176/10^6</f>
        <v>1.8088778999999999</v>
      </c>
      <c r="P79" s="291">
        <f>'[46]2023-24'!$BU176/10^6</f>
        <v>2.0014467379999998</v>
      </c>
      <c r="Q79" s="66">
        <f t="shared" ref="Q79:Q80" si="8">SUM(E79:P79)</f>
        <v>18.142828879499998</v>
      </c>
    </row>
    <row r="80" spans="3:17" x14ac:dyDescent="0.25">
      <c r="C80" s="806"/>
      <c r="D80" s="17" t="s">
        <v>390</v>
      </c>
      <c r="E80" s="291">
        <f>'[46]2023-24'!$G175/10^6</f>
        <v>28.032147419999998</v>
      </c>
      <c r="F80" s="291">
        <f>'[46]2023-24'!$M175/10^6</f>
        <v>25.246523752000002</v>
      </c>
      <c r="G80" s="291">
        <f>'[46]2023-24'!$S175/10^6</f>
        <v>23.477254924</v>
      </c>
      <c r="H80" s="291">
        <f>'[46]2023-24'!$Y175/10^6</f>
        <v>26.5291958255</v>
      </c>
      <c r="I80" s="291">
        <f>'[46]2023-24'!$AE175/10^6</f>
        <v>27.768954536999995</v>
      </c>
      <c r="J80" s="291">
        <f>'[46]2023-24'!$AK175/10^6</f>
        <v>27.732041906999999</v>
      </c>
      <c r="K80" s="291">
        <f>'[46]2023-24'!$AQ175/10^6</f>
        <v>22.724643976499998</v>
      </c>
      <c r="L80" s="291">
        <f>'[46]2023-24'!$AW175/10^6</f>
        <v>25.660313627499999</v>
      </c>
      <c r="M80" s="291">
        <f>'[46]2023-24'!$BC175/10^6</f>
        <v>28.592995870499998</v>
      </c>
      <c r="N80" s="291">
        <f>'[46]2023-24'!$BI175/10^6</f>
        <v>26.449659032499998</v>
      </c>
      <c r="O80" s="291">
        <f>'[46]2023-24'!$BO175/10^6</f>
        <v>26.914955779999996</v>
      </c>
      <c r="P80" s="291">
        <f>'[46]2023-24'!$BU175/10^6</f>
        <v>28.769018814999999</v>
      </c>
      <c r="Q80" s="66">
        <f t="shared" si="8"/>
        <v>317.89770546749997</v>
      </c>
    </row>
    <row r="81" spans="3:17" x14ac:dyDescent="0.25">
      <c r="C81" s="806"/>
      <c r="D81" s="17" t="s">
        <v>391</v>
      </c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66"/>
    </row>
    <row r="82" spans="3:17" x14ac:dyDescent="0.25">
      <c r="C82" s="807"/>
      <c r="D82" s="17" t="s">
        <v>445</v>
      </c>
      <c r="E82" s="291">
        <f>'[46]2023-24'!$G177/10^6</f>
        <v>8.0069248999999996</v>
      </c>
      <c r="F82" s="291">
        <f>'[46]2023-24'!$M177/10^6</f>
        <v>2.261331797</v>
      </c>
      <c r="G82" s="291">
        <f>'[46]2023-24'!$S177/10^6</f>
        <v>0.85675203749999995</v>
      </c>
      <c r="H82" s="291">
        <f>'[46]2023-24'!$Y177/10^6</f>
        <v>3.0611325409999997</v>
      </c>
      <c r="I82" s="291">
        <f>'[46]2023-24'!$AE177/10^6</f>
        <v>11.015083369999999</v>
      </c>
      <c r="J82" s="291">
        <f>'[46]2023-24'!$AK177/10^6</f>
        <v>10.827293678</v>
      </c>
      <c r="K82" s="291">
        <f>'[46]2023-24'!$AQ177/10^6</f>
        <v>11.333548602</v>
      </c>
      <c r="L82" s="291">
        <f>'[46]2023-24'!$AW177/10^6</f>
        <v>11.019818046499999</v>
      </c>
      <c r="M82" s="291">
        <f>'[46]2023-24'!$BC177/10^6</f>
        <v>8.6228763619999995</v>
      </c>
      <c r="N82" s="291">
        <f>'[46]2023-24'!$BI177/10^6</f>
        <v>11.216744895499998</v>
      </c>
      <c r="O82" s="291">
        <f>'[46]2023-24'!$BO177/10^6</f>
        <v>9.5029869614999996</v>
      </c>
      <c r="P82" s="291">
        <f>'[46]2023-24'!$BU177/10^6</f>
        <v>10.2449696985</v>
      </c>
      <c r="Q82" s="66">
        <f>SUM(E82:P82)</f>
        <v>97.969462889499994</v>
      </c>
    </row>
    <row r="83" spans="3:17" x14ac:dyDescent="0.25">
      <c r="C83" s="17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3:17" x14ac:dyDescent="0.25">
      <c r="C84" s="17"/>
      <c r="D84" s="17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3:17" x14ac:dyDescent="0.25">
      <c r="C85" s="17"/>
      <c r="D85" s="17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3:17" x14ac:dyDescent="0.25">
      <c r="C86" s="17"/>
      <c r="D86" s="17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3:17" x14ac:dyDescent="0.25">
      <c r="C87" s="17"/>
      <c r="D87" s="17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3:17" x14ac:dyDescent="0.25">
      <c r="C88" s="17"/>
      <c r="D88" s="17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3:17" x14ac:dyDescent="0.25">
      <c r="C89" s="17"/>
      <c r="D89" s="17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3:17" x14ac:dyDescent="0.25">
      <c r="C90" s="17"/>
      <c r="D90" s="17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3:17" x14ac:dyDescent="0.25">
      <c r="C91" s="17"/>
      <c r="D91" s="17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3:17" x14ac:dyDescent="0.25">
      <c r="C92" s="17"/>
      <c r="D92" s="17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3:17" x14ac:dyDescent="0.25">
      <c r="C93" s="751" t="s">
        <v>212</v>
      </c>
      <c r="D93" s="752"/>
      <c r="E93" s="66">
        <f t="shared" ref="E93:P93" si="9">SUM(E79:E92)</f>
        <v>37.985023477999995</v>
      </c>
      <c r="F93" s="66">
        <f t="shared" si="9"/>
        <v>29.496291277000001</v>
      </c>
      <c r="G93" s="66">
        <f t="shared" si="9"/>
        <v>26.116550377000003</v>
      </c>
      <c r="H93" s="66">
        <f t="shared" si="9"/>
        <v>29.5903283665</v>
      </c>
      <c r="I93" s="66">
        <f t="shared" si="9"/>
        <v>38.784037906999998</v>
      </c>
      <c r="J93" s="66">
        <f t="shared" si="9"/>
        <v>39.506276775000003</v>
      </c>
      <c r="K93" s="66">
        <f t="shared" si="9"/>
        <v>35.768509868999999</v>
      </c>
      <c r="L93" s="66">
        <f t="shared" si="9"/>
        <v>38.604796077499998</v>
      </c>
      <c r="M93" s="66">
        <f t="shared" si="9"/>
        <v>39.242727841499999</v>
      </c>
      <c r="N93" s="66">
        <f t="shared" si="9"/>
        <v>39.673199374999996</v>
      </c>
      <c r="O93" s="66">
        <f t="shared" si="9"/>
        <v>38.226820641499998</v>
      </c>
      <c r="P93" s="66">
        <f t="shared" si="9"/>
        <v>41.015435251499994</v>
      </c>
      <c r="Q93" s="86">
        <f>SUM(E93:P93)</f>
        <v>434.0099972365</v>
      </c>
    </row>
    <row r="94" spans="3:17" x14ac:dyDescent="0.25">
      <c r="C94" s="753" t="s">
        <v>394</v>
      </c>
      <c r="D94" s="754"/>
      <c r="E94" s="66">
        <f t="shared" ref="E94:P94" si="10">E93+E77</f>
        <v>361.60233686838848</v>
      </c>
      <c r="F94" s="66">
        <f t="shared" si="10"/>
        <v>283.04338553067191</v>
      </c>
      <c r="G94" s="66">
        <f t="shared" si="10"/>
        <v>346.6969512786365</v>
      </c>
      <c r="H94" s="66">
        <f t="shared" si="10"/>
        <v>325.38271796461601</v>
      </c>
      <c r="I94" s="66">
        <f t="shared" si="10"/>
        <v>368.30306145671352</v>
      </c>
      <c r="J94" s="66">
        <f t="shared" si="10"/>
        <v>427.16944345711352</v>
      </c>
      <c r="K94" s="66">
        <f t="shared" si="10"/>
        <v>579.20307824774306</v>
      </c>
      <c r="L94" s="66">
        <f t="shared" si="10"/>
        <v>419.42624948955205</v>
      </c>
      <c r="M94" s="66">
        <f t="shared" si="10"/>
        <v>382.83651300659949</v>
      </c>
      <c r="N94" s="66">
        <f t="shared" si="10"/>
        <v>513.13242911876102</v>
      </c>
      <c r="O94" s="66">
        <f t="shared" si="10"/>
        <v>483.94735655345647</v>
      </c>
      <c r="P94" s="66">
        <f t="shared" si="10"/>
        <v>707.79965848586085</v>
      </c>
      <c r="Q94" s="86">
        <f>SUM(E94:P94)</f>
        <v>5198.5431814581134</v>
      </c>
    </row>
    <row r="95" spans="3:17" x14ac:dyDescent="0.25">
      <c r="C95" s="800" t="s">
        <v>395</v>
      </c>
      <c r="D95" s="801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3:17" x14ac:dyDescent="0.25">
      <c r="C96" s="17" t="s">
        <v>396</v>
      </c>
      <c r="D96" s="17" t="s">
        <v>396</v>
      </c>
      <c r="E96" s="291">
        <f>'[46]2023-24'!$G201/10^6</f>
        <v>111.15823279499999</v>
      </c>
      <c r="F96" s="291">
        <f>'[46]2023-24'!$M201/10^6</f>
        <v>104.87355567499999</v>
      </c>
      <c r="G96" s="291">
        <f>'[46]2023-24'!$S201/10^6</f>
        <v>111.03920841125</v>
      </c>
      <c r="H96" s="291">
        <f>'[46]2023-24'!$Y201/10^6</f>
        <v>113.22122149249999</v>
      </c>
      <c r="I96" s="291">
        <f>'[46]2023-24'!$AE201/10^6</f>
        <v>111.95689986124999</v>
      </c>
      <c r="J96" s="291">
        <f>'[46]2023-24'!$AK201/10^6</f>
        <v>104.9450381875</v>
      </c>
      <c r="K96" s="291">
        <f>'[46]2023-24'!$AQ201/10^6</f>
        <v>105.4054374</v>
      </c>
      <c r="L96" s="291">
        <f>'[46]2023-24'!$AW201/10^6</f>
        <v>89.184813259999899</v>
      </c>
      <c r="M96" s="291">
        <f>'[46]2023-24'!$BC201/10^6</f>
        <v>70.803530233749868</v>
      </c>
      <c r="N96" s="291">
        <f>'[46]2023-24'!$BI201/10^6</f>
        <v>117.7107355775</v>
      </c>
      <c r="O96" s="291">
        <f>'[46]2023-24'!$BO201/10^6</f>
        <v>111.95813234374999</v>
      </c>
      <c r="P96" s="291">
        <f>'[46]2023-24'!$BU201/10^6</f>
        <v>107.85552352374999</v>
      </c>
      <c r="Q96" s="66">
        <f>SUM(E96:P96)</f>
        <v>1260.1123287612497</v>
      </c>
    </row>
    <row r="97" spans="3:17" x14ac:dyDescent="0.25">
      <c r="C97" s="17" t="s">
        <v>397</v>
      </c>
      <c r="D97" s="17" t="s">
        <v>397</v>
      </c>
      <c r="E97" s="291">
        <f>'[46]2023-24'!$G202/10^6</f>
        <v>54.838119941000002</v>
      </c>
      <c r="F97" s="291">
        <f>'[46]2023-24'!$M202/10^6</f>
        <v>57.224821566000003</v>
      </c>
      <c r="G97" s="291">
        <f>'[46]2023-24'!$S202/10^6</f>
        <v>55.122502982499995</v>
      </c>
      <c r="H97" s="291">
        <f>'[46]2023-24'!$Y202/10^6</f>
        <v>57.572061214999998</v>
      </c>
      <c r="I97" s="291">
        <f>'[46]2023-24'!$AE202/10^6</f>
        <v>54.992021812499999</v>
      </c>
      <c r="J97" s="291">
        <f>'[46]2023-24'!$AK202/10^6</f>
        <v>53.161903983499997</v>
      </c>
      <c r="K97" s="291">
        <f>'[46]2023-24'!$AQ202/10^6</f>
        <v>50.0515864085</v>
      </c>
      <c r="L97" s="291">
        <f>'[46]2023-24'!$AW202/10^6</f>
        <v>43.175144522499998</v>
      </c>
      <c r="M97" s="291">
        <f>'[46]2023-24'!$BC202/10^6</f>
        <v>34.476775736</v>
      </c>
      <c r="N97" s="291">
        <f>'[46]2023-24'!$BI202/10^6</f>
        <v>54.615862852500001</v>
      </c>
      <c r="O97" s="291">
        <f>'[46]2023-24'!$BO202/10^6</f>
        <v>50.576213714999994</v>
      </c>
      <c r="P97" s="291">
        <f>'[46]2023-24'!$BU202/10^6</f>
        <v>51.566845452499997</v>
      </c>
      <c r="Q97" s="66">
        <f>SUM(E97:P97)</f>
        <v>617.37386018749999</v>
      </c>
    </row>
    <row r="98" spans="3:17" x14ac:dyDescent="0.25">
      <c r="C98" s="17"/>
      <c r="D98" s="17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66"/>
    </row>
    <row r="99" spans="3:17" x14ac:dyDescent="0.25">
      <c r="C99" s="17"/>
      <c r="D99" s="17"/>
      <c r="Q99" s="66"/>
    </row>
    <row r="100" spans="3:17" x14ac:dyDescent="0.25">
      <c r="C100" s="17"/>
      <c r="D100" s="17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3:17" x14ac:dyDescent="0.25">
      <c r="C101" s="17"/>
      <c r="D101" s="17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</row>
    <row r="102" spans="3:17" x14ac:dyDescent="0.25">
      <c r="C102" s="17"/>
      <c r="D102" s="17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</row>
    <row r="103" spans="3:17" x14ac:dyDescent="0.25">
      <c r="C103" s="753" t="s">
        <v>398</v>
      </c>
      <c r="D103" s="754"/>
      <c r="E103" s="66">
        <f>SUM(E96,E97)</f>
        <v>165.99635273600001</v>
      </c>
      <c r="F103" s="66">
        <f t="shared" ref="F103:P103" si="11">SUM(F96,F97)</f>
        <v>162.09837724099998</v>
      </c>
      <c r="G103" s="66">
        <f t="shared" si="11"/>
        <v>166.16171139375001</v>
      </c>
      <c r="H103" s="66">
        <f t="shared" si="11"/>
        <v>170.7932827075</v>
      </c>
      <c r="I103" s="66">
        <f t="shared" si="11"/>
        <v>166.94892167374999</v>
      </c>
      <c r="J103" s="66">
        <f t="shared" si="11"/>
        <v>158.10694217100001</v>
      </c>
      <c r="K103" s="66">
        <f t="shared" si="11"/>
        <v>155.4570238085</v>
      </c>
      <c r="L103" s="66">
        <f t="shared" si="11"/>
        <v>132.35995778249989</v>
      </c>
      <c r="M103" s="66">
        <f t="shared" si="11"/>
        <v>105.28030596974986</v>
      </c>
      <c r="N103" s="66">
        <f t="shared" si="11"/>
        <v>172.32659842999999</v>
      </c>
      <c r="O103" s="66">
        <f t="shared" si="11"/>
        <v>162.53434605874997</v>
      </c>
      <c r="P103" s="66">
        <f t="shared" si="11"/>
        <v>159.42236897625</v>
      </c>
      <c r="Q103" s="86">
        <f>SUM(E103:P103)</f>
        <v>1877.4861889487495</v>
      </c>
    </row>
    <row r="104" spans="3:17" x14ac:dyDescent="0.25">
      <c r="C104" s="800" t="s">
        <v>399</v>
      </c>
      <c r="D104" s="801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</row>
    <row r="105" spans="3:17" x14ac:dyDescent="0.25">
      <c r="C105" s="17" t="s">
        <v>400</v>
      </c>
      <c r="D105" s="17" t="s">
        <v>400</v>
      </c>
      <c r="E105" s="66">
        <f>'[46]2023-24'!$G223/10^6</f>
        <v>222.4956335</v>
      </c>
      <c r="F105" s="66">
        <f>'[46]2023-24'!$M223/10^6</f>
        <v>229.052087</v>
      </c>
      <c r="G105" s="66">
        <f>'[46]2023-24'!$S223/10^6</f>
        <v>111.4638325</v>
      </c>
      <c r="H105" s="66">
        <f>'[46]2023-24'!$Y223/10^6</f>
        <v>200.50885249999999</v>
      </c>
      <c r="I105" s="66">
        <f>'[46]2023-24'!$AE223/10^6</f>
        <v>239.98274900000001</v>
      </c>
      <c r="J105" s="66">
        <f>'[46]2023-24'!$AK223/10^6</f>
        <v>219.32357400000001</v>
      </c>
      <c r="K105" s="66">
        <f>'[46]2023-24'!$AQ223/10^6</f>
        <v>242.928338</v>
      </c>
      <c r="L105" s="66">
        <f>'[46]2023-24'!$AW223/10^6</f>
        <v>171.25498949999999</v>
      </c>
      <c r="M105" s="66">
        <f>'[46]2023-24'!$BC223/10^6</f>
        <v>161.656351</v>
      </c>
      <c r="N105" s="66">
        <f>'[46]2023-24'!$BI223/10^6</f>
        <v>232.6552945</v>
      </c>
      <c r="O105" s="66">
        <f>'[46]2023-24'!$BO223/10^6</f>
        <v>193.37311750000001</v>
      </c>
      <c r="P105" s="66">
        <f>'[46]2023-24'!$BU223/10^6</f>
        <v>215.63378349999999</v>
      </c>
      <c r="Q105" s="66">
        <f>SUM(E105:P105)</f>
        <v>2440.3286024999998</v>
      </c>
    </row>
    <row r="106" spans="3:17" x14ac:dyDescent="0.25">
      <c r="C106" s="17" t="s">
        <v>401</v>
      </c>
      <c r="D106" s="17" t="s">
        <v>401</v>
      </c>
      <c r="E106" s="66">
        <f>'[46]2023-24'!$G224/10^6</f>
        <v>0</v>
      </c>
      <c r="F106" s="66">
        <f>'[46]2023-24'!$M224/10^6</f>
        <v>0</v>
      </c>
      <c r="G106" s="66">
        <f>'[46]2023-24'!$S224/10^6</f>
        <v>0</v>
      </c>
      <c r="H106" s="66">
        <f>'[46]2023-24'!$Y224/10^6</f>
        <v>0</v>
      </c>
      <c r="I106" s="66">
        <f>'[46]2023-24'!$AE224/10^6</f>
        <v>0</v>
      </c>
      <c r="J106" s="66">
        <f>'[46]2023-24'!$AK224/10^6</f>
        <v>0</v>
      </c>
      <c r="K106" s="66">
        <f>'[46]2023-24'!$AQ224/10^6</f>
        <v>0</v>
      </c>
      <c r="L106" s="66">
        <f>'[46]2023-24'!$AW224/10^6</f>
        <v>0</v>
      </c>
      <c r="M106" s="66">
        <f>'[46]2023-24'!$BC224/10^6</f>
        <v>0</v>
      </c>
      <c r="N106" s="66">
        <f>'[46]2023-24'!$BI224/10^6</f>
        <v>0</v>
      </c>
      <c r="O106" s="66">
        <f>'[46]2023-24'!$BO224/10^6</f>
        <v>0</v>
      </c>
      <c r="P106" s="66">
        <f>'[46]2023-24'!$BU224/10^6</f>
        <v>0</v>
      </c>
      <c r="Q106" s="66">
        <f>SUM(E106:P106)</f>
        <v>0</v>
      </c>
    </row>
    <row r="107" spans="3:17" x14ac:dyDescent="0.25">
      <c r="C107" s="17" t="s">
        <v>402</v>
      </c>
      <c r="D107" s="17" t="s">
        <v>402</v>
      </c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</row>
    <row r="108" spans="3:17" x14ac:dyDescent="0.25">
      <c r="C108" s="17"/>
      <c r="D108" s="17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</row>
    <row r="109" spans="3:17" x14ac:dyDescent="0.25">
      <c r="C109" s="17"/>
      <c r="D109" s="17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</row>
    <row r="110" spans="3:17" x14ac:dyDescent="0.25">
      <c r="C110" s="17"/>
      <c r="D110" s="17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</row>
    <row r="111" spans="3:17" x14ac:dyDescent="0.25">
      <c r="C111" s="17"/>
      <c r="D111" s="17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</row>
    <row r="112" spans="3:17" x14ac:dyDescent="0.25">
      <c r="C112" s="17"/>
      <c r="D112" s="17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</row>
    <row r="113" spans="3:17" x14ac:dyDescent="0.25">
      <c r="C113" s="753" t="s">
        <v>403</v>
      </c>
      <c r="D113" s="754"/>
      <c r="E113" s="66">
        <f t="shared" ref="E113:P113" si="12">SUM(E105:E112)</f>
        <v>222.4956335</v>
      </c>
      <c r="F113" s="66">
        <f t="shared" si="12"/>
        <v>229.052087</v>
      </c>
      <c r="G113" s="66">
        <f t="shared" si="12"/>
        <v>111.4638325</v>
      </c>
      <c r="H113" s="66">
        <f t="shared" si="12"/>
        <v>200.50885249999999</v>
      </c>
      <c r="I113" s="66">
        <f t="shared" si="12"/>
        <v>239.98274900000001</v>
      </c>
      <c r="J113" s="66">
        <f t="shared" si="12"/>
        <v>219.32357400000001</v>
      </c>
      <c r="K113" s="66">
        <f t="shared" si="12"/>
        <v>242.928338</v>
      </c>
      <c r="L113" s="66">
        <f t="shared" si="12"/>
        <v>171.25498949999999</v>
      </c>
      <c r="M113" s="66">
        <f t="shared" si="12"/>
        <v>161.656351</v>
      </c>
      <c r="N113" s="66">
        <f t="shared" si="12"/>
        <v>232.6552945</v>
      </c>
      <c r="O113" s="66">
        <f t="shared" si="12"/>
        <v>193.37311750000001</v>
      </c>
      <c r="P113" s="66">
        <f t="shared" si="12"/>
        <v>215.63378349999999</v>
      </c>
      <c r="Q113" s="86">
        <f>SUM(E113:P113)</f>
        <v>2440.3286024999998</v>
      </c>
    </row>
    <row r="114" spans="3:17" x14ac:dyDescent="0.25">
      <c r="C114" s="800" t="s">
        <v>404</v>
      </c>
      <c r="D114" s="801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</row>
    <row r="115" spans="3:17" x14ac:dyDescent="0.25">
      <c r="C115" s="17"/>
      <c r="D115" s="17" t="s">
        <v>405</v>
      </c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>
        <f t="shared" ref="Q115:Q124" si="13">SUM(E115:P115)</f>
        <v>0</v>
      </c>
    </row>
    <row r="116" spans="3:17" x14ac:dyDescent="0.25">
      <c r="C116" s="17"/>
      <c r="D116" s="17" t="s">
        <v>406</v>
      </c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>
        <f t="shared" si="13"/>
        <v>0</v>
      </c>
    </row>
    <row r="117" spans="3:17" x14ac:dyDescent="0.25">
      <c r="C117" s="17"/>
      <c r="D117" s="17" t="s">
        <v>407</v>
      </c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>
        <f t="shared" si="13"/>
        <v>0</v>
      </c>
    </row>
    <row r="118" spans="3:17" x14ac:dyDescent="0.25">
      <c r="C118" s="17"/>
      <c r="D118" s="17" t="s">
        <v>408</v>
      </c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>
        <f t="shared" si="13"/>
        <v>0</v>
      </c>
    </row>
    <row r="119" spans="3:17" x14ac:dyDescent="0.25">
      <c r="C119" s="17"/>
      <c r="D119" s="17" t="s">
        <v>409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>
        <f t="shared" si="13"/>
        <v>0</v>
      </c>
    </row>
    <row r="120" spans="3:17" x14ac:dyDescent="0.25">
      <c r="C120" s="17"/>
      <c r="D120" s="17" t="s">
        <v>367</v>
      </c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>
        <f t="shared" si="13"/>
        <v>0</v>
      </c>
    </row>
    <row r="121" spans="3:17" x14ac:dyDescent="0.25">
      <c r="C121" s="17"/>
      <c r="D121" s="17" t="s">
        <v>410</v>
      </c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>
        <f t="shared" si="13"/>
        <v>0</v>
      </c>
    </row>
    <row r="122" spans="3:17" x14ac:dyDescent="0.25">
      <c r="C122" s="17"/>
      <c r="D122" s="17" t="s">
        <v>411</v>
      </c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>
        <f t="shared" si="13"/>
        <v>0</v>
      </c>
    </row>
    <row r="123" spans="3:17" x14ac:dyDescent="0.25">
      <c r="C123" s="17"/>
      <c r="D123" s="17" t="s">
        <v>412</v>
      </c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>
        <f t="shared" si="13"/>
        <v>0</v>
      </c>
    </row>
    <row r="124" spans="3:17" x14ac:dyDescent="0.25">
      <c r="C124" s="17"/>
      <c r="D124" s="17" t="s">
        <v>413</v>
      </c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>
        <f t="shared" si="13"/>
        <v>0</v>
      </c>
    </row>
    <row r="125" spans="3:17" x14ac:dyDescent="0.25">
      <c r="C125" s="17"/>
      <c r="D125" s="17" t="s">
        <v>414</v>
      </c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</row>
    <row r="126" spans="3:17" x14ac:dyDescent="0.25">
      <c r="C126" s="17"/>
      <c r="D126" s="17" t="s">
        <v>415</v>
      </c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</row>
    <row r="127" spans="3:17" x14ac:dyDescent="0.25">
      <c r="C127" s="17"/>
      <c r="D127" s="17" t="s">
        <v>416</v>
      </c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</row>
    <row r="128" spans="3:17" x14ac:dyDescent="0.25">
      <c r="C128" s="17"/>
      <c r="D128" s="17" t="s">
        <v>417</v>
      </c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</row>
    <row r="129" spans="3:17" x14ac:dyDescent="0.25">
      <c r="C129" s="17"/>
      <c r="D129" s="114" t="s">
        <v>418</v>
      </c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>
        <f>SUM(E129:P129)</f>
        <v>0</v>
      </c>
    </row>
    <row r="130" spans="3:17" x14ac:dyDescent="0.25">
      <c r="C130" s="17"/>
      <c r="D130" s="114" t="s">
        <v>446</v>
      </c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>
        <f>SUM(E130:P130)</f>
        <v>0</v>
      </c>
    </row>
    <row r="131" spans="3:17" x14ac:dyDescent="0.25">
      <c r="C131" s="17"/>
      <c r="D131" s="114" t="s">
        <v>467</v>
      </c>
      <c r="E131" s="291">
        <f>'[46]2023-24'!$G205/10^6</f>
        <v>298.23031286774994</v>
      </c>
      <c r="F131" s="291">
        <f>'[46]2023-24'!$M205/10^6</f>
        <v>308.96501342275002</v>
      </c>
      <c r="G131" s="291">
        <f>'[46]2023-24'!$S205/10^6</f>
        <v>282.54975735125004</v>
      </c>
      <c r="H131" s="291">
        <f>'[46]2023-24'!$Y205/10^6</f>
        <v>227.94953486474998</v>
      </c>
      <c r="I131" s="291">
        <f>'[46]2023-24'!$AE205/10^6</f>
        <v>252.61347427224993</v>
      </c>
      <c r="J131" s="291">
        <f>'[46]2023-24'!$AK205/10^6</f>
        <v>237.1275815597775</v>
      </c>
      <c r="K131" s="291">
        <f>'[46]2023-24'!$AQ205/10^6</f>
        <v>285.268025658</v>
      </c>
      <c r="L131" s="291">
        <f>'[46]2023-24'!$AW205/10^6</f>
        <v>235.10982657</v>
      </c>
      <c r="M131" s="291">
        <f>'[46]2023-24'!$BC205/10^6</f>
        <v>256.29085555925002</v>
      </c>
      <c r="N131" s="291">
        <f>'[46]2023-24'!$BI205/10^6</f>
        <v>258.89655592949998</v>
      </c>
      <c r="O131" s="291">
        <f>'[46]2023-24'!$BO205/10^6</f>
        <v>282.52357372674993</v>
      </c>
      <c r="P131" s="291">
        <f>'[46]2023-24'!$BU205/10^6</f>
        <v>312.91279657949997</v>
      </c>
      <c r="Q131" s="66"/>
    </row>
    <row r="132" spans="3:17" x14ac:dyDescent="0.25">
      <c r="C132" s="17"/>
      <c r="D132" s="17"/>
      <c r="Q132" s="66"/>
    </row>
    <row r="133" spans="3:17" x14ac:dyDescent="0.25">
      <c r="C133" s="17"/>
      <c r="D133" s="17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66"/>
    </row>
    <row r="134" spans="3:17" x14ac:dyDescent="0.25">
      <c r="C134" s="17"/>
      <c r="D134" s="17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66"/>
    </row>
    <row r="135" spans="3:17" x14ac:dyDescent="0.25">
      <c r="C135" s="17"/>
      <c r="D135" s="17"/>
      <c r="Q135" s="66"/>
    </row>
    <row r="136" spans="3:17" x14ac:dyDescent="0.25">
      <c r="C136" s="17"/>
      <c r="D136" s="17"/>
      <c r="Q136" s="66"/>
    </row>
    <row r="137" spans="3:17" x14ac:dyDescent="0.25">
      <c r="C137" s="17"/>
      <c r="D137" s="17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</row>
    <row r="138" spans="3:17" x14ac:dyDescent="0.25">
      <c r="C138" s="17"/>
      <c r="D138" s="17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</row>
    <row r="139" spans="3:17" x14ac:dyDescent="0.25">
      <c r="C139" s="17"/>
      <c r="D139" s="17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</row>
    <row r="140" spans="3:17" x14ac:dyDescent="0.25">
      <c r="C140" s="753" t="s">
        <v>420</v>
      </c>
      <c r="D140" s="754"/>
      <c r="E140" s="66">
        <f t="shared" ref="E140:P140" si="14">SUM(E115:E139)</f>
        <v>298.23031286774994</v>
      </c>
      <c r="F140" s="66">
        <f t="shared" si="14"/>
        <v>308.96501342275002</v>
      </c>
      <c r="G140" s="66">
        <f t="shared" si="14"/>
        <v>282.54975735125004</v>
      </c>
      <c r="H140" s="66">
        <f t="shared" si="14"/>
        <v>227.94953486474998</v>
      </c>
      <c r="I140" s="66">
        <f t="shared" si="14"/>
        <v>252.61347427224993</v>
      </c>
      <c r="J140" s="66">
        <f t="shared" si="14"/>
        <v>237.1275815597775</v>
      </c>
      <c r="K140" s="66">
        <f t="shared" si="14"/>
        <v>285.268025658</v>
      </c>
      <c r="L140" s="66">
        <f t="shared" si="14"/>
        <v>235.10982657</v>
      </c>
      <c r="M140" s="66">
        <f t="shared" si="14"/>
        <v>256.29085555925002</v>
      </c>
      <c r="N140" s="66">
        <f t="shared" si="14"/>
        <v>258.89655592949998</v>
      </c>
      <c r="O140" s="66">
        <f t="shared" si="14"/>
        <v>282.52357372674993</v>
      </c>
      <c r="P140" s="66">
        <f t="shared" si="14"/>
        <v>312.91279657949997</v>
      </c>
      <c r="Q140" s="86">
        <f>SUM(E140:P140)</f>
        <v>3238.4373083615274</v>
      </c>
    </row>
    <row r="141" spans="3:17" x14ac:dyDescent="0.25">
      <c r="C141" s="800" t="s">
        <v>421</v>
      </c>
      <c r="D141" s="801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</row>
    <row r="142" spans="3:17" x14ac:dyDescent="0.25">
      <c r="C142" s="17"/>
      <c r="D142" s="17" t="s">
        <v>462</v>
      </c>
      <c r="E142" s="291">
        <f>'[46]2023-24'!$G$204/10^6</f>
        <v>456.66987433124996</v>
      </c>
      <c r="F142" s="291">
        <f>'[46]2023-24'!$M$204/10^6</f>
        <v>83.584363451249999</v>
      </c>
      <c r="G142" s="291">
        <f>'[46]2023-24'!$S$204/10^6</f>
        <v>177.61152756499999</v>
      </c>
      <c r="H142" s="291">
        <f>'[46]2023-24'!$Y$204/10^6</f>
        <v>305.73502774999997</v>
      </c>
      <c r="I142" s="291">
        <f>'[46]2023-24'!$AE$204/10^6</f>
        <v>510.09774921624995</v>
      </c>
      <c r="J142" s="291">
        <f>'[46]2023-24'!$AK$204/10^6</f>
        <v>384.83383961375</v>
      </c>
      <c r="K142" s="291">
        <f>'[46]2023-24'!$AQ$204/10^6</f>
        <v>477.01566083749998</v>
      </c>
      <c r="L142" s="291">
        <f>'[46]2023-24'!$AW$204/10^6</f>
        <v>304.46543898624998</v>
      </c>
      <c r="M142" s="291">
        <f>'[46]2023-24'!$BC$204/10^6</f>
        <v>360.28541441749996</v>
      </c>
      <c r="N142" s="291">
        <f>'[46]2023-24'!$BI$204/10^6</f>
        <v>381.98037904874997</v>
      </c>
      <c r="O142" s="291">
        <f>'[46]2023-24'!$BO$204/10^6</f>
        <v>580.75147098124989</v>
      </c>
      <c r="P142" s="291">
        <f>'[46]2023-24'!$BU$204/10^6</f>
        <v>775.53421641249986</v>
      </c>
      <c r="Q142" s="66">
        <f>SUM(E142:P142)</f>
        <v>4798.564962611249</v>
      </c>
    </row>
    <row r="143" spans="3:17" x14ac:dyDescent="0.25">
      <c r="C143" s="17"/>
      <c r="D143" s="17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</row>
    <row r="144" spans="3:17" x14ac:dyDescent="0.25">
      <c r="C144" s="17"/>
      <c r="D144" s="17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</row>
    <row r="145" spans="3:17" x14ac:dyDescent="0.25">
      <c r="C145" s="17"/>
      <c r="D145" s="17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</row>
    <row r="146" spans="3:17" x14ac:dyDescent="0.25">
      <c r="C146" s="17"/>
      <c r="D146" s="17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</row>
    <row r="147" spans="3:17" x14ac:dyDescent="0.25">
      <c r="C147" s="17"/>
      <c r="D147" s="17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</row>
    <row r="148" spans="3:17" x14ac:dyDescent="0.25">
      <c r="C148" s="17"/>
      <c r="D148" s="17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</row>
    <row r="149" spans="3:17" x14ac:dyDescent="0.25">
      <c r="C149" s="17"/>
      <c r="D149" s="17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</row>
    <row r="150" spans="3:17" x14ac:dyDescent="0.25">
      <c r="C150" s="17"/>
      <c r="D150" s="17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3:17" x14ac:dyDescent="0.25">
      <c r="C151" s="17"/>
      <c r="D151" s="17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</row>
    <row r="152" spans="3:17" x14ac:dyDescent="0.25">
      <c r="C152" s="17"/>
      <c r="D152" s="17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</row>
    <row r="153" spans="3:17" x14ac:dyDescent="0.25">
      <c r="C153" s="753" t="s">
        <v>423</v>
      </c>
      <c r="D153" s="754"/>
      <c r="E153" s="66">
        <f t="shared" ref="E153:P153" si="15">SUM(E142:E152)</f>
        <v>456.66987433124996</v>
      </c>
      <c r="F153" s="66">
        <f t="shared" si="15"/>
        <v>83.584363451249999</v>
      </c>
      <c r="G153" s="66">
        <f t="shared" si="15"/>
        <v>177.61152756499999</v>
      </c>
      <c r="H153" s="66">
        <f t="shared" si="15"/>
        <v>305.73502774999997</v>
      </c>
      <c r="I153" s="66">
        <f t="shared" si="15"/>
        <v>510.09774921624995</v>
      </c>
      <c r="J153" s="66">
        <f t="shared" si="15"/>
        <v>384.83383961375</v>
      </c>
      <c r="K153" s="66">
        <f t="shared" si="15"/>
        <v>477.01566083749998</v>
      </c>
      <c r="L153" s="66">
        <f t="shared" si="15"/>
        <v>304.46543898624998</v>
      </c>
      <c r="M153" s="66">
        <f t="shared" si="15"/>
        <v>360.28541441749996</v>
      </c>
      <c r="N153" s="66">
        <f t="shared" si="15"/>
        <v>381.98037904874997</v>
      </c>
      <c r="O153" s="66">
        <f t="shared" si="15"/>
        <v>580.75147098124989</v>
      </c>
      <c r="P153" s="66">
        <f t="shared" si="15"/>
        <v>775.53421641249986</v>
      </c>
      <c r="Q153" s="86">
        <f>SUM(E153:P153)</f>
        <v>4798.564962611249</v>
      </c>
    </row>
    <row r="154" spans="3:17" x14ac:dyDescent="0.25">
      <c r="C154" s="800" t="s">
        <v>424</v>
      </c>
      <c r="D154" s="801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</row>
    <row r="155" spans="3:17" x14ac:dyDescent="0.25">
      <c r="C155" s="17" t="s">
        <v>425</v>
      </c>
      <c r="D155" s="125" t="s">
        <v>426</v>
      </c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</row>
    <row r="156" spans="3:17" x14ac:dyDescent="0.25">
      <c r="C156" s="17" t="s">
        <v>425</v>
      </c>
      <c r="D156" s="125" t="s">
        <v>427</v>
      </c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</row>
    <row r="157" spans="3:17" x14ac:dyDescent="0.25">
      <c r="C157" s="116"/>
      <c r="D157" s="117" t="s">
        <v>463</v>
      </c>
      <c r="E157" s="66">
        <f>-('[47]Intra &amp; Inter State 23-24'!$D$31/10^6)*29.45%</f>
        <v>-24.266262537499998</v>
      </c>
      <c r="F157" s="66">
        <f>-('[47]Intra &amp; Inter State 23-24'!$I$31/10^6)*29.45%</f>
        <v>-100.51061548125</v>
      </c>
      <c r="G157" s="66">
        <f>-('[47]Intra &amp; Inter State 23-24'!$N$31/10^6)*29.45%</f>
        <v>-17.314575312500001</v>
      </c>
      <c r="H157" s="66">
        <f>-('[47]Intra &amp; Inter State 23-24'!$S$31/10^6)*29.45%</f>
        <v>-28.677028794999998</v>
      </c>
      <c r="I157" s="66">
        <f>-('[47]Intra &amp; Inter State 23-24'!$X$31/10^6)*29.45%</f>
        <v>-5.8900905587499999</v>
      </c>
      <c r="J157" s="66">
        <f>-('[47]Intra &amp; Inter State 23-24'!$AC$31/10^6)*29.45%</f>
        <v>-54.542636163749997</v>
      </c>
      <c r="K157" s="66">
        <f>-('[47]Intra &amp; Inter State 23-24'!$AH$31/10^6)*29.45%</f>
        <v>-18.177173911249998</v>
      </c>
      <c r="L157" s="66">
        <f>-('[47]Intra &amp; Inter State 23-24'!$AM$31/10^6)*29.45%</f>
        <v>-3.6723951212500001</v>
      </c>
      <c r="M157" s="66">
        <f>-('[47]Intra &amp; Inter State 23-24'!$AR$31/10^6)*29.45%</f>
        <v>-7.0585539124999999</v>
      </c>
      <c r="N157" s="66">
        <f>-('[47]Intra &amp; Inter State 23-24'!$AW$31/10^6)*29.45%</f>
        <v>-32.972272273750001</v>
      </c>
      <c r="O157" s="66">
        <f>-('[47]Intra &amp; Inter State 23-24'!$BB$31/10^6)*29.45%</f>
        <v>-64.668894237499998</v>
      </c>
      <c r="P157" s="66">
        <f>-('[47]Intra &amp; Inter State 23-24'!$BG$31/10^6)*29.45%</f>
        <v>-50.903490092499993</v>
      </c>
      <c r="Q157" s="66"/>
    </row>
    <row r="158" spans="3:17" x14ac:dyDescent="0.25">
      <c r="C158" s="753" t="s">
        <v>428</v>
      </c>
      <c r="D158" s="754"/>
      <c r="E158" s="66">
        <f t="shared" ref="E158:P158" si="16">SUM(E155:E157)</f>
        <v>-24.266262537499998</v>
      </c>
      <c r="F158" s="66">
        <f t="shared" si="16"/>
        <v>-100.51061548125</v>
      </c>
      <c r="G158" s="66">
        <f t="shared" si="16"/>
        <v>-17.314575312500001</v>
      </c>
      <c r="H158" s="66">
        <f t="shared" si="16"/>
        <v>-28.677028794999998</v>
      </c>
      <c r="I158" s="66">
        <f t="shared" si="16"/>
        <v>-5.8900905587499999</v>
      </c>
      <c r="J158" s="66">
        <f t="shared" si="16"/>
        <v>-54.542636163749997</v>
      </c>
      <c r="K158" s="66">
        <f t="shared" si="16"/>
        <v>-18.177173911249998</v>
      </c>
      <c r="L158" s="66">
        <f t="shared" si="16"/>
        <v>-3.6723951212500001</v>
      </c>
      <c r="M158" s="66">
        <f t="shared" si="16"/>
        <v>-7.0585539124999999</v>
      </c>
      <c r="N158" s="66">
        <f t="shared" si="16"/>
        <v>-32.972272273750001</v>
      </c>
      <c r="O158" s="66">
        <f t="shared" si="16"/>
        <v>-64.668894237499998</v>
      </c>
      <c r="P158" s="66">
        <f t="shared" si="16"/>
        <v>-50.903490092499993</v>
      </c>
      <c r="Q158" s="86">
        <f>SUM(E158:P158)</f>
        <v>-408.65398839749992</v>
      </c>
    </row>
    <row r="159" spans="3:17" x14ac:dyDescent="0.25">
      <c r="C159" s="753" t="s">
        <v>220</v>
      </c>
      <c r="D159" s="754"/>
      <c r="E159" s="66">
        <f t="shared" ref="E159:P159" si="17">E158+E153+E140+E113+E103+E94+E49</f>
        <v>2146.8219727243886</v>
      </c>
      <c r="F159" s="66">
        <f t="shared" si="17"/>
        <v>1654.1493664646218</v>
      </c>
      <c r="G159" s="66">
        <f t="shared" si="17"/>
        <v>1757.4650061443863</v>
      </c>
      <c r="H159" s="66">
        <f t="shared" si="17"/>
        <v>1852.903625248166</v>
      </c>
      <c r="I159" s="66">
        <f t="shared" si="17"/>
        <v>2241.3680214470132</v>
      </c>
      <c r="J159" s="66">
        <f t="shared" si="17"/>
        <v>1999.865846392041</v>
      </c>
      <c r="K159" s="66">
        <f t="shared" si="17"/>
        <v>2441.5707222775427</v>
      </c>
      <c r="L159" s="66">
        <f t="shared" si="17"/>
        <v>1859.037646489252</v>
      </c>
      <c r="M159" s="66">
        <f t="shared" si="17"/>
        <v>1940.4603984895991</v>
      </c>
      <c r="N159" s="66">
        <f t="shared" si="17"/>
        <v>2251.531562285561</v>
      </c>
      <c r="O159" s="66">
        <f t="shared" si="17"/>
        <v>2300.7184257182562</v>
      </c>
      <c r="P159" s="66">
        <f t="shared" si="17"/>
        <v>2796.8149122789105</v>
      </c>
      <c r="Q159" s="86">
        <f>SUM(E159:P159)</f>
        <v>25242.707505959737</v>
      </c>
    </row>
    <row r="162" spans="4:5" x14ac:dyDescent="0.25">
      <c r="D162" s="22"/>
      <c r="E162" s="22"/>
    </row>
    <row r="163" spans="4:5" x14ac:dyDescent="0.25">
      <c r="D163" s="24"/>
      <c r="E163" s="24"/>
    </row>
    <row r="164" spans="4:5" x14ac:dyDescent="0.25">
      <c r="E164" s="24"/>
    </row>
    <row r="165" spans="4:5" x14ac:dyDescent="0.25">
      <c r="E165" s="24"/>
    </row>
  </sheetData>
  <mergeCells count="32">
    <mergeCell ref="C10:C27"/>
    <mergeCell ref="C29:D29"/>
    <mergeCell ref="C30:C47"/>
    <mergeCell ref="E5:Q5"/>
    <mergeCell ref="C8:D8"/>
    <mergeCell ref="C9:D9"/>
    <mergeCell ref="C5:C7"/>
    <mergeCell ref="D5:D7"/>
    <mergeCell ref="C158:D158"/>
    <mergeCell ref="C159:D159"/>
    <mergeCell ref="C103:D103"/>
    <mergeCell ref="C104:D104"/>
    <mergeCell ref="C113:D113"/>
    <mergeCell ref="C114:D114"/>
    <mergeCell ref="C140:D140"/>
    <mergeCell ref="C154:D154"/>
    <mergeCell ref="C48:D48"/>
    <mergeCell ref="C2:P2"/>
    <mergeCell ref="C3:Q3"/>
    <mergeCell ref="C141:D141"/>
    <mergeCell ref="C153:D153"/>
    <mergeCell ref="C78:D78"/>
    <mergeCell ref="C79:C82"/>
    <mergeCell ref="C93:D93"/>
    <mergeCell ref="C94:D94"/>
    <mergeCell ref="C95:D95"/>
    <mergeCell ref="C49:D49"/>
    <mergeCell ref="C50:D50"/>
    <mergeCell ref="C51:D51"/>
    <mergeCell ref="C52:C60"/>
    <mergeCell ref="C77:D77"/>
    <mergeCell ref="C28:D28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R163"/>
  <sheetViews>
    <sheetView showGridLines="0" zoomScale="68" workbookViewId="0">
      <pane xSplit="4" ySplit="9" topLeftCell="E10" activePane="bottomRight" state="frozen"/>
      <selection activeCell="K17" sqref="K17"/>
      <selection pane="topRight" activeCell="K17" sqref="K17"/>
      <selection pane="bottomLeft" activeCell="K17" sqref="K17"/>
      <selection pane="bottomRight" activeCell="K17" sqref="K17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35.109375" style="4" customWidth="1"/>
    <col min="5" max="5" width="14.33203125" style="4" bestFit="1" customWidth="1"/>
    <col min="6" max="6" width="13.44140625" style="4" bestFit="1" customWidth="1"/>
    <col min="7" max="7" width="13.5546875" style="4" bestFit="1" customWidth="1"/>
    <col min="8" max="8" width="14.33203125" style="4" bestFit="1" customWidth="1"/>
    <col min="9" max="9" width="13.44140625" style="4" bestFit="1" customWidth="1"/>
    <col min="10" max="10" width="14.6640625" style="4" customWidth="1"/>
    <col min="11" max="11" width="12.5546875" style="4" customWidth="1"/>
    <col min="12" max="12" width="13.44140625" style="4" bestFit="1" customWidth="1"/>
    <col min="13" max="13" width="14.33203125" style="4" bestFit="1" customWidth="1"/>
    <col min="14" max="16" width="13.44140625" style="4" bestFit="1" customWidth="1"/>
    <col min="17" max="17" width="14.5546875" style="4" bestFit="1" customWidth="1"/>
    <col min="18" max="18" width="12.44140625" style="4" customWidth="1"/>
    <col min="19" max="19" width="12.88671875" style="4" customWidth="1"/>
    <col min="20" max="16384" width="9.109375" style="4"/>
  </cols>
  <sheetData>
    <row r="2" spans="2:18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8" ht="14.25" customHeight="1" x14ac:dyDescent="0.25">
      <c r="C3" s="826" t="s">
        <v>468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</row>
    <row r="4" spans="2:18" x14ac:dyDescent="0.25">
      <c r="C4" s="14"/>
      <c r="Q4" s="25" t="s">
        <v>229</v>
      </c>
    </row>
    <row r="5" spans="2:18" ht="15" customHeight="1" x14ac:dyDescent="0.25">
      <c r="C5" s="830" t="s">
        <v>346</v>
      </c>
      <c r="D5" s="818" t="s">
        <v>347</v>
      </c>
      <c r="E5" s="799" t="s">
        <v>1224</v>
      </c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605"/>
    </row>
    <row r="6" spans="2:18" x14ac:dyDescent="0.25">
      <c r="C6" s="831"/>
      <c r="D6" s="819"/>
      <c r="E6" s="594" t="s">
        <v>239</v>
      </c>
      <c r="F6" s="594" t="s">
        <v>240</v>
      </c>
      <c r="G6" s="594" t="s">
        <v>241</v>
      </c>
      <c r="H6" s="594" t="s">
        <v>242</v>
      </c>
      <c r="I6" s="594" t="s">
        <v>243</v>
      </c>
      <c r="J6" s="594" t="s">
        <v>244</v>
      </c>
      <c r="K6" s="594" t="s">
        <v>245</v>
      </c>
      <c r="L6" s="594" t="s">
        <v>246</v>
      </c>
      <c r="M6" s="594" t="s">
        <v>247</v>
      </c>
      <c r="N6" s="594" t="s">
        <v>248</v>
      </c>
      <c r="O6" s="594" t="s">
        <v>249</v>
      </c>
      <c r="P6" s="594" t="s">
        <v>250</v>
      </c>
      <c r="Q6" s="594" t="s">
        <v>251</v>
      </c>
      <c r="R6" s="605"/>
    </row>
    <row r="7" spans="2:18" ht="14.25" customHeight="1" x14ac:dyDescent="0.25">
      <c r="C7" s="832"/>
      <c r="D7" s="820"/>
      <c r="E7" s="606"/>
      <c r="F7" s="606"/>
      <c r="G7" s="606"/>
      <c r="H7" s="606"/>
      <c r="I7" s="606"/>
      <c r="J7" s="606"/>
      <c r="K7" s="606"/>
      <c r="L7" s="606"/>
      <c r="M7" s="606"/>
      <c r="N7" s="606"/>
      <c r="O7" s="606"/>
      <c r="P7" s="606"/>
      <c r="Q7" s="606"/>
      <c r="R7" s="605"/>
    </row>
    <row r="8" spans="2:18" x14ac:dyDescent="0.25">
      <c r="B8" s="60"/>
      <c r="C8" s="813" t="s">
        <v>348</v>
      </c>
      <c r="D8" s="814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5"/>
    </row>
    <row r="9" spans="2:18" x14ac:dyDescent="0.25">
      <c r="C9" s="811" t="s">
        <v>349</v>
      </c>
      <c r="D9" s="812"/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07"/>
      <c r="R9" s="605"/>
    </row>
    <row r="10" spans="2:18" ht="14.25" customHeight="1" x14ac:dyDescent="0.25">
      <c r="B10" s="60"/>
      <c r="C10" s="821" t="s">
        <v>350</v>
      </c>
      <c r="D10" s="607" t="s">
        <v>351</v>
      </c>
      <c r="E10" s="606">
        <f>'[5]TGNPDCL MoD'!F4+'[5]TGNPDCL MoD'!F5</f>
        <v>58.482317392526184</v>
      </c>
      <c r="F10" s="606">
        <f>'[5]TGNPDCL MoD'!G4+'[5]TGNPDCL MoD'!G5</f>
        <v>54.096778757480735</v>
      </c>
      <c r="G10" s="606">
        <f>'[5]TGNPDCL MoD'!H4+'[5]TGNPDCL MoD'!H5</f>
        <v>52.351721378207174</v>
      </c>
      <c r="H10" s="606">
        <f>'[5]TGNPDCL MoD'!I4+'[5]TGNPDCL MoD'!I5</f>
        <v>0</v>
      </c>
      <c r="I10" s="606">
        <f>'[5]TGNPDCL MoD'!J4+'[5]TGNPDCL MoD'!J5</f>
        <v>27.970493562106526</v>
      </c>
      <c r="J10" s="606">
        <f>'[5]TGNPDCL MoD'!K4+'[5]TGNPDCL MoD'!K5</f>
        <v>52.351721378207174</v>
      </c>
      <c r="K10" s="606">
        <f>'[5]TGNPDCL MoD'!L4+'[5]TGNPDCL MoD'!L5</f>
        <v>65.162028957874526</v>
      </c>
      <c r="L10" s="606">
        <f>'[5]TGNPDCL MoD'!M4+'[5]TGNPDCL MoD'!M5</f>
        <v>77.351116090715138</v>
      </c>
      <c r="M10" s="606">
        <f>'[5]TGNPDCL MoD'!N4+'[5]TGNPDCL MoD'!N5</f>
        <v>55.940987124213052</v>
      </c>
      <c r="N10" s="606">
        <f>'[5]TGNPDCL MoD'!O4+'[5]TGNPDCL MoD'!O5</f>
        <v>56.965281086415473</v>
      </c>
      <c r="O10" s="606">
        <f>'[5]TGNPDCL MoD'!P4+'[5]TGNPDCL MoD'!P5</f>
        <v>65.518972512725952</v>
      </c>
      <c r="P10" s="606">
        <f>'[5]TGNPDCL MoD'!Q4+'[5]TGNPDCL MoD'!Q5</f>
        <v>74.383070791535999</v>
      </c>
      <c r="Q10" s="617">
        <f t="shared" ref="Q10:Q17" si="0">SUM(E10:P10)</f>
        <v>640.57448903200793</v>
      </c>
      <c r="R10" s="605"/>
    </row>
    <row r="11" spans="2:18" x14ac:dyDescent="0.25">
      <c r="B11" s="60"/>
      <c r="C11" s="822"/>
      <c r="D11" s="607" t="s">
        <v>352</v>
      </c>
      <c r="E11" s="606">
        <f>'[5]TGNPDCL MoD'!F6</f>
        <v>66.833493575483004</v>
      </c>
      <c r="F11" s="606">
        <f>'[5]TGNPDCL MoD'!G6</f>
        <v>77.786851370846932</v>
      </c>
      <c r="G11" s="606">
        <f>'[5]TGNPDCL MoD'!H6</f>
        <v>53.22599993915577</v>
      </c>
      <c r="H11" s="606">
        <f>'[5]TGNPDCL MoD'!I6</f>
        <v>56.737731134056986</v>
      </c>
      <c r="I11" s="606">
        <f>'[5]TGNPDCL MoD'!J6</f>
        <v>62.080640252365924</v>
      </c>
      <c r="J11" s="606">
        <f>'[5]TGNPDCL MoD'!K6</f>
        <v>52.369820295521436</v>
      </c>
      <c r="K11" s="606">
        <f>'[5]TGNPDCL MoD'!L6</f>
        <v>72.53886242480371</v>
      </c>
      <c r="L11" s="606">
        <f>'[5]TGNPDCL MoD'!M6</f>
        <v>41.345961770288596</v>
      </c>
      <c r="M11" s="606">
        <f>'[5]TGNPDCL MoD'!N6</f>
        <v>57.82215288840942</v>
      </c>
      <c r="N11" s="606">
        <f>'[5]TGNPDCL MoD'!O6</f>
        <v>59.62940385767763</v>
      </c>
      <c r="O11" s="606">
        <f>'[5]TGNPDCL MoD'!P6</f>
        <v>67.184709102032542</v>
      </c>
      <c r="P11" s="606">
        <f>'[5]TGNPDCL MoD'!Q6</f>
        <v>79.362168881627383</v>
      </c>
      <c r="Q11" s="617">
        <f t="shared" si="0"/>
        <v>746.91779549226931</v>
      </c>
      <c r="R11" s="605"/>
    </row>
    <row r="12" spans="2:18" x14ac:dyDescent="0.25">
      <c r="B12" s="60"/>
      <c r="C12" s="822"/>
      <c r="D12" s="607" t="s">
        <v>353</v>
      </c>
      <c r="E12" s="606">
        <f>'[5]TGNPDCL MoD'!F7</f>
        <v>115.37243121050642</v>
      </c>
      <c r="F12" s="606">
        <f>'[5]TGNPDCL MoD'!G7</f>
        <v>0</v>
      </c>
      <c r="G12" s="606">
        <f>'[5]TGNPDCL MoD'!H7</f>
        <v>43.309151321971385</v>
      </c>
      <c r="H12" s="606">
        <f>'[5]TGNPDCL MoD'!I7</f>
        <v>92.461980202806217</v>
      </c>
      <c r="I12" s="606">
        <f>'[5]TGNPDCL MoD'!J7</f>
        <v>114.32686589811698</v>
      </c>
      <c r="J12" s="606">
        <f>'[5]TGNPDCL MoD'!K7</f>
        <v>89.473851082754067</v>
      </c>
      <c r="K12" s="606">
        <f>'[5]TGNPDCL MoD'!L7</f>
        <v>125.85260992397383</v>
      </c>
      <c r="L12" s="606">
        <f>'[5]TGNPDCL MoD'!M7</f>
        <v>134.29743636287157</v>
      </c>
      <c r="M12" s="606">
        <f>'[5]TGNPDCL MoD'!N7</f>
        <v>106.89391195387532</v>
      </c>
      <c r="N12" s="606">
        <f>'[5]TGNPDCL MoD'!O7</f>
        <v>110.58821778357805</v>
      </c>
      <c r="O12" s="606">
        <f>'[5]TGNPDCL MoD'!P7</f>
        <v>110.16071310614262</v>
      </c>
      <c r="P12" s="606">
        <f>'[5]TGNPDCL MoD'!Q7</f>
        <v>132.99733897303349</v>
      </c>
      <c r="Q12" s="617">
        <f t="shared" si="0"/>
        <v>1175.7345078196299</v>
      </c>
      <c r="R12" s="605"/>
    </row>
    <row r="13" spans="2:18" x14ac:dyDescent="0.25">
      <c r="B13" s="60"/>
      <c r="C13" s="822"/>
      <c r="D13" s="607" t="s">
        <v>354</v>
      </c>
      <c r="E13" s="606">
        <f>'[5]TGNPDCL MoD'!F8</f>
        <v>0</v>
      </c>
      <c r="F13" s="606">
        <f>'[5]TGNPDCL MoD'!G8</f>
        <v>0</v>
      </c>
      <c r="G13" s="606">
        <f>'[5]TGNPDCL MoD'!H8</f>
        <v>0</v>
      </c>
      <c r="H13" s="606">
        <f>'[5]TGNPDCL MoD'!I8</f>
        <v>0</v>
      </c>
      <c r="I13" s="606">
        <f>'[5]TGNPDCL MoD'!J8</f>
        <v>0</v>
      </c>
      <c r="J13" s="606">
        <f>'[5]TGNPDCL MoD'!K8</f>
        <v>0</v>
      </c>
      <c r="K13" s="606">
        <f>'[5]TGNPDCL MoD'!L8</f>
        <v>0</v>
      </c>
      <c r="L13" s="606">
        <f>'[5]TGNPDCL MoD'!M8</f>
        <v>0</v>
      </c>
      <c r="M13" s="606">
        <f>'[5]TGNPDCL MoD'!N8</f>
        <v>0</v>
      </c>
      <c r="N13" s="606">
        <f>'[5]TGNPDCL MoD'!O8</f>
        <v>0</v>
      </c>
      <c r="O13" s="606">
        <f>'[5]TGNPDCL MoD'!P8</f>
        <v>0</v>
      </c>
      <c r="P13" s="606">
        <f>'[5]TGNPDCL MoD'!Q8</f>
        <v>0</v>
      </c>
      <c r="Q13" s="617">
        <f t="shared" si="0"/>
        <v>0</v>
      </c>
      <c r="R13" s="605"/>
    </row>
    <row r="14" spans="2:18" x14ac:dyDescent="0.25">
      <c r="B14" s="60"/>
      <c r="C14" s="822"/>
      <c r="D14" s="607" t="s">
        <v>355</v>
      </c>
      <c r="E14" s="606">
        <f>'[5]TGNPDCL MoD'!F9</f>
        <v>83.361172533114029</v>
      </c>
      <c r="F14" s="606">
        <f>'[5]TGNPDCL MoD'!G9</f>
        <v>81.759904258465241</v>
      </c>
      <c r="G14" s="606">
        <f>'[5]TGNPDCL MoD'!H9</f>
        <v>66.936084844403069</v>
      </c>
      <c r="H14" s="606">
        <f>'[5]TGNPDCL MoD'!I9</f>
        <v>65.107251060077033</v>
      </c>
      <c r="I14" s="606">
        <f>'[5]TGNPDCL MoD'!J9</f>
        <v>74.646985840157782</v>
      </c>
      <c r="J14" s="606">
        <f>'[5]TGNPDCL MoD'!K9</f>
        <v>61.893960908449799</v>
      </c>
      <c r="K14" s="606">
        <f>'[5]TGNPDCL MoD'!L9</f>
        <v>0</v>
      </c>
      <c r="L14" s="606">
        <f>'[5]TGNPDCL MoD'!M9</f>
        <v>42.238320657417134</v>
      </c>
      <c r="M14" s="606">
        <f>'[5]TGNPDCL MoD'!N9</f>
        <v>72.53886242480371</v>
      </c>
      <c r="N14" s="606">
        <f>'[5]TGNPDCL MoD'!O9</f>
        <v>74.383070791535999</v>
      </c>
      <c r="O14" s="606">
        <f>'[5]TGNPDCL MoD'!P9</f>
        <v>75.513392048565493</v>
      </c>
      <c r="P14" s="606">
        <f>'[5]TGNPDCL MoD'!Q9</f>
        <v>90.985686366690175</v>
      </c>
      <c r="Q14" s="617">
        <f t="shared" si="0"/>
        <v>789.36469173367948</v>
      </c>
      <c r="R14" s="605"/>
    </row>
    <row r="15" spans="2:18" x14ac:dyDescent="0.25">
      <c r="B15" s="60"/>
      <c r="C15" s="822"/>
      <c r="D15" s="607" t="s">
        <v>356</v>
      </c>
      <c r="E15" s="606">
        <f>'[5]TGNPDCL MoD'!F10</f>
        <v>105.65529223601814</v>
      </c>
      <c r="F15" s="606">
        <f>'[5]TGNPDCL MoD'!G10</f>
        <v>100.61387561394454</v>
      </c>
      <c r="G15" s="606">
        <f>'[5]TGNPDCL MoD'!H10</f>
        <v>97.469568728842859</v>
      </c>
      <c r="H15" s="606">
        <f>'[5]TGNPDCL MoD'!I10</f>
        <v>111.98758919550119</v>
      </c>
      <c r="I15" s="606">
        <f>'[5]TGNPDCL MoD'!J10</f>
        <v>118.02933547086707</v>
      </c>
      <c r="J15" s="606">
        <f>'[5]TGNPDCL MoD'!K10</f>
        <v>106.68115061557583</v>
      </c>
      <c r="K15" s="606">
        <f>'[5]TGNPDCL MoD'!L10</f>
        <v>118.02933547086712</v>
      </c>
      <c r="L15" s="606">
        <f>'[5]TGNPDCL MoD'!M10</f>
        <v>0</v>
      </c>
      <c r="M15" s="606">
        <f>'[5]TGNPDCL MoD'!N10</f>
        <v>52.977690168478205</v>
      </c>
      <c r="N15" s="606">
        <f>'[5]TGNPDCL MoD'!O10</f>
        <v>111.39018535063082</v>
      </c>
      <c r="O15" s="606">
        <f>'[5]TGNPDCL MoD'!P10</f>
        <v>106.60714171562191</v>
      </c>
      <c r="P15" s="606">
        <f>'[5]TGNPDCL MoD'!Q10</f>
        <v>118.02933547086712</v>
      </c>
      <c r="Q15" s="617">
        <f t="shared" si="0"/>
        <v>1147.4705000372148</v>
      </c>
      <c r="R15" s="605"/>
    </row>
    <row r="16" spans="2:18" x14ac:dyDescent="0.25">
      <c r="B16" s="60"/>
      <c r="C16" s="822"/>
      <c r="D16" s="607" t="s">
        <v>357</v>
      </c>
      <c r="E16" s="606">
        <f>'[5]TGNPDCL MoD'!F11+'[5]TGNPDCL MoD'!F12+'[5]TGNPDCL MoD'!F13+'[5]TGNPDCL MoD'!F14</f>
        <v>185.71364753712928</v>
      </c>
      <c r="F16" s="606">
        <f>'[5]TGNPDCL MoD'!G11+'[5]TGNPDCL MoD'!G12+'[5]TGNPDCL MoD'!G13+'[5]TGNPDCL MoD'!G14</f>
        <v>135.43866245281998</v>
      </c>
      <c r="G16" s="606">
        <f>'[5]TGNPDCL MoD'!H11+'[5]TGNPDCL MoD'!H12+'[5]TGNPDCL MoD'!H13+'[5]TGNPDCL MoD'!H14</f>
        <v>152.91461889834511</v>
      </c>
      <c r="H16" s="606">
        <f>'[5]TGNPDCL MoD'!I11+'[5]TGNPDCL MoD'!I12+'[5]TGNPDCL MoD'!I13+'[5]TGNPDCL MoD'!I14</f>
        <v>173.39103320692527</v>
      </c>
      <c r="I16" s="606">
        <f>'[5]TGNPDCL MoD'!J11+'[5]TGNPDCL MoD'!J12+'[5]TGNPDCL MoD'!J13+'[5]TGNPDCL MoD'!J14</f>
        <v>157.55921982119114</v>
      </c>
      <c r="J16" s="606">
        <f>'[5]TGNPDCL MoD'!K11+'[5]TGNPDCL MoD'!K12+'[5]TGNPDCL MoD'!K13+'[5]TGNPDCL MoD'!K14</f>
        <v>137.48661696426018</v>
      </c>
      <c r="K16" s="606">
        <f>'[5]TGNPDCL MoD'!L11+'[5]TGNPDCL MoD'!L12+'[5]TGNPDCL MoD'!L13+'[5]TGNPDCL MoD'!L14</f>
        <v>212.45280384756069</v>
      </c>
      <c r="L16" s="606">
        <f>'[5]TGNPDCL MoD'!M11+'[5]TGNPDCL MoD'!M12+'[5]TGNPDCL MoD'!M13+'[5]TGNPDCL MoD'!M14</f>
        <v>193.83390973588996</v>
      </c>
      <c r="M16" s="606">
        <f>'[5]TGNPDCL MoD'!N11+'[5]TGNPDCL MoD'!N12+'[5]TGNPDCL MoD'!N13+'[5]TGNPDCL MoD'!N14</f>
        <v>188.55186341471011</v>
      </c>
      <c r="N16" s="606">
        <f>'[5]TGNPDCL MoD'!O11+'[5]TGNPDCL MoD'!O12+'[5]TGNPDCL MoD'!O13+'[5]TGNPDCL MoD'!O14</f>
        <v>196.23234265614491</v>
      </c>
      <c r="O16" s="606">
        <f>'[5]TGNPDCL MoD'!P11+'[5]TGNPDCL MoD'!P12+'[5]TGNPDCL MoD'!P13+'[5]TGNPDCL MoD'!P14</f>
        <v>191.89285508811935</v>
      </c>
      <c r="P16" s="606">
        <f>'[5]TGNPDCL MoD'!Q11+'[5]TGNPDCL MoD'!Q12+'[5]TGNPDCL MoD'!Q13+'[5]TGNPDCL MoD'!Q14</f>
        <v>212.45280384756069</v>
      </c>
      <c r="Q16" s="617">
        <f t="shared" si="0"/>
        <v>2137.9203774706566</v>
      </c>
      <c r="R16" s="605"/>
    </row>
    <row r="17" spans="2:18" x14ac:dyDescent="0.25">
      <c r="B17" s="60"/>
      <c r="C17" s="822"/>
      <c r="D17" s="607" t="s">
        <v>358</v>
      </c>
      <c r="E17" s="606">
        <f>'[5]TGNPDCL MoD'!F15+'[5]TGNPDCL MoD'!F16+'[5]TGNPDCL MoD'!F17+'[5]TGNPDCL MoD'!F18+'[5]TGNPDCL MoD'!F19</f>
        <v>405.48787831120455</v>
      </c>
      <c r="F17" s="606">
        <f>'[5]TGNPDCL MoD'!G15+'[5]TGNPDCL MoD'!G16+'[5]TGNPDCL MoD'!G17+'[5]TGNPDCL MoD'!G18+'[5]TGNPDCL MoD'!G19</f>
        <v>400.21167999082201</v>
      </c>
      <c r="G17" s="606">
        <f>'[5]TGNPDCL MoD'!H15+'[5]TGNPDCL MoD'!H16+'[5]TGNPDCL MoD'!H17+'[5]TGNPDCL MoD'!H18+'[5]TGNPDCL MoD'!H19</f>
        <v>500.11589335401135</v>
      </c>
      <c r="H17" s="606">
        <f>'[5]TGNPDCL MoD'!I15+'[5]TGNPDCL MoD'!I16+'[5]TGNPDCL MoD'!I17+'[5]TGNPDCL MoD'!I18+'[5]TGNPDCL MoD'!I19</f>
        <v>634.76582706990621</v>
      </c>
      <c r="I17" s="606">
        <f>'[5]TGNPDCL MoD'!J15+'[5]TGNPDCL MoD'!J16+'[5]TGNPDCL MoD'!J17+'[5]TGNPDCL MoD'!J18+'[5]TGNPDCL MoD'!J19</f>
        <v>658.95860324132536</v>
      </c>
      <c r="J17" s="606">
        <f>'[5]TGNPDCL MoD'!K15+'[5]TGNPDCL MoD'!K16+'[5]TGNPDCL MoD'!K17+'[5]TGNPDCL MoD'!K18+'[5]TGNPDCL MoD'!K19</f>
        <v>584.98796556774562</v>
      </c>
      <c r="K17" s="606">
        <f>'[5]TGNPDCL MoD'!L15+'[5]TGNPDCL MoD'!L16+'[5]TGNPDCL MoD'!L17+'[5]TGNPDCL MoD'!L18+'[5]TGNPDCL MoD'!L19</f>
        <v>748.79478887961477</v>
      </c>
      <c r="L17" s="606">
        <f>'[5]TGNPDCL MoD'!M15+'[5]TGNPDCL MoD'!M16+'[5]TGNPDCL MoD'!M17+'[5]TGNPDCL MoD'!M18+'[5]TGNPDCL MoD'!M19</f>
        <v>486.4719630338584</v>
      </c>
      <c r="M17" s="606">
        <f>'[5]TGNPDCL MoD'!N15+'[5]TGNPDCL MoD'!N16+'[5]TGNPDCL MoD'!N17+'[5]TGNPDCL MoD'!N18+'[5]TGNPDCL MoD'!N19</f>
        <v>525.56062119748117</v>
      </c>
      <c r="N17" s="606">
        <f>'[5]TGNPDCL MoD'!O15+'[5]TGNPDCL MoD'!O16+'[5]TGNPDCL MoD'!O17+'[5]TGNPDCL MoD'!O18+'[5]TGNPDCL MoD'!O19</f>
        <v>635.28360298659436</v>
      </c>
      <c r="O17" s="606">
        <f>'[5]TGNPDCL MoD'!P15+'[5]TGNPDCL MoD'!P16+'[5]TGNPDCL MoD'!P17+'[5]TGNPDCL MoD'!P18+'[5]TGNPDCL MoD'!P19</f>
        <v>649.20049691222982</v>
      </c>
      <c r="P17" s="606">
        <f>'[5]TGNPDCL MoD'!Q15+'[5]TGNPDCL MoD'!Q16+'[5]TGNPDCL MoD'!Q17+'[5]TGNPDCL MoD'!Q18+'[5]TGNPDCL MoD'!Q19</f>
        <v>783.18743675785117</v>
      </c>
      <c r="Q17" s="617">
        <f t="shared" si="0"/>
        <v>7013.0267573026449</v>
      </c>
      <c r="R17" s="605"/>
    </row>
    <row r="18" spans="2:18" hidden="1" x14ac:dyDescent="0.25">
      <c r="B18" s="60"/>
      <c r="C18" s="822"/>
      <c r="D18" s="607"/>
      <c r="E18" s="606"/>
      <c r="F18" s="606"/>
      <c r="G18" s="606"/>
      <c r="H18" s="606"/>
      <c r="I18" s="606"/>
      <c r="J18" s="606"/>
      <c r="K18" s="606"/>
      <c r="L18" s="606"/>
      <c r="M18" s="606"/>
      <c r="N18" s="606"/>
      <c r="O18" s="606"/>
      <c r="P18" s="606"/>
      <c r="Q18" s="617"/>
      <c r="R18" s="605"/>
    </row>
    <row r="19" spans="2:18" hidden="1" x14ac:dyDescent="0.25">
      <c r="B19" s="60"/>
      <c r="C19" s="822"/>
      <c r="D19" s="607"/>
      <c r="E19" s="606"/>
      <c r="F19" s="606"/>
      <c r="G19" s="606"/>
      <c r="H19" s="606"/>
      <c r="I19" s="606"/>
      <c r="J19" s="606"/>
      <c r="K19" s="606"/>
      <c r="L19" s="606"/>
      <c r="M19" s="606"/>
      <c r="N19" s="606"/>
      <c r="O19" s="606"/>
      <c r="P19" s="606"/>
      <c r="Q19" s="617"/>
      <c r="R19" s="605"/>
    </row>
    <row r="20" spans="2:18" hidden="1" x14ac:dyDescent="0.25">
      <c r="B20" s="60"/>
      <c r="C20" s="822"/>
      <c r="D20" s="607"/>
      <c r="E20" s="606"/>
      <c r="F20" s="606"/>
      <c r="G20" s="606"/>
      <c r="H20" s="606"/>
      <c r="I20" s="606"/>
      <c r="J20" s="606"/>
      <c r="K20" s="606"/>
      <c r="L20" s="606"/>
      <c r="M20" s="606"/>
      <c r="N20" s="606"/>
      <c r="O20" s="606"/>
      <c r="P20" s="606"/>
      <c r="Q20" s="617"/>
      <c r="R20" s="605"/>
    </row>
    <row r="21" spans="2:18" hidden="1" x14ac:dyDescent="0.25">
      <c r="B21" s="60"/>
      <c r="C21" s="822"/>
      <c r="D21" s="607"/>
      <c r="E21" s="606"/>
      <c r="F21" s="606"/>
      <c r="G21" s="606"/>
      <c r="H21" s="606"/>
      <c r="I21" s="606"/>
      <c r="J21" s="606"/>
      <c r="K21" s="606"/>
      <c r="L21" s="606"/>
      <c r="M21" s="606"/>
      <c r="N21" s="606"/>
      <c r="O21" s="606"/>
      <c r="P21" s="606"/>
      <c r="Q21" s="617"/>
      <c r="R21" s="605"/>
    </row>
    <row r="22" spans="2:18" hidden="1" x14ac:dyDescent="0.25">
      <c r="B22" s="60"/>
      <c r="C22" s="822"/>
      <c r="D22" s="607"/>
      <c r="E22" s="606"/>
      <c r="F22" s="606"/>
      <c r="G22" s="606"/>
      <c r="H22" s="606"/>
      <c r="I22" s="606"/>
      <c r="J22" s="606"/>
      <c r="K22" s="606"/>
      <c r="L22" s="606"/>
      <c r="M22" s="606"/>
      <c r="N22" s="606"/>
      <c r="O22" s="606"/>
      <c r="P22" s="606"/>
      <c r="Q22" s="617"/>
      <c r="R22" s="605"/>
    </row>
    <row r="23" spans="2:18" hidden="1" x14ac:dyDescent="0.25">
      <c r="B23" s="60"/>
      <c r="C23" s="822"/>
      <c r="D23" s="607"/>
      <c r="E23" s="606"/>
      <c r="F23" s="606"/>
      <c r="G23" s="606"/>
      <c r="H23" s="606"/>
      <c r="I23" s="606"/>
      <c r="J23" s="606"/>
      <c r="K23" s="606"/>
      <c r="L23" s="606"/>
      <c r="M23" s="606"/>
      <c r="N23" s="606"/>
      <c r="O23" s="606"/>
      <c r="P23" s="606"/>
      <c r="Q23" s="617"/>
      <c r="R23" s="605"/>
    </row>
    <row r="24" spans="2:18" hidden="1" x14ac:dyDescent="0.25">
      <c r="B24" s="60"/>
      <c r="C24" s="822"/>
      <c r="D24" s="607"/>
      <c r="E24" s="606"/>
      <c r="F24" s="606"/>
      <c r="G24" s="606"/>
      <c r="H24" s="606"/>
      <c r="I24" s="606"/>
      <c r="J24" s="606"/>
      <c r="K24" s="606"/>
      <c r="L24" s="606"/>
      <c r="M24" s="606"/>
      <c r="N24" s="606"/>
      <c r="O24" s="606"/>
      <c r="P24" s="606"/>
      <c r="Q24" s="617"/>
      <c r="R24" s="605"/>
    </row>
    <row r="25" spans="2:18" hidden="1" x14ac:dyDescent="0.25">
      <c r="B25" s="60"/>
      <c r="C25" s="822"/>
      <c r="D25" s="607"/>
      <c r="E25" s="606"/>
      <c r="F25" s="606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17"/>
      <c r="R25" s="605"/>
    </row>
    <row r="26" spans="2:18" hidden="1" x14ac:dyDescent="0.25">
      <c r="B26" s="60"/>
      <c r="C26" s="822"/>
      <c r="D26" s="607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17"/>
      <c r="R26" s="605"/>
    </row>
    <row r="27" spans="2:18" hidden="1" x14ac:dyDescent="0.25">
      <c r="B27" s="60"/>
      <c r="C27" s="823"/>
      <c r="D27" s="607"/>
      <c r="E27" s="606"/>
      <c r="F27" s="606"/>
      <c r="G27" s="606"/>
      <c r="H27" s="606"/>
      <c r="I27" s="606"/>
      <c r="J27" s="606"/>
      <c r="K27" s="606"/>
      <c r="L27" s="606"/>
      <c r="M27" s="606"/>
      <c r="N27" s="606"/>
      <c r="O27" s="606"/>
      <c r="P27" s="606"/>
      <c r="Q27" s="617"/>
      <c r="R27" s="605"/>
    </row>
    <row r="28" spans="2:18" x14ac:dyDescent="0.25">
      <c r="C28" s="811" t="s">
        <v>212</v>
      </c>
      <c r="D28" s="812"/>
      <c r="E28" s="617">
        <f t="shared" ref="E28:P28" si="1">SUM(E10:E27)</f>
        <v>1020.9062327959816</v>
      </c>
      <c r="F28" s="617">
        <f t="shared" si="1"/>
        <v>849.90775244437941</v>
      </c>
      <c r="G28" s="617">
        <f t="shared" si="1"/>
        <v>966.32303846493664</v>
      </c>
      <c r="H28" s="617">
        <f t="shared" si="1"/>
        <v>1134.4514118692728</v>
      </c>
      <c r="I28" s="617">
        <f t="shared" si="1"/>
        <v>1213.5721440861307</v>
      </c>
      <c r="J28" s="617">
        <f t="shared" si="1"/>
        <v>1085.245086812514</v>
      </c>
      <c r="K28" s="617">
        <f t="shared" si="1"/>
        <v>1342.8304295046946</v>
      </c>
      <c r="L28" s="617">
        <f t="shared" si="1"/>
        <v>975.5387076510408</v>
      </c>
      <c r="M28" s="617">
        <f t="shared" si="1"/>
        <v>1060.2860891719711</v>
      </c>
      <c r="N28" s="617">
        <f t="shared" si="1"/>
        <v>1244.4721045125773</v>
      </c>
      <c r="O28" s="617">
        <f t="shared" si="1"/>
        <v>1266.0782804854375</v>
      </c>
      <c r="P28" s="617">
        <f t="shared" si="1"/>
        <v>1491.3978410891659</v>
      </c>
      <c r="Q28" s="618">
        <f>SUM(E28:P28)</f>
        <v>13651.009118888105</v>
      </c>
      <c r="R28" s="605"/>
    </row>
    <row r="29" spans="2:18" x14ac:dyDescent="0.25">
      <c r="C29" s="811" t="s">
        <v>359</v>
      </c>
      <c r="D29" s="812"/>
      <c r="E29" s="607"/>
      <c r="F29" s="607"/>
      <c r="G29" s="607"/>
      <c r="H29" s="607"/>
      <c r="I29" s="607"/>
      <c r="J29" s="607"/>
      <c r="K29" s="607"/>
      <c r="L29" s="607"/>
      <c r="M29" s="607"/>
      <c r="N29" s="607"/>
      <c r="O29" s="607"/>
      <c r="P29" s="607"/>
      <c r="Q29" s="607"/>
      <c r="R29" s="605"/>
    </row>
    <row r="30" spans="2:18" x14ac:dyDescent="0.25">
      <c r="C30" s="821" t="s">
        <v>350</v>
      </c>
      <c r="D30" s="607" t="s">
        <v>360</v>
      </c>
      <c r="E30" s="606">
        <f>SUM('[5]TGNPDCL MoD'!F81:F86)</f>
        <v>2.9943583608704367</v>
      </c>
      <c r="F30" s="606">
        <f>SUM('[5]TGNPDCL MoD'!G81:G86)</f>
        <v>3.208659749270435</v>
      </c>
      <c r="G30" s="606">
        <f>SUM('[5]TGNPDCL MoD'!H81:H86)</f>
        <v>3.3243268772516563</v>
      </c>
      <c r="H30" s="606">
        <f>SUM('[5]TGNPDCL MoD'!I81:I86)</f>
        <v>7.26772958998151</v>
      </c>
      <c r="I30" s="606">
        <f>SUM('[5]TGNPDCL MoD'!J81:J86)</f>
        <v>17.06330234544653</v>
      </c>
      <c r="J30" s="606">
        <f>SUM('[5]TGNPDCL MoD'!K81:K86)</f>
        <v>8.61810014037526</v>
      </c>
      <c r="K30" s="606">
        <f>SUM('[5]TGNPDCL MoD'!L81:L86)</f>
        <v>9.4993263353512294</v>
      </c>
      <c r="L30" s="606">
        <f>SUM('[5]TGNPDCL MoD'!M81:M86)</f>
        <v>3.2580725849283274</v>
      </c>
      <c r="M30" s="606">
        <f>SUM('[5]TGNPDCL MoD'!N81:N86)</f>
        <v>5.5892397776609481</v>
      </c>
      <c r="N30" s="606">
        <f>SUM('[5]TGNPDCL MoD'!O81:O86)</f>
        <v>10.665038364676281</v>
      </c>
      <c r="O30" s="606">
        <f>SUM('[5]TGNPDCL MoD'!P81:P86)</f>
        <v>9.5783967507074106</v>
      </c>
      <c r="P30" s="606">
        <f>SUM('[5]TGNPDCL MoD'!Q81:Q86)</f>
        <v>4.4491921214070622</v>
      </c>
      <c r="Q30" s="617">
        <f t="shared" ref="Q30:Q40" si="2">SUM(E30:P30)</f>
        <v>85.515742997927092</v>
      </c>
      <c r="R30" s="605"/>
    </row>
    <row r="31" spans="2:18" x14ac:dyDescent="0.25">
      <c r="C31" s="822"/>
      <c r="D31" s="607" t="s">
        <v>361</v>
      </c>
      <c r="E31" s="606">
        <f>SUM('[5]TGNPDCL MoD'!F59:F66)</f>
        <v>20.873492983982285</v>
      </c>
      <c r="F31" s="606">
        <f>SUM('[5]TGNPDCL MoD'!G59:G66)</f>
        <v>22.367375141068095</v>
      </c>
      <c r="G31" s="606">
        <f>SUM('[5]TGNPDCL MoD'!H59:H66)</f>
        <v>23.173683769969657</v>
      </c>
      <c r="H31" s="606">
        <f>SUM('[5]TGNPDCL MoD'!I59:I66)</f>
        <v>50.662908150332633</v>
      </c>
      <c r="I31" s="606">
        <f>SUM('[5]TGNPDCL MoD'!J59:J66)</f>
        <v>118.94725976877086</v>
      </c>
      <c r="J31" s="606">
        <f>SUM('[5]TGNPDCL MoD'!K59:K66)</f>
        <v>60.076260465727032</v>
      </c>
      <c r="K31" s="606">
        <f>SUM('[5]TGNPDCL MoD'!L59:L66)</f>
        <v>66.219235547969774</v>
      </c>
      <c r="L31" s="606">
        <f>SUM('[5]TGNPDCL MoD'!M59:M66)</f>
        <v>22.711829062115761</v>
      </c>
      <c r="M31" s="606">
        <f>SUM('[5]TGNPDCL MoD'!N59:N66)</f>
        <v>38.962256091113417</v>
      </c>
      <c r="N31" s="606">
        <f>SUM('[5]TGNPDCL MoD'!O59:O66)</f>
        <v>74.345344360939961</v>
      </c>
      <c r="O31" s="606">
        <f>SUM('[5]TGNPDCL MoD'!P59:P66)</f>
        <v>66.770430682709076</v>
      </c>
      <c r="P31" s="606">
        <f>SUM('[5]TGNPDCL MoD'!Q59:Q66)</f>
        <v>31.015052087347001</v>
      </c>
      <c r="Q31" s="617">
        <f t="shared" si="2"/>
        <v>596.12512811204567</v>
      </c>
      <c r="R31" s="605"/>
    </row>
    <row r="32" spans="2:18" x14ac:dyDescent="0.25">
      <c r="C32" s="822"/>
      <c r="D32" s="607" t="s">
        <v>362</v>
      </c>
      <c r="E32" s="606">
        <f>SUM('[5]TGNPDCL MoD'!F67:F72)</f>
        <v>23.033525852849515</v>
      </c>
      <c r="F32" s="606">
        <f>SUM('[5]TGNPDCL MoD'!G67:G72)</f>
        <v>24.681998071311035</v>
      </c>
      <c r="G32" s="606">
        <f>SUM('[5]TGNPDCL MoD'!H67:H72)</f>
        <v>25.571745209628119</v>
      </c>
      <c r="H32" s="606">
        <f>SUM('[5]TGNPDCL MoD'!I67:I72)</f>
        <v>55.905612230627</v>
      </c>
      <c r="I32" s="606">
        <f>SUM('[5]TGNPDCL MoD'!J67:J72)</f>
        <v>131.25617188805023</v>
      </c>
      <c r="J32" s="606">
        <f>SUM('[5]TGNPDCL MoD'!K67:K72)</f>
        <v>66.293078002886631</v>
      </c>
      <c r="K32" s="606">
        <f>SUM('[5]TGNPDCL MoD'!L67:L72)</f>
        <v>73.071741041163293</v>
      </c>
      <c r="L32" s="606">
        <f>SUM('[5]TGNPDCL MoD'!M67:M72)</f>
        <v>25.062096807140982</v>
      </c>
      <c r="M32" s="606">
        <f>SUM('[5]TGNPDCL MoD'!N67:N72)</f>
        <v>42.994152135853469</v>
      </c>
      <c r="N32" s="606">
        <f>SUM('[5]TGNPDCL MoD'!O67:O72)</f>
        <v>82.03875665135601</v>
      </c>
      <c r="O32" s="606">
        <f>SUM('[5]TGNPDCL MoD'!P67:P72)</f>
        <v>73.679975005441605</v>
      </c>
      <c r="P32" s="606">
        <f>SUM('[5]TGNPDCL MoD'!Q67:Q72)</f>
        <v>34.224554780054312</v>
      </c>
      <c r="Q32" s="617">
        <f t="shared" si="2"/>
        <v>657.8134076763622</v>
      </c>
      <c r="R32" s="605"/>
    </row>
    <row r="33" spans="3:18" x14ac:dyDescent="0.25">
      <c r="C33" s="822"/>
      <c r="D33" s="607" t="s">
        <v>363</v>
      </c>
      <c r="E33" s="606">
        <f>SUM('[5]TGNPDCL MoD'!F87:F92)</f>
        <v>6.14227356075987</v>
      </c>
      <c r="F33" s="606">
        <f>SUM('[5]TGNPDCL MoD'!G87:G92)</f>
        <v>6.58186615234961</v>
      </c>
      <c r="G33" s="606">
        <f>SUM('[5]TGNPDCL MoD'!H87:H92)</f>
        <v>6.8191320559008322</v>
      </c>
      <c r="H33" s="606">
        <f>SUM('[5]TGNPDCL MoD'!I87:I92)</f>
        <v>14.90816326150053</v>
      </c>
      <c r="I33" s="606">
        <f>SUM('[5]TGNPDCL MoD'!J87:J92)</f>
        <v>35.00164583681341</v>
      </c>
      <c r="J33" s="606">
        <f>SUM('[5]TGNPDCL MoD'!K87:K92)</f>
        <v>17.678154134103103</v>
      </c>
      <c r="K33" s="606">
        <f>SUM('[5]TGNPDCL MoD'!L87:L92)</f>
        <v>19.485797610976878</v>
      </c>
      <c r="L33" s="606">
        <f>SUM('[5]TGNPDCL MoD'!M87:M92)</f>
        <v>6.683225815237595</v>
      </c>
      <c r="M33" s="606">
        <f>SUM('[5]TGNPDCL MoD'!N87:N92)</f>
        <v>11.465107236227592</v>
      </c>
      <c r="N33" s="606">
        <f>SUM('[5]TGNPDCL MoD'!O87:O92)</f>
        <v>21.877001773694936</v>
      </c>
      <c r="O33" s="606">
        <f>SUM('[5]TGNPDCL MoD'!P87:P92)</f>
        <v>19.647993334784434</v>
      </c>
      <c r="P33" s="606">
        <f>SUM('[5]TGNPDCL MoD'!Q87:Q92)</f>
        <v>9.1265479413478197</v>
      </c>
      <c r="Q33" s="617">
        <f t="shared" si="2"/>
        <v>175.41690871369659</v>
      </c>
      <c r="R33" s="605"/>
    </row>
    <row r="34" spans="3:18" x14ac:dyDescent="0.25">
      <c r="C34" s="822"/>
      <c r="D34" s="607" t="s">
        <v>364</v>
      </c>
      <c r="E34" s="606">
        <f>SUM('[5]TGNPDCL MoD'!F93:F96)</f>
        <v>3.0711367803799341</v>
      </c>
      <c r="F34" s="606">
        <f>SUM('[5]TGNPDCL MoD'!G93:G96)</f>
        <v>3.2909330761748041</v>
      </c>
      <c r="G34" s="606">
        <f>SUM('[5]TGNPDCL MoD'!H93:H96)</f>
        <v>3.409566027950417</v>
      </c>
      <c r="H34" s="606">
        <f>SUM('[5]TGNPDCL MoD'!I93:I96)</f>
        <v>7.4540816307502666</v>
      </c>
      <c r="I34" s="606">
        <f>SUM('[5]TGNPDCL MoD'!J93:J96)</f>
        <v>17.500822918406705</v>
      </c>
      <c r="J34" s="606">
        <f>SUM('[5]TGNPDCL MoD'!K93:K96)</f>
        <v>8.8390770670515515</v>
      </c>
      <c r="K34" s="606">
        <f>SUM('[5]TGNPDCL MoD'!L93:L96)</f>
        <v>9.7428988054884407</v>
      </c>
      <c r="L34" s="606">
        <f>SUM('[5]TGNPDCL MoD'!M93:M96)</f>
        <v>3.3416129076187975</v>
      </c>
      <c r="M34" s="606">
        <f>SUM('[5]TGNPDCL MoD'!N93:N96)</f>
        <v>5.7325536181137942</v>
      </c>
      <c r="N34" s="606">
        <f>SUM('[5]TGNPDCL MoD'!O93:O96)</f>
        <v>10.938500886847468</v>
      </c>
      <c r="O34" s="606">
        <f>SUM('[5]TGNPDCL MoD'!P93:P96)</f>
        <v>9.8239966673922154</v>
      </c>
      <c r="P34" s="606">
        <f>SUM('[5]TGNPDCL MoD'!Q93:Q96)</f>
        <v>4.5632739706739098</v>
      </c>
      <c r="Q34" s="617">
        <f t="shared" si="2"/>
        <v>87.708454356848293</v>
      </c>
      <c r="R34" s="605"/>
    </row>
    <row r="35" spans="3:18" x14ac:dyDescent="0.25">
      <c r="C35" s="822"/>
      <c r="D35" s="596" t="s">
        <v>365</v>
      </c>
      <c r="E35" s="606">
        <f>SUM('[5]TGNPDCL MoD'!F77:F78)</f>
        <v>0.46067051705699025</v>
      </c>
      <c r="F35" s="606">
        <f>SUM('[5]TGNPDCL MoD'!G77:G78)</f>
        <v>0.4936399614262208</v>
      </c>
      <c r="G35" s="606">
        <f>SUM('[5]TGNPDCL MoD'!H77:H78)</f>
        <v>0.51143490419256254</v>
      </c>
      <c r="H35" s="606">
        <f>SUM('[5]TGNPDCL MoD'!I77:I78)</f>
        <v>1.1181122446125396</v>
      </c>
      <c r="I35" s="606">
        <f>SUM('[5]TGNPDCL MoD'!J77:J78)</f>
        <v>2.6251234377610055</v>
      </c>
      <c r="J35" s="606">
        <f>SUM('[5]TGNPDCL MoD'!K77:K78)</f>
        <v>1.3258615600577324</v>
      </c>
      <c r="K35" s="606">
        <f>SUM('[5]TGNPDCL MoD'!L77:L78)</f>
        <v>1.4614348208232664</v>
      </c>
      <c r="L35" s="606">
        <f>SUM('[5]TGNPDCL MoD'!M77:M78)</f>
        <v>0.50124193614281953</v>
      </c>
      <c r="M35" s="606">
        <f>SUM('[5]TGNPDCL MoD'!N77:N78)</f>
        <v>0.85988304271706895</v>
      </c>
      <c r="N35" s="606">
        <f>SUM('[5]TGNPDCL MoD'!O77:O78)</f>
        <v>1.6407751330271205</v>
      </c>
      <c r="O35" s="606">
        <f>SUM('[5]TGNPDCL MoD'!P77:P78)</f>
        <v>1.4735995001088322</v>
      </c>
      <c r="P35" s="606">
        <f>SUM('[5]TGNPDCL MoD'!Q77:Q78)</f>
        <v>0.68449109560108634</v>
      </c>
      <c r="Q35" s="617">
        <f t="shared" si="2"/>
        <v>13.156268153527243</v>
      </c>
      <c r="R35" s="605"/>
    </row>
    <row r="36" spans="3:18" x14ac:dyDescent="0.25">
      <c r="C36" s="822"/>
      <c r="D36" s="611" t="s">
        <v>448</v>
      </c>
      <c r="E36" s="606">
        <f>SUM('[5]TGNPDCL MoD'!F73:F74)</f>
        <v>1.535568390189967</v>
      </c>
      <c r="F36" s="606">
        <f>SUM('[5]TGNPDCL MoD'!G73:G74)</f>
        <v>1.6454665380874021</v>
      </c>
      <c r="G36" s="606">
        <f>SUM('[5]TGNPDCL MoD'!H73:H74)</f>
        <v>1.7047830139752085</v>
      </c>
      <c r="H36" s="606">
        <f>SUM('[5]TGNPDCL MoD'!I73:I74)</f>
        <v>3.7270408153751333</v>
      </c>
      <c r="I36" s="606">
        <f>SUM('[5]TGNPDCL MoD'!J73:J74)</f>
        <v>8.7504114592033524</v>
      </c>
      <c r="J36" s="606">
        <f>SUM('[5]TGNPDCL MoD'!K73:K74)</f>
        <v>4.4195385335257757</v>
      </c>
      <c r="K36" s="606">
        <f>SUM('[5]TGNPDCL MoD'!L73:L74)</f>
        <v>4.8714494027442203</v>
      </c>
      <c r="L36" s="606">
        <f>SUM('[5]TGNPDCL MoD'!M73:M74)</f>
        <v>1.6708064538093987</v>
      </c>
      <c r="M36" s="606">
        <f>SUM('[5]TGNPDCL MoD'!N73:N74)</f>
        <v>2.8662768090568971</v>
      </c>
      <c r="N36" s="606">
        <f>SUM('[5]TGNPDCL MoD'!O73:O74)</f>
        <v>5.4692504434237339</v>
      </c>
      <c r="O36" s="606">
        <f>SUM('[5]TGNPDCL MoD'!P73:P74)</f>
        <v>4.9119983336961077</v>
      </c>
      <c r="P36" s="606">
        <f>SUM('[5]TGNPDCL MoD'!Q73:Q74)</f>
        <v>2.2816369853369549</v>
      </c>
      <c r="Q36" s="617">
        <f t="shared" si="2"/>
        <v>43.854227178424146</v>
      </c>
      <c r="R36" s="605"/>
    </row>
    <row r="37" spans="3:18" x14ac:dyDescent="0.25">
      <c r="C37" s="822"/>
      <c r="D37" s="611" t="s">
        <v>449</v>
      </c>
      <c r="E37" s="606">
        <f>SUM('[5]TGNPDCL MoD'!F79+'[5]TGNPDCL MoD'!F80)</f>
        <v>0.38389209754749176</v>
      </c>
      <c r="F37" s="606">
        <f>SUM('[5]TGNPDCL MoD'!G79+'[5]TGNPDCL MoD'!G80)</f>
        <v>0.41136663452185052</v>
      </c>
      <c r="G37" s="606">
        <f>SUM('[5]TGNPDCL MoD'!H79+'[5]TGNPDCL MoD'!H80)</f>
        <v>0.42619575349380212</v>
      </c>
      <c r="H37" s="606">
        <f>SUM('[5]TGNPDCL MoD'!I79+'[5]TGNPDCL MoD'!I80)</f>
        <v>0.93176020384378333</v>
      </c>
      <c r="I37" s="606">
        <f>SUM('[5]TGNPDCL MoD'!J79+'[5]TGNPDCL MoD'!J80)</f>
        <v>2.1876028648008381</v>
      </c>
      <c r="J37" s="606">
        <f>SUM('[5]TGNPDCL MoD'!K79+'[5]TGNPDCL MoD'!K80)</f>
        <v>1.1048846333814439</v>
      </c>
      <c r="K37" s="606">
        <f>SUM('[5]TGNPDCL MoD'!L79+'[5]TGNPDCL MoD'!L80)</f>
        <v>1.2178623506860551</v>
      </c>
      <c r="L37" s="606">
        <f>SUM('[5]TGNPDCL MoD'!M79+'[5]TGNPDCL MoD'!M80)</f>
        <v>0.41770161345234968</v>
      </c>
      <c r="M37" s="606">
        <f>SUM('[5]TGNPDCL MoD'!N79+'[5]TGNPDCL MoD'!N80)</f>
        <v>0.71656920226422427</v>
      </c>
      <c r="N37" s="606">
        <f>SUM('[5]TGNPDCL MoD'!O79+'[5]TGNPDCL MoD'!O80)</f>
        <v>1.3673126108559335</v>
      </c>
      <c r="O37" s="606">
        <f>SUM('[5]TGNPDCL MoD'!P79+'[5]TGNPDCL MoD'!P80)</f>
        <v>1.2279995834240269</v>
      </c>
      <c r="P37" s="606">
        <f>SUM('[5]TGNPDCL MoD'!Q79+'[5]TGNPDCL MoD'!Q80)</f>
        <v>0.57040924633423873</v>
      </c>
      <c r="Q37" s="617">
        <f t="shared" si="2"/>
        <v>10.963556794606037</v>
      </c>
      <c r="R37" s="605"/>
    </row>
    <row r="38" spans="3:18" x14ac:dyDescent="0.25">
      <c r="C38" s="822"/>
      <c r="D38" s="611" t="s">
        <v>450</v>
      </c>
      <c r="E38" s="606">
        <v>0</v>
      </c>
      <c r="F38" s="606">
        <v>0</v>
      </c>
      <c r="G38" s="606">
        <v>0</v>
      </c>
      <c r="H38" s="606">
        <v>0</v>
      </c>
      <c r="I38" s="606">
        <v>0</v>
      </c>
      <c r="J38" s="606">
        <v>0</v>
      </c>
      <c r="K38" s="606">
        <v>0</v>
      </c>
      <c r="L38" s="606">
        <v>0</v>
      </c>
      <c r="M38" s="606">
        <v>0</v>
      </c>
      <c r="N38" s="606">
        <v>0</v>
      </c>
      <c r="O38" s="606">
        <v>0</v>
      </c>
      <c r="P38" s="606">
        <v>0</v>
      </c>
      <c r="Q38" s="617">
        <f t="shared" si="2"/>
        <v>0</v>
      </c>
      <c r="R38" s="605"/>
    </row>
    <row r="39" spans="3:18" x14ac:dyDescent="0.25">
      <c r="C39" s="822"/>
      <c r="D39" s="611" t="s">
        <v>458</v>
      </c>
      <c r="E39" s="606">
        <f>SUM('[5]TGNPDCL MoD'!F75:F76)</f>
        <v>0.46067051705699025</v>
      </c>
      <c r="F39" s="606">
        <f>SUM('[5]TGNPDCL MoD'!G75:G76)</f>
        <v>0.4936399614262208</v>
      </c>
      <c r="G39" s="606">
        <f>SUM('[5]TGNPDCL MoD'!H75:H76)</f>
        <v>0.51143490419256254</v>
      </c>
      <c r="H39" s="606">
        <f>SUM('[5]TGNPDCL MoD'!I75:I76)</f>
        <v>1.1181122446125396</v>
      </c>
      <c r="I39" s="606">
        <f>SUM('[5]TGNPDCL MoD'!J75:J76)</f>
        <v>2.6251234377610055</v>
      </c>
      <c r="J39" s="606">
        <f>SUM('[5]TGNPDCL MoD'!K75:K76)</f>
        <v>1.3258615600577324</v>
      </c>
      <c r="K39" s="606">
        <f>SUM('[5]TGNPDCL MoD'!L75:L76)</f>
        <v>1.4614348208232664</v>
      </c>
      <c r="L39" s="606">
        <f>SUM('[5]TGNPDCL MoD'!M75:M76)</f>
        <v>0.50124193614281953</v>
      </c>
      <c r="M39" s="606">
        <f>SUM('[5]TGNPDCL MoD'!N75:N76)</f>
        <v>0.85988304271706895</v>
      </c>
      <c r="N39" s="606">
        <f>SUM('[5]TGNPDCL MoD'!O75:O76)</f>
        <v>1.6407751330271205</v>
      </c>
      <c r="O39" s="606">
        <f>SUM('[5]TGNPDCL MoD'!P75:P76)</f>
        <v>1.4735995001088322</v>
      </c>
      <c r="P39" s="606">
        <f>SUM('[5]TGNPDCL MoD'!Q75:Q76)</f>
        <v>0.68449109560108634</v>
      </c>
      <c r="Q39" s="617">
        <f t="shared" si="2"/>
        <v>13.156268153527243</v>
      </c>
      <c r="R39" s="605"/>
    </row>
    <row r="40" spans="3:18" x14ac:dyDescent="0.25">
      <c r="C40" s="822"/>
      <c r="D40" s="611" t="s">
        <v>459</v>
      </c>
      <c r="E40" s="606">
        <f>SUM('[5]TGNPDCL MoD'!F57:F58)</f>
        <v>0.25592806503166121</v>
      </c>
      <c r="F40" s="606">
        <f>SUM('[5]TGNPDCL MoD'!G57:G58)</f>
        <v>0.27424442301456708</v>
      </c>
      <c r="G40" s="606">
        <f>SUM('[5]TGNPDCL MoD'!H57:H58)</f>
        <v>0.28413050232920134</v>
      </c>
      <c r="H40" s="606">
        <f>SUM('[5]TGNPDCL MoD'!I57:I58)</f>
        <v>0.62117346922918881</v>
      </c>
      <c r="I40" s="606">
        <f>SUM('[5]TGNPDCL MoD'!J57:J58)</f>
        <v>1.4584019098672254</v>
      </c>
      <c r="J40" s="606">
        <f>SUM('[5]TGNPDCL MoD'!K57:K58)</f>
        <v>0.73658975558762929</v>
      </c>
      <c r="K40" s="606">
        <f>SUM('[5]TGNPDCL MoD'!L57:L58)</f>
        <v>0.81190823379070332</v>
      </c>
      <c r="L40" s="606">
        <f>SUM('[5]TGNPDCL MoD'!M57:M58)</f>
        <v>0.27846774230156646</v>
      </c>
      <c r="M40" s="606">
        <f>SUM('[5]TGNPDCL MoD'!N57:N58)</f>
        <v>0.47771280150948292</v>
      </c>
      <c r="N40" s="606">
        <f>SUM('[5]TGNPDCL MoD'!O57:O58)</f>
        <v>0.91154174057062232</v>
      </c>
      <c r="O40" s="606">
        <f>SUM('[5]TGNPDCL MoD'!P57:P58)</f>
        <v>0.81866638894935151</v>
      </c>
      <c r="P40" s="606">
        <f>SUM('[5]TGNPDCL MoD'!Q57:Q58)</f>
        <v>0.38027283088949249</v>
      </c>
      <c r="Q40" s="617">
        <f t="shared" si="2"/>
        <v>7.3090378630706923</v>
      </c>
      <c r="R40" s="605"/>
    </row>
    <row r="41" spans="3:18" hidden="1" x14ac:dyDescent="0.25">
      <c r="C41" s="822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7"/>
      <c r="Q41" s="607"/>
      <c r="R41" s="605"/>
    </row>
    <row r="42" spans="3:18" hidden="1" x14ac:dyDescent="0.25">
      <c r="C42" s="822"/>
      <c r="D42" s="607"/>
      <c r="E42" s="607"/>
      <c r="F42" s="607"/>
      <c r="G42" s="607"/>
      <c r="H42" s="607"/>
      <c r="I42" s="607"/>
      <c r="J42" s="607"/>
      <c r="K42" s="607"/>
      <c r="L42" s="607"/>
      <c r="M42" s="607"/>
      <c r="N42" s="607"/>
      <c r="O42" s="607"/>
      <c r="P42" s="607"/>
      <c r="Q42" s="607"/>
      <c r="R42" s="605"/>
    </row>
    <row r="43" spans="3:18" hidden="1" x14ac:dyDescent="0.25">
      <c r="C43" s="822"/>
      <c r="D43" s="607"/>
      <c r="E43" s="606"/>
      <c r="F43" s="606"/>
      <c r="G43" s="606"/>
      <c r="H43" s="606"/>
      <c r="I43" s="606"/>
      <c r="J43" s="606"/>
      <c r="K43" s="606"/>
      <c r="L43" s="606"/>
      <c r="M43" s="606"/>
      <c r="N43" s="606"/>
      <c r="O43" s="606"/>
      <c r="P43" s="606"/>
      <c r="Q43" s="607"/>
      <c r="R43" s="605"/>
    </row>
    <row r="44" spans="3:18" hidden="1" x14ac:dyDescent="0.25">
      <c r="C44" s="822"/>
      <c r="D44" s="607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606"/>
      <c r="Q44" s="607"/>
      <c r="R44" s="605"/>
    </row>
    <row r="45" spans="3:18" hidden="1" x14ac:dyDescent="0.25">
      <c r="C45" s="822"/>
      <c r="D45" s="607"/>
      <c r="E45" s="606"/>
      <c r="F45" s="606"/>
      <c r="G45" s="606"/>
      <c r="H45" s="606"/>
      <c r="I45" s="606"/>
      <c r="J45" s="606"/>
      <c r="K45" s="606"/>
      <c r="L45" s="606"/>
      <c r="M45" s="606"/>
      <c r="N45" s="606"/>
      <c r="O45" s="606"/>
      <c r="P45" s="606"/>
      <c r="Q45" s="607"/>
      <c r="R45" s="605"/>
    </row>
    <row r="46" spans="3:18" hidden="1" x14ac:dyDescent="0.25">
      <c r="C46" s="822"/>
      <c r="D46" s="607"/>
      <c r="E46" s="606"/>
      <c r="F46" s="606"/>
      <c r="G46" s="606"/>
      <c r="H46" s="606"/>
      <c r="I46" s="606"/>
      <c r="J46" s="606"/>
      <c r="K46" s="606"/>
      <c r="L46" s="606"/>
      <c r="M46" s="606"/>
      <c r="N46" s="606"/>
      <c r="O46" s="606"/>
      <c r="P46" s="606"/>
      <c r="Q46" s="607"/>
      <c r="R46" s="605"/>
    </row>
    <row r="47" spans="3:18" hidden="1" x14ac:dyDescent="0.25">
      <c r="C47" s="823"/>
      <c r="D47" s="612"/>
      <c r="E47" s="606"/>
      <c r="F47" s="606"/>
      <c r="G47" s="606"/>
      <c r="H47" s="606"/>
      <c r="I47" s="606"/>
      <c r="J47" s="606"/>
      <c r="K47" s="606"/>
      <c r="L47" s="606"/>
      <c r="M47" s="606"/>
      <c r="N47" s="606"/>
      <c r="O47" s="606"/>
      <c r="P47" s="606"/>
      <c r="Q47" s="607"/>
      <c r="R47" s="605"/>
    </row>
    <row r="48" spans="3:18" x14ac:dyDescent="0.25">
      <c r="C48" s="811" t="s">
        <v>212</v>
      </c>
      <c r="D48" s="812"/>
      <c r="E48" s="617">
        <f t="shared" ref="E48:P48" si="3">SUM(E30:E47)</f>
        <v>59.211517125725138</v>
      </c>
      <c r="F48" s="617">
        <f t="shared" si="3"/>
        <v>63.449189708650231</v>
      </c>
      <c r="G48" s="617">
        <f t="shared" si="3"/>
        <v>65.736433018884028</v>
      </c>
      <c r="H48" s="617">
        <f t="shared" si="3"/>
        <v>143.71469384086512</v>
      </c>
      <c r="I48" s="617">
        <f t="shared" si="3"/>
        <v>337.41586586688123</v>
      </c>
      <c r="J48" s="617">
        <f t="shared" si="3"/>
        <v>170.41740585275392</v>
      </c>
      <c r="K48" s="617">
        <f t="shared" si="3"/>
        <v>187.84308896981713</v>
      </c>
      <c r="L48" s="617">
        <f t="shared" si="3"/>
        <v>64.426296858890424</v>
      </c>
      <c r="M48" s="617">
        <f t="shared" si="3"/>
        <v>110.52363375723398</v>
      </c>
      <c r="N48" s="617">
        <f t="shared" si="3"/>
        <v>210.89429709841917</v>
      </c>
      <c r="O48" s="617">
        <f t="shared" si="3"/>
        <v>189.40665574732191</v>
      </c>
      <c r="P48" s="617">
        <f t="shared" si="3"/>
        <v>87.97992215459297</v>
      </c>
      <c r="Q48" s="618">
        <f>SUM(E48:P48)</f>
        <v>1691.0190000000355</v>
      </c>
      <c r="R48" s="605"/>
    </row>
    <row r="49" spans="3:18" x14ac:dyDescent="0.25">
      <c r="C49" s="811" t="s">
        <v>368</v>
      </c>
      <c r="D49" s="812"/>
      <c r="E49" s="617">
        <f t="shared" ref="E49:Q49" si="4">E28+E48</f>
        <v>1080.1177499217067</v>
      </c>
      <c r="F49" s="617">
        <f t="shared" si="4"/>
        <v>913.35694215302965</v>
      </c>
      <c r="G49" s="617">
        <f t="shared" si="4"/>
        <v>1032.0594714838207</v>
      </c>
      <c r="H49" s="617">
        <f t="shared" si="4"/>
        <v>1278.1661057101378</v>
      </c>
      <c r="I49" s="617">
        <f t="shared" si="4"/>
        <v>1550.9880099530119</v>
      </c>
      <c r="J49" s="617">
        <f t="shared" si="4"/>
        <v>1255.662492665268</v>
      </c>
      <c r="K49" s="617">
        <f t="shared" si="4"/>
        <v>1530.6735184745116</v>
      </c>
      <c r="L49" s="617">
        <f t="shared" si="4"/>
        <v>1039.9650045099313</v>
      </c>
      <c r="M49" s="617">
        <f t="shared" si="4"/>
        <v>1170.809722929205</v>
      </c>
      <c r="N49" s="617">
        <f t="shared" si="4"/>
        <v>1455.3664016109965</v>
      </c>
      <c r="O49" s="617">
        <f t="shared" si="4"/>
        <v>1455.4849362327595</v>
      </c>
      <c r="P49" s="617">
        <f t="shared" si="4"/>
        <v>1579.3777632437589</v>
      </c>
      <c r="Q49" s="618">
        <f t="shared" si="4"/>
        <v>15342.02811888814</v>
      </c>
      <c r="R49" s="605"/>
    </row>
    <row r="50" spans="3:18" x14ac:dyDescent="0.25">
      <c r="C50" s="813" t="s">
        <v>369</v>
      </c>
      <c r="D50" s="814"/>
      <c r="E50" s="607"/>
      <c r="F50" s="607"/>
      <c r="G50" s="607"/>
      <c r="H50" s="607"/>
      <c r="I50" s="607"/>
      <c r="J50" s="607"/>
      <c r="K50" s="607"/>
      <c r="L50" s="607"/>
      <c r="M50" s="607"/>
      <c r="N50" s="607"/>
      <c r="O50" s="607"/>
      <c r="P50" s="607"/>
      <c r="Q50" s="607"/>
      <c r="R50" s="605"/>
    </row>
    <row r="51" spans="3:18" x14ac:dyDescent="0.25">
      <c r="C51" s="811" t="s">
        <v>349</v>
      </c>
      <c r="D51" s="812"/>
      <c r="E51" s="607"/>
      <c r="F51" s="607"/>
      <c r="G51" s="607"/>
      <c r="H51" s="607"/>
      <c r="I51" s="607"/>
      <c r="J51" s="607"/>
      <c r="K51" s="607"/>
      <c r="L51" s="607"/>
      <c r="M51" s="607"/>
      <c r="N51" s="607"/>
      <c r="O51" s="607"/>
      <c r="P51" s="607"/>
      <c r="Q51" s="607"/>
      <c r="R51" s="605"/>
    </row>
    <row r="52" spans="3:18" x14ac:dyDescent="0.25">
      <c r="C52" s="821" t="s">
        <v>370</v>
      </c>
      <c r="D52" s="607" t="s">
        <v>371</v>
      </c>
      <c r="E52" s="606">
        <f>SUM('[5]TGNPDCL MoD'!F25:F30)</f>
        <v>40.970685730925894</v>
      </c>
      <c r="F52" s="606">
        <f>SUM('[5]TGNPDCL MoD'!G25:G30)</f>
        <v>47.433433256382308</v>
      </c>
      <c r="G52" s="606">
        <f>SUM('[5]TGNPDCL MoD'!H25:H30)</f>
        <v>33.962542119057005</v>
      </c>
      <c r="H52" s="606">
        <f>SUM('[5]TGNPDCL MoD'!I25:I30)</f>
        <v>36.556902975373852</v>
      </c>
      <c r="I52" s="606">
        <f>SUM('[5]TGNPDCL MoD'!J25:J30)</f>
        <v>39.922356252295089</v>
      </c>
      <c r="J52" s="606">
        <f>SUM('[5]TGNPDCL MoD'!K25:K30)</f>
        <v>33.962542119057005</v>
      </c>
      <c r="K52" s="606">
        <f>SUM('[5]TGNPDCL MoD'!L25:L30)</f>
        <v>49.71738804650839</v>
      </c>
      <c r="L52" s="606">
        <f>SUM('[5]TGNPDCL MoD'!M25:M30)</f>
        <v>58.019342786722284</v>
      </c>
      <c r="M52" s="606">
        <f>SUM('[5]TGNPDCL MoD'!N25:N30)</f>
        <v>28.966993595724798</v>
      </c>
      <c r="N52" s="606">
        <f>SUM('[5]TGNPDCL MoD'!O25:O30)</f>
        <v>30.011476537878341</v>
      </c>
      <c r="O52" s="606">
        <f>SUM('[5]TGNPDCL MoD'!P25:P30)</f>
        <v>43.354935020752812</v>
      </c>
      <c r="P52" s="606">
        <f>SUM('[5]TGNPDCL MoD'!Q25:Q30)</f>
        <v>52.641940284538279</v>
      </c>
      <c r="Q52" s="617">
        <f t="shared" ref="Q52:Q68" si="5">SUM(E52:P52)</f>
        <v>495.52053872521611</v>
      </c>
      <c r="R52" s="605"/>
    </row>
    <row r="53" spans="3:18" x14ac:dyDescent="0.25">
      <c r="C53" s="822"/>
      <c r="D53" s="607" t="s">
        <v>372</v>
      </c>
      <c r="E53" s="606">
        <f>'[5]TGNPDCL MoD'!F31</f>
        <v>11.288457197537436</v>
      </c>
      <c r="F53" s="606">
        <f>'[5]TGNPDCL MoD'!G31</f>
        <v>12.020502002739352</v>
      </c>
      <c r="G53" s="606">
        <f>'[5]TGNPDCL MoD'!H31</f>
        <v>8.4663428981530728</v>
      </c>
      <c r="H53" s="606">
        <f>'[5]TGNPDCL MoD'!I31</f>
        <v>0</v>
      </c>
      <c r="I53" s="606">
        <f>'[5]TGNPDCL MoD'!J31</f>
        <v>4.9210618095514622</v>
      </c>
      <c r="J53" s="606">
        <f>'[5]TGNPDCL MoD'!K31</f>
        <v>8.4663428981530728</v>
      </c>
      <c r="K53" s="606">
        <f>'[5]TGNPDCL MoD'!L31</f>
        <v>12.328821696248699</v>
      </c>
      <c r="L53" s="606">
        <f>'[5]TGNPDCL MoD'!M31</f>
        <v>14.463335784344849</v>
      </c>
      <c r="M53" s="606">
        <f>'[5]TGNPDCL MoD'!N31</f>
        <v>9.4776005220991379</v>
      </c>
      <c r="N53" s="606">
        <f>'[5]TGNPDCL MoD'!O31</f>
        <v>9.4776005220991379</v>
      </c>
      <c r="O53" s="606">
        <f>'[5]TGNPDCL MoD'!P31</f>
        <v>11.194386720891295</v>
      </c>
      <c r="P53" s="606">
        <f>'[5]TGNPDCL MoD'!Q31</f>
        <v>13.122831492137273</v>
      </c>
      <c r="Q53" s="617">
        <f t="shared" si="5"/>
        <v>115.22728354395477</v>
      </c>
      <c r="R53" s="605"/>
    </row>
    <row r="54" spans="3:18" x14ac:dyDescent="0.25">
      <c r="C54" s="822"/>
      <c r="D54" s="607" t="s">
        <v>373</v>
      </c>
      <c r="E54" s="606">
        <f>SUM('[5]TGNPDCL MoD'!F42:F45)</f>
        <v>38.55168480362407</v>
      </c>
      <c r="F54" s="606">
        <f>SUM('[5]TGNPDCL MoD'!G42:G45)</f>
        <v>38.221737951701158</v>
      </c>
      <c r="G54" s="606">
        <f>SUM('[5]TGNPDCL MoD'!H42:H45)</f>
        <v>36.98877866293661</v>
      </c>
      <c r="H54" s="606">
        <f>SUM('[5]TGNPDCL MoD'!I42:I45)</f>
        <v>32.300060240874217</v>
      </c>
      <c r="I54" s="606">
        <f>SUM('[5]TGNPDCL MoD'!J42:J45)</f>
        <v>32.300060240874217</v>
      </c>
      <c r="J54" s="606">
        <f>SUM('[5]TGNPDCL MoD'!K42:K45)</f>
        <v>39.769605540547659</v>
      </c>
      <c r="K54" s="606">
        <f>SUM('[5]TGNPDCL MoD'!L42:L45)</f>
        <v>43.066746987832289</v>
      </c>
      <c r="L54" s="606">
        <f>SUM('[5]TGNPDCL MoD'!M42:M45)</f>
        <v>30.085943208233648</v>
      </c>
      <c r="M54" s="606">
        <f>SUM('[5]TGNPDCL MoD'!N42:N45)</f>
        <v>24.897963102340544</v>
      </c>
      <c r="N54" s="606">
        <f>SUM('[5]TGNPDCL MoD'!O42:O45)</f>
        <v>36.270275978815008</v>
      </c>
      <c r="O54" s="606">
        <f>SUM('[5]TGNPDCL MoD'!P42:P45)</f>
        <v>38.898997279332391</v>
      </c>
      <c r="P54" s="606">
        <f>SUM('[5]TGNPDCL MoD'!Q42:Q45)</f>
        <v>43.066746987832289</v>
      </c>
      <c r="Q54" s="617">
        <f t="shared" si="5"/>
        <v>434.41860098494408</v>
      </c>
      <c r="R54" s="605"/>
    </row>
    <row r="55" spans="3:18" x14ac:dyDescent="0.25">
      <c r="C55" s="822"/>
      <c r="D55" s="607" t="s">
        <v>374</v>
      </c>
      <c r="E55" s="606">
        <f>'[5]TGNPDCL MoD'!F40</f>
        <v>66.961747503745642</v>
      </c>
      <c r="F55" s="606">
        <f>'[5]TGNPDCL MoD'!G40</f>
        <v>55.783138094717486</v>
      </c>
      <c r="G55" s="606">
        <f>'[5]TGNPDCL MoD'!H40</f>
        <v>51.846729406985133</v>
      </c>
      <c r="H55" s="606">
        <f>'[5]TGNPDCL MoD'!I40</f>
        <v>53.574953720551321</v>
      </c>
      <c r="I55" s="606">
        <f>'[5]TGNPDCL MoD'!J40</f>
        <v>55.807243458907607</v>
      </c>
      <c r="J55" s="606">
        <f>'[5]TGNPDCL MoD'!K40</f>
        <v>51.846729406985133</v>
      </c>
      <c r="K55" s="606">
        <f>'[5]TGNPDCL MoD'!L40</f>
        <v>68.745568751027463</v>
      </c>
      <c r="L55" s="606">
        <f>'[5]TGNPDCL MoD'!M40</f>
        <v>43.695812800742559</v>
      </c>
      <c r="M55" s="606">
        <f>'[5]TGNPDCL MoD'!N40</f>
        <v>57.797528255187785</v>
      </c>
      <c r="N55" s="606">
        <f>'[5]TGNPDCL MoD'!O40</f>
        <v>58.039533197263921</v>
      </c>
      <c r="O55" s="606">
        <f>'[5]TGNPDCL MoD'!P40</f>
        <v>68.552897771458134</v>
      </c>
      <c r="P55" s="606">
        <f>'[5]TGNPDCL MoD'!Q40</f>
        <v>78.130140842470666</v>
      </c>
      <c r="Q55" s="617">
        <f t="shared" si="5"/>
        <v>710.78202321004278</v>
      </c>
      <c r="R55" s="605"/>
    </row>
    <row r="56" spans="3:18" x14ac:dyDescent="0.25">
      <c r="C56" s="822"/>
      <c r="D56" s="607" t="s">
        <v>375</v>
      </c>
      <c r="E56" s="606">
        <f>'[5]TGNPDCL MoD'!F41</f>
        <v>32.640205888356419</v>
      </c>
      <c r="F56" s="606">
        <f>'[5]TGNPDCL MoD'!G41</f>
        <v>32.103980132836071</v>
      </c>
      <c r="G56" s="606">
        <f>'[5]TGNPDCL MoD'!H41</f>
        <v>24.667844535073279</v>
      </c>
      <c r="H56" s="606">
        <f>'[5]TGNPDCL MoD'!I41</f>
        <v>12.74505300978786</v>
      </c>
      <c r="I56" s="606">
        <f>'[5]TGNPDCL MoD'!J41</f>
        <v>27.911559102022181</v>
      </c>
      <c r="J56" s="606">
        <f>'[5]TGNPDCL MoD'!K41</f>
        <v>24.667844535073279</v>
      </c>
      <c r="K56" s="606">
        <f>'[5]TGNPDCL MoD'!L41</f>
        <v>34.037009919702896</v>
      </c>
      <c r="L56" s="606">
        <f>'[5]TGNPDCL MoD'!M41</f>
        <v>42.140901080750211</v>
      </c>
      <c r="M56" s="606">
        <f>'[5]TGNPDCL MoD'!N41</f>
        <v>27.614281521207033</v>
      </c>
      <c r="N56" s="606">
        <f>'[5]TGNPDCL MoD'!O41</f>
        <v>27.614281521207033</v>
      </c>
      <c r="O56" s="606">
        <f>'[5]TGNPDCL MoD'!P41</f>
        <v>32.616372218596865</v>
      </c>
      <c r="P56" s="606">
        <f>'[5]TGNPDCL MoD'!Q41</f>
        <v>37.173071278547894</v>
      </c>
      <c r="Q56" s="617">
        <f t="shared" si="5"/>
        <v>355.93240474316099</v>
      </c>
      <c r="R56" s="605"/>
    </row>
    <row r="57" spans="3:18" x14ac:dyDescent="0.25">
      <c r="C57" s="822"/>
      <c r="D57" s="607" t="s">
        <v>376</v>
      </c>
      <c r="E57" s="606">
        <f>SUM('[5]TGNPDCL MoD'!F49:F51)</f>
        <v>27.948552408107584</v>
      </c>
      <c r="F57" s="606">
        <f>SUM('[5]TGNPDCL MoD'!G49:G51)</f>
        <v>27.724963988842724</v>
      </c>
      <c r="G57" s="606">
        <f>SUM('[5]TGNPDCL MoD'!H49:H51)</f>
        <v>17.887073541188855</v>
      </c>
      <c r="H57" s="606">
        <f>SUM('[5]TGNPDCL MoD'!I49:I51)</f>
        <v>13.862481994421362</v>
      </c>
      <c r="I57" s="606">
        <f>SUM('[5]TGNPDCL MoD'!J49:J51)</f>
        <v>24.066809018092641</v>
      </c>
      <c r="J57" s="606">
        <f>SUM('[5]TGNPDCL MoD'!K49:K51)</f>
        <v>26.830610311783282</v>
      </c>
      <c r="K57" s="606">
        <f>SUM('[5]TGNPDCL MoD'!L49:L51)</f>
        <v>34.656204986053382</v>
      </c>
      <c r="L57" s="606">
        <f>SUM('[5]TGNPDCL MoD'!M49:M51)</f>
        <v>34.120083233653588</v>
      </c>
      <c r="M57" s="606">
        <f>SUM('[5]TGNPDCL MoD'!N49:N51)</f>
        <v>19.253447214474114</v>
      </c>
      <c r="N57" s="606">
        <f>SUM('[5]TGNPDCL MoD'!O49:O51)</f>
        <v>28.880170821711172</v>
      </c>
      <c r="O57" s="606">
        <f>SUM('[5]TGNPDCL MoD'!P49:P51)</f>
        <v>34.681050887050134</v>
      </c>
      <c r="P57" s="606">
        <f>SUM('[5]TGNPDCL MoD'!Q49:Q51)</f>
        <v>40.432239150395596</v>
      </c>
      <c r="Q57" s="617">
        <f t="shared" si="5"/>
        <v>330.34368755577441</v>
      </c>
      <c r="R57" s="605"/>
    </row>
    <row r="58" spans="3:18" x14ac:dyDescent="0.25">
      <c r="C58" s="822"/>
      <c r="D58" s="607" t="s">
        <v>377</v>
      </c>
      <c r="E58" s="606">
        <f>'[5]TGNPDCL MoD'!F53</f>
        <v>4.5905958329101413</v>
      </c>
      <c r="F58" s="606">
        <f>'[5]TGNPDCL MoD'!G53</f>
        <v>4.5538710662468613</v>
      </c>
      <c r="G58" s="606">
        <f>'[5]TGNPDCL MoD'!H53</f>
        <v>4.4069719995937362</v>
      </c>
      <c r="H58" s="606">
        <f>'[5]TGNPDCL MoD'!I53</f>
        <v>4.5538710662468613</v>
      </c>
      <c r="I58" s="606">
        <f>'[5]TGNPDCL MoD'!J53</f>
        <v>4.743615694007147</v>
      </c>
      <c r="J58" s="606">
        <f>'[5]TGNPDCL MoD'!K53</f>
        <v>4.4069719995937362</v>
      </c>
      <c r="K58" s="606">
        <f>'[5]TGNPDCL MoD'!L53</f>
        <v>5.6923388328085682</v>
      </c>
      <c r="L58" s="606">
        <f>'[5]TGNPDCL MoD'!M53</f>
        <v>6.9777056660233967</v>
      </c>
      <c r="M58" s="606">
        <f>'[5]TGNPDCL MoD'!N53</f>
        <v>4.743615694007147</v>
      </c>
      <c r="N58" s="606">
        <f>'[5]TGNPDCL MoD'!O53</f>
        <v>4.743615694007147</v>
      </c>
      <c r="O58" s="606">
        <f>'[5]TGNPDCL MoD'!P53</f>
        <v>5.8269963105739304</v>
      </c>
      <c r="P58" s="606">
        <f>'[5]TGNPDCL MoD'!Q53</f>
        <v>6.6410619716099912</v>
      </c>
      <c r="Q58" s="617">
        <f t="shared" si="5"/>
        <v>61.881231827628667</v>
      </c>
      <c r="R58" s="605"/>
    </row>
    <row r="59" spans="3:18" x14ac:dyDescent="0.25">
      <c r="C59" s="822"/>
      <c r="D59" s="607" t="s">
        <v>378</v>
      </c>
      <c r="E59" s="606">
        <f>'[5]TGNPDCL MoD'!F54</f>
        <v>20.050440620661519</v>
      </c>
      <c r="F59" s="606">
        <f>'[5]TGNPDCL MoD'!G54</f>
        <v>19.890037095696229</v>
      </c>
      <c r="G59" s="606">
        <f>'[5]TGNPDCL MoD'!H54</f>
        <v>19.248422995835057</v>
      </c>
      <c r="H59" s="606">
        <f>'[5]TGNPDCL MoD'!I54</f>
        <v>19.890037095696229</v>
      </c>
      <c r="I59" s="606">
        <f>'[5]TGNPDCL MoD'!J54</f>
        <v>20.718788641350237</v>
      </c>
      <c r="J59" s="606">
        <f>'[5]TGNPDCL MoD'!K54</f>
        <v>19.248422995835057</v>
      </c>
      <c r="K59" s="606">
        <f>'[5]TGNPDCL MoD'!L54</f>
        <v>24.862546369620297</v>
      </c>
      <c r="L59" s="606">
        <f>'[5]TGNPDCL MoD'!M54</f>
        <v>27.957805059926912</v>
      </c>
      <c r="M59" s="606">
        <f>'[5]TGNPDCL MoD'!N54</f>
        <v>20.001753531833927</v>
      </c>
      <c r="N59" s="606">
        <f>'[5]TGNPDCL MoD'!O54</f>
        <v>20.718788641350237</v>
      </c>
      <c r="O59" s="606">
        <f>'[5]TGNPDCL MoD'!P54</f>
        <v>24.702142844655008</v>
      </c>
      <c r="P59" s="606">
        <f>'[5]TGNPDCL MoD'!Q54</f>
        <v>29.00630409789035</v>
      </c>
      <c r="Q59" s="617">
        <f t="shared" si="5"/>
        <v>266.29548999035103</v>
      </c>
      <c r="R59" s="605"/>
    </row>
    <row r="60" spans="3:18" x14ac:dyDescent="0.25">
      <c r="C60" s="823"/>
      <c r="D60" s="607" t="s">
        <v>379</v>
      </c>
      <c r="E60" s="606">
        <f>'[5]TGNPDCL MoD'!F55</f>
        <v>112.17476191077378</v>
      </c>
      <c r="F60" s="606">
        <f>'[5]TGNPDCL MoD'!G55</f>
        <v>110.51035070021703</v>
      </c>
      <c r="G60" s="606">
        <f>'[5]TGNPDCL MoD'!H55</f>
        <v>84.463954506835506</v>
      </c>
      <c r="H60" s="606">
        <f>'[5]TGNPDCL MoD'!I55</f>
        <v>43.51908701275066</v>
      </c>
      <c r="I60" s="606">
        <f>'[5]TGNPDCL MoD'!J55</f>
        <v>0</v>
      </c>
      <c r="J60" s="606">
        <f>'[5]TGNPDCL MoD'!K55</f>
        <v>84.230490992420641</v>
      </c>
      <c r="K60" s="606">
        <f>'[5]TGNPDCL MoD'!L55</f>
        <v>116.25878515340025</v>
      </c>
      <c r="L60" s="606">
        <f>'[5]TGNPDCL MoD'!M55</f>
        <v>116.12358952353139</v>
      </c>
      <c r="M60" s="606">
        <f>'[5]TGNPDCL MoD'!N55</f>
        <v>99.477590946289325</v>
      </c>
      <c r="N60" s="606">
        <f>'[5]TGNPDCL MoD'!O55</f>
        <v>100.07126399257771</v>
      </c>
      <c r="O60" s="606">
        <f>'[5]TGNPDCL MoD'!P55</f>
        <v>101.61249167139803</v>
      </c>
      <c r="P60" s="606">
        <f>'[5]TGNPDCL MoD'!Q55</f>
        <v>121.57015564912626</v>
      </c>
      <c r="Q60" s="617">
        <f t="shared" si="5"/>
        <v>1090.0125220593204</v>
      </c>
      <c r="R60" s="605"/>
    </row>
    <row r="61" spans="3:18" x14ac:dyDescent="0.25">
      <c r="C61" s="613"/>
      <c r="D61" s="607" t="s">
        <v>451</v>
      </c>
      <c r="E61" s="606">
        <f>'[5]TGNPDCL MoD'!F56</f>
        <v>106.5233706131387</v>
      </c>
      <c r="F61" s="606">
        <f>'[5]TGNPDCL MoD'!G56</f>
        <v>109.85400605160362</v>
      </c>
      <c r="G61" s="606">
        <f>'[5]TGNPDCL MoD'!H56</f>
        <v>77.763800904100805</v>
      </c>
      <c r="H61" s="606">
        <f>'[5]TGNPDCL MoD'!I56</f>
        <v>84.38295074824822</v>
      </c>
      <c r="I61" s="606">
        <f>'[5]TGNPDCL MoD'!J56</f>
        <v>99.912084657899328</v>
      </c>
      <c r="J61" s="606">
        <f>'[5]TGNPDCL MoD'!K56</f>
        <v>79.43654610119637</v>
      </c>
      <c r="K61" s="606">
        <f>'[5]TGNPDCL MoD'!L56</f>
        <v>0</v>
      </c>
      <c r="L61" s="606">
        <f>'[5]TGNPDCL MoD'!M56</f>
        <v>116.12358952353139</v>
      </c>
      <c r="M61" s="606">
        <f>'[5]TGNPDCL MoD'!N56</f>
        <v>48.589271907440065</v>
      </c>
      <c r="N61" s="606">
        <f>'[5]TGNPDCL MoD'!O56</f>
        <v>97.932339113991446</v>
      </c>
      <c r="O61" s="606">
        <f>'[5]TGNPDCL MoD'!P56</f>
        <v>96.435027344743673</v>
      </c>
      <c r="P61" s="606">
        <f>'[5]TGNPDCL MoD'!Q56</f>
        <v>116.46585457328553</v>
      </c>
      <c r="Q61" s="617">
        <f t="shared" si="5"/>
        <v>1033.4188415391791</v>
      </c>
      <c r="R61" s="605"/>
    </row>
    <row r="62" spans="3:18" x14ac:dyDescent="0.25">
      <c r="C62" s="607"/>
      <c r="D62" s="607" t="s">
        <v>380</v>
      </c>
      <c r="E62" s="606">
        <f>'[5]TGNPDCL MoD'!F33</f>
        <v>0.96432607694384442</v>
      </c>
      <c r="F62" s="606">
        <f>'[5]TGNPDCL MoD'!G33</f>
        <v>0.91567539198091108</v>
      </c>
      <c r="G62" s="606">
        <f>'[5]TGNPDCL MoD'!H33</f>
        <v>0.88613747611055915</v>
      </c>
      <c r="H62" s="606">
        <f>'[5]TGNPDCL MoD'!I33</f>
        <v>1.0166690013905715</v>
      </c>
      <c r="I62" s="606">
        <f>'[5]TGNPDCL MoD'!J33</f>
        <v>1.077265167036368</v>
      </c>
      <c r="J62" s="606">
        <f>'[5]TGNPDCL MoD'!K33</f>
        <v>0</v>
      </c>
      <c r="K62" s="606">
        <f>'[5]TGNPDCL MoD'!L33</f>
        <v>1.077265167036368</v>
      </c>
      <c r="L62" s="606">
        <f>'[5]TGNPDCL MoD'!M33</f>
        <v>0.98387322715215575</v>
      </c>
      <c r="M62" s="606">
        <f>'[5]TGNPDCL MoD'!N33</f>
        <v>0.95607283574477497</v>
      </c>
      <c r="N62" s="606">
        <f>'[5]TGNPDCL MoD'!O33</f>
        <v>1.0166690013905715</v>
      </c>
      <c r="O62" s="606">
        <f>'[5]TGNPDCL MoD'!P33</f>
        <v>0.97301369925865488</v>
      </c>
      <c r="P62" s="606">
        <f>'[5]TGNPDCL MoD'!Q33</f>
        <v>1.077265167036368</v>
      </c>
      <c r="Q62" s="617">
        <f t="shared" si="5"/>
        <v>10.944232211081147</v>
      </c>
      <c r="R62" s="605"/>
    </row>
    <row r="63" spans="3:18" x14ac:dyDescent="0.25">
      <c r="C63" s="607"/>
      <c r="D63" s="607" t="s">
        <v>381</v>
      </c>
      <c r="E63" s="606">
        <f>'[5]TGNPDCL MoD'!F34</f>
        <v>1.2708173107011804</v>
      </c>
      <c r="F63" s="606">
        <f>'[5]TGNPDCL MoD'!G34</f>
        <v>1.2067040049360758</v>
      </c>
      <c r="G63" s="606">
        <f>'[5]TGNPDCL MoD'!H34</f>
        <v>1.1677780692929765</v>
      </c>
      <c r="H63" s="606">
        <f>'[5]TGNPDCL MoD'!I34</f>
        <v>1.3397963584216721</v>
      </c>
      <c r="I63" s="606">
        <f>'[5]TGNPDCL MoD'!J34</f>
        <v>1.4196517705130303</v>
      </c>
      <c r="J63" s="606">
        <f>'[5]TGNPDCL MoD'!K34</f>
        <v>0</v>
      </c>
      <c r="K63" s="606">
        <f>'[5]TGNPDCL MoD'!L34</f>
        <v>1.4196517705130303</v>
      </c>
      <c r="L63" s="606">
        <f>'[5]TGNPDCL MoD'!M34</f>
        <v>1.2965771210532311</v>
      </c>
      <c r="M63" s="606">
        <f>'[5]TGNPDCL MoD'!N34</f>
        <v>1.2599409463303144</v>
      </c>
      <c r="N63" s="606">
        <f>'[5]TGNPDCL MoD'!O34</f>
        <v>1.3397963584216614</v>
      </c>
      <c r="O63" s="606">
        <f>'[5]TGNPDCL MoD'!P34</f>
        <v>1.2822661153020918</v>
      </c>
      <c r="P63" s="606">
        <f>'[5]TGNPDCL MoD'!Q34</f>
        <v>1.4196517705130303</v>
      </c>
      <c r="Q63" s="617">
        <f t="shared" si="5"/>
        <v>14.422631595998293</v>
      </c>
      <c r="R63" s="605"/>
    </row>
    <row r="64" spans="3:18" x14ac:dyDescent="0.25">
      <c r="C64" s="607"/>
      <c r="D64" s="607" t="s">
        <v>382</v>
      </c>
      <c r="E64" s="606">
        <f>'[5]TGNPDCL MoD'!F52</f>
        <v>11.017309738431809</v>
      </c>
      <c r="F64" s="606">
        <f>'[5]TGNPDCL MoD'!G52</f>
        <v>10.923017447877662</v>
      </c>
      <c r="G64" s="606">
        <f>'[5]TGNPDCL MoD'!H52</f>
        <v>10.570662046333222</v>
      </c>
      <c r="H64" s="606">
        <f>'[5]TGNPDCL MoD'!I52</f>
        <v>12.307625293383282</v>
      </c>
      <c r="I64" s="606">
        <f>'[5]TGNPDCL MoD'!J52</f>
        <v>0</v>
      </c>
      <c r="J64" s="606">
        <f>'[5]TGNPDCL MoD'!K52</f>
        <v>11.240633584481103</v>
      </c>
      <c r="K64" s="606">
        <f>'[5]TGNPDCL MoD'!L52</f>
        <v>12.307625293383282</v>
      </c>
      <c r="L64" s="606">
        <f>'[5]TGNPDCL MoD'!M52</f>
        <v>11.4639574305304</v>
      </c>
      <c r="M64" s="606">
        <f>'[5]TGNPDCL MoD'!N52</f>
        <v>11.384553396379538</v>
      </c>
      <c r="N64" s="606">
        <f>'[5]TGNPDCL MoD'!O52</f>
        <v>11.84608934488141</v>
      </c>
      <c r="O64" s="606">
        <f>'[5]TGNPDCL MoD'!P52</f>
        <v>11.116564781120385</v>
      </c>
      <c r="P64" s="606">
        <f>'[5]TGNPDCL MoD'!Q52</f>
        <v>12.307625293383282</v>
      </c>
      <c r="Q64" s="617">
        <f t="shared" si="5"/>
        <v>126.48566365018539</v>
      </c>
      <c r="R64" s="605"/>
    </row>
    <row r="65" spans="3:18" x14ac:dyDescent="0.25">
      <c r="C65" s="607"/>
      <c r="D65" s="607" t="s">
        <v>383</v>
      </c>
      <c r="E65" s="606">
        <f>'[5]TGNPDCL MoD'!F35</f>
        <v>0</v>
      </c>
      <c r="F65" s="606">
        <f>'[5]TGNPDCL MoD'!G35</f>
        <v>0</v>
      </c>
      <c r="G65" s="606">
        <f>'[5]TGNPDCL MoD'!H35</f>
        <v>0</v>
      </c>
      <c r="H65" s="606">
        <f>'[5]TGNPDCL MoD'!I35</f>
        <v>0</v>
      </c>
      <c r="I65" s="606">
        <f>'[5]TGNPDCL MoD'!J35</f>
        <v>0</v>
      </c>
      <c r="J65" s="606">
        <f>'[5]TGNPDCL MoD'!K35</f>
        <v>0</v>
      </c>
      <c r="K65" s="606">
        <f>'[5]TGNPDCL MoD'!L35</f>
        <v>0</v>
      </c>
      <c r="L65" s="606">
        <f>'[5]TGNPDCL MoD'!M35</f>
        <v>0</v>
      </c>
      <c r="M65" s="606">
        <f>'[5]TGNPDCL MoD'!N35</f>
        <v>0</v>
      </c>
      <c r="N65" s="606">
        <f>'[5]TGNPDCL MoD'!O35</f>
        <v>0</v>
      </c>
      <c r="O65" s="606">
        <f>'[5]TGNPDCL MoD'!P35</f>
        <v>0</v>
      </c>
      <c r="P65" s="606">
        <f>'[5]TGNPDCL MoD'!Q35</f>
        <v>0</v>
      </c>
      <c r="Q65" s="617">
        <f t="shared" si="5"/>
        <v>0</v>
      </c>
      <c r="R65" s="605"/>
    </row>
    <row r="66" spans="3:18" x14ac:dyDescent="0.25">
      <c r="C66" s="607"/>
      <c r="D66" s="607" t="s">
        <v>384</v>
      </c>
      <c r="E66" s="606">
        <f t="shared" ref="E66:P66" si="6">E65</f>
        <v>0</v>
      </c>
      <c r="F66" s="606">
        <f t="shared" si="6"/>
        <v>0</v>
      </c>
      <c r="G66" s="606">
        <f t="shared" si="6"/>
        <v>0</v>
      </c>
      <c r="H66" s="606">
        <f t="shared" si="6"/>
        <v>0</v>
      </c>
      <c r="I66" s="606">
        <f t="shared" si="6"/>
        <v>0</v>
      </c>
      <c r="J66" s="606">
        <f t="shared" si="6"/>
        <v>0</v>
      </c>
      <c r="K66" s="606">
        <f t="shared" si="6"/>
        <v>0</v>
      </c>
      <c r="L66" s="606">
        <f t="shared" si="6"/>
        <v>0</v>
      </c>
      <c r="M66" s="606">
        <f t="shared" si="6"/>
        <v>0</v>
      </c>
      <c r="N66" s="606">
        <f t="shared" si="6"/>
        <v>0</v>
      </c>
      <c r="O66" s="606">
        <f t="shared" si="6"/>
        <v>0</v>
      </c>
      <c r="P66" s="606">
        <f t="shared" si="6"/>
        <v>0</v>
      </c>
      <c r="Q66" s="617">
        <f t="shared" si="5"/>
        <v>0</v>
      </c>
      <c r="R66" s="605"/>
    </row>
    <row r="67" spans="3:18" x14ac:dyDescent="0.25">
      <c r="C67" s="607"/>
      <c r="D67" s="607" t="s">
        <v>385</v>
      </c>
      <c r="E67" s="606">
        <f>'[5]TGNPDCL MoD'!F46</f>
        <v>13.23828162256661</v>
      </c>
      <c r="F67" s="606">
        <f>'[5]TGNPDCL MoD'!G46</f>
        <v>14.906659048395113</v>
      </c>
      <c r="G67" s="606">
        <f>'[5]TGNPDCL MoD'!H46</f>
        <v>9.9287112169249667</v>
      </c>
      <c r="H67" s="606">
        <f>'[5]TGNPDCL MoD'!I46</f>
        <v>10.687154434884519</v>
      </c>
      <c r="I67" s="606">
        <f>'[5]TGNPDCL MoD'!J46</f>
        <v>11.969612967070667</v>
      </c>
      <c r="J67" s="606">
        <f>'[5]TGNPDCL MoD'!K46</f>
        <v>9.9287112169249667</v>
      </c>
      <c r="K67" s="606">
        <f>'[5]TGNPDCL MoD'!L46</f>
        <v>14.534530031442969</v>
      </c>
      <c r="L67" s="606">
        <f>'[5]TGNPDCL MoD'!M46</f>
        <v>16.961548328913459</v>
      </c>
      <c r="M67" s="606">
        <f>'[5]TGNPDCL MoD'!N46</f>
        <v>11.114640612279899</v>
      </c>
      <c r="N67" s="606">
        <f>'[5]TGNPDCL MoD'!O46</f>
        <v>11.406640578770784</v>
      </c>
      <c r="O67" s="606">
        <f>'[5]TGNPDCL MoD'!P46</f>
        <v>13.514079156370123</v>
      </c>
      <c r="P67" s="606">
        <f>'[5]TGNPDCL MoD'!Q46</f>
        <v>15.389502386233737</v>
      </c>
      <c r="Q67" s="617">
        <f t="shared" si="5"/>
        <v>153.58007160077781</v>
      </c>
      <c r="R67" s="605"/>
    </row>
    <row r="68" spans="3:18" x14ac:dyDescent="0.25">
      <c r="C68" s="607"/>
      <c r="D68" s="607" t="s">
        <v>386</v>
      </c>
      <c r="E68" s="606">
        <f>'[5]TGNPDCL MoD'!F47</f>
        <v>18.523332037777365</v>
      </c>
      <c r="F68" s="606">
        <f>'[5]TGNPDCL MoD'!G47</f>
        <v>0</v>
      </c>
      <c r="G68" s="606">
        <f>'[5]TGNPDCL MoD'!H47</f>
        <v>6.9462495141664995</v>
      </c>
      <c r="H68" s="606">
        <f>'[5]TGNPDCL MoD'!I47</f>
        <v>14.385894733152483</v>
      </c>
      <c r="I68" s="606">
        <f>'[5]TGNPDCL MoD'!J47</f>
        <v>16.150030120437123</v>
      </c>
      <c r="J68" s="606">
        <f>'[5]TGNPDCL MoD'!K47</f>
        <v>13.892499028332999</v>
      </c>
      <c r="K68" s="606">
        <f>'[5]TGNPDCL MoD'!L47</f>
        <v>19.738925702756504</v>
      </c>
      <c r="L68" s="606">
        <f>'[5]TGNPDCL MoD'!M47</f>
        <v>23.733019173402205</v>
      </c>
      <c r="M68" s="606">
        <f>'[5]TGNPDCL MoD'!N47</f>
        <v>15.551880856717226</v>
      </c>
      <c r="N68" s="606">
        <f>'[5]TGNPDCL MoD'!O47</f>
        <v>15.551880856717226</v>
      </c>
      <c r="O68" s="606">
        <f>'[5]TGNPDCL MoD'!P47</f>
        <v>18.368970937462556</v>
      </c>
      <c r="P68" s="606">
        <f>'[5]TGNPDCL MoD'!Q47</f>
        <v>21.129967099538959</v>
      </c>
      <c r="Q68" s="617">
        <f t="shared" si="5"/>
        <v>183.97265006046115</v>
      </c>
      <c r="R68" s="605"/>
    </row>
    <row r="69" spans="3:18" hidden="1" x14ac:dyDescent="0.25">
      <c r="C69" s="607"/>
      <c r="D69" s="607"/>
      <c r="E69" s="606"/>
      <c r="F69" s="606"/>
      <c r="G69" s="606"/>
      <c r="H69" s="606"/>
      <c r="I69" s="606"/>
      <c r="J69" s="606"/>
      <c r="K69" s="606"/>
      <c r="L69" s="606"/>
      <c r="M69" s="606"/>
      <c r="N69" s="606"/>
      <c r="O69" s="606"/>
      <c r="P69" s="606"/>
      <c r="Q69" s="617"/>
      <c r="R69" s="605"/>
    </row>
    <row r="70" spans="3:18" hidden="1" x14ac:dyDescent="0.25">
      <c r="C70" s="607"/>
      <c r="D70" s="607"/>
      <c r="E70" s="606"/>
      <c r="F70" s="606"/>
      <c r="G70" s="606"/>
      <c r="H70" s="606"/>
      <c r="I70" s="606"/>
      <c r="J70" s="606"/>
      <c r="K70" s="606"/>
      <c r="L70" s="606"/>
      <c r="M70" s="606"/>
      <c r="N70" s="606"/>
      <c r="O70" s="606"/>
      <c r="P70" s="606"/>
      <c r="Q70" s="617"/>
      <c r="R70" s="605"/>
    </row>
    <row r="71" spans="3:18" hidden="1" x14ac:dyDescent="0.25">
      <c r="C71" s="607"/>
      <c r="D71" s="607"/>
      <c r="E71" s="606"/>
      <c r="F71" s="606"/>
      <c r="G71" s="606"/>
      <c r="H71" s="606"/>
      <c r="I71" s="606"/>
      <c r="J71" s="606"/>
      <c r="K71" s="606"/>
      <c r="L71" s="606"/>
      <c r="M71" s="606"/>
      <c r="N71" s="606"/>
      <c r="O71" s="606"/>
      <c r="P71" s="606"/>
      <c r="Q71" s="617"/>
      <c r="R71" s="605"/>
    </row>
    <row r="72" spans="3:18" hidden="1" x14ac:dyDescent="0.25">
      <c r="C72" s="607"/>
      <c r="D72" s="607"/>
      <c r="E72" s="606"/>
      <c r="F72" s="606"/>
      <c r="G72" s="606"/>
      <c r="H72" s="606"/>
      <c r="I72" s="606"/>
      <c r="J72" s="606"/>
      <c r="K72" s="606"/>
      <c r="L72" s="606"/>
      <c r="M72" s="606"/>
      <c r="N72" s="606"/>
      <c r="O72" s="606"/>
      <c r="P72" s="606"/>
      <c r="Q72" s="617"/>
      <c r="R72" s="605"/>
    </row>
    <row r="73" spans="3:18" hidden="1" x14ac:dyDescent="0.25">
      <c r="C73" s="607"/>
      <c r="D73" s="607"/>
      <c r="E73" s="606"/>
      <c r="F73" s="606"/>
      <c r="G73" s="606"/>
      <c r="H73" s="606"/>
      <c r="I73" s="606"/>
      <c r="J73" s="606"/>
      <c r="K73" s="606"/>
      <c r="L73" s="606"/>
      <c r="M73" s="606"/>
      <c r="N73" s="606"/>
      <c r="O73" s="606"/>
      <c r="P73" s="606"/>
      <c r="Q73" s="617"/>
      <c r="R73" s="605"/>
    </row>
    <row r="74" spans="3:18" hidden="1" x14ac:dyDescent="0.25">
      <c r="C74" s="607"/>
      <c r="D74" s="607"/>
      <c r="E74" s="606"/>
      <c r="F74" s="606"/>
      <c r="G74" s="606"/>
      <c r="H74" s="606"/>
      <c r="I74" s="606"/>
      <c r="J74" s="606"/>
      <c r="K74" s="606"/>
      <c r="L74" s="606"/>
      <c r="M74" s="606"/>
      <c r="N74" s="606"/>
      <c r="O74" s="606"/>
      <c r="P74" s="606"/>
      <c r="Q74" s="617"/>
      <c r="R74" s="605"/>
    </row>
    <row r="75" spans="3:18" hidden="1" x14ac:dyDescent="0.25">
      <c r="C75" s="607"/>
      <c r="D75" s="607"/>
      <c r="E75" s="606"/>
      <c r="F75" s="606"/>
      <c r="G75" s="606"/>
      <c r="H75" s="606"/>
      <c r="I75" s="606"/>
      <c r="J75" s="606"/>
      <c r="K75" s="606"/>
      <c r="L75" s="606"/>
      <c r="M75" s="606"/>
      <c r="N75" s="606"/>
      <c r="O75" s="606"/>
      <c r="P75" s="606"/>
      <c r="Q75" s="617"/>
      <c r="R75" s="605"/>
    </row>
    <row r="76" spans="3:18" hidden="1" x14ac:dyDescent="0.25">
      <c r="C76" s="607"/>
      <c r="D76" s="607"/>
      <c r="E76" s="606"/>
      <c r="F76" s="606"/>
      <c r="G76" s="606"/>
      <c r="H76" s="606"/>
      <c r="I76" s="606"/>
      <c r="J76" s="606"/>
      <c r="K76" s="606"/>
      <c r="L76" s="606"/>
      <c r="M76" s="606"/>
      <c r="N76" s="606"/>
      <c r="O76" s="606"/>
      <c r="P76" s="606"/>
      <c r="Q76" s="617"/>
      <c r="R76" s="605"/>
    </row>
    <row r="77" spans="3:18" x14ac:dyDescent="0.25">
      <c r="C77" s="811" t="s">
        <v>212</v>
      </c>
      <c r="D77" s="812"/>
      <c r="E77" s="617">
        <f t="shared" ref="E77:P77" si="7">SUM(E52:E76)</f>
        <v>506.71456929620206</v>
      </c>
      <c r="F77" s="617">
        <f t="shared" si="7"/>
        <v>486.04807623417264</v>
      </c>
      <c r="G77" s="617">
        <f t="shared" si="7"/>
        <v>389.20199989258725</v>
      </c>
      <c r="H77" s="617">
        <f t="shared" si="7"/>
        <v>341.12253768518315</v>
      </c>
      <c r="I77" s="617">
        <f t="shared" si="7"/>
        <v>340.92013890005711</v>
      </c>
      <c r="J77" s="617">
        <f t="shared" si="7"/>
        <v>407.92795073038428</v>
      </c>
      <c r="K77" s="617">
        <f t="shared" si="7"/>
        <v>438.44340870833435</v>
      </c>
      <c r="L77" s="617">
        <f t="shared" si="7"/>
        <v>544.14708394851175</v>
      </c>
      <c r="M77" s="617">
        <f t="shared" si="7"/>
        <v>381.08713493805556</v>
      </c>
      <c r="N77" s="617">
        <f t="shared" si="7"/>
        <v>454.92042216108285</v>
      </c>
      <c r="O77" s="617">
        <f t="shared" si="7"/>
        <v>503.13019275896613</v>
      </c>
      <c r="P77" s="617">
        <f t="shared" si="7"/>
        <v>589.57435804453939</v>
      </c>
      <c r="Q77" s="618">
        <f>SUM(E77:P77)</f>
        <v>5383.2378732980778</v>
      </c>
      <c r="R77" s="605"/>
    </row>
    <row r="78" spans="3:18" x14ac:dyDescent="0.25">
      <c r="C78" s="811" t="s">
        <v>387</v>
      </c>
      <c r="D78" s="812"/>
      <c r="E78" s="607"/>
      <c r="F78" s="607"/>
      <c r="G78" s="607"/>
      <c r="H78" s="607"/>
      <c r="I78" s="607"/>
      <c r="J78" s="607"/>
      <c r="K78" s="607"/>
      <c r="L78" s="607"/>
      <c r="M78" s="607"/>
      <c r="N78" s="607"/>
      <c r="O78" s="607"/>
      <c r="P78" s="607"/>
      <c r="Q78" s="607"/>
      <c r="R78" s="605"/>
    </row>
    <row r="79" spans="3:18" x14ac:dyDescent="0.25">
      <c r="C79" s="821" t="s">
        <v>388</v>
      </c>
      <c r="D79" s="607" t="s">
        <v>389</v>
      </c>
      <c r="E79" s="606">
        <f>'[5]TGNPDCL MoD'!F32</f>
        <v>4.570729498779821</v>
      </c>
      <c r="F79" s="606">
        <f>'[5]TGNPDCL MoD'!G32</f>
        <v>4.7230871487391504</v>
      </c>
      <c r="G79" s="606">
        <f>'[5]TGNPDCL MoD'!H32</f>
        <v>4.570729498779821</v>
      </c>
      <c r="H79" s="606">
        <f>'[5]TGNPDCL MoD'!I32</f>
        <v>4.7230871487391504</v>
      </c>
      <c r="I79" s="606">
        <f>'[5]TGNPDCL MoD'!J32</f>
        <v>4.7230871487391504</v>
      </c>
      <c r="J79" s="606">
        <f>'[5]TGNPDCL MoD'!K32</f>
        <v>4.570729498779821</v>
      </c>
      <c r="K79" s="606">
        <f>'[5]TGNPDCL MoD'!L32</f>
        <v>4.7230871487391504</v>
      </c>
      <c r="L79" s="606">
        <f>'[5]TGNPDCL MoD'!M32</f>
        <v>4.570729498779821</v>
      </c>
      <c r="M79" s="606">
        <f>'[5]TGNPDCL MoD'!N32</f>
        <v>4.7230871487391504</v>
      </c>
      <c r="N79" s="606">
        <f>'[5]TGNPDCL MoD'!O32</f>
        <v>4.7230871487391504</v>
      </c>
      <c r="O79" s="606">
        <f>'[5]TGNPDCL MoD'!P32</f>
        <v>4.2660141988611677</v>
      </c>
      <c r="P79" s="606">
        <f>'[5]TGNPDCL MoD'!Q32</f>
        <v>4.7230871487391504</v>
      </c>
      <c r="Q79" s="606">
        <f t="shared" ref="Q79:Q93" si="8">SUM(E79:P79)</f>
        <v>55.610542235154512</v>
      </c>
      <c r="R79" s="605"/>
    </row>
    <row r="80" spans="3:18" x14ac:dyDescent="0.25">
      <c r="C80" s="822"/>
      <c r="D80" s="607" t="s">
        <v>390</v>
      </c>
      <c r="E80" s="606">
        <f>'[5]TGNPDCL MoD'!F36+'[5]TGNPDCL MoD'!F37</f>
        <v>14.040684086436919</v>
      </c>
      <c r="F80" s="606">
        <f>'[5]TGNPDCL MoD'!G36+'[5]TGNPDCL MoD'!G37</f>
        <v>14.508706889318155</v>
      </c>
      <c r="G80" s="606">
        <f>'[5]TGNPDCL MoD'!H36+'[5]TGNPDCL MoD'!H37</f>
        <v>14.040684086436919</v>
      </c>
      <c r="H80" s="606">
        <f>'[5]TGNPDCL MoD'!I36+'[5]TGNPDCL MoD'!I37</f>
        <v>14.508706889318155</v>
      </c>
      <c r="I80" s="606">
        <f>'[5]TGNPDCL MoD'!J36+'[5]TGNPDCL MoD'!J37</f>
        <v>14.508706889318155</v>
      </c>
      <c r="J80" s="606">
        <f>'[5]TGNPDCL MoD'!K36+'[5]TGNPDCL MoD'!K37</f>
        <v>14.040684086436919</v>
      </c>
      <c r="K80" s="606">
        <f>'[5]TGNPDCL MoD'!L36+'[5]TGNPDCL MoD'!L37</f>
        <v>14.508706889318155</v>
      </c>
      <c r="L80" s="606">
        <f>'[5]TGNPDCL MoD'!M36+'[5]TGNPDCL MoD'!M37</f>
        <v>14.040684086436919</v>
      </c>
      <c r="M80" s="606">
        <f>'[5]TGNPDCL MoD'!N36+'[5]TGNPDCL MoD'!N37</f>
        <v>14.508706889318155</v>
      </c>
      <c r="N80" s="606">
        <f>'[5]TGNPDCL MoD'!O36+'[5]TGNPDCL MoD'!O37</f>
        <v>14.508706889318155</v>
      </c>
      <c r="O80" s="606">
        <f>'[5]TGNPDCL MoD'!P36+'[5]TGNPDCL MoD'!P37</f>
        <v>13.104638480674463</v>
      </c>
      <c r="P80" s="606">
        <f>'[5]TGNPDCL MoD'!Q36+'[5]TGNPDCL MoD'!Q37</f>
        <v>14.508706889318155</v>
      </c>
      <c r="Q80" s="606">
        <f t="shared" si="8"/>
        <v>170.82832305164919</v>
      </c>
      <c r="R80" s="605"/>
    </row>
    <row r="81" spans="3:18" x14ac:dyDescent="0.25">
      <c r="C81" s="822"/>
      <c r="D81" s="607" t="s">
        <v>391</v>
      </c>
      <c r="E81" s="606">
        <f>'[5]TGNPDCL MoD'!F38+'[5]TGNPDCL MoD'!F39</f>
        <v>14.932444968141922</v>
      </c>
      <c r="F81" s="606">
        <f>'[5]TGNPDCL MoD'!G38+'[5]TGNPDCL MoD'!G39</f>
        <v>15.430193133746656</v>
      </c>
      <c r="G81" s="606">
        <f>'[5]TGNPDCL MoD'!H38+'[5]TGNPDCL MoD'!H39</f>
        <v>14.932444968141922</v>
      </c>
      <c r="H81" s="606">
        <f>'[5]TGNPDCL MoD'!I38+'[5]TGNPDCL MoD'!I39</f>
        <v>15.430193133746656</v>
      </c>
      <c r="I81" s="606">
        <f>'[5]TGNPDCL MoD'!J38+'[5]TGNPDCL MoD'!J39</f>
        <v>15.430193133746656</v>
      </c>
      <c r="J81" s="606">
        <f>'[5]TGNPDCL MoD'!K38+'[5]TGNPDCL MoD'!K39</f>
        <v>14.932444968141922</v>
      </c>
      <c r="K81" s="606">
        <f>'[5]TGNPDCL MoD'!L38+'[5]TGNPDCL MoD'!L39</f>
        <v>15.430193133746656</v>
      </c>
      <c r="L81" s="606">
        <f>'[5]TGNPDCL MoD'!M38+'[5]TGNPDCL MoD'!M39</f>
        <v>14.932444968141922</v>
      </c>
      <c r="M81" s="606">
        <f>'[5]TGNPDCL MoD'!N38+'[5]TGNPDCL MoD'!N39</f>
        <v>15.430193133746656</v>
      </c>
      <c r="N81" s="606">
        <f>'[5]TGNPDCL MoD'!O38+'[5]TGNPDCL MoD'!O39</f>
        <v>15.430193133746656</v>
      </c>
      <c r="O81" s="606">
        <f>'[5]TGNPDCL MoD'!P38+'[5]TGNPDCL MoD'!P39</f>
        <v>13.936948636932463</v>
      </c>
      <c r="P81" s="606">
        <f>'[5]TGNPDCL MoD'!Q38+'[5]TGNPDCL MoD'!Q39</f>
        <v>15.430193133746656</v>
      </c>
      <c r="Q81" s="606">
        <f t="shared" si="8"/>
        <v>181.67808044572675</v>
      </c>
      <c r="R81" s="605"/>
    </row>
    <row r="82" spans="3:18" x14ac:dyDescent="0.25">
      <c r="C82" s="823"/>
      <c r="D82" s="607" t="s">
        <v>392</v>
      </c>
      <c r="E82" s="606">
        <f>'[5]TGNPDCL MoD'!F48</f>
        <v>11.269028396128373</v>
      </c>
      <c r="F82" s="606">
        <f>'[5]TGNPDCL MoD'!G48</f>
        <v>11.644662675999321</v>
      </c>
      <c r="G82" s="606">
        <f>'[5]TGNPDCL MoD'!H48</f>
        <v>11.269028396128373</v>
      </c>
      <c r="H82" s="606">
        <f>'[5]TGNPDCL MoD'!I48</f>
        <v>11.644662675999321</v>
      </c>
      <c r="I82" s="606">
        <f>'[5]TGNPDCL MoD'!J48</f>
        <v>11.644662675999321</v>
      </c>
      <c r="J82" s="606">
        <f>'[5]TGNPDCL MoD'!K48</f>
        <v>11.269028396128373</v>
      </c>
      <c r="K82" s="606">
        <f>'[5]TGNPDCL MoD'!L48</f>
        <v>11.644662675999321</v>
      </c>
      <c r="L82" s="606">
        <f>'[5]TGNPDCL MoD'!M48</f>
        <v>11.269028396128373</v>
      </c>
      <c r="M82" s="606">
        <f>'[5]TGNPDCL MoD'!N48</f>
        <v>11.644662675999321</v>
      </c>
      <c r="N82" s="606">
        <f>'[5]TGNPDCL MoD'!O48</f>
        <v>11.644662675999321</v>
      </c>
      <c r="O82" s="606">
        <f>'[5]TGNPDCL MoD'!P48</f>
        <v>10.517759836386485</v>
      </c>
      <c r="P82" s="606">
        <f>'[5]TGNPDCL MoD'!Q48</f>
        <v>11.644662675999321</v>
      </c>
      <c r="Q82" s="606">
        <f t="shared" si="8"/>
        <v>137.10651215289522</v>
      </c>
      <c r="R82" s="605"/>
    </row>
    <row r="83" spans="3:18" hidden="1" x14ac:dyDescent="0.25">
      <c r="C83" s="607"/>
      <c r="D83" s="607"/>
      <c r="E83" s="606"/>
      <c r="F83" s="606"/>
      <c r="G83" s="606"/>
      <c r="H83" s="606"/>
      <c r="I83" s="606"/>
      <c r="J83" s="606"/>
      <c r="K83" s="606"/>
      <c r="L83" s="606"/>
      <c r="M83" s="606"/>
      <c r="N83" s="606"/>
      <c r="O83" s="606"/>
      <c r="P83" s="606"/>
      <c r="Q83" s="607">
        <f t="shared" si="8"/>
        <v>0</v>
      </c>
      <c r="R83" s="605"/>
    </row>
    <row r="84" spans="3:18" hidden="1" x14ac:dyDescent="0.25">
      <c r="C84" s="607"/>
      <c r="D84" s="607"/>
      <c r="E84" s="606"/>
      <c r="F84" s="606"/>
      <c r="G84" s="606"/>
      <c r="H84" s="606"/>
      <c r="I84" s="606"/>
      <c r="J84" s="606"/>
      <c r="K84" s="606"/>
      <c r="L84" s="606"/>
      <c r="M84" s="606"/>
      <c r="N84" s="606"/>
      <c r="O84" s="606"/>
      <c r="P84" s="606"/>
      <c r="Q84" s="607">
        <f t="shared" si="8"/>
        <v>0</v>
      </c>
      <c r="R84" s="605"/>
    </row>
    <row r="85" spans="3:18" hidden="1" x14ac:dyDescent="0.25">
      <c r="C85" s="607"/>
      <c r="D85" s="607"/>
      <c r="E85" s="606"/>
      <c r="F85" s="606"/>
      <c r="G85" s="606"/>
      <c r="H85" s="606"/>
      <c r="I85" s="606"/>
      <c r="J85" s="606"/>
      <c r="K85" s="606"/>
      <c r="L85" s="606"/>
      <c r="M85" s="606"/>
      <c r="N85" s="606"/>
      <c r="O85" s="606"/>
      <c r="P85" s="606"/>
      <c r="Q85" s="607">
        <f t="shared" si="8"/>
        <v>0</v>
      </c>
      <c r="R85" s="605"/>
    </row>
    <row r="86" spans="3:18" hidden="1" x14ac:dyDescent="0.25">
      <c r="C86" s="607"/>
      <c r="D86" s="607"/>
      <c r="E86" s="606"/>
      <c r="F86" s="606"/>
      <c r="G86" s="606"/>
      <c r="H86" s="606"/>
      <c r="I86" s="606"/>
      <c r="J86" s="606"/>
      <c r="K86" s="606"/>
      <c r="L86" s="606"/>
      <c r="M86" s="606"/>
      <c r="N86" s="606"/>
      <c r="O86" s="606"/>
      <c r="P86" s="606"/>
      <c r="Q86" s="607">
        <f t="shared" si="8"/>
        <v>0</v>
      </c>
      <c r="R86" s="605"/>
    </row>
    <row r="87" spans="3:18" hidden="1" x14ac:dyDescent="0.25">
      <c r="C87" s="607"/>
      <c r="D87" s="607"/>
      <c r="E87" s="606"/>
      <c r="F87" s="606"/>
      <c r="G87" s="606"/>
      <c r="H87" s="606"/>
      <c r="I87" s="606"/>
      <c r="J87" s="606"/>
      <c r="K87" s="606"/>
      <c r="L87" s="606"/>
      <c r="M87" s="606"/>
      <c r="N87" s="606"/>
      <c r="O87" s="606"/>
      <c r="P87" s="606"/>
      <c r="Q87" s="607">
        <f t="shared" si="8"/>
        <v>0</v>
      </c>
      <c r="R87" s="605"/>
    </row>
    <row r="88" spans="3:18" hidden="1" x14ac:dyDescent="0.25">
      <c r="C88" s="607"/>
      <c r="D88" s="607"/>
      <c r="E88" s="606"/>
      <c r="F88" s="606"/>
      <c r="G88" s="606"/>
      <c r="H88" s="606"/>
      <c r="I88" s="606"/>
      <c r="J88" s="606"/>
      <c r="K88" s="606"/>
      <c r="L88" s="606"/>
      <c r="M88" s="606"/>
      <c r="N88" s="606"/>
      <c r="O88" s="606"/>
      <c r="P88" s="606"/>
      <c r="Q88" s="607">
        <f t="shared" si="8"/>
        <v>0</v>
      </c>
      <c r="R88" s="605"/>
    </row>
    <row r="89" spans="3:18" hidden="1" x14ac:dyDescent="0.25">
      <c r="C89" s="607"/>
      <c r="D89" s="607"/>
      <c r="E89" s="606"/>
      <c r="F89" s="606"/>
      <c r="G89" s="606"/>
      <c r="H89" s="606"/>
      <c r="I89" s="606"/>
      <c r="J89" s="606"/>
      <c r="K89" s="606"/>
      <c r="L89" s="606"/>
      <c r="M89" s="606"/>
      <c r="N89" s="606"/>
      <c r="O89" s="606"/>
      <c r="P89" s="606"/>
      <c r="Q89" s="607">
        <f t="shared" si="8"/>
        <v>0</v>
      </c>
      <c r="R89" s="605"/>
    </row>
    <row r="90" spans="3:18" hidden="1" x14ac:dyDescent="0.25">
      <c r="C90" s="607"/>
      <c r="D90" s="607"/>
      <c r="E90" s="606"/>
      <c r="F90" s="606"/>
      <c r="G90" s="606"/>
      <c r="H90" s="606"/>
      <c r="I90" s="606"/>
      <c r="J90" s="606"/>
      <c r="K90" s="606"/>
      <c r="L90" s="606"/>
      <c r="M90" s="606"/>
      <c r="N90" s="606"/>
      <c r="O90" s="606"/>
      <c r="P90" s="606"/>
      <c r="Q90" s="607">
        <f t="shared" si="8"/>
        <v>0</v>
      </c>
      <c r="R90" s="605"/>
    </row>
    <row r="91" spans="3:18" hidden="1" x14ac:dyDescent="0.25">
      <c r="C91" s="607"/>
      <c r="D91" s="607"/>
      <c r="E91" s="606"/>
      <c r="F91" s="606"/>
      <c r="G91" s="606"/>
      <c r="H91" s="606"/>
      <c r="I91" s="606"/>
      <c r="J91" s="606"/>
      <c r="K91" s="606"/>
      <c r="L91" s="606"/>
      <c r="M91" s="606"/>
      <c r="N91" s="606"/>
      <c r="O91" s="606"/>
      <c r="P91" s="606"/>
      <c r="Q91" s="607">
        <f t="shared" si="8"/>
        <v>0</v>
      </c>
      <c r="R91" s="605"/>
    </row>
    <row r="92" spans="3:18" hidden="1" x14ac:dyDescent="0.25">
      <c r="C92" s="607"/>
      <c r="D92" s="607"/>
      <c r="E92" s="606"/>
      <c r="F92" s="606"/>
      <c r="G92" s="606"/>
      <c r="H92" s="606"/>
      <c r="I92" s="606"/>
      <c r="J92" s="606"/>
      <c r="K92" s="606"/>
      <c r="L92" s="606"/>
      <c r="M92" s="606"/>
      <c r="N92" s="606"/>
      <c r="O92" s="606"/>
      <c r="P92" s="606"/>
      <c r="Q92" s="607">
        <f t="shared" si="8"/>
        <v>0</v>
      </c>
      <c r="R92" s="605"/>
    </row>
    <row r="93" spans="3:18" x14ac:dyDescent="0.25">
      <c r="C93" s="811" t="s">
        <v>212</v>
      </c>
      <c r="D93" s="812"/>
      <c r="E93" s="617">
        <f t="shared" ref="E93:P93" si="9">SUM(E79:E92)</f>
        <v>44.812886949487037</v>
      </c>
      <c r="F93" s="617">
        <f t="shared" si="9"/>
        <v>46.306649847803278</v>
      </c>
      <c r="G93" s="617">
        <f t="shared" si="9"/>
        <v>44.812886949487037</v>
      </c>
      <c r="H93" s="617">
        <f t="shared" si="9"/>
        <v>46.306649847803278</v>
      </c>
      <c r="I93" s="617">
        <f t="shared" si="9"/>
        <v>46.306649847803278</v>
      </c>
      <c r="J93" s="617">
        <f t="shared" si="9"/>
        <v>44.812886949487037</v>
      </c>
      <c r="K93" s="617">
        <f t="shared" si="9"/>
        <v>46.306649847803278</v>
      </c>
      <c r="L93" s="617">
        <f t="shared" si="9"/>
        <v>44.812886949487037</v>
      </c>
      <c r="M93" s="617">
        <f t="shared" si="9"/>
        <v>46.306649847803278</v>
      </c>
      <c r="N93" s="617">
        <f t="shared" si="9"/>
        <v>46.306649847803278</v>
      </c>
      <c r="O93" s="617">
        <f t="shared" si="9"/>
        <v>41.825361152854583</v>
      </c>
      <c r="P93" s="617">
        <f t="shared" si="9"/>
        <v>46.306649847803278</v>
      </c>
      <c r="Q93" s="618">
        <f t="shared" si="8"/>
        <v>545.22345788542577</v>
      </c>
      <c r="R93" s="605"/>
    </row>
    <row r="94" spans="3:18" x14ac:dyDescent="0.25">
      <c r="C94" s="811" t="s">
        <v>394</v>
      </c>
      <c r="D94" s="812"/>
      <c r="E94" s="617">
        <f t="shared" ref="E94:Q94" si="10">E77+E93</f>
        <v>551.52745624568911</v>
      </c>
      <c r="F94" s="617">
        <f t="shared" si="10"/>
        <v>532.35472608197597</v>
      </c>
      <c r="G94" s="617">
        <f t="shared" si="10"/>
        <v>434.0148868420743</v>
      </c>
      <c r="H94" s="617">
        <f t="shared" si="10"/>
        <v>387.42918753298642</v>
      </c>
      <c r="I94" s="617">
        <f t="shared" si="10"/>
        <v>387.22678874786038</v>
      </c>
      <c r="J94" s="617">
        <f t="shared" si="10"/>
        <v>452.74083767987133</v>
      </c>
      <c r="K94" s="617">
        <f t="shared" si="10"/>
        <v>484.75005855613762</v>
      </c>
      <c r="L94" s="617">
        <f t="shared" si="10"/>
        <v>588.9599708979988</v>
      </c>
      <c r="M94" s="617">
        <f t="shared" si="10"/>
        <v>427.39378478585883</v>
      </c>
      <c r="N94" s="617">
        <f t="shared" si="10"/>
        <v>501.22707200888613</v>
      </c>
      <c r="O94" s="617">
        <f t="shared" si="10"/>
        <v>544.95555391182074</v>
      </c>
      <c r="P94" s="617">
        <f t="shared" si="10"/>
        <v>635.88100789234272</v>
      </c>
      <c r="Q94" s="618">
        <f t="shared" si="10"/>
        <v>5928.4613311835037</v>
      </c>
      <c r="R94" s="605"/>
    </row>
    <row r="95" spans="3:18" x14ac:dyDescent="0.25">
      <c r="C95" s="813" t="s">
        <v>395</v>
      </c>
      <c r="D95" s="814"/>
      <c r="E95" s="607"/>
      <c r="F95" s="607"/>
      <c r="G95" s="607"/>
      <c r="H95" s="607"/>
      <c r="I95" s="607"/>
      <c r="J95" s="607"/>
      <c r="K95" s="607"/>
      <c r="L95" s="607"/>
      <c r="M95" s="607"/>
      <c r="N95" s="607"/>
      <c r="O95" s="607"/>
      <c r="P95" s="607"/>
      <c r="Q95" s="607"/>
      <c r="R95" s="605"/>
    </row>
    <row r="96" spans="3:18" x14ac:dyDescent="0.25">
      <c r="C96" s="607" t="s">
        <v>396</v>
      </c>
      <c r="D96" s="607" t="s">
        <v>396</v>
      </c>
      <c r="E96" s="606">
        <f>'[5]TGNPDCL MoD'!F23</f>
        <v>47.958224701461262</v>
      </c>
      <c r="F96" s="606">
        <f>'[5]TGNPDCL MoD'!G23</f>
        <v>46.749669536666175</v>
      </c>
      <c r="G96" s="606">
        <f>'[5]TGNPDCL MoD'!H23</f>
        <v>45.383736424434986</v>
      </c>
      <c r="H96" s="606">
        <f>'[5]TGNPDCL MoD'!I23</f>
        <v>53.079069588346542</v>
      </c>
      <c r="I96" s="606">
        <f>'[5]TGNPDCL MoD'!J23</f>
        <v>53.574953720551321</v>
      </c>
      <c r="J96" s="606">
        <f>'[5]TGNPDCL MoD'!K23</f>
        <v>0</v>
      </c>
      <c r="K96" s="606">
        <f>'[5]TGNPDCL MoD'!L23</f>
        <v>53.574953720551321</v>
      </c>
      <c r="L96" s="606">
        <f>'[5]TGNPDCL MoD'!M23</f>
        <v>24.592575169550493</v>
      </c>
      <c r="M96" s="606">
        <f>'[5]TGNPDCL MoD'!N23</f>
        <v>49.422071071251182</v>
      </c>
      <c r="N96" s="606">
        <f>'[5]TGNPDCL MoD'!O23</f>
        <v>50.887371175213872</v>
      </c>
      <c r="O96" s="606">
        <f>'[5]TGNPDCL MoD'!P23</f>
        <v>48.390280779852787</v>
      </c>
      <c r="P96" s="606">
        <f>'[5]TGNPDCL MoD'!Q23</f>
        <v>53.574953720551321</v>
      </c>
      <c r="Q96" s="606">
        <f>SUM(E96:P96)</f>
        <v>527.18785960843127</v>
      </c>
      <c r="R96" s="605"/>
    </row>
    <row r="97" spans="3:18" x14ac:dyDescent="0.25">
      <c r="C97" s="607" t="s">
        <v>397</v>
      </c>
      <c r="D97" s="607" t="s">
        <v>397</v>
      </c>
      <c r="E97" s="606">
        <f>'[5]TGNPDCL MoD'!F24</f>
        <v>0</v>
      </c>
      <c r="F97" s="606">
        <f>'[5]TGNPDCL MoD'!G24</f>
        <v>0</v>
      </c>
      <c r="G97" s="606">
        <f>'[5]TGNPDCL MoD'!H24</f>
        <v>0</v>
      </c>
      <c r="H97" s="606">
        <f>'[5]TGNPDCL MoD'!I24</f>
        <v>0</v>
      </c>
      <c r="I97" s="606">
        <f>'[5]TGNPDCL MoD'!J24</f>
        <v>0</v>
      </c>
      <c r="J97" s="606">
        <f>'[5]TGNPDCL MoD'!K24</f>
        <v>0</v>
      </c>
      <c r="K97" s="606">
        <f>'[5]TGNPDCL MoD'!L24</f>
        <v>0</v>
      </c>
      <c r="L97" s="606">
        <f>'[5]TGNPDCL MoD'!M24</f>
        <v>0</v>
      </c>
      <c r="M97" s="606">
        <f>'[5]TGNPDCL MoD'!N24</f>
        <v>0</v>
      </c>
      <c r="N97" s="606">
        <f>'[5]TGNPDCL MoD'!O24</f>
        <v>0</v>
      </c>
      <c r="O97" s="606">
        <f>'[5]TGNPDCL MoD'!P24</f>
        <v>0</v>
      </c>
      <c r="P97" s="606">
        <f>'[5]TGNPDCL MoD'!Q24</f>
        <v>0</v>
      </c>
      <c r="Q97" s="606">
        <f>SUM(E97:P97)</f>
        <v>0</v>
      </c>
      <c r="R97" s="605"/>
    </row>
    <row r="98" spans="3:18" hidden="1" x14ac:dyDescent="0.25">
      <c r="C98" s="607"/>
      <c r="D98" s="607"/>
      <c r="E98" s="606"/>
      <c r="F98" s="606"/>
      <c r="G98" s="606"/>
      <c r="H98" s="606"/>
      <c r="I98" s="606"/>
      <c r="J98" s="606"/>
      <c r="K98" s="606"/>
      <c r="L98" s="606"/>
      <c r="M98" s="606"/>
      <c r="N98" s="606"/>
      <c r="O98" s="606"/>
      <c r="P98" s="606"/>
      <c r="Q98" s="607"/>
      <c r="R98" s="605"/>
    </row>
    <row r="99" spans="3:18" hidden="1" x14ac:dyDescent="0.25">
      <c r="C99" s="607"/>
      <c r="D99" s="607"/>
      <c r="E99" s="606"/>
      <c r="F99" s="606"/>
      <c r="G99" s="606"/>
      <c r="H99" s="606"/>
      <c r="I99" s="606"/>
      <c r="J99" s="606"/>
      <c r="K99" s="606"/>
      <c r="L99" s="606"/>
      <c r="M99" s="606"/>
      <c r="N99" s="606"/>
      <c r="O99" s="606"/>
      <c r="P99" s="606"/>
      <c r="Q99" s="607"/>
      <c r="R99" s="605"/>
    </row>
    <row r="100" spans="3:18" hidden="1" x14ac:dyDescent="0.25">
      <c r="C100" s="607"/>
      <c r="D100" s="607"/>
      <c r="E100" s="606"/>
      <c r="F100" s="606"/>
      <c r="G100" s="606"/>
      <c r="H100" s="606"/>
      <c r="I100" s="606"/>
      <c r="J100" s="606"/>
      <c r="K100" s="606"/>
      <c r="L100" s="606"/>
      <c r="M100" s="606"/>
      <c r="N100" s="606"/>
      <c r="O100" s="606"/>
      <c r="P100" s="606"/>
      <c r="Q100" s="607"/>
      <c r="R100" s="605"/>
    </row>
    <row r="101" spans="3:18" hidden="1" x14ac:dyDescent="0.25">
      <c r="C101" s="607"/>
      <c r="D101" s="607"/>
      <c r="E101" s="606"/>
      <c r="F101" s="606"/>
      <c r="G101" s="606"/>
      <c r="H101" s="606"/>
      <c r="I101" s="606"/>
      <c r="J101" s="606"/>
      <c r="K101" s="606"/>
      <c r="L101" s="606"/>
      <c r="M101" s="606"/>
      <c r="N101" s="606"/>
      <c r="O101" s="606"/>
      <c r="P101" s="606"/>
      <c r="Q101" s="607"/>
      <c r="R101" s="605"/>
    </row>
    <row r="102" spans="3:18" hidden="1" x14ac:dyDescent="0.25">
      <c r="C102" s="607"/>
      <c r="D102" s="607"/>
      <c r="E102" s="606"/>
      <c r="F102" s="606"/>
      <c r="G102" s="606"/>
      <c r="H102" s="606"/>
      <c r="I102" s="606"/>
      <c r="J102" s="606"/>
      <c r="K102" s="606"/>
      <c r="L102" s="606"/>
      <c r="M102" s="606"/>
      <c r="N102" s="606"/>
      <c r="O102" s="606"/>
      <c r="P102" s="606"/>
      <c r="Q102" s="607"/>
      <c r="R102" s="605"/>
    </row>
    <row r="103" spans="3:18" x14ac:dyDescent="0.25">
      <c r="C103" s="811" t="s">
        <v>398</v>
      </c>
      <c r="D103" s="812"/>
      <c r="E103" s="606">
        <f t="shared" ref="E103:P103" si="11">SUM(E96:E102)</f>
        <v>47.958224701461262</v>
      </c>
      <c r="F103" s="606">
        <f t="shared" si="11"/>
        <v>46.749669536666175</v>
      </c>
      <c r="G103" s="606">
        <f t="shared" si="11"/>
        <v>45.383736424434986</v>
      </c>
      <c r="H103" s="606">
        <f t="shared" si="11"/>
        <v>53.079069588346542</v>
      </c>
      <c r="I103" s="606">
        <f t="shared" si="11"/>
        <v>53.574953720551321</v>
      </c>
      <c r="J103" s="606">
        <f t="shared" si="11"/>
        <v>0</v>
      </c>
      <c r="K103" s="606">
        <f t="shared" si="11"/>
        <v>53.574953720551321</v>
      </c>
      <c r="L103" s="606">
        <f t="shared" si="11"/>
        <v>24.592575169550493</v>
      </c>
      <c r="M103" s="606">
        <f t="shared" si="11"/>
        <v>49.422071071251182</v>
      </c>
      <c r="N103" s="606">
        <f t="shared" si="11"/>
        <v>50.887371175213872</v>
      </c>
      <c r="O103" s="606">
        <f t="shared" si="11"/>
        <v>48.390280779852787</v>
      </c>
      <c r="P103" s="606">
        <f t="shared" si="11"/>
        <v>53.574953720551321</v>
      </c>
      <c r="Q103" s="609">
        <f>SUM(E103:P103)</f>
        <v>527.18785960843127</v>
      </c>
      <c r="R103" s="605"/>
    </row>
    <row r="104" spans="3:18" x14ac:dyDescent="0.25">
      <c r="C104" s="813" t="s">
        <v>399</v>
      </c>
      <c r="D104" s="814"/>
      <c r="E104" s="607"/>
      <c r="F104" s="607"/>
      <c r="G104" s="607"/>
      <c r="H104" s="607"/>
      <c r="I104" s="607"/>
      <c r="J104" s="607"/>
      <c r="K104" s="607"/>
      <c r="L104" s="607"/>
      <c r="M104" s="607"/>
      <c r="N104" s="607"/>
      <c r="O104" s="607"/>
      <c r="P104" s="607"/>
      <c r="Q104" s="607"/>
      <c r="R104" s="605"/>
    </row>
    <row r="105" spans="3:18" x14ac:dyDescent="0.25">
      <c r="C105" s="607" t="s">
        <v>400</v>
      </c>
      <c r="D105" s="607" t="s">
        <v>400</v>
      </c>
      <c r="E105" s="606">
        <f>'[5]TGNPDCL MoD'!F20+'[5]TGNPDCL MoD'!F21+'[5]TGNPDCL MoD'!F22</f>
        <v>169.70773048546454</v>
      </c>
      <c r="F105" s="606">
        <f>'[5]TGNPDCL MoD'!G20+'[5]TGNPDCL MoD'!G21+'[5]TGNPDCL MoD'!G22</f>
        <v>95.898835070079514</v>
      </c>
      <c r="G105" s="606">
        <f>'[5]TGNPDCL MoD'!H20+'[5]TGNPDCL MoD'!H21+'[5]TGNPDCL MoD'!H22</f>
        <v>32.481863491478549</v>
      </c>
      <c r="H105" s="606">
        <f>'[5]TGNPDCL MoD'!I20+'[5]TGNPDCL MoD'!I21+'[5]TGNPDCL MoD'!I22</f>
        <v>104.01335188370162</v>
      </c>
      <c r="I105" s="606">
        <f>'[5]TGNPDCL MoD'!J20+'[5]TGNPDCL MoD'!J21+'[5]TGNPDCL MoD'!J22</f>
        <v>165.29103842045578</v>
      </c>
      <c r="J105" s="606">
        <f>'[5]TGNPDCL MoD'!K20+'[5]TGNPDCL MoD'!K21+'[5]TGNPDCL MoD'!K22</f>
        <v>131.65015421126265</v>
      </c>
      <c r="K105" s="606">
        <f>'[5]TGNPDCL MoD'!L20+'[5]TGNPDCL MoD'!L21+'[5]TGNPDCL MoD'!L22</f>
        <v>182.44084774702588</v>
      </c>
      <c r="L105" s="606">
        <f>'[5]TGNPDCL MoD'!M20+'[5]TGNPDCL MoD'!M21+'[5]TGNPDCL MoD'!M22</f>
        <v>0</v>
      </c>
      <c r="M105" s="606">
        <f>'[5]TGNPDCL MoD'!N20+'[5]TGNPDCL MoD'!N21+'[5]TGNPDCL MoD'!N22</f>
        <v>143.77695859539051</v>
      </c>
      <c r="N105" s="606">
        <f>'[5]TGNPDCL MoD'!O20+'[5]TGNPDCL MoD'!O21+'[5]TGNPDCL MoD'!O22</f>
        <v>147.83826638909548</v>
      </c>
      <c r="O105" s="606">
        <f>'[5]TGNPDCL MoD'!P20+'[5]TGNPDCL MoD'!P21+'[5]TGNPDCL MoD'!P22</f>
        <v>161.30455166348375</v>
      </c>
      <c r="P105" s="606">
        <f>'[5]TGNPDCL MoD'!Q20+'[5]TGNPDCL MoD'!Q21+'[5]TGNPDCL MoD'!Q22</f>
        <v>195.35989290300043</v>
      </c>
      <c r="Q105" s="606">
        <f>SUM(E105:P105)</f>
        <v>1529.7634908604384</v>
      </c>
      <c r="R105" s="605"/>
    </row>
    <row r="106" spans="3:18" x14ac:dyDescent="0.25">
      <c r="C106" s="607" t="s">
        <v>401</v>
      </c>
      <c r="D106" s="607" t="s">
        <v>401</v>
      </c>
      <c r="E106" s="606">
        <v>0</v>
      </c>
      <c r="F106" s="606">
        <v>0</v>
      </c>
      <c r="G106" s="606">
        <v>0</v>
      </c>
      <c r="H106" s="606">
        <v>0</v>
      </c>
      <c r="I106" s="606">
        <v>0</v>
      </c>
      <c r="J106" s="606">
        <v>0</v>
      </c>
      <c r="K106" s="606">
        <v>0</v>
      </c>
      <c r="L106" s="606">
        <v>0</v>
      </c>
      <c r="M106" s="606">
        <v>0</v>
      </c>
      <c r="N106" s="606">
        <v>0</v>
      </c>
      <c r="O106" s="606">
        <v>0</v>
      </c>
      <c r="P106" s="606">
        <v>0</v>
      </c>
      <c r="Q106" s="607">
        <f>SUM(E106:P106)</f>
        <v>0</v>
      </c>
      <c r="R106" s="605"/>
    </row>
    <row r="107" spans="3:18" x14ac:dyDescent="0.25">
      <c r="C107" s="607" t="s">
        <v>402</v>
      </c>
      <c r="D107" s="607" t="s">
        <v>402</v>
      </c>
      <c r="E107" s="606">
        <f>'[44]F9-Year(n+1)'!I107</f>
        <v>0</v>
      </c>
      <c r="F107" s="606">
        <f>'[44]F9-Year(n+1)'!J107</f>
        <v>0</v>
      </c>
      <c r="G107" s="606">
        <f>'[44]F9-Year(n+1)'!K107</f>
        <v>0</v>
      </c>
      <c r="H107" s="606">
        <f>'[44]F9-Year(n+1)'!L107</f>
        <v>0</v>
      </c>
      <c r="I107" s="606">
        <f>'[44]F9-Year(n+1)'!M107</f>
        <v>0</v>
      </c>
      <c r="J107" s="606">
        <f>'[44]F9-Year(n+1)'!N107</f>
        <v>0</v>
      </c>
      <c r="K107" s="606">
        <f>'[44]F9-Year(n+1)'!O107</f>
        <v>0</v>
      </c>
      <c r="L107" s="606">
        <f>'[44]F9-Year(n+1)'!P107</f>
        <v>0</v>
      </c>
      <c r="M107" s="606">
        <f>'[44]F9-Year(n+1)'!Q107</f>
        <v>0</v>
      </c>
      <c r="N107" s="606">
        <f>'[44]F9-Year(n+1)'!R107</f>
        <v>0</v>
      </c>
      <c r="O107" s="606">
        <f>'[44]F9-Year(n+1)'!S107</f>
        <v>0</v>
      </c>
      <c r="P107" s="606">
        <f>'[44]F9-Year(n+1)'!T107</f>
        <v>0</v>
      </c>
      <c r="Q107" s="607">
        <f>SUM(E107:P107)</f>
        <v>0</v>
      </c>
      <c r="R107" s="605"/>
    </row>
    <row r="108" spans="3:18" hidden="1" x14ac:dyDescent="0.25">
      <c r="C108" s="607"/>
      <c r="D108" s="607"/>
      <c r="E108" s="606"/>
      <c r="F108" s="606"/>
      <c r="G108" s="606"/>
      <c r="H108" s="606"/>
      <c r="I108" s="606"/>
      <c r="J108" s="606"/>
      <c r="K108" s="606"/>
      <c r="L108" s="606"/>
      <c r="M108" s="606"/>
      <c r="N108" s="606"/>
      <c r="O108" s="606"/>
      <c r="P108" s="606"/>
      <c r="Q108" s="607"/>
      <c r="R108" s="605"/>
    </row>
    <row r="109" spans="3:18" hidden="1" x14ac:dyDescent="0.25">
      <c r="C109" s="607"/>
      <c r="D109" s="607"/>
      <c r="E109" s="606"/>
      <c r="F109" s="606"/>
      <c r="G109" s="606"/>
      <c r="H109" s="606"/>
      <c r="I109" s="606"/>
      <c r="J109" s="606"/>
      <c r="K109" s="606"/>
      <c r="L109" s="606"/>
      <c r="M109" s="606"/>
      <c r="N109" s="606"/>
      <c r="O109" s="606"/>
      <c r="P109" s="606"/>
      <c r="Q109" s="607"/>
      <c r="R109" s="605"/>
    </row>
    <row r="110" spans="3:18" hidden="1" x14ac:dyDescent="0.25">
      <c r="C110" s="607"/>
      <c r="D110" s="607"/>
      <c r="E110" s="606"/>
      <c r="F110" s="606"/>
      <c r="G110" s="606"/>
      <c r="H110" s="606"/>
      <c r="I110" s="606"/>
      <c r="J110" s="606"/>
      <c r="K110" s="606"/>
      <c r="L110" s="606"/>
      <c r="M110" s="606"/>
      <c r="N110" s="606"/>
      <c r="O110" s="606"/>
      <c r="P110" s="606"/>
      <c r="Q110" s="607"/>
      <c r="R110" s="605"/>
    </row>
    <row r="111" spans="3:18" hidden="1" x14ac:dyDescent="0.25">
      <c r="C111" s="607"/>
      <c r="D111" s="607"/>
      <c r="E111" s="606"/>
      <c r="F111" s="606"/>
      <c r="G111" s="606"/>
      <c r="H111" s="606"/>
      <c r="I111" s="606"/>
      <c r="J111" s="606"/>
      <c r="K111" s="606"/>
      <c r="L111" s="606"/>
      <c r="M111" s="606"/>
      <c r="N111" s="606"/>
      <c r="O111" s="606"/>
      <c r="P111" s="606"/>
      <c r="Q111" s="607"/>
      <c r="R111" s="605"/>
    </row>
    <row r="112" spans="3:18" hidden="1" x14ac:dyDescent="0.25">
      <c r="C112" s="607"/>
      <c r="D112" s="607"/>
      <c r="E112" s="606"/>
      <c r="F112" s="606"/>
      <c r="G112" s="606"/>
      <c r="H112" s="606"/>
      <c r="I112" s="606"/>
      <c r="J112" s="606"/>
      <c r="K112" s="606"/>
      <c r="L112" s="606"/>
      <c r="M112" s="606"/>
      <c r="N112" s="606"/>
      <c r="O112" s="606"/>
      <c r="P112" s="606"/>
      <c r="Q112" s="607"/>
      <c r="R112" s="605"/>
    </row>
    <row r="113" spans="3:18" x14ac:dyDescent="0.25">
      <c r="C113" s="811" t="s">
        <v>403</v>
      </c>
      <c r="D113" s="812"/>
      <c r="E113" s="606">
        <f t="shared" ref="E113:P113" si="12">SUM(E105:E112)</f>
        <v>169.70773048546454</v>
      </c>
      <c r="F113" s="606">
        <f t="shared" si="12"/>
        <v>95.898835070079514</v>
      </c>
      <c r="G113" s="606">
        <f t="shared" si="12"/>
        <v>32.481863491478549</v>
      </c>
      <c r="H113" s="606">
        <f t="shared" si="12"/>
        <v>104.01335188370162</v>
      </c>
      <c r="I113" s="606">
        <f t="shared" si="12"/>
        <v>165.29103842045578</v>
      </c>
      <c r="J113" s="606">
        <f t="shared" si="12"/>
        <v>131.65015421126265</v>
      </c>
      <c r="K113" s="606">
        <f t="shared" si="12"/>
        <v>182.44084774702588</v>
      </c>
      <c r="L113" s="606">
        <f t="shared" si="12"/>
        <v>0</v>
      </c>
      <c r="M113" s="606">
        <f t="shared" si="12"/>
        <v>143.77695859539051</v>
      </c>
      <c r="N113" s="606">
        <f t="shared" si="12"/>
        <v>147.83826638909548</v>
      </c>
      <c r="O113" s="606">
        <f t="shared" si="12"/>
        <v>161.30455166348375</v>
      </c>
      <c r="P113" s="606">
        <f t="shared" si="12"/>
        <v>195.35989290300043</v>
      </c>
      <c r="Q113" s="609">
        <f>SUM(E113:P113)</f>
        <v>1529.7634908604384</v>
      </c>
      <c r="R113" s="605"/>
    </row>
    <row r="114" spans="3:18" x14ac:dyDescent="0.25">
      <c r="C114" s="813" t="s">
        <v>404</v>
      </c>
      <c r="D114" s="814"/>
      <c r="E114" s="607"/>
      <c r="F114" s="607"/>
      <c r="G114" s="607"/>
      <c r="H114" s="607"/>
      <c r="I114" s="607"/>
      <c r="J114" s="607"/>
      <c r="K114" s="607"/>
      <c r="L114" s="607"/>
      <c r="M114" s="607"/>
      <c r="N114" s="607"/>
      <c r="O114" s="607"/>
      <c r="P114" s="607"/>
      <c r="Q114" s="607"/>
      <c r="R114" s="605"/>
    </row>
    <row r="115" spans="3:18" x14ac:dyDescent="0.25">
      <c r="C115" s="607"/>
      <c r="D115" s="607" t="s">
        <v>405</v>
      </c>
      <c r="E115" s="606">
        <f>'[5]TGNPDCL MoD'!F104</f>
        <v>3.3763735277352158E-2</v>
      </c>
      <c r="F115" s="606">
        <f>'[5]TGNPDCL MoD'!$G$104</f>
        <v>2.895362148585872E-2</v>
      </c>
      <c r="G115" s="606">
        <f>'[5]TGNPDCL MoD'!$H$104</f>
        <v>6.8870905269359392E-2</v>
      </c>
      <c r="H115" s="606">
        <f>'[5]TGNPDCL MoD'!$I$104</f>
        <v>0.10017699096317065</v>
      </c>
      <c r="I115" s="606">
        <f>'[5]TGNPDCL MoD'!$J$104</f>
        <v>5.466456138143129E-2</v>
      </c>
      <c r="J115" s="606">
        <f>'[5]TGNPDCL MoD'!$K$104</f>
        <v>4.0198718051361319E-2</v>
      </c>
      <c r="K115" s="606">
        <f>'[5]TGNPDCL MoD'!$L$104</f>
        <v>2.4377679382060913E-2</v>
      </c>
      <c r="L115" s="606">
        <f>'[5]TGNPDCL MoD'!$M$104</f>
        <v>3.3850337490599798E-2</v>
      </c>
      <c r="M115" s="606">
        <f>'[5]TGNPDCL MoD'!$N$104</f>
        <v>3.8706833534804648E-2</v>
      </c>
      <c r="N115" s="606">
        <f>'[5]TGNPDCL MoD'!$O$104</f>
        <v>3.7434810799783828E-2</v>
      </c>
      <c r="O115" s="606">
        <f>'[5]TGNPDCL MoD'!$P$104</f>
        <v>2.5667006053591492E-2</v>
      </c>
      <c r="P115" s="606">
        <f>'[5]TGNPDCL MoD'!$Q$104</f>
        <v>3.3334800310625808E-2</v>
      </c>
      <c r="Q115" s="617">
        <f>SUM(E115:P115)</f>
        <v>0.52000000000000013</v>
      </c>
      <c r="R115" s="605"/>
    </row>
    <row r="116" spans="3:18" x14ac:dyDescent="0.25">
      <c r="C116" s="607"/>
      <c r="D116" s="607" t="s">
        <v>406</v>
      </c>
      <c r="E116" s="606">
        <f>[5]Gen_Cost!$BM$360/12</f>
        <v>0</v>
      </c>
      <c r="F116" s="606">
        <f>[5]Gen_Cost!$BM$360/12</f>
        <v>0</v>
      </c>
      <c r="G116" s="606">
        <f>[5]Gen_Cost!$BM$360/12</f>
        <v>0</v>
      </c>
      <c r="H116" s="606">
        <f>[5]Gen_Cost!$BM$360/12</f>
        <v>0</v>
      </c>
      <c r="I116" s="606">
        <f>[5]Gen_Cost!$BM$360/12</f>
        <v>0</v>
      </c>
      <c r="J116" s="606">
        <f>[5]Gen_Cost!$BM$360/12</f>
        <v>0</v>
      </c>
      <c r="K116" s="606">
        <f>[5]Gen_Cost!$BM$360/12</f>
        <v>0</v>
      </c>
      <c r="L116" s="606">
        <f>[5]Gen_Cost!$BM$360/12</f>
        <v>0</v>
      </c>
      <c r="M116" s="606">
        <f>[5]Gen_Cost!$BM$360/12</f>
        <v>0</v>
      </c>
      <c r="N116" s="606">
        <f>[5]Gen_Cost!$BM$360/12</f>
        <v>0</v>
      </c>
      <c r="O116" s="606">
        <f>[5]Gen_Cost!$BM$360/12</f>
        <v>0</v>
      </c>
      <c r="P116" s="606">
        <f>[5]Gen_Cost!$BM$360/12</f>
        <v>0</v>
      </c>
      <c r="Q116" s="617">
        <f t="shared" ref="Q116:Q128" si="13">SUM(E116:P116)</f>
        <v>0</v>
      </c>
      <c r="R116" s="605"/>
    </row>
    <row r="117" spans="3:18" x14ac:dyDescent="0.25">
      <c r="C117" s="607"/>
      <c r="D117" s="607" t="s">
        <v>407</v>
      </c>
      <c r="E117" s="606">
        <f>'[5]TGNPDCL MoD'!F101</f>
        <v>0</v>
      </c>
      <c r="F117" s="606">
        <f>'[5]TGNPDCL MoD'!G101</f>
        <v>0</v>
      </c>
      <c r="G117" s="606">
        <f>'[5]TGNPDCL MoD'!H101</f>
        <v>0</v>
      </c>
      <c r="H117" s="606">
        <f>'[5]TGNPDCL MoD'!I101</f>
        <v>0</v>
      </c>
      <c r="I117" s="606">
        <f>'[5]TGNPDCL MoD'!J101</f>
        <v>0</v>
      </c>
      <c r="J117" s="606">
        <f>'[5]TGNPDCL MoD'!K101</f>
        <v>0</v>
      </c>
      <c r="K117" s="606">
        <f>'[5]TGNPDCL MoD'!L101</f>
        <v>0</v>
      </c>
      <c r="L117" s="606">
        <f>'[5]TGNPDCL MoD'!M101</f>
        <v>0</v>
      </c>
      <c r="M117" s="606">
        <f>'[5]TGNPDCL MoD'!N101</f>
        <v>0</v>
      </c>
      <c r="N117" s="606">
        <f>'[5]TGNPDCL MoD'!O101</f>
        <v>0</v>
      </c>
      <c r="O117" s="606">
        <f>'[5]TGNPDCL MoD'!P101</f>
        <v>0</v>
      </c>
      <c r="P117" s="606">
        <f>'[5]TGNPDCL MoD'!Q101</f>
        <v>0</v>
      </c>
      <c r="Q117" s="617">
        <f t="shared" si="13"/>
        <v>0</v>
      </c>
      <c r="R117" s="605"/>
    </row>
    <row r="118" spans="3:18" x14ac:dyDescent="0.25">
      <c r="C118" s="607"/>
      <c r="D118" s="607" t="s">
        <v>408</v>
      </c>
      <c r="E118" s="606">
        <f>'[5]TGNPDCL MoD'!F102</f>
        <v>3.6338317202520916</v>
      </c>
      <c r="F118" s="606">
        <f>'[5]TGNPDCL MoD'!G102</f>
        <v>2.5550989601681908</v>
      </c>
      <c r="G118" s="606">
        <f>'[5]TGNPDCL MoD'!H102</f>
        <v>2.1244255065858435</v>
      </c>
      <c r="H118" s="606">
        <f>'[5]TGNPDCL MoD'!I102</f>
        <v>2.9997284386024252</v>
      </c>
      <c r="I118" s="606">
        <f>'[5]TGNPDCL MoD'!J102</f>
        <v>2.9997284386024252</v>
      </c>
      <c r="J118" s="606">
        <f>'[5]TGNPDCL MoD'!K102</f>
        <v>2.1383746666935837</v>
      </c>
      <c r="K118" s="606">
        <f>'[5]TGNPDCL MoD'!L102</f>
        <v>2.9997284386024252</v>
      </c>
      <c r="L118" s="606">
        <f>'[5]TGNPDCL MoD'!M102</f>
        <v>2.8185941554022009</v>
      </c>
      <c r="M118" s="606">
        <f>'[5]TGNPDCL MoD'!N102</f>
        <v>4.6000147117895205</v>
      </c>
      <c r="N118" s="606">
        <f>'[5]TGNPDCL MoD'!O102</f>
        <v>4.6768792520091909</v>
      </c>
      <c r="O118" s="606">
        <f>'[5]TGNPDCL MoD'!P102</f>
        <v>4.9329914149125536</v>
      </c>
      <c r="P118" s="606">
        <f>'[5]TGNPDCL MoD'!Q102</f>
        <v>4.9538556606248836</v>
      </c>
      <c r="Q118" s="617">
        <f t="shared" si="13"/>
        <v>41.433251364245336</v>
      </c>
      <c r="R118" s="605"/>
    </row>
    <row r="119" spans="3:18" x14ac:dyDescent="0.25">
      <c r="C119" s="607"/>
      <c r="D119" s="607" t="s">
        <v>409</v>
      </c>
      <c r="E119" s="606">
        <f>'[5]TGNPDCL MoD'!F99+'[5]TGNPDCL MoD'!F100</f>
        <v>0</v>
      </c>
      <c r="F119" s="606">
        <f>'[5]TGNPDCL MoD'!G99+'[5]TGNPDCL MoD'!G100</f>
        <v>0</v>
      </c>
      <c r="G119" s="606">
        <f>'[5]TGNPDCL MoD'!H99+'[5]TGNPDCL MoD'!H100</f>
        <v>0</v>
      </c>
      <c r="H119" s="606">
        <f>'[5]TGNPDCL MoD'!I99+'[5]TGNPDCL MoD'!I100</f>
        <v>0</v>
      </c>
      <c r="I119" s="606">
        <f>'[5]TGNPDCL MoD'!J99+'[5]TGNPDCL MoD'!J100</f>
        <v>0</v>
      </c>
      <c r="J119" s="606">
        <f>'[5]TGNPDCL MoD'!K99+'[5]TGNPDCL MoD'!K100</f>
        <v>0</v>
      </c>
      <c r="K119" s="606">
        <f>'[5]TGNPDCL MoD'!L99+'[5]TGNPDCL MoD'!L100</f>
        <v>0</v>
      </c>
      <c r="L119" s="606">
        <f>'[5]TGNPDCL MoD'!M99+'[5]TGNPDCL MoD'!M100</f>
        <v>0</v>
      </c>
      <c r="M119" s="606">
        <f>'[5]TGNPDCL MoD'!N99+'[5]TGNPDCL MoD'!N100</f>
        <v>0</v>
      </c>
      <c r="N119" s="606">
        <f>'[5]TGNPDCL MoD'!O99+'[5]TGNPDCL MoD'!O100</f>
        <v>0</v>
      </c>
      <c r="O119" s="606">
        <f>'[5]TGNPDCL MoD'!P99+'[5]TGNPDCL MoD'!P100</f>
        <v>0</v>
      </c>
      <c r="P119" s="606">
        <f>'[5]TGNPDCL MoD'!Q99+'[5]TGNPDCL MoD'!Q100</f>
        <v>0</v>
      </c>
      <c r="Q119" s="617">
        <f t="shared" si="13"/>
        <v>0</v>
      </c>
      <c r="R119" s="605"/>
    </row>
    <row r="120" spans="3:18" x14ac:dyDescent="0.25">
      <c r="C120" s="607"/>
      <c r="D120" s="607" t="s">
        <v>367</v>
      </c>
      <c r="E120" s="606">
        <f>'[5]TGNPDCL MoD'!$F$103</f>
        <v>1.0190928297479489E-2</v>
      </c>
      <c r="F120" s="606">
        <f>'[5]TGNPDCL MoD'!$G$103</f>
        <v>1.0920276565133009E-2</v>
      </c>
      <c r="G120" s="606">
        <f>'[5]TGNPDCL MoD'!$H$103</f>
        <v>1.1313935327903597E-2</v>
      </c>
      <c r="H120" s="606">
        <f>'[5]TGNPDCL MoD'!$I$103</f>
        <v>2.4734818685977687E-2</v>
      </c>
      <c r="I120" s="606">
        <f>'[5]TGNPDCL MoD'!$J$103</f>
        <v>5.8072838907000622E-2</v>
      </c>
      <c r="J120" s="606">
        <f>'[5]TGNPDCL MoD'!$K$103</f>
        <v>2.9330637821697401E-2</v>
      </c>
      <c r="K120" s="606">
        <f>'[5]TGNPDCL MoD'!$L$103</f>
        <v>3.2329782174028758E-2</v>
      </c>
      <c r="L120" s="606">
        <f>'[5]TGNPDCL MoD'!$M$103</f>
        <v>1.1088447039230287E-2</v>
      </c>
      <c r="M120" s="606">
        <f>'[5]TGNPDCL MoD'!$N$103</f>
        <v>1.9022286228628046E-2</v>
      </c>
      <c r="N120" s="606">
        <f>'[5]TGNPDCL MoD'!$O$103</f>
        <v>3.6297138874416345E-2</v>
      </c>
      <c r="O120" s="606">
        <f>'[5]TGNPDCL MoD'!$P$103</f>
        <v>3.2598888552168657E-2</v>
      </c>
      <c r="P120" s="606">
        <f>'[5]TGNPDCL MoD'!$Q$103</f>
        <v>1.5142275047462808E-2</v>
      </c>
      <c r="Q120" s="617">
        <f>SUM(E120:P120)</f>
        <v>0.29104225352112673</v>
      </c>
      <c r="R120" s="605"/>
    </row>
    <row r="121" spans="3:18" x14ac:dyDescent="0.25">
      <c r="C121" s="607"/>
      <c r="D121" s="607" t="s">
        <v>410</v>
      </c>
      <c r="E121" s="606">
        <f>'[5]TGNPDCL MoD'!F114</f>
        <v>186.12987707139467</v>
      </c>
      <c r="F121" s="606">
        <f>'[5]TGNPDCL MoD'!G114</f>
        <v>191.92956179649838</v>
      </c>
      <c r="G121" s="606">
        <f>'[5]TGNPDCL MoD'!H114</f>
        <v>179.69419431515126</v>
      </c>
      <c r="H121" s="606">
        <f>'[5]TGNPDCL MoD'!I114</f>
        <v>140.73889813824528</v>
      </c>
      <c r="I121" s="606">
        <f>'[5]TGNPDCL MoD'!J114</f>
        <v>173.09892063117235</v>
      </c>
      <c r="J121" s="606">
        <f>'[5]TGNPDCL MoD'!K114</f>
        <v>152.58111820799888</v>
      </c>
      <c r="K121" s="606">
        <f>'[5]TGNPDCL MoD'!L114</f>
        <v>187.06096372269354</v>
      </c>
      <c r="L121" s="606">
        <f>'[5]TGNPDCL MoD'!M114</f>
        <v>144.23734603275764</v>
      </c>
      <c r="M121" s="606">
        <f>'[5]TGNPDCL MoD'!N114</f>
        <v>158.11590044277565</v>
      </c>
      <c r="N121" s="606">
        <f>'[5]TGNPDCL MoD'!O114</f>
        <v>168.57470934453755</v>
      </c>
      <c r="O121" s="606">
        <f>'[5]TGNPDCL MoD'!P114</f>
        <v>173.03115579305489</v>
      </c>
      <c r="P121" s="606">
        <f>'[5]TGNPDCL MoD'!Q114</f>
        <v>185.53807432108087</v>
      </c>
      <c r="Q121" s="617">
        <f t="shared" si="13"/>
        <v>2040.730719817361</v>
      </c>
      <c r="R121" s="605"/>
    </row>
    <row r="122" spans="3:18" x14ac:dyDescent="0.25">
      <c r="C122" s="607"/>
      <c r="D122" s="607" t="s">
        <v>411</v>
      </c>
      <c r="E122" s="606">
        <f>'[5]TGNPDCL MoD'!F107</f>
        <v>4.9571324403708168</v>
      </c>
      <c r="F122" s="606">
        <f>'[5]TGNPDCL MoD'!G107</f>
        <v>5.1115934315189868</v>
      </c>
      <c r="G122" s="606">
        <f>'[5]TGNPDCL MoD'!H107</f>
        <v>4.7857331343116822</v>
      </c>
      <c r="H122" s="606">
        <f>'[5]TGNPDCL MoD'!I107</f>
        <v>3.7482502463348988</v>
      </c>
      <c r="I122" s="606">
        <f>'[5]TGNPDCL MoD'!J107</f>
        <v>4.6100834984424468</v>
      </c>
      <c r="J122" s="606">
        <f>'[5]TGNPDCL MoD'!K107</f>
        <v>4.0636399849273168</v>
      </c>
      <c r="K122" s="606">
        <f>'[5]TGNPDCL MoD'!L107</f>
        <v>4.9819297481247968</v>
      </c>
      <c r="L122" s="606">
        <f>'[5]TGNPDCL MoD'!M107</f>
        <v>3.8414231953622182</v>
      </c>
      <c r="M122" s="606">
        <f>'[5]TGNPDCL MoD'!N107</f>
        <v>4.2110459199555557</v>
      </c>
      <c r="N122" s="606">
        <f>'[5]TGNPDCL MoD'!O107</f>
        <v>4.4895917488698256</v>
      </c>
      <c r="O122" s="606">
        <f>'[5]TGNPDCL MoD'!P107</f>
        <v>4.6082787410191148</v>
      </c>
      <c r="P122" s="606">
        <f>'[5]TGNPDCL MoD'!Q107</f>
        <v>4.9413711630410306</v>
      </c>
      <c r="Q122" s="617">
        <f t="shared" si="13"/>
        <v>54.35007325227869</v>
      </c>
      <c r="R122" s="605"/>
    </row>
    <row r="123" spans="3:18" x14ac:dyDescent="0.25">
      <c r="C123" s="607"/>
      <c r="D123" s="607" t="s">
        <v>412</v>
      </c>
      <c r="E123" s="606">
        <f>'[5]TGNPDCL MoD'!F108</f>
        <v>24.859523264184002</v>
      </c>
      <c r="F123" s="606">
        <f>'[5]TGNPDCL MoD'!G108</f>
        <v>25.634129682117351</v>
      </c>
      <c r="G123" s="606">
        <f>'[5]TGNPDCL MoD'!H108</f>
        <v>23.999972891524738</v>
      </c>
      <c r="H123" s="606">
        <f>'[5]TGNPDCL MoD'!I108</f>
        <v>18.797100000776972</v>
      </c>
      <c r="I123" s="606">
        <f>'[5]TGNPDCL MoD'!J108</f>
        <v>23.11910754008175</v>
      </c>
      <c r="J123" s="606">
        <f>'[5]TGNPDCL MoD'!K108</f>
        <v>20.378747987417537</v>
      </c>
      <c r="K123" s="606">
        <f>'[5]TGNPDCL MoD'!L108</f>
        <v>24.983879281783786</v>
      </c>
      <c r="L123" s="606">
        <f>'[5]TGNPDCL MoD'!M108</f>
        <v>19.264353018887583</v>
      </c>
      <c r="M123" s="606">
        <f>'[5]TGNPDCL MoD'!N108</f>
        <v>21.117974004715389</v>
      </c>
      <c r="N123" s="606">
        <f>'[5]TGNPDCL MoD'!O108</f>
        <v>22.514853470279505</v>
      </c>
      <c r="O123" s="606">
        <f>'[5]TGNPDCL MoD'!P108</f>
        <v>23.110056862156306</v>
      </c>
      <c r="P123" s="606">
        <f>'[5]TGNPDCL MoD'!Q108</f>
        <v>24.780482035173836</v>
      </c>
      <c r="Q123" s="617">
        <f t="shared" si="13"/>
        <v>272.56018003909878</v>
      </c>
      <c r="R123" s="605"/>
    </row>
    <row r="124" spans="3:18" x14ac:dyDescent="0.25">
      <c r="C124" s="607"/>
      <c r="D124" s="607" t="s">
        <v>413</v>
      </c>
      <c r="E124" s="606">
        <f>'[5]TGNPDCL MoD'!F109</f>
        <v>24.859523264184006</v>
      </c>
      <c r="F124" s="606">
        <f>'[5]TGNPDCL MoD'!G109</f>
        <v>25.634129682117354</v>
      </c>
      <c r="G124" s="606">
        <f>'[5]TGNPDCL MoD'!H109</f>
        <v>23.999972891524738</v>
      </c>
      <c r="H124" s="606">
        <f>'[5]TGNPDCL MoD'!I109</f>
        <v>18.797100000776975</v>
      </c>
      <c r="I124" s="606">
        <f>'[5]TGNPDCL MoD'!J109</f>
        <v>23.119107540081746</v>
      </c>
      <c r="J124" s="606">
        <f>'[5]TGNPDCL MoD'!K109</f>
        <v>20.378747987417537</v>
      </c>
      <c r="K124" s="606">
        <f>'[5]TGNPDCL MoD'!L109</f>
        <v>24.983879281783786</v>
      </c>
      <c r="L124" s="606">
        <f>'[5]TGNPDCL MoD'!M109</f>
        <v>19.264353018887586</v>
      </c>
      <c r="M124" s="606">
        <f>'[5]TGNPDCL MoD'!N109</f>
        <v>21.117974004715386</v>
      </c>
      <c r="N124" s="606">
        <f>'[5]TGNPDCL MoD'!O109</f>
        <v>22.514853470279505</v>
      </c>
      <c r="O124" s="606">
        <f>'[5]TGNPDCL MoD'!P109</f>
        <v>23.110056862156309</v>
      </c>
      <c r="P124" s="606">
        <f>'[5]TGNPDCL MoD'!Q109</f>
        <v>24.780482035173836</v>
      </c>
      <c r="Q124" s="617">
        <f t="shared" si="13"/>
        <v>272.56018003909878</v>
      </c>
      <c r="R124" s="605"/>
    </row>
    <row r="125" spans="3:18" x14ac:dyDescent="0.25">
      <c r="C125" s="607"/>
      <c r="D125" s="607" t="s">
        <v>414</v>
      </c>
      <c r="E125" s="606">
        <f>'[5]TGNPDCL MoD'!F110</f>
        <v>96.019908607910722</v>
      </c>
      <c r="F125" s="606">
        <f>'[5]TGNPDCL MoD'!G110</f>
        <v>99.011825897178284</v>
      </c>
      <c r="G125" s="606">
        <f>'[5]TGNPDCL MoD'!H110</f>
        <v>92.699895293514317</v>
      </c>
      <c r="H125" s="606">
        <f>'[5]TGNPDCL MoD'!I110</f>
        <v>72.603798753001072</v>
      </c>
      <c r="I125" s="606">
        <f>'[5]TGNPDCL MoD'!J110</f>
        <v>89.297552873565763</v>
      </c>
      <c r="J125" s="606">
        <f>'[5]TGNPDCL MoD'!K110</f>
        <v>78.712914101400244</v>
      </c>
      <c r="K125" s="606">
        <f>'[5]TGNPDCL MoD'!L110</f>
        <v>96.500233725889899</v>
      </c>
      <c r="L125" s="606">
        <f>'[5]TGNPDCL MoD'!M110</f>
        <v>74.408563535453311</v>
      </c>
      <c r="M125" s="606">
        <f>'[5]TGNPDCL MoD'!N110</f>
        <v>81.5681745932132</v>
      </c>
      <c r="N125" s="606">
        <f>'[5]TGNPDCL MoD'!O110</f>
        <v>86.963621528954604</v>
      </c>
      <c r="O125" s="606">
        <f>'[5]TGNPDCL MoD'!P110</f>
        <v>89.262594630078766</v>
      </c>
      <c r="P125" s="606">
        <f>'[5]TGNPDCL MoD'!Q110</f>
        <v>95.714611860858966</v>
      </c>
      <c r="Q125" s="617">
        <f t="shared" si="13"/>
        <v>1052.7636954010188</v>
      </c>
      <c r="R125" s="605"/>
    </row>
    <row r="126" spans="3:18" x14ac:dyDescent="0.25">
      <c r="C126" s="607"/>
      <c r="D126" s="607" t="s">
        <v>415</v>
      </c>
      <c r="E126" s="606">
        <v>0</v>
      </c>
      <c r="F126" s="606">
        <v>0</v>
      </c>
      <c r="G126" s="606">
        <v>0</v>
      </c>
      <c r="H126" s="606">
        <v>0</v>
      </c>
      <c r="I126" s="606">
        <v>0</v>
      </c>
      <c r="J126" s="606">
        <v>0</v>
      </c>
      <c r="K126" s="606">
        <v>0</v>
      </c>
      <c r="L126" s="606">
        <v>0</v>
      </c>
      <c r="M126" s="606">
        <v>0</v>
      </c>
      <c r="N126" s="606">
        <v>0</v>
      </c>
      <c r="O126" s="606">
        <v>0</v>
      </c>
      <c r="P126" s="606">
        <v>0</v>
      </c>
      <c r="Q126" s="606">
        <v>0</v>
      </c>
      <c r="R126" s="605"/>
    </row>
    <row r="127" spans="3:18" x14ac:dyDescent="0.25">
      <c r="C127" s="607"/>
      <c r="D127" s="607" t="s">
        <v>416</v>
      </c>
      <c r="E127" s="606">
        <f>'[5]TGNPDCL MoD'!F112</f>
        <v>105.15578340749835</v>
      </c>
      <c r="F127" s="606">
        <f>'[5]TGNPDCL MoD'!G112</f>
        <v>108.43236855535642</v>
      </c>
      <c r="G127" s="606">
        <f>'[5]TGNPDCL MoD'!H112</f>
        <v>101.51988533114967</v>
      </c>
      <c r="H127" s="606">
        <f>'[5]TGNPDCL MoD'!I112</f>
        <v>79.511733003286608</v>
      </c>
      <c r="I127" s="606">
        <f>'[5]TGNPDCL MoD'!J112</f>
        <v>97.793824894545807</v>
      </c>
      <c r="J127" s="606">
        <f>'[5]TGNPDCL MoD'!K112</f>
        <v>86.202103986776194</v>
      </c>
      <c r="K127" s="606">
        <f>'[5]TGNPDCL MoD'!L112</f>
        <v>105.68180936194544</v>
      </c>
      <c r="L127" s="606">
        <f>'[5]TGNPDCL MoD'!M112</f>
        <v>81.488213269894487</v>
      </c>
      <c r="M127" s="606">
        <f>'[5]TGNPDCL MoD'!N112</f>
        <v>89.329030039946105</v>
      </c>
      <c r="N127" s="606">
        <f>'[5]TGNPDCL MoD'!O112</f>
        <v>95.237830179282312</v>
      </c>
      <c r="O127" s="606">
        <f>'[5]TGNPDCL MoD'!P112</f>
        <v>97.75554052692118</v>
      </c>
      <c r="P127" s="606">
        <f>'[5]TGNPDCL MoD'!Q112</f>
        <v>104.82143900878533</v>
      </c>
      <c r="Q127" s="617">
        <f t="shared" si="13"/>
        <v>1152.929561565388</v>
      </c>
      <c r="R127" s="605"/>
    </row>
    <row r="128" spans="3:18" x14ac:dyDescent="0.25">
      <c r="C128" s="607"/>
      <c r="D128" s="607" t="s">
        <v>417</v>
      </c>
      <c r="E128" s="606">
        <f>'[5]TGNPDCL MoD'!F113</f>
        <v>62.14880816046</v>
      </c>
      <c r="F128" s="606">
        <f>'[5]TGNPDCL MoD'!G113</f>
        <v>64.085324205293375</v>
      </c>
      <c r="G128" s="606">
        <f>'[5]TGNPDCL MoD'!H113</f>
        <v>59.999932228811851</v>
      </c>
      <c r="H128" s="606">
        <f>'[5]TGNPDCL MoD'!I113</f>
        <v>46.992750001942433</v>
      </c>
      <c r="I128" s="606">
        <f>'[5]TGNPDCL MoD'!J113</f>
        <v>57.797768850204378</v>
      </c>
      <c r="J128" s="606">
        <f>'[5]TGNPDCL MoD'!K113</f>
        <v>50.946869968543844</v>
      </c>
      <c r="K128" s="606">
        <f>'[5]TGNPDCL MoD'!L113</f>
        <v>62.459698204459471</v>
      </c>
      <c r="L128" s="606">
        <f>'[5]TGNPDCL MoD'!M113</f>
        <v>48.160882547218968</v>
      </c>
      <c r="M128" s="606">
        <f>'[5]TGNPDCL MoD'!N113</f>
        <v>52.794935011788475</v>
      </c>
      <c r="N128" s="606">
        <f>'[5]TGNPDCL MoD'!O113</f>
        <v>56.287133675698769</v>
      </c>
      <c r="O128" s="606">
        <f>'[5]TGNPDCL MoD'!P113</f>
        <v>57.775142155390775</v>
      </c>
      <c r="P128" s="606">
        <f>'[5]TGNPDCL MoD'!Q113</f>
        <v>61.951205087934596</v>
      </c>
      <c r="Q128" s="617">
        <f t="shared" si="13"/>
        <v>681.4004500977469</v>
      </c>
      <c r="R128" s="605"/>
    </row>
    <row r="129" spans="3:18" hidden="1" x14ac:dyDescent="0.25">
      <c r="C129" s="607"/>
      <c r="D129" s="607"/>
      <c r="E129" s="606"/>
      <c r="F129" s="606"/>
      <c r="G129" s="606"/>
      <c r="H129" s="606"/>
      <c r="I129" s="606"/>
      <c r="J129" s="606"/>
      <c r="K129" s="606"/>
      <c r="L129" s="606"/>
      <c r="M129" s="606"/>
      <c r="N129" s="606"/>
      <c r="O129" s="606"/>
      <c r="P129" s="606"/>
      <c r="Q129" s="617"/>
      <c r="R129" s="605"/>
    </row>
    <row r="130" spans="3:18" hidden="1" x14ac:dyDescent="0.25">
      <c r="C130" s="607"/>
      <c r="D130" s="607"/>
      <c r="E130" s="606"/>
      <c r="F130" s="606"/>
      <c r="G130" s="606"/>
      <c r="H130" s="606"/>
      <c r="I130" s="606"/>
      <c r="J130" s="606"/>
      <c r="K130" s="606"/>
      <c r="L130" s="606"/>
      <c r="M130" s="606"/>
      <c r="N130" s="606"/>
      <c r="O130" s="606"/>
      <c r="P130" s="606"/>
      <c r="Q130" s="617"/>
      <c r="R130" s="605"/>
    </row>
    <row r="131" spans="3:18" hidden="1" x14ac:dyDescent="0.25">
      <c r="C131" s="607"/>
      <c r="D131" s="607"/>
      <c r="E131" s="606"/>
      <c r="F131" s="606"/>
      <c r="G131" s="606"/>
      <c r="H131" s="606"/>
      <c r="I131" s="606"/>
      <c r="J131" s="606"/>
      <c r="K131" s="606"/>
      <c r="L131" s="606"/>
      <c r="M131" s="606"/>
      <c r="N131" s="606"/>
      <c r="O131" s="606"/>
      <c r="P131" s="606"/>
      <c r="Q131" s="617"/>
      <c r="R131" s="605"/>
    </row>
    <row r="132" spans="3:18" hidden="1" x14ac:dyDescent="0.25">
      <c r="C132" s="607"/>
      <c r="D132" s="607"/>
      <c r="E132" s="606"/>
      <c r="F132" s="606"/>
      <c r="G132" s="606"/>
      <c r="H132" s="606"/>
      <c r="I132" s="606"/>
      <c r="J132" s="606"/>
      <c r="K132" s="606"/>
      <c r="L132" s="606"/>
      <c r="M132" s="606"/>
      <c r="N132" s="606"/>
      <c r="O132" s="606"/>
      <c r="P132" s="606"/>
      <c r="Q132" s="617"/>
      <c r="R132" s="605"/>
    </row>
    <row r="133" spans="3:18" hidden="1" x14ac:dyDescent="0.25">
      <c r="C133" s="607"/>
      <c r="D133" s="607"/>
      <c r="E133" s="606"/>
      <c r="F133" s="606"/>
      <c r="G133" s="606"/>
      <c r="H133" s="606"/>
      <c r="I133" s="606"/>
      <c r="J133" s="606"/>
      <c r="K133" s="606"/>
      <c r="L133" s="606"/>
      <c r="M133" s="606"/>
      <c r="N133" s="606"/>
      <c r="O133" s="606"/>
      <c r="P133" s="606"/>
      <c r="Q133" s="617"/>
      <c r="R133" s="605"/>
    </row>
    <row r="134" spans="3:18" hidden="1" x14ac:dyDescent="0.25">
      <c r="C134" s="607"/>
      <c r="D134" s="607"/>
      <c r="E134" s="606"/>
      <c r="F134" s="606"/>
      <c r="G134" s="606"/>
      <c r="H134" s="606"/>
      <c r="I134" s="606"/>
      <c r="J134" s="606"/>
      <c r="K134" s="606"/>
      <c r="L134" s="606"/>
      <c r="M134" s="606"/>
      <c r="N134" s="606"/>
      <c r="O134" s="606"/>
      <c r="P134" s="606"/>
      <c r="Q134" s="617"/>
      <c r="R134" s="605"/>
    </row>
    <row r="135" spans="3:18" hidden="1" x14ac:dyDescent="0.25">
      <c r="C135" s="607"/>
      <c r="D135" s="607"/>
      <c r="E135" s="606"/>
      <c r="F135" s="606"/>
      <c r="G135" s="606"/>
      <c r="H135" s="606"/>
      <c r="I135" s="606"/>
      <c r="J135" s="606"/>
      <c r="K135" s="606"/>
      <c r="L135" s="606"/>
      <c r="M135" s="606"/>
      <c r="N135" s="606"/>
      <c r="O135" s="606"/>
      <c r="P135" s="606"/>
      <c r="Q135" s="617"/>
      <c r="R135" s="605"/>
    </row>
    <row r="136" spans="3:18" hidden="1" x14ac:dyDescent="0.25">
      <c r="C136" s="607"/>
      <c r="D136" s="607"/>
      <c r="E136" s="606"/>
      <c r="F136" s="606"/>
      <c r="G136" s="606"/>
      <c r="H136" s="606"/>
      <c r="I136" s="606"/>
      <c r="J136" s="606"/>
      <c r="K136" s="606"/>
      <c r="L136" s="606"/>
      <c r="M136" s="606"/>
      <c r="N136" s="606"/>
      <c r="O136" s="606"/>
      <c r="P136" s="606"/>
      <c r="Q136" s="617"/>
      <c r="R136" s="605"/>
    </row>
    <row r="137" spans="3:18" hidden="1" x14ac:dyDescent="0.25">
      <c r="C137" s="607"/>
      <c r="D137" s="607"/>
      <c r="E137" s="606"/>
      <c r="F137" s="606"/>
      <c r="G137" s="606"/>
      <c r="H137" s="606"/>
      <c r="I137" s="606"/>
      <c r="J137" s="606"/>
      <c r="K137" s="606"/>
      <c r="L137" s="606"/>
      <c r="M137" s="606"/>
      <c r="N137" s="606"/>
      <c r="O137" s="606"/>
      <c r="P137" s="606"/>
      <c r="Q137" s="617"/>
      <c r="R137" s="605"/>
    </row>
    <row r="138" spans="3:18" hidden="1" x14ac:dyDescent="0.25">
      <c r="C138" s="607"/>
      <c r="D138" s="607"/>
      <c r="E138" s="606"/>
      <c r="F138" s="606"/>
      <c r="G138" s="606"/>
      <c r="H138" s="606"/>
      <c r="I138" s="606"/>
      <c r="J138" s="606"/>
      <c r="K138" s="606"/>
      <c r="L138" s="606"/>
      <c r="M138" s="606"/>
      <c r="N138" s="606"/>
      <c r="O138" s="606"/>
      <c r="P138" s="606"/>
      <c r="Q138" s="617"/>
      <c r="R138" s="605"/>
    </row>
    <row r="139" spans="3:18" x14ac:dyDescent="0.25">
      <c r="C139" s="811" t="s">
        <v>420</v>
      </c>
      <c r="D139" s="812"/>
      <c r="E139" s="617">
        <f t="shared" ref="E139:P139" si="14">SUM(E115:E138)</f>
        <v>507.80834259982953</v>
      </c>
      <c r="F139" s="617">
        <f t="shared" si="14"/>
        <v>522.43390610829942</v>
      </c>
      <c r="G139" s="617">
        <f t="shared" si="14"/>
        <v>488.90419643317142</v>
      </c>
      <c r="H139" s="617">
        <f t="shared" si="14"/>
        <v>384.31427039261581</v>
      </c>
      <c r="I139" s="617">
        <f t="shared" si="14"/>
        <v>471.94883166698514</v>
      </c>
      <c r="J139" s="617">
        <f t="shared" si="14"/>
        <v>415.47204624704824</v>
      </c>
      <c r="K139" s="617">
        <f t="shared" si="14"/>
        <v>509.70882922683927</v>
      </c>
      <c r="L139" s="617">
        <f t="shared" si="14"/>
        <v>393.52866755839386</v>
      </c>
      <c r="M139" s="617">
        <f t="shared" si="14"/>
        <v>432.91277784866276</v>
      </c>
      <c r="N139" s="617">
        <f t="shared" si="14"/>
        <v>461.33320461958544</v>
      </c>
      <c r="O139" s="617">
        <f t="shared" si="14"/>
        <v>473.64408288029563</v>
      </c>
      <c r="P139" s="617">
        <f t="shared" si="14"/>
        <v>507.52999824803146</v>
      </c>
      <c r="Q139" s="618">
        <f>SUM(E139:P139)</f>
        <v>5569.539153829759</v>
      </c>
      <c r="R139" s="605"/>
    </row>
    <row r="140" spans="3:18" x14ac:dyDescent="0.25">
      <c r="C140" s="813" t="s">
        <v>421</v>
      </c>
      <c r="D140" s="814"/>
      <c r="E140" s="607"/>
      <c r="F140" s="607"/>
      <c r="G140" s="607"/>
      <c r="H140" s="607"/>
      <c r="I140" s="607"/>
      <c r="J140" s="607"/>
      <c r="K140" s="607"/>
      <c r="L140" s="607"/>
      <c r="M140" s="607"/>
      <c r="N140" s="607"/>
      <c r="O140" s="607"/>
      <c r="P140" s="607"/>
      <c r="Q140" s="607"/>
      <c r="R140" s="605"/>
    </row>
    <row r="141" spans="3:18" x14ac:dyDescent="0.25">
      <c r="C141" s="607"/>
      <c r="D141" s="605" t="s">
        <v>663</v>
      </c>
      <c r="E141" s="606">
        <f>'[5]ST,D-D'!D27</f>
        <v>0</v>
      </c>
      <c r="F141" s="606">
        <f>'[5]ST,D-D'!E27</f>
        <v>0</v>
      </c>
      <c r="G141" s="606">
        <f>'[5]ST,D-D'!F27</f>
        <v>0</v>
      </c>
      <c r="H141" s="606">
        <f>'[5]ST,D-D'!G27</f>
        <v>0</v>
      </c>
      <c r="I141" s="606">
        <f>'[5]ST,D-D'!H27</f>
        <v>0</v>
      </c>
      <c r="J141" s="606">
        <f>'[5]ST,D-D'!I27</f>
        <v>0</v>
      </c>
      <c r="K141" s="606">
        <f>'[5]ST,D-D'!J27</f>
        <v>0</v>
      </c>
      <c r="L141" s="606">
        <f>'[5]ST,D-D'!K27</f>
        <v>0</v>
      </c>
      <c r="M141" s="606">
        <f>'[5]ST,D-D'!L27</f>
        <v>0</v>
      </c>
      <c r="N141" s="606">
        <f>'[5]ST,D-D'!M27</f>
        <v>0</v>
      </c>
      <c r="O141" s="606">
        <f>'[5]ST,D-D'!N27</f>
        <v>174.06140389856273</v>
      </c>
      <c r="P141" s="606">
        <f>'[5]ST,D-D'!O27</f>
        <v>264.85317080440018</v>
      </c>
      <c r="Q141" s="607">
        <f>SUM(E141:P141)</f>
        <v>438.91457470296291</v>
      </c>
      <c r="R141" s="605"/>
    </row>
    <row r="142" spans="3:18" x14ac:dyDescent="0.25">
      <c r="C142" s="607"/>
      <c r="D142" s="607" t="s">
        <v>422</v>
      </c>
      <c r="E142" s="606">
        <f>-'[5]ST,D-D'!D29</f>
        <v>-37.868782471465693</v>
      </c>
      <c r="F142" s="606">
        <f>-'[5]ST,D-D'!E29</f>
        <v>-327.08290506224171</v>
      </c>
      <c r="G142" s="606">
        <f>-'[5]ST,D-D'!F29</f>
        <v>-323.56565744042473</v>
      </c>
      <c r="H142" s="606">
        <f>-'[5]ST,D-D'!G29</f>
        <v>-0.4</v>
      </c>
      <c r="I142" s="606">
        <f>-'[5]ST,D-D'!H29</f>
        <v>-0.11273740028718748</v>
      </c>
      <c r="J142" s="606">
        <f>-'[5]ST,D-D'!I29</f>
        <v>-2.3230715968243203</v>
      </c>
      <c r="K142" s="606">
        <f>-'[5]ST,D-D'!J29</f>
        <v>-5.6707461558289651E-2</v>
      </c>
      <c r="L142" s="606">
        <f>-'[5]ST,D-D'!K29</f>
        <v>-4.4938784530813791E-2</v>
      </c>
      <c r="M142" s="606">
        <f>-'[5]ST,D-D'!L29</f>
        <v>-60.503460943290065</v>
      </c>
      <c r="N142" s="606">
        <f>-'[5]ST,D-D'!M29</f>
        <v>-8</v>
      </c>
      <c r="O142" s="606">
        <f>-'[5]ST,D-D'!N29</f>
        <v>0</v>
      </c>
      <c r="P142" s="606">
        <f>-'[5]ST,D-D'!O29</f>
        <v>0</v>
      </c>
      <c r="Q142" s="607">
        <f>SUM(E142:P142)</f>
        <v>-759.95826116062278</v>
      </c>
      <c r="R142" s="605"/>
    </row>
    <row r="143" spans="3:18" hidden="1" x14ac:dyDescent="0.25">
      <c r="C143" s="607"/>
      <c r="D143" s="607"/>
      <c r="E143" s="606"/>
      <c r="F143" s="606"/>
      <c r="G143" s="606"/>
      <c r="H143" s="606"/>
      <c r="I143" s="606"/>
      <c r="J143" s="606"/>
      <c r="K143" s="606"/>
      <c r="L143" s="606"/>
      <c r="M143" s="606"/>
      <c r="N143" s="606"/>
      <c r="O143" s="606"/>
      <c r="P143" s="606"/>
      <c r="Q143" s="607"/>
      <c r="R143" s="605"/>
    </row>
    <row r="144" spans="3:18" hidden="1" x14ac:dyDescent="0.25">
      <c r="C144" s="607"/>
      <c r="D144" s="607"/>
      <c r="E144" s="606"/>
      <c r="F144" s="606"/>
      <c r="G144" s="606"/>
      <c r="H144" s="606"/>
      <c r="I144" s="606"/>
      <c r="J144" s="606"/>
      <c r="K144" s="606"/>
      <c r="L144" s="606"/>
      <c r="M144" s="606"/>
      <c r="N144" s="606"/>
      <c r="O144" s="606"/>
      <c r="P144" s="606"/>
      <c r="Q144" s="607"/>
      <c r="R144" s="605"/>
    </row>
    <row r="145" spans="3:18" hidden="1" x14ac:dyDescent="0.25">
      <c r="C145" s="607"/>
      <c r="D145" s="607"/>
      <c r="E145" s="606"/>
      <c r="F145" s="606"/>
      <c r="G145" s="606"/>
      <c r="H145" s="606"/>
      <c r="I145" s="606"/>
      <c r="J145" s="606"/>
      <c r="K145" s="606"/>
      <c r="L145" s="606"/>
      <c r="M145" s="606"/>
      <c r="N145" s="606"/>
      <c r="O145" s="606"/>
      <c r="P145" s="606"/>
      <c r="Q145" s="607"/>
      <c r="R145" s="605"/>
    </row>
    <row r="146" spans="3:18" hidden="1" x14ac:dyDescent="0.25">
      <c r="C146" s="607"/>
      <c r="D146" s="607"/>
      <c r="E146" s="606"/>
      <c r="F146" s="606"/>
      <c r="G146" s="606"/>
      <c r="H146" s="606"/>
      <c r="I146" s="606"/>
      <c r="J146" s="606"/>
      <c r="K146" s="606"/>
      <c r="L146" s="606"/>
      <c r="M146" s="606"/>
      <c r="N146" s="606"/>
      <c r="O146" s="606"/>
      <c r="P146" s="606"/>
      <c r="Q146" s="607"/>
      <c r="R146" s="605"/>
    </row>
    <row r="147" spans="3:18" hidden="1" x14ac:dyDescent="0.25">
      <c r="C147" s="607"/>
      <c r="D147" s="607"/>
      <c r="E147" s="606"/>
      <c r="F147" s="606"/>
      <c r="G147" s="606"/>
      <c r="H147" s="606"/>
      <c r="I147" s="606"/>
      <c r="J147" s="606"/>
      <c r="K147" s="606"/>
      <c r="L147" s="606"/>
      <c r="M147" s="606"/>
      <c r="N147" s="606"/>
      <c r="O147" s="606"/>
      <c r="P147" s="606"/>
      <c r="Q147" s="607"/>
      <c r="R147" s="605"/>
    </row>
    <row r="148" spans="3:18" hidden="1" x14ac:dyDescent="0.25">
      <c r="C148" s="607"/>
      <c r="D148" s="607"/>
      <c r="E148" s="606"/>
      <c r="F148" s="606"/>
      <c r="G148" s="606"/>
      <c r="H148" s="606"/>
      <c r="I148" s="606"/>
      <c r="J148" s="606"/>
      <c r="K148" s="606"/>
      <c r="L148" s="606"/>
      <c r="M148" s="606"/>
      <c r="N148" s="606"/>
      <c r="O148" s="606"/>
      <c r="P148" s="606"/>
      <c r="Q148" s="607"/>
      <c r="R148" s="605"/>
    </row>
    <row r="149" spans="3:18" hidden="1" x14ac:dyDescent="0.25">
      <c r="C149" s="607"/>
      <c r="D149" s="607"/>
      <c r="E149" s="606"/>
      <c r="F149" s="606"/>
      <c r="G149" s="606"/>
      <c r="H149" s="606"/>
      <c r="I149" s="606"/>
      <c r="J149" s="606"/>
      <c r="K149" s="606"/>
      <c r="L149" s="606"/>
      <c r="M149" s="606"/>
      <c r="N149" s="606"/>
      <c r="O149" s="606"/>
      <c r="P149" s="606"/>
      <c r="Q149" s="607"/>
      <c r="R149" s="605"/>
    </row>
    <row r="150" spans="3:18" hidden="1" x14ac:dyDescent="0.25">
      <c r="C150" s="607"/>
      <c r="D150" s="607"/>
      <c r="E150" s="606"/>
      <c r="F150" s="606"/>
      <c r="G150" s="606"/>
      <c r="H150" s="606"/>
      <c r="I150" s="606"/>
      <c r="J150" s="606"/>
      <c r="K150" s="606"/>
      <c r="L150" s="606"/>
      <c r="M150" s="606"/>
      <c r="N150" s="606"/>
      <c r="O150" s="606"/>
      <c r="P150" s="606"/>
      <c r="Q150" s="607"/>
      <c r="R150" s="605"/>
    </row>
    <row r="151" spans="3:18" hidden="1" x14ac:dyDescent="0.25">
      <c r="C151" s="607"/>
      <c r="D151" s="607"/>
      <c r="E151" s="606"/>
      <c r="F151" s="606"/>
      <c r="G151" s="606"/>
      <c r="H151" s="606"/>
      <c r="I151" s="606"/>
      <c r="J151" s="606"/>
      <c r="K151" s="606"/>
      <c r="L151" s="606"/>
      <c r="M151" s="606"/>
      <c r="N151" s="606"/>
      <c r="O151" s="606"/>
      <c r="P151" s="606"/>
      <c r="Q151" s="607"/>
      <c r="R151" s="605"/>
    </row>
    <row r="152" spans="3:18" x14ac:dyDescent="0.25">
      <c r="C152" s="811" t="s">
        <v>423</v>
      </c>
      <c r="D152" s="812"/>
      <c r="E152" s="606">
        <f>SUM(E141:E151)</f>
        <v>-37.868782471465693</v>
      </c>
      <c r="F152" s="606">
        <f t="shared" ref="F152:P152" si="15">SUM(F141:F151)</f>
        <v>-327.08290506224171</v>
      </c>
      <c r="G152" s="606">
        <f t="shared" si="15"/>
        <v>-323.56565744042473</v>
      </c>
      <c r="H152" s="606">
        <f t="shared" si="15"/>
        <v>-0.4</v>
      </c>
      <c r="I152" s="606">
        <f t="shared" si="15"/>
        <v>-0.11273740028718748</v>
      </c>
      <c r="J152" s="606">
        <f t="shared" si="15"/>
        <v>-2.3230715968243203</v>
      </c>
      <c r="K152" s="606">
        <f t="shared" si="15"/>
        <v>-5.6707461558289651E-2</v>
      </c>
      <c r="L152" s="606">
        <f t="shared" si="15"/>
        <v>-4.4938784530813791E-2</v>
      </c>
      <c r="M152" s="606">
        <f t="shared" si="15"/>
        <v>-60.503460943290065</v>
      </c>
      <c r="N152" s="606">
        <f t="shared" si="15"/>
        <v>-8</v>
      </c>
      <c r="O152" s="606">
        <f t="shared" si="15"/>
        <v>174.06140389856273</v>
      </c>
      <c r="P152" s="606">
        <f t="shared" si="15"/>
        <v>264.85317080440018</v>
      </c>
      <c r="Q152" s="609">
        <f>SUM(E152:P152)</f>
        <v>-321.04368645765987</v>
      </c>
      <c r="R152" s="605"/>
    </row>
    <row r="153" spans="3:18" x14ac:dyDescent="0.25">
      <c r="C153" s="813" t="s">
        <v>424</v>
      </c>
      <c r="D153" s="814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5"/>
    </row>
    <row r="154" spans="3:18" x14ac:dyDescent="0.25">
      <c r="C154" s="607" t="s">
        <v>425</v>
      </c>
      <c r="D154" s="607" t="s">
        <v>426</v>
      </c>
      <c r="E154" s="606">
        <v>0</v>
      </c>
      <c r="F154" s="606">
        <v>0</v>
      </c>
      <c r="G154" s="606">
        <v>0</v>
      </c>
      <c r="H154" s="606">
        <v>0</v>
      </c>
      <c r="I154" s="606">
        <v>0</v>
      </c>
      <c r="J154" s="606">
        <v>0</v>
      </c>
      <c r="K154" s="606">
        <v>0</v>
      </c>
      <c r="L154" s="606">
        <v>0</v>
      </c>
      <c r="M154" s="606">
        <v>0</v>
      </c>
      <c r="N154" s="606">
        <v>0</v>
      </c>
      <c r="O154" s="606">
        <v>0</v>
      </c>
      <c r="P154" s="606">
        <v>0</v>
      </c>
      <c r="Q154" s="607">
        <f>SUM(E154:P154)</f>
        <v>0</v>
      </c>
      <c r="R154" s="605"/>
    </row>
    <row r="155" spans="3:18" x14ac:dyDescent="0.25">
      <c r="C155" s="607" t="s">
        <v>425</v>
      </c>
      <c r="D155" s="607" t="s">
        <v>427</v>
      </c>
      <c r="E155" s="606">
        <f>'[5]ST,D-D'!D31</f>
        <v>-317.56928060339396</v>
      </c>
      <c r="F155" s="606">
        <f>'[5]ST,D-D'!E31</f>
        <v>-242.66250810219753</v>
      </c>
      <c r="G155" s="606">
        <f>'[5]ST,D-D'!F31</f>
        <v>-89.68017267230789</v>
      </c>
      <c r="H155" s="606">
        <f>'[5]ST,D-D'!G31</f>
        <v>-232.03156461098843</v>
      </c>
      <c r="I155" s="606">
        <f>'[5]ST,D-D'!H31</f>
        <v>-1.5884561881371155</v>
      </c>
      <c r="J155" s="606">
        <f>'[5]ST,D-D'!I31</f>
        <v>-158.64954819159902</v>
      </c>
      <c r="K155" s="606">
        <f>'[5]ST,D-D'!J31</f>
        <v>-70.93096491381084</v>
      </c>
      <c r="L155" s="606">
        <f>'[5]ST,D-D'!K31</f>
        <v>-190.58268638179106</v>
      </c>
      <c r="M155" s="606">
        <f>'[5]ST,D-D'!L31</f>
        <v>-157.78446080142749</v>
      </c>
      <c r="N155" s="606">
        <f>'[5]ST,D-D'!M31</f>
        <v>28.375365293045434</v>
      </c>
      <c r="O155" s="606">
        <f>'[5]ST,D-D'!N31</f>
        <v>0</v>
      </c>
      <c r="P155" s="606">
        <f>'[5]ST,D-D'!O31</f>
        <v>0</v>
      </c>
      <c r="Q155" s="607">
        <f>SUM(E155:P155)</f>
        <v>-1433.1042771726079</v>
      </c>
      <c r="R155" s="605"/>
    </row>
    <row r="156" spans="3:18" x14ac:dyDescent="0.25">
      <c r="C156" s="607"/>
      <c r="D156" s="619" t="s">
        <v>463</v>
      </c>
      <c r="E156" s="607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07">
        <f>SUM(E156:P156)</f>
        <v>0</v>
      </c>
      <c r="R156" s="605"/>
    </row>
    <row r="157" spans="3:18" x14ac:dyDescent="0.25">
      <c r="C157" s="811" t="s">
        <v>428</v>
      </c>
      <c r="D157" s="812"/>
      <c r="E157" s="620">
        <f t="shared" ref="E157:P157" si="16">SUM(E154:E155)</f>
        <v>-317.56928060339396</v>
      </c>
      <c r="F157" s="620">
        <f t="shared" si="16"/>
        <v>-242.66250810219753</v>
      </c>
      <c r="G157" s="620">
        <f t="shared" si="16"/>
        <v>-89.68017267230789</v>
      </c>
      <c r="H157" s="620">
        <f t="shared" si="16"/>
        <v>-232.03156461098843</v>
      </c>
      <c r="I157" s="620">
        <f t="shared" si="16"/>
        <v>-1.5884561881371155</v>
      </c>
      <c r="J157" s="620">
        <f t="shared" si="16"/>
        <v>-158.64954819159902</v>
      </c>
      <c r="K157" s="620">
        <f t="shared" si="16"/>
        <v>-70.93096491381084</v>
      </c>
      <c r="L157" s="620">
        <f t="shared" si="16"/>
        <v>-190.58268638179106</v>
      </c>
      <c r="M157" s="620">
        <f t="shared" si="16"/>
        <v>-157.78446080142749</v>
      </c>
      <c r="N157" s="620">
        <f t="shared" si="16"/>
        <v>28.375365293045434</v>
      </c>
      <c r="O157" s="620">
        <f t="shared" si="16"/>
        <v>0</v>
      </c>
      <c r="P157" s="620">
        <f t="shared" si="16"/>
        <v>0</v>
      </c>
      <c r="Q157" s="621">
        <f>SUM(Q154:Q155)</f>
        <v>-1433.1042771726079</v>
      </c>
      <c r="R157" s="605"/>
    </row>
    <row r="158" spans="3:18" x14ac:dyDescent="0.25">
      <c r="C158" s="811" t="s">
        <v>220</v>
      </c>
      <c r="D158" s="812"/>
      <c r="E158" s="620">
        <f t="shared" ref="E158:P158" si="17">E49+E94+E103+E113+E139+E152+E157</f>
        <v>2001.6814408792911</v>
      </c>
      <c r="F158" s="620">
        <f t="shared" si="17"/>
        <v>1541.0486657856115</v>
      </c>
      <c r="G158" s="620">
        <f t="shared" si="17"/>
        <v>1619.5983245622474</v>
      </c>
      <c r="H158" s="620">
        <f t="shared" si="17"/>
        <v>1974.5704204967997</v>
      </c>
      <c r="I158" s="620">
        <f t="shared" si="17"/>
        <v>2627.3284289204398</v>
      </c>
      <c r="J158" s="620">
        <f t="shared" si="17"/>
        <v>2094.5529110150269</v>
      </c>
      <c r="K158" s="620">
        <f t="shared" si="17"/>
        <v>2690.1605353496966</v>
      </c>
      <c r="L158" s="620">
        <f t="shared" si="17"/>
        <v>1856.4185929695525</v>
      </c>
      <c r="M158" s="620">
        <f t="shared" si="17"/>
        <v>2006.0273934856505</v>
      </c>
      <c r="N158" s="620">
        <f t="shared" si="17"/>
        <v>2637.027681096823</v>
      </c>
      <c r="O158" s="620">
        <f t="shared" si="17"/>
        <v>2857.8408093667754</v>
      </c>
      <c r="P158" s="620">
        <f t="shared" si="17"/>
        <v>3236.5767868120852</v>
      </c>
      <c r="Q158" s="621">
        <f>Q49+Q94+Q103+Q113+Q139+Q152+Q157</f>
        <v>27142.831990740007</v>
      </c>
      <c r="R158" s="605"/>
    </row>
    <row r="160" spans="3:18" x14ac:dyDescent="0.25">
      <c r="D160" s="22"/>
      <c r="E160" s="22"/>
      <c r="Q160" s="164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10:C27"/>
    <mergeCell ref="C29:D29"/>
    <mergeCell ref="C30:C47"/>
    <mergeCell ref="E5:Q5"/>
    <mergeCell ref="C8:D8"/>
    <mergeCell ref="C9:D9"/>
    <mergeCell ref="C5:C7"/>
    <mergeCell ref="D5:D7"/>
    <mergeCell ref="C157:D157"/>
    <mergeCell ref="C158:D158"/>
    <mergeCell ref="C103:D103"/>
    <mergeCell ref="C104:D104"/>
    <mergeCell ref="C113:D113"/>
    <mergeCell ref="C114:D114"/>
    <mergeCell ref="C139:D139"/>
    <mergeCell ref="C153:D153"/>
    <mergeCell ref="C48:D48"/>
    <mergeCell ref="C2:P2"/>
    <mergeCell ref="C3:Q3"/>
    <mergeCell ref="C140:D140"/>
    <mergeCell ref="C152:D152"/>
    <mergeCell ref="C78:D78"/>
    <mergeCell ref="C79:C82"/>
    <mergeCell ref="C93:D93"/>
    <mergeCell ref="C94:D94"/>
    <mergeCell ref="C95:D95"/>
    <mergeCell ref="C49:D49"/>
    <mergeCell ref="C50:D50"/>
    <mergeCell ref="C51:D51"/>
    <mergeCell ref="C52:C60"/>
    <mergeCell ref="C77:D77"/>
    <mergeCell ref="C28:D28"/>
  </mergeCells>
  <pageMargins left="0.5" right="0.7" top="0.75" bottom="0.75" header="0.3" footer="0.3"/>
  <pageSetup paperSize="9" scale="5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R163"/>
  <sheetViews>
    <sheetView showGridLines="0" topLeftCell="A126" zoomScale="70" zoomScaleNormal="70" workbookViewId="0">
      <selection activeCell="E35" sqref="E35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2.88671875" style="4" customWidth="1"/>
    <col min="5" max="5" width="14.109375" style="4" bestFit="1" customWidth="1"/>
    <col min="6" max="6" width="13.44140625" style="4" bestFit="1" customWidth="1"/>
    <col min="7" max="7" width="13.6640625" style="4" bestFit="1" customWidth="1"/>
    <col min="8" max="8" width="14.109375" style="4" bestFit="1" customWidth="1"/>
    <col min="9" max="9" width="13.44140625" style="4" bestFit="1" customWidth="1"/>
    <col min="10" max="10" width="14.88671875" style="4" customWidth="1"/>
    <col min="11" max="11" width="12.5546875" style="4" customWidth="1"/>
    <col min="12" max="12" width="13.44140625" style="4" bestFit="1" customWidth="1"/>
    <col min="13" max="13" width="14.109375" style="4" bestFit="1" customWidth="1"/>
    <col min="14" max="16" width="13.44140625" style="4" bestFit="1" customWidth="1"/>
    <col min="17" max="17" width="14.5546875" style="4" bestFit="1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7" ht="14.25" customHeight="1" x14ac:dyDescent="0.25">
      <c r="C3" s="826" t="s">
        <v>469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</row>
    <row r="4" spans="2:17" x14ac:dyDescent="0.25">
      <c r="C4" s="14"/>
      <c r="Q4" s="25" t="s">
        <v>229</v>
      </c>
    </row>
    <row r="5" spans="2:17" ht="15" customHeight="1" x14ac:dyDescent="0.25">
      <c r="C5" s="762" t="s">
        <v>346</v>
      </c>
      <c r="D5" s="762" t="s">
        <v>347</v>
      </c>
      <c r="E5" s="768" t="s">
        <v>260</v>
      </c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</row>
    <row r="6" spans="2:17" x14ac:dyDescent="0.25">
      <c r="C6" s="764"/>
      <c r="D6" s="764"/>
      <c r="E6" s="13" t="s">
        <v>239</v>
      </c>
      <c r="F6" s="13" t="s">
        <v>240</v>
      </c>
      <c r="G6" s="13" t="s">
        <v>241</v>
      </c>
      <c r="H6" s="13" t="s">
        <v>242</v>
      </c>
      <c r="I6" s="13" t="s">
        <v>243</v>
      </c>
      <c r="J6" s="13" t="s">
        <v>244</v>
      </c>
      <c r="K6" s="13" t="s">
        <v>245</v>
      </c>
      <c r="L6" s="13" t="s">
        <v>246</v>
      </c>
      <c r="M6" s="13" t="s">
        <v>247</v>
      </c>
      <c r="N6" s="13" t="s">
        <v>248</v>
      </c>
      <c r="O6" s="13" t="s">
        <v>249</v>
      </c>
      <c r="P6" s="13" t="s">
        <v>250</v>
      </c>
      <c r="Q6" s="13" t="s">
        <v>251</v>
      </c>
    </row>
    <row r="7" spans="2:17" ht="14.25" customHeight="1" x14ac:dyDescent="0.25">
      <c r="C7" s="766"/>
      <c r="D7" s="7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2:17" x14ac:dyDescent="0.25">
      <c r="B8" s="60"/>
      <c r="C8" s="800" t="s">
        <v>348</v>
      </c>
      <c r="D8" s="801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2:17" x14ac:dyDescent="0.25">
      <c r="C9" s="753" t="s">
        <v>349</v>
      </c>
      <c r="D9" s="754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ht="14.25" customHeight="1" x14ac:dyDescent="0.25">
      <c r="B10" s="60"/>
      <c r="C10" s="833" t="s">
        <v>350</v>
      </c>
      <c r="D10" s="59" t="s">
        <v>351</v>
      </c>
      <c r="E10" s="66">
        <f>'[33]TGNPDCL MoD'!F4+'[33]TGNPDCL MoD'!F5</f>
        <v>62.764421437125009</v>
      </c>
      <c r="F10" s="66">
        <f>'[33]TGNPDCL MoD'!G4+'[33]TGNPDCL MoD'!G5</f>
        <v>77.017175471805473</v>
      </c>
      <c r="G10" s="66">
        <f>'[33]TGNPDCL MoD'!H4+'[33]TGNPDCL MoD'!H5</f>
        <v>74.532750456585944</v>
      </c>
      <c r="H10" s="66">
        <f>'[33]TGNPDCL MoD'!I4+'[33]TGNPDCL MoD'!I5</f>
        <v>0</v>
      </c>
      <c r="I10" s="66">
        <f>'[33]TGNPDCL MoD'!J4+'[33]TGNPDCL MoD'!J5</f>
        <v>25.479366321499562</v>
      </c>
      <c r="J10" s="66">
        <f>'[33]TGNPDCL MoD'!K4+'[33]TGNPDCL MoD'!K5</f>
        <v>51.839636473051002</v>
      </c>
      <c r="K10" s="66">
        <f>'[33]TGNPDCL MoD'!L4+'[33]TGNPDCL MoD'!L5</f>
        <v>50.958732642999124</v>
      </c>
      <c r="L10" s="66">
        <f>'[33]TGNPDCL MoD'!M4+'[33]TGNPDCL MoD'!M5</f>
        <v>61.083231577202014</v>
      </c>
      <c r="M10" s="66">
        <f>'[33]TGNPDCL MoD'!N4+'[33]TGNPDCL MoD'!N5</f>
        <v>55.694758472837279</v>
      </c>
      <c r="N10" s="66">
        <f>'[33]TGNPDCL MoD'!O4+'[33]TGNPDCL MoD'!O5</f>
        <v>55.525708200428724</v>
      </c>
      <c r="O10" s="66">
        <f>'[33]TGNPDCL MoD'!P4+'[33]TGNPDCL MoD'!P5</f>
        <v>59.204273680858478</v>
      </c>
      <c r="P10" s="66">
        <f>'[33]TGNPDCL MoD'!Q4+'[33]TGNPDCL MoD'!Q5</f>
        <v>70.068257384123768</v>
      </c>
      <c r="Q10" s="291">
        <f t="shared" ref="Q10:Q17" si="0">SUM(E10:P10)</f>
        <v>644.16831211851638</v>
      </c>
    </row>
    <row r="11" spans="2:17" x14ac:dyDescent="0.25">
      <c r="B11" s="60"/>
      <c r="C11" s="834"/>
      <c r="D11" s="59" t="s">
        <v>352</v>
      </c>
      <c r="E11" s="66">
        <f>'[33]TGNPDCL MoD'!F6</f>
        <v>63.904544208814968</v>
      </c>
      <c r="F11" s="66">
        <f>'[33]TGNPDCL MoD'!G6</f>
        <v>0</v>
      </c>
      <c r="G11" s="66">
        <f>'[33]TGNPDCL MoD'!H6</f>
        <v>38.106970158254455</v>
      </c>
      <c r="H11" s="66">
        <f>'[33]TGNPDCL MoD'!I6</f>
        <v>57.907650730680814</v>
      </c>
      <c r="I11" s="66">
        <f>'[33]TGNPDCL MoD'!J6</f>
        <v>50.958732642999124</v>
      </c>
      <c r="J11" s="66">
        <f>'[33]TGNPDCL MoD'!K6</f>
        <v>52.677282277587068</v>
      </c>
      <c r="K11" s="66">
        <f>'[33]TGNPDCL MoD'!L6</f>
        <v>50.958732642999124</v>
      </c>
      <c r="L11" s="66">
        <f>'[33]TGNPDCL MoD'!M6</f>
        <v>72.513566958363498</v>
      </c>
      <c r="M11" s="66">
        <f>'[33]TGNPDCL MoD'!N6</f>
        <v>57.981333804454465</v>
      </c>
      <c r="N11" s="66">
        <f>'[33]TGNPDCL MoD'!O6</f>
        <v>62.077924168850046</v>
      </c>
      <c r="O11" s="66">
        <f>'[33]TGNPDCL MoD'!P6</f>
        <v>61.718347746506254</v>
      </c>
      <c r="P11" s="66">
        <f>'[33]TGNPDCL MoD'!Q6</f>
        <v>70.068257384123768</v>
      </c>
      <c r="Q11" s="291">
        <f t="shared" si="0"/>
        <v>638.87334272363353</v>
      </c>
    </row>
    <row r="12" spans="2:17" x14ac:dyDescent="0.25">
      <c r="B12" s="60"/>
      <c r="C12" s="834"/>
      <c r="D12" s="59" t="s">
        <v>353</v>
      </c>
      <c r="E12" s="66">
        <f>'[33]TGNPDCL MoD'!F7</f>
        <v>107.94213017308778</v>
      </c>
      <c r="F12" s="66">
        <f>'[33]TGNPDCL MoD'!G7</f>
        <v>0</v>
      </c>
      <c r="G12" s="66">
        <f>'[33]TGNPDCL MoD'!H7</f>
        <v>60.97115225320718</v>
      </c>
      <c r="H12" s="66">
        <f>'[33]TGNPDCL MoD'!I7</f>
        <v>99.008828159813788</v>
      </c>
      <c r="I12" s="66">
        <f>'[33]TGNPDCL MoD'!J7</f>
        <v>83.090445080861855</v>
      </c>
      <c r="J12" s="66">
        <f>'[33]TGNPDCL MoD'!K7</f>
        <v>87.486311850813053</v>
      </c>
      <c r="K12" s="66">
        <f>'[33]TGNPDCL MoD'!L7</f>
        <v>81.533972228798604</v>
      </c>
      <c r="L12" s="66">
        <f>'[33]TGNPDCL MoD'!M7</f>
        <v>121.62935768298314</v>
      </c>
      <c r="M12" s="66">
        <f>'[33]TGNPDCL MoD'!N7</f>
        <v>106.45956126079477</v>
      </c>
      <c r="N12" s="66">
        <f>'[33]TGNPDCL MoD'!O7</f>
        <v>103.77051010938001</v>
      </c>
      <c r="O12" s="66">
        <f>'[33]TGNPDCL MoD'!P7</f>
        <v>98.749356394410057</v>
      </c>
      <c r="P12" s="66">
        <f>'[33]TGNPDCL MoD'!Q7</f>
        <v>112.43398749206534</v>
      </c>
      <c r="Q12" s="291">
        <f t="shared" si="0"/>
        <v>1063.0756126862154</v>
      </c>
    </row>
    <row r="13" spans="2:17" x14ac:dyDescent="0.25">
      <c r="B13" s="60"/>
      <c r="C13" s="834"/>
      <c r="D13" s="59" t="s">
        <v>354</v>
      </c>
      <c r="E13" s="66">
        <f>'[33]TGNPDCL MoD'!F8</f>
        <v>7.7635104341786239</v>
      </c>
      <c r="F13" s="66">
        <f>'[33]TGNPDCL MoD'!G8</f>
        <v>0</v>
      </c>
      <c r="G13" s="66">
        <f>'[33]TGNPDCL MoD'!H8</f>
        <v>4.6582969035366482</v>
      </c>
      <c r="H13" s="66">
        <f>'[33]TGNPDCL MoD'!I8</f>
        <v>6.8041489608550023</v>
      </c>
      <c r="I13" s="66">
        <f>'[33]TGNPDCL MoD'!J8</f>
        <v>6.3698415803748905</v>
      </c>
      <c r="J13" s="66">
        <f>'[33]TGNPDCL MoD'!K8</f>
        <v>6.3745115522080127</v>
      </c>
      <c r="K13" s="66">
        <f>'[33]TGNPDCL MoD'!L8</f>
        <v>6.3698415803748905</v>
      </c>
      <c r="L13" s="66">
        <f>'[33]TGNPDCL MoD'!M8</f>
        <v>7.4252552146599022</v>
      </c>
      <c r="M13" s="66">
        <f>'[33]TGNPDCL MoD'!N8</f>
        <v>6.8041489608550023</v>
      </c>
      <c r="N13" s="66">
        <f>'[33]TGNPDCL MoD'!O8</f>
        <v>6.8041489608550023</v>
      </c>
      <c r="O13" s="66">
        <f>'[33]TGNPDCL MoD'!P8</f>
        <v>7.3225158343312771</v>
      </c>
      <c r="P13" s="66">
        <f>'[33]TGNPDCL MoD'!Q8</f>
        <v>8.7585321730155137</v>
      </c>
      <c r="Q13" s="291">
        <f t="shared" si="0"/>
        <v>75.454752155244762</v>
      </c>
    </row>
    <row r="14" spans="2:17" x14ac:dyDescent="0.25">
      <c r="B14" s="60"/>
      <c r="C14" s="834"/>
      <c r="D14" s="59" t="s">
        <v>355</v>
      </c>
      <c r="E14" s="66">
        <f>'[33]TGNPDCL MoD'!F9</f>
        <v>77.895130176431906</v>
      </c>
      <c r="F14" s="66">
        <f>'[33]TGNPDCL MoD'!G9</f>
        <v>78.754404993725927</v>
      </c>
      <c r="G14" s="66">
        <f>'[33]TGNPDCL MoD'!H9</f>
        <v>76.213940316508939</v>
      </c>
      <c r="H14" s="66">
        <f>'[33]TGNPDCL MoD'!I9</f>
        <v>79.038076257973245</v>
      </c>
      <c r="I14" s="66">
        <f>'[33]TGNPDCL MoD'!J9</f>
        <v>64.856568818362518</v>
      </c>
      <c r="J14" s="66">
        <f>'[33]TGNPDCL MoD'!K9</f>
        <v>68.724765968224602</v>
      </c>
      <c r="K14" s="66">
        <f>'[33]TGNPDCL MoD'!L9</f>
        <v>0</v>
      </c>
      <c r="L14" s="66">
        <f>'[33]TGNPDCL MoD'!M9</f>
        <v>39.610468221915966</v>
      </c>
      <c r="M14" s="66">
        <f>'[33]TGNPDCL MoD'!N9</f>
        <v>77.017175471805473</v>
      </c>
      <c r="N14" s="66">
        <f>'[33]TGNPDCL MoD'!O9</f>
        <v>70.068257384123768</v>
      </c>
      <c r="O14" s="66">
        <f>'[33]TGNPDCL MoD'!P9</f>
        <v>67.994789890218755</v>
      </c>
      <c r="P14" s="66">
        <f>'[33]TGNPDCL MoD'!Q9</f>
        <v>82.785552099543821</v>
      </c>
      <c r="Q14" s="291">
        <f t="shared" si="0"/>
        <v>782.95912959883481</v>
      </c>
    </row>
    <row r="15" spans="2:17" x14ac:dyDescent="0.25">
      <c r="B15" s="60"/>
      <c r="C15" s="834"/>
      <c r="D15" s="59" t="s">
        <v>356</v>
      </c>
      <c r="E15" s="66">
        <f>'[33]TGNPDCL MoD'!F10</f>
        <v>95.49158404362592</v>
      </c>
      <c r="F15" s="66">
        <f>'[33]TGNPDCL MoD'!G10</f>
        <v>94.86112719722027</v>
      </c>
      <c r="G15" s="66">
        <f>'[33]TGNPDCL MoD'!H10</f>
        <v>95.49158404362592</v>
      </c>
      <c r="H15" s="66">
        <f>'[33]TGNPDCL MoD'!I10</f>
        <v>100.75931227138463</v>
      </c>
      <c r="I15" s="66">
        <f>'[33]TGNPDCL MoD'!J10</f>
        <v>81.997233434644045</v>
      </c>
      <c r="J15" s="66">
        <f>'[33]TGNPDCL MoD'!K10</f>
        <v>91.07946029448911</v>
      </c>
      <c r="K15" s="66">
        <f>'[33]TGNPDCL MoD'!L10</f>
        <v>77.827882582035016</v>
      </c>
      <c r="L15" s="66">
        <f>'[33]TGNPDCL MoD'!M10</f>
        <v>0</v>
      </c>
      <c r="M15" s="66">
        <f>'[33]TGNPDCL MoD'!N10</f>
        <v>48.777475400509616</v>
      </c>
      <c r="N15" s="66">
        <f>'[33]TGNPDCL MoD'!O10</f>
        <v>90.335935139862102</v>
      </c>
      <c r="O15" s="66">
        <f>'[33]TGNPDCL MoD'!P10</f>
        <v>83.476680511376287</v>
      </c>
      <c r="P15" s="66">
        <f>'[33]TGNPDCL MoD'!Q10</f>
        <v>100.75931227138463</v>
      </c>
      <c r="Q15" s="291">
        <f t="shared" si="0"/>
        <v>960.85758719015746</v>
      </c>
    </row>
    <row r="16" spans="2:17" x14ac:dyDescent="0.25">
      <c r="B16" s="60"/>
      <c r="C16" s="834"/>
      <c r="D16" s="59" t="s">
        <v>357</v>
      </c>
      <c r="E16" s="66">
        <f>'[33]TGNPDCL MoD'!F11+'[33]TGNPDCL MoD'!F12+'[33]TGNPDCL MoD'!F13+'[33]TGNPDCL MoD'!F14</f>
        <v>169.96302992471274</v>
      </c>
      <c r="F16" s="66">
        <f>'[33]TGNPDCL MoD'!G11+'[33]TGNPDCL MoD'!G12+'[33]TGNPDCL MoD'!G13+'[33]TGNPDCL MoD'!G14</f>
        <v>85.054757393224008</v>
      </c>
      <c r="G16" s="66">
        <f>'[33]TGNPDCL MoD'!H11+'[33]TGNPDCL MoD'!H12+'[33]TGNPDCL MoD'!H13+'[33]TGNPDCL MoD'!H14</f>
        <v>126.30174675423655</v>
      </c>
      <c r="H16" s="66">
        <f>'[33]TGNPDCL MoD'!I11+'[33]TGNPDCL MoD'!I12+'[33]TGNPDCL MoD'!I13+'[33]TGNPDCL MoD'!I14</f>
        <v>176.72304989397276</v>
      </c>
      <c r="I16" s="66">
        <f>'[33]TGNPDCL MoD'!J11+'[33]TGNPDCL MoD'!J12+'[33]TGNPDCL MoD'!J13+'[33]TGNPDCL MoD'!J14</f>
        <v>126.35861320130023</v>
      </c>
      <c r="J16" s="66">
        <f>'[33]TGNPDCL MoD'!K11+'[33]TGNPDCL MoD'!K12+'[33]TGNPDCL MoD'!K13+'[33]TGNPDCL MoD'!K14</f>
        <v>114.62811120671414</v>
      </c>
      <c r="K16" s="66">
        <f>'[33]TGNPDCL MoD'!L11+'[33]TGNPDCL MoD'!L12+'[33]TGNPDCL MoD'!L13+'[33]TGNPDCL MoD'!L14</f>
        <v>136.80170887916699</v>
      </c>
      <c r="L16" s="66">
        <f>'[33]TGNPDCL MoD'!M11+'[33]TGNPDCL MoD'!M12+'[33]TGNPDCL MoD'!M13+'[33]TGNPDCL MoD'!M14</f>
        <v>128.91363845889504</v>
      </c>
      <c r="M16" s="66">
        <f>'[33]TGNPDCL MoD'!N11+'[33]TGNPDCL MoD'!N12+'[33]TGNPDCL MoD'!N13+'[33]TGNPDCL MoD'!N14</f>
        <v>147.64045238488225</v>
      </c>
      <c r="N16" s="66">
        <f>'[33]TGNPDCL MoD'!O11+'[33]TGNPDCL MoD'!O12+'[33]TGNPDCL MoD'!O13+'[33]TGNPDCL MoD'!O14</f>
        <v>155.66275916094523</v>
      </c>
      <c r="O16" s="66">
        <f>'[33]TGNPDCL MoD'!P11+'[33]TGNPDCL MoD'!P12+'[33]TGNPDCL MoD'!P13+'[33]TGNPDCL MoD'!P14</f>
        <v>146.86874616287247</v>
      </c>
      <c r="P16" s="66">
        <f>'[33]TGNPDCL MoD'!Q11+'[33]TGNPDCL MoD'!Q12+'[33]TGNPDCL MoD'!Q13+'[33]TGNPDCL MoD'!Q14</f>
        <v>181.36676208849224</v>
      </c>
      <c r="Q16" s="291">
        <f t="shared" si="0"/>
        <v>1696.2833755094148</v>
      </c>
    </row>
    <row r="17" spans="2:18" x14ac:dyDescent="0.25">
      <c r="B17" s="60"/>
      <c r="C17" s="834"/>
      <c r="D17" s="59" t="s">
        <v>358</v>
      </c>
      <c r="E17" s="66">
        <f>'[33]TGNPDCL MoD'!F15+'[33]TGNPDCL MoD'!F16+'[33]TGNPDCL MoD'!F17+'[33]TGNPDCL MoD'!F18+'[33]TGNPDCL MoD'!F19</f>
        <v>646.50851572447652</v>
      </c>
      <c r="F17" s="66">
        <f>'[33]TGNPDCL MoD'!G15+'[33]TGNPDCL MoD'!G16+'[33]TGNPDCL MoD'!G17+'[33]TGNPDCL MoD'!G18+'[33]TGNPDCL MoD'!G19</f>
        <v>394.69854738032035</v>
      </c>
      <c r="G17" s="66">
        <f>'[33]TGNPDCL MoD'!H15+'[33]TGNPDCL MoD'!H16+'[33]TGNPDCL MoD'!H17+'[33]TGNPDCL MoD'!H18+'[33]TGNPDCL MoD'!H19</f>
        <v>382.21902245183225</v>
      </c>
      <c r="H17" s="66">
        <f>'[33]TGNPDCL MoD'!I15+'[33]TGNPDCL MoD'!I16+'[33]TGNPDCL MoD'!I17+'[33]TGNPDCL MoD'!I18+'[33]TGNPDCL MoD'!I19</f>
        <v>410.29569975079517</v>
      </c>
      <c r="I17" s="66">
        <f>'[33]TGNPDCL MoD'!J15+'[33]TGNPDCL MoD'!J16+'[33]TGNPDCL MoD'!J17+'[33]TGNPDCL MoD'!J18+'[33]TGNPDCL MoD'!J19</f>
        <v>582.78534929952093</v>
      </c>
      <c r="J17" s="66">
        <f>'[33]TGNPDCL MoD'!K15+'[33]TGNPDCL MoD'!K16+'[33]TGNPDCL MoD'!K17+'[33]TGNPDCL MoD'!K18+'[33]TGNPDCL MoD'!K19</f>
        <v>655.72468139375974</v>
      </c>
      <c r="K17" s="66">
        <f>'[33]TGNPDCL MoD'!L15+'[33]TGNPDCL MoD'!L16+'[33]TGNPDCL MoD'!L17+'[33]TGNPDCL MoD'!L18+'[33]TGNPDCL MoD'!L19</f>
        <v>593.40490993347316</v>
      </c>
      <c r="L17" s="66">
        <f>'[33]TGNPDCL MoD'!M15+'[33]TGNPDCL MoD'!M16+'[33]TGNPDCL MoD'!M17+'[33]TGNPDCL MoD'!M18+'[33]TGNPDCL MoD'!M19</f>
        <v>514.27147310805435</v>
      </c>
      <c r="M17" s="66">
        <f>'[33]TGNPDCL MoD'!N15+'[33]TGNPDCL MoD'!N16+'[33]TGNPDCL MoD'!N17+'[33]TGNPDCL MoD'!N18+'[33]TGNPDCL MoD'!N19</f>
        <v>595.82952092744745</v>
      </c>
      <c r="N17" s="66">
        <f>'[33]TGNPDCL MoD'!O15+'[33]TGNPDCL MoD'!O16+'[33]TGNPDCL MoD'!O17+'[33]TGNPDCL MoD'!O18+'[33]TGNPDCL MoD'!O19</f>
        <v>657.46636733110245</v>
      </c>
      <c r="O17" s="66">
        <f>'[33]TGNPDCL MoD'!P15+'[33]TGNPDCL MoD'!P16+'[33]TGNPDCL MoD'!P17+'[33]TGNPDCL MoD'!P18+'[33]TGNPDCL MoD'!P19</f>
        <v>603.92417580769074</v>
      </c>
      <c r="P17" s="66">
        <f>'[33]TGNPDCL MoD'!Q15+'[33]TGNPDCL MoD'!Q16+'[33]TGNPDCL MoD'!Q17+'[33]TGNPDCL MoD'!Q18+'[33]TGNPDCL MoD'!Q19</f>
        <v>721.83706593730221</v>
      </c>
      <c r="Q17" s="291">
        <f t="shared" si="0"/>
        <v>6758.9653290457754</v>
      </c>
    </row>
    <row r="18" spans="2:18" x14ac:dyDescent="0.25">
      <c r="B18" s="60"/>
      <c r="C18" s="834"/>
      <c r="D18" s="59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291"/>
    </row>
    <row r="19" spans="2:18" x14ac:dyDescent="0.25">
      <c r="B19" s="60"/>
      <c r="C19" s="834"/>
      <c r="D19" s="59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291"/>
    </row>
    <row r="20" spans="2:18" x14ac:dyDescent="0.25">
      <c r="B20" s="60"/>
      <c r="C20" s="834"/>
      <c r="D20" s="59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291"/>
    </row>
    <row r="21" spans="2:18" x14ac:dyDescent="0.25">
      <c r="B21" s="60"/>
      <c r="C21" s="834"/>
      <c r="D21" s="59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291"/>
    </row>
    <row r="22" spans="2:18" x14ac:dyDescent="0.25">
      <c r="B22" s="60"/>
      <c r="C22" s="834"/>
      <c r="D22" s="59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291"/>
    </row>
    <row r="23" spans="2:18" x14ac:dyDescent="0.25">
      <c r="B23" s="60"/>
      <c r="C23" s="834"/>
      <c r="D23" s="59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291"/>
    </row>
    <row r="24" spans="2:18" x14ac:dyDescent="0.25">
      <c r="B24" s="60"/>
      <c r="C24" s="834"/>
      <c r="D24" s="59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291"/>
    </row>
    <row r="25" spans="2:18" x14ac:dyDescent="0.25">
      <c r="B25" s="60"/>
      <c r="C25" s="834"/>
      <c r="D25" s="59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291"/>
    </row>
    <row r="26" spans="2:18" x14ac:dyDescent="0.25">
      <c r="B26" s="60"/>
      <c r="C26" s="834"/>
      <c r="D26" s="59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291"/>
    </row>
    <row r="27" spans="2:18" x14ac:dyDescent="0.25">
      <c r="B27" s="60"/>
      <c r="C27" s="835"/>
      <c r="D27" s="59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291"/>
    </row>
    <row r="28" spans="2:18" x14ac:dyDescent="0.25">
      <c r="C28" s="751" t="s">
        <v>212</v>
      </c>
      <c r="D28" s="752"/>
      <c r="E28" s="291">
        <f t="shared" ref="E28:P28" si="1">SUM(E10:E27)</f>
        <v>1232.2328661224533</v>
      </c>
      <c r="F28" s="291">
        <f t="shared" si="1"/>
        <v>730.38601243629603</v>
      </c>
      <c r="G28" s="291">
        <f t="shared" si="1"/>
        <v>858.4954633377879</v>
      </c>
      <c r="H28" s="291">
        <f t="shared" si="1"/>
        <v>930.53676602547534</v>
      </c>
      <c r="I28" s="291">
        <f t="shared" si="1"/>
        <v>1021.8961503795631</v>
      </c>
      <c r="J28" s="291">
        <f t="shared" si="1"/>
        <v>1128.5347610168467</v>
      </c>
      <c r="K28" s="291">
        <f t="shared" si="1"/>
        <v>997.85578048984689</v>
      </c>
      <c r="L28" s="291">
        <f t="shared" si="1"/>
        <v>945.44699122207385</v>
      </c>
      <c r="M28" s="291">
        <f t="shared" si="1"/>
        <v>1096.2044266835862</v>
      </c>
      <c r="N28" s="291">
        <f t="shared" si="1"/>
        <v>1201.7116104555473</v>
      </c>
      <c r="O28" s="291">
        <f t="shared" si="1"/>
        <v>1129.2588860282644</v>
      </c>
      <c r="P28" s="291">
        <f t="shared" si="1"/>
        <v>1348.0777268300512</v>
      </c>
      <c r="Q28" s="323">
        <f>SUM(E28:P28)</f>
        <v>12620.637441027793</v>
      </c>
      <c r="R28" s="427"/>
    </row>
    <row r="29" spans="2:18" x14ac:dyDescent="0.25">
      <c r="C29" s="753" t="s">
        <v>359</v>
      </c>
      <c r="D29" s="754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</row>
    <row r="30" spans="2:18" x14ac:dyDescent="0.25">
      <c r="C30" s="805" t="s">
        <v>350</v>
      </c>
      <c r="D30" s="17" t="s">
        <v>360</v>
      </c>
      <c r="E30" s="66">
        <f>SUM('[33]TGNPDCL MoD'!F81:F86)</f>
        <v>5.7004370762393624</v>
      </c>
      <c r="F30" s="66">
        <f>SUM('[33]TGNPDCL MoD'!G81:G86)</f>
        <v>6.1084081447289105</v>
      </c>
      <c r="G30" s="66">
        <f>SUM('[33]TGNPDCL MoD'!H81:H86)</f>
        <v>6.3286066331471797</v>
      </c>
      <c r="H30" s="66">
        <f>SUM('[33]TGNPDCL MoD'!I81:I86)</f>
        <v>13.835763867211057</v>
      </c>
      <c r="I30" s="66">
        <f>SUM('[33]TGNPDCL MoD'!J81:J86)</f>
        <v>32.483847826681092</v>
      </c>
      <c r="J30" s="66">
        <f>SUM('[33]TGNPDCL MoD'!K81:K86)</f>
        <v>16.40649903796351</v>
      </c>
      <c r="K30" s="66">
        <f>SUM('[33]TGNPDCL MoD'!L81:L86)</f>
        <v>18.084112025119161</v>
      </c>
      <c r="L30" s="66">
        <f>SUM('[33]TGNPDCL MoD'!M81:M86)</f>
        <v>6.2024766316900024</v>
      </c>
      <c r="M30" s="66">
        <f>SUM('[33]TGNPDCL MoD'!N81:N86)</f>
        <v>10.640379612849198</v>
      </c>
      <c r="N30" s="66">
        <f>SUM('[33]TGNPDCL MoD'!O81:O86)</f>
        <v>20.303308016827735</v>
      </c>
      <c r="O30" s="66">
        <f>SUM('[33]TGNPDCL MoD'!P81:P86)</f>
        <v>18.234640409837617</v>
      </c>
      <c r="P30" s="66">
        <f>SUM('[33]TGNPDCL MoD'!Q81:Q86)</f>
        <v>8.4700415486702987</v>
      </c>
      <c r="Q30" s="291">
        <f t="shared" ref="Q30:Q40" si="2">SUM(E30:P30)</f>
        <v>162.79852083096515</v>
      </c>
    </row>
    <row r="31" spans="2:18" x14ac:dyDescent="0.25">
      <c r="C31" s="806"/>
      <c r="D31" s="17" t="s">
        <v>361</v>
      </c>
      <c r="E31" s="66">
        <f>SUM('[33]TGNPDCL MoD'!F59:F66)</f>
        <v>19.868702903336853</v>
      </c>
      <c r="F31" s="66">
        <f>SUM('[33]TGNPDCL MoD'!G59:G66)</f>
        <v>21.290673858294443</v>
      </c>
      <c r="G31" s="66">
        <f>SUM('[33]TGNPDCL MoD'!H59:H66)</f>
        <v>22.058169102542049</v>
      </c>
      <c r="H31" s="66">
        <f>SUM('[33]TGNPDCL MoD'!I59:I66)</f>
        <v>48.224141068792036</v>
      </c>
      <c r="I31" s="66">
        <f>SUM('[33]TGNPDCL MoD'!J59:J66)</f>
        <v>113.22147986085938</v>
      </c>
      <c r="J31" s="66">
        <f>SUM('[33]TGNPDCL MoD'!K59:K66)</f>
        <v>57.184361604115537</v>
      </c>
      <c r="K31" s="66">
        <f>SUM('[33]TGNPDCL MoD'!L59:L66)</f>
        <v>63.031631485842681</v>
      </c>
      <c r="L31" s="66">
        <f>SUM('[33]TGNPDCL MoD'!M59:M66)</f>
        <v>21.618546755582763</v>
      </c>
      <c r="M31" s="66">
        <f>SUM('[33]TGNPDCL MoD'!N59:N66)</f>
        <v>37.086724838631639</v>
      </c>
      <c r="N31" s="66">
        <f>SUM('[33]TGNPDCL MoD'!O59:O66)</f>
        <v>70.766572728738055</v>
      </c>
      <c r="O31" s="66">
        <f>SUM('[33]TGNPDCL MoD'!P59:P66)</f>
        <v>63.556293667793</v>
      </c>
      <c r="P31" s="66">
        <f>SUM('[33]TGNPDCL MoD'!Q59:Q66)</f>
        <v>29.522076440579042</v>
      </c>
      <c r="Q31" s="291">
        <f t="shared" si="2"/>
        <v>567.42937431510745</v>
      </c>
    </row>
    <row r="32" spans="2:18" x14ac:dyDescent="0.25">
      <c r="C32" s="806"/>
      <c r="D32" s="17" t="s">
        <v>362</v>
      </c>
      <c r="E32" s="66">
        <f>SUM('[33]TGNPDCL MoD'!F67:F72)</f>
        <v>21.924757985536012</v>
      </c>
      <c r="F32" s="66">
        <f>SUM('[33]TGNPDCL MoD'!G67:G72)</f>
        <v>23.493877479726585</v>
      </c>
      <c r="G32" s="66">
        <f>SUM('[33]TGNPDCL MoD'!H67:H72)</f>
        <v>24.340794742873776</v>
      </c>
      <c r="H32" s="66">
        <f>SUM('[33]TGNPDCL MoD'!I67:I72)</f>
        <v>53.214476412350209</v>
      </c>
      <c r="I32" s="66">
        <f>SUM('[33]TGNPDCL MoD'!J67:J72)</f>
        <v>124.93787625646576</v>
      </c>
      <c r="J32" s="66">
        <f>SUM('[33]TGNPDCL MoD'!K67:K72)</f>
        <v>63.101919376782732</v>
      </c>
      <c r="K32" s="66">
        <f>SUM('[33]TGNPDCL MoD'!L67:L72)</f>
        <v>69.554277019689081</v>
      </c>
      <c r="L32" s="66">
        <f>SUM('[33]TGNPDCL MoD'!M67:M72)</f>
        <v>23.855679352653858</v>
      </c>
      <c r="M32" s="66">
        <f>SUM('[33]TGNPDCL MoD'!N67:N72)</f>
        <v>40.924536972496909</v>
      </c>
      <c r="N32" s="66">
        <f>SUM('[33]TGNPDCL MoD'!O67:O72)</f>
        <v>78.089646218568234</v>
      </c>
      <c r="O32" s="66">
        <f>SUM('[33]TGNPDCL MoD'!P67:P72)</f>
        <v>70.133232345529279</v>
      </c>
      <c r="P32" s="66">
        <f>SUM('[33]TGNPDCL MoD'!Q67:Q72)</f>
        <v>32.577082879501141</v>
      </c>
      <c r="Q32" s="291">
        <f t="shared" si="2"/>
        <v>626.14815704217358</v>
      </c>
    </row>
    <row r="33" spans="3:18" x14ac:dyDescent="0.25">
      <c r="C33" s="806"/>
      <c r="D33" s="17" t="s">
        <v>363</v>
      </c>
      <c r="E33" s="66">
        <f>SUM('[33]TGNPDCL MoD'!F87:F92)</f>
        <v>5.8466021294762687</v>
      </c>
      <c r="F33" s="66">
        <f>SUM('[33]TGNPDCL MoD'!G87:G92)</f>
        <v>6.2650339945937574</v>
      </c>
      <c r="G33" s="66">
        <f>SUM('[33]TGNPDCL MoD'!H87:H92)</f>
        <v>6.4908785980996733</v>
      </c>
      <c r="H33" s="66">
        <f>SUM('[33]TGNPDCL MoD'!I87:I92)</f>
        <v>14.190527043293393</v>
      </c>
      <c r="I33" s="66">
        <f>SUM('[33]TGNPDCL MoD'!J87:J92)</f>
        <v>33.316767001724209</v>
      </c>
      <c r="J33" s="66">
        <f>SUM('[33]TGNPDCL MoD'!K87:K92)</f>
        <v>16.827178500475394</v>
      </c>
      <c r="K33" s="66">
        <f>SUM('[33]TGNPDCL MoD'!L87:L92)</f>
        <v>18.547807205250425</v>
      </c>
      <c r="L33" s="66">
        <f>SUM('[33]TGNPDCL MoD'!M87:M92)</f>
        <v>6.3615144940410282</v>
      </c>
      <c r="M33" s="66">
        <f>SUM('[33]TGNPDCL MoD'!N87:N92)</f>
        <v>10.913209859332515</v>
      </c>
      <c r="N33" s="66">
        <f>SUM('[33]TGNPDCL MoD'!O87:O92)</f>
        <v>20.823905658284865</v>
      </c>
      <c r="O33" s="66">
        <f>SUM('[33]TGNPDCL MoD'!P87:P92)</f>
        <v>18.702195292141145</v>
      </c>
      <c r="P33" s="66">
        <f>SUM('[33]TGNPDCL MoD'!Q87:Q92)</f>
        <v>8.687222101200307</v>
      </c>
      <c r="Q33" s="291">
        <f t="shared" si="2"/>
        <v>166.972841877913</v>
      </c>
    </row>
    <row r="34" spans="3:18" x14ac:dyDescent="0.25">
      <c r="C34" s="806"/>
      <c r="D34" s="17" t="s">
        <v>364</v>
      </c>
      <c r="E34" s="66">
        <f>SUM('[33]TGNPDCL MoD'!F93:F96)</f>
        <v>2.9233010647381334</v>
      </c>
      <c r="F34" s="66">
        <f>SUM('[33]TGNPDCL MoD'!G93:G96)</f>
        <v>3.1325169972968778</v>
      </c>
      <c r="G34" s="66">
        <f>SUM('[33]TGNPDCL MoD'!H93:H96)</f>
        <v>3.2454392990498366</v>
      </c>
      <c r="H34" s="66">
        <f>SUM('[33]TGNPDCL MoD'!I93:I96)</f>
        <v>7.0952635216466966</v>
      </c>
      <c r="I34" s="66">
        <f>SUM('[33]TGNPDCL MoD'!J93:J96)</f>
        <v>16.658383500862101</v>
      </c>
      <c r="J34" s="66">
        <f>SUM('[33]TGNPDCL MoD'!K93:K96)</f>
        <v>8.4135892502376954</v>
      </c>
      <c r="K34" s="66">
        <f>SUM('[33]TGNPDCL MoD'!L93:L96)</f>
        <v>9.2739036026252109</v>
      </c>
      <c r="L34" s="66">
        <f>SUM('[33]TGNPDCL MoD'!M93:M96)</f>
        <v>3.1807572470205141</v>
      </c>
      <c r="M34" s="66">
        <f>SUM('[33]TGNPDCL MoD'!N93:N96)</f>
        <v>5.4566049296662555</v>
      </c>
      <c r="N34" s="66">
        <f>SUM('[33]TGNPDCL MoD'!O93:O96)</f>
        <v>10.411952829142429</v>
      </c>
      <c r="O34" s="66">
        <f>SUM('[33]TGNPDCL MoD'!P93:P96)</f>
        <v>9.3510976460705741</v>
      </c>
      <c r="P34" s="66">
        <f>SUM('[33]TGNPDCL MoD'!Q93:Q96)</f>
        <v>4.3436110506001526</v>
      </c>
      <c r="Q34" s="291">
        <f t="shared" si="2"/>
        <v>83.486420938956485</v>
      </c>
    </row>
    <row r="35" spans="3:18" x14ac:dyDescent="0.25">
      <c r="C35" s="806"/>
      <c r="D35" s="17" t="s">
        <v>365</v>
      </c>
      <c r="E35" s="66">
        <f>SUM('[33]TGNPDCL MoD'!F77:F78)</f>
        <v>0.43849515971072006</v>
      </c>
      <c r="F35" s="66">
        <f>SUM('[33]TGNPDCL MoD'!G77:G78)</f>
        <v>0.46987754959453176</v>
      </c>
      <c r="G35" s="66">
        <f>SUM('[33]TGNPDCL MoD'!H77:H78)</f>
        <v>0.48681589485747545</v>
      </c>
      <c r="H35" s="66">
        <f>SUM('[33]TGNPDCL MoD'!I77:I78)</f>
        <v>1.0642895282470044</v>
      </c>
      <c r="I35" s="66">
        <f>SUM('[33]TGNPDCL MoD'!J77:J78)</f>
        <v>2.4987575251293155</v>
      </c>
      <c r="J35" s="66">
        <f>SUM('[33]TGNPDCL MoD'!K77:K78)</f>
        <v>1.2620383875356547</v>
      </c>
      <c r="K35" s="66">
        <f>SUM('[33]TGNPDCL MoD'!L77:L78)</f>
        <v>1.3910855403937816</v>
      </c>
      <c r="L35" s="66">
        <f>SUM('[33]TGNPDCL MoD'!M77:M78)</f>
        <v>0.47711358705307716</v>
      </c>
      <c r="M35" s="66">
        <f>SUM('[33]TGNPDCL MoD'!N77:N78)</f>
        <v>0.81849073944993833</v>
      </c>
      <c r="N35" s="66">
        <f>SUM('[33]TGNPDCL MoD'!O77:O78)</f>
        <v>1.5617929243713649</v>
      </c>
      <c r="O35" s="66">
        <f>SUM('[33]TGNPDCL MoD'!P77:P78)</f>
        <v>1.4026646469105857</v>
      </c>
      <c r="P35" s="66">
        <f>SUM('[33]TGNPDCL MoD'!Q77:Q78)</f>
        <v>0.6515416575900228</v>
      </c>
      <c r="Q35" s="291">
        <f t="shared" si="2"/>
        <v>12.522963140843471</v>
      </c>
    </row>
    <row r="36" spans="3:18" x14ac:dyDescent="0.25">
      <c r="C36" s="806"/>
      <c r="D36" s="17" t="s">
        <v>366</v>
      </c>
      <c r="E36" s="66">
        <f>SUM('[33]TGNPDCL MoD'!F73:F74)</f>
        <v>1.4616505323690667</v>
      </c>
      <c r="F36" s="66">
        <f>SUM('[33]TGNPDCL MoD'!G73:G74)</f>
        <v>1.5662584986484389</v>
      </c>
      <c r="G36" s="66">
        <f>SUM('[33]TGNPDCL MoD'!H73:H74)</f>
        <v>1.6227196495249183</v>
      </c>
      <c r="H36" s="66">
        <f>SUM('[33]TGNPDCL MoD'!I73:I74)</f>
        <v>3.5476317608233483</v>
      </c>
      <c r="I36" s="66">
        <f>SUM('[33]TGNPDCL MoD'!J73:J74)</f>
        <v>8.3291917504310504</v>
      </c>
      <c r="J36" s="66">
        <f>SUM('[33]TGNPDCL MoD'!K73:K74)</f>
        <v>4.2067946251188477</v>
      </c>
      <c r="K36" s="66">
        <f>SUM('[33]TGNPDCL MoD'!L73:L74)</f>
        <v>4.6369518013126054</v>
      </c>
      <c r="L36" s="66">
        <f>SUM('[33]TGNPDCL MoD'!M73:M74)</f>
        <v>1.5903786235102571</v>
      </c>
      <c r="M36" s="66">
        <f>SUM('[33]TGNPDCL MoD'!N73:N74)</f>
        <v>2.7283024648331278</v>
      </c>
      <c r="N36" s="66">
        <f>SUM('[33]TGNPDCL MoD'!O73:O74)</f>
        <v>5.2059764145712144</v>
      </c>
      <c r="O36" s="66">
        <f>SUM('[33]TGNPDCL MoD'!P73:P74)</f>
        <v>4.6755488230352871</v>
      </c>
      <c r="P36" s="66">
        <f>SUM('[33]TGNPDCL MoD'!Q73:Q74)</f>
        <v>2.1718055253000763</v>
      </c>
      <c r="Q36" s="291">
        <f t="shared" si="2"/>
        <v>41.743210469478242</v>
      </c>
    </row>
    <row r="37" spans="3:18" x14ac:dyDescent="0.25">
      <c r="C37" s="806"/>
      <c r="D37" s="17" t="s">
        <v>367</v>
      </c>
      <c r="E37" s="66">
        <f>SUM('[33]TGNPDCL MoD'!F79+'[33]TGNPDCL MoD'!F80)</f>
        <v>0.36541263309226668</v>
      </c>
      <c r="F37" s="66">
        <f>SUM('[33]TGNPDCL MoD'!G79+'[33]TGNPDCL MoD'!G80)</f>
        <v>0.39156462466210973</v>
      </c>
      <c r="G37" s="66">
        <f>SUM('[33]TGNPDCL MoD'!H79+'[33]TGNPDCL MoD'!H80)</f>
        <v>0.40567991238122958</v>
      </c>
      <c r="H37" s="66">
        <f>SUM('[33]TGNPDCL MoD'!I79+'[33]TGNPDCL MoD'!I80)</f>
        <v>0.88690794020583708</v>
      </c>
      <c r="I37" s="66">
        <f>SUM('[33]TGNPDCL MoD'!J79+'[33]TGNPDCL MoD'!J80)</f>
        <v>2.0822979376077626</v>
      </c>
      <c r="J37" s="66">
        <f>SUM('[33]TGNPDCL MoD'!K79+'[33]TGNPDCL MoD'!K80)</f>
        <v>1.0516986562797119</v>
      </c>
      <c r="K37" s="66">
        <f>SUM('[33]TGNPDCL MoD'!L79+'[33]TGNPDCL MoD'!L80)</f>
        <v>1.1592379503281514</v>
      </c>
      <c r="L37" s="66">
        <f>SUM('[33]TGNPDCL MoD'!M79+'[33]TGNPDCL MoD'!M80)</f>
        <v>0.39759465587756426</v>
      </c>
      <c r="M37" s="66">
        <f>SUM('[33]TGNPDCL MoD'!N79+'[33]TGNPDCL MoD'!N80)</f>
        <v>0.68207561620828194</v>
      </c>
      <c r="N37" s="66">
        <f>SUM('[33]TGNPDCL MoD'!O79+'[33]TGNPDCL MoD'!O80)</f>
        <v>1.3014941036428036</v>
      </c>
      <c r="O37" s="66">
        <f>SUM('[33]TGNPDCL MoD'!P79+'[33]TGNPDCL MoD'!P80)</f>
        <v>1.1688872057588218</v>
      </c>
      <c r="P37" s="66">
        <f>SUM('[33]TGNPDCL MoD'!Q79+'[33]TGNPDCL MoD'!Q80)</f>
        <v>0.54295138132501908</v>
      </c>
      <c r="Q37" s="291">
        <f t="shared" si="2"/>
        <v>10.435802617369561</v>
      </c>
    </row>
    <row r="38" spans="3:18" x14ac:dyDescent="0.25">
      <c r="C38" s="806"/>
      <c r="D38" s="126" t="s">
        <v>448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291">
        <f t="shared" si="2"/>
        <v>0</v>
      </c>
    </row>
    <row r="39" spans="3:18" x14ac:dyDescent="0.25">
      <c r="C39" s="806"/>
      <c r="D39" s="126" t="s">
        <v>449</v>
      </c>
      <c r="E39" s="66">
        <f>SUM('[33]TGNPDCL MoD'!F75:F76)</f>
        <v>0.43849515971072006</v>
      </c>
      <c r="F39" s="66">
        <f>SUM('[33]TGNPDCL MoD'!G75:G76)</f>
        <v>0.46987754959453176</v>
      </c>
      <c r="G39" s="66">
        <f>SUM('[33]TGNPDCL MoD'!H75:H76)</f>
        <v>0.48681589485747545</v>
      </c>
      <c r="H39" s="66">
        <f>SUM('[33]TGNPDCL MoD'!I75:I76)</f>
        <v>1.0642895282470044</v>
      </c>
      <c r="I39" s="66">
        <f>SUM('[33]TGNPDCL MoD'!J75:J76)</f>
        <v>2.4987575251293155</v>
      </c>
      <c r="J39" s="66">
        <f>SUM('[33]TGNPDCL MoD'!K75:K76)</f>
        <v>1.2620383875356547</v>
      </c>
      <c r="K39" s="66">
        <f>SUM('[33]TGNPDCL MoD'!L75:L76)</f>
        <v>1.3910855403937816</v>
      </c>
      <c r="L39" s="66">
        <f>SUM('[33]TGNPDCL MoD'!M75:M76)</f>
        <v>0.47711358705307716</v>
      </c>
      <c r="M39" s="66">
        <f>SUM('[33]TGNPDCL MoD'!N75:N76)</f>
        <v>0.81849073944993833</v>
      </c>
      <c r="N39" s="66">
        <f>SUM('[33]TGNPDCL MoD'!O75:O76)</f>
        <v>1.5617929243713649</v>
      </c>
      <c r="O39" s="66">
        <f>SUM('[33]TGNPDCL MoD'!P75:P76)</f>
        <v>1.4026646469105857</v>
      </c>
      <c r="P39" s="66">
        <f>SUM('[33]TGNPDCL MoD'!Q75:Q76)</f>
        <v>0.6515416575900228</v>
      </c>
      <c r="Q39" s="291">
        <f t="shared" si="2"/>
        <v>12.522963140843471</v>
      </c>
    </row>
    <row r="40" spans="3:18" x14ac:dyDescent="0.25">
      <c r="C40" s="806"/>
      <c r="D40" s="126" t="s">
        <v>450</v>
      </c>
      <c r="E40" s="66">
        <f>SUM('[33]TGNPDCL MoD'!F57:F58)</f>
        <v>0.24360842206151123</v>
      </c>
      <c r="F40" s="66">
        <f>SUM('[33]TGNPDCL MoD'!G57:G58)</f>
        <v>0.26104308310807323</v>
      </c>
      <c r="G40" s="66">
        <f>SUM('[33]TGNPDCL MoD'!H57:H58)</f>
        <v>0.27045327492081972</v>
      </c>
      <c r="H40" s="66">
        <f>SUM('[33]TGNPDCL MoD'!I57:I58)</f>
        <v>0.59127196013722472</v>
      </c>
      <c r="I40" s="66">
        <f>SUM('[33]TGNPDCL MoD'!J57:J58)</f>
        <v>1.3881986250718419</v>
      </c>
      <c r="J40" s="66">
        <f>SUM('[33]TGNPDCL MoD'!K57:K58)</f>
        <v>0.70113243751980803</v>
      </c>
      <c r="K40" s="66">
        <f>SUM('[33]TGNPDCL MoD'!L57:L58)</f>
        <v>0.77282530021876772</v>
      </c>
      <c r="L40" s="66">
        <f>SUM('[33]TGNPDCL MoD'!M57:M58)</f>
        <v>0.26506310391837618</v>
      </c>
      <c r="M40" s="66">
        <f>SUM('[33]TGNPDCL MoD'!N57:N58)</f>
        <v>0.45471707747218804</v>
      </c>
      <c r="N40" s="66">
        <f>SUM('[33]TGNPDCL MoD'!O57:O58)</f>
        <v>0.86766273576186936</v>
      </c>
      <c r="O40" s="66">
        <f>SUM('[33]TGNPDCL MoD'!P57:P58)</f>
        <v>0.77925813717254777</v>
      </c>
      <c r="P40" s="66">
        <f>SUM('[33]TGNPDCL MoD'!Q57:Q58)</f>
        <v>0.36196758755001279</v>
      </c>
      <c r="Q40" s="291">
        <f t="shared" si="2"/>
        <v>6.9572017449130401</v>
      </c>
    </row>
    <row r="41" spans="3:18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</row>
    <row r="42" spans="3:18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</row>
    <row r="43" spans="3:18" x14ac:dyDescent="0.25">
      <c r="C43" s="806"/>
      <c r="D43" s="17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17"/>
    </row>
    <row r="44" spans="3:18" x14ac:dyDescent="0.25">
      <c r="C44" s="806"/>
      <c r="D44" s="17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17"/>
    </row>
    <row r="45" spans="3:18" x14ac:dyDescent="0.25">
      <c r="C45" s="806"/>
      <c r="D45" s="17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17"/>
    </row>
    <row r="46" spans="3:18" x14ac:dyDescent="0.25">
      <c r="C46" s="806"/>
      <c r="D46" s="17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17"/>
    </row>
    <row r="47" spans="3:18" x14ac:dyDescent="0.25">
      <c r="C47" s="807"/>
      <c r="D47" s="107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17"/>
    </row>
    <row r="48" spans="3:18" x14ac:dyDescent="0.25">
      <c r="C48" s="751" t="s">
        <v>212</v>
      </c>
      <c r="D48" s="752"/>
      <c r="E48" s="291">
        <f t="shared" ref="E48:P48" si="3">SUM(E30:E47)</f>
        <v>59.211463066270909</v>
      </c>
      <c r="F48" s="291">
        <f t="shared" si="3"/>
        <v>63.449131780248244</v>
      </c>
      <c r="G48" s="291">
        <f t="shared" si="3"/>
        <v>65.736373002254439</v>
      </c>
      <c r="H48" s="291">
        <f t="shared" si="3"/>
        <v>143.71456263095382</v>
      </c>
      <c r="I48" s="291">
        <f t="shared" si="3"/>
        <v>337.41555780996174</v>
      </c>
      <c r="J48" s="291">
        <f t="shared" si="3"/>
        <v>170.41725026356454</v>
      </c>
      <c r="K48" s="291">
        <f t="shared" si="3"/>
        <v>187.84291747117362</v>
      </c>
      <c r="L48" s="291">
        <f t="shared" si="3"/>
        <v>64.426238038400527</v>
      </c>
      <c r="M48" s="291">
        <f t="shared" si="3"/>
        <v>110.52353285038998</v>
      </c>
      <c r="N48" s="291">
        <f t="shared" si="3"/>
        <v>210.89410455427995</v>
      </c>
      <c r="O48" s="291">
        <f t="shared" si="3"/>
        <v>189.40648282115944</v>
      </c>
      <c r="P48" s="291">
        <f t="shared" si="3"/>
        <v>87.979841829906078</v>
      </c>
      <c r="Q48" s="323">
        <f>SUM(E48:P48)</f>
        <v>1691.0174561185631</v>
      </c>
      <c r="R48" s="427"/>
    </row>
    <row r="49" spans="3:18" x14ac:dyDescent="0.25">
      <c r="C49" s="753" t="s">
        <v>368</v>
      </c>
      <c r="D49" s="754"/>
      <c r="E49" s="291">
        <f t="shared" ref="E49:Q49" si="4">E28+E48</f>
        <v>1291.4443291887242</v>
      </c>
      <c r="F49" s="291">
        <f t="shared" si="4"/>
        <v>793.83514421654422</v>
      </c>
      <c r="G49" s="291">
        <f t="shared" si="4"/>
        <v>924.23183634004238</v>
      </c>
      <c r="H49" s="291">
        <f t="shared" si="4"/>
        <v>1074.2513286564292</v>
      </c>
      <c r="I49" s="291">
        <f t="shared" si="4"/>
        <v>1359.3117081895248</v>
      </c>
      <c r="J49" s="291">
        <f t="shared" si="4"/>
        <v>1298.9520112804112</v>
      </c>
      <c r="K49" s="291">
        <f t="shared" si="4"/>
        <v>1185.6986979610206</v>
      </c>
      <c r="L49" s="291">
        <f t="shared" si="4"/>
        <v>1009.8732292604743</v>
      </c>
      <c r="M49" s="291">
        <f t="shared" si="4"/>
        <v>1206.7279595339762</v>
      </c>
      <c r="N49" s="291">
        <f t="shared" si="4"/>
        <v>1412.6057150098272</v>
      </c>
      <c r="O49" s="291">
        <f t="shared" si="4"/>
        <v>1318.6653688494239</v>
      </c>
      <c r="P49" s="291">
        <f t="shared" si="4"/>
        <v>1436.0575686599573</v>
      </c>
      <c r="Q49" s="323">
        <f t="shared" si="4"/>
        <v>14311.654897146356</v>
      </c>
      <c r="R49" s="427"/>
    </row>
    <row r="50" spans="3:18" x14ac:dyDescent="0.25">
      <c r="C50" s="800" t="s">
        <v>369</v>
      </c>
      <c r="D50" s="801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</row>
    <row r="51" spans="3:18" x14ac:dyDescent="0.25">
      <c r="C51" s="753" t="s">
        <v>349</v>
      </c>
      <c r="D51" s="754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</row>
    <row r="52" spans="3:18" x14ac:dyDescent="0.25">
      <c r="C52" s="805" t="s">
        <v>370</v>
      </c>
      <c r="D52" s="322" t="s">
        <v>371</v>
      </c>
      <c r="E52" s="66">
        <f>SUM('[33]TGNPDCL MoD'!F25:F30)</f>
        <v>38.907466972224718</v>
      </c>
      <c r="F52" s="66">
        <f>SUM('[33]TGNPDCL MoD'!G25:G30)</f>
        <v>52.093994456928598</v>
      </c>
      <c r="G52" s="66">
        <f>SUM('[33]TGNPDCL MoD'!H25:H30)</f>
        <v>52.921679491631892</v>
      </c>
      <c r="H52" s="66">
        <f>SUM('[33]TGNPDCL MoD'!I25:I30)</f>
        <v>38.37558541351045</v>
      </c>
      <c r="I52" s="66">
        <f>SUM('[33]TGNPDCL MoD'!J25:J30)</f>
        <v>33.433459129073668</v>
      </c>
      <c r="J52" s="66">
        <f>SUM('[33]TGNPDCL MoD'!K25:K30)</f>
        <v>34.9258003280083</v>
      </c>
      <c r="K52" s="66">
        <f>SUM('[33]TGNPDCL MoD'!L25:L30)</f>
        <v>33.433459129073668</v>
      </c>
      <c r="L52" s="66">
        <f>SUM('[33]TGNPDCL MoD'!M25:M30)</f>
        <v>48.004316893550865</v>
      </c>
      <c r="M52" s="66">
        <f>SUM('[33]TGNPDCL MoD'!N25:N30)</f>
        <v>29.866870186541515</v>
      </c>
      <c r="N52" s="66">
        <f>SUM('[33]TGNPDCL MoD'!O25:O30)</f>
        <v>31.34758359507568</v>
      </c>
      <c r="O52" s="66">
        <f>SUM('[33]TGNPDCL MoD'!P25:P30)</f>
        <v>40.205427594827555</v>
      </c>
      <c r="P52" s="66">
        <f>SUM('[33]TGNPDCL MoD'!Q25:Q30)</f>
        <v>48.044399116682392</v>
      </c>
      <c r="Q52" s="291">
        <f t="shared" ref="Q52:Q68" si="5">SUM(E52:P52)</f>
        <v>481.56004230712927</v>
      </c>
    </row>
    <row r="53" spans="3:18" x14ac:dyDescent="0.25">
      <c r="C53" s="806"/>
      <c r="D53" s="322" t="s">
        <v>372</v>
      </c>
      <c r="E53" s="66">
        <f>'[33]TGNPDCL MoD'!F31</f>
        <v>11.273402873763541</v>
      </c>
      <c r="F53" s="66">
        <f>'[33]TGNPDCL MoD'!G31</f>
        <v>13.776425077039697</v>
      </c>
      <c r="G53" s="66">
        <f>'[33]TGNPDCL MoD'!H31</f>
        <v>13.332024268102934</v>
      </c>
      <c r="H53" s="66">
        <f>'[33]TGNPDCL MoD'!I31</f>
        <v>0</v>
      </c>
      <c r="I53" s="66">
        <f>'[33]TGNPDCL MoD'!J31</f>
        <v>4.4570787013951918</v>
      </c>
      <c r="J53" s="66">
        <f>'[33]TGNPDCL MoD'!K31</f>
        <v>9.2147814794240794</v>
      </c>
      <c r="K53" s="66">
        <f>'[33]TGNPDCL MoD'!L31</f>
        <v>8.9141574027903836</v>
      </c>
      <c r="L53" s="66">
        <f>'[33]TGNPDCL MoD'!M31</f>
        <v>12.743846726863097</v>
      </c>
      <c r="M53" s="66">
        <f>'[33]TGNPDCL MoD'!N31</f>
        <v>11.041399510274456</v>
      </c>
      <c r="N53" s="66">
        <f>'[33]TGNPDCL MoD'!O31</f>
        <v>11.34529123991507</v>
      </c>
      <c r="O53" s="66">
        <f>'[33]TGNPDCL MoD'!P31</f>
        <v>10.796325534757898</v>
      </c>
      <c r="P53" s="66">
        <f>'[33]TGNPDCL MoD'!Q31</f>
        <v>12.256966428836829</v>
      </c>
      <c r="Q53" s="291">
        <f t="shared" si="5"/>
        <v>119.15169924316318</v>
      </c>
    </row>
    <row r="54" spans="3:18" x14ac:dyDescent="0.25">
      <c r="C54" s="806"/>
      <c r="D54" s="322" t="s">
        <v>373</v>
      </c>
      <c r="E54" s="66">
        <f>SUM('[33]TGNPDCL MoD'!F42:F45)</f>
        <v>35.674511037355515</v>
      </c>
      <c r="F54" s="66">
        <f>SUM('[33]TGNPDCL MoD'!G42:G45)</f>
        <v>35.369188645594363</v>
      </c>
      <c r="G54" s="66">
        <f>SUM('[33]TGNPDCL MoD'!H42:H45)</f>
        <v>34.951379056868575</v>
      </c>
      <c r="H54" s="66">
        <f>SUM('[33]TGNPDCL MoD'!I42:I45)</f>
        <v>37.610897785103859</v>
      </c>
      <c r="I54" s="66">
        <f>SUM('[33]TGNPDCL MoD'!J42:J45)</f>
        <v>33.874715885921361</v>
      </c>
      <c r="J54" s="66">
        <f>SUM('[33]TGNPDCL MoD'!K42:K45)</f>
        <v>38.277994195756605</v>
      </c>
      <c r="K54" s="66">
        <f>SUM('[33]TGNPDCL MoD'!L42:L45)</f>
        <v>35.369188645594363</v>
      </c>
      <c r="L54" s="66">
        <f>SUM('[33]TGNPDCL MoD'!M42:M45)</f>
        <v>26.213534292651431</v>
      </c>
      <c r="M54" s="66">
        <f>SUM('[33]TGNPDCL MoD'!N42:N45)</f>
        <v>23.039788378292101</v>
      </c>
      <c r="N54" s="66">
        <f>SUM('[33]TGNPDCL MoD'!O42:O45)</f>
        <v>32.255703729608939</v>
      </c>
      <c r="O54" s="66">
        <f>SUM('[33]TGNPDCL MoD'!P42:P45)</f>
        <v>33.633801281811742</v>
      </c>
      <c r="P54" s="66">
        <f>SUM('[33]TGNPDCL MoD'!Q42:Q45)</f>
        <v>39.852606924613355</v>
      </c>
      <c r="Q54" s="291">
        <f t="shared" si="5"/>
        <v>406.12330985917231</v>
      </c>
    </row>
    <row r="55" spans="3:18" x14ac:dyDescent="0.25">
      <c r="C55" s="806"/>
      <c r="D55" s="322" t="s">
        <v>374</v>
      </c>
      <c r="E55" s="66">
        <f>'[33]TGNPDCL MoD'!F40</f>
        <v>63.816560105528509</v>
      </c>
      <c r="F55" s="66">
        <f>'[33]TGNPDCL MoD'!G40</f>
        <v>80.41487223607021</v>
      </c>
      <c r="G55" s="66">
        <f>'[33]TGNPDCL MoD'!H40</f>
        <v>78.969950036494026</v>
      </c>
      <c r="H55" s="66">
        <f>'[33]TGNPDCL MoD'!I40</f>
        <v>53.579320255266651</v>
      </c>
      <c r="I55" s="66">
        <f>'[33]TGNPDCL MoD'!J40</f>
        <v>49.457834081784597</v>
      </c>
      <c r="J55" s="66">
        <f>'[33]TGNPDCL MoD'!K40</f>
        <v>51.850955085741916</v>
      </c>
      <c r="K55" s="66">
        <f>'[33]TGNPDCL MoD'!L40</f>
        <v>49.457834081784597</v>
      </c>
      <c r="L55" s="66">
        <f>'[33]TGNPDCL MoD'!M40</f>
        <v>0</v>
      </c>
      <c r="M55" s="66">
        <f>'[33]TGNPDCL MoD'!N40</f>
        <v>27.820031671003832</v>
      </c>
      <c r="N55" s="66">
        <f>'[33]TGNPDCL MoD'!O40</f>
        <v>55.640063342007664</v>
      </c>
      <c r="O55" s="66">
        <f>'[33]TGNPDCL MoD'!P40</f>
        <v>61.448680683414381</v>
      </c>
      <c r="P55" s="66">
        <f>'[33]TGNPDCL MoD'!Q40</f>
        <v>72.126008035935882</v>
      </c>
      <c r="Q55" s="291">
        <f t="shared" si="5"/>
        <v>644.58210961503232</v>
      </c>
    </row>
    <row r="56" spans="3:18" x14ac:dyDescent="0.25">
      <c r="C56" s="806"/>
      <c r="D56" s="322" t="s">
        <v>375</v>
      </c>
      <c r="E56" s="66">
        <f>'[33]TGNPDCL MoD'!F41</f>
        <v>30.386582525660828</v>
      </c>
      <c r="F56" s="66">
        <f>'[33]TGNPDCL MoD'!G41</f>
        <v>39.249335762311901</v>
      </c>
      <c r="G56" s="66">
        <f>'[33]TGNPDCL MoD'!H41</f>
        <v>0</v>
      </c>
      <c r="H56" s="66">
        <f>'[33]TGNPDCL MoD'!I41</f>
        <v>12.756034122751359</v>
      </c>
      <c r="I56" s="66">
        <f>'[33]TGNPDCL MoD'!J41</f>
        <v>23.549601457387141</v>
      </c>
      <c r="J56" s="66">
        <f>'[33]TGNPDCL MoD'!K41</f>
        <v>24.689098302099417</v>
      </c>
      <c r="K56" s="66">
        <f>'[33]TGNPDCL MoD'!L41</f>
        <v>23.549601457387141</v>
      </c>
      <c r="L56" s="66">
        <f>'[33]TGNPDCL MoD'!M41</f>
        <v>31.99163863431059</v>
      </c>
      <c r="M56" s="66">
        <f>'[33]TGNPDCL MoD'!N41</f>
        <v>26.493301639560528</v>
      </c>
      <c r="N56" s="66">
        <f>'[33]TGNPDCL MoD'!O41</f>
        <v>26.493301639560528</v>
      </c>
      <c r="O56" s="66">
        <f>'[33]TGNPDCL MoD'!P41</f>
        <v>30.133361004613647</v>
      </c>
      <c r="P56" s="66">
        <f>'[33]TGNPDCL MoD'!Q41</f>
        <v>34.343168792022908</v>
      </c>
      <c r="Q56" s="291">
        <f t="shared" si="5"/>
        <v>303.63502533766598</v>
      </c>
    </row>
    <row r="57" spans="3:18" x14ac:dyDescent="0.25">
      <c r="C57" s="806"/>
      <c r="D57" s="322" t="s">
        <v>376</v>
      </c>
      <c r="E57" s="66">
        <f>SUM('[33]TGNPDCL MoD'!F49:F51)</f>
        <v>32.147133275501091</v>
      </c>
      <c r="F57" s="66">
        <f>SUM('[33]TGNPDCL MoD'!G49:G51)</f>
        <v>41.7292235382576</v>
      </c>
      <c r="G57" s="66">
        <f>SUM('[33]TGNPDCL MoD'!H49:H51)</f>
        <v>26.962111779452457</v>
      </c>
      <c r="H57" s="66">
        <f>SUM('[33]TGNPDCL MoD'!I49:I51)</f>
        <v>23.217374032306317</v>
      </c>
      <c r="I57" s="66">
        <f>SUM('[33]TGNPDCL MoD'!J49:J51)</f>
        <v>25.717706620400826</v>
      </c>
      <c r="J57" s="66">
        <f>SUM('[33]TGNPDCL MoD'!K49:K51)</f>
        <v>25.376616592453729</v>
      </c>
      <c r="K57" s="66">
        <f>SUM('[33]TGNPDCL MoD'!L49:L51)</f>
        <v>25.717706620400826</v>
      </c>
      <c r="L57" s="66">
        <f>SUM('[33]TGNPDCL MoD'!M49:M51)</f>
        <v>20.740085984194248</v>
      </c>
      <c r="M57" s="66">
        <f>SUM('[33]TGNPDCL MoD'!N49:N51)</f>
        <v>23.217374032306317</v>
      </c>
      <c r="N57" s="66">
        <f>SUM('[33]TGNPDCL MoD'!O49:O51)</f>
        <v>27.860848838767581</v>
      </c>
      <c r="O57" s="66">
        <f>SUM('[33]TGNPDCL MoD'!P49:P51)</f>
        <v>30.971861736396761</v>
      </c>
      <c r="P57" s="66">
        <f>SUM('[33]TGNPDCL MoD'!Q49:Q51)</f>
        <v>37.504988821417967</v>
      </c>
      <c r="Q57" s="291">
        <f t="shared" si="5"/>
        <v>341.16303187185571</v>
      </c>
    </row>
    <row r="58" spans="3:18" x14ac:dyDescent="0.25">
      <c r="C58" s="806"/>
      <c r="D58" s="322" t="s">
        <v>377</v>
      </c>
      <c r="E58" s="66">
        <f>'[33]TGNPDCL MoD'!F53</f>
        <v>5.4244076089699185</v>
      </c>
      <c r="F58" s="66">
        <f>'[33]TGNPDCL MoD'!G53</f>
        <v>6.8313633325464878</v>
      </c>
      <c r="G58" s="66">
        <f>'[33]TGNPDCL MoD'!H53</f>
        <v>6.6109967734320847</v>
      </c>
      <c r="H58" s="66">
        <f>'[33]TGNPDCL MoD'!I53</f>
        <v>4.554242221697665</v>
      </c>
      <c r="I58" s="66">
        <f>'[33]TGNPDCL MoD'!J53</f>
        <v>4.2039158969516919</v>
      </c>
      <c r="J58" s="66">
        <f>'[33]TGNPDCL MoD'!K53</f>
        <v>4.2378184445077522</v>
      </c>
      <c r="K58" s="66">
        <f>'[33]TGNPDCL MoD'!L53</f>
        <v>4.2039158969516919</v>
      </c>
      <c r="L58" s="66">
        <f>'[33]TGNPDCL MoD'!M53</f>
        <v>5.1789720070116019</v>
      </c>
      <c r="M58" s="66">
        <f>'[33]TGNPDCL MoD'!N53</f>
        <v>4.554242221697665</v>
      </c>
      <c r="N58" s="66">
        <f>'[33]TGNPDCL MoD'!O53</f>
        <v>4.554242221697665</v>
      </c>
      <c r="O58" s="66">
        <f>'[33]TGNPDCL MoD'!P53</f>
        <v>5.0627804350385901</v>
      </c>
      <c r="P58" s="66">
        <f>'[33]TGNPDCL MoD'!Q53</f>
        <v>6.1307106830545415</v>
      </c>
      <c r="Q58" s="291">
        <f t="shared" si="5"/>
        <v>61.54760774355735</v>
      </c>
    </row>
    <row r="59" spans="3:18" x14ac:dyDescent="0.25">
      <c r="C59" s="806"/>
      <c r="D59" s="322" t="s">
        <v>378</v>
      </c>
      <c r="E59" s="66">
        <f>'[33]TGNPDCL MoD'!F54</f>
        <v>22.951913306602897</v>
      </c>
      <c r="F59" s="66">
        <f>'[33]TGNPDCL MoD'!G54</f>
        <v>29.072423521697004</v>
      </c>
      <c r="G59" s="66">
        <f>'[33]TGNPDCL MoD'!H54</f>
        <v>28.874987708306875</v>
      </c>
      <c r="H59" s="66">
        <f>'[33]TGNPDCL MoD'!I54</f>
        <v>19.891658199055847</v>
      </c>
      <c r="I59" s="66">
        <f>'[33]TGNPDCL MoD'!J54</f>
        <v>18.361530645282322</v>
      </c>
      <c r="J59" s="66">
        <f>'[33]TGNPDCL MoD'!K54</f>
        <v>17.769223205111921</v>
      </c>
      <c r="K59" s="66">
        <f>'[33]TGNPDCL MoD'!L54</f>
        <v>18.361530645282322</v>
      </c>
      <c r="L59" s="66">
        <f>'[33]TGNPDCL MoD'!M54</f>
        <v>22.211529006389902</v>
      </c>
      <c r="M59" s="66">
        <f>'[33]TGNPDCL MoD'!N54</f>
        <v>19.891658199055847</v>
      </c>
      <c r="N59" s="66">
        <f>'[33]TGNPDCL MoD'!O54</f>
        <v>19.891658199055847</v>
      </c>
      <c r="O59" s="66">
        <f>'[33]TGNPDCL MoD'!P54</f>
        <v>22.112811099694838</v>
      </c>
      <c r="P59" s="66">
        <f>'[33]TGNPDCL MoD'!Q54</f>
        <v>26.26149584901497</v>
      </c>
      <c r="Q59" s="291">
        <f t="shared" si="5"/>
        <v>265.65241958455061</v>
      </c>
    </row>
    <row r="60" spans="3:18" x14ac:dyDescent="0.25">
      <c r="C60" s="807"/>
      <c r="D60" s="322" t="s">
        <v>379</v>
      </c>
      <c r="E60" s="66">
        <f>'[33]TGNPDCL MoD'!F55</f>
        <v>105.62236492584185</v>
      </c>
      <c r="F60" s="66">
        <f>'[33]TGNPDCL MoD'!G55</f>
        <v>108.49644631907142</v>
      </c>
      <c r="G60" s="66">
        <f>'[33]TGNPDCL MoD'!H55</f>
        <v>104.99656095394008</v>
      </c>
      <c r="H60" s="66">
        <f>'[33]TGNPDCL MoD'!I55</f>
        <v>104.83910721840965</v>
      </c>
      <c r="I60" s="66">
        <f>'[33]TGNPDCL MoD'!J55</f>
        <v>84.590601099935526</v>
      </c>
      <c r="J60" s="66">
        <f>'[33]TGNPDCL MoD'!K55</f>
        <v>92.263519513477348</v>
      </c>
      <c r="K60" s="66">
        <f>'[33]TGNPDCL MoD'!L55</f>
        <v>84.489980591789362</v>
      </c>
      <c r="L60" s="66">
        <f>'[33]TGNPDCL MoD'!M55</f>
        <v>107.31266156321823</v>
      </c>
      <c r="M60" s="66">
        <f>'[33]TGNPDCL MoD'!N55</f>
        <v>105.72078237969197</v>
      </c>
      <c r="N60" s="66">
        <f>'[33]TGNPDCL MoD'!O55</f>
        <v>95.018982800890143</v>
      </c>
      <c r="O60" s="66">
        <f>'[33]TGNPDCL MoD'!P55</f>
        <v>93.347768341360648</v>
      </c>
      <c r="P60" s="66">
        <f>'[33]TGNPDCL MoD'!Q55</f>
        <v>111.23055365967821</v>
      </c>
      <c r="Q60" s="291">
        <f t="shared" si="5"/>
        <v>1197.9293293673045</v>
      </c>
    </row>
    <row r="61" spans="3:18" x14ac:dyDescent="0.25">
      <c r="C61" s="250"/>
      <c r="D61" s="322" t="s">
        <v>451</v>
      </c>
      <c r="E61" s="66">
        <f>'[33]TGNPDCL MoD'!F56</f>
        <v>103.45225036891787</v>
      </c>
      <c r="F61" s="66">
        <f>'[33]TGNPDCL MoD'!G56</f>
        <v>108.50143890800092</v>
      </c>
      <c r="G61" s="66">
        <f>'[33]TGNPDCL MoD'!H56</f>
        <v>105.00139249161376</v>
      </c>
      <c r="H61" s="66">
        <f>'[33]TGNPDCL MoD'!I56</f>
        <v>102.99515577682575</v>
      </c>
      <c r="I61" s="66">
        <f>'[33]TGNPDCL MoD'!J56</f>
        <v>79.688361765372036</v>
      </c>
      <c r="J61" s="66">
        <f>'[33]TGNPDCL MoD'!K56</f>
        <v>83.537905231509143</v>
      </c>
      <c r="K61" s="66">
        <f>'[33]TGNPDCL MoD'!L56</f>
        <v>82.00539798599911</v>
      </c>
      <c r="L61" s="66">
        <f>'[33]TGNPDCL MoD'!M56</f>
        <v>107.31759967892879</v>
      </c>
      <c r="M61" s="66">
        <f>'[33]TGNPDCL MoD'!N56</f>
        <v>97.666290552510674</v>
      </c>
      <c r="N61" s="66">
        <f>'[33]TGNPDCL MoD'!O56</f>
        <v>94.140954346647874</v>
      </c>
      <c r="O61" s="66">
        <f>'[33]TGNPDCL MoD'!P56</f>
        <v>91.277183183878776</v>
      </c>
      <c r="P61" s="66">
        <f>'[33]TGNPDCL MoD'!Q56</f>
        <v>108.50143890800092</v>
      </c>
      <c r="Q61" s="291">
        <f t="shared" si="5"/>
        <v>1164.0853691982056</v>
      </c>
    </row>
    <row r="62" spans="3:18" x14ac:dyDescent="0.25">
      <c r="C62" s="17"/>
      <c r="D62" s="322" t="s">
        <v>380</v>
      </c>
      <c r="E62" s="66">
        <f>'[33]TGNPDCL MoD'!F33</f>
        <v>0.67676220135742837</v>
      </c>
      <c r="F62" s="66">
        <f>'[33]TGNPDCL MoD'!G33</f>
        <v>0.85723212171944407</v>
      </c>
      <c r="G62" s="66">
        <f>'[33]TGNPDCL MoD'!H33</f>
        <v>0.8514105113851298</v>
      </c>
      <c r="H62" s="66">
        <f>'[33]TGNPDCL MoD'!I33</f>
        <v>0.58652724117645216</v>
      </c>
      <c r="I62" s="66">
        <f>'[33]TGNPDCL MoD'!J33</f>
        <v>0.5414097610859625</v>
      </c>
      <c r="J62" s="66">
        <f>'[33]TGNPDCL MoD'!K33</f>
        <v>0.52394493008318954</v>
      </c>
      <c r="K62" s="66">
        <f>'[33]TGNPDCL MoD'!L33</f>
        <v>0.5414097610859625</v>
      </c>
      <c r="L62" s="66">
        <f>'[33]TGNPDCL MoD'!M33</f>
        <v>0.65493116260396578</v>
      </c>
      <c r="M62" s="66">
        <f>'[33]TGNPDCL MoD'!N33</f>
        <v>0.58652724117645216</v>
      </c>
      <c r="N62" s="66">
        <f>'[33]TGNPDCL MoD'!O33</f>
        <v>0.58652724117645216</v>
      </c>
      <c r="O62" s="66">
        <f>'[33]TGNPDCL MoD'!P33</f>
        <v>0.65202035743683173</v>
      </c>
      <c r="P62" s="66">
        <f>'[33]TGNPDCL MoD'!Q33</f>
        <v>0.76699716153841035</v>
      </c>
      <c r="Q62" s="291">
        <f t="shared" si="5"/>
        <v>7.8256996918256814</v>
      </c>
    </row>
    <row r="63" spans="3:18" x14ac:dyDescent="0.25">
      <c r="C63" s="17"/>
      <c r="D63" s="322" t="s">
        <v>381</v>
      </c>
      <c r="E63" s="66">
        <f>'[33]TGNPDCL MoD'!F34</f>
        <v>1.1984300583762586</v>
      </c>
      <c r="F63" s="66">
        <f>'[33]TGNPDCL MoD'!G34</f>
        <v>1.1860519075385692</v>
      </c>
      <c r="G63" s="66">
        <f>'[33]TGNPDCL MoD'!H34</f>
        <v>1.1984300583762586</v>
      </c>
      <c r="H63" s="66">
        <f>'[33]TGNPDCL MoD'!I34</f>
        <v>1.264540636713916</v>
      </c>
      <c r="I63" s="66">
        <f>'[33]TGNPDCL MoD'!J34</f>
        <v>1.0290744491878763</v>
      </c>
      <c r="J63" s="66">
        <f>'[33]TGNPDCL MoD'!K34</f>
        <v>1.1079856368534813</v>
      </c>
      <c r="K63" s="66">
        <f>'[33]TGNPDCL MoD'!L34</f>
        <v>0.97674862973764531</v>
      </c>
      <c r="L63" s="66">
        <f>'[33]TGNPDCL MoD'!M34</f>
        <v>1.1984300583762586</v>
      </c>
      <c r="M63" s="66">
        <f>'[33]TGNPDCL MoD'!N34</f>
        <v>1.2122148172636851</v>
      </c>
      <c r="N63" s="66">
        <f>'[33]TGNPDCL MoD'!O34</f>
        <v>1.1337260880883386</v>
      </c>
      <c r="O63" s="66">
        <f>'[33]TGNPDCL MoD'!P34</f>
        <v>1.0378849825907426</v>
      </c>
      <c r="P63" s="66">
        <f>'[33]TGNPDCL MoD'!Q34</f>
        <v>1.264540636713916</v>
      </c>
      <c r="Q63" s="291">
        <f t="shared" si="5"/>
        <v>13.808057959816948</v>
      </c>
    </row>
    <row r="64" spans="3:18" x14ac:dyDescent="0.25">
      <c r="C64" s="17"/>
      <c r="D64" s="322" t="s">
        <v>382</v>
      </c>
      <c r="E64" s="66">
        <f>'[33]TGNPDCL MoD'!F52</f>
        <v>10.451974857977625</v>
      </c>
      <c r="F64" s="66">
        <f>'[33]TGNPDCL MoD'!G52</f>
        <v>10.800374019910212</v>
      </c>
      <c r="G64" s="66">
        <f>'[33]TGNPDCL MoD'!H52</f>
        <v>10.451974857977625</v>
      </c>
      <c r="H64" s="66">
        <f>'[33]TGNPDCL MoD'!I52</f>
        <v>11.028550935823809</v>
      </c>
      <c r="I64" s="66">
        <f>'[33]TGNPDCL MoD'!J52</f>
        <v>9.0694181651658532</v>
      </c>
      <c r="J64" s="66">
        <f>'[33]TGNPDCL MoD'!K52</f>
        <v>10.010342117499697</v>
      </c>
      <c r="K64" s="66">
        <f>'[33]TGNPDCL MoD'!L52</f>
        <v>8.5186048607742535</v>
      </c>
      <c r="L64" s="66">
        <f>'[33]TGNPDCL MoD'!M52</f>
        <v>10.451974857977625</v>
      </c>
      <c r="M64" s="66">
        <f>'[33]TGNPDCL MoD'!N52</f>
        <v>10.800374019910212</v>
      </c>
      <c r="N64" s="66">
        <f>'[33]TGNPDCL MoD'!O52</f>
        <v>10.115843272169425</v>
      </c>
      <c r="O64" s="66">
        <f>'[33]TGNPDCL MoD'!P52</f>
        <v>9.3429859763330505</v>
      </c>
      <c r="P64" s="66">
        <f>'[33]TGNPDCL MoD'!Q52</f>
        <v>11.484904767651003</v>
      </c>
      <c r="Q64" s="291">
        <f t="shared" si="5"/>
        <v>122.52732270917039</v>
      </c>
    </row>
    <row r="65" spans="3:17" x14ac:dyDescent="0.25">
      <c r="C65" s="17"/>
      <c r="D65" s="322" t="s">
        <v>383</v>
      </c>
      <c r="E65" s="66">
        <f>'[33]TGNPDCL MoD'!F35</f>
        <v>0</v>
      </c>
      <c r="F65" s="66">
        <f>'[33]TGNPDCL MoD'!G35</f>
        <v>0</v>
      </c>
      <c r="G65" s="66">
        <f>'[33]TGNPDCL MoD'!H35</f>
        <v>0</v>
      </c>
      <c r="H65" s="66">
        <f>'[33]TGNPDCL MoD'!I35</f>
        <v>0</v>
      </c>
      <c r="I65" s="66">
        <f>'[33]TGNPDCL MoD'!J35</f>
        <v>0</v>
      </c>
      <c r="J65" s="66">
        <f>'[33]TGNPDCL MoD'!K35</f>
        <v>0</v>
      </c>
      <c r="K65" s="66">
        <f>'[33]TGNPDCL MoD'!L35</f>
        <v>0</v>
      </c>
      <c r="L65" s="66">
        <f>'[33]TGNPDCL MoD'!M35</f>
        <v>0</v>
      </c>
      <c r="M65" s="66">
        <f>'[33]TGNPDCL MoD'!N35</f>
        <v>0</v>
      </c>
      <c r="N65" s="66">
        <f>'[33]TGNPDCL MoD'!O35</f>
        <v>0</v>
      </c>
      <c r="O65" s="66">
        <f>'[33]TGNPDCL MoD'!P35</f>
        <v>0</v>
      </c>
      <c r="P65" s="66">
        <f>'[33]TGNPDCL MoD'!Q35</f>
        <v>0</v>
      </c>
      <c r="Q65" s="291">
        <f t="shared" si="5"/>
        <v>0</v>
      </c>
    </row>
    <row r="66" spans="3:17" x14ac:dyDescent="0.25">
      <c r="C66" s="17"/>
      <c r="D66" s="322" t="s">
        <v>384</v>
      </c>
      <c r="E66" s="66">
        <f t="shared" ref="E66:P66" si="6">E65</f>
        <v>0</v>
      </c>
      <c r="F66" s="66">
        <f t="shared" si="6"/>
        <v>0</v>
      </c>
      <c r="G66" s="66">
        <f t="shared" si="6"/>
        <v>0</v>
      </c>
      <c r="H66" s="66">
        <f t="shared" si="6"/>
        <v>0</v>
      </c>
      <c r="I66" s="66">
        <f t="shared" si="6"/>
        <v>0</v>
      </c>
      <c r="J66" s="66">
        <f t="shared" si="6"/>
        <v>0</v>
      </c>
      <c r="K66" s="66">
        <f t="shared" si="6"/>
        <v>0</v>
      </c>
      <c r="L66" s="66">
        <f t="shared" si="6"/>
        <v>0</v>
      </c>
      <c r="M66" s="66">
        <f t="shared" si="6"/>
        <v>0</v>
      </c>
      <c r="N66" s="66">
        <f t="shared" si="6"/>
        <v>0</v>
      </c>
      <c r="O66" s="66">
        <f t="shared" si="6"/>
        <v>0</v>
      </c>
      <c r="P66" s="66">
        <f t="shared" si="6"/>
        <v>0</v>
      </c>
      <c r="Q66" s="291">
        <f t="shared" si="5"/>
        <v>0</v>
      </c>
    </row>
    <row r="67" spans="3:17" x14ac:dyDescent="0.25">
      <c r="C67" s="17"/>
      <c r="D67" s="322" t="s">
        <v>385</v>
      </c>
      <c r="E67" s="66">
        <f>'[33]TGNPDCL MoD'!F46</f>
        <v>12.608181767369874</v>
      </c>
      <c r="F67" s="66">
        <f>'[33]TGNPDCL MoD'!G46</f>
        <v>16.285568116186091</v>
      </c>
      <c r="G67" s="66">
        <f>'[33]TGNPDCL MoD'!H46</f>
        <v>15.760227209212346</v>
      </c>
      <c r="H67" s="66">
        <f>'[33]TGNPDCL MoD'!I46</f>
        <v>10.585619275520951</v>
      </c>
      <c r="I67" s="66">
        <f>'[33]TGNPDCL MoD'!J46</f>
        <v>9.7713408697116435</v>
      </c>
      <c r="J67" s="66">
        <f>'[33]TGNPDCL MoD'!K46</f>
        <v>10.244147685988018</v>
      </c>
      <c r="K67" s="66">
        <f>'[33]TGNPDCL MoD'!L46</f>
        <v>9.7713408697116435</v>
      </c>
      <c r="L67" s="66">
        <f>'[33]TGNPDCL MoD'!M46</f>
        <v>12.395238195018095</v>
      </c>
      <c r="M67" s="66">
        <f>'[33]TGNPDCL MoD'!N46</f>
        <v>10.992758478425603</v>
      </c>
      <c r="N67" s="66">
        <f>'[33]TGNPDCL MoD'!O46</f>
        <v>10.992758478425603</v>
      </c>
      <c r="O67" s="66">
        <f>'[33]TGNPDCL MoD'!P46</f>
        <v>12.503113585975125</v>
      </c>
      <c r="P67" s="66">
        <f>'[33]TGNPDCL MoD'!Q46</f>
        <v>14.249872101662831</v>
      </c>
      <c r="Q67" s="291">
        <f t="shared" si="5"/>
        <v>146.16016663320784</v>
      </c>
    </row>
    <row r="68" spans="3:17" x14ac:dyDescent="0.25">
      <c r="C68" s="17"/>
      <c r="D68" s="322" t="s">
        <v>386</v>
      </c>
      <c r="E68" s="66">
        <f>'[33]TGNPDCL MoD'!F47</f>
        <v>21.607098919058608</v>
      </c>
      <c r="F68" s="66">
        <f>'[33]TGNPDCL MoD'!G47</f>
        <v>0</v>
      </c>
      <c r="G68" s="66">
        <f>'[33]TGNPDCL MoD'!H47</f>
        <v>11.16160695378829</v>
      </c>
      <c r="H68" s="66">
        <f>'[33]TGNPDCL MoD'!I47</f>
        <v>21.540807145619908</v>
      </c>
      <c r="I68" s="66">
        <f>'[33]TGNPDCL MoD'!J47</f>
        <v>15.943589540852535</v>
      </c>
      <c r="J68" s="66">
        <f>'[33]TGNPDCL MoD'!K47</f>
        <v>17.398975545611208</v>
      </c>
      <c r="K68" s="66">
        <f>'[33]TGNPDCL MoD'!L47</f>
        <v>16.961265468992053</v>
      </c>
      <c r="L68" s="66">
        <f>'[33]TGNPDCL MoD'!M47</f>
        <v>22.815637743773188</v>
      </c>
      <c r="M68" s="66">
        <f>'[33]TGNPDCL MoD'!N47</f>
        <v>20.014293253410628</v>
      </c>
      <c r="N68" s="66">
        <f>'[33]TGNPDCL MoD'!O47</f>
        <v>20.014293253410628</v>
      </c>
      <c r="O68" s="66">
        <f>'[33]TGNPDCL MoD'!P47</f>
        <v>18.996617325271103</v>
      </c>
      <c r="P68" s="66">
        <f>'[33]TGNPDCL MoD'!Q47</f>
        <v>22.776160805043787</v>
      </c>
      <c r="Q68" s="291">
        <f t="shared" si="5"/>
        <v>209.23034595483196</v>
      </c>
    </row>
    <row r="69" spans="3:17" x14ac:dyDescent="0.25">
      <c r="C69" s="17"/>
      <c r="D69" s="17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291"/>
    </row>
    <row r="70" spans="3:17" x14ac:dyDescent="0.25">
      <c r="C70" s="17"/>
      <c r="D70" s="17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291"/>
    </row>
    <row r="71" spans="3:17" x14ac:dyDescent="0.25">
      <c r="C71" s="17"/>
      <c r="D71" s="17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291"/>
    </row>
    <row r="72" spans="3:17" x14ac:dyDescent="0.25">
      <c r="C72" s="17"/>
      <c r="D72" s="17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291"/>
    </row>
    <row r="73" spans="3:17" x14ac:dyDescent="0.25">
      <c r="C73" s="17"/>
      <c r="D73" s="17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291"/>
    </row>
    <row r="74" spans="3:17" x14ac:dyDescent="0.25">
      <c r="C74" s="17"/>
      <c r="D74" s="17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291"/>
    </row>
    <row r="75" spans="3:17" x14ac:dyDescent="0.25">
      <c r="C75" s="17"/>
      <c r="D75" s="17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291"/>
    </row>
    <row r="76" spans="3:17" x14ac:dyDescent="0.25">
      <c r="C76" s="17"/>
      <c r="D76" s="17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291"/>
    </row>
    <row r="77" spans="3:17" x14ac:dyDescent="0.25">
      <c r="C77" s="751" t="s">
        <v>212</v>
      </c>
      <c r="D77" s="752"/>
      <c r="E77" s="291">
        <f t="shared" ref="E77:P77" si="7">SUM(E52:E76)</f>
        <v>496.19904080450652</v>
      </c>
      <c r="F77" s="291">
        <f t="shared" si="7"/>
        <v>544.66393796287252</v>
      </c>
      <c r="G77" s="291">
        <f t="shared" si="7"/>
        <v>492.04473215058232</v>
      </c>
      <c r="H77" s="291">
        <f t="shared" si="7"/>
        <v>442.82542025978262</v>
      </c>
      <c r="I77" s="291">
        <f t="shared" si="7"/>
        <v>393.68963806950825</v>
      </c>
      <c r="J77" s="291">
        <f t="shared" si="7"/>
        <v>421.4291082941258</v>
      </c>
      <c r="K77" s="291">
        <f t="shared" si="7"/>
        <v>402.27214204735509</v>
      </c>
      <c r="L77" s="291">
        <f t="shared" si="7"/>
        <v>429.23039680486784</v>
      </c>
      <c r="M77" s="291">
        <f t="shared" si="7"/>
        <v>412.91790658112149</v>
      </c>
      <c r="N77" s="291">
        <f t="shared" si="7"/>
        <v>441.39177828649741</v>
      </c>
      <c r="O77" s="291">
        <f t="shared" si="7"/>
        <v>461.52262312340167</v>
      </c>
      <c r="P77" s="291">
        <f t="shared" si="7"/>
        <v>546.79481269186795</v>
      </c>
      <c r="Q77" s="323">
        <f>SUM(E77:P77)</f>
        <v>5484.98153707649</v>
      </c>
    </row>
    <row r="78" spans="3:17" x14ac:dyDescent="0.25">
      <c r="C78" s="753" t="s">
        <v>387</v>
      </c>
      <c r="D78" s="754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3:17" x14ac:dyDescent="0.25">
      <c r="C79" s="833" t="s">
        <v>388</v>
      </c>
      <c r="D79" s="17" t="s">
        <v>389</v>
      </c>
      <c r="E79" s="66">
        <f>'[33]TGNPDCL MoD'!F32</f>
        <v>4.3055906074551871</v>
      </c>
      <c r="F79" s="66">
        <f>'[33]TGNPDCL MoD'!G32</f>
        <v>4.4491102943703602</v>
      </c>
      <c r="G79" s="66">
        <f>'[33]TGNPDCL MoD'!H32</f>
        <v>4.3055906074551871</v>
      </c>
      <c r="H79" s="66">
        <f>'[33]TGNPDCL MoD'!I32</f>
        <v>4.4491102943703602</v>
      </c>
      <c r="I79" s="66">
        <f>'[33]TGNPDCL MoD'!J32</f>
        <v>4.4491102943703602</v>
      </c>
      <c r="J79" s="66">
        <f>'[33]TGNPDCL MoD'!K32</f>
        <v>4.3055906074551871</v>
      </c>
      <c r="K79" s="66">
        <f>'[33]TGNPDCL MoD'!L32</f>
        <v>4.4491102943703602</v>
      </c>
      <c r="L79" s="66">
        <f>'[33]TGNPDCL MoD'!M32</f>
        <v>4.3055906074551871</v>
      </c>
      <c r="M79" s="66">
        <f>'[33]TGNPDCL MoD'!N32</f>
        <v>4.4491102943703602</v>
      </c>
      <c r="N79" s="66">
        <f>'[33]TGNPDCL MoD'!O32</f>
        <v>4.4491102943703602</v>
      </c>
      <c r="O79" s="66">
        <f>'[33]TGNPDCL MoD'!P32</f>
        <v>4.0185512336248408</v>
      </c>
      <c r="P79" s="66">
        <f>'[33]TGNPDCL MoD'!Q32</f>
        <v>4.4491102943703602</v>
      </c>
      <c r="Q79" s="66">
        <f t="shared" ref="Q79:Q93" si="8">SUM(E79:P79)</f>
        <v>52.384685724038107</v>
      </c>
    </row>
    <row r="80" spans="3:17" x14ac:dyDescent="0.25">
      <c r="C80" s="834"/>
      <c r="D80" s="17" t="s">
        <v>390</v>
      </c>
      <c r="E80" s="66">
        <f>'[33]TGNPDCL MoD'!F36+'[33]TGNPDCL MoD'!F37</f>
        <v>13.64794219627742</v>
      </c>
      <c r="F80" s="66">
        <f>'[33]TGNPDCL MoD'!G36+'[33]TGNPDCL MoD'!G37</f>
        <v>14.102873602820004</v>
      </c>
      <c r="G80" s="66">
        <f>'[33]TGNPDCL MoD'!H36+'[33]TGNPDCL MoD'!H37</f>
        <v>13.64794219627742</v>
      </c>
      <c r="H80" s="66">
        <f>'[33]TGNPDCL MoD'!I36+'[33]TGNPDCL MoD'!I37</f>
        <v>14.102873602820004</v>
      </c>
      <c r="I80" s="66">
        <f>'[33]TGNPDCL MoD'!J36+'[33]TGNPDCL MoD'!J37</f>
        <v>14.102873602820004</v>
      </c>
      <c r="J80" s="66">
        <f>'[33]TGNPDCL MoD'!K36+'[33]TGNPDCL MoD'!K37</f>
        <v>13.64794219627742</v>
      </c>
      <c r="K80" s="66">
        <f>'[33]TGNPDCL MoD'!L36+'[33]TGNPDCL MoD'!L37</f>
        <v>14.102873602820004</v>
      </c>
      <c r="L80" s="66">
        <f>'[33]TGNPDCL MoD'!M36+'[33]TGNPDCL MoD'!M37</f>
        <v>13.64794219627742</v>
      </c>
      <c r="M80" s="66">
        <f>'[33]TGNPDCL MoD'!N36+'[33]TGNPDCL MoD'!N37</f>
        <v>14.102873602820004</v>
      </c>
      <c r="N80" s="66">
        <f>'[33]TGNPDCL MoD'!O36+'[33]TGNPDCL MoD'!O37</f>
        <v>14.102873602820004</v>
      </c>
      <c r="O80" s="66">
        <f>'[33]TGNPDCL MoD'!P36+'[33]TGNPDCL MoD'!P37</f>
        <v>12.738079383192257</v>
      </c>
      <c r="P80" s="66">
        <f>'[33]TGNPDCL MoD'!Q36+'[33]TGNPDCL MoD'!Q37</f>
        <v>14.102873602820004</v>
      </c>
      <c r="Q80" s="66">
        <f t="shared" si="8"/>
        <v>166.04996338804202</v>
      </c>
    </row>
    <row r="81" spans="3:18" x14ac:dyDescent="0.25">
      <c r="C81" s="834"/>
      <c r="D81" s="17" t="s">
        <v>391</v>
      </c>
      <c r="E81" s="66">
        <f>'[33]TGNPDCL MoD'!F38+'[33]TGNPDCL MoD'!F39</f>
        <v>13.64794219627742</v>
      </c>
      <c r="F81" s="66">
        <f>'[33]TGNPDCL MoD'!G38+'[33]TGNPDCL MoD'!G39</f>
        <v>14.102873602820004</v>
      </c>
      <c r="G81" s="66">
        <f>'[33]TGNPDCL MoD'!H38+'[33]TGNPDCL MoD'!H39</f>
        <v>13.64794219627742</v>
      </c>
      <c r="H81" s="66">
        <f>'[33]TGNPDCL MoD'!I38+'[33]TGNPDCL MoD'!I39</f>
        <v>14.102873602820004</v>
      </c>
      <c r="I81" s="66">
        <f>'[33]TGNPDCL MoD'!J38+'[33]TGNPDCL MoD'!J39</f>
        <v>14.102873602820004</v>
      </c>
      <c r="J81" s="66">
        <f>'[33]TGNPDCL MoD'!K38+'[33]TGNPDCL MoD'!K39</f>
        <v>13.64794219627742</v>
      </c>
      <c r="K81" s="66">
        <f>'[33]TGNPDCL MoD'!L38+'[33]TGNPDCL MoD'!L39</f>
        <v>14.102873602820004</v>
      </c>
      <c r="L81" s="66">
        <f>'[33]TGNPDCL MoD'!M38+'[33]TGNPDCL MoD'!M39</f>
        <v>13.64794219627742</v>
      </c>
      <c r="M81" s="66">
        <f>'[33]TGNPDCL MoD'!N38+'[33]TGNPDCL MoD'!N39</f>
        <v>14.102873602820004</v>
      </c>
      <c r="N81" s="66">
        <f>'[33]TGNPDCL MoD'!O38+'[33]TGNPDCL MoD'!O39</f>
        <v>14.102873602820004</v>
      </c>
      <c r="O81" s="66">
        <f>'[33]TGNPDCL MoD'!P38+'[33]TGNPDCL MoD'!P39</f>
        <v>12.738079383192257</v>
      </c>
      <c r="P81" s="66">
        <f>'[33]TGNPDCL MoD'!Q38+'[33]TGNPDCL MoD'!Q39</f>
        <v>14.102873602820004</v>
      </c>
      <c r="Q81" s="66">
        <f t="shared" si="8"/>
        <v>166.04996338804202</v>
      </c>
    </row>
    <row r="82" spans="3:18" x14ac:dyDescent="0.25">
      <c r="C82" s="835"/>
      <c r="D82" s="17" t="s">
        <v>392</v>
      </c>
      <c r="E82" s="66">
        <f>'[33]TGNPDCL MoD'!F48</f>
        <v>10.615334561029862</v>
      </c>
      <c r="F82" s="66">
        <f>'[33]TGNPDCL MoD'!G48</f>
        <v>10.969179046397525</v>
      </c>
      <c r="G82" s="66">
        <f>'[33]TGNPDCL MoD'!H48</f>
        <v>10.615334561029862</v>
      </c>
      <c r="H82" s="66">
        <f>'[33]TGNPDCL MoD'!I48</f>
        <v>10.969179046397525</v>
      </c>
      <c r="I82" s="66">
        <f>'[33]TGNPDCL MoD'!J48</f>
        <v>10.969179046397525</v>
      </c>
      <c r="J82" s="66">
        <f>'[33]TGNPDCL MoD'!K48</f>
        <v>10.615334561029862</v>
      </c>
      <c r="K82" s="66">
        <f>'[33]TGNPDCL MoD'!L48</f>
        <v>10.969179046397525</v>
      </c>
      <c r="L82" s="66">
        <f>'[33]TGNPDCL MoD'!M48</f>
        <v>10.615334561029862</v>
      </c>
      <c r="M82" s="66">
        <f>'[33]TGNPDCL MoD'!N48</f>
        <v>10.969179046397525</v>
      </c>
      <c r="N82" s="66">
        <f>'[33]TGNPDCL MoD'!O48</f>
        <v>10.969179046397525</v>
      </c>
      <c r="O82" s="66">
        <f>'[33]TGNPDCL MoD'!P48</f>
        <v>9.9076455902945355</v>
      </c>
      <c r="P82" s="66">
        <f>'[33]TGNPDCL MoD'!Q48</f>
        <v>10.969179046397525</v>
      </c>
      <c r="Q82" s="66">
        <f t="shared" si="8"/>
        <v>129.15323715919666</v>
      </c>
    </row>
    <row r="83" spans="3:18" x14ac:dyDescent="0.25">
      <c r="C83" s="17"/>
      <c r="D83" s="17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17">
        <f t="shared" si="8"/>
        <v>0</v>
      </c>
    </row>
    <row r="84" spans="3:18" x14ac:dyDescent="0.25">
      <c r="C84" s="17"/>
      <c r="D84" s="17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17">
        <f t="shared" si="8"/>
        <v>0</v>
      </c>
    </row>
    <row r="85" spans="3:18" x14ac:dyDescent="0.25">
      <c r="C85" s="17"/>
      <c r="D85" s="17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17">
        <f t="shared" si="8"/>
        <v>0</v>
      </c>
    </row>
    <row r="86" spans="3:18" x14ac:dyDescent="0.25">
      <c r="C86" s="17"/>
      <c r="D86" s="17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17">
        <f t="shared" si="8"/>
        <v>0</v>
      </c>
    </row>
    <row r="87" spans="3:18" x14ac:dyDescent="0.25">
      <c r="C87" s="17"/>
      <c r="D87" s="17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17">
        <f t="shared" si="8"/>
        <v>0</v>
      </c>
    </row>
    <row r="88" spans="3:18" x14ac:dyDescent="0.25">
      <c r="C88" s="17"/>
      <c r="D88" s="17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17">
        <f t="shared" si="8"/>
        <v>0</v>
      </c>
    </row>
    <row r="89" spans="3:18" x14ac:dyDescent="0.25">
      <c r="C89" s="17"/>
      <c r="D89" s="17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17">
        <f t="shared" si="8"/>
        <v>0</v>
      </c>
    </row>
    <row r="90" spans="3:18" x14ac:dyDescent="0.25">
      <c r="C90" s="17"/>
      <c r="D90" s="17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17">
        <f t="shared" si="8"/>
        <v>0</v>
      </c>
    </row>
    <row r="91" spans="3:18" x14ac:dyDescent="0.25">
      <c r="C91" s="17"/>
      <c r="D91" s="17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17">
        <f t="shared" si="8"/>
        <v>0</v>
      </c>
    </row>
    <row r="92" spans="3:18" x14ac:dyDescent="0.25">
      <c r="C92" s="17"/>
      <c r="D92" s="17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17">
        <f t="shared" si="8"/>
        <v>0</v>
      </c>
    </row>
    <row r="93" spans="3:18" x14ac:dyDescent="0.25">
      <c r="C93" s="751" t="s">
        <v>212</v>
      </c>
      <c r="D93" s="752"/>
      <c r="E93" s="291">
        <f t="shared" ref="E93:P93" si="9">SUM(E79:E92)</f>
        <v>42.216809561039888</v>
      </c>
      <c r="F93" s="291">
        <f t="shared" si="9"/>
        <v>43.624036546407893</v>
      </c>
      <c r="G93" s="291">
        <f t="shared" si="9"/>
        <v>42.216809561039888</v>
      </c>
      <c r="H93" s="291">
        <f t="shared" si="9"/>
        <v>43.624036546407893</v>
      </c>
      <c r="I93" s="291">
        <f t="shared" si="9"/>
        <v>43.624036546407893</v>
      </c>
      <c r="J93" s="291">
        <f t="shared" si="9"/>
        <v>42.216809561039888</v>
      </c>
      <c r="K93" s="291">
        <f t="shared" si="9"/>
        <v>43.624036546407893</v>
      </c>
      <c r="L93" s="291">
        <f t="shared" si="9"/>
        <v>42.216809561039888</v>
      </c>
      <c r="M93" s="291">
        <f t="shared" si="9"/>
        <v>43.624036546407893</v>
      </c>
      <c r="N93" s="291">
        <f t="shared" si="9"/>
        <v>43.624036546407893</v>
      </c>
      <c r="O93" s="291">
        <f t="shared" si="9"/>
        <v>39.402355590303891</v>
      </c>
      <c r="P93" s="291">
        <f t="shared" si="9"/>
        <v>43.624036546407893</v>
      </c>
      <c r="Q93" s="323">
        <f t="shared" si="8"/>
        <v>513.6378496593187</v>
      </c>
      <c r="R93" s="427"/>
    </row>
    <row r="94" spans="3:18" x14ac:dyDescent="0.25">
      <c r="C94" s="753" t="s">
        <v>394</v>
      </c>
      <c r="D94" s="754"/>
      <c r="E94" s="291">
        <f t="shared" ref="E94:Q94" si="10">E77+E93</f>
        <v>538.41585036554636</v>
      </c>
      <c r="F94" s="291">
        <f t="shared" si="10"/>
        <v>588.28797450928039</v>
      </c>
      <c r="G94" s="291">
        <f t="shared" si="10"/>
        <v>534.26154171162216</v>
      </c>
      <c r="H94" s="291">
        <f t="shared" si="10"/>
        <v>486.44945680619048</v>
      </c>
      <c r="I94" s="291">
        <f t="shared" si="10"/>
        <v>437.31367461591617</v>
      </c>
      <c r="J94" s="291">
        <f t="shared" si="10"/>
        <v>463.64591785516569</v>
      </c>
      <c r="K94" s="291">
        <f t="shared" si="10"/>
        <v>445.89617859376301</v>
      </c>
      <c r="L94" s="291">
        <f t="shared" si="10"/>
        <v>471.44720636590773</v>
      </c>
      <c r="M94" s="291">
        <f t="shared" si="10"/>
        <v>456.54194312752941</v>
      </c>
      <c r="N94" s="291">
        <f t="shared" si="10"/>
        <v>485.01581483290533</v>
      </c>
      <c r="O94" s="291">
        <f t="shared" si="10"/>
        <v>500.92497871370557</v>
      </c>
      <c r="P94" s="291">
        <f t="shared" si="10"/>
        <v>590.41884923827581</v>
      </c>
      <c r="Q94" s="323">
        <f t="shared" si="10"/>
        <v>5998.6193867358088</v>
      </c>
      <c r="R94" s="427"/>
    </row>
    <row r="95" spans="3:18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</row>
    <row r="96" spans="3:18" x14ac:dyDescent="0.25">
      <c r="C96" s="17" t="s">
        <v>396</v>
      </c>
      <c r="D96" s="322" t="s">
        <v>396</v>
      </c>
      <c r="E96" s="66">
        <f>'[33]TGNPDCL MoD'!F23</f>
        <v>42.477897820242461</v>
      </c>
      <c r="F96" s="66">
        <f>'[33]TGNPDCL MoD'!G23</f>
        <v>43.652936977192482</v>
      </c>
      <c r="G96" s="66">
        <f>'[33]TGNPDCL MoD'!H23</f>
        <v>42.477897820242418</v>
      </c>
      <c r="H96" s="66">
        <f>'[33]TGNPDCL MoD'!I23</f>
        <v>44.821162136617289</v>
      </c>
      <c r="I96" s="66">
        <f>'[33]TGNPDCL MoD'!J23</f>
        <v>36.475152635316164</v>
      </c>
      <c r="J96" s="66">
        <f>'[33]TGNPDCL MoD'!K23</f>
        <v>40.683057067274461</v>
      </c>
      <c r="K96" s="66">
        <f>'[33]TGNPDCL MoD'!L23</f>
        <v>34.620483857249241</v>
      </c>
      <c r="L96" s="66">
        <f>'[33]TGNPDCL MoD'!M23</f>
        <v>42.477897820242418</v>
      </c>
      <c r="M96" s="66">
        <f>'[33]TGNPDCL MoD'!N23</f>
        <v>43.893827747583828</v>
      </c>
      <c r="N96" s="66">
        <f>'[33]TGNPDCL MoD'!O23</f>
        <v>40.731610565739857</v>
      </c>
      <c r="O96" s="66">
        <f>'[33]TGNPDCL MoD'!P23</f>
        <v>37.690068692819167</v>
      </c>
      <c r="P96" s="66">
        <f>'[33]TGNPDCL MoD'!Q23</f>
        <v>46.546225774457497</v>
      </c>
      <c r="Q96" s="66">
        <f>SUM(E96:P96)</f>
        <v>496.54821891497738</v>
      </c>
    </row>
    <row r="97" spans="3:18" x14ac:dyDescent="0.25">
      <c r="C97" s="17" t="s">
        <v>397</v>
      </c>
      <c r="D97" s="322" t="s">
        <v>397</v>
      </c>
      <c r="E97" s="66">
        <f>'[33]TGNPDCL MoD'!F24</f>
        <v>0</v>
      </c>
      <c r="F97" s="66">
        <f>'[33]TGNPDCL MoD'!G24</f>
        <v>0</v>
      </c>
      <c r="G97" s="66">
        <f>'[33]TGNPDCL MoD'!H24</f>
        <v>0</v>
      </c>
      <c r="H97" s="66">
        <f>'[33]TGNPDCL MoD'!I24</f>
        <v>0</v>
      </c>
      <c r="I97" s="66">
        <f>'[33]TGNPDCL MoD'!J24</f>
        <v>0</v>
      </c>
      <c r="J97" s="66">
        <f>'[33]TGNPDCL MoD'!K24</f>
        <v>0</v>
      </c>
      <c r="K97" s="66">
        <f>'[33]TGNPDCL MoD'!L24</f>
        <v>0</v>
      </c>
      <c r="L97" s="66">
        <f>'[33]TGNPDCL MoD'!M24</f>
        <v>0</v>
      </c>
      <c r="M97" s="66">
        <f>'[33]TGNPDCL MoD'!N24</f>
        <v>0</v>
      </c>
      <c r="N97" s="66">
        <f>'[33]TGNPDCL MoD'!O24</f>
        <v>0</v>
      </c>
      <c r="O97" s="66">
        <f>'[33]TGNPDCL MoD'!P24</f>
        <v>0</v>
      </c>
      <c r="P97" s="66">
        <f>'[33]TGNPDCL MoD'!Q24</f>
        <v>0</v>
      </c>
      <c r="Q97" s="66">
        <f>SUM(E97:P97)</f>
        <v>0</v>
      </c>
    </row>
    <row r="98" spans="3:18" x14ac:dyDescent="0.25">
      <c r="C98" s="17"/>
      <c r="D98" s="17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17"/>
    </row>
    <row r="99" spans="3:18" x14ac:dyDescent="0.25">
      <c r="C99" s="17"/>
      <c r="D99" s="17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17"/>
    </row>
    <row r="100" spans="3:18" x14ac:dyDescent="0.25">
      <c r="C100" s="17"/>
      <c r="D100" s="17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17"/>
    </row>
    <row r="101" spans="3:18" x14ac:dyDescent="0.25">
      <c r="C101" s="17"/>
      <c r="D101" s="17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17"/>
    </row>
    <row r="102" spans="3:18" x14ac:dyDescent="0.25">
      <c r="C102" s="17"/>
      <c r="D102" s="17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17"/>
    </row>
    <row r="103" spans="3:18" x14ac:dyDescent="0.25">
      <c r="C103" s="753" t="s">
        <v>398</v>
      </c>
      <c r="D103" s="754"/>
      <c r="E103" s="66">
        <f t="shared" ref="E103:P103" si="11">SUM(E96:E102)</f>
        <v>42.477897820242461</v>
      </c>
      <c r="F103" s="66">
        <f t="shared" si="11"/>
        <v>43.652936977192482</v>
      </c>
      <c r="G103" s="66">
        <f t="shared" si="11"/>
        <v>42.477897820242418</v>
      </c>
      <c r="H103" s="66">
        <f t="shared" si="11"/>
        <v>44.821162136617289</v>
      </c>
      <c r="I103" s="66">
        <f t="shared" si="11"/>
        <v>36.475152635316164</v>
      </c>
      <c r="J103" s="66">
        <f t="shared" si="11"/>
        <v>40.683057067274461</v>
      </c>
      <c r="K103" s="66">
        <f t="shared" si="11"/>
        <v>34.620483857249241</v>
      </c>
      <c r="L103" s="66">
        <f t="shared" si="11"/>
        <v>42.477897820242418</v>
      </c>
      <c r="M103" s="66">
        <f t="shared" si="11"/>
        <v>43.893827747583828</v>
      </c>
      <c r="N103" s="66">
        <f t="shared" si="11"/>
        <v>40.731610565739857</v>
      </c>
      <c r="O103" s="66">
        <f t="shared" si="11"/>
        <v>37.690068692819167</v>
      </c>
      <c r="P103" s="66">
        <f t="shared" si="11"/>
        <v>46.546225774457497</v>
      </c>
      <c r="Q103" s="86">
        <f>SUM(E103:P103)</f>
        <v>496.54821891497738</v>
      </c>
      <c r="R103" s="427"/>
    </row>
    <row r="104" spans="3:18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</row>
    <row r="105" spans="3:18" x14ac:dyDescent="0.25">
      <c r="C105" s="17" t="s">
        <v>400</v>
      </c>
      <c r="D105" s="322" t="s">
        <v>400</v>
      </c>
      <c r="E105" s="66">
        <f>'[33]TGNPDCL MoD'!F20+'[33]TGNPDCL MoD'!F21+'[33]TGNPDCL MoD'!F22</f>
        <v>165.95932054759629</v>
      </c>
      <c r="F105" s="66">
        <f>'[33]TGNPDCL MoD'!G20+'[33]TGNPDCL MoD'!G21+'[33]TGNPDCL MoD'!G22</f>
        <v>94.505285992471102</v>
      </c>
      <c r="G105" s="66">
        <f>'[33]TGNPDCL MoD'!H20+'[33]TGNPDCL MoD'!H21+'[33]TGNPDCL MoD'!H22</f>
        <v>45.728364189905363</v>
      </c>
      <c r="H105" s="66">
        <f>'[33]TGNPDCL MoD'!I20+'[33]TGNPDCL MoD'!I21+'[33]TGNPDCL MoD'!I22</f>
        <v>119.74780984637361</v>
      </c>
      <c r="I105" s="66">
        <f>'[33]TGNPDCL MoD'!J20+'[33]TGNPDCL MoD'!J21+'[33]TGNPDCL MoD'!J22</f>
        <v>126.52233556352027</v>
      </c>
      <c r="J105" s="66">
        <f>'[33]TGNPDCL MoD'!K20+'[33]TGNPDCL MoD'!K21+'[33]TGNPDCL MoD'!K22</f>
        <v>141.17349668859424</v>
      </c>
      <c r="K105" s="66">
        <f>'[33]TGNPDCL MoD'!L20+'[33]TGNPDCL MoD'!L21+'[33]TGNPDCL MoD'!L22</f>
        <v>131.47503644436213</v>
      </c>
      <c r="L105" s="66">
        <f>'[33]TGNPDCL MoD'!M20+'[33]TGNPDCL MoD'!M21+'[33]TGNPDCL MoD'!M22</f>
        <v>185.12844284115377</v>
      </c>
      <c r="M105" s="66">
        <f>'[33]TGNPDCL MoD'!N20+'[33]TGNPDCL MoD'!N21+'[33]TGNPDCL MoD'!N22</f>
        <v>163.93081213225167</v>
      </c>
      <c r="N105" s="66">
        <f>'[33]TGNPDCL MoD'!O20+'[33]TGNPDCL MoD'!O21+'[33]TGNPDCL MoD'!O22</f>
        <v>159.80144593177698</v>
      </c>
      <c r="O105" s="66">
        <f>'[33]TGNPDCL MoD'!P20+'[33]TGNPDCL MoD'!P21+'[33]TGNPDCL MoD'!P22</f>
        <v>250.12761509241219</v>
      </c>
      <c r="P105" s="66">
        <f>'[33]TGNPDCL MoD'!Q20+'[33]TGNPDCL MoD'!Q21+'[33]TGNPDCL MoD'!Q22</f>
        <v>299.48189299757144</v>
      </c>
      <c r="Q105" s="66">
        <f>SUM(E105:P105)</f>
        <v>1883.581858267989</v>
      </c>
    </row>
    <row r="106" spans="3:18" x14ac:dyDescent="0.25">
      <c r="C106" s="17" t="s">
        <v>401</v>
      </c>
      <c r="D106" s="322" t="s">
        <v>401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17">
        <f>SUM(E106:P106)</f>
        <v>0</v>
      </c>
    </row>
    <row r="107" spans="3:18" x14ac:dyDescent="0.25">
      <c r="C107" s="17" t="s">
        <v>402</v>
      </c>
      <c r="D107" s="322" t="s">
        <v>402</v>
      </c>
      <c r="E107" s="66">
        <f>'[44]F9-Year(n+1)'!I107</f>
        <v>0</v>
      </c>
      <c r="F107" s="66">
        <f>'[44]F9-Year(n+1)'!J107</f>
        <v>0</v>
      </c>
      <c r="G107" s="66">
        <f>'[44]F9-Year(n+1)'!K107</f>
        <v>0</v>
      </c>
      <c r="H107" s="66">
        <f>'[44]F9-Year(n+1)'!L107</f>
        <v>0</v>
      </c>
      <c r="I107" s="66">
        <f>'[44]F9-Year(n+1)'!M107</f>
        <v>0</v>
      </c>
      <c r="J107" s="66">
        <f>'[44]F9-Year(n+1)'!N107</f>
        <v>0</v>
      </c>
      <c r="K107" s="66">
        <f>'[44]F9-Year(n+1)'!O107</f>
        <v>0</v>
      </c>
      <c r="L107" s="66">
        <f>'[44]F9-Year(n+1)'!P107</f>
        <v>0</v>
      </c>
      <c r="M107" s="66">
        <f>'[44]F9-Year(n+1)'!Q107</f>
        <v>0</v>
      </c>
      <c r="N107" s="66">
        <f>'[44]F9-Year(n+1)'!R107</f>
        <v>0</v>
      </c>
      <c r="O107" s="66">
        <f>'[44]F9-Year(n+1)'!S107</f>
        <v>0</v>
      </c>
      <c r="P107" s="66">
        <f>'[44]F9-Year(n+1)'!T107</f>
        <v>0</v>
      </c>
      <c r="Q107" s="17">
        <f>SUM(E107:P107)</f>
        <v>0</v>
      </c>
    </row>
    <row r="108" spans="3:18" x14ac:dyDescent="0.25">
      <c r="C108" s="17"/>
      <c r="D108" s="17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17"/>
    </row>
    <row r="109" spans="3:18" x14ac:dyDescent="0.25">
      <c r="C109" s="17"/>
      <c r="D109" s="17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17"/>
    </row>
    <row r="110" spans="3:18" x14ac:dyDescent="0.25">
      <c r="C110" s="17"/>
      <c r="D110" s="17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17"/>
    </row>
    <row r="111" spans="3:18" x14ac:dyDescent="0.25">
      <c r="C111" s="17"/>
      <c r="D111" s="17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17"/>
    </row>
    <row r="112" spans="3:18" x14ac:dyDescent="0.25">
      <c r="C112" s="17"/>
      <c r="D112" s="17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17"/>
    </row>
    <row r="113" spans="3:18" x14ac:dyDescent="0.25">
      <c r="C113" s="753" t="s">
        <v>403</v>
      </c>
      <c r="D113" s="754"/>
      <c r="E113" s="66">
        <f t="shared" ref="E113:P113" si="12">SUM(E105:E112)</f>
        <v>165.95932054759629</v>
      </c>
      <c r="F113" s="66">
        <f t="shared" si="12"/>
        <v>94.505285992471102</v>
      </c>
      <c r="G113" s="66">
        <f t="shared" si="12"/>
        <v>45.728364189905363</v>
      </c>
      <c r="H113" s="66">
        <f t="shared" si="12"/>
        <v>119.74780984637361</v>
      </c>
      <c r="I113" s="66">
        <f t="shared" si="12"/>
        <v>126.52233556352027</v>
      </c>
      <c r="J113" s="66">
        <f t="shared" si="12"/>
        <v>141.17349668859424</v>
      </c>
      <c r="K113" s="66">
        <f t="shared" si="12"/>
        <v>131.47503644436213</v>
      </c>
      <c r="L113" s="66">
        <f t="shared" si="12"/>
        <v>185.12844284115377</v>
      </c>
      <c r="M113" s="66">
        <f t="shared" si="12"/>
        <v>163.93081213225167</v>
      </c>
      <c r="N113" s="66">
        <f t="shared" si="12"/>
        <v>159.80144593177698</v>
      </c>
      <c r="O113" s="66">
        <f t="shared" si="12"/>
        <v>250.12761509241219</v>
      </c>
      <c r="P113" s="66">
        <f t="shared" si="12"/>
        <v>299.48189299757144</v>
      </c>
      <c r="Q113" s="86">
        <f>SUM(E113:P113)</f>
        <v>1883.581858267989</v>
      </c>
      <c r="R113" s="427"/>
    </row>
    <row r="114" spans="3:18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3:18" x14ac:dyDescent="0.25">
      <c r="C115" s="17"/>
      <c r="D115" s="322" t="s">
        <v>405</v>
      </c>
      <c r="E115" s="66">
        <f>'[33]TGNPDCL MoD'!$F$104</f>
        <v>3.246513007437709E-2</v>
      </c>
      <c r="F115" s="66">
        <f>'[33]TGNPDCL MoD'!$F$104</f>
        <v>3.246513007437709E-2</v>
      </c>
      <c r="G115" s="66">
        <f>'[33]TGNPDCL MoD'!$F$104</f>
        <v>3.246513007437709E-2</v>
      </c>
      <c r="H115" s="66">
        <f>'[33]TGNPDCL MoD'!$F$104</f>
        <v>3.246513007437709E-2</v>
      </c>
      <c r="I115" s="66">
        <f>'[33]TGNPDCL MoD'!$F$104</f>
        <v>3.246513007437709E-2</v>
      </c>
      <c r="J115" s="66">
        <f>'[33]TGNPDCL MoD'!$F$104</f>
        <v>3.246513007437709E-2</v>
      </c>
      <c r="K115" s="66">
        <f>'[33]TGNPDCL MoD'!$F$104</f>
        <v>3.246513007437709E-2</v>
      </c>
      <c r="L115" s="66">
        <f>'[33]TGNPDCL MoD'!$F$104</f>
        <v>3.246513007437709E-2</v>
      </c>
      <c r="M115" s="66">
        <f>'[33]TGNPDCL MoD'!$F$104</f>
        <v>3.246513007437709E-2</v>
      </c>
      <c r="N115" s="66">
        <f>'[33]TGNPDCL MoD'!$F$104</f>
        <v>3.246513007437709E-2</v>
      </c>
      <c r="O115" s="66">
        <f>'[33]TGNPDCL MoD'!$F$104</f>
        <v>3.246513007437709E-2</v>
      </c>
      <c r="P115" s="66">
        <f>'[33]TGNPDCL MoD'!$F$104</f>
        <v>3.246513007437709E-2</v>
      </c>
      <c r="Q115" s="291">
        <f t="shared" ref="Q115:Q128" si="13">SUM(E115:P115)</f>
        <v>0.38958156089252499</v>
      </c>
    </row>
    <row r="116" spans="3:18" x14ac:dyDescent="0.25">
      <c r="C116" s="17"/>
      <c r="D116" s="322" t="s">
        <v>406</v>
      </c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291">
        <f t="shared" si="13"/>
        <v>0</v>
      </c>
    </row>
    <row r="117" spans="3:18" x14ac:dyDescent="0.25">
      <c r="C117" s="17"/>
      <c r="D117" s="322" t="s">
        <v>407</v>
      </c>
      <c r="E117" s="66">
        <f>'[33]TGNPDCL MoD'!F101</f>
        <v>0</v>
      </c>
      <c r="F117" s="66">
        <f>'[33]TGNPDCL MoD'!G101</f>
        <v>0</v>
      </c>
      <c r="G117" s="66">
        <f>'[33]TGNPDCL MoD'!H101</f>
        <v>0</v>
      </c>
      <c r="H117" s="66">
        <f>'[33]TGNPDCL MoD'!I101</f>
        <v>0</v>
      </c>
      <c r="I117" s="66">
        <f>'[33]TGNPDCL MoD'!J101</f>
        <v>0</v>
      </c>
      <c r="J117" s="66">
        <f>'[33]TGNPDCL MoD'!K101</f>
        <v>0</v>
      </c>
      <c r="K117" s="66">
        <f>'[33]TGNPDCL MoD'!L101</f>
        <v>0</v>
      </c>
      <c r="L117" s="66">
        <f>'[33]TGNPDCL MoD'!M101</f>
        <v>0</v>
      </c>
      <c r="M117" s="66">
        <f>'[33]TGNPDCL MoD'!N101</f>
        <v>0</v>
      </c>
      <c r="N117" s="66">
        <f>'[33]TGNPDCL MoD'!O101</f>
        <v>0</v>
      </c>
      <c r="O117" s="66">
        <f>'[33]TGNPDCL MoD'!P101</f>
        <v>0</v>
      </c>
      <c r="P117" s="66">
        <f>'[33]TGNPDCL MoD'!Q101</f>
        <v>0</v>
      </c>
      <c r="Q117" s="291">
        <f t="shared" si="13"/>
        <v>0</v>
      </c>
    </row>
    <row r="118" spans="3:18" x14ac:dyDescent="0.25">
      <c r="C118" s="17"/>
      <c r="D118" s="322" t="s">
        <v>408</v>
      </c>
      <c r="E118" s="66">
        <f>'[33]TGNPDCL MoD'!F102</f>
        <v>3.4230403982486481</v>
      </c>
      <c r="F118" s="66">
        <f>'[33]TGNPDCL MoD'!G102</f>
        <v>2.4068827715478456</v>
      </c>
      <c r="G118" s="66">
        <f>'[33]TGNPDCL MoD'!H102</f>
        <v>2.0011918250327527</v>
      </c>
      <c r="H118" s="66">
        <f>'[33]TGNPDCL MoD'!I102</f>
        <v>2.8257201817807629</v>
      </c>
      <c r="I118" s="66">
        <f>'[33]TGNPDCL MoD'!J102</f>
        <v>2.8257201817807629</v>
      </c>
      <c r="J118" s="66">
        <f>'[33]TGNPDCL MoD'!K102</f>
        <v>2.0143318222165307</v>
      </c>
      <c r="K118" s="66">
        <f>'[33]TGNPDCL MoD'!L102</f>
        <v>2.8257201817807629</v>
      </c>
      <c r="L118" s="66">
        <f>'[33]TGNPDCL MoD'!M102</f>
        <v>2.6550931366573942</v>
      </c>
      <c r="M118" s="66">
        <f>'[33]TGNPDCL MoD'!N102</f>
        <v>4.3331770437353327</v>
      </c>
      <c r="N118" s="66">
        <f>'[33]TGNPDCL MoD'!O102</f>
        <v>4.4055828254611002</v>
      </c>
      <c r="O118" s="66">
        <f>'[33]TGNPDCL MoD'!P102</f>
        <v>4.6468384332029542</v>
      </c>
      <c r="P118" s="66">
        <f>'[33]TGNPDCL MoD'!Q102</f>
        <v>4.6664923856835445</v>
      </c>
      <c r="Q118" s="291">
        <f t="shared" si="13"/>
        <v>39.029791187128396</v>
      </c>
    </row>
    <row r="119" spans="3:18" x14ac:dyDescent="0.25">
      <c r="C119" s="17"/>
      <c r="D119" s="322" t="s">
        <v>409</v>
      </c>
      <c r="E119" s="66">
        <f>'[33]TGNPDCL MoD'!F99+'[33]TGNPDCL MoD'!F100</f>
        <v>0</v>
      </c>
      <c r="F119" s="66">
        <f>'[33]TGNPDCL MoD'!G99+'[33]TGNPDCL MoD'!G100</f>
        <v>0</v>
      </c>
      <c r="G119" s="66">
        <f>'[33]TGNPDCL MoD'!H99+'[33]TGNPDCL MoD'!H100</f>
        <v>0</v>
      </c>
      <c r="H119" s="66">
        <f>'[33]TGNPDCL MoD'!I99+'[33]TGNPDCL MoD'!I100</f>
        <v>0</v>
      </c>
      <c r="I119" s="66">
        <f>'[33]TGNPDCL MoD'!J99+'[33]TGNPDCL MoD'!J100</f>
        <v>0</v>
      </c>
      <c r="J119" s="66">
        <f>'[33]TGNPDCL MoD'!K99+'[33]TGNPDCL MoD'!K100</f>
        <v>0</v>
      </c>
      <c r="K119" s="66">
        <f>'[33]TGNPDCL MoD'!L99+'[33]TGNPDCL MoD'!L100</f>
        <v>0</v>
      </c>
      <c r="L119" s="66">
        <f>'[33]TGNPDCL MoD'!M99+'[33]TGNPDCL MoD'!M100</f>
        <v>0</v>
      </c>
      <c r="M119" s="66">
        <f>'[33]TGNPDCL MoD'!N99+'[33]TGNPDCL MoD'!N100</f>
        <v>0</v>
      </c>
      <c r="N119" s="66">
        <f>'[33]TGNPDCL MoD'!O99+'[33]TGNPDCL MoD'!O100</f>
        <v>0</v>
      </c>
      <c r="O119" s="66">
        <f>'[33]TGNPDCL MoD'!P99+'[33]TGNPDCL MoD'!P100</f>
        <v>0</v>
      </c>
      <c r="P119" s="66">
        <f>'[33]TGNPDCL MoD'!Q99+'[33]TGNPDCL MoD'!Q100</f>
        <v>0</v>
      </c>
      <c r="Q119" s="291">
        <f t="shared" si="13"/>
        <v>0</v>
      </c>
    </row>
    <row r="120" spans="3:18" x14ac:dyDescent="0.25">
      <c r="C120" s="17"/>
      <c r="D120" s="322" t="s">
        <v>367</v>
      </c>
      <c r="E120" s="66">
        <f>'[33]TGNPDCL MoD'!$F$103</f>
        <v>1.0190928297479484E-2</v>
      </c>
      <c r="F120" s="66">
        <f>'[33]TGNPDCL MoD'!$F$103</f>
        <v>1.0190928297479484E-2</v>
      </c>
      <c r="G120" s="66">
        <f>'[33]TGNPDCL MoD'!$F$103</f>
        <v>1.0190928297479484E-2</v>
      </c>
      <c r="H120" s="66">
        <f>'[33]TGNPDCL MoD'!$F$103</f>
        <v>1.0190928297479484E-2</v>
      </c>
      <c r="I120" s="66">
        <f>'[33]TGNPDCL MoD'!$F$103</f>
        <v>1.0190928297479484E-2</v>
      </c>
      <c r="J120" s="66">
        <f>'[33]TGNPDCL MoD'!$F$103</f>
        <v>1.0190928297479484E-2</v>
      </c>
      <c r="K120" s="66">
        <f>'[33]TGNPDCL MoD'!$F$103</f>
        <v>1.0190928297479484E-2</v>
      </c>
      <c r="L120" s="66">
        <f>'[33]TGNPDCL MoD'!$F$103</f>
        <v>1.0190928297479484E-2</v>
      </c>
      <c r="M120" s="66">
        <f>'[33]TGNPDCL MoD'!$F$103</f>
        <v>1.0190928297479484E-2</v>
      </c>
      <c r="N120" s="66">
        <f>'[33]TGNPDCL MoD'!$F$103</f>
        <v>1.0190928297479484E-2</v>
      </c>
      <c r="O120" s="66">
        <f>'[33]TGNPDCL MoD'!$F$103</f>
        <v>1.0190928297479484E-2</v>
      </c>
      <c r="P120" s="66">
        <f>'[33]TGNPDCL MoD'!$F$103</f>
        <v>1.0190928297479484E-2</v>
      </c>
      <c r="Q120" s="291">
        <f t="shared" si="13"/>
        <v>0.12229113956975383</v>
      </c>
    </row>
    <row r="121" spans="3:18" x14ac:dyDescent="0.25">
      <c r="C121" s="17"/>
      <c r="D121" s="322" t="s">
        <v>410</v>
      </c>
      <c r="E121" s="66">
        <f>'[33]TGNPDCL MoD'!F114</f>
        <v>218.66626561572374</v>
      </c>
      <c r="F121" s="66">
        <f>'[33]TGNPDCL MoD'!G114</f>
        <v>225.47976283895861</v>
      </c>
      <c r="G121" s="66">
        <f>'[33]TGNPDCL MoD'!H114</f>
        <v>211.10559487797087</v>
      </c>
      <c r="H121" s="66">
        <f>'[33]TGNPDCL MoD'!I114</f>
        <v>165.34072749082293</v>
      </c>
      <c r="I121" s="66">
        <f>'[33]TGNPDCL MoD'!J114</f>
        <v>203.35743595861499</v>
      </c>
      <c r="J121" s="66">
        <f>'[33]TGNPDCL MoD'!K114</f>
        <v>179.25302400117482</v>
      </c>
      <c r="K121" s="66">
        <f>'[33]TGNPDCL MoD'!L114</f>
        <v>219.76011064591242</v>
      </c>
      <c r="L121" s="66">
        <f>'[33]TGNPDCL MoD'!M114</f>
        <v>169.45072073092365</v>
      </c>
      <c r="M121" s="66">
        <f>'[33]TGNPDCL MoD'!N114</f>
        <v>185.75531251776084</v>
      </c>
      <c r="N121" s="66">
        <f>'[33]TGNPDCL MoD'!O114</f>
        <v>198.04237100251726</v>
      </c>
      <c r="O121" s="66">
        <f>'[33]TGNPDCL MoD'!P114</f>
        <v>203.27782550421426</v>
      </c>
      <c r="P121" s="66">
        <f>'[33]TGNPDCL MoD'!Q114</f>
        <v>217.9710129275023</v>
      </c>
      <c r="Q121" s="291">
        <f t="shared" si="13"/>
        <v>2397.4601641120967</v>
      </c>
    </row>
    <row r="122" spans="3:18" x14ac:dyDescent="0.25">
      <c r="C122" s="17"/>
      <c r="D122" s="322" t="s">
        <v>411</v>
      </c>
      <c r="E122" s="66">
        <f>'[33]TGNPDCL MoD'!F107</f>
        <v>5.8904479120565982</v>
      </c>
      <c r="F122" s="66">
        <f>'[33]TGNPDCL MoD'!G107</f>
        <v>6.0739904003292891</v>
      </c>
      <c r="G122" s="66">
        <f>'[33]TGNPDCL MoD'!H107</f>
        <v>5.6867780088113973</v>
      </c>
      <c r="H122" s="66">
        <f>'[33]TGNPDCL MoD'!I107</f>
        <v>4.453960652247055</v>
      </c>
      <c r="I122" s="66">
        <f>'[33]TGNPDCL MoD'!J107</f>
        <v>5.4780575351695742</v>
      </c>
      <c r="J122" s="66">
        <f>'[33]TGNPDCL MoD'!K107</f>
        <v>4.828731116728898</v>
      </c>
      <c r="K122" s="66">
        <f>'[33]TGNPDCL MoD'!L107</f>
        <v>5.9199139897620254</v>
      </c>
      <c r="L122" s="66">
        <f>'[33]TGNPDCL MoD'!M107</f>
        <v>4.564675951799769</v>
      </c>
      <c r="M122" s="66">
        <f>'[33]TGNPDCL MoD'!N107</f>
        <v>5.0038902420208755</v>
      </c>
      <c r="N122" s="66">
        <f>'[33]TGNPDCL MoD'!O107</f>
        <v>5.3348799252857031</v>
      </c>
      <c r="O122" s="66">
        <f>'[33]TGNPDCL MoD'!P107</f>
        <v>5.4759129829059576</v>
      </c>
      <c r="P122" s="66">
        <f>'[33]TGNPDCL MoD'!Q107</f>
        <v>5.8717191441135688</v>
      </c>
      <c r="Q122" s="291">
        <f t="shared" si="13"/>
        <v>64.58295786123071</v>
      </c>
    </row>
    <row r="123" spans="3:18" x14ac:dyDescent="0.25">
      <c r="C123" s="17"/>
      <c r="D123" s="322" t="s">
        <v>412</v>
      </c>
      <c r="E123" s="66">
        <f>'[33]TGNPDCL MoD'!F108</f>
        <v>29.54000698340856</v>
      </c>
      <c r="F123" s="66">
        <f>'[33]TGNPDCL MoD'!G108</f>
        <v>30.460454200033645</v>
      </c>
      <c r="G123" s="66">
        <f>'[33]TGNPDCL MoD'!H108</f>
        <v>28.518622794294707</v>
      </c>
      <c r="H123" s="66">
        <f>'[33]TGNPDCL MoD'!I108</f>
        <v>22.336167085342829</v>
      </c>
      <c r="I123" s="66">
        <f>'[33]TGNPDCL MoD'!J108</f>
        <v>27.471910499913832</v>
      </c>
      <c r="J123" s="66">
        <f>'[33]TGNPDCL MoD'!K108</f>
        <v>24.215603471718357</v>
      </c>
      <c r="K123" s="66">
        <f>'[33]TGNPDCL MoD'!L108</f>
        <v>29.687776415239099</v>
      </c>
      <c r="L123" s="66">
        <f>'[33]TGNPDCL MoD'!M108</f>
        <v>22.891393236356439</v>
      </c>
      <c r="M123" s="66">
        <f>'[33]TGNPDCL MoD'!N108</f>
        <v>25.094008961688345</v>
      </c>
      <c r="N123" s="66">
        <f>'[33]TGNPDCL MoD'!O108</f>
        <v>26.753889110202465</v>
      </c>
      <c r="O123" s="66">
        <f>'[33]TGNPDCL MoD'!P108</f>
        <v>27.461155784858317</v>
      </c>
      <c r="P123" s="66">
        <f>'[33]TGNPDCL MoD'!Q108</f>
        <v>29.446084085848369</v>
      </c>
      <c r="Q123" s="291">
        <f t="shared" si="13"/>
        <v>323.87707262890495</v>
      </c>
    </row>
    <row r="124" spans="3:18" x14ac:dyDescent="0.25">
      <c r="C124" s="17"/>
      <c r="D124" s="322" t="s">
        <v>413</v>
      </c>
      <c r="E124" s="66">
        <f>'[33]TGNPDCL MoD'!F109</f>
        <v>29.540006983408567</v>
      </c>
      <c r="F124" s="66">
        <f>'[33]TGNPDCL MoD'!G109</f>
        <v>30.460454200033642</v>
      </c>
      <c r="G124" s="66">
        <f>'[33]TGNPDCL MoD'!H109</f>
        <v>28.518622794294703</v>
      </c>
      <c r="H124" s="66">
        <f>'[33]TGNPDCL MoD'!I109</f>
        <v>22.336167085342829</v>
      </c>
      <c r="I124" s="66">
        <f>'[33]TGNPDCL MoD'!J109</f>
        <v>27.471910499913829</v>
      </c>
      <c r="J124" s="66">
        <f>'[33]TGNPDCL MoD'!K109</f>
        <v>24.215603471718353</v>
      </c>
      <c r="K124" s="66">
        <f>'[33]TGNPDCL MoD'!L109</f>
        <v>29.687776415239099</v>
      </c>
      <c r="L124" s="66">
        <f>'[33]TGNPDCL MoD'!M109</f>
        <v>22.891393236356439</v>
      </c>
      <c r="M124" s="66">
        <f>'[33]TGNPDCL MoD'!N109</f>
        <v>25.094008961688345</v>
      </c>
      <c r="N124" s="66">
        <f>'[33]TGNPDCL MoD'!O109</f>
        <v>26.753889110202461</v>
      </c>
      <c r="O124" s="66">
        <f>'[33]TGNPDCL MoD'!P109</f>
        <v>27.461155784858317</v>
      </c>
      <c r="P124" s="66">
        <f>'[33]TGNPDCL MoD'!Q109</f>
        <v>29.446084085848373</v>
      </c>
      <c r="Q124" s="291">
        <f t="shared" si="13"/>
        <v>323.87707262890495</v>
      </c>
    </row>
    <row r="125" spans="3:18" x14ac:dyDescent="0.25">
      <c r="C125" s="17"/>
      <c r="D125" s="322" t="s">
        <v>414</v>
      </c>
      <c r="E125" s="66">
        <f>'[33]TGNPDCL MoD'!F110</f>
        <v>114.09827697341557</v>
      </c>
      <c r="F125" s="66">
        <f>'[33]TGNPDCL MoD'!G110</f>
        <v>117.65350434762995</v>
      </c>
      <c r="G125" s="66">
        <f>'[33]TGNPDCL MoD'!H110</f>
        <v>110.1531805429633</v>
      </c>
      <c r="H125" s="66">
        <f>'[33]TGNPDCL MoD'!I110</f>
        <v>86.273445367136688</v>
      </c>
      <c r="I125" s="66">
        <f>'[33]TGNPDCL MoD'!J110</f>
        <v>106.11025430591717</v>
      </c>
      <c r="J125" s="66">
        <f>'[33]TGNPDCL MoD'!K110</f>
        <v>93.532768409512158</v>
      </c>
      <c r="K125" s="66">
        <f>'[33]TGNPDCL MoD'!L110</f>
        <v>114.66903640386104</v>
      </c>
      <c r="L125" s="66">
        <f>'[33]TGNPDCL MoD'!M110</f>
        <v>88.418006375426756</v>
      </c>
      <c r="M125" s="66">
        <f>'[33]TGNPDCL MoD'!N110</f>
        <v>96.925609614521221</v>
      </c>
      <c r="N125" s="66">
        <f>'[33]TGNPDCL MoD'!O110</f>
        <v>103.33689668815703</v>
      </c>
      <c r="O125" s="66">
        <f>'[33]TGNPDCL MoD'!P110</f>
        <v>106.06871421901526</v>
      </c>
      <c r="P125" s="66">
        <f>'[33]TGNPDCL MoD'!Q110</f>
        <v>113.73549978158933</v>
      </c>
      <c r="Q125" s="291">
        <f t="shared" si="13"/>
        <v>1250.9751930291454</v>
      </c>
    </row>
    <row r="126" spans="3:18" x14ac:dyDescent="0.25">
      <c r="C126" s="17"/>
      <c r="D126" s="322" t="s">
        <v>415</v>
      </c>
      <c r="E126" s="66">
        <f>'[33]TGNPDCL MoD'!F111</f>
        <v>0</v>
      </c>
      <c r="F126" s="66">
        <f>'[33]TGNPDCL MoD'!G111</f>
        <v>0</v>
      </c>
      <c r="G126" s="66">
        <f>'[33]TGNPDCL MoD'!H111</f>
        <v>0</v>
      </c>
      <c r="H126" s="66">
        <f>'[33]TGNPDCL MoD'!I111</f>
        <v>0</v>
      </c>
      <c r="I126" s="66">
        <f>'[33]TGNPDCL MoD'!J111</f>
        <v>0</v>
      </c>
      <c r="J126" s="66">
        <f>'[33]TGNPDCL MoD'!K111</f>
        <v>0</v>
      </c>
      <c r="K126" s="66">
        <f>'[33]TGNPDCL MoD'!L111</f>
        <v>0</v>
      </c>
      <c r="L126" s="66">
        <f>'[33]TGNPDCL MoD'!M111</f>
        <v>0</v>
      </c>
      <c r="M126" s="66">
        <f>'[33]TGNPDCL MoD'!N111</f>
        <v>0</v>
      </c>
      <c r="N126" s="66">
        <f>'[33]TGNPDCL MoD'!O111</f>
        <v>0</v>
      </c>
      <c r="O126" s="66">
        <f>'[33]TGNPDCL MoD'!P111</f>
        <v>0</v>
      </c>
      <c r="P126" s="66">
        <f>'[33]TGNPDCL MoD'!Q111</f>
        <v>0</v>
      </c>
      <c r="Q126" s="291">
        <f t="shared" si="13"/>
        <v>0</v>
      </c>
    </row>
    <row r="127" spans="3:18" x14ac:dyDescent="0.25">
      <c r="C127" s="17"/>
      <c r="D127" s="322" t="s">
        <v>416</v>
      </c>
      <c r="E127" s="66">
        <f>'[33]TGNPDCL MoD'!F112</f>
        <v>124.9542295398182</v>
      </c>
      <c r="F127" s="66">
        <f>'[33]TGNPDCL MoD'!G112</f>
        <v>128.84772126614229</v>
      </c>
      <c r="G127" s="66">
        <f>'[33]TGNPDCL MoD'!H112</f>
        <v>120.6337744198666</v>
      </c>
      <c r="H127" s="66">
        <f>'[33]TGNPDCL MoD'!I112</f>
        <v>94.481986771000166</v>
      </c>
      <c r="I127" s="66">
        <f>'[33]TGNPDCL MoD'!J112</f>
        <v>116.20618141463551</v>
      </c>
      <c r="J127" s="66">
        <f>'[33]TGNPDCL MoD'!K112</f>
        <v>102.43200268536864</v>
      </c>
      <c r="K127" s="66">
        <f>'[33]TGNPDCL MoD'!L112</f>
        <v>125.57929423646139</v>
      </c>
      <c r="L127" s="66">
        <f>'[33]TGNPDCL MoD'!M112</f>
        <v>96.830593389787751</v>
      </c>
      <c r="M127" s="66">
        <f>'[33]TGNPDCL MoD'!N112</f>
        <v>106.14765790794169</v>
      </c>
      <c r="N127" s="66">
        <f>'[33]TGNPDCL MoD'!O112</f>
        <v>113.16895093615641</v>
      </c>
      <c r="O127" s="66">
        <f>'[33]TGNPDCL MoD'!P112</f>
        <v>116.16068896995067</v>
      </c>
      <c r="P127" s="66">
        <f>'[33]TGNPDCL MoD'!Q112</f>
        <v>124.55693568313859</v>
      </c>
      <c r="Q127" s="291">
        <f t="shared" si="13"/>
        <v>1370.0000172202676</v>
      </c>
    </row>
    <row r="128" spans="3:18" x14ac:dyDescent="0.25">
      <c r="C128" s="17"/>
      <c r="D128" s="322" t="s">
        <v>417</v>
      </c>
      <c r="E128" s="66">
        <f>'[33]TGNPDCL MoD'!F113</f>
        <v>73.850017458521393</v>
      </c>
      <c r="F128" s="66">
        <f>'[33]TGNPDCL MoD'!G113</f>
        <v>76.151135500084095</v>
      </c>
      <c r="G128" s="66">
        <f>'[33]TGNPDCL MoD'!H113</f>
        <v>71.296556985736757</v>
      </c>
      <c r="H128" s="66">
        <f>'[33]TGNPDCL MoD'!I113</f>
        <v>55.840417713357063</v>
      </c>
      <c r="I128" s="66">
        <f>'[33]TGNPDCL MoD'!J113</f>
        <v>68.679776249784567</v>
      </c>
      <c r="J128" s="66">
        <f>'[33]TGNPDCL MoD'!K113</f>
        <v>60.539008679295883</v>
      </c>
      <c r="K128" s="66">
        <f>'[33]TGNPDCL MoD'!L113</f>
        <v>74.219441038097742</v>
      </c>
      <c r="L128" s="66">
        <f>'[33]TGNPDCL MoD'!M113</f>
        <v>57.228483090891096</v>
      </c>
      <c r="M128" s="66">
        <f>'[33]TGNPDCL MoD'!N113</f>
        <v>62.73502240422085</v>
      </c>
      <c r="N128" s="66">
        <f>'[33]TGNPDCL MoD'!O113</f>
        <v>66.884722775506148</v>
      </c>
      <c r="O128" s="66">
        <f>'[33]TGNPDCL MoD'!P113</f>
        <v>68.652889462145794</v>
      </c>
      <c r="P128" s="66">
        <f>'[33]TGNPDCL MoD'!Q113</f>
        <v>73.615210214620916</v>
      </c>
      <c r="Q128" s="291">
        <f t="shared" si="13"/>
        <v>809.69268157226225</v>
      </c>
    </row>
    <row r="129" spans="3:18" x14ac:dyDescent="0.25">
      <c r="C129" s="17"/>
      <c r="D129" s="17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291"/>
    </row>
    <row r="130" spans="3:18" x14ac:dyDescent="0.25">
      <c r="C130" s="17"/>
      <c r="D130" s="17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291"/>
    </row>
    <row r="131" spans="3:18" x14ac:dyDescent="0.25">
      <c r="C131" s="17"/>
      <c r="D131" s="17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291"/>
    </row>
    <row r="132" spans="3:18" x14ac:dyDescent="0.25">
      <c r="C132" s="17"/>
      <c r="D132" s="17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291"/>
    </row>
    <row r="133" spans="3:18" x14ac:dyDescent="0.25">
      <c r="C133" s="17"/>
      <c r="D133" s="17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291"/>
    </row>
    <row r="134" spans="3:18" x14ac:dyDescent="0.25">
      <c r="C134" s="17"/>
      <c r="D134" s="17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291"/>
    </row>
    <row r="135" spans="3:18" x14ac:dyDescent="0.25">
      <c r="C135" s="17"/>
      <c r="D135" s="17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291"/>
    </row>
    <row r="136" spans="3:18" x14ac:dyDescent="0.25">
      <c r="C136" s="17"/>
      <c r="D136" s="17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291"/>
    </row>
    <row r="137" spans="3:18" x14ac:dyDescent="0.25">
      <c r="C137" s="17"/>
      <c r="D137" s="17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291"/>
    </row>
    <row r="138" spans="3:18" x14ac:dyDescent="0.25">
      <c r="C138" s="17"/>
      <c r="D138" s="17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291"/>
    </row>
    <row r="139" spans="3:18" x14ac:dyDescent="0.25">
      <c r="C139" s="753" t="s">
        <v>420</v>
      </c>
      <c r="D139" s="754"/>
      <c r="E139" s="291">
        <f t="shared" ref="E139:P139" si="14">SUM(E115:E138)</f>
        <v>600.00494792297309</v>
      </c>
      <c r="F139" s="291">
        <f t="shared" si="14"/>
        <v>617.57656158313125</v>
      </c>
      <c r="G139" s="291">
        <f t="shared" si="14"/>
        <v>577.95697830734298</v>
      </c>
      <c r="H139" s="291">
        <f t="shared" si="14"/>
        <v>453.93124840540213</v>
      </c>
      <c r="I139" s="291">
        <f t="shared" si="14"/>
        <v>557.64390270410206</v>
      </c>
      <c r="J139" s="291">
        <f t="shared" si="14"/>
        <v>491.0737297161055</v>
      </c>
      <c r="K139" s="291">
        <f t="shared" si="14"/>
        <v>602.39172538472542</v>
      </c>
      <c r="L139" s="291">
        <f t="shared" si="14"/>
        <v>464.97301520657112</v>
      </c>
      <c r="M139" s="291">
        <f t="shared" si="14"/>
        <v>511.13134371194934</v>
      </c>
      <c r="N139" s="291">
        <f t="shared" si="14"/>
        <v>544.72383843186049</v>
      </c>
      <c r="O139" s="291">
        <f t="shared" si="14"/>
        <v>559.24783719952336</v>
      </c>
      <c r="P139" s="291">
        <f t="shared" si="14"/>
        <v>599.35169436671686</v>
      </c>
      <c r="Q139" s="323">
        <f>SUM(E139:P139)</f>
        <v>6580.0068229404042</v>
      </c>
      <c r="R139" s="427"/>
    </row>
    <row r="140" spans="3:18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</row>
    <row r="141" spans="3:18" x14ac:dyDescent="0.25">
      <c r="C141" s="17"/>
      <c r="D141" s="322" t="s">
        <v>453</v>
      </c>
      <c r="E141" s="66">
        <f>'[33]ST,D-D'!D27</f>
        <v>0</v>
      </c>
      <c r="F141" s="66">
        <f>'[33]ST,D-D'!E27</f>
        <v>0</v>
      </c>
      <c r="G141" s="66">
        <f>'[33]ST,D-D'!F27</f>
        <v>0</v>
      </c>
      <c r="H141" s="66">
        <f>'[33]ST,D-D'!G27</f>
        <v>0</v>
      </c>
      <c r="I141" s="66">
        <f>'[33]ST,D-D'!H27</f>
        <v>0</v>
      </c>
      <c r="J141" s="66">
        <f>'[33]ST,D-D'!I27</f>
        <v>0</v>
      </c>
      <c r="K141" s="66">
        <f>'[33]ST,D-D'!J27</f>
        <v>0</v>
      </c>
      <c r="L141" s="66">
        <f>'[33]ST,D-D'!K27</f>
        <v>0</v>
      </c>
      <c r="M141" s="66">
        <f>'[33]ST,D-D'!L27</f>
        <v>0</v>
      </c>
      <c r="N141" s="66">
        <f>'[33]ST,D-D'!M27</f>
        <v>0</v>
      </c>
      <c r="O141" s="66">
        <f>'[33]ST,D-D'!N27</f>
        <v>27.597861890123113</v>
      </c>
      <c r="P141" s="66">
        <f>'[33]ST,D-D'!O27</f>
        <v>24.635383652957444</v>
      </c>
      <c r="Q141" s="17">
        <f>SUM(E141:P141)</f>
        <v>52.233245543080557</v>
      </c>
      <c r="R141" s="427"/>
    </row>
    <row r="142" spans="3:18" x14ac:dyDescent="0.25">
      <c r="C142" s="17"/>
      <c r="D142" s="322" t="s">
        <v>422</v>
      </c>
      <c r="E142" s="66">
        <f>'[33]ST,D-D'!D29</f>
        <v>-17.094250795282733</v>
      </c>
      <c r="F142" s="66">
        <f>'[33]ST,D-D'!E29</f>
        <v>0</v>
      </c>
      <c r="G142" s="66">
        <f>'[33]ST,D-D'!F29</f>
        <v>0</v>
      </c>
      <c r="H142" s="66">
        <f>'[33]ST,D-D'!G29</f>
        <v>0</v>
      </c>
      <c r="I142" s="66">
        <f>'[33]ST,D-D'!H29</f>
        <v>-154.80184589448982</v>
      </c>
      <c r="J142" s="66">
        <f>'[33]ST,D-D'!I29</f>
        <v>-5.8034798223161488E-2</v>
      </c>
      <c r="K142" s="66">
        <f>'[33]ST,D-D'!J29</f>
        <v>-375.60107397707975</v>
      </c>
      <c r="L142" s="66">
        <f>'[33]ST,D-D'!K29</f>
        <v>-47.167004469309177</v>
      </c>
      <c r="M142" s="66">
        <f>'[33]ST,D-D'!L29</f>
        <v>-38.820798031828417</v>
      </c>
      <c r="N142" s="66">
        <f>'[33]ST,D-D'!M29</f>
        <v>-60.199312097084203</v>
      </c>
      <c r="O142" s="66">
        <f>'[33]ST,D-D'!N29</f>
        <v>0</v>
      </c>
      <c r="P142" s="66">
        <f>'[33]ST,D-D'!O29</f>
        <v>0</v>
      </c>
      <c r="Q142" s="17">
        <f>SUM(E142:P142)</f>
        <v>-693.74232006329726</v>
      </c>
      <c r="R142" s="427"/>
    </row>
    <row r="143" spans="3:18" x14ac:dyDescent="0.25">
      <c r="C143" s="17"/>
      <c r="D143" s="17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17"/>
    </row>
    <row r="144" spans="3:18" x14ac:dyDescent="0.25">
      <c r="C144" s="17"/>
      <c r="D144" s="17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17"/>
    </row>
    <row r="145" spans="3:18" x14ac:dyDescent="0.25">
      <c r="C145" s="17"/>
      <c r="D145" s="17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17"/>
    </row>
    <row r="146" spans="3:18" x14ac:dyDescent="0.25">
      <c r="C146" s="17"/>
      <c r="D146" s="17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17"/>
    </row>
    <row r="147" spans="3:18" x14ac:dyDescent="0.25">
      <c r="C147" s="17"/>
      <c r="D147" s="17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17"/>
    </row>
    <row r="148" spans="3:18" x14ac:dyDescent="0.25">
      <c r="C148" s="17"/>
      <c r="D148" s="17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17"/>
    </row>
    <row r="149" spans="3:18" x14ac:dyDescent="0.25">
      <c r="C149" s="17"/>
      <c r="D149" s="17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17"/>
    </row>
    <row r="150" spans="3:18" x14ac:dyDescent="0.25">
      <c r="C150" s="17"/>
      <c r="D150" s="17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17"/>
    </row>
    <row r="151" spans="3:18" x14ac:dyDescent="0.25">
      <c r="C151" s="17"/>
      <c r="D151" s="17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17"/>
    </row>
    <row r="152" spans="3:18" x14ac:dyDescent="0.25">
      <c r="C152" s="753" t="s">
        <v>423</v>
      </c>
      <c r="D152" s="754"/>
      <c r="E152" s="17">
        <f t="shared" ref="E152:P152" si="15">SUM(E141:E151)</f>
        <v>-17.094250795282733</v>
      </c>
      <c r="F152" s="17">
        <f t="shared" si="15"/>
        <v>0</v>
      </c>
      <c r="G152" s="17">
        <f t="shared" si="15"/>
        <v>0</v>
      </c>
      <c r="H152" s="17">
        <f t="shared" si="15"/>
        <v>0</v>
      </c>
      <c r="I152" s="17">
        <f t="shared" si="15"/>
        <v>-154.80184589448982</v>
      </c>
      <c r="J152" s="17">
        <f t="shared" si="15"/>
        <v>-5.8034798223161488E-2</v>
      </c>
      <c r="K152" s="17">
        <f t="shared" si="15"/>
        <v>-375.60107397707975</v>
      </c>
      <c r="L152" s="17">
        <f t="shared" si="15"/>
        <v>-47.167004469309177</v>
      </c>
      <c r="M152" s="17">
        <f t="shared" si="15"/>
        <v>-38.820798031828417</v>
      </c>
      <c r="N152" s="17">
        <f t="shared" si="15"/>
        <v>-60.199312097084203</v>
      </c>
      <c r="O152" s="17">
        <f t="shared" si="15"/>
        <v>27.597861890123113</v>
      </c>
      <c r="P152" s="17">
        <f t="shared" si="15"/>
        <v>24.635383652957444</v>
      </c>
      <c r="Q152" s="86">
        <f>SUM(E152:P152)</f>
        <v>-641.5090745202167</v>
      </c>
    </row>
    <row r="153" spans="3:18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3:18" x14ac:dyDescent="0.25">
      <c r="C154" s="17" t="s">
        <v>425</v>
      </c>
      <c r="D154" s="322" t="s">
        <v>426</v>
      </c>
      <c r="E154" s="66">
        <f>'[33]ST,D-D'!D31</f>
        <v>-174.36043896855699</v>
      </c>
      <c r="F154" s="66">
        <f>'[33]ST,D-D'!E31</f>
        <v>-636.33312092374717</v>
      </c>
      <c r="G154" s="66">
        <f>'[33]ST,D-D'!F31</f>
        <v>-601.00174197501747</v>
      </c>
      <c r="H154" s="66">
        <f>'[33]ST,D-D'!G31</f>
        <v>-340.7172701379277</v>
      </c>
      <c r="I154" s="66">
        <f>'[33]ST,D-D'!H31</f>
        <v>-309.83456216986451</v>
      </c>
      <c r="J154" s="66">
        <f>'[33]ST,D-D'!I31</f>
        <v>-425.25704433977626</v>
      </c>
      <c r="K154" s="66">
        <f>'[33]ST,D-D'!J31</f>
        <v>-193.88384589279121</v>
      </c>
      <c r="L154" s="66">
        <f>'[33]ST,D-D'!K31</f>
        <v>-414.64038388800418</v>
      </c>
      <c r="M154" s="66">
        <f>'[33]ST,D-D'!L31</f>
        <v>-199.71809120339822</v>
      </c>
      <c r="N154" s="66">
        <f>'[33]ST,D-D'!M31</f>
        <v>-156.28186549467318</v>
      </c>
      <c r="O154" s="66">
        <f>'[33]ST,D-D'!N31</f>
        <v>0</v>
      </c>
      <c r="P154" s="66">
        <f>'[33]ST,D-D'!O31</f>
        <v>0</v>
      </c>
      <c r="Q154" s="17">
        <f>SUM(E154:P154)</f>
        <v>-3452.0283649937569</v>
      </c>
      <c r="R154" s="427"/>
    </row>
    <row r="155" spans="3:18" x14ac:dyDescent="0.25">
      <c r="C155" s="17" t="s">
        <v>425</v>
      </c>
      <c r="D155" s="322" t="s">
        <v>427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17">
        <f>SUM(E155:P155)</f>
        <v>0</v>
      </c>
    </row>
    <row r="156" spans="3:18" x14ac:dyDescent="0.25">
      <c r="C156" s="17"/>
      <c r="D156" s="117" t="s">
        <v>463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>
        <f>SUM(E156:P156)</f>
        <v>0</v>
      </c>
    </row>
    <row r="157" spans="3:18" x14ac:dyDescent="0.25">
      <c r="C157" s="753" t="s">
        <v>428</v>
      </c>
      <c r="D157" s="754"/>
      <c r="E157" s="321">
        <f t="shared" ref="E157:P157" si="16">SUM(E154:E155)</f>
        <v>-174.36043896855699</v>
      </c>
      <c r="F157" s="321">
        <f t="shared" si="16"/>
        <v>-636.33312092374717</v>
      </c>
      <c r="G157" s="321">
        <f t="shared" si="16"/>
        <v>-601.00174197501747</v>
      </c>
      <c r="H157" s="321">
        <f t="shared" si="16"/>
        <v>-340.7172701379277</v>
      </c>
      <c r="I157" s="321">
        <f t="shared" si="16"/>
        <v>-309.83456216986451</v>
      </c>
      <c r="J157" s="321">
        <f t="shared" si="16"/>
        <v>-425.25704433977626</v>
      </c>
      <c r="K157" s="321">
        <f t="shared" si="16"/>
        <v>-193.88384589279121</v>
      </c>
      <c r="L157" s="321">
        <f t="shared" si="16"/>
        <v>-414.64038388800418</v>
      </c>
      <c r="M157" s="321">
        <f t="shared" si="16"/>
        <v>-199.71809120339822</v>
      </c>
      <c r="N157" s="321">
        <f t="shared" si="16"/>
        <v>-156.28186549467318</v>
      </c>
      <c r="O157" s="321">
        <f t="shared" si="16"/>
        <v>0</v>
      </c>
      <c r="P157" s="321">
        <f t="shared" si="16"/>
        <v>0</v>
      </c>
      <c r="Q157" s="248">
        <f>Q154-Q155</f>
        <v>-3452.0283649937569</v>
      </c>
      <c r="R157" s="427"/>
    </row>
    <row r="158" spans="3:18" x14ac:dyDescent="0.25">
      <c r="C158" s="753" t="s">
        <v>220</v>
      </c>
      <c r="D158" s="754"/>
      <c r="E158" s="321">
        <f t="shared" ref="E158:Q158" si="17">E49+E94+E103+E113+E139+E152+E157</f>
        <v>2446.8476560812428</v>
      </c>
      <c r="F158" s="321">
        <f t="shared" si="17"/>
        <v>1501.5247823548721</v>
      </c>
      <c r="G158" s="321">
        <f t="shared" si="17"/>
        <v>1523.6548763941373</v>
      </c>
      <c r="H158" s="321">
        <f t="shared" si="17"/>
        <v>1838.483735713085</v>
      </c>
      <c r="I158" s="321">
        <f t="shared" si="17"/>
        <v>2052.630365644025</v>
      </c>
      <c r="J158" s="321">
        <f t="shared" si="17"/>
        <v>2010.2131334695514</v>
      </c>
      <c r="K158" s="321">
        <f t="shared" si="17"/>
        <v>1830.5972023712495</v>
      </c>
      <c r="L158" s="321">
        <f t="shared" si="17"/>
        <v>1712.0924031370359</v>
      </c>
      <c r="M158" s="321">
        <f t="shared" si="17"/>
        <v>2143.6869970180637</v>
      </c>
      <c r="N158" s="321">
        <f t="shared" si="17"/>
        <v>2426.3972471803522</v>
      </c>
      <c r="O158" s="321">
        <f t="shared" si="17"/>
        <v>2694.2537304380071</v>
      </c>
      <c r="P158" s="321">
        <f t="shared" si="17"/>
        <v>2996.4916146899363</v>
      </c>
      <c r="Q158" s="248">
        <f t="shared" si="17"/>
        <v>25176.873744491561</v>
      </c>
      <c r="R158" s="427"/>
    </row>
    <row r="160" spans="3:18" x14ac:dyDescent="0.25">
      <c r="D160" s="22"/>
      <c r="E160" s="22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157:D157"/>
    <mergeCell ref="C158:D158"/>
    <mergeCell ref="C113:D113"/>
    <mergeCell ref="C114:D114"/>
    <mergeCell ref="C139:D139"/>
    <mergeCell ref="C140:D140"/>
    <mergeCell ref="C152:D152"/>
    <mergeCell ref="C153:D153"/>
    <mergeCell ref="C29:D29"/>
    <mergeCell ref="C30:C47"/>
    <mergeCell ref="C104:D104"/>
    <mergeCell ref="C49:D49"/>
    <mergeCell ref="C50:D50"/>
    <mergeCell ref="C51:D51"/>
    <mergeCell ref="C52:C60"/>
    <mergeCell ref="C77:D77"/>
    <mergeCell ref="C78:D78"/>
    <mergeCell ref="C79:C82"/>
    <mergeCell ref="C48:D48"/>
    <mergeCell ref="C93:D93"/>
    <mergeCell ref="C94:D94"/>
    <mergeCell ref="C95:D95"/>
    <mergeCell ref="C103:D103"/>
    <mergeCell ref="C8:D8"/>
    <mergeCell ref="C9:D9"/>
    <mergeCell ref="C10:C27"/>
    <mergeCell ref="C28:D28"/>
    <mergeCell ref="C2:P2"/>
    <mergeCell ref="C3:Q3"/>
    <mergeCell ref="C5:C7"/>
    <mergeCell ref="D5:D7"/>
    <mergeCell ref="E5:Q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R163"/>
  <sheetViews>
    <sheetView showGridLines="0" topLeftCell="A126" zoomScale="70" zoomScaleNormal="70" workbookViewId="0">
      <selection activeCell="E35" sqref="E35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2.88671875" style="4" customWidth="1"/>
    <col min="5" max="5" width="14.109375" style="4" bestFit="1" customWidth="1"/>
    <col min="6" max="6" width="13.44140625" style="4" bestFit="1" customWidth="1"/>
    <col min="7" max="7" width="13.6640625" style="4" bestFit="1" customWidth="1"/>
    <col min="8" max="8" width="14.109375" style="4" bestFit="1" customWidth="1"/>
    <col min="9" max="9" width="13.44140625" style="4" bestFit="1" customWidth="1"/>
    <col min="10" max="10" width="14.88671875" style="4" customWidth="1"/>
    <col min="11" max="11" width="12.5546875" style="4" customWidth="1"/>
    <col min="12" max="12" width="13.44140625" style="4" bestFit="1" customWidth="1"/>
    <col min="13" max="13" width="14.109375" style="4" bestFit="1" customWidth="1"/>
    <col min="14" max="16" width="13.44140625" style="4" bestFit="1" customWidth="1"/>
    <col min="17" max="17" width="14.5546875" style="4" bestFit="1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7" ht="14.25" customHeight="1" x14ac:dyDescent="0.25">
      <c r="C3" s="826" t="s">
        <v>470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</row>
    <row r="4" spans="2:17" x14ac:dyDescent="0.25">
      <c r="C4" s="14"/>
      <c r="Q4" s="25" t="s">
        <v>229</v>
      </c>
    </row>
    <row r="5" spans="2:17" ht="15" customHeight="1" x14ac:dyDescent="0.25">
      <c r="C5" s="762" t="s">
        <v>346</v>
      </c>
      <c r="D5" s="762" t="s">
        <v>347</v>
      </c>
      <c r="E5" s="768" t="s">
        <v>260</v>
      </c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</row>
    <row r="6" spans="2:17" x14ac:dyDescent="0.25">
      <c r="C6" s="764"/>
      <c r="D6" s="764"/>
      <c r="E6" s="13" t="s">
        <v>239</v>
      </c>
      <c r="F6" s="13" t="s">
        <v>240</v>
      </c>
      <c r="G6" s="13" t="s">
        <v>241</v>
      </c>
      <c r="H6" s="13" t="s">
        <v>242</v>
      </c>
      <c r="I6" s="13" t="s">
        <v>243</v>
      </c>
      <c r="J6" s="13" t="s">
        <v>244</v>
      </c>
      <c r="K6" s="13" t="s">
        <v>245</v>
      </c>
      <c r="L6" s="13" t="s">
        <v>246</v>
      </c>
      <c r="M6" s="13" t="s">
        <v>247</v>
      </c>
      <c r="N6" s="13" t="s">
        <v>248</v>
      </c>
      <c r="O6" s="13" t="s">
        <v>249</v>
      </c>
      <c r="P6" s="13" t="s">
        <v>250</v>
      </c>
      <c r="Q6" s="13" t="s">
        <v>251</v>
      </c>
    </row>
    <row r="7" spans="2:17" ht="14.25" customHeight="1" x14ac:dyDescent="0.25">
      <c r="C7" s="766"/>
      <c r="D7" s="7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2:17" x14ac:dyDescent="0.25">
      <c r="B8" s="60"/>
      <c r="C8" s="800" t="s">
        <v>348</v>
      </c>
      <c r="D8" s="801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2:17" x14ac:dyDescent="0.25">
      <c r="C9" s="753" t="s">
        <v>349</v>
      </c>
      <c r="D9" s="754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ht="14.25" customHeight="1" x14ac:dyDescent="0.25">
      <c r="B10" s="60"/>
      <c r="C10" s="833" t="s">
        <v>350</v>
      </c>
      <c r="D10" s="59" t="s">
        <v>351</v>
      </c>
      <c r="E10" s="66">
        <f>'[34]TGNPDCL MoD'!F4+'[34]TGNPDCL MoD'!F5</f>
        <v>63.677727304896734</v>
      </c>
      <c r="F10" s="66">
        <f>'[34]TGNPDCL MoD'!G4+'[34]TGNPDCL MoD'!G5</f>
        <v>79.900386404001381</v>
      </c>
      <c r="G10" s="66">
        <f>'[34]TGNPDCL MoD'!H4+'[34]TGNPDCL MoD'!H5</f>
        <v>77.322954584517518</v>
      </c>
      <c r="H10" s="66">
        <f>'[34]TGNPDCL MoD'!I4+'[34]TGNPDCL MoD'!I5</f>
        <v>0</v>
      </c>
      <c r="I10" s="66">
        <f>'[34]TGNPDCL MoD'!J4+'[34]TGNPDCL MoD'!J5</f>
        <v>25.850125013059277</v>
      </c>
      <c r="J10" s="66">
        <f>'[34]TGNPDCL MoD'!K4+'[34]TGNPDCL MoD'!K5</f>
        <v>53.4438068451812</v>
      </c>
      <c r="K10" s="66">
        <f>'[34]TGNPDCL MoD'!L4+'[34]TGNPDCL MoD'!L5</f>
        <v>51.700250026118553</v>
      </c>
      <c r="L10" s="66">
        <f>'[34]TGNPDCL MoD'!M4+'[34]TGNPDCL MoD'!M5</f>
        <v>64.053128012633309</v>
      </c>
      <c r="M10" s="66">
        <f>'[34]TGNPDCL MoD'!N4+'[34]TGNPDCL MoD'!N5</f>
        <v>56.987775596971574</v>
      </c>
      <c r="N10" s="66">
        <f>'[34]TGNPDCL MoD'!O4+'[34]TGNPDCL MoD'!O5</f>
        <v>56.987775596971574</v>
      </c>
      <c r="O10" s="66">
        <f>'[34]TGNPDCL MoD'!P4+'[34]TGNPDCL MoD'!P5</f>
        <v>64.852732987308514</v>
      </c>
      <c r="P10" s="66">
        <f>'[34]TGNPDCL MoD'!Q4+'[34]TGNPDCL MoD'!Q5</f>
        <v>71.08784378591298</v>
      </c>
      <c r="Q10" s="291">
        <f t="shared" ref="Q10:Q17" si="0">SUM(E10:P10)</f>
        <v>665.86450615757258</v>
      </c>
    </row>
    <row r="11" spans="2:17" x14ac:dyDescent="0.25">
      <c r="B11" s="60"/>
      <c r="C11" s="834"/>
      <c r="D11" s="59" t="s">
        <v>352</v>
      </c>
      <c r="E11" s="66">
        <f>'[34]TGNPDCL MoD'!F6</f>
        <v>67.089034124801913</v>
      </c>
      <c r="F11" s="66">
        <f>'[34]TGNPDCL MoD'!G6</f>
        <v>0</v>
      </c>
      <c r="G11" s="66">
        <f>'[34]TGNPDCL MoD'!H6</f>
        <v>38.661477292258724</v>
      </c>
      <c r="H11" s="66">
        <f>'[34]TGNPDCL MoD'!I6</f>
        <v>60.212129281196553</v>
      </c>
      <c r="I11" s="66">
        <f>'[34]TGNPDCL MoD'!J6</f>
        <v>53.384212695151405</v>
      </c>
      <c r="J11" s="66">
        <f>'[34]TGNPDCL MoD'!K6</f>
        <v>54.924364807042451</v>
      </c>
      <c r="K11" s="66">
        <f>'[34]TGNPDCL MoD'!L6</f>
        <v>51.700250026118553</v>
      </c>
      <c r="L11" s="66">
        <f>'[34]TGNPDCL MoD'!M6</f>
        <v>77.060351096409818</v>
      </c>
      <c r="M11" s="66">
        <f>'[34]TGNPDCL MoD'!N6</f>
        <v>61.397301441002213</v>
      </c>
      <c r="N11" s="66">
        <f>'[34]TGNPDCL MoD'!O6</f>
        <v>65.239338347168058</v>
      </c>
      <c r="O11" s="66">
        <f>'[34]TGNPDCL MoD'!P6</f>
        <v>64.852732987308514</v>
      </c>
      <c r="P11" s="66">
        <f>'[34]TGNPDCL MoD'!Q6</f>
        <v>76.375369356766015</v>
      </c>
      <c r="Q11" s="291">
        <f t="shared" si="0"/>
        <v>670.89656145522417</v>
      </c>
    </row>
    <row r="12" spans="2:17" x14ac:dyDescent="0.25">
      <c r="B12" s="60"/>
      <c r="C12" s="834"/>
      <c r="D12" s="59" t="s">
        <v>353</v>
      </c>
      <c r="E12" s="66">
        <f>'[34]TGNPDCL MoD'!F7</f>
        <v>110.07150005560726</v>
      </c>
      <c r="F12" s="66">
        <f>'[34]TGNPDCL MoD'!G7</f>
        <v>0</v>
      </c>
      <c r="G12" s="66">
        <f>'[34]TGNPDCL MoD'!H7</f>
        <v>61.858363667614015</v>
      </c>
      <c r="H12" s="66">
        <f>'[34]TGNPDCL MoD'!I7</f>
        <v>103.79890984875837</v>
      </c>
      <c r="I12" s="66">
        <f>'[34]TGNPDCL MoD'!J7</f>
        <v>85.540413679577966</v>
      </c>
      <c r="J12" s="66">
        <f>'[34]TGNPDCL MoD'!K7</f>
        <v>93.697227320062353</v>
      </c>
      <c r="K12" s="66">
        <f>'[34]TGNPDCL MoD'!L7</f>
        <v>83.730918767512748</v>
      </c>
      <c r="L12" s="66">
        <f>'[34]TGNPDCL MoD'!M7</f>
        <v>124.63541721317063</v>
      </c>
      <c r="M12" s="66">
        <f>'[34]TGNPDCL MoD'!N7</f>
        <v>108.25812074843139</v>
      </c>
      <c r="N12" s="66">
        <f>'[34]TGNPDCL MoD'!O7</f>
        <v>106.09122873949667</v>
      </c>
      <c r="O12" s="66">
        <f>'[34]TGNPDCL MoD'!P7</f>
        <v>104.75789826288997</v>
      </c>
      <c r="P12" s="66">
        <f>'[34]TGNPDCL MoD'!Q7</f>
        <v>127.32657069427984</v>
      </c>
      <c r="Q12" s="291">
        <f t="shared" si="0"/>
        <v>1109.7665689974012</v>
      </c>
    </row>
    <row r="13" spans="2:17" x14ac:dyDescent="0.25">
      <c r="B13" s="60"/>
      <c r="C13" s="834"/>
      <c r="D13" s="59" t="s">
        <v>354</v>
      </c>
      <c r="E13" s="66">
        <f>'[34]TGNPDCL MoD'!F8</f>
        <v>7.9597159131121238</v>
      </c>
      <c r="F13" s="66">
        <f>'[34]TGNPDCL MoD'!G8</f>
        <v>0</v>
      </c>
      <c r="G13" s="66">
        <f>'[34]TGNPDCL MoD'!H8</f>
        <v>4.8326846615323102</v>
      </c>
      <c r="H13" s="66">
        <f>'[34]TGNPDCL MoD'!I8</f>
        <v>6.9031583841692452</v>
      </c>
      <c r="I13" s="66">
        <f>'[34]TGNPDCL MoD'!J8</f>
        <v>6.4625312532648191</v>
      </c>
      <c r="J13" s="66">
        <f>'[34]TGNPDCL MoD'!K8</f>
        <v>6.6804758556476571</v>
      </c>
      <c r="K13" s="66">
        <f>'[34]TGNPDCL MoD'!L8</f>
        <v>6.4625312532648191</v>
      </c>
      <c r="L13" s="66">
        <f>'[34]TGNPDCL MoD'!M8</f>
        <v>7.8729668346525301</v>
      </c>
      <c r="M13" s="66">
        <f>'[34]TGNPDCL MoD'!N8</f>
        <v>7.1234719496214609</v>
      </c>
      <c r="N13" s="66">
        <f>'[34]TGNPDCL MoD'!O8</f>
        <v>7.1234719496214609</v>
      </c>
      <c r="O13" s="66">
        <f>'[34]TGNPDCL MoD'!P8</f>
        <v>8.1065916234136033</v>
      </c>
      <c r="P13" s="66">
        <f>'[34]TGNPDCL MoD'!Q8</f>
        <v>8.8859804732391687</v>
      </c>
      <c r="Q13" s="291">
        <f t="shared" si="0"/>
        <v>78.413580151539207</v>
      </c>
    </row>
    <row r="14" spans="2:17" x14ac:dyDescent="0.25">
      <c r="B14" s="60"/>
      <c r="C14" s="834"/>
      <c r="D14" s="59" t="s">
        <v>355</v>
      </c>
      <c r="E14" s="66">
        <f>'[34]TGNPDCL MoD'!F9</f>
        <v>80.734261404422625</v>
      </c>
      <c r="F14" s="66">
        <f>'[34]TGNPDCL MoD'!G9</f>
        <v>83.425403451236747</v>
      </c>
      <c r="G14" s="66">
        <f>'[34]TGNPDCL MoD'!H9</f>
        <v>80.734261404422654</v>
      </c>
      <c r="H14" s="66">
        <f>'[34]TGNPDCL MoD'!I9</f>
        <v>85.187911974854387</v>
      </c>
      <c r="I14" s="66">
        <f>'[34]TGNPDCL MoD'!J9</f>
        <v>69.325335262295312</v>
      </c>
      <c r="J14" s="66">
        <f>'[34]TGNPDCL MoD'!K9</f>
        <v>75.903759896647131</v>
      </c>
      <c r="K14" s="66">
        <f>'[34]TGNPDCL MoD'!L9</f>
        <v>0</v>
      </c>
      <c r="L14" s="66">
        <f>'[34]TGNPDCL MoD'!M9</f>
        <v>40.367130702211313</v>
      </c>
      <c r="M14" s="66">
        <f>'[34]TGNPDCL MoD'!N9</f>
        <v>80.693621891540033</v>
      </c>
      <c r="N14" s="66">
        <f>'[34]TGNPDCL MoD'!O9</f>
        <v>72.850352309530678</v>
      </c>
      <c r="O14" s="66">
        <f>'[34]TGNPDCL MoD'!P9</f>
        <v>71.447926172458523</v>
      </c>
      <c r="P14" s="66">
        <f>'[34]TGNPDCL MoD'!Q9</f>
        <v>88.712929022089753</v>
      </c>
      <c r="Q14" s="291">
        <f t="shared" si="0"/>
        <v>829.38289349170907</v>
      </c>
    </row>
    <row r="15" spans="2:17" x14ac:dyDescent="0.25">
      <c r="B15" s="60"/>
      <c r="C15" s="834"/>
      <c r="D15" s="59" t="s">
        <v>356</v>
      </c>
      <c r="E15" s="66">
        <f>'[34]TGNPDCL MoD'!F10</f>
        <v>96.881113685307213</v>
      </c>
      <c r="F15" s="66">
        <f>'[34]TGNPDCL MoD'!G10</f>
        <v>100.11048414148411</v>
      </c>
      <c r="G15" s="66">
        <f>'[34]TGNPDCL MoD'!H10</f>
        <v>96.881113685307184</v>
      </c>
      <c r="H15" s="66">
        <f>'[34]TGNPDCL MoD'!I10</f>
        <v>102.22549436982533</v>
      </c>
      <c r="I15" s="66">
        <f>'[34]TGNPDCL MoD'!J10</f>
        <v>85.305412543095628</v>
      </c>
      <c r="J15" s="66">
        <f>'[34]TGNPDCL MoD'!K10</f>
        <v>93.95519091991136</v>
      </c>
      <c r="K15" s="66">
        <f>'[34]TGNPDCL MoD'!L10</f>
        <v>81.765652008764306</v>
      </c>
      <c r="L15" s="66">
        <f>'[34]TGNPDCL MoD'!M10</f>
        <v>0</v>
      </c>
      <c r="M15" s="66">
        <f>'[34]TGNPDCL MoD'!N10</f>
        <v>50.055242070742054</v>
      </c>
      <c r="N15" s="66">
        <f>'[34]TGNPDCL MoD'!O10</f>
        <v>95.725267202279099</v>
      </c>
      <c r="O15" s="66">
        <f>'[34]TGNPDCL MoD'!P10</f>
        <v>91.961224140806962</v>
      </c>
      <c r="P15" s="66">
        <f>'[34]TGNPDCL MoD'!Q10</f>
        <v>112.80054551153137</v>
      </c>
      <c r="Q15" s="291">
        <f t="shared" si="0"/>
        <v>1007.6667402790546</v>
      </c>
    </row>
    <row r="16" spans="2:17" x14ac:dyDescent="0.25">
      <c r="B16" s="60"/>
      <c r="C16" s="834"/>
      <c r="D16" s="59" t="s">
        <v>357</v>
      </c>
      <c r="E16" s="66">
        <f>'[34]TGNPDCL MoD'!F11+'[34]TGNPDCL MoD'!F12+'[34]TGNPDCL MoD'!F13+'[34]TGNPDCL MoD'!F14</f>
        <v>174.38600463355289</v>
      </c>
      <c r="F16" s="66">
        <f>'[34]TGNPDCL MoD'!G11+'[34]TGNPDCL MoD'!G12+'[34]TGNPDCL MoD'!G13+'[34]TGNPDCL MoD'!G14</f>
        <v>90.099435727335731</v>
      </c>
      <c r="G16" s="66">
        <f>'[34]TGNPDCL MoD'!H11+'[34]TGNPDCL MoD'!H12+'[34]TGNPDCL MoD'!H13+'[34]TGNPDCL MoD'!H14</f>
        <v>130.78950347516474</v>
      </c>
      <c r="H16" s="66">
        <f>'[34]TGNPDCL MoD'!I11+'[34]TGNPDCL MoD'!I12+'[34]TGNPDCL MoD'!I13+'[34]TGNPDCL MoD'!I14</f>
        <v>184.00588986568562</v>
      </c>
      <c r="I16" s="66">
        <f>'[34]TGNPDCL MoD'!J11+'[34]TGNPDCL MoD'!J12+'[34]TGNPDCL MoD'!J13+'[34]TGNPDCL MoD'!J14</f>
        <v>131.5469967843367</v>
      </c>
      <c r="J16" s="66">
        <f>'[34]TGNPDCL MoD'!K11+'[34]TGNPDCL MoD'!K12+'[34]TGNPDCL MoD'!K13+'[34]TGNPDCL MoD'!K14</f>
        <v>125.26318642691828</v>
      </c>
      <c r="K16" s="66">
        <f>'[34]TGNPDCL MoD'!L11+'[34]TGNPDCL MoD'!L12+'[34]TGNPDCL MoD'!L13+'[34]TGNPDCL MoD'!L14</f>
        <v>142.12868734452951</v>
      </c>
      <c r="L16" s="66">
        <f>'[34]TGNPDCL MoD'!M11+'[34]TGNPDCL MoD'!M12+'[34]TGNPDCL MoD'!M13+'[34]TGNPDCL MoD'!M14</f>
        <v>130.78950347516474</v>
      </c>
      <c r="M16" s="66">
        <f>'[34]TGNPDCL MoD'!N11+'[34]TGNPDCL MoD'!N12+'[34]TGNPDCL MoD'!N13+'[34]TGNPDCL MoD'!N14</f>
        <v>157.67401252283742</v>
      </c>
      <c r="N16" s="66">
        <f>'[34]TGNPDCL MoD'!O11+'[34]TGNPDCL MoD'!O12+'[34]TGNPDCL MoD'!O13+'[34]TGNPDCL MoD'!O14</f>
        <v>163.3720020787498</v>
      </c>
      <c r="O16" s="66">
        <f>'[34]TGNPDCL MoD'!P11+'[34]TGNPDCL MoD'!P12+'[34]TGNPDCL MoD'!P13+'[34]TGNPDCL MoD'!P14</f>
        <v>160.68592901855203</v>
      </c>
      <c r="P16" s="66">
        <f>'[34]TGNPDCL MoD'!Q11+'[34]TGNPDCL MoD'!Q12+'[34]TGNPDCL MoD'!Q13+'[34]TGNPDCL MoD'!Q14</f>
        <v>193.58647467604817</v>
      </c>
      <c r="Q16" s="291">
        <f t="shared" si="0"/>
        <v>1784.3276260288758</v>
      </c>
    </row>
    <row r="17" spans="2:18" x14ac:dyDescent="0.25">
      <c r="B17" s="60"/>
      <c r="C17" s="834"/>
      <c r="D17" s="59" t="s">
        <v>358</v>
      </c>
      <c r="E17" s="66">
        <f>'[34]TGNPDCL MoD'!F15+'[34]TGNPDCL MoD'!F16+'[34]TGNPDCL MoD'!F17+'[34]TGNPDCL MoD'!F18+'[34]TGNPDCL MoD'!F19</f>
        <v>669.96721224117891</v>
      </c>
      <c r="F17" s="66">
        <f>'[34]TGNPDCL MoD'!G15+'[34]TGNPDCL MoD'!G16+'[34]TGNPDCL MoD'!G17+'[34]TGNPDCL MoD'!G18+'[34]TGNPDCL MoD'!G19</f>
        <v>408.50518560387729</v>
      </c>
      <c r="G17" s="66">
        <f>'[34]TGNPDCL MoD'!H15+'[34]TGNPDCL MoD'!H16+'[34]TGNPDCL MoD'!H17+'[34]TGNPDCL MoD'!H18+'[34]TGNPDCL MoD'!H19</f>
        <v>398.77908329593123</v>
      </c>
      <c r="H17" s="66">
        <f>'[34]TGNPDCL MoD'!I15+'[34]TGNPDCL MoD'!I16+'[34]TGNPDCL MoD'!I17+'[34]TGNPDCL MoD'!I18+'[34]TGNPDCL MoD'!I19</f>
        <v>435.63220033530911</v>
      </c>
      <c r="I17" s="66">
        <f>'[34]TGNPDCL MoD'!J15+'[34]TGNPDCL MoD'!J16+'[34]TGNPDCL MoD'!J17+'[34]TGNPDCL MoD'!J18+'[34]TGNPDCL MoD'!J19</f>
        <v>623.13944048029839</v>
      </c>
      <c r="J17" s="66">
        <f>'[34]TGNPDCL MoD'!K15+'[34]TGNPDCL MoD'!K16+'[34]TGNPDCL MoD'!K17+'[34]TGNPDCL MoD'!K18+'[34]TGNPDCL MoD'!K19</f>
        <v>702.25839491900842</v>
      </c>
      <c r="K17" s="66">
        <f>'[34]TGNPDCL MoD'!L15+'[34]TGNPDCL MoD'!L16+'[34]TGNPDCL MoD'!L17+'[34]TGNPDCL MoD'!L18+'[34]TGNPDCL MoD'!L19</f>
        <v>638.4941529210796</v>
      </c>
      <c r="L17" s="66">
        <f>'[34]TGNPDCL MoD'!M15+'[34]TGNPDCL MoD'!M16+'[34]TGNPDCL MoD'!M17+'[34]TGNPDCL MoD'!M18+'[34]TGNPDCL MoD'!M19</f>
        <v>531.21078555340637</v>
      </c>
      <c r="M17" s="66">
        <f>'[34]TGNPDCL MoD'!N15+'[34]TGNPDCL MoD'!N16+'[34]TGNPDCL MoD'!N17+'[34]TGNPDCL MoD'!N18+'[34]TGNPDCL MoD'!N19</f>
        <v>619.15895079854636</v>
      </c>
      <c r="N17" s="66">
        <f>'[34]TGNPDCL MoD'!O15+'[34]TGNPDCL MoD'!O16+'[34]TGNPDCL MoD'!O17+'[34]TGNPDCL MoD'!O18+'[34]TGNPDCL MoD'!O19</f>
        <v>689.56722834826587</v>
      </c>
      <c r="O17" s="66">
        <f>'[34]TGNPDCL MoD'!P15+'[34]TGNPDCL MoD'!P16+'[34]TGNPDCL MoD'!P17+'[34]TGNPDCL MoD'!P18+'[34]TGNPDCL MoD'!P19</f>
        <v>654.03314074009268</v>
      </c>
      <c r="P17" s="66">
        <f>'[34]TGNPDCL MoD'!Q15+'[34]TGNPDCL MoD'!Q16+'[34]TGNPDCL MoD'!Q17+'[34]TGNPDCL MoD'!Q18+'[34]TGNPDCL MoD'!Q19</f>
        <v>752.0036367435423</v>
      </c>
      <c r="Q17" s="291">
        <f t="shared" si="0"/>
        <v>7122.7494119805369</v>
      </c>
    </row>
    <row r="18" spans="2:18" x14ac:dyDescent="0.25">
      <c r="B18" s="60"/>
      <c r="C18" s="834"/>
      <c r="D18" s="59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291"/>
    </row>
    <row r="19" spans="2:18" x14ac:dyDescent="0.25">
      <c r="B19" s="60"/>
      <c r="C19" s="834"/>
      <c r="D19" s="59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291"/>
    </row>
    <row r="20" spans="2:18" x14ac:dyDescent="0.25">
      <c r="B20" s="60"/>
      <c r="C20" s="834"/>
      <c r="D20" s="59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291"/>
    </row>
    <row r="21" spans="2:18" x14ac:dyDescent="0.25">
      <c r="B21" s="60"/>
      <c r="C21" s="834"/>
      <c r="D21" s="59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291"/>
    </row>
    <row r="22" spans="2:18" x14ac:dyDescent="0.25">
      <c r="B22" s="60"/>
      <c r="C22" s="834"/>
      <c r="D22" s="59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291"/>
    </row>
    <row r="23" spans="2:18" x14ac:dyDescent="0.25">
      <c r="B23" s="60"/>
      <c r="C23" s="834"/>
      <c r="D23" s="59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291"/>
    </row>
    <row r="24" spans="2:18" x14ac:dyDescent="0.25">
      <c r="B24" s="60"/>
      <c r="C24" s="834"/>
      <c r="D24" s="59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291"/>
    </row>
    <row r="25" spans="2:18" x14ac:dyDescent="0.25">
      <c r="B25" s="60"/>
      <c r="C25" s="834"/>
      <c r="D25" s="59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291"/>
    </row>
    <row r="26" spans="2:18" x14ac:dyDescent="0.25">
      <c r="B26" s="60"/>
      <c r="C26" s="834"/>
      <c r="D26" s="59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291"/>
    </row>
    <row r="27" spans="2:18" x14ac:dyDescent="0.25">
      <c r="B27" s="60"/>
      <c r="C27" s="835"/>
      <c r="D27" s="59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291"/>
    </row>
    <row r="28" spans="2:18" x14ac:dyDescent="0.25">
      <c r="C28" s="751" t="s">
        <v>212</v>
      </c>
      <c r="D28" s="752"/>
      <c r="E28" s="291">
        <f t="shared" ref="E28:P28" si="1">SUM(E10:E27)</f>
        <v>1270.7665693628796</v>
      </c>
      <c r="F28" s="291">
        <f t="shared" si="1"/>
        <v>762.04089532793523</v>
      </c>
      <c r="G28" s="291">
        <f t="shared" si="1"/>
        <v>889.85944206674844</v>
      </c>
      <c r="H28" s="291">
        <f t="shared" si="1"/>
        <v>977.96569405979858</v>
      </c>
      <c r="I28" s="291">
        <f t="shared" si="1"/>
        <v>1080.5544677110795</v>
      </c>
      <c r="J28" s="291">
        <f t="shared" si="1"/>
        <v>1206.1264069904189</v>
      </c>
      <c r="K28" s="291">
        <f t="shared" si="1"/>
        <v>1055.9824423473881</v>
      </c>
      <c r="L28" s="291">
        <f t="shared" si="1"/>
        <v>975.98928288764864</v>
      </c>
      <c r="M28" s="291">
        <f t="shared" si="1"/>
        <v>1141.3484970196926</v>
      </c>
      <c r="N28" s="291">
        <f t="shared" si="1"/>
        <v>1256.9566645720831</v>
      </c>
      <c r="O28" s="291">
        <f t="shared" si="1"/>
        <v>1220.6981759328307</v>
      </c>
      <c r="P28" s="291">
        <f t="shared" si="1"/>
        <v>1430.7793502634095</v>
      </c>
      <c r="Q28" s="323">
        <f>SUM(E28:P28)</f>
        <v>13269.067888541911</v>
      </c>
      <c r="R28" s="427"/>
    </row>
    <row r="29" spans="2:18" x14ac:dyDescent="0.25">
      <c r="C29" s="753" t="s">
        <v>359</v>
      </c>
      <c r="D29" s="754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</row>
    <row r="30" spans="2:18" x14ac:dyDescent="0.25">
      <c r="C30" s="805" t="s">
        <v>350</v>
      </c>
      <c r="D30" s="17" t="s">
        <v>360</v>
      </c>
      <c r="E30" s="66">
        <f>SUM('[34]TGNPDCL MoD'!F81:F86)</f>
        <v>5.7004422806795318</v>
      </c>
      <c r="F30" s="66">
        <f>SUM('[34]TGNPDCL MoD'!G81:G86)</f>
        <v>6.1084137216424548</v>
      </c>
      <c r="G30" s="66">
        <f>SUM('[34]TGNPDCL MoD'!H81:H86)</f>
        <v>6.3286124110996678</v>
      </c>
      <c r="H30" s="66">
        <f>SUM('[34]TGNPDCL MoD'!I81:I86)</f>
        <v>13.835776499120559</v>
      </c>
      <c r="I30" s="66">
        <f>SUM('[34]TGNPDCL MoD'!J81:J86)</f>
        <v>32.483877484098635</v>
      </c>
      <c r="J30" s="66">
        <f>SUM('[34]TGNPDCL MoD'!K81:K86)</f>
        <v>16.406514016927662</v>
      </c>
      <c r="K30" s="66">
        <f>SUM('[34]TGNPDCL MoD'!L81:L86)</f>
        <v>18.084128535726652</v>
      </c>
      <c r="L30" s="66">
        <f>SUM('[34]TGNPDCL MoD'!M81:M86)</f>
        <v>6.2024822944871012</v>
      </c>
      <c r="M30" s="66">
        <f>SUM('[34]TGNPDCL MoD'!N81:N86)</f>
        <v>10.640389327405881</v>
      </c>
      <c r="N30" s="66">
        <f>SUM('[34]TGNPDCL MoD'!O81:O86)</f>
        <v>20.303326553538248</v>
      </c>
      <c r="O30" s="66">
        <f>SUM('[34]TGNPDCL MoD'!P81:P86)</f>
        <v>18.885894809942965</v>
      </c>
      <c r="P30" s="66">
        <f>SUM('[34]TGNPDCL MoD'!Q81:Q86)</f>
        <v>8.4700492817307431</v>
      </c>
      <c r="Q30" s="291">
        <f t="shared" ref="Q30:Q40" si="2">SUM(E30:P30)</f>
        <v>163.44990721640008</v>
      </c>
    </row>
    <row r="31" spans="2:18" x14ac:dyDescent="0.25">
      <c r="C31" s="806"/>
      <c r="D31" s="17" t="s">
        <v>361</v>
      </c>
      <c r="E31" s="66">
        <f>SUM('[34]TGNPDCL MoD'!F59:F66)</f>
        <v>19.868721043257374</v>
      </c>
      <c r="F31" s="66">
        <f>SUM('[34]TGNPDCL MoD'!G59:G66)</f>
        <v>21.290693296459768</v>
      </c>
      <c r="G31" s="66">
        <f>SUM('[34]TGNPDCL MoD'!H59:H66)</f>
        <v>22.058189241422603</v>
      </c>
      <c r="H31" s="66">
        <f>SUM('[34]TGNPDCL MoD'!I59:I66)</f>
        <v>48.224185096934733</v>
      </c>
      <c r="I31" s="66">
        <f>SUM('[34]TGNPDCL MoD'!J59:J66)</f>
        <v>113.22158323090109</v>
      </c>
      <c r="J31" s="66">
        <f>SUM('[34]TGNPDCL MoD'!K59:K66)</f>
        <v>57.184413812847012</v>
      </c>
      <c r="K31" s="66">
        <f>SUM('[34]TGNPDCL MoD'!L59:L66)</f>
        <v>63.031689033071174</v>
      </c>
      <c r="L31" s="66">
        <f>SUM('[34]TGNPDCL MoD'!M59:M66)</f>
        <v>21.618566493092651</v>
      </c>
      <c r="M31" s="66">
        <f>SUM('[34]TGNPDCL MoD'!N59:N66)</f>
        <v>37.086758698428369</v>
      </c>
      <c r="N31" s="66">
        <f>SUM('[34]TGNPDCL MoD'!O59:O66)</f>
        <v>70.766637337888</v>
      </c>
      <c r="O31" s="66">
        <f>SUM('[34]TGNPDCL MoD'!P59:P66)</f>
        <v>65.826221397390924</v>
      </c>
      <c r="P31" s="66">
        <f>SUM('[34]TGNPDCL MoD'!Q59:Q66)</f>
        <v>29.522103393929889</v>
      </c>
      <c r="Q31" s="291">
        <f t="shared" si="2"/>
        <v>569.69976207562365</v>
      </c>
    </row>
    <row r="32" spans="2:18" x14ac:dyDescent="0.25">
      <c r="C32" s="806"/>
      <c r="D32" s="17" t="s">
        <v>362</v>
      </c>
      <c r="E32" s="66">
        <f>SUM('[34]TGNPDCL MoD'!F67:F72)</f>
        <v>21.924778002613586</v>
      </c>
      <c r="F32" s="66">
        <f>SUM('[34]TGNPDCL MoD'!G67:G72)</f>
        <v>23.493898929394057</v>
      </c>
      <c r="G32" s="66">
        <f>SUM('[34]TGNPDCL MoD'!H67:H72)</f>
        <v>24.340816965767949</v>
      </c>
      <c r="H32" s="66">
        <f>SUM('[34]TGNPDCL MoD'!I67:I72)</f>
        <v>53.214524996617556</v>
      </c>
      <c r="I32" s="66">
        <f>SUM('[34]TGNPDCL MoD'!J67:J72)</f>
        <v>124.93799032345632</v>
      </c>
      <c r="J32" s="66">
        <f>SUM('[34]TGNPDCL MoD'!K67:K72)</f>
        <v>63.101976988183324</v>
      </c>
      <c r="K32" s="66">
        <f>SUM('[34]TGNPDCL MoD'!L67:L72)</f>
        <v>69.554340522025569</v>
      </c>
      <c r="L32" s="66">
        <f>SUM('[34]TGNPDCL MoD'!M67:M72)</f>
        <v>23.8557011326427</v>
      </c>
      <c r="M32" s="66">
        <f>SUM('[34]TGNPDCL MoD'!N67:N72)</f>
        <v>40.924574336176462</v>
      </c>
      <c r="N32" s="66">
        <f>SUM('[34]TGNPDCL MoD'!O67:O72)</f>
        <v>78.089717513608633</v>
      </c>
      <c r="O32" s="66">
        <f>SUM('[34]TGNPDCL MoD'!P67:P72)</f>
        <v>72.638056961319094</v>
      </c>
      <c r="P32" s="66">
        <f>SUM('[34]TGNPDCL MoD'!Q67:Q72)</f>
        <v>32.577112622041319</v>
      </c>
      <c r="Q32" s="291">
        <f t="shared" si="2"/>
        <v>628.65348929384652</v>
      </c>
    </row>
    <row r="33" spans="3:18" x14ac:dyDescent="0.25">
      <c r="C33" s="806"/>
      <c r="D33" s="17" t="s">
        <v>363</v>
      </c>
      <c r="E33" s="66">
        <f>SUM('[34]TGNPDCL MoD'!F87:F92)</f>
        <v>5.8466074673636239</v>
      </c>
      <c r="F33" s="66">
        <f>SUM('[34]TGNPDCL MoD'!G87:G92)</f>
        <v>6.2650397145050842</v>
      </c>
      <c r="G33" s="66">
        <f>SUM('[34]TGNPDCL MoD'!H87:H92)</f>
        <v>6.4908845242047892</v>
      </c>
      <c r="H33" s="66">
        <f>SUM('[34]TGNPDCL MoD'!I87:I92)</f>
        <v>14.190539999098011</v>
      </c>
      <c r="I33" s="66">
        <f>SUM('[34]TGNPDCL MoD'!J87:J92)</f>
        <v>33.316797419588362</v>
      </c>
      <c r="J33" s="66">
        <f>SUM('[34]TGNPDCL MoD'!K87:K92)</f>
        <v>16.827193863515561</v>
      </c>
      <c r="K33" s="66">
        <f>SUM('[34]TGNPDCL MoD'!L87:L92)</f>
        <v>18.547824139206821</v>
      </c>
      <c r="L33" s="66">
        <f>SUM('[34]TGNPDCL MoD'!M87:M92)</f>
        <v>6.3615203020380537</v>
      </c>
      <c r="M33" s="66">
        <f>SUM('[34]TGNPDCL MoD'!N87:N92)</f>
        <v>10.913219822980391</v>
      </c>
      <c r="N33" s="66">
        <f>SUM('[34]TGNPDCL MoD'!O87:O92)</f>
        <v>20.823924670295632</v>
      </c>
      <c r="O33" s="66">
        <f>SUM('[34]TGNPDCL MoD'!P87:P92)</f>
        <v>19.370148523018425</v>
      </c>
      <c r="P33" s="66">
        <f>SUM('[34]TGNPDCL MoD'!Q87:Q92)</f>
        <v>8.6872300325443526</v>
      </c>
      <c r="Q33" s="291">
        <f t="shared" si="2"/>
        <v>167.64093047835914</v>
      </c>
    </row>
    <row r="34" spans="3:18" x14ac:dyDescent="0.25">
      <c r="C34" s="806"/>
      <c r="D34" s="17" t="s">
        <v>364</v>
      </c>
      <c r="E34" s="66">
        <f>SUM('[34]TGNPDCL MoD'!F93:F96)</f>
        <v>2.9233037336818111</v>
      </c>
      <c r="F34" s="66">
        <f>SUM('[34]TGNPDCL MoD'!G93:G96)</f>
        <v>3.1325198572525412</v>
      </c>
      <c r="G34" s="66">
        <f>SUM('[34]TGNPDCL MoD'!H93:H96)</f>
        <v>3.2454422621023937</v>
      </c>
      <c r="H34" s="66">
        <f>SUM('[34]TGNPDCL MoD'!I93:I96)</f>
        <v>7.0952699995490036</v>
      </c>
      <c r="I34" s="66">
        <f>SUM('[34]TGNPDCL MoD'!J93:J96)</f>
        <v>16.658398709794177</v>
      </c>
      <c r="J34" s="66">
        <f>SUM('[34]TGNPDCL MoD'!K93:K96)</f>
        <v>8.4135969317577768</v>
      </c>
      <c r="K34" s="66">
        <f>SUM('[34]TGNPDCL MoD'!L93:L96)</f>
        <v>9.2739120696034085</v>
      </c>
      <c r="L34" s="66">
        <f>SUM('[34]TGNPDCL MoD'!M93:M96)</f>
        <v>3.180760151019026</v>
      </c>
      <c r="M34" s="66">
        <f>SUM('[34]TGNPDCL MoD'!N93:N96)</f>
        <v>5.4566099114901956</v>
      </c>
      <c r="N34" s="66">
        <f>SUM('[34]TGNPDCL MoD'!O93:O96)</f>
        <v>10.41196233514782</v>
      </c>
      <c r="O34" s="66">
        <f>SUM('[34]TGNPDCL MoD'!P93:P96)</f>
        <v>9.6850742615092109</v>
      </c>
      <c r="P34" s="66">
        <f>SUM('[34]TGNPDCL MoD'!Q93:Q96)</f>
        <v>4.3436150162721763</v>
      </c>
      <c r="Q34" s="291">
        <f t="shared" si="2"/>
        <v>83.820465239179569</v>
      </c>
    </row>
    <row r="35" spans="3:18" x14ac:dyDescent="0.25">
      <c r="C35" s="806"/>
      <c r="D35" s="17" t="s">
        <v>365</v>
      </c>
      <c r="E35" s="66">
        <f>SUM('[34]TGNPDCL MoD'!F77:F78)</f>
        <v>0.43849556005227175</v>
      </c>
      <c r="F35" s="66">
        <f>SUM('[34]TGNPDCL MoD'!G77:G78)</f>
        <v>0.46987797858788127</v>
      </c>
      <c r="G35" s="66">
        <f>SUM('[34]TGNPDCL MoD'!H77:H78)</f>
        <v>0.48681633931535906</v>
      </c>
      <c r="H35" s="66">
        <f>SUM('[34]TGNPDCL MoD'!I77:I78)</f>
        <v>1.0642904999323508</v>
      </c>
      <c r="I35" s="66">
        <f>SUM('[34]TGNPDCL MoD'!J77:J78)</f>
        <v>2.4987598064691268</v>
      </c>
      <c r="J35" s="66">
        <f>SUM('[34]TGNPDCL MoD'!K77:K78)</f>
        <v>1.2620395397636668</v>
      </c>
      <c r="K35" s="66">
        <f>SUM('[34]TGNPDCL MoD'!L77:L78)</f>
        <v>1.3910868104405116</v>
      </c>
      <c r="L35" s="66">
        <f>SUM('[34]TGNPDCL MoD'!M77:M78)</f>
        <v>0.47711402265285408</v>
      </c>
      <c r="M35" s="66">
        <f>SUM('[34]TGNPDCL MoD'!N77:N78)</f>
        <v>0.81849148672352934</v>
      </c>
      <c r="N35" s="66">
        <f>SUM('[34]TGNPDCL MoD'!O77:O78)</f>
        <v>1.5617943502721729</v>
      </c>
      <c r="O35" s="66">
        <f>SUM('[34]TGNPDCL MoD'!P77:P78)</f>
        <v>1.4527611392263817</v>
      </c>
      <c r="P35" s="66">
        <f>SUM('[34]TGNPDCL MoD'!Q77:Q78)</f>
        <v>0.65154225244082631</v>
      </c>
      <c r="Q35" s="291">
        <f t="shared" si="2"/>
        <v>12.573069785876934</v>
      </c>
    </row>
    <row r="36" spans="3:18" x14ac:dyDescent="0.25">
      <c r="C36" s="806"/>
      <c r="D36" s="17" t="s">
        <v>366</v>
      </c>
      <c r="E36" s="66">
        <f>SUM('[34]TGNPDCL MoD'!F73:F74)</f>
        <v>1.4616518668409055</v>
      </c>
      <c r="F36" s="66">
        <f>SUM('[34]TGNPDCL MoD'!G73:G74)</f>
        <v>1.5662599286262706</v>
      </c>
      <c r="G36" s="66">
        <f>SUM('[34]TGNPDCL MoD'!H73:H74)</f>
        <v>1.6227211310511969</v>
      </c>
      <c r="H36" s="66">
        <f>SUM('[34]TGNPDCL MoD'!I73:I74)</f>
        <v>3.5476349997745018</v>
      </c>
      <c r="I36" s="66">
        <f>SUM('[34]TGNPDCL MoD'!J73:J74)</f>
        <v>8.3291993548970886</v>
      </c>
      <c r="J36" s="66">
        <f>SUM('[34]TGNPDCL MoD'!K73:K74)</f>
        <v>4.2067984658788884</v>
      </c>
      <c r="K36" s="66">
        <f>SUM('[34]TGNPDCL MoD'!L73:L74)</f>
        <v>4.6369560348017043</v>
      </c>
      <c r="L36" s="66">
        <f>SUM('[34]TGNPDCL MoD'!M73:M74)</f>
        <v>1.590380075509513</v>
      </c>
      <c r="M36" s="66">
        <f>SUM('[34]TGNPDCL MoD'!N73:N74)</f>
        <v>2.7283049557450978</v>
      </c>
      <c r="N36" s="66">
        <f>SUM('[34]TGNPDCL MoD'!O73:O74)</f>
        <v>5.2059811675739098</v>
      </c>
      <c r="O36" s="66">
        <f>SUM('[34]TGNPDCL MoD'!P73:P74)</f>
        <v>4.8425371307546055</v>
      </c>
      <c r="P36" s="66">
        <f>SUM('[34]TGNPDCL MoD'!Q73:Q74)</f>
        <v>2.1718075081360881</v>
      </c>
      <c r="Q36" s="291">
        <f t="shared" si="2"/>
        <v>41.910232619589785</v>
      </c>
    </row>
    <row r="37" spans="3:18" x14ac:dyDescent="0.25">
      <c r="C37" s="806"/>
      <c r="D37" s="17" t="s">
        <v>367</v>
      </c>
      <c r="E37" s="66">
        <f>SUM('[34]TGNPDCL MoD'!F79+'[34]TGNPDCL MoD'!F80)</f>
        <v>0.36541296671022638</v>
      </c>
      <c r="F37" s="66">
        <f>SUM('[34]TGNPDCL MoD'!G79+'[34]TGNPDCL MoD'!G80)</f>
        <v>0.39156498215656765</v>
      </c>
      <c r="G37" s="66">
        <f>SUM('[34]TGNPDCL MoD'!H79+'[34]TGNPDCL MoD'!H80)</f>
        <v>0.40568028276279922</v>
      </c>
      <c r="H37" s="66">
        <f>SUM('[34]TGNPDCL MoD'!I79+'[34]TGNPDCL MoD'!I80)</f>
        <v>0.88690874994362545</v>
      </c>
      <c r="I37" s="66">
        <f>SUM('[34]TGNPDCL MoD'!J79+'[34]TGNPDCL MoD'!J80)</f>
        <v>2.0822998387242722</v>
      </c>
      <c r="J37" s="66">
        <f>SUM('[34]TGNPDCL MoD'!K79+'[34]TGNPDCL MoD'!K80)</f>
        <v>1.0516996164697221</v>
      </c>
      <c r="K37" s="66">
        <f>SUM('[34]TGNPDCL MoD'!L79+'[34]TGNPDCL MoD'!L80)</f>
        <v>1.1592390087004261</v>
      </c>
      <c r="L37" s="66">
        <f>SUM('[34]TGNPDCL MoD'!M79+'[34]TGNPDCL MoD'!M80)</f>
        <v>0.39759501887737825</v>
      </c>
      <c r="M37" s="66">
        <f>SUM('[34]TGNPDCL MoD'!N79+'[34]TGNPDCL MoD'!N80)</f>
        <v>0.68207623893627445</v>
      </c>
      <c r="N37" s="66">
        <f>SUM('[34]TGNPDCL MoD'!O79+'[34]TGNPDCL MoD'!O80)</f>
        <v>1.3014952918934775</v>
      </c>
      <c r="O37" s="66">
        <f>SUM('[34]TGNPDCL MoD'!P79+'[34]TGNPDCL MoD'!P80)</f>
        <v>1.2106342826886514</v>
      </c>
      <c r="P37" s="66">
        <f>SUM('[34]TGNPDCL MoD'!Q79+'[34]TGNPDCL MoD'!Q80)</f>
        <v>0.54295187703402203</v>
      </c>
      <c r="Q37" s="291">
        <f t="shared" si="2"/>
        <v>10.477558154897446</v>
      </c>
    </row>
    <row r="38" spans="3:18" x14ac:dyDescent="0.25">
      <c r="C38" s="806"/>
      <c r="D38" s="126" t="s">
        <v>448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291">
        <f t="shared" si="2"/>
        <v>0</v>
      </c>
    </row>
    <row r="39" spans="3:18" x14ac:dyDescent="0.25">
      <c r="C39" s="806"/>
      <c r="D39" s="126" t="s">
        <v>449</v>
      </c>
      <c r="E39" s="66">
        <f>SUM('[34]TGNPDCL MoD'!F75:F76)</f>
        <v>0.43849556005227175</v>
      </c>
      <c r="F39" s="66">
        <f>SUM('[34]TGNPDCL MoD'!G75:G76)</f>
        <v>0.46987797858788127</v>
      </c>
      <c r="G39" s="66">
        <f>SUM('[34]TGNPDCL MoD'!H75:H76)</f>
        <v>0.48681633931535906</v>
      </c>
      <c r="H39" s="66">
        <f>SUM('[34]TGNPDCL MoD'!I75:I76)</f>
        <v>1.0642904999323508</v>
      </c>
      <c r="I39" s="66">
        <f>SUM('[34]TGNPDCL MoD'!J75:J76)</f>
        <v>2.4987598064691268</v>
      </c>
      <c r="J39" s="66">
        <f>SUM('[34]TGNPDCL MoD'!K75:K76)</f>
        <v>1.2620395397636668</v>
      </c>
      <c r="K39" s="66">
        <f>SUM('[34]TGNPDCL MoD'!L75:L76)</f>
        <v>1.3910868104405116</v>
      </c>
      <c r="L39" s="66">
        <f>SUM('[34]TGNPDCL MoD'!M75:M76)</f>
        <v>0.47711402265285408</v>
      </c>
      <c r="M39" s="66">
        <f>SUM('[34]TGNPDCL MoD'!N75:N76)</f>
        <v>0.81849148672352934</v>
      </c>
      <c r="N39" s="66">
        <f>SUM('[34]TGNPDCL MoD'!O75:O76)</f>
        <v>1.5617943502721729</v>
      </c>
      <c r="O39" s="66">
        <f>SUM('[34]TGNPDCL MoD'!P75:P76)</f>
        <v>1.4527611392263817</v>
      </c>
      <c r="P39" s="66">
        <f>SUM('[34]TGNPDCL MoD'!Q75:Q76)</f>
        <v>0.65154225244082631</v>
      </c>
      <c r="Q39" s="291">
        <f t="shared" si="2"/>
        <v>12.573069785876934</v>
      </c>
    </row>
    <row r="40" spans="3:18" x14ac:dyDescent="0.25">
      <c r="C40" s="806"/>
      <c r="D40" s="126" t="s">
        <v>450</v>
      </c>
      <c r="E40" s="66">
        <f>SUM('[34]TGNPDCL MoD'!F57:F58)</f>
        <v>0.24360864447348429</v>
      </c>
      <c r="F40" s="66">
        <f>SUM('[34]TGNPDCL MoD'!G57:G58)</f>
        <v>0.26104332143771181</v>
      </c>
      <c r="G40" s="66">
        <f>SUM('[34]TGNPDCL MoD'!H57:H58)</f>
        <v>0.27045352184186622</v>
      </c>
      <c r="H40" s="66">
        <f>SUM('[34]TGNPDCL MoD'!I57:I58)</f>
        <v>0.59127249996241704</v>
      </c>
      <c r="I40" s="66">
        <f>SUM('[34]TGNPDCL MoD'!J57:J58)</f>
        <v>1.3881998924828483</v>
      </c>
      <c r="J40" s="66">
        <f>SUM('[34]TGNPDCL MoD'!K57:K58)</f>
        <v>0.70113307764648169</v>
      </c>
      <c r="K40" s="66">
        <f>SUM('[34]TGNPDCL MoD'!L57:L58)</f>
        <v>0.77282600580028427</v>
      </c>
      <c r="L40" s="66">
        <f>SUM('[34]TGNPDCL MoD'!M57:M58)</f>
        <v>0.2650633459182522</v>
      </c>
      <c r="M40" s="66">
        <f>SUM('[34]TGNPDCL MoD'!N57:N58)</f>
        <v>0.45471749262418304</v>
      </c>
      <c r="N40" s="66">
        <f>SUM('[34]TGNPDCL MoD'!O57:O58)</f>
        <v>0.86766352792898482</v>
      </c>
      <c r="O40" s="66">
        <f>SUM('[34]TGNPDCL MoD'!P57:P58)</f>
        <v>0.80708952179243432</v>
      </c>
      <c r="P40" s="66">
        <f>SUM('[34]TGNPDCL MoD'!Q57:Q58)</f>
        <v>0.36196791802268136</v>
      </c>
      <c r="Q40" s="291">
        <f t="shared" si="2"/>
        <v>6.985038769931629</v>
      </c>
    </row>
    <row r="41" spans="3:18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</row>
    <row r="42" spans="3:18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</row>
    <row r="43" spans="3:18" x14ac:dyDescent="0.25">
      <c r="C43" s="806"/>
      <c r="D43" s="17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17"/>
    </row>
    <row r="44" spans="3:18" x14ac:dyDescent="0.25">
      <c r="C44" s="806"/>
      <c r="D44" s="17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17"/>
    </row>
    <row r="45" spans="3:18" x14ac:dyDescent="0.25">
      <c r="C45" s="806"/>
      <c r="D45" s="17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17"/>
    </row>
    <row r="46" spans="3:18" x14ac:dyDescent="0.25">
      <c r="C46" s="806"/>
      <c r="D46" s="17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17"/>
    </row>
    <row r="47" spans="3:18" x14ac:dyDescent="0.25">
      <c r="C47" s="807"/>
      <c r="D47" s="107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17"/>
    </row>
    <row r="48" spans="3:18" x14ac:dyDescent="0.25">
      <c r="C48" s="751" t="s">
        <v>212</v>
      </c>
      <c r="D48" s="752"/>
      <c r="E48" s="291">
        <f t="shared" ref="E48:P48" si="3">SUM(E30:E47)</f>
        <v>59.211517125725088</v>
      </c>
      <c r="F48" s="291">
        <f t="shared" si="3"/>
        <v>63.449189708650216</v>
      </c>
      <c r="G48" s="291">
        <f t="shared" si="3"/>
        <v>65.736433018883986</v>
      </c>
      <c r="H48" s="291">
        <f t="shared" si="3"/>
        <v>143.7146938408651</v>
      </c>
      <c r="I48" s="291">
        <f t="shared" si="3"/>
        <v>337.41586586688112</v>
      </c>
      <c r="J48" s="291">
        <f t="shared" si="3"/>
        <v>170.41740585275375</v>
      </c>
      <c r="K48" s="291">
        <f t="shared" si="3"/>
        <v>187.84308896981705</v>
      </c>
      <c r="L48" s="291">
        <f t="shared" si="3"/>
        <v>64.426296858890368</v>
      </c>
      <c r="M48" s="291">
        <f t="shared" si="3"/>
        <v>110.52363375723392</v>
      </c>
      <c r="N48" s="291">
        <f t="shared" si="3"/>
        <v>210.89429709841906</v>
      </c>
      <c r="O48" s="291">
        <f t="shared" si="3"/>
        <v>196.17117916686905</v>
      </c>
      <c r="P48" s="291">
        <f t="shared" si="3"/>
        <v>87.979922154592913</v>
      </c>
      <c r="Q48" s="323">
        <f>SUM(E48:P48)</f>
        <v>1697.7835234195813</v>
      </c>
      <c r="R48" s="427"/>
    </row>
    <row r="49" spans="3:18" x14ac:dyDescent="0.25">
      <c r="C49" s="753" t="s">
        <v>368</v>
      </c>
      <c r="D49" s="754"/>
      <c r="E49" s="291">
        <f t="shared" ref="E49:Q49" si="4">E28+E48</f>
        <v>1329.9780864886047</v>
      </c>
      <c r="F49" s="291">
        <f t="shared" si="4"/>
        <v>825.49008503658547</v>
      </c>
      <c r="G49" s="291">
        <f t="shared" si="4"/>
        <v>955.59587508563243</v>
      </c>
      <c r="H49" s="291">
        <f t="shared" si="4"/>
        <v>1121.6803879006636</v>
      </c>
      <c r="I49" s="291">
        <f t="shared" si="4"/>
        <v>1417.9703335779607</v>
      </c>
      <c r="J49" s="291">
        <f t="shared" si="4"/>
        <v>1376.5438128431726</v>
      </c>
      <c r="K49" s="291">
        <f t="shared" si="4"/>
        <v>1243.8255313172051</v>
      </c>
      <c r="L49" s="291">
        <f t="shared" si="4"/>
        <v>1040.4155797465389</v>
      </c>
      <c r="M49" s="291">
        <f t="shared" si="4"/>
        <v>1251.8721307769265</v>
      </c>
      <c r="N49" s="291">
        <f t="shared" si="4"/>
        <v>1467.8509616705021</v>
      </c>
      <c r="O49" s="291">
        <f t="shared" si="4"/>
        <v>1416.8693550996998</v>
      </c>
      <c r="P49" s="291">
        <f t="shared" si="4"/>
        <v>1518.7592724180024</v>
      </c>
      <c r="Q49" s="323">
        <f t="shared" si="4"/>
        <v>14966.851411961492</v>
      </c>
      <c r="R49" s="427"/>
    </row>
    <row r="50" spans="3:18" x14ac:dyDescent="0.25">
      <c r="C50" s="800" t="s">
        <v>369</v>
      </c>
      <c r="D50" s="801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</row>
    <row r="51" spans="3:18" x14ac:dyDescent="0.25">
      <c r="C51" s="753" t="s">
        <v>349</v>
      </c>
      <c r="D51" s="754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</row>
    <row r="52" spans="3:18" x14ac:dyDescent="0.25">
      <c r="C52" s="805" t="s">
        <v>370</v>
      </c>
      <c r="D52" s="322" t="s">
        <v>371</v>
      </c>
      <c r="E52" s="66">
        <f>SUM('[34]TGNPDCL MoD'!F25:F30)</f>
        <v>41.048168341610889</v>
      </c>
      <c r="F52" s="66">
        <f>SUM('[34]TGNPDCL MoD'!G25:G30)</f>
        <v>52.589085980506852</v>
      </c>
      <c r="G52" s="66">
        <f>SUM('[34]TGNPDCL MoD'!H25:H30)</f>
        <v>53.437297044708608</v>
      </c>
      <c r="H52" s="66">
        <f>SUM('[34]TGNPDCL MoD'!I25:I30)</f>
        <v>39.092144642933363</v>
      </c>
      <c r="I52" s="66">
        <f>SUM('[34]TGNPDCL MoD'!J25:J30)</f>
        <v>33.459805955097565</v>
      </c>
      <c r="J52" s="66">
        <f>SUM('[34]TGNPDCL MoD'!K25:K30)</f>
        <v>35.688480526287577</v>
      </c>
      <c r="K52" s="66">
        <f>SUM('[34]TGNPDCL MoD'!L25:L30)</f>
        <v>33.131124167719392</v>
      </c>
      <c r="L52" s="66">
        <f>SUM('[34]TGNPDCL MoD'!M25:M30)</f>
        <v>49.997671083786308</v>
      </c>
      <c r="M52" s="66">
        <f>SUM('[34]TGNPDCL MoD'!N25:N30)</f>
        <v>31.093297085974722</v>
      </c>
      <c r="N52" s="66">
        <f>SUM('[34]TGNPDCL MoD'!O25:O30)</f>
        <v>32.845930811407371</v>
      </c>
      <c r="O52" s="66">
        <f>SUM('[34]TGNPDCL MoD'!P25:P30)</f>
        <v>41.816805465145066</v>
      </c>
      <c r="P52" s="66">
        <f>SUM('[34]TGNPDCL MoD'!Q25:Q30)</f>
        <v>52.786295052933795</v>
      </c>
      <c r="Q52" s="291">
        <f t="shared" ref="Q52:Q68" si="5">SUM(E52:P52)</f>
        <v>496.98610615811145</v>
      </c>
    </row>
    <row r="53" spans="3:18" x14ac:dyDescent="0.25">
      <c r="C53" s="806"/>
      <c r="D53" s="322" t="s">
        <v>372</v>
      </c>
      <c r="E53" s="66">
        <f>'[34]TGNPDCL MoD'!F31</f>
        <v>11.271685804472483</v>
      </c>
      <c r="F53" s="66">
        <f>'[34]TGNPDCL MoD'!G31</f>
        <v>13.702833723084204</v>
      </c>
      <c r="G53" s="66">
        <f>'[34]TGNPDCL MoD'!H31</f>
        <v>13.260806828791164</v>
      </c>
      <c r="H53" s="66">
        <f>'[34]TGNPDCL MoD'!I31</f>
        <v>0</v>
      </c>
      <c r="I53" s="66">
        <f>'[34]TGNPDCL MoD'!J31</f>
        <v>4.2821355384638053</v>
      </c>
      <c r="J53" s="66">
        <f>'[34]TGNPDCL MoD'!K31</f>
        <v>9.3594279863963585</v>
      </c>
      <c r="K53" s="66">
        <f>'[34]TGNPDCL MoD'!L31</f>
        <v>8.2217002338505054</v>
      </c>
      <c r="L53" s="66">
        <f>'[34]TGNPDCL MoD'!M31</f>
        <v>13.260806828791164</v>
      </c>
      <c r="M53" s="66">
        <f>'[34]TGNPDCL MoD'!N31</f>
        <v>10.773243550917819</v>
      </c>
      <c r="N53" s="66">
        <f>'[34]TGNPDCL MoD'!O31</f>
        <v>10.962266978467355</v>
      </c>
      <c r="O53" s="66">
        <f>'[34]TGNPDCL MoD'!P31</f>
        <v>10.895962944323401</v>
      </c>
      <c r="P53" s="66">
        <f>'[34]TGNPDCL MoD'!Q31</f>
        <v>13.181186051806861</v>
      </c>
      <c r="Q53" s="291">
        <f t="shared" si="5"/>
        <v>119.17205646936513</v>
      </c>
    </row>
    <row r="54" spans="3:18" x14ac:dyDescent="0.25">
      <c r="C54" s="806"/>
      <c r="D54" s="322" t="s">
        <v>373</v>
      </c>
      <c r="E54" s="66">
        <f>SUM('[34]TGNPDCL MoD'!F42:F45)</f>
        <v>37.660931680187275</v>
      </c>
      <c r="F54" s="66">
        <f>SUM('[34]TGNPDCL MoD'!G42:G45)</f>
        <v>37.400076742142701</v>
      </c>
      <c r="G54" s="66">
        <f>SUM('[34]TGNPDCL MoD'!H42:H45)</f>
        <v>36.193622653686475</v>
      </c>
      <c r="H54" s="66">
        <f>SUM('[34]TGNPDCL MoD'!I42:I45)</f>
        <v>40.432515396911029</v>
      </c>
      <c r="I54" s="66">
        <f>SUM('[34]TGNPDCL MoD'!J42:J45)</f>
        <v>38.032143442944822</v>
      </c>
      <c r="J54" s="66">
        <f>SUM('[34]TGNPDCL MoD'!K42:K45)</f>
        <v>39.128240706688089</v>
      </c>
      <c r="K54" s="66">
        <f>SUM('[34]TGNPDCL MoD'!L42:L45)</f>
        <v>35.883857414758538</v>
      </c>
      <c r="L54" s="66">
        <f>SUM('[34]TGNPDCL MoD'!M42:M45)</f>
        <v>27.145216990264856</v>
      </c>
      <c r="M54" s="66">
        <f>SUM('[34]TGNPDCL MoD'!N42:N45)</f>
        <v>23.84886650364674</v>
      </c>
      <c r="N54" s="66">
        <f>SUM('[34]TGNPDCL MoD'!O42:O45)</f>
        <v>33.388413105105435</v>
      </c>
      <c r="O54" s="66">
        <f>SUM('[34]TGNPDCL MoD'!P42:P45)</f>
        <v>37.82396601646515</v>
      </c>
      <c r="P54" s="66">
        <f>SUM('[34]TGNPDCL MoD'!Q42:Q45)</f>
        <v>40.432515396911029</v>
      </c>
      <c r="Q54" s="291">
        <f t="shared" si="5"/>
        <v>427.37036604971206</v>
      </c>
    </row>
    <row r="55" spans="3:18" x14ac:dyDescent="0.25">
      <c r="C55" s="806"/>
      <c r="D55" s="322" t="s">
        <v>374</v>
      </c>
      <c r="E55" s="66">
        <f>'[34]TGNPDCL MoD'!F40</f>
        <v>64.745175991262016</v>
      </c>
      <c r="F55" s="66">
        <f>'[34]TGNPDCL MoD'!G40</f>
        <v>83.629185655380098</v>
      </c>
      <c r="G55" s="66">
        <f>'[34]TGNPDCL MoD'!H40</f>
        <v>80.931469989077527</v>
      </c>
      <c r="H55" s="66">
        <f>'[34]TGNPDCL MoD'!I40</f>
        <v>54.747088708958273</v>
      </c>
      <c r="I55" s="66">
        <f>'[34]TGNPDCL MoD'!J40</f>
        <v>50.177511393228073</v>
      </c>
      <c r="J55" s="66">
        <f>'[34]TGNPDCL MoD'!K40</f>
        <v>52.605455492900404</v>
      </c>
      <c r="K55" s="66">
        <f>'[34]TGNPDCL MoD'!L40</f>
        <v>50.177511393228073</v>
      </c>
      <c r="L55" s="66">
        <f>'[34]TGNPDCL MoD'!M40</f>
        <v>0</v>
      </c>
      <c r="M55" s="66">
        <f>'[34]TGNPDCL MoD'!N40</f>
        <v>28.224850158690785</v>
      </c>
      <c r="N55" s="66">
        <f>'[34]TGNPDCL MoD'!O40</f>
        <v>56.44970031738157</v>
      </c>
      <c r="O55" s="66">
        <f>'[34]TGNPDCL MoD'!P40</f>
        <v>66.498691174358726</v>
      </c>
      <c r="P55" s="66">
        <f>'[34]TGNPDCL MoD'!Q40</f>
        <v>74.096324926988643</v>
      </c>
      <c r="Q55" s="291">
        <f t="shared" si="5"/>
        <v>662.28296520145432</v>
      </c>
    </row>
    <row r="56" spans="3:18" x14ac:dyDescent="0.25">
      <c r="C56" s="806"/>
      <c r="D56" s="322" t="s">
        <v>375</v>
      </c>
      <c r="E56" s="66">
        <f>'[34]TGNPDCL MoD'!F41</f>
        <v>30.994947963689896</v>
      </c>
      <c r="F56" s="66">
        <f>'[34]TGNPDCL MoD'!G41</f>
        <v>39.820465836278615</v>
      </c>
      <c r="G56" s="66">
        <f>'[34]TGNPDCL MoD'!H41</f>
        <v>0</v>
      </c>
      <c r="H56" s="66">
        <f>'[34]TGNPDCL MoD'!I41</f>
        <v>13.937163042697492</v>
      </c>
      <c r="I56" s="66">
        <f>'[34]TGNPDCL MoD'!J41</f>
        <v>23.892279501767163</v>
      </c>
      <c r="J56" s="66">
        <f>'[34]TGNPDCL MoD'!K41</f>
        <v>25.048357542175246</v>
      </c>
      <c r="K56" s="66">
        <f>'[34]TGNPDCL MoD'!L41</f>
        <v>23.892279501767163</v>
      </c>
      <c r="L56" s="66">
        <f>'[34]TGNPDCL MoD'!M41</f>
        <v>33.569292030840884</v>
      </c>
      <c r="M56" s="66">
        <f>'[34]TGNPDCL MoD'!N41</f>
        <v>27.585344343396372</v>
      </c>
      <c r="N56" s="66">
        <f>'[34]TGNPDCL MoD'!O41</f>
        <v>27.422649545165598</v>
      </c>
      <c r="O56" s="66">
        <f>'[34]TGNPDCL MoD'!P41</f>
        <v>31.663692995621531</v>
      </c>
      <c r="P56" s="66">
        <f>'[34]TGNPDCL MoD'!Q41</f>
        <v>36.501472569622194</v>
      </c>
      <c r="Q56" s="291">
        <f t="shared" si="5"/>
        <v>314.32794487302215</v>
      </c>
    </row>
    <row r="57" spans="3:18" x14ac:dyDescent="0.25">
      <c r="C57" s="806"/>
      <c r="D57" s="322" t="s">
        <v>376</v>
      </c>
      <c r="E57" s="66">
        <f>SUM('[34]TGNPDCL MoD'!F49:F51)</f>
        <v>33.667010942615406</v>
      </c>
      <c r="F57" s="66">
        <f>SUM('[34]TGNPDCL MoD'!G49:G51)</f>
        <v>43.486555800878094</v>
      </c>
      <c r="G57" s="66">
        <f>SUM('[34]TGNPDCL MoD'!H49:H51)</f>
        <v>28.055842452179547</v>
      </c>
      <c r="H57" s="66">
        <f>SUM('[34]TGNPDCL MoD'!I49:I51)</f>
        <v>23.555217725475678</v>
      </c>
      <c r="I57" s="66">
        <f>SUM('[34]TGNPDCL MoD'!J49:J51)</f>
        <v>26.09193348052688</v>
      </c>
      <c r="J57" s="66">
        <f>SUM('[34]TGNPDCL MoD'!K49:K51)</f>
        <v>27.266529602628683</v>
      </c>
      <c r="K57" s="66">
        <f>SUM('[34]TGNPDCL MoD'!L49:L51)</f>
        <v>26.09193348052688</v>
      </c>
      <c r="L57" s="66">
        <f>SUM('[34]TGNPDCL MoD'!M49:M51)</f>
        <v>21.602161337604464</v>
      </c>
      <c r="M57" s="66">
        <f>SUM('[34]TGNPDCL MoD'!N49:N51)</f>
        <v>23.573881873970389</v>
      </c>
      <c r="N57" s="66">
        <f>SUM('[34]TGNPDCL MoD'!O49:O51)</f>
        <v>28.53092404115305</v>
      </c>
      <c r="O57" s="66">
        <f>SUM('[34]TGNPDCL MoD'!P49:P51)</f>
        <v>34.494522918755088</v>
      </c>
      <c r="P57" s="66">
        <f>SUM('[34]TGNPDCL MoD'!Q49:Q51)</f>
        <v>38.050736325768476</v>
      </c>
      <c r="Q57" s="291">
        <f t="shared" si="5"/>
        <v>354.46724998208259</v>
      </c>
    </row>
    <row r="58" spans="3:18" x14ac:dyDescent="0.25">
      <c r="C58" s="806"/>
      <c r="D58" s="322" t="s">
        <v>377</v>
      </c>
      <c r="E58" s="66">
        <f>'[34]TGNPDCL MoD'!F53</f>
        <v>5.503339959257266</v>
      </c>
      <c r="F58" s="66">
        <f>'[34]TGNPDCL MoD'!G53</f>
        <v>7.1084807807072963</v>
      </c>
      <c r="G58" s="66">
        <f>'[34]TGNPDCL MoD'!H53</f>
        <v>6.8791749490715794</v>
      </c>
      <c r="H58" s="66">
        <f>'[34]TGNPDCL MoD'!I53</f>
        <v>4.6205125074597504</v>
      </c>
      <c r="I58" s="66">
        <f>'[34]TGNPDCL MoD'!J53</f>
        <v>4.2650884684243859</v>
      </c>
      <c r="J58" s="66">
        <f>'[34]TGNPDCL MoD'!K53</f>
        <v>4.4714637168965332</v>
      </c>
      <c r="K58" s="66">
        <f>'[34]TGNPDCL MoD'!L53</f>
        <v>4.2650884684243859</v>
      </c>
      <c r="L58" s="66">
        <f>'[34]TGNPDCL MoD'!M53</f>
        <v>5.503339959257266</v>
      </c>
      <c r="M58" s="66">
        <f>'[34]TGNPDCL MoD'!N53</f>
        <v>4.7982245269774317</v>
      </c>
      <c r="N58" s="66">
        <f>'[34]TGNPDCL MoD'!O53</f>
        <v>4.7982245269774317</v>
      </c>
      <c r="O58" s="66">
        <f>'[34]TGNPDCL MoD'!P53</f>
        <v>5.6523887498204832</v>
      </c>
      <c r="P58" s="66">
        <f>'[34]TGNPDCL MoD'!Q53</f>
        <v>6.2199206831188878</v>
      </c>
      <c r="Q58" s="291">
        <f t="shared" si="5"/>
        <v>64.085247296392708</v>
      </c>
    </row>
    <row r="59" spans="3:18" x14ac:dyDescent="0.25">
      <c r="C59" s="806"/>
      <c r="D59" s="322" t="s">
        <v>378</v>
      </c>
      <c r="E59" s="66">
        <f>'[34]TGNPDCL MoD'!F54</f>
        <v>23.489463698799888</v>
      </c>
      <c r="F59" s="66">
        <f>'[34]TGNPDCL MoD'!G54</f>
        <v>31.04785892386694</v>
      </c>
      <c r="G59" s="66">
        <f>'[34]TGNPDCL MoD'!H54</f>
        <v>30.046315087613166</v>
      </c>
      <c r="H59" s="66">
        <f>'[34]TGNPDCL MoD'!I54</f>
        <v>20.181108300513515</v>
      </c>
      <c r="I59" s="66">
        <f>'[34]TGNPDCL MoD'!J54</f>
        <v>18.628715354320164</v>
      </c>
      <c r="J59" s="66">
        <f>'[34]TGNPDCL MoD'!K54</f>
        <v>18.778946929758227</v>
      </c>
      <c r="K59" s="66">
        <f>'[34]TGNPDCL MoD'!L54</f>
        <v>18.628715354320164</v>
      </c>
      <c r="L59" s="66">
        <f>'[34]TGNPDCL MoD'!M54</f>
        <v>22.534736315709878</v>
      </c>
      <c r="M59" s="66">
        <f>'[34]TGNPDCL MoD'!N54</f>
        <v>20.181108300513515</v>
      </c>
      <c r="N59" s="66">
        <f>'[34]TGNPDCL MoD'!O54</f>
        <v>20.181108300513515</v>
      </c>
      <c r="O59" s="66">
        <f>'[34]TGNPDCL MoD'!P54</f>
        <v>23.961936282371504</v>
      </c>
      <c r="P59" s="66">
        <f>'[34]TGNPDCL MoD'!Q54</f>
        <v>27.166876558383578</v>
      </c>
      <c r="Q59" s="291">
        <f t="shared" si="5"/>
        <v>274.82688940668407</v>
      </c>
    </row>
    <row r="60" spans="3:18" x14ac:dyDescent="0.25">
      <c r="C60" s="807"/>
      <c r="D60" s="322" t="s">
        <v>379</v>
      </c>
      <c r="E60" s="66">
        <f>'[34]TGNPDCL MoD'!F55</f>
        <v>111.17691565080094</v>
      </c>
      <c r="F60" s="66">
        <f>'[34]TGNPDCL MoD'!G55</f>
        <v>114.65751722548106</v>
      </c>
      <c r="G60" s="66">
        <f>'[34]TGNPDCL MoD'!H55</f>
        <v>111.22400657172955</v>
      </c>
      <c r="H60" s="66">
        <f>'[34]TGNPDCL MoD'!I55</f>
        <v>114.05861897980816</v>
      </c>
      <c r="I60" s="66">
        <f>'[34]TGNPDCL MoD'!J55</f>
        <v>93.588034926751902</v>
      </c>
      <c r="J60" s="66">
        <f>'[34]TGNPDCL MoD'!K55</f>
        <v>101.1333413711632</v>
      </c>
      <c r="K60" s="66">
        <f>'[34]TGNPDCL MoD'!L55</f>
        <v>88.977021026976132</v>
      </c>
      <c r="L60" s="66">
        <f>'[34]TGNPDCL MoD'!M55</f>
        <v>111.2240065717296</v>
      </c>
      <c r="M60" s="66">
        <f>'[34]TGNPDCL MoD'!N55</f>
        <v>110.07521401558972</v>
      </c>
      <c r="N60" s="66">
        <f>'[34]TGNPDCL MoD'!O55</f>
        <v>99.83307739924004</v>
      </c>
      <c r="O60" s="66">
        <f>'[34]TGNPDCL MoD'!P55</f>
        <v>98.430634923807673</v>
      </c>
      <c r="P60" s="66">
        <f>'[34]TGNPDCL MoD'!Q55</f>
        <v>122.21586262025028</v>
      </c>
      <c r="Q60" s="291">
        <f t="shared" si="5"/>
        <v>1276.594251283328</v>
      </c>
    </row>
    <row r="61" spans="3:18" x14ac:dyDescent="0.25">
      <c r="C61" s="250"/>
      <c r="D61" s="322" t="s">
        <v>451</v>
      </c>
      <c r="E61" s="66">
        <f>'[34]TGNPDCL MoD'!F56</f>
        <v>108.87921358785542</v>
      </c>
      <c r="F61" s="66">
        <f>'[34]TGNPDCL MoD'!G56</f>
        <v>111.33955587774534</v>
      </c>
      <c r="G61" s="66">
        <f>'[34]TGNPDCL MoD'!H56</f>
        <v>110.06272270981441</v>
      </c>
      <c r="H61" s="66">
        <f>'[34]TGNPDCL MoD'!I56</f>
        <v>108.19179361277031</v>
      </c>
      <c r="I61" s="66">
        <f>'[34]TGNPDCL MoD'!J56</f>
        <v>90.654347620391775</v>
      </c>
      <c r="J61" s="66">
        <f>'[34]TGNPDCL MoD'!K56</f>
        <v>94.762263803960792</v>
      </c>
      <c r="K61" s="66">
        <f>'[34]TGNPDCL MoD'!L56</f>
        <v>87.571693991404061</v>
      </c>
      <c r="L61" s="66">
        <f>'[34]TGNPDCL MoD'!M56</f>
        <v>111.22912467248534</v>
      </c>
      <c r="M61" s="66">
        <f>'[34]TGNPDCL MoD'!N56</f>
        <v>107.38758244223567</v>
      </c>
      <c r="N61" s="66">
        <f>'[34]TGNPDCL MoD'!O56</f>
        <v>97.939071982744736</v>
      </c>
      <c r="O61" s="66">
        <f>'[34]TGNPDCL MoD'!P56</f>
        <v>98.435164322833288</v>
      </c>
      <c r="P61" s="66">
        <f>'[34]TGNPDCL MoD'!Q56</f>
        <v>118.0422729511688</v>
      </c>
      <c r="Q61" s="291">
        <f t="shared" si="5"/>
        <v>1244.4948075754101</v>
      </c>
    </row>
    <row r="62" spans="3:18" x14ac:dyDescent="0.25">
      <c r="C62" s="17"/>
      <c r="D62" s="322" t="s">
        <v>380</v>
      </c>
      <c r="E62" s="66">
        <f>'[34]TGNPDCL MoD'!F33</f>
        <v>0.68660999211903118</v>
      </c>
      <c r="F62" s="66">
        <f>'[34]TGNPDCL MoD'!G33</f>
        <v>0.91547998949207887</v>
      </c>
      <c r="G62" s="66">
        <f>'[34]TGNPDCL MoD'!H33</f>
        <v>0.88594837692775696</v>
      </c>
      <c r="H62" s="66">
        <f>'[34]TGNPDCL MoD'!I33</f>
        <v>0.59506199316984132</v>
      </c>
      <c r="I62" s="66">
        <f>'[34]TGNPDCL MoD'!J33</f>
        <v>0.54928799369524506</v>
      </c>
      <c r="J62" s="66">
        <f>'[34]TGNPDCL MoD'!K33</f>
        <v>0.55371773557988035</v>
      </c>
      <c r="K62" s="66">
        <f>'[34]TGNPDCL MoD'!L33</f>
        <v>0.54928799369524506</v>
      </c>
      <c r="L62" s="66">
        <f>'[34]TGNPDCL MoD'!M33</f>
        <v>0.66446128269583937</v>
      </c>
      <c r="M62" s="66">
        <f>'[34]TGNPDCL MoD'!N33</f>
        <v>0.59506199316984132</v>
      </c>
      <c r="N62" s="66">
        <f>'[34]TGNPDCL MoD'!O33</f>
        <v>0.59506199316984132</v>
      </c>
      <c r="O62" s="66">
        <f>'[34]TGNPDCL MoD'!P33</f>
        <v>0.70654383059990078</v>
      </c>
      <c r="P62" s="66">
        <f>'[34]TGNPDCL MoD'!Q33</f>
        <v>0.80104499080552483</v>
      </c>
      <c r="Q62" s="291">
        <f t="shared" si="5"/>
        <v>8.0975681651200251</v>
      </c>
    </row>
    <row r="63" spans="3:18" x14ac:dyDescent="0.25">
      <c r="C63" s="17"/>
      <c r="D63" s="322" t="s">
        <v>381</v>
      </c>
      <c r="E63" s="66">
        <f>'[34]TGNPDCL MoD'!F34</f>
        <v>1.2158688107676192</v>
      </c>
      <c r="F63" s="66">
        <f>'[34]TGNPDCL MoD'!G34</f>
        <v>1.2563977711265402</v>
      </c>
      <c r="G63" s="66">
        <f>'[34]TGNPDCL MoD'!H34</f>
        <v>1.2158688107676192</v>
      </c>
      <c r="H63" s="66">
        <f>'[34]TGNPDCL MoD'!I34</f>
        <v>1.2829413860094951</v>
      </c>
      <c r="I63" s="66">
        <f>'[34]TGNPDCL MoD'!J34</f>
        <v>1.0705924669458549</v>
      </c>
      <c r="J63" s="66">
        <f>'[34]TGNPDCL MoD'!K34</f>
        <v>1.1644940722844805</v>
      </c>
      <c r="K63" s="66">
        <f>'[34]TGNPDCL MoD'!L34</f>
        <v>0.99096162229698947</v>
      </c>
      <c r="L63" s="66">
        <f>'[34]TGNPDCL MoD'!M34</f>
        <v>1.2158688107676192</v>
      </c>
      <c r="M63" s="66">
        <f>'[34]TGNPDCL MoD'!N34</f>
        <v>1.2563977711265402</v>
      </c>
      <c r="N63" s="66">
        <f>'[34]TGNPDCL MoD'!O34</f>
        <v>1.1502233115947198</v>
      </c>
      <c r="O63" s="66">
        <f>'[34]TGNPDCL MoD'!P34</f>
        <v>1.150508726808515</v>
      </c>
      <c r="P63" s="66">
        <f>'[34]TGNPDCL MoD'!Q34</f>
        <v>1.4156594604242705</v>
      </c>
      <c r="Q63" s="291">
        <f t="shared" si="5"/>
        <v>14.385783020920263</v>
      </c>
    </row>
    <row r="64" spans="3:18" x14ac:dyDescent="0.25">
      <c r="C64" s="17"/>
      <c r="D64" s="322" t="s">
        <v>382</v>
      </c>
      <c r="E64" s="66">
        <f>'[34]TGNPDCL MoD'!F52</f>
        <v>10.604065003143006</v>
      </c>
      <c r="F64" s="66">
        <f>'[34]TGNPDCL MoD'!G52</f>
        <v>10.957533836581106</v>
      </c>
      <c r="G64" s="66">
        <f>'[34]TGNPDCL MoD'!H52</f>
        <v>10.604065003143006</v>
      </c>
      <c r="H64" s="66">
        <f>'[34]TGNPDCL MoD'!I52</f>
        <v>11.652025417772869</v>
      </c>
      <c r="I64" s="66">
        <f>'[34]TGNPDCL MoD'!J52</f>
        <v>9.3370534804670022</v>
      </c>
      <c r="J64" s="66">
        <f>'[34]TGNPDCL MoD'!K52</f>
        <v>10.604065003143006</v>
      </c>
      <c r="K64" s="66">
        <f>'[34]TGNPDCL MoD'!L52</f>
        <v>9.1055562867364159</v>
      </c>
      <c r="L64" s="66">
        <f>'[34]TGNPDCL MoD'!M52</f>
        <v>10.604065003143006</v>
      </c>
      <c r="M64" s="66">
        <f>'[34]TGNPDCL MoD'!N52</f>
        <v>10.957533836581106</v>
      </c>
      <c r="N64" s="66">
        <f>'[34]TGNPDCL MoD'!O52</f>
        <v>10.72603664285052</v>
      </c>
      <c r="O64" s="66">
        <f>'[34]TGNPDCL MoD'!P52</f>
        <v>10.250596169704909</v>
      </c>
      <c r="P64" s="66">
        <f>'[34]TGNPDCL MoD'!Q52</f>
        <v>12.346516998964628</v>
      </c>
      <c r="Q64" s="291">
        <f t="shared" si="5"/>
        <v>127.74911268223057</v>
      </c>
    </row>
    <row r="65" spans="3:17" x14ac:dyDescent="0.25">
      <c r="C65" s="17"/>
      <c r="D65" s="322" t="s">
        <v>383</v>
      </c>
      <c r="E65" s="66">
        <f>'[34]TGNPDCL MoD'!F35</f>
        <v>0</v>
      </c>
      <c r="F65" s="66">
        <f>'[34]TGNPDCL MoD'!G35</f>
        <v>0</v>
      </c>
      <c r="G65" s="66">
        <f>'[34]TGNPDCL MoD'!H35</f>
        <v>0</v>
      </c>
      <c r="H65" s="66">
        <f>'[34]TGNPDCL MoD'!I35</f>
        <v>0</v>
      </c>
      <c r="I65" s="66">
        <f>'[34]TGNPDCL MoD'!J35</f>
        <v>0</v>
      </c>
      <c r="J65" s="66">
        <f>'[34]TGNPDCL MoD'!K35</f>
        <v>0</v>
      </c>
      <c r="K65" s="66">
        <f>'[34]TGNPDCL MoD'!L35</f>
        <v>0</v>
      </c>
      <c r="L65" s="66">
        <f>'[34]TGNPDCL MoD'!M35</f>
        <v>0</v>
      </c>
      <c r="M65" s="66">
        <f>'[34]TGNPDCL MoD'!N35</f>
        <v>0</v>
      </c>
      <c r="N65" s="66">
        <f>'[34]TGNPDCL MoD'!O35</f>
        <v>0</v>
      </c>
      <c r="O65" s="66">
        <f>'[34]TGNPDCL MoD'!P35</f>
        <v>0</v>
      </c>
      <c r="P65" s="66">
        <f>'[34]TGNPDCL MoD'!Q35</f>
        <v>0</v>
      </c>
      <c r="Q65" s="291">
        <f t="shared" si="5"/>
        <v>0</v>
      </c>
    </row>
    <row r="66" spans="3:17" x14ac:dyDescent="0.25">
      <c r="C66" s="17"/>
      <c r="D66" s="322" t="s">
        <v>384</v>
      </c>
      <c r="E66" s="66">
        <f t="shared" ref="E66:P66" si="6">E65</f>
        <v>0</v>
      </c>
      <c r="F66" s="66">
        <f t="shared" si="6"/>
        <v>0</v>
      </c>
      <c r="G66" s="66">
        <f t="shared" si="6"/>
        <v>0</v>
      </c>
      <c r="H66" s="66">
        <f t="shared" si="6"/>
        <v>0</v>
      </c>
      <c r="I66" s="66">
        <f t="shared" si="6"/>
        <v>0</v>
      </c>
      <c r="J66" s="66">
        <f t="shared" si="6"/>
        <v>0</v>
      </c>
      <c r="K66" s="66">
        <f t="shared" si="6"/>
        <v>0</v>
      </c>
      <c r="L66" s="66">
        <f t="shared" si="6"/>
        <v>0</v>
      </c>
      <c r="M66" s="66">
        <f t="shared" si="6"/>
        <v>0</v>
      </c>
      <c r="N66" s="66">
        <f t="shared" si="6"/>
        <v>0</v>
      </c>
      <c r="O66" s="66">
        <f t="shared" si="6"/>
        <v>0</v>
      </c>
      <c r="P66" s="66">
        <f t="shared" si="6"/>
        <v>0</v>
      </c>
      <c r="Q66" s="291">
        <f t="shared" si="5"/>
        <v>0</v>
      </c>
    </row>
    <row r="67" spans="3:17" x14ac:dyDescent="0.25">
      <c r="C67" s="17"/>
      <c r="D67" s="322" t="s">
        <v>385</v>
      </c>
      <c r="E67" s="66">
        <f>'[34]TGNPDCL MoD'!F46</f>
        <v>12.791647592855206</v>
      </c>
      <c r="F67" s="66">
        <f>'[34]TGNPDCL MoD'!G46</f>
        <v>16.522544807437981</v>
      </c>
      <c r="G67" s="66">
        <f>'[34]TGNPDCL MoD'!H46</f>
        <v>15.989559491069016</v>
      </c>
      <c r="H67" s="66">
        <f>'[34]TGNPDCL MoD'!I46</f>
        <v>11.383141622073076</v>
      </c>
      <c r="I67" s="66">
        <f>'[34]TGNPDCL MoD'!J46</f>
        <v>9.913526884462776</v>
      </c>
      <c r="J67" s="66">
        <f>'[34]TGNPDCL MoD'!K46</f>
        <v>10.39321366919485</v>
      </c>
      <c r="K67" s="66">
        <f>'[34]TGNPDCL MoD'!L46</f>
        <v>9.913526884462776</v>
      </c>
      <c r="L67" s="66">
        <f>'[34]TGNPDCL MoD'!M46</f>
        <v>13.451948304351191</v>
      </c>
      <c r="M67" s="66">
        <f>'[34]TGNPDCL MoD'!N46</f>
        <v>11.152717745020627</v>
      </c>
      <c r="N67" s="66">
        <f>'[34]TGNPDCL MoD'!O46</f>
        <v>11.152717745020627</v>
      </c>
      <c r="O67" s="66">
        <f>'[34]TGNPDCL MoD'!P46</f>
        <v>13.138088048495035</v>
      </c>
      <c r="P67" s="66">
        <f>'[34]TGNPDCL MoD'!Q46</f>
        <v>14.870290326694182</v>
      </c>
      <c r="Q67" s="291">
        <f t="shared" si="5"/>
        <v>150.67292312113733</v>
      </c>
    </row>
    <row r="68" spans="3:17" x14ac:dyDescent="0.25">
      <c r="C68" s="17"/>
      <c r="D68" s="322" t="s">
        <v>386</v>
      </c>
      <c r="E68" s="66">
        <f>'[34]TGNPDCL MoD'!F47</f>
        <v>20.150100088848994</v>
      </c>
      <c r="F68" s="66">
        <f>'[34]TGNPDCL MoD'!G47</f>
        <v>0</v>
      </c>
      <c r="G68" s="66">
        <f>'[34]TGNPDCL MoD'!H47</f>
        <v>11.324023190427525</v>
      </c>
      <c r="H68" s="66">
        <f>'[34]TGNPDCL MoD'!I47</f>
        <v>19.273043390766894</v>
      </c>
      <c r="I68" s="66">
        <f>'[34]TGNPDCL MoD'!J47</f>
        <v>15.659347754998102</v>
      </c>
      <c r="J68" s="66">
        <f>'[34]TGNPDCL MoD'!K47</f>
        <v>17.284415078510904</v>
      </c>
      <c r="K68" s="66">
        <f>'[34]TGNPDCL MoD'!L47</f>
        <v>15.914582906793612</v>
      </c>
      <c r="L68" s="66">
        <f>'[34]TGNPDCL MoD'!M47</f>
        <v>23.147635639256322</v>
      </c>
      <c r="M68" s="66">
        <f>'[34]TGNPDCL MoD'!N47</f>
        <v>20.305527858129366</v>
      </c>
      <c r="N68" s="66">
        <f>'[34]TGNPDCL MoD'!O47</f>
        <v>19.789285624448119</v>
      </c>
      <c r="O68" s="66">
        <f>'[34]TGNPDCL MoD'!P47</f>
        <v>19.478430085887354</v>
      </c>
      <c r="P68" s="66">
        <f>'[34]TGNPDCL MoD'!Q47</f>
        <v>23.402981260216883</v>
      </c>
      <c r="Q68" s="291">
        <f t="shared" si="5"/>
        <v>205.72937287828407</v>
      </c>
    </row>
    <row r="69" spans="3:17" x14ac:dyDescent="0.25">
      <c r="C69" s="17"/>
      <c r="D69" s="17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291"/>
    </row>
    <row r="70" spans="3:17" x14ac:dyDescent="0.25">
      <c r="C70" s="17"/>
      <c r="D70" s="17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291"/>
    </row>
    <row r="71" spans="3:17" x14ac:dyDescent="0.25">
      <c r="C71" s="17"/>
      <c r="D71" s="17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291"/>
    </row>
    <row r="72" spans="3:17" x14ac:dyDescent="0.25">
      <c r="C72" s="17"/>
      <c r="D72" s="17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291"/>
    </row>
    <row r="73" spans="3:17" x14ac:dyDescent="0.25">
      <c r="C73" s="17"/>
      <c r="D73" s="17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291"/>
    </row>
    <row r="74" spans="3:17" x14ac:dyDescent="0.25">
      <c r="C74" s="17"/>
      <c r="D74" s="17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291"/>
    </row>
    <row r="75" spans="3:17" x14ac:dyDescent="0.25">
      <c r="C75" s="17"/>
      <c r="D75" s="17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291"/>
    </row>
    <row r="76" spans="3:17" x14ac:dyDescent="0.25">
      <c r="C76" s="17"/>
      <c r="D76" s="17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291"/>
    </row>
    <row r="77" spans="3:17" x14ac:dyDescent="0.25">
      <c r="C77" s="751" t="s">
        <v>212</v>
      </c>
      <c r="D77" s="752"/>
      <c r="E77" s="291">
        <f t="shared" ref="E77:P77" si="7">SUM(E52:E76)</f>
        <v>513.88514510828531</v>
      </c>
      <c r="F77" s="291">
        <f t="shared" si="7"/>
        <v>564.43357295070882</v>
      </c>
      <c r="G77" s="291">
        <f t="shared" si="7"/>
        <v>510.11072315900697</v>
      </c>
      <c r="H77" s="291">
        <f t="shared" si="7"/>
        <v>463.0023767273197</v>
      </c>
      <c r="I77" s="291">
        <f t="shared" si="7"/>
        <v>419.60180426248553</v>
      </c>
      <c r="J77" s="291">
        <f t="shared" si="7"/>
        <v>448.24241323756814</v>
      </c>
      <c r="K77" s="291">
        <f t="shared" si="7"/>
        <v>413.31484072696031</v>
      </c>
      <c r="L77" s="291">
        <f t="shared" si="7"/>
        <v>445.15033483068373</v>
      </c>
      <c r="M77" s="291">
        <f t="shared" si="7"/>
        <v>431.80885200594071</v>
      </c>
      <c r="N77" s="291">
        <f t="shared" si="7"/>
        <v>455.76469232523999</v>
      </c>
      <c r="O77" s="291">
        <f t="shared" si="7"/>
        <v>494.3979326549977</v>
      </c>
      <c r="P77" s="291">
        <f t="shared" si="7"/>
        <v>581.52995617405804</v>
      </c>
      <c r="Q77" s="323">
        <f>SUM(E77:P77)</f>
        <v>5741.2426441632542</v>
      </c>
    </row>
    <row r="78" spans="3:17" x14ac:dyDescent="0.25">
      <c r="C78" s="753" t="s">
        <v>387</v>
      </c>
      <c r="D78" s="754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3:17" x14ac:dyDescent="0.25">
      <c r="C79" s="833" t="s">
        <v>388</v>
      </c>
      <c r="D79" s="17" t="s">
        <v>389</v>
      </c>
      <c r="E79" s="66">
        <f>'[34]TGNPDCL MoD'!F32</f>
        <v>4.3682426812889421</v>
      </c>
      <c r="F79" s="66">
        <f>'[34]TGNPDCL MoD'!G32</f>
        <v>4.5138507706652415</v>
      </c>
      <c r="G79" s="66">
        <f>'[34]TGNPDCL MoD'!H32</f>
        <v>4.3682426812889421</v>
      </c>
      <c r="H79" s="66">
        <f>'[34]TGNPDCL MoD'!I32</f>
        <v>4.5138507706652415</v>
      </c>
      <c r="I79" s="66">
        <f>'[34]TGNPDCL MoD'!J32</f>
        <v>4.5138507706652415</v>
      </c>
      <c r="J79" s="66">
        <f>'[34]TGNPDCL MoD'!K32</f>
        <v>4.3682426812889421</v>
      </c>
      <c r="K79" s="66">
        <f>'[34]TGNPDCL MoD'!L32</f>
        <v>4.5138507706652415</v>
      </c>
      <c r="L79" s="66">
        <f>'[34]TGNPDCL MoD'!M32</f>
        <v>4.3682426812889421</v>
      </c>
      <c r="M79" s="66">
        <f>'[34]TGNPDCL MoD'!N32</f>
        <v>4.5138507706652415</v>
      </c>
      <c r="N79" s="66">
        <f>'[34]TGNPDCL MoD'!O32</f>
        <v>4.5138507706652415</v>
      </c>
      <c r="O79" s="66">
        <f>'[34]TGNPDCL MoD'!P32</f>
        <v>4.2226345919126445</v>
      </c>
      <c r="P79" s="66">
        <f>'[34]TGNPDCL MoD'!Q32</f>
        <v>4.5138507706652415</v>
      </c>
      <c r="Q79" s="66">
        <f t="shared" ref="Q79:Q93" si="8">SUM(E79:P79)</f>
        <v>53.292560711725109</v>
      </c>
    </row>
    <row r="80" spans="3:17" x14ac:dyDescent="0.25">
      <c r="C80" s="834"/>
      <c r="D80" s="17" t="s">
        <v>390</v>
      </c>
      <c r="E80" s="66">
        <f>'[34]TGNPDCL MoD'!F36+'[34]TGNPDCL MoD'!F37</f>
        <v>13.846537919865128</v>
      </c>
      <c r="F80" s="66">
        <f>'[34]TGNPDCL MoD'!G36+'[34]TGNPDCL MoD'!G37</f>
        <v>14.308089183860631</v>
      </c>
      <c r="G80" s="66">
        <f>'[34]TGNPDCL MoD'!H36+'[34]TGNPDCL MoD'!H37</f>
        <v>13.846537919865128</v>
      </c>
      <c r="H80" s="66">
        <f>'[34]TGNPDCL MoD'!I36+'[34]TGNPDCL MoD'!I37</f>
        <v>14.308089183860631</v>
      </c>
      <c r="I80" s="66">
        <f>'[34]TGNPDCL MoD'!J36+'[34]TGNPDCL MoD'!J37</f>
        <v>14.308089183860631</v>
      </c>
      <c r="J80" s="66">
        <f>'[34]TGNPDCL MoD'!K36+'[34]TGNPDCL MoD'!K37</f>
        <v>13.846537919865128</v>
      </c>
      <c r="K80" s="66">
        <f>'[34]TGNPDCL MoD'!L36+'[34]TGNPDCL MoD'!L37</f>
        <v>14.308089183860631</v>
      </c>
      <c r="L80" s="66">
        <f>'[34]TGNPDCL MoD'!M36+'[34]TGNPDCL MoD'!M37</f>
        <v>13.846537919865128</v>
      </c>
      <c r="M80" s="66">
        <f>'[34]TGNPDCL MoD'!N36+'[34]TGNPDCL MoD'!N37</f>
        <v>14.308089183860631</v>
      </c>
      <c r="N80" s="66">
        <f>'[34]TGNPDCL MoD'!O36+'[34]TGNPDCL MoD'!O37</f>
        <v>14.308089183860631</v>
      </c>
      <c r="O80" s="66">
        <f>'[34]TGNPDCL MoD'!P36+'[34]TGNPDCL MoD'!P37</f>
        <v>13.384986655869625</v>
      </c>
      <c r="P80" s="66">
        <f>'[34]TGNPDCL MoD'!Q36+'[34]TGNPDCL MoD'!Q37</f>
        <v>14.308089183860631</v>
      </c>
      <c r="Q80" s="66">
        <f t="shared" si="8"/>
        <v>168.92776262235455</v>
      </c>
    </row>
    <row r="81" spans="3:18" x14ac:dyDescent="0.25">
      <c r="C81" s="834"/>
      <c r="D81" s="17" t="s">
        <v>391</v>
      </c>
      <c r="E81" s="66">
        <f>'[34]TGNPDCL MoD'!F38+'[34]TGNPDCL MoD'!F39</f>
        <v>13.846537919865128</v>
      </c>
      <c r="F81" s="66">
        <f>'[34]TGNPDCL MoD'!G38+'[34]TGNPDCL MoD'!G39</f>
        <v>14.308089183860631</v>
      </c>
      <c r="G81" s="66">
        <f>'[34]TGNPDCL MoD'!H38+'[34]TGNPDCL MoD'!H39</f>
        <v>13.846537919865128</v>
      </c>
      <c r="H81" s="66">
        <f>'[34]TGNPDCL MoD'!I38+'[34]TGNPDCL MoD'!I39</f>
        <v>14.308089183860631</v>
      </c>
      <c r="I81" s="66">
        <f>'[34]TGNPDCL MoD'!J38+'[34]TGNPDCL MoD'!J39</f>
        <v>14.308089183860631</v>
      </c>
      <c r="J81" s="66">
        <f>'[34]TGNPDCL MoD'!K38+'[34]TGNPDCL MoD'!K39</f>
        <v>13.846537919865128</v>
      </c>
      <c r="K81" s="66">
        <f>'[34]TGNPDCL MoD'!L38+'[34]TGNPDCL MoD'!L39</f>
        <v>14.308089183860631</v>
      </c>
      <c r="L81" s="66">
        <f>'[34]TGNPDCL MoD'!M38+'[34]TGNPDCL MoD'!M39</f>
        <v>13.846537919865128</v>
      </c>
      <c r="M81" s="66">
        <f>'[34]TGNPDCL MoD'!N38+'[34]TGNPDCL MoD'!N39</f>
        <v>14.308089183860631</v>
      </c>
      <c r="N81" s="66">
        <f>'[34]TGNPDCL MoD'!O38+'[34]TGNPDCL MoD'!O39</f>
        <v>14.308089183860631</v>
      </c>
      <c r="O81" s="66">
        <f>'[34]TGNPDCL MoD'!P38+'[34]TGNPDCL MoD'!P39</f>
        <v>13.384986655869625</v>
      </c>
      <c r="P81" s="66">
        <f>'[34]TGNPDCL MoD'!Q38+'[34]TGNPDCL MoD'!Q39</f>
        <v>14.308089183860631</v>
      </c>
      <c r="Q81" s="66">
        <f t="shared" si="8"/>
        <v>168.92776262235455</v>
      </c>
    </row>
    <row r="82" spans="3:18" x14ac:dyDescent="0.25">
      <c r="C82" s="835"/>
      <c r="D82" s="17" t="s">
        <v>392</v>
      </c>
      <c r="E82" s="66">
        <f>'[34]TGNPDCL MoD'!F48</f>
        <v>10.769801807297089</v>
      </c>
      <c r="F82" s="66">
        <f>'[34]TGNPDCL MoD'!G48</f>
        <v>11.128795200873661</v>
      </c>
      <c r="G82" s="66">
        <f>'[34]TGNPDCL MoD'!H48</f>
        <v>10.769801807297089</v>
      </c>
      <c r="H82" s="66">
        <f>'[34]TGNPDCL MoD'!I48</f>
        <v>11.128795200873661</v>
      </c>
      <c r="I82" s="66">
        <f>'[34]TGNPDCL MoD'!J48</f>
        <v>11.128795200873661</v>
      </c>
      <c r="J82" s="66">
        <f>'[34]TGNPDCL MoD'!K48</f>
        <v>10.769801807297089</v>
      </c>
      <c r="K82" s="66">
        <f>'[34]TGNPDCL MoD'!L48</f>
        <v>11.128795200873661</v>
      </c>
      <c r="L82" s="66">
        <f>'[34]TGNPDCL MoD'!M48</f>
        <v>10.769801807297089</v>
      </c>
      <c r="M82" s="66">
        <f>'[34]TGNPDCL MoD'!N48</f>
        <v>11.128795200873661</v>
      </c>
      <c r="N82" s="66">
        <f>'[34]TGNPDCL MoD'!O48</f>
        <v>11.128795200873661</v>
      </c>
      <c r="O82" s="66">
        <f>'[34]TGNPDCL MoD'!P48</f>
        <v>10.41080841372052</v>
      </c>
      <c r="P82" s="66">
        <f>'[34]TGNPDCL MoD'!Q48</f>
        <v>11.128795200873661</v>
      </c>
      <c r="Q82" s="66">
        <f t="shared" si="8"/>
        <v>131.39158204902449</v>
      </c>
    </row>
    <row r="83" spans="3:18" x14ac:dyDescent="0.25">
      <c r="C83" s="17"/>
      <c r="D83" s="17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17">
        <f t="shared" si="8"/>
        <v>0</v>
      </c>
    </row>
    <row r="84" spans="3:18" x14ac:dyDescent="0.25">
      <c r="C84" s="17"/>
      <c r="D84" s="17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17">
        <f t="shared" si="8"/>
        <v>0</v>
      </c>
    </row>
    <row r="85" spans="3:18" x14ac:dyDescent="0.25">
      <c r="C85" s="17"/>
      <c r="D85" s="17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17">
        <f t="shared" si="8"/>
        <v>0</v>
      </c>
    </row>
    <row r="86" spans="3:18" x14ac:dyDescent="0.25">
      <c r="C86" s="17"/>
      <c r="D86" s="17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17">
        <f t="shared" si="8"/>
        <v>0</v>
      </c>
    </row>
    <row r="87" spans="3:18" x14ac:dyDescent="0.25">
      <c r="C87" s="17"/>
      <c r="D87" s="17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17">
        <f t="shared" si="8"/>
        <v>0</v>
      </c>
    </row>
    <row r="88" spans="3:18" x14ac:dyDescent="0.25">
      <c r="C88" s="17"/>
      <c r="D88" s="17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17">
        <f t="shared" si="8"/>
        <v>0</v>
      </c>
    </row>
    <row r="89" spans="3:18" x14ac:dyDescent="0.25">
      <c r="C89" s="17"/>
      <c r="D89" s="17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17">
        <f t="shared" si="8"/>
        <v>0</v>
      </c>
    </row>
    <row r="90" spans="3:18" x14ac:dyDescent="0.25">
      <c r="C90" s="17"/>
      <c r="D90" s="17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17">
        <f t="shared" si="8"/>
        <v>0</v>
      </c>
    </row>
    <row r="91" spans="3:18" x14ac:dyDescent="0.25">
      <c r="C91" s="17"/>
      <c r="D91" s="17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17">
        <f t="shared" si="8"/>
        <v>0</v>
      </c>
    </row>
    <row r="92" spans="3:18" x14ac:dyDescent="0.25">
      <c r="C92" s="17"/>
      <c r="D92" s="17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17">
        <f t="shared" si="8"/>
        <v>0</v>
      </c>
    </row>
    <row r="93" spans="3:18" x14ac:dyDescent="0.25">
      <c r="C93" s="751" t="s">
        <v>212</v>
      </c>
      <c r="D93" s="752"/>
      <c r="E93" s="291">
        <f t="shared" ref="E93:P93" si="9">SUM(E79:E92)</f>
        <v>42.831120328316288</v>
      </c>
      <c r="F93" s="291">
        <f t="shared" si="9"/>
        <v>44.258824339260165</v>
      </c>
      <c r="G93" s="291">
        <f t="shared" si="9"/>
        <v>42.831120328316288</v>
      </c>
      <c r="H93" s="291">
        <f t="shared" si="9"/>
        <v>44.258824339260165</v>
      </c>
      <c r="I93" s="291">
        <f t="shared" si="9"/>
        <v>44.258824339260165</v>
      </c>
      <c r="J93" s="291">
        <f t="shared" si="9"/>
        <v>42.831120328316288</v>
      </c>
      <c r="K93" s="291">
        <f t="shared" si="9"/>
        <v>44.258824339260165</v>
      </c>
      <c r="L93" s="291">
        <f t="shared" si="9"/>
        <v>42.831120328316288</v>
      </c>
      <c r="M93" s="291">
        <f t="shared" si="9"/>
        <v>44.258824339260165</v>
      </c>
      <c r="N93" s="291">
        <f t="shared" si="9"/>
        <v>44.258824339260165</v>
      </c>
      <c r="O93" s="291">
        <f t="shared" si="9"/>
        <v>41.403416317372418</v>
      </c>
      <c r="P93" s="291">
        <f t="shared" si="9"/>
        <v>44.258824339260165</v>
      </c>
      <c r="Q93" s="323">
        <f t="shared" si="8"/>
        <v>522.53966800545868</v>
      </c>
      <c r="R93" s="427"/>
    </row>
    <row r="94" spans="3:18" x14ac:dyDescent="0.25">
      <c r="C94" s="753" t="s">
        <v>394</v>
      </c>
      <c r="D94" s="754"/>
      <c r="E94" s="291">
        <f t="shared" ref="E94:Q94" si="10">E77+E93</f>
        <v>556.71626543660159</v>
      </c>
      <c r="F94" s="291">
        <f t="shared" si="10"/>
        <v>608.69239728996899</v>
      </c>
      <c r="G94" s="291">
        <f t="shared" si="10"/>
        <v>552.94184348732324</v>
      </c>
      <c r="H94" s="291">
        <f t="shared" si="10"/>
        <v>507.26120106657987</v>
      </c>
      <c r="I94" s="291">
        <f t="shared" si="10"/>
        <v>463.8606286017457</v>
      </c>
      <c r="J94" s="291">
        <f t="shared" si="10"/>
        <v>491.07353356588442</v>
      </c>
      <c r="K94" s="291">
        <f t="shared" si="10"/>
        <v>457.57366506622049</v>
      </c>
      <c r="L94" s="291">
        <f t="shared" si="10"/>
        <v>487.98145515900001</v>
      </c>
      <c r="M94" s="291">
        <f t="shared" si="10"/>
        <v>476.06767634520088</v>
      </c>
      <c r="N94" s="291">
        <f t="shared" si="10"/>
        <v>500.02351666450016</v>
      </c>
      <c r="O94" s="291">
        <f t="shared" si="10"/>
        <v>535.80134897237008</v>
      </c>
      <c r="P94" s="291">
        <f t="shared" si="10"/>
        <v>625.78878051331822</v>
      </c>
      <c r="Q94" s="323">
        <f t="shared" si="10"/>
        <v>6263.7823121687125</v>
      </c>
      <c r="R94" s="427"/>
    </row>
    <row r="95" spans="3:18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</row>
    <row r="96" spans="3:18" x14ac:dyDescent="0.25">
      <c r="C96" s="17" t="s">
        <v>396</v>
      </c>
      <c r="D96" s="322" t="s">
        <v>396</v>
      </c>
      <c r="E96" s="66">
        <f>'[34]TGNPDCL MoD'!F23</f>
        <v>43.096007769183814</v>
      </c>
      <c r="F96" s="66">
        <f>'[34]TGNPDCL MoD'!G23</f>
        <v>44.532541361489905</v>
      </c>
      <c r="G96" s="66">
        <f>'[34]TGNPDCL MoD'!H23</f>
        <v>43.096007769183785</v>
      </c>
      <c r="H96" s="66">
        <f>'[34]TGNPDCL MoD'!I23</f>
        <v>45.929261924322319</v>
      </c>
      <c r="I96" s="66">
        <f>'[34]TGNPDCL MoD'!J23</f>
        <v>37.946742991128744</v>
      </c>
      <c r="J96" s="66">
        <f>'[34]TGNPDCL MoD'!K23</f>
        <v>42.908679578985172</v>
      </c>
      <c r="K96" s="66">
        <f>'[34]TGNPDCL MoD'!L23</f>
        <v>37.005914652505723</v>
      </c>
      <c r="L96" s="66">
        <f>'[34]TGNPDCL MoD'!M23</f>
        <v>43.096007769183785</v>
      </c>
      <c r="M96" s="66">
        <f>'[34]TGNPDCL MoD'!N23</f>
        <v>44.532541361489905</v>
      </c>
      <c r="N96" s="66">
        <f>'[34]TGNPDCL MoD'!O23</f>
        <v>43.591713022866884</v>
      </c>
      <c r="O96" s="66">
        <f>'[34]TGNPDCL MoD'!P23</f>
        <v>41.659474176877694</v>
      </c>
      <c r="P96" s="66">
        <f>'[34]TGNPDCL MoD'!Q23</f>
        <v>50.177511393228116</v>
      </c>
      <c r="Q96" s="66">
        <f>SUM(E96:P96)</f>
        <v>517.57240377044593</v>
      </c>
    </row>
    <row r="97" spans="3:18" x14ac:dyDescent="0.25">
      <c r="C97" s="17" t="s">
        <v>397</v>
      </c>
      <c r="D97" s="322" t="s">
        <v>397</v>
      </c>
      <c r="E97" s="66">
        <f>'[34]TGNPDCL MoD'!F24</f>
        <v>0</v>
      </c>
      <c r="F97" s="66">
        <f>'[34]TGNPDCL MoD'!G24</f>
        <v>0</v>
      </c>
      <c r="G97" s="66">
        <f>'[34]TGNPDCL MoD'!H24</f>
        <v>0</v>
      </c>
      <c r="H97" s="66">
        <f>'[34]TGNPDCL MoD'!I24</f>
        <v>0</v>
      </c>
      <c r="I97" s="66">
        <f>'[34]TGNPDCL MoD'!J24</f>
        <v>0</v>
      </c>
      <c r="J97" s="66">
        <f>'[34]TGNPDCL MoD'!K24</f>
        <v>0</v>
      </c>
      <c r="K97" s="66">
        <f>'[34]TGNPDCL MoD'!L24</f>
        <v>0</v>
      </c>
      <c r="L97" s="66">
        <f>'[34]TGNPDCL MoD'!M24</f>
        <v>0</v>
      </c>
      <c r="M97" s="66">
        <f>'[34]TGNPDCL MoD'!N24</f>
        <v>0</v>
      </c>
      <c r="N97" s="66">
        <f>'[34]TGNPDCL MoD'!O24</f>
        <v>0</v>
      </c>
      <c r="O97" s="66">
        <f>'[34]TGNPDCL MoD'!P24</f>
        <v>0</v>
      </c>
      <c r="P97" s="66">
        <f>'[34]TGNPDCL MoD'!Q24</f>
        <v>0</v>
      </c>
      <c r="Q97" s="66">
        <f>SUM(E97:P97)</f>
        <v>0</v>
      </c>
    </row>
    <row r="98" spans="3:18" x14ac:dyDescent="0.25">
      <c r="C98" s="17"/>
      <c r="D98" s="17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17"/>
    </row>
    <row r="99" spans="3:18" x14ac:dyDescent="0.25">
      <c r="C99" s="17"/>
      <c r="D99" s="17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17"/>
    </row>
    <row r="100" spans="3:18" x14ac:dyDescent="0.25">
      <c r="C100" s="17"/>
      <c r="D100" s="17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17"/>
    </row>
    <row r="101" spans="3:18" x14ac:dyDescent="0.25">
      <c r="C101" s="17"/>
      <c r="D101" s="17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17"/>
    </row>
    <row r="102" spans="3:18" x14ac:dyDescent="0.25">
      <c r="C102" s="17"/>
      <c r="D102" s="17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17"/>
    </row>
    <row r="103" spans="3:18" x14ac:dyDescent="0.25">
      <c r="C103" s="753" t="s">
        <v>398</v>
      </c>
      <c r="D103" s="754"/>
      <c r="E103" s="66">
        <f t="shared" ref="E103:P103" si="11">SUM(E96:E102)</f>
        <v>43.096007769183814</v>
      </c>
      <c r="F103" s="66">
        <f t="shared" si="11"/>
        <v>44.532541361489905</v>
      </c>
      <c r="G103" s="66">
        <f t="shared" si="11"/>
        <v>43.096007769183785</v>
      </c>
      <c r="H103" s="66">
        <f t="shared" si="11"/>
        <v>45.929261924322319</v>
      </c>
      <c r="I103" s="66">
        <f t="shared" si="11"/>
        <v>37.946742991128744</v>
      </c>
      <c r="J103" s="66">
        <f t="shared" si="11"/>
        <v>42.908679578985172</v>
      </c>
      <c r="K103" s="66">
        <f t="shared" si="11"/>
        <v>37.005914652505723</v>
      </c>
      <c r="L103" s="66">
        <f t="shared" si="11"/>
        <v>43.096007769183785</v>
      </c>
      <c r="M103" s="66">
        <f t="shared" si="11"/>
        <v>44.532541361489905</v>
      </c>
      <c r="N103" s="66">
        <f t="shared" si="11"/>
        <v>43.591713022866884</v>
      </c>
      <c r="O103" s="66">
        <f t="shared" si="11"/>
        <v>41.659474176877694</v>
      </c>
      <c r="P103" s="66">
        <f t="shared" si="11"/>
        <v>50.177511393228116</v>
      </c>
      <c r="Q103" s="86">
        <f>SUM(E103:P103)</f>
        <v>517.57240377044593</v>
      </c>
      <c r="R103" s="427"/>
    </row>
    <row r="104" spans="3:18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</row>
    <row r="105" spans="3:18" x14ac:dyDescent="0.25">
      <c r="C105" s="17" t="s">
        <v>400</v>
      </c>
      <c r="D105" s="322" t="s">
        <v>400</v>
      </c>
      <c r="E105" s="66">
        <f>'[34]TGNPDCL MoD'!F20+'[34]TGNPDCL MoD'!F21+'[34]TGNPDCL MoD'!F22</f>
        <v>295.77933174748682</v>
      </c>
      <c r="F105" s="66">
        <f>'[34]TGNPDCL MoD'!G20+'[34]TGNPDCL MoD'!G21+'[34]TGNPDCL MoD'!G22</f>
        <v>95.880463684801697</v>
      </c>
      <c r="G105" s="66">
        <f>'[34]TGNPDCL MoD'!H20+'[34]TGNPDCL MoD'!H21+'[34]TGNPDCL MoD'!H22</f>
        <v>108.44814013835241</v>
      </c>
      <c r="H105" s="66">
        <f>'[34]TGNPDCL MoD'!I20+'[34]TGNPDCL MoD'!I21+'[34]TGNPDCL MoD'!I22</f>
        <v>246.99484857042751</v>
      </c>
      <c r="I105" s="66">
        <f>'[34]TGNPDCL MoD'!J20+'[34]TGNPDCL MoD'!J21+'[34]TGNPDCL MoD'!J22</f>
        <v>232.00964897735597</v>
      </c>
      <c r="J105" s="66">
        <f>'[34]TGNPDCL MoD'!K20+'[34]TGNPDCL MoD'!K21+'[34]TGNPDCL MoD'!K22</f>
        <v>246.58273447348844</v>
      </c>
      <c r="K105" s="66">
        <f>'[34]TGNPDCL MoD'!L20+'[34]TGNPDCL MoD'!L21+'[34]TGNPDCL MoD'!L22</f>
        <v>241.28051207891301</v>
      </c>
      <c r="L105" s="66">
        <f>'[34]TGNPDCL MoD'!M20+'[34]TGNPDCL MoD'!M21+'[34]TGNPDCL MoD'!M22</f>
        <v>316.37238255982089</v>
      </c>
      <c r="M105" s="66">
        <f>'[34]TGNPDCL MoD'!N20+'[34]TGNPDCL MoD'!N21+'[34]TGNPDCL MoD'!N22</f>
        <v>285.67703987923079</v>
      </c>
      <c r="N105" s="66">
        <f>'[34]TGNPDCL MoD'!O20+'[34]TGNPDCL MoD'!O21+'[34]TGNPDCL MoD'!O22</f>
        <v>279.43413877598334</v>
      </c>
      <c r="O105" s="66">
        <f>'[34]TGNPDCL MoD'!P20+'[34]TGNPDCL MoD'!P21+'[34]TGNPDCL MoD'!P22</f>
        <v>273.55380419534919</v>
      </c>
      <c r="P105" s="66">
        <f>'[34]TGNPDCL MoD'!Q20+'[34]TGNPDCL MoD'!Q21+'[34]TGNPDCL MoD'!Q22</f>
        <v>326.17479998990541</v>
      </c>
      <c r="Q105" s="66">
        <f>SUM(E105:P105)</f>
        <v>2948.1878450711151</v>
      </c>
    </row>
    <row r="106" spans="3:18" x14ac:dyDescent="0.25">
      <c r="C106" s="17" t="s">
        <v>401</v>
      </c>
      <c r="D106" s="322" t="s">
        <v>401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17">
        <f>SUM(E106:P106)</f>
        <v>0</v>
      </c>
    </row>
    <row r="107" spans="3:18" x14ac:dyDescent="0.25">
      <c r="C107" s="17" t="s">
        <v>402</v>
      </c>
      <c r="D107" s="322" t="s">
        <v>402</v>
      </c>
      <c r="E107" s="66">
        <f>'[44]F9-Year(n+1)'!I107</f>
        <v>0</v>
      </c>
      <c r="F107" s="66">
        <f>'[44]F9-Year(n+1)'!J107</f>
        <v>0</v>
      </c>
      <c r="G107" s="66">
        <f>'[44]F9-Year(n+1)'!K107</f>
        <v>0</v>
      </c>
      <c r="H107" s="66">
        <f>'[44]F9-Year(n+1)'!L107</f>
        <v>0</v>
      </c>
      <c r="I107" s="66">
        <f>'[44]F9-Year(n+1)'!M107</f>
        <v>0</v>
      </c>
      <c r="J107" s="66">
        <f>'[44]F9-Year(n+1)'!N107</f>
        <v>0</v>
      </c>
      <c r="K107" s="66">
        <f>'[44]F9-Year(n+1)'!O107</f>
        <v>0</v>
      </c>
      <c r="L107" s="66">
        <f>'[44]F9-Year(n+1)'!P107</f>
        <v>0</v>
      </c>
      <c r="M107" s="66">
        <f>'[44]F9-Year(n+1)'!Q107</f>
        <v>0</v>
      </c>
      <c r="N107" s="66">
        <f>'[44]F9-Year(n+1)'!R107</f>
        <v>0</v>
      </c>
      <c r="O107" s="66">
        <f>'[44]F9-Year(n+1)'!S107</f>
        <v>0</v>
      </c>
      <c r="P107" s="66">
        <f>'[44]F9-Year(n+1)'!T107</f>
        <v>0</v>
      </c>
      <c r="Q107" s="17">
        <f>SUM(E107:P107)</f>
        <v>0</v>
      </c>
    </row>
    <row r="108" spans="3:18" x14ac:dyDescent="0.25">
      <c r="C108" s="17"/>
      <c r="D108" s="17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17"/>
    </row>
    <row r="109" spans="3:18" x14ac:dyDescent="0.25">
      <c r="C109" s="17"/>
      <c r="D109" s="17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17"/>
    </row>
    <row r="110" spans="3:18" x14ac:dyDescent="0.25">
      <c r="C110" s="17"/>
      <c r="D110" s="17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17"/>
    </row>
    <row r="111" spans="3:18" x14ac:dyDescent="0.25">
      <c r="C111" s="17"/>
      <c r="D111" s="17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17"/>
    </row>
    <row r="112" spans="3:18" x14ac:dyDescent="0.25">
      <c r="C112" s="17"/>
      <c r="D112" s="17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17"/>
    </row>
    <row r="113" spans="3:18" x14ac:dyDescent="0.25">
      <c r="C113" s="753" t="s">
        <v>403</v>
      </c>
      <c r="D113" s="754"/>
      <c r="E113" s="66">
        <f t="shared" ref="E113:P113" si="12">SUM(E105:E112)</f>
        <v>295.77933174748682</v>
      </c>
      <c r="F113" s="66">
        <f t="shared" si="12"/>
        <v>95.880463684801697</v>
      </c>
      <c r="G113" s="66">
        <f t="shared" si="12"/>
        <v>108.44814013835241</v>
      </c>
      <c r="H113" s="66">
        <f t="shared" si="12"/>
        <v>246.99484857042751</v>
      </c>
      <c r="I113" s="66">
        <f t="shared" si="12"/>
        <v>232.00964897735597</v>
      </c>
      <c r="J113" s="66">
        <f t="shared" si="12"/>
        <v>246.58273447348844</v>
      </c>
      <c r="K113" s="66">
        <f t="shared" si="12"/>
        <v>241.28051207891301</v>
      </c>
      <c r="L113" s="66">
        <f t="shared" si="12"/>
        <v>316.37238255982089</v>
      </c>
      <c r="M113" s="66">
        <f t="shared" si="12"/>
        <v>285.67703987923079</v>
      </c>
      <c r="N113" s="66">
        <f t="shared" si="12"/>
        <v>279.43413877598334</v>
      </c>
      <c r="O113" s="66">
        <f t="shared" si="12"/>
        <v>273.55380419534919</v>
      </c>
      <c r="P113" s="66">
        <f t="shared" si="12"/>
        <v>326.17479998990541</v>
      </c>
      <c r="Q113" s="86">
        <f>SUM(E113:P113)</f>
        <v>2948.1878450711151</v>
      </c>
      <c r="R113" s="427"/>
    </row>
    <row r="114" spans="3:18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3:18" x14ac:dyDescent="0.25">
      <c r="C115" s="17"/>
      <c r="D115" s="322" t="s">
        <v>405</v>
      </c>
      <c r="E115" s="66">
        <f>'[34]TGNPDCL MoD'!$F$104</f>
        <v>3.246513007437709E-2</v>
      </c>
      <c r="F115" s="66">
        <f>'[34]TGNPDCL MoD'!$F$104</f>
        <v>3.246513007437709E-2</v>
      </c>
      <c r="G115" s="66">
        <f>'[34]TGNPDCL MoD'!$F$104</f>
        <v>3.246513007437709E-2</v>
      </c>
      <c r="H115" s="66">
        <f>'[34]TGNPDCL MoD'!$F$104</f>
        <v>3.246513007437709E-2</v>
      </c>
      <c r="I115" s="66">
        <f>'[34]TGNPDCL MoD'!$F$104</f>
        <v>3.246513007437709E-2</v>
      </c>
      <c r="J115" s="66">
        <f>'[34]TGNPDCL MoD'!$F$104</f>
        <v>3.246513007437709E-2</v>
      </c>
      <c r="K115" s="66">
        <f>'[34]TGNPDCL MoD'!$F$104</f>
        <v>3.246513007437709E-2</v>
      </c>
      <c r="L115" s="66">
        <f>'[34]TGNPDCL MoD'!$F$104</f>
        <v>3.246513007437709E-2</v>
      </c>
      <c r="M115" s="66">
        <f>'[34]TGNPDCL MoD'!$F$104</f>
        <v>3.246513007437709E-2</v>
      </c>
      <c r="N115" s="66">
        <f>'[34]TGNPDCL MoD'!$F$104</f>
        <v>3.246513007437709E-2</v>
      </c>
      <c r="O115" s="66">
        <f>'[34]TGNPDCL MoD'!$F$104</f>
        <v>3.246513007437709E-2</v>
      </c>
      <c r="P115" s="66">
        <f>'[34]TGNPDCL MoD'!$F$104</f>
        <v>3.246513007437709E-2</v>
      </c>
      <c r="Q115" s="291">
        <f t="shared" ref="Q115:Q128" si="13">SUM(E115:P115)</f>
        <v>0.38958156089252499</v>
      </c>
    </row>
    <row r="116" spans="3:18" x14ac:dyDescent="0.25">
      <c r="C116" s="17"/>
      <c r="D116" s="322" t="s">
        <v>406</v>
      </c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291">
        <f t="shared" si="13"/>
        <v>0</v>
      </c>
    </row>
    <row r="117" spans="3:18" x14ac:dyDescent="0.25">
      <c r="C117" s="17"/>
      <c r="D117" s="322" t="s">
        <v>407</v>
      </c>
      <c r="E117" s="66">
        <f>'[34]TGNPDCL MoD'!F101</f>
        <v>0</v>
      </c>
      <c r="F117" s="66">
        <f>'[34]TGNPDCL MoD'!G101</f>
        <v>0</v>
      </c>
      <c r="G117" s="66">
        <f>'[34]TGNPDCL MoD'!H101</f>
        <v>0</v>
      </c>
      <c r="H117" s="66">
        <f>'[34]TGNPDCL MoD'!I101</f>
        <v>0</v>
      </c>
      <c r="I117" s="66">
        <f>'[34]TGNPDCL MoD'!J101</f>
        <v>0</v>
      </c>
      <c r="J117" s="66">
        <f>'[34]TGNPDCL MoD'!K101</f>
        <v>0</v>
      </c>
      <c r="K117" s="66">
        <f>'[34]TGNPDCL MoD'!L101</f>
        <v>0</v>
      </c>
      <c r="L117" s="66">
        <f>'[34]TGNPDCL MoD'!M101</f>
        <v>0</v>
      </c>
      <c r="M117" s="66">
        <f>'[34]TGNPDCL MoD'!N101</f>
        <v>0</v>
      </c>
      <c r="N117" s="66">
        <f>'[34]TGNPDCL MoD'!O101</f>
        <v>0</v>
      </c>
      <c r="O117" s="66">
        <f>'[34]TGNPDCL MoD'!P101</f>
        <v>0</v>
      </c>
      <c r="P117" s="66">
        <f>'[34]TGNPDCL MoD'!Q101</f>
        <v>0</v>
      </c>
      <c r="Q117" s="291">
        <f t="shared" si="13"/>
        <v>0</v>
      </c>
    </row>
    <row r="118" spans="3:18" x14ac:dyDescent="0.25">
      <c r="C118" s="17"/>
      <c r="D118" s="322" t="s">
        <v>408</v>
      </c>
      <c r="E118" s="66">
        <f>'[34]TGNPDCL MoD'!F102</f>
        <v>3.4728501919145072</v>
      </c>
      <c r="F118" s="66">
        <f>'[34]TGNPDCL MoD'!G102</f>
        <v>2.4419061192974212</v>
      </c>
      <c r="G118" s="66">
        <f>'[34]TGNPDCL MoD'!H102</f>
        <v>2.0303118295590461</v>
      </c>
      <c r="H118" s="66">
        <f>'[34]TGNPDCL MoD'!I102</f>
        <v>2.8668381712979074</v>
      </c>
      <c r="I118" s="66">
        <f>'[34]TGNPDCL MoD'!J102</f>
        <v>2.8668381712979074</v>
      </c>
      <c r="J118" s="66">
        <f>'[34]TGNPDCL MoD'!K102</f>
        <v>2.0436430311904337</v>
      </c>
      <c r="K118" s="66">
        <f>'[34]TGNPDCL MoD'!L102</f>
        <v>2.8668381712979074</v>
      </c>
      <c r="L118" s="66">
        <f>'[34]TGNPDCL MoD'!M102</f>
        <v>2.6937282755731391</v>
      </c>
      <c r="M118" s="66">
        <f>'[34]TGNPDCL MoD'!N102</f>
        <v>4.3962305369329355</v>
      </c>
      <c r="N118" s="66">
        <f>'[34]TGNPDCL MoD'!O102</f>
        <v>4.469689919150774</v>
      </c>
      <c r="O118" s="66">
        <f>'[34]TGNPDCL MoD'!P102</f>
        <v>4.8828295498356677</v>
      </c>
      <c r="P118" s="66">
        <f>'[34]TGNPDCL MoD'!Q102</f>
        <v>4.7343960607301847</v>
      </c>
      <c r="Q118" s="291">
        <f t="shared" si="13"/>
        <v>39.76610002807783</v>
      </c>
    </row>
    <row r="119" spans="3:18" x14ac:dyDescent="0.25">
      <c r="C119" s="17"/>
      <c r="D119" s="322" t="s">
        <v>409</v>
      </c>
      <c r="E119" s="66">
        <f>'[34]TGNPDCL MoD'!F99+'[34]TGNPDCL MoD'!F100</f>
        <v>0</v>
      </c>
      <c r="F119" s="66">
        <f>'[34]TGNPDCL MoD'!G99+'[34]TGNPDCL MoD'!G100</f>
        <v>0</v>
      </c>
      <c r="G119" s="66">
        <f>'[34]TGNPDCL MoD'!H99+'[34]TGNPDCL MoD'!H100</f>
        <v>0</v>
      </c>
      <c r="H119" s="66">
        <f>'[34]TGNPDCL MoD'!I99+'[34]TGNPDCL MoD'!I100</f>
        <v>0</v>
      </c>
      <c r="I119" s="66">
        <f>'[34]TGNPDCL MoD'!J99+'[34]TGNPDCL MoD'!J100</f>
        <v>0</v>
      </c>
      <c r="J119" s="66">
        <f>'[34]TGNPDCL MoD'!K99+'[34]TGNPDCL MoD'!K100</f>
        <v>0</v>
      </c>
      <c r="K119" s="66">
        <f>'[34]TGNPDCL MoD'!L99+'[34]TGNPDCL MoD'!L100</f>
        <v>0</v>
      </c>
      <c r="L119" s="66">
        <f>'[34]TGNPDCL MoD'!M99+'[34]TGNPDCL MoD'!M100</f>
        <v>0</v>
      </c>
      <c r="M119" s="66">
        <f>'[34]TGNPDCL MoD'!N99+'[34]TGNPDCL MoD'!N100</f>
        <v>0</v>
      </c>
      <c r="N119" s="66">
        <f>'[34]TGNPDCL MoD'!O99+'[34]TGNPDCL MoD'!O100</f>
        <v>0</v>
      </c>
      <c r="O119" s="66">
        <f>'[34]TGNPDCL MoD'!P99+'[34]TGNPDCL MoD'!P100</f>
        <v>0</v>
      </c>
      <c r="P119" s="66">
        <f>'[34]TGNPDCL MoD'!Q99+'[34]TGNPDCL MoD'!Q100</f>
        <v>0</v>
      </c>
      <c r="Q119" s="291">
        <f t="shared" si="13"/>
        <v>0</v>
      </c>
    </row>
    <row r="120" spans="3:18" x14ac:dyDescent="0.25">
      <c r="C120" s="17"/>
      <c r="D120" s="322" t="s">
        <v>367</v>
      </c>
      <c r="E120" s="66">
        <f>'[34]TGNPDCL MoD'!$F$103</f>
        <v>1.0150324314589851E-2</v>
      </c>
      <c r="F120" s="66">
        <f>'[34]TGNPDCL MoD'!$F$103</f>
        <v>1.0150324314589851E-2</v>
      </c>
      <c r="G120" s="66">
        <f>'[34]TGNPDCL MoD'!$F$103</f>
        <v>1.0150324314589851E-2</v>
      </c>
      <c r="H120" s="66">
        <f>'[34]TGNPDCL MoD'!$F$103</f>
        <v>1.0150324314589851E-2</v>
      </c>
      <c r="I120" s="66">
        <f>'[34]TGNPDCL MoD'!$F$103</f>
        <v>1.0150324314589851E-2</v>
      </c>
      <c r="J120" s="66">
        <f>'[34]TGNPDCL MoD'!$F$103</f>
        <v>1.0150324314589851E-2</v>
      </c>
      <c r="K120" s="66">
        <f>'[34]TGNPDCL MoD'!$F$103</f>
        <v>1.0150324314589851E-2</v>
      </c>
      <c r="L120" s="66">
        <f>'[34]TGNPDCL MoD'!$F$103</f>
        <v>1.0150324314589851E-2</v>
      </c>
      <c r="M120" s="66">
        <f>'[34]TGNPDCL MoD'!$F$103</f>
        <v>1.0150324314589851E-2</v>
      </c>
      <c r="N120" s="66">
        <f>'[34]TGNPDCL MoD'!$F$103</f>
        <v>1.0150324314589851E-2</v>
      </c>
      <c r="O120" s="66">
        <f>'[34]TGNPDCL MoD'!$F$103</f>
        <v>1.0150324314589851E-2</v>
      </c>
      <c r="P120" s="66">
        <f>'[34]TGNPDCL MoD'!$F$103</f>
        <v>1.0150324314589851E-2</v>
      </c>
      <c r="Q120" s="291">
        <f t="shared" si="13"/>
        <v>0.12180389177507824</v>
      </c>
    </row>
    <row r="121" spans="3:18" x14ac:dyDescent="0.25">
      <c r="C121" s="17"/>
      <c r="D121" s="322" t="s">
        <v>410</v>
      </c>
      <c r="E121" s="66">
        <f>'[34]TGNPDCL MoD'!F114</f>
        <v>221.84815081274789</v>
      </c>
      <c r="F121" s="66">
        <f>'[34]TGNPDCL MoD'!G114</f>
        <v>228.76079348895666</v>
      </c>
      <c r="G121" s="66">
        <f>'[34]TGNPDCL MoD'!H114</f>
        <v>214.17746225293965</v>
      </c>
      <c r="H121" s="66">
        <f>'[34]TGNPDCL MoD'!I114</f>
        <v>167.74665513488299</v>
      </c>
      <c r="I121" s="66">
        <f>'[34]TGNPDCL MoD'!J114</f>
        <v>206.31655730895</v>
      </c>
      <c r="J121" s="66">
        <f>'[34]TGNPDCL MoD'!K114</f>
        <v>181.86139407593294</v>
      </c>
      <c r="K121" s="66">
        <f>'[34]TGNPDCL MoD'!L114</f>
        <v>222.95791274397115</v>
      </c>
      <c r="L121" s="66">
        <f>'[34]TGNPDCL MoD'!M114</f>
        <v>171.91645424679356</v>
      </c>
      <c r="M121" s="66">
        <f>'[34]TGNPDCL MoD'!N114</f>
        <v>188.45829954461004</v>
      </c>
      <c r="N121" s="66">
        <f>'[34]TGNPDCL MoD'!O114</f>
        <v>200.92415108369303</v>
      </c>
      <c r="O121" s="66">
        <f>'[34]TGNPDCL MoD'!P114</f>
        <v>213.60135228849788</v>
      </c>
      <c r="P121" s="66">
        <f>'[34]TGNPDCL MoD'!Q114</f>
        <v>221.14278127257117</v>
      </c>
      <c r="Q121" s="291">
        <f t="shared" si="13"/>
        <v>2439.7119642545467</v>
      </c>
    </row>
    <row r="122" spans="3:18" x14ac:dyDescent="0.25">
      <c r="C122" s="17"/>
      <c r="D122" s="322" t="s">
        <v>411</v>
      </c>
      <c r="E122" s="66">
        <f>'[34]TGNPDCL MoD'!F107</f>
        <v>5.9761617690268922</v>
      </c>
      <c r="F122" s="66">
        <f>'[34]TGNPDCL MoD'!G107</f>
        <v>6.1623750447885239</v>
      </c>
      <c r="G122" s="66">
        <f>'[34]TGNPDCL MoD'!H107</f>
        <v>5.7695281976164603</v>
      </c>
      <c r="H122" s="66">
        <f>'[34]TGNPDCL MoD'!I107</f>
        <v>4.5187717077045901</v>
      </c>
      <c r="I122" s="66">
        <f>'[34]TGNPDCL MoD'!J107</f>
        <v>5.5577705632881154</v>
      </c>
      <c r="J122" s="66">
        <f>'[34]TGNPDCL MoD'!K107</f>
        <v>4.8989955812427359</v>
      </c>
      <c r="K122" s="66">
        <f>'[34]TGNPDCL MoD'!L107</f>
        <v>6.0060566173806</v>
      </c>
      <c r="L122" s="66">
        <f>'[34]TGNPDCL MoD'!M107</f>
        <v>4.6310980622215387</v>
      </c>
      <c r="M122" s="66">
        <f>'[34]TGNPDCL MoD'!N107</f>
        <v>5.0767035049345077</v>
      </c>
      <c r="N122" s="66">
        <f>'[34]TGNPDCL MoD'!O107</f>
        <v>5.4125095286192098</v>
      </c>
      <c r="O122" s="66">
        <f>'[34]TGNPDCL MoD'!P107</f>
        <v>5.7540089051110286</v>
      </c>
      <c r="P122" s="66">
        <f>'[34]TGNPDCL MoD'!Q107</f>
        <v>5.9571604725833698</v>
      </c>
      <c r="Q122" s="291">
        <f t="shared" si="13"/>
        <v>65.721139954517582</v>
      </c>
    </row>
    <row r="123" spans="3:18" x14ac:dyDescent="0.25">
      <c r="C123" s="17"/>
      <c r="D123" s="322" t="s">
        <v>412</v>
      </c>
      <c r="E123" s="66">
        <f>'[34]TGNPDCL MoD'!F108</f>
        <v>29.969853401079952</v>
      </c>
      <c r="F123" s="66">
        <f>'[34]TGNPDCL MoD'!G108</f>
        <v>30.903694349769616</v>
      </c>
      <c r="G123" s="66">
        <f>'[34]TGNPDCL MoD'!H108</f>
        <v>28.933606712610437</v>
      </c>
      <c r="H123" s="66">
        <f>'[34]TGNPDCL MoD'!I108</f>
        <v>22.66118804459774</v>
      </c>
      <c r="I123" s="66">
        <f>'[34]TGNPDCL MoD'!J108</f>
        <v>27.871663361232027</v>
      </c>
      <c r="J123" s="66">
        <f>'[34]TGNPDCL MoD'!K108</f>
        <v>24.567972731817559</v>
      </c>
      <c r="K123" s="66">
        <f>'[34]TGNPDCL MoD'!L108</f>
        <v>30.119773074816298</v>
      </c>
      <c r="L123" s="66">
        <f>'[34]TGNPDCL MoD'!M108</f>
        <v>23.224493475082898</v>
      </c>
      <c r="M123" s="66">
        <f>'[34]TGNPDCL MoD'!N108</f>
        <v>25.459160190774167</v>
      </c>
      <c r="N123" s="66">
        <f>'[34]TGNPDCL MoD'!O108</f>
        <v>27.143193804654874</v>
      </c>
      <c r="O123" s="66">
        <f>'[34]TGNPDCL MoD'!P108</f>
        <v>28.855779013285623</v>
      </c>
      <c r="P123" s="66">
        <f>'[34]TGNPDCL MoD'!Q108</f>
        <v>29.874563800354235</v>
      </c>
      <c r="Q123" s="291">
        <f t="shared" si="13"/>
        <v>329.58494196007535</v>
      </c>
    </row>
    <row r="124" spans="3:18" x14ac:dyDescent="0.25">
      <c r="C124" s="17"/>
      <c r="D124" s="322" t="s">
        <v>413</v>
      </c>
      <c r="E124" s="66">
        <f>'[34]TGNPDCL MoD'!F109</f>
        <v>29.969853401079945</v>
      </c>
      <c r="F124" s="66">
        <f>'[34]TGNPDCL MoD'!G109</f>
        <v>30.903694349769616</v>
      </c>
      <c r="G124" s="66">
        <f>'[34]TGNPDCL MoD'!H109</f>
        <v>28.933606712610437</v>
      </c>
      <c r="H124" s="66">
        <f>'[34]TGNPDCL MoD'!I109</f>
        <v>22.661188044597733</v>
      </c>
      <c r="I124" s="66">
        <f>'[34]TGNPDCL MoD'!J109</f>
        <v>27.871663361232017</v>
      </c>
      <c r="J124" s="66">
        <f>'[34]TGNPDCL MoD'!K109</f>
        <v>24.567972731817555</v>
      </c>
      <c r="K124" s="66">
        <f>'[34]TGNPDCL MoD'!L109</f>
        <v>30.119773074816301</v>
      </c>
      <c r="L124" s="66">
        <f>'[34]TGNPDCL MoD'!M109</f>
        <v>23.224493475082898</v>
      </c>
      <c r="M124" s="66">
        <f>'[34]TGNPDCL MoD'!N109</f>
        <v>25.459160190774163</v>
      </c>
      <c r="N124" s="66">
        <f>'[34]TGNPDCL MoD'!O109</f>
        <v>27.143193804654871</v>
      </c>
      <c r="O124" s="66">
        <f>'[34]TGNPDCL MoD'!P109</f>
        <v>28.85577901328562</v>
      </c>
      <c r="P124" s="66">
        <f>'[34]TGNPDCL MoD'!Q109</f>
        <v>29.874563800354235</v>
      </c>
      <c r="Q124" s="291">
        <f t="shared" si="13"/>
        <v>329.58494196007535</v>
      </c>
    </row>
    <row r="125" spans="3:18" x14ac:dyDescent="0.25">
      <c r="C125" s="17"/>
      <c r="D125" s="322" t="s">
        <v>414</v>
      </c>
      <c r="E125" s="66">
        <f>'[34]TGNPDCL MoD'!F110</f>
        <v>115.75855876167131</v>
      </c>
      <c r="F125" s="66">
        <f>'[34]TGNPDCL MoD'!G110</f>
        <v>119.36551942598514</v>
      </c>
      <c r="G125" s="66">
        <f>'[34]TGNPDCL MoD'!H110</f>
        <v>111.75605592745782</v>
      </c>
      <c r="H125" s="66">
        <f>'[34]TGNPDCL MoD'!I110</f>
        <v>87.528838822258777</v>
      </c>
      <c r="I125" s="66">
        <f>'[34]TGNPDCL MoD'!J110</f>
        <v>107.6542997327587</v>
      </c>
      <c r="J125" s="66">
        <f>'[34]TGNPDCL MoD'!K110</f>
        <v>94.893794676645314</v>
      </c>
      <c r="K125" s="66">
        <f>'[34]TGNPDCL MoD'!L110</f>
        <v>116.33762350147795</v>
      </c>
      <c r="L125" s="66">
        <f>'[34]TGNPDCL MoD'!M110</f>
        <v>89.704606047507696</v>
      </c>
      <c r="M125" s="66">
        <f>'[34]TGNPDCL MoD'!N110</f>
        <v>98.336006236865202</v>
      </c>
      <c r="N125" s="66">
        <f>'[34]TGNPDCL MoD'!O110</f>
        <v>104.84058607047943</v>
      </c>
      <c r="O125" s="66">
        <f>'[34]TGNPDCL MoD'!P110</f>
        <v>111.4554464388157</v>
      </c>
      <c r="P125" s="66">
        <f>'[34]TGNPDCL MoD'!Q110</f>
        <v>115.39050267886823</v>
      </c>
      <c r="Q125" s="291">
        <f t="shared" si="13"/>
        <v>1273.0218383207912</v>
      </c>
    </row>
    <row r="126" spans="3:18" x14ac:dyDescent="0.25">
      <c r="C126" s="17"/>
      <c r="D126" s="322" t="s">
        <v>415</v>
      </c>
      <c r="E126" s="66">
        <f>'[34]TGNPDCL MoD'!F111</f>
        <v>0</v>
      </c>
      <c r="F126" s="66">
        <f>'[34]TGNPDCL MoD'!G111</f>
        <v>0</v>
      </c>
      <c r="G126" s="66">
        <f>'[34]TGNPDCL MoD'!H111</f>
        <v>0</v>
      </c>
      <c r="H126" s="66">
        <f>'[34]TGNPDCL MoD'!I111</f>
        <v>0</v>
      </c>
      <c r="I126" s="66">
        <f>'[34]TGNPDCL MoD'!J111</f>
        <v>0</v>
      </c>
      <c r="J126" s="66">
        <f>'[34]TGNPDCL MoD'!K111</f>
        <v>0</v>
      </c>
      <c r="K126" s="66">
        <f>'[34]TGNPDCL MoD'!L111</f>
        <v>0</v>
      </c>
      <c r="L126" s="66">
        <f>'[34]TGNPDCL MoD'!M111</f>
        <v>0</v>
      </c>
      <c r="M126" s="66">
        <f>'[34]TGNPDCL MoD'!N111</f>
        <v>0</v>
      </c>
      <c r="N126" s="66">
        <f>'[34]TGNPDCL MoD'!O111</f>
        <v>0</v>
      </c>
      <c r="O126" s="66">
        <f>'[34]TGNPDCL MoD'!P111</f>
        <v>0</v>
      </c>
      <c r="P126" s="66">
        <f>'[34]TGNPDCL MoD'!Q111</f>
        <v>0</v>
      </c>
      <c r="Q126" s="291">
        <f t="shared" si="13"/>
        <v>0</v>
      </c>
    </row>
    <row r="127" spans="3:18" x14ac:dyDescent="0.25">
      <c r="C127" s="17"/>
      <c r="D127" s="322" t="s">
        <v>416</v>
      </c>
      <c r="E127" s="66">
        <f>'[34]TGNPDCL MoD'!F112</f>
        <v>126.77247988656818</v>
      </c>
      <c r="F127" s="66">
        <f>'[34]TGNPDCL MoD'!G112</f>
        <v>130.72262709952545</v>
      </c>
      <c r="G127" s="66">
        <f>'[34]TGNPDCL MoD'!H112</f>
        <v>122.38915639434214</v>
      </c>
      <c r="H127" s="66">
        <f>'[34]TGNPDCL MoD'!I112</f>
        <v>95.856825428648435</v>
      </c>
      <c r="I127" s="66">
        <f>'[34]TGNPDCL MoD'!J112</f>
        <v>117.89713601801145</v>
      </c>
      <c r="J127" s="66">
        <f>'[34]TGNPDCL MoD'!K112</f>
        <v>103.92252465558826</v>
      </c>
      <c r="K127" s="66">
        <f>'[34]TGNPDCL MoD'!L112</f>
        <v>127.40664010647292</v>
      </c>
      <c r="L127" s="66">
        <f>'[34]TGNPDCL MoD'!M112</f>
        <v>98.239607399600644</v>
      </c>
      <c r="M127" s="66">
        <f>'[34]TGNPDCL MoD'!N112</f>
        <v>107.6922476069747</v>
      </c>
      <c r="N127" s="66">
        <f>'[34]TGNPDCL MoD'!O112</f>
        <v>114.81570979369009</v>
      </c>
      <c r="O127" s="66">
        <f>'[34]TGNPDCL MoD'!P112</f>
        <v>122.05994522619817</v>
      </c>
      <c r="P127" s="66">
        <f>'[34]TGNPDCL MoD'!Q112</f>
        <v>126.36940487549842</v>
      </c>
      <c r="Q127" s="291">
        <f t="shared" si="13"/>
        <v>1394.1443044911189</v>
      </c>
    </row>
    <row r="128" spans="3:18" x14ac:dyDescent="0.25">
      <c r="C128" s="17"/>
      <c r="D128" s="322" t="s">
        <v>417</v>
      </c>
      <c r="E128" s="66">
        <f>'[34]TGNPDCL MoD'!F113</f>
        <v>74.924633502699848</v>
      </c>
      <c r="F128" s="66">
        <f>'[34]TGNPDCL MoD'!G113</f>
        <v>77.259235874424022</v>
      </c>
      <c r="G128" s="66">
        <f>'[34]TGNPDCL MoD'!H113</f>
        <v>72.334016781526074</v>
      </c>
      <c r="H128" s="66">
        <f>'[34]TGNPDCL MoD'!I113</f>
        <v>56.652970111494334</v>
      </c>
      <c r="I128" s="66">
        <f>'[34]TGNPDCL MoD'!J113</f>
        <v>69.679158403080038</v>
      </c>
      <c r="J128" s="66">
        <f>'[34]TGNPDCL MoD'!K113</f>
        <v>61.41993182954387</v>
      </c>
      <c r="K128" s="66">
        <f>'[34]TGNPDCL MoD'!L113</f>
        <v>75.299432687040721</v>
      </c>
      <c r="L128" s="66">
        <f>'[34]TGNPDCL MoD'!M113</f>
        <v>58.061233687707229</v>
      </c>
      <c r="M128" s="66">
        <f>'[34]TGNPDCL MoD'!N113</f>
        <v>63.647900476935391</v>
      </c>
      <c r="N128" s="66">
        <f>'[34]TGNPDCL MoD'!O113</f>
        <v>67.85798451163717</v>
      </c>
      <c r="O128" s="66">
        <f>'[34]TGNPDCL MoD'!P113</f>
        <v>72.139447533214039</v>
      </c>
      <c r="P128" s="66">
        <f>'[34]TGNPDCL MoD'!Q113</f>
        <v>74.686409500885574</v>
      </c>
      <c r="Q128" s="291">
        <f t="shared" si="13"/>
        <v>823.96235490018842</v>
      </c>
    </row>
    <row r="129" spans="3:18" x14ac:dyDescent="0.25">
      <c r="C129" s="17"/>
      <c r="D129" s="17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291"/>
    </row>
    <row r="130" spans="3:18" x14ac:dyDescent="0.25">
      <c r="C130" s="17"/>
      <c r="D130" s="17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291"/>
    </row>
    <row r="131" spans="3:18" x14ac:dyDescent="0.25">
      <c r="C131" s="17"/>
      <c r="D131" s="17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291"/>
    </row>
    <row r="132" spans="3:18" x14ac:dyDescent="0.25">
      <c r="C132" s="17"/>
      <c r="D132" s="17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291"/>
    </row>
    <row r="133" spans="3:18" x14ac:dyDescent="0.25">
      <c r="C133" s="17"/>
      <c r="D133" s="17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291"/>
    </row>
    <row r="134" spans="3:18" x14ac:dyDescent="0.25">
      <c r="C134" s="17"/>
      <c r="D134" s="17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291"/>
    </row>
    <row r="135" spans="3:18" x14ac:dyDescent="0.25">
      <c r="C135" s="17"/>
      <c r="D135" s="17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291"/>
    </row>
    <row r="136" spans="3:18" x14ac:dyDescent="0.25">
      <c r="C136" s="17"/>
      <c r="D136" s="17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291"/>
    </row>
    <row r="137" spans="3:18" x14ac:dyDescent="0.25">
      <c r="C137" s="17"/>
      <c r="D137" s="17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291"/>
    </row>
    <row r="138" spans="3:18" x14ac:dyDescent="0.25">
      <c r="C138" s="17"/>
      <c r="D138" s="17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291"/>
    </row>
    <row r="139" spans="3:18" x14ac:dyDescent="0.25">
      <c r="C139" s="753" t="s">
        <v>420</v>
      </c>
      <c r="D139" s="754"/>
      <c r="E139" s="291">
        <f t="shared" ref="E139:P139" si="14">SUM(E115:E138)</f>
        <v>608.73515718117744</v>
      </c>
      <c r="F139" s="291">
        <f t="shared" si="14"/>
        <v>626.56246120690548</v>
      </c>
      <c r="G139" s="291">
        <f t="shared" si="14"/>
        <v>586.36636026305109</v>
      </c>
      <c r="H139" s="291">
        <f t="shared" si="14"/>
        <v>460.53589091987146</v>
      </c>
      <c r="I139" s="291">
        <f t="shared" si="14"/>
        <v>565.75770237423922</v>
      </c>
      <c r="J139" s="291">
        <f t="shared" si="14"/>
        <v>498.21884476816763</v>
      </c>
      <c r="K139" s="291">
        <f t="shared" si="14"/>
        <v>611.15666543166276</v>
      </c>
      <c r="L139" s="291">
        <f t="shared" si="14"/>
        <v>471.73833012395858</v>
      </c>
      <c r="M139" s="291">
        <f t="shared" si="14"/>
        <v>518.56832374319004</v>
      </c>
      <c r="N139" s="291">
        <f t="shared" si="14"/>
        <v>552.64963397096847</v>
      </c>
      <c r="O139" s="291">
        <f t="shared" si="14"/>
        <v>587.64720342263263</v>
      </c>
      <c r="P139" s="291">
        <f t="shared" si="14"/>
        <v>608.07239791623442</v>
      </c>
      <c r="Q139" s="323">
        <f>SUM(E139:P139)</f>
        <v>6696.0089713220605</v>
      </c>
      <c r="R139" s="427"/>
    </row>
    <row r="140" spans="3:18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</row>
    <row r="141" spans="3:18" x14ac:dyDescent="0.25">
      <c r="C141" s="17"/>
      <c r="D141" s="322" t="s">
        <v>453</v>
      </c>
      <c r="E141" s="66">
        <f>'[34]ST,D-D'!D27</f>
        <v>0</v>
      </c>
      <c r="F141" s="66">
        <f>'[34]ST,D-D'!E27</f>
        <v>0</v>
      </c>
      <c r="G141" s="66">
        <f>'[34]ST,D-D'!F27</f>
        <v>0</v>
      </c>
      <c r="H141" s="66">
        <f>'[34]ST,D-D'!G27</f>
        <v>0</v>
      </c>
      <c r="I141" s="66">
        <f>'[34]ST,D-D'!H27</f>
        <v>0</v>
      </c>
      <c r="J141" s="66">
        <f>'[34]ST,D-D'!I27</f>
        <v>0</v>
      </c>
      <c r="K141" s="66">
        <f>'[34]ST,D-D'!J27</f>
        <v>0</v>
      </c>
      <c r="L141" s="66">
        <f>'[34]ST,D-D'!K27</f>
        <v>0</v>
      </c>
      <c r="M141" s="66">
        <f>'[34]ST,D-D'!L27</f>
        <v>0</v>
      </c>
      <c r="N141" s="66">
        <f>'[34]ST,D-D'!M27</f>
        <v>0</v>
      </c>
      <c r="O141" s="66">
        <f>'[34]ST,D-D'!N27</f>
        <v>0</v>
      </c>
      <c r="P141" s="66">
        <f>'[34]ST,D-D'!O27</f>
        <v>0</v>
      </c>
      <c r="Q141" s="17">
        <f>SUM(E141:P141)</f>
        <v>0</v>
      </c>
    </row>
    <row r="142" spans="3:18" x14ac:dyDescent="0.25">
      <c r="C142" s="17"/>
      <c r="D142" s="322" t="s">
        <v>422</v>
      </c>
      <c r="E142" s="66">
        <f>-'[34]ST,D-D'!D29</f>
        <v>0</v>
      </c>
      <c r="F142" s="66">
        <f>-'[34]ST,D-D'!E29</f>
        <v>0</v>
      </c>
      <c r="G142" s="66">
        <f>-'[34]ST,D-D'!F29</f>
        <v>0</v>
      </c>
      <c r="H142" s="66">
        <f>-'[34]ST,D-D'!G29</f>
        <v>0</v>
      </c>
      <c r="I142" s="66">
        <f>-'[34]ST,D-D'!H29</f>
        <v>-54.230592082976727</v>
      </c>
      <c r="J142" s="66">
        <f>-'[34]ST,D-D'!I29</f>
        <v>0</v>
      </c>
      <c r="K142" s="66">
        <f>-'[34]ST,D-D'!J29</f>
        <v>-255.67560792188715</v>
      </c>
      <c r="L142" s="66">
        <f>-'[34]ST,D-D'!K29</f>
        <v>0</v>
      </c>
      <c r="M142" s="66">
        <f>-'[34]ST,D-D'!L29</f>
        <v>0</v>
      </c>
      <c r="N142" s="66">
        <f>-'[34]ST,D-D'!M29</f>
        <v>0</v>
      </c>
      <c r="O142" s="66">
        <f>-'[34]ST,D-D'!N29</f>
        <v>0</v>
      </c>
      <c r="P142" s="66">
        <f>-'[34]ST,D-D'!O29</f>
        <v>0</v>
      </c>
      <c r="Q142" s="17">
        <f>SUM(E142:P142)</f>
        <v>-309.90620000486388</v>
      </c>
      <c r="R142" s="427"/>
    </row>
    <row r="143" spans="3:18" x14ac:dyDescent="0.25">
      <c r="C143" s="17"/>
      <c r="D143" s="17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17"/>
    </row>
    <row r="144" spans="3:18" x14ac:dyDescent="0.25">
      <c r="C144" s="17"/>
      <c r="D144" s="17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17"/>
    </row>
    <row r="145" spans="3:18" x14ac:dyDescent="0.25">
      <c r="C145" s="17"/>
      <c r="D145" s="17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17"/>
    </row>
    <row r="146" spans="3:18" x14ac:dyDescent="0.25">
      <c r="C146" s="17"/>
      <c r="D146" s="17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17"/>
    </row>
    <row r="147" spans="3:18" x14ac:dyDescent="0.25">
      <c r="C147" s="17"/>
      <c r="D147" s="17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17"/>
    </row>
    <row r="148" spans="3:18" x14ac:dyDescent="0.25">
      <c r="C148" s="17"/>
      <c r="D148" s="17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17"/>
    </row>
    <row r="149" spans="3:18" x14ac:dyDescent="0.25">
      <c r="C149" s="17"/>
      <c r="D149" s="17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17"/>
    </row>
    <row r="150" spans="3:18" x14ac:dyDescent="0.25">
      <c r="C150" s="17"/>
      <c r="D150" s="17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17"/>
    </row>
    <row r="151" spans="3:18" x14ac:dyDescent="0.25">
      <c r="C151" s="17"/>
      <c r="D151" s="17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17"/>
    </row>
    <row r="152" spans="3:18" x14ac:dyDescent="0.25">
      <c r="C152" s="753" t="s">
        <v>423</v>
      </c>
      <c r="D152" s="754"/>
      <c r="E152" s="17">
        <f t="shared" ref="E152:P152" si="15">SUM(E141:E151)</f>
        <v>0</v>
      </c>
      <c r="F152" s="17">
        <f t="shared" si="15"/>
        <v>0</v>
      </c>
      <c r="G152" s="17">
        <f t="shared" si="15"/>
        <v>0</v>
      </c>
      <c r="H152" s="17">
        <f t="shared" si="15"/>
        <v>0</v>
      </c>
      <c r="I152" s="17">
        <f t="shared" si="15"/>
        <v>-54.230592082976727</v>
      </c>
      <c r="J152" s="17">
        <f t="shared" si="15"/>
        <v>0</v>
      </c>
      <c r="K152" s="17">
        <f t="shared" si="15"/>
        <v>-255.67560792188715</v>
      </c>
      <c r="L152" s="17">
        <f t="shared" si="15"/>
        <v>0</v>
      </c>
      <c r="M152" s="17">
        <f t="shared" si="15"/>
        <v>0</v>
      </c>
      <c r="N152" s="17">
        <f t="shared" si="15"/>
        <v>0</v>
      </c>
      <c r="O152" s="17">
        <f t="shared" si="15"/>
        <v>0</v>
      </c>
      <c r="P152" s="17">
        <f t="shared" si="15"/>
        <v>0</v>
      </c>
      <c r="Q152" s="86">
        <f>SUM(E152:P152)</f>
        <v>-309.90620000486388</v>
      </c>
      <c r="R152" s="427"/>
    </row>
    <row r="153" spans="3:18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3:18" x14ac:dyDescent="0.25">
      <c r="C154" s="17" t="s">
        <v>425</v>
      </c>
      <c r="D154" s="322" t="s">
        <v>426</v>
      </c>
      <c r="E154" s="66">
        <f>'[34]ST,D-D'!D31</f>
        <v>-283.16847138621142</v>
      </c>
      <c r="F154" s="66">
        <f>'[34]ST,D-D'!E31</f>
        <v>-624.45415588715309</v>
      </c>
      <c r="G154" s="66">
        <f>'[34]ST,D-D'!F31</f>
        <v>-642.55318908442246</v>
      </c>
      <c r="H154" s="66">
        <f>'[34]ST,D-D'!G31</f>
        <v>-457.30961125445083</v>
      </c>
      <c r="I154" s="66">
        <f>'[34]ST,D-D'!H31</f>
        <v>-515.12851049554592</v>
      </c>
      <c r="J154" s="66">
        <f>'[34]ST,D-D'!I31</f>
        <v>-551.33047279398716</v>
      </c>
      <c r="K154" s="66">
        <f>'[34]ST,D-D'!J31</f>
        <v>-416.15245348642839</v>
      </c>
      <c r="L154" s="66">
        <f>'[34]ST,D-D'!K31</f>
        <v>-565.60893668346012</v>
      </c>
      <c r="M154" s="66">
        <f>'[34]ST,D-D'!L31</f>
        <v>-334.46046209304541</v>
      </c>
      <c r="N154" s="66">
        <f>'[34]ST,D-D'!M31</f>
        <v>-310.62553620300696</v>
      </c>
      <c r="O154" s="66">
        <f>'[34]ST,D-D'!N31</f>
        <v>-46.652997396592582</v>
      </c>
      <c r="P154" s="66">
        <f>'[34]ST,D-D'!O31</f>
        <v>-7.6264039000207049</v>
      </c>
      <c r="Q154" s="17">
        <f>SUM(E154:P154)</f>
        <v>-4755.0712006643253</v>
      </c>
    </row>
    <row r="155" spans="3:18" x14ac:dyDescent="0.25">
      <c r="C155" s="17" t="s">
        <v>425</v>
      </c>
      <c r="D155" s="322" t="s">
        <v>427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17">
        <f>SUM(E155:P155)</f>
        <v>0</v>
      </c>
    </row>
    <row r="156" spans="3:18" x14ac:dyDescent="0.25">
      <c r="C156" s="17"/>
      <c r="D156" s="117" t="s">
        <v>463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>
        <f>SUM(E156:P156)</f>
        <v>0</v>
      </c>
    </row>
    <row r="157" spans="3:18" x14ac:dyDescent="0.25">
      <c r="C157" s="753" t="s">
        <v>428</v>
      </c>
      <c r="D157" s="754"/>
      <c r="E157" s="321">
        <f t="shared" ref="E157:P157" si="16">SUM(E154:E155)</f>
        <v>-283.16847138621142</v>
      </c>
      <c r="F157" s="321">
        <f t="shared" si="16"/>
        <v>-624.45415588715309</v>
      </c>
      <c r="G157" s="321">
        <f t="shared" si="16"/>
        <v>-642.55318908442246</v>
      </c>
      <c r="H157" s="321">
        <f t="shared" si="16"/>
        <v>-457.30961125445083</v>
      </c>
      <c r="I157" s="321">
        <f t="shared" si="16"/>
        <v>-515.12851049554592</v>
      </c>
      <c r="J157" s="321">
        <f t="shared" si="16"/>
        <v>-551.33047279398716</v>
      </c>
      <c r="K157" s="321">
        <f t="shared" si="16"/>
        <v>-416.15245348642839</v>
      </c>
      <c r="L157" s="321">
        <f t="shared" si="16"/>
        <v>-565.60893668346012</v>
      </c>
      <c r="M157" s="321">
        <f t="shared" si="16"/>
        <v>-334.46046209304541</v>
      </c>
      <c r="N157" s="321">
        <f t="shared" si="16"/>
        <v>-310.62553620300696</v>
      </c>
      <c r="O157" s="321">
        <f t="shared" si="16"/>
        <v>-46.652997396592582</v>
      </c>
      <c r="P157" s="321">
        <f t="shared" si="16"/>
        <v>-7.6264039000207049</v>
      </c>
      <c r="Q157" s="248">
        <f>Q154-Q155</f>
        <v>-4755.0712006643253</v>
      </c>
      <c r="R157" s="427"/>
    </row>
    <row r="158" spans="3:18" x14ac:dyDescent="0.25">
      <c r="C158" s="753" t="s">
        <v>220</v>
      </c>
      <c r="D158" s="754"/>
      <c r="E158" s="321">
        <f t="shared" ref="E158:Q158" si="17">E49+E94+E103+E113+E139+E152+E157</f>
        <v>2551.1363772368427</v>
      </c>
      <c r="F158" s="321">
        <f t="shared" si="17"/>
        <v>1576.7037926925984</v>
      </c>
      <c r="G158" s="321">
        <f t="shared" si="17"/>
        <v>1603.8950376591208</v>
      </c>
      <c r="H158" s="321">
        <f t="shared" si="17"/>
        <v>1925.0919791274137</v>
      </c>
      <c r="I158" s="321">
        <f t="shared" si="17"/>
        <v>2148.1859539439079</v>
      </c>
      <c r="J158" s="321">
        <f t="shared" si="17"/>
        <v>2103.9971324357107</v>
      </c>
      <c r="K158" s="321">
        <f t="shared" si="17"/>
        <v>1919.0142271381915</v>
      </c>
      <c r="L158" s="321">
        <f t="shared" si="17"/>
        <v>1793.9948186750419</v>
      </c>
      <c r="M158" s="321">
        <f t="shared" si="17"/>
        <v>2242.2572500129927</v>
      </c>
      <c r="N158" s="321">
        <f t="shared" si="17"/>
        <v>2532.9244279018139</v>
      </c>
      <c r="O158" s="321">
        <f t="shared" si="17"/>
        <v>2808.8781884703367</v>
      </c>
      <c r="P158" s="321">
        <f t="shared" si="17"/>
        <v>3121.346358330668</v>
      </c>
      <c r="Q158" s="248">
        <f t="shared" si="17"/>
        <v>26327.425543624635</v>
      </c>
      <c r="R158" s="427"/>
    </row>
    <row r="160" spans="3:18" x14ac:dyDescent="0.25">
      <c r="D160" s="22"/>
      <c r="E160" s="22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157:D157"/>
    <mergeCell ref="C158:D158"/>
    <mergeCell ref="C113:D113"/>
    <mergeCell ref="C114:D114"/>
    <mergeCell ref="C139:D139"/>
    <mergeCell ref="C140:D140"/>
    <mergeCell ref="C152:D152"/>
    <mergeCell ref="C153:D153"/>
    <mergeCell ref="C29:D29"/>
    <mergeCell ref="C30:C47"/>
    <mergeCell ref="C104:D104"/>
    <mergeCell ref="C49:D49"/>
    <mergeCell ref="C50:D50"/>
    <mergeCell ref="C51:D51"/>
    <mergeCell ref="C52:C60"/>
    <mergeCell ref="C77:D77"/>
    <mergeCell ref="C78:D78"/>
    <mergeCell ref="C79:C82"/>
    <mergeCell ref="C48:D48"/>
    <mergeCell ref="C93:D93"/>
    <mergeCell ref="C94:D94"/>
    <mergeCell ref="C95:D95"/>
    <mergeCell ref="C103:D103"/>
    <mergeCell ref="C8:D8"/>
    <mergeCell ref="C9:D9"/>
    <mergeCell ref="C10:C27"/>
    <mergeCell ref="C28:D28"/>
    <mergeCell ref="C2:P2"/>
    <mergeCell ref="C3:Q3"/>
    <mergeCell ref="C5:C7"/>
    <mergeCell ref="D5:D7"/>
    <mergeCell ref="E5:Q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R163"/>
  <sheetViews>
    <sheetView showGridLines="0" topLeftCell="A108" zoomScale="48" workbookViewId="0">
      <selection activeCell="E35" sqref="E35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2.88671875" style="4" customWidth="1"/>
    <col min="5" max="5" width="14.109375" style="4" bestFit="1" customWidth="1"/>
    <col min="6" max="6" width="13.44140625" style="4" bestFit="1" customWidth="1"/>
    <col min="7" max="7" width="13.6640625" style="4" bestFit="1" customWidth="1"/>
    <col min="8" max="8" width="14.109375" style="4" bestFit="1" customWidth="1"/>
    <col min="9" max="9" width="13.44140625" style="4" bestFit="1" customWidth="1"/>
    <col min="10" max="10" width="14.88671875" style="4" customWidth="1"/>
    <col min="11" max="11" width="12.5546875" style="4" customWidth="1"/>
    <col min="12" max="12" width="13.44140625" style="4" bestFit="1" customWidth="1"/>
    <col min="13" max="13" width="14.109375" style="4" bestFit="1" customWidth="1"/>
    <col min="14" max="16" width="13.44140625" style="4" bestFit="1" customWidth="1"/>
    <col min="17" max="17" width="14.5546875" style="4" bestFit="1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7" ht="14.25" customHeight="1" x14ac:dyDescent="0.25">
      <c r="C3" s="826" t="s">
        <v>471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</row>
    <row r="4" spans="2:17" x14ac:dyDescent="0.25">
      <c r="C4" s="14"/>
      <c r="Q4" s="25" t="s">
        <v>229</v>
      </c>
    </row>
    <row r="5" spans="2:17" ht="15" customHeight="1" x14ac:dyDescent="0.25">
      <c r="C5" s="762" t="s">
        <v>346</v>
      </c>
      <c r="D5" s="762" t="s">
        <v>347</v>
      </c>
      <c r="E5" s="768" t="s">
        <v>260</v>
      </c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</row>
    <row r="6" spans="2:17" x14ac:dyDescent="0.25">
      <c r="C6" s="764"/>
      <c r="D6" s="764"/>
      <c r="E6" s="13" t="s">
        <v>239</v>
      </c>
      <c r="F6" s="13" t="s">
        <v>240</v>
      </c>
      <c r="G6" s="13" t="s">
        <v>241</v>
      </c>
      <c r="H6" s="13" t="s">
        <v>242</v>
      </c>
      <c r="I6" s="13" t="s">
        <v>243</v>
      </c>
      <c r="J6" s="13" t="s">
        <v>244</v>
      </c>
      <c r="K6" s="13" t="s">
        <v>245</v>
      </c>
      <c r="L6" s="13" t="s">
        <v>246</v>
      </c>
      <c r="M6" s="13" t="s">
        <v>247</v>
      </c>
      <c r="N6" s="13" t="s">
        <v>248</v>
      </c>
      <c r="O6" s="13" t="s">
        <v>249</v>
      </c>
      <c r="P6" s="13" t="s">
        <v>250</v>
      </c>
      <c r="Q6" s="13" t="s">
        <v>251</v>
      </c>
    </row>
    <row r="7" spans="2:17" ht="14.25" customHeight="1" x14ac:dyDescent="0.25">
      <c r="C7" s="766"/>
      <c r="D7" s="7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</row>
    <row r="8" spans="2:17" x14ac:dyDescent="0.25">
      <c r="B8" s="60"/>
      <c r="C8" s="800" t="s">
        <v>348</v>
      </c>
      <c r="D8" s="801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</row>
    <row r="9" spans="2:17" x14ac:dyDescent="0.25">
      <c r="C9" s="753" t="s">
        <v>349</v>
      </c>
      <c r="D9" s="754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ht="14.25" customHeight="1" x14ac:dyDescent="0.25">
      <c r="B10" s="60"/>
      <c r="C10" s="833" t="s">
        <v>350</v>
      </c>
      <c r="D10" s="59" t="s">
        <v>351</v>
      </c>
      <c r="E10" s="66">
        <f>'[35]TGNPDCL MoD'!F4+'[35]TGNPDCL MoD'!F5</f>
        <v>68.534985425740075</v>
      </c>
      <c r="F10" s="66">
        <f>'[35]TGNPDCL MoD'!G4+'[35]TGNPDCL MoD'!G5</f>
        <v>82.033923588011916</v>
      </c>
      <c r="G10" s="66">
        <f>'[35]TGNPDCL MoD'!H4+'[35]TGNPDCL MoD'!H5</f>
        <v>79.322042409759675</v>
      </c>
      <c r="H10" s="66">
        <f>'[35]TGNPDCL MoD'!I4+'[35]TGNPDCL MoD'!I5</f>
        <v>0</v>
      </c>
      <c r="I10" s="66">
        <f>'[35]TGNPDCL MoD'!J4+'[35]TGNPDCL MoD'!J5</f>
        <v>27.307513260736272</v>
      </c>
      <c r="J10" s="66">
        <f>'[35]TGNPDCL MoD'!K4+'[35]TGNPDCL MoD'!K5</f>
        <v>59.21351456308328</v>
      </c>
      <c r="K10" s="66">
        <f>'[35]TGNPDCL MoD'!L4+'[35]TGNPDCL MoD'!L5</f>
        <v>52.814531141643769</v>
      </c>
      <c r="L10" s="66">
        <f>'[35]TGNPDCL MoD'!M4+'[35]TGNPDCL MoD'!M5</f>
        <v>80.731889611676849</v>
      </c>
      <c r="M10" s="66">
        <f>'[35]TGNPDCL MoD'!N4+'[35]TGNPDCL MoD'!N5</f>
        <v>67.88070287562013</v>
      </c>
      <c r="N10" s="66">
        <f>'[35]TGNPDCL MoD'!O4+'[35]TGNPDCL MoD'!O5</f>
        <v>68.425937230890639</v>
      </c>
      <c r="O10" s="66">
        <f>'[35]TGNPDCL MoD'!P4+'[35]TGNPDCL MoD'!P5</f>
        <v>65.669637110130708</v>
      </c>
      <c r="P10" s="66">
        <f>'[35]TGNPDCL MoD'!Q4+'[35]TGNPDCL MoD'!Q5</f>
        <v>79.821961839075243</v>
      </c>
      <c r="Q10" s="291">
        <f t="shared" ref="Q10:Q17" si="0">SUM(E10:P10)</f>
        <v>731.75663905636861</v>
      </c>
    </row>
    <row r="11" spans="2:17" x14ac:dyDescent="0.25">
      <c r="B11" s="60"/>
      <c r="C11" s="834"/>
      <c r="D11" s="59" t="s">
        <v>352</v>
      </c>
      <c r="E11" s="66">
        <f>'[35]TGNPDCL MoD'!F6</f>
        <v>71.443374822563356</v>
      </c>
      <c r="F11" s="66">
        <f>'[35]TGNPDCL MoD'!G6</f>
        <v>0</v>
      </c>
      <c r="G11" s="66">
        <f>'[35]TGNPDCL MoD'!H6</f>
        <v>41.237152247691057</v>
      </c>
      <c r="H11" s="66">
        <f>'[35]TGNPDCL MoD'!I6</f>
        <v>70.610155768383663</v>
      </c>
      <c r="I11" s="66">
        <f>'[35]TGNPDCL MoD'!J6</f>
        <v>58.590979083706173</v>
      </c>
      <c r="J11" s="66">
        <f>'[35]TGNPDCL MoD'!K6</f>
        <v>61.565325890919041</v>
      </c>
      <c r="K11" s="66">
        <f>'[35]TGNPDCL MoD'!L6</f>
        <v>61.476149685900879</v>
      </c>
      <c r="L11" s="66">
        <f>'[35]TGNPDCL MoD'!M6</f>
        <v>80.731889611676849</v>
      </c>
      <c r="M11" s="66">
        <f>'[35]TGNPDCL MoD'!N6</f>
        <v>72.619980319760174</v>
      </c>
      <c r="N11" s="66">
        <f>'[35]TGNPDCL MoD'!O6</f>
        <v>71.170235916040923</v>
      </c>
      <c r="O11" s="66">
        <f>'[35]TGNPDCL MoD'!P6</f>
        <v>68.341743348988444</v>
      </c>
      <c r="P11" s="66">
        <f>'[35]TGNPDCL MoD'!Q6</f>
        <v>81.622457218904003</v>
      </c>
      <c r="Q11" s="291">
        <f t="shared" si="0"/>
        <v>739.40944391453445</v>
      </c>
    </row>
    <row r="12" spans="2:17" x14ac:dyDescent="0.25">
      <c r="B12" s="60"/>
      <c r="C12" s="834"/>
      <c r="D12" s="59" t="s">
        <v>353</v>
      </c>
      <c r="E12" s="66">
        <f>'[35]TGNPDCL MoD'!F7</f>
        <v>125.76088351979666</v>
      </c>
      <c r="F12" s="66">
        <f>'[35]TGNPDCL MoD'!G7</f>
        <v>0</v>
      </c>
      <c r="G12" s="66">
        <f>'[35]TGNPDCL MoD'!H7</f>
        <v>65.979443596305714</v>
      </c>
      <c r="H12" s="66">
        <f>'[35]TGNPDCL MoD'!I7</f>
        <v>123.95996095636013</v>
      </c>
      <c r="I12" s="66">
        <f>'[35]TGNPDCL MoD'!J7</f>
        <v>100.40024923627587</v>
      </c>
      <c r="J12" s="66">
        <f>'[35]TGNPDCL MoD'!K7</f>
        <v>100.21377222626248</v>
      </c>
      <c r="K12" s="66">
        <f>'[35]TGNPDCL MoD'!L7</f>
        <v>101.78800547298621</v>
      </c>
      <c r="L12" s="66">
        <f>'[35]TGNPDCL MoD'!M7</f>
        <v>130.40312036019532</v>
      </c>
      <c r="M12" s="66">
        <f>'[35]TGNPDCL MoD'!N7</f>
        <v>116.34261660814929</v>
      </c>
      <c r="N12" s="66">
        <f>'[35]TGNPDCL MoD'!O7</f>
        <v>116.19196851161632</v>
      </c>
      <c r="O12" s="66">
        <f>'[35]TGNPDCL MoD'!P7</f>
        <v>111.93524526655165</v>
      </c>
      <c r="P12" s="66">
        <f>'[35]TGNPDCL MoD'!Q7</f>
        <v>134.43488869052175</v>
      </c>
      <c r="Q12" s="291">
        <f t="shared" si="0"/>
        <v>1227.4101544450214</v>
      </c>
    </row>
    <row r="13" spans="2:17" x14ac:dyDescent="0.25">
      <c r="B13" s="60"/>
      <c r="C13" s="834"/>
      <c r="D13" s="59" t="s">
        <v>354</v>
      </c>
      <c r="E13" s="66">
        <f>'[35]TGNPDCL MoD'!F8</f>
        <v>8.5668731782175485</v>
      </c>
      <c r="F13" s="66">
        <f>'[35]TGNPDCL MoD'!G8</f>
        <v>0</v>
      </c>
      <c r="G13" s="66">
        <f>'[35]TGNPDCL MoD'!H8</f>
        <v>4.9368421704981937</v>
      </c>
      <c r="H13" s="66">
        <f>'[35]TGNPDCL MoD'!I8</f>
        <v>8.1772498500556665</v>
      </c>
      <c r="I13" s="66">
        <f>'[35]TGNPDCL MoD'!J8</f>
        <v>6.8268783151840715</v>
      </c>
      <c r="J13" s="66">
        <f>'[35]TGNPDCL MoD'!K8</f>
        <v>7.2600620154385815</v>
      </c>
      <c r="K13" s="66">
        <f>'[35]TGNPDCL MoD'!L8</f>
        <v>6.6018163927054712</v>
      </c>
      <c r="L13" s="66">
        <f>'[35]TGNPDCL MoD'!M8</f>
        <v>10.085106589210042</v>
      </c>
      <c r="M13" s="66">
        <f>'[35]TGNPDCL MoD'!N8</f>
        <v>8.0167933906685178</v>
      </c>
      <c r="N13" s="66">
        <f>'[35]TGNPDCL MoD'!O8</f>
        <v>8.4023117725342686</v>
      </c>
      <c r="O13" s="66">
        <f>'[35]TGNPDCL MoD'!P8</f>
        <v>8.1990300361019948</v>
      </c>
      <c r="P13" s="66">
        <f>'[35]TGNPDCL MoD'!Q8</f>
        <v>9.9777452298844622</v>
      </c>
      <c r="Q13" s="291">
        <f t="shared" si="0"/>
        <v>87.050708940498808</v>
      </c>
    </row>
    <row r="14" spans="2:17" x14ac:dyDescent="0.25">
      <c r="B14" s="60"/>
      <c r="C14" s="834"/>
      <c r="D14" s="59" t="s">
        <v>355</v>
      </c>
      <c r="E14" s="66">
        <f>'[35]TGNPDCL MoD'!F9</f>
        <v>82.474304495382114</v>
      </c>
      <c r="F14" s="66">
        <f>'[35]TGNPDCL MoD'!G9</f>
        <v>85.223447978561524</v>
      </c>
      <c r="G14" s="66">
        <f>'[35]TGNPDCL MoD'!H9</f>
        <v>82.768744198646033</v>
      </c>
      <c r="H14" s="66">
        <f>'[35]TGNPDCL MoD'!I9</f>
        <v>87.023943358390284</v>
      </c>
      <c r="I14" s="66">
        <f>'[35]TGNPDCL MoD'!J9</f>
        <v>70.819484939931414</v>
      </c>
      <c r="J14" s="66">
        <f>'[35]TGNPDCL MoD'!K9</f>
        <v>77.247059844266346</v>
      </c>
      <c r="K14" s="66">
        <f>'[35]TGNPDCL MoD'!L9</f>
        <v>0</v>
      </c>
      <c r="L14" s="66">
        <f>'[35]TGNPDCL MoD'!M9</f>
        <v>41.237152247691057</v>
      </c>
      <c r="M14" s="66">
        <f>'[35]TGNPDCL MoD'!N9</f>
        <v>83.005767397273502</v>
      </c>
      <c r="N14" s="66">
        <f>'[35]TGNPDCL MoD'!O9</f>
        <v>74.420475699588934</v>
      </c>
      <c r="O14" s="66">
        <f>'[35]TGNPDCL MoD'!P9</f>
        <v>74.822086200374827</v>
      </c>
      <c r="P14" s="66">
        <f>'[35]TGNPDCL MoD'!Q9</f>
        <v>91.32488198187778</v>
      </c>
      <c r="Q14" s="291">
        <f t="shared" si="0"/>
        <v>850.36734834198364</v>
      </c>
    </row>
    <row r="15" spans="2:17" x14ac:dyDescent="0.25">
      <c r="B15" s="60"/>
      <c r="C15" s="834"/>
      <c r="D15" s="59" t="s">
        <v>356</v>
      </c>
      <c r="E15" s="66">
        <f>'[35]TGNPDCL MoD'!F10</f>
        <v>103.15096111535121</v>
      </c>
      <c r="F15" s="66">
        <f>'[35]TGNPDCL MoD'!G10</f>
        <v>104.77407455799997</v>
      </c>
      <c r="G15" s="66">
        <f>'[35]TGNPDCL MoD'!H10</f>
        <v>103.15096111535121</v>
      </c>
      <c r="H15" s="66">
        <f>'[35]TGNPDCL MoD'!I10</f>
        <v>114.41937420347858</v>
      </c>
      <c r="I15" s="66">
        <f>'[35]TGNPDCL MoD'!J10</f>
        <v>94.357811243858606</v>
      </c>
      <c r="J15" s="66">
        <f>'[35]TGNPDCL MoD'!K10</f>
        <v>106.87016285466547</v>
      </c>
      <c r="K15" s="66">
        <f>'[35]TGNPDCL MoD'!L10</f>
        <v>95.967145412036132</v>
      </c>
      <c r="L15" s="66">
        <f>'[35]TGNPDCL MoD'!M10</f>
        <v>0</v>
      </c>
      <c r="M15" s="66">
        <f>'[35]TGNPDCL MoD'!N10</f>
        <v>52.995039722935601</v>
      </c>
      <c r="N15" s="66">
        <f>'[35]TGNPDCL MoD'!O10</f>
        <v>106.5893264858629</v>
      </c>
      <c r="O15" s="66">
        <f>'[35]TGNPDCL MoD'!P10</f>
        <v>103.79740991628165</v>
      </c>
      <c r="P15" s="66">
        <f>'[35]TGNPDCL MoD'!Q10</f>
        <v>115.23170430904099</v>
      </c>
      <c r="Q15" s="291">
        <f t="shared" si="0"/>
        <v>1101.3039709368622</v>
      </c>
    </row>
    <row r="16" spans="2:17" x14ac:dyDescent="0.25">
      <c r="B16" s="60"/>
      <c r="C16" s="834"/>
      <c r="D16" s="59" t="s">
        <v>357</v>
      </c>
      <c r="E16" s="66">
        <f>'[35]TGNPDCL MoD'!F11+'[35]TGNPDCL MoD'!F12+'[35]TGNPDCL MoD'!F13+'[35]TGNPDCL MoD'!F14</f>
        <v>183.12740168956961</v>
      </c>
      <c r="F16" s="66">
        <f>'[35]TGNPDCL MoD'!G11+'[35]TGNPDCL MoD'!G12+'[35]TGNPDCL MoD'!G13+'[35]TGNPDCL MoD'!G14</f>
        <v>93.985858827061548</v>
      </c>
      <c r="G16" s="66">
        <f>'[35]TGNPDCL MoD'!H11+'[35]TGNPDCL MoD'!H12+'[35]TGNPDCL MoD'!H13+'[35]TGNPDCL MoD'!H14</f>
        <v>136.80229831358781</v>
      </c>
      <c r="H16" s="66">
        <f>'[35]TGNPDCL MoD'!I11+'[35]TGNPDCL MoD'!I12+'[35]TGNPDCL MoD'!I13+'[35]TGNPDCL MoD'!I14</f>
        <v>196.29950965354391</v>
      </c>
      <c r="I16" s="66">
        <f>'[35]TGNPDCL MoD'!J11+'[35]TGNPDCL MoD'!J12+'[35]TGNPDCL MoD'!J13+'[35]TGNPDCL MoD'!J14</f>
        <v>142.76359984095384</v>
      </c>
      <c r="J16" s="66">
        <f>'[35]TGNPDCL MoD'!K11+'[35]TGNPDCL MoD'!K12+'[35]TGNPDCL MoD'!K13+'[35]TGNPDCL MoD'!K14</f>
        <v>142.07650961732651</v>
      </c>
      <c r="K16" s="66">
        <f>'[35]TGNPDCL MoD'!L11+'[35]TGNPDCL MoD'!L12+'[35]TGNPDCL MoD'!L13+'[35]TGNPDCL MoD'!L14</f>
        <v>163.31756220878862</v>
      </c>
      <c r="L16" s="66">
        <f>'[35]TGNPDCL MoD'!M11+'[35]TGNPDCL MoD'!M12+'[35]TGNPDCL MoD'!M13+'[35]TGNPDCL MoD'!M14</f>
        <v>136.65874133291655</v>
      </c>
      <c r="M16" s="66">
        <f>'[35]TGNPDCL MoD'!N11+'[35]TGNPDCL MoD'!N12+'[35]TGNPDCL MoD'!N13+'[35]TGNPDCL MoD'!N14</f>
        <v>164.4752529473576</v>
      </c>
      <c r="N16" s="66">
        <f>'[35]TGNPDCL MoD'!O11+'[35]TGNPDCL MoD'!O12+'[35]TGNPDCL MoD'!O13+'[35]TGNPDCL MoD'!O14</f>
        <v>186.23247922995333</v>
      </c>
      <c r="O16" s="66">
        <f>'[35]TGNPDCL MoD'!P11+'[35]TGNPDCL MoD'!P12+'[35]TGNPDCL MoD'!P13+'[35]TGNPDCL MoD'!P14</f>
        <v>176.16226782076114</v>
      </c>
      <c r="P16" s="66">
        <f>'[35]TGNPDCL MoD'!Q11+'[35]TGNPDCL MoD'!Q12+'[35]TGNPDCL MoD'!Q13+'[35]TGNPDCL MoD'!Q14</f>
        <v>207.41706775627364</v>
      </c>
      <c r="Q16" s="291">
        <f t="shared" si="0"/>
        <v>1929.318549238094</v>
      </c>
    </row>
    <row r="17" spans="2:18" x14ac:dyDescent="0.25">
      <c r="B17" s="60"/>
      <c r="C17" s="834"/>
      <c r="D17" s="59" t="s">
        <v>358</v>
      </c>
      <c r="E17" s="66">
        <f>'[35]TGNPDCL MoD'!F15+'[35]TGNPDCL MoD'!F16+'[35]TGNPDCL MoD'!F17+'[35]TGNPDCL MoD'!F18+'[35]TGNPDCL MoD'!F19</f>
        <v>721.45975559481678</v>
      </c>
      <c r="F17" s="66">
        <f>'[35]TGNPDCL MoD'!G15+'[35]TGNPDCL MoD'!G16+'[35]TGNPDCL MoD'!G17+'[35]TGNPDCL MoD'!G18+'[35]TGNPDCL MoD'!G19</f>
        <v>434.32194966230958</v>
      </c>
      <c r="G17" s="66">
        <f>'[35]TGNPDCL MoD'!H15+'[35]TGNPDCL MoD'!H16+'[35]TGNPDCL MoD'!H17+'[35]TGNPDCL MoD'!H18+'[35]TGNPDCL MoD'!H19</f>
        <v>429.01110511263676</v>
      </c>
      <c r="H17" s="66">
        <f>'[35]TGNPDCL MoD'!I15+'[35]TGNPDCL MoD'!I16+'[35]TGNPDCL MoD'!I17+'[35]TGNPDCL MoD'!I18+'[35]TGNPDCL MoD'!I19</f>
        <v>460.9268172361638</v>
      </c>
      <c r="I17" s="66">
        <f>'[35]TGNPDCL MoD'!J15+'[35]TGNPDCL MoD'!J16+'[35]TGNPDCL MoD'!J17+'[35]TGNPDCL MoD'!J18+'[35]TGNPDCL MoD'!J19</f>
        <v>709.79100779775899</v>
      </c>
      <c r="J17" s="66">
        <f>'[35]TGNPDCL MoD'!K15+'[35]TGNPDCL MoD'!K16+'[35]TGNPDCL MoD'!K17+'[35]TGNPDCL MoD'!K18+'[35]TGNPDCL MoD'!K19</f>
        <v>743.4303503809092</v>
      </c>
      <c r="K17" s="66">
        <f>'[35]TGNPDCL MoD'!L15+'[35]TGNPDCL MoD'!L16+'[35]TGNPDCL MoD'!L17+'[35]TGNPDCL MoD'!L18+'[35]TGNPDCL MoD'!L19</f>
        <v>689.36586520370042</v>
      </c>
      <c r="L17" s="66">
        <f>'[35]TGNPDCL MoD'!M15+'[35]TGNPDCL MoD'!M16+'[35]TGNPDCL MoD'!M17+'[35]TGNPDCL MoD'!M18+'[35]TGNPDCL MoD'!M19</f>
        <v>561.36953368864988</v>
      </c>
      <c r="M17" s="66">
        <f>'[35]TGNPDCL MoD'!N15+'[35]TGNPDCL MoD'!N16+'[35]TGNPDCL MoD'!N17+'[35]TGNPDCL MoD'!N18+'[35]TGNPDCL MoD'!N19</f>
        <v>670.81186190173116</v>
      </c>
      <c r="N17" s="66">
        <f>'[35]TGNPDCL MoD'!O15+'[35]TGNPDCL MoD'!O16+'[35]TGNPDCL MoD'!O17+'[35]TGNPDCL MoD'!O18+'[35]TGNPDCL MoD'!O19</f>
        <v>745.29057707710376</v>
      </c>
      <c r="O17" s="66">
        <f>'[35]TGNPDCL MoD'!P15+'[35]TGNPDCL MoD'!P16+'[35]TGNPDCL MoD'!P17+'[35]TGNPDCL MoD'!P18+'[35]TGNPDCL MoD'!P19</f>
        <v>693.8683270221818</v>
      </c>
      <c r="P17" s="66">
        <f>'[35]TGNPDCL MoD'!Q15+'[35]TGNPDCL MoD'!Q16+'[35]TGNPDCL MoD'!Q17+'[35]TGNPDCL MoD'!Q18+'[35]TGNPDCL MoD'!Q19</f>
        <v>768.2113620602729</v>
      </c>
      <c r="Q17" s="291">
        <f t="shared" si="0"/>
        <v>7627.8585127382366</v>
      </c>
    </row>
    <row r="18" spans="2:18" x14ac:dyDescent="0.25">
      <c r="B18" s="60"/>
      <c r="C18" s="834"/>
      <c r="D18" s="59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291"/>
    </row>
    <row r="19" spans="2:18" x14ac:dyDescent="0.25">
      <c r="B19" s="60"/>
      <c r="C19" s="834"/>
      <c r="D19" s="59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291"/>
    </row>
    <row r="20" spans="2:18" x14ac:dyDescent="0.25">
      <c r="B20" s="60"/>
      <c r="C20" s="834"/>
      <c r="D20" s="59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291"/>
    </row>
    <row r="21" spans="2:18" x14ac:dyDescent="0.25">
      <c r="B21" s="60"/>
      <c r="C21" s="834"/>
      <c r="D21" s="59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291"/>
    </row>
    <row r="22" spans="2:18" x14ac:dyDescent="0.25">
      <c r="B22" s="60"/>
      <c r="C22" s="834"/>
      <c r="D22" s="59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291"/>
    </row>
    <row r="23" spans="2:18" x14ac:dyDescent="0.25">
      <c r="B23" s="60"/>
      <c r="C23" s="834"/>
      <c r="D23" s="59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291"/>
    </row>
    <row r="24" spans="2:18" x14ac:dyDescent="0.25">
      <c r="B24" s="60"/>
      <c r="C24" s="834"/>
      <c r="D24" s="59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291"/>
    </row>
    <row r="25" spans="2:18" x14ac:dyDescent="0.25">
      <c r="B25" s="60"/>
      <c r="C25" s="834"/>
      <c r="D25" s="59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291"/>
    </row>
    <row r="26" spans="2:18" x14ac:dyDescent="0.25">
      <c r="B26" s="60"/>
      <c r="C26" s="834"/>
      <c r="D26" s="59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291"/>
    </row>
    <row r="27" spans="2:18" x14ac:dyDescent="0.25">
      <c r="B27" s="60"/>
      <c r="C27" s="835"/>
      <c r="D27" s="59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291"/>
    </row>
    <row r="28" spans="2:18" x14ac:dyDescent="0.25">
      <c r="C28" s="751" t="s">
        <v>212</v>
      </c>
      <c r="D28" s="752"/>
      <c r="E28" s="291">
        <f t="shared" ref="E28:P28" si="1">SUM(E10:E27)</f>
        <v>1364.5185398414374</v>
      </c>
      <c r="F28" s="291">
        <f t="shared" si="1"/>
        <v>800.3392546139446</v>
      </c>
      <c r="G28" s="291">
        <f t="shared" si="1"/>
        <v>943.20858916447639</v>
      </c>
      <c r="H28" s="291">
        <f t="shared" si="1"/>
        <v>1061.417011026376</v>
      </c>
      <c r="I28" s="291">
        <f t="shared" si="1"/>
        <v>1210.8575237184052</v>
      </c>
      <c r="J28" s="291">
        <f t="shared" si="1"/>
        <v>1297.8767573928708</v>
      </c>
      <c r="K28" s="291">
        <f t="shared" si="1"/>
        <v>1171.3310755177615</v>
      </c>
      <c r="L28" s="291">
        <f t="shared" si="1"/>
        <v>1041.2174334420165</v>
      </c>
      <c r="M28" s="291">
        <f t="shared" si="1"/>
        <v>1236.148015163496</v>
      </c>
      <c r="N28" s="291">
        <f t="shared" si="1"/>
        <v>1376.7233119235912</v>
      </c>
      <c r="O28" s="291">
        <f t="shared" si="1"/>
        <v>1302.7957467213723</v>
      </c>
      <c r="P28" s="291">
        <f t="shared" si="1"/>
        <v>1488.0420690858507</v>
      </c>
      <c r="Q28" s="323">
        <f>SUM(E28:P28)</f>
        <v>14294.475327611597</v>
      </c>
      <c r="R28" s="427"/>
    </row>
    <row r="29" spans="2:18" x14ac:dyDescent="0.25">
      <c r="C29" s="753" t="s">
        <v>359</v>
      </c>
      <c r="D29" s="754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</row>
    <row r="30" spans="2:18" x14ac:dyDescent="0.25">
      <c r="C30" s="805" t="s">
        <v>350</v>
      </c>
      <c r="D30" s="17" t="s">
        <v>360</v>
      </c>
      <c r="E30" s="66">
        <f>SUM('[35]TGNPDCL MoD'!F81:F86)</f>
        <v>5.7004422806795318</v>
      </c>
      <c r="F30" s="66">
        <f>SUM('[35]TGNPDCL MoD'!G81:G86)</f>
        <v>6.1084137216424548</v>
      </c>
      <c r="G30" s="66">
        <f>SUM('[35]TGNPDCL MoD'!H81:H86)</f>
        <v>6.3286124110996678</v>
      </c>
      <c r="H30" s="66">
        <f>SUM('[35]TGNPDCL MoD'!I81:I86)</f>
        <v>13.835776499120559</v>
      </c>
      <c r="I30" s="66">
        <f>SUM('[35]TGNPDCL MoD'!J81:J86)</f>
        <v>32.483877484098635</v>
      </c>
      <c r="J30" s="66">
        <f>SUM('[35]TGNPDCL MoD'!K81:K86)</f>
        <v>16.406514016927677</v>
      </c>
      <c r="K30" s="66">
        <f>SUM('[35]TGNPDCL MoD'!L81:L86)</f>
        <v>18.084128535726652</v>
      </c>
      <c r="L30" s="66">
        <f>SUM('[35]TGNPDCL MoD'!M81:M86)</f>
        <v>6.2024822944871012</v>
      </c>
      <c r="M30" s="66">
        <f>SUM('[35]TGNPDCL MoD'!N81:N86)</f>
        <v>10.640389327405881</v>
      </c>
      <c r="N30" s="66">
        <f>SUM('[35]TGNPDCL MoD'!O81:O86)</f>
        <v>20.303326553538263</v>
      </c>
      <c r="O30" s="66">
        <f>SUM('[35]TGNPDCL MoD'!P81:P86)</f>
        <v>18.234657057875967</v>
      </c>
      <c r="P30" s="66">
        <f>SUM('[35]TGNPDCL MoD'!Q81:Q86)</f>
        <v>8.4700492817307467</v>
      </c>
      <c r="Q30" s="291">
        <f t="shared" ref="Q30:Q40" si="2">SUM(E30:P30)</f>
        <v>162.79866946433313</v>
      </c>
    </row>
    <row r="31" spans="2:18" x14ac:dyDescent="0.25">
      <c r="C31" s="806"/>
      <c r="D31" s="17" t="s">
        <v>361</v>
      </c>
      <c r="E31" s="66">
        <f>SUM('[35]TGNPDCL MoD'!F59:F66)</f>
        <v>19.868721043257381</v>
      </c>
      <c r="F31" s="66">
        <f>SUM('[35]TGNPDCL MoD'!G59:G66)</f>
        <v>21.290693296459768</v>
      </c>
      <c r="G31" s="66">
        <f>SUM('[35]TGNPDCL MoD'!H59:H66)</f>
        <v>22.058189241422603</v>
      </c>
      <c r="H31" s="66">
        <f>SUM('[35]TGNPDCL MoD'!I59:I66)</f>
        <v>48.224185096934733</v>
      </c>
      <c r="I31" s="66">
        <f>SUM('[35]TGNPDCL MoD'!J59:J66)</f>
        <v>113.22158323090109</v>
      </c>
      <c r="J31" s="66">
        <f>SUM('[35]TGNPDCL MoD'!K59:K66)</f>
        <v>57.184413812847041</v>
      </c>
      <c r="K31" s="66">
        <f>SUM('[35]TGNPDCL MoD'!L59:L66)</f>
        <v>63.031689033071174</v>
      </c>
      <c r="L31" s="66">
        <f>SUM('[35]TGNPDCL MoD'!M59:M66)</f>
        <v>21.618566493092651</v>
      </c>
      <c r="M31" s="66">
        <f>SUM('[35]TGNPDCL MoD'!N59:N66)</f>
        <v>37.086758698428369</v>
      </c>
      <c r="N31" s="66">
        <f>SUM('[35]TGNPDCL MoD'!O59:O66)</f>
        <v>70.766637337888056</v>
      </c>
      <c r="O31" s="66">
        <f>SUM('[35]TGNPDCL MoD'!P59:P66)</f>
        <v>63.556351694032642</v>
      </c>
      <c r="P31" s="66">
        <f>SUM('[35]TGNPDCL MoD'!Q59:Q66)</f>
        <v>29.522103393929896</v>
      </c>
      <c r="Q31" s="291">
        <f t="shared" si="2"/>
        <v>567.42989237226539</v>
      </c>
    </row>
    <row r="32" spans="2:18" x14ac:dyDescent="0.25">
      <c r="C32" s="806"/>
      <c r="D32" s="17" t="s">
        <v>362</v>
      </c>
      <c r="E32" s="66">
        <f>SUM('[35]TGNPDCL MoD'!F67:F72)</f>
        <v>21.924778002613586</v>
      </c>
      <c r="F32" s="66">
        <f>SUM('[35]TGNPDCL MoD'!G67:G72)</f>
        <v>23.493898929394071</v>
      </c>
      <c r="G32" s="66">
        <f>SUM('[35]TGNPDCL MoD'!H67:H72)</f>
        <v>24.340816965767949</v>
      </c>
      <c r="H32" s="66">
        <f>SUM('[35]TGNPDCL MoD'!I67:I72)</f>
        <v>53.214524996617556</v>
      </c>
      <c r="I32" s="66">
        <f>SUM('[35]TGNPDCL MoD'!J67:J72)</f>
        <v>124.93799032345632</v>
      </c>
      <c r="J32" s="66">
        <f>SUM('[35]TGNPDCL MoD'!K67:K72)</f>
        <v>63.101976988183353</v>
      </c>
      <c r="K32" s="66">
        <f>SUM('[35]TGNPDCL MoD'!L67:L72)</f>
        <v>69.554340522025569</v>
      </c>
      <c r="L32" s="66">
        <f>SUM('[35]TGNPDCL MoD'!M67:M72)</f>
        <v>23.8557011326427</v>
      </c>
      <c r="M32" s="66">
        <f>SUM('[35]TGNPDCL MoD'!N67:N72)</f>
        <v>40.924574336176462</v>
      </c>
      <c r="N32" s="66">
        <f>SUM('[35]TGNPDCL MoD'!O67:O72)</f>
        <v>78.08971751360869</v>
      </c>
      <c r="O32" s="66">
        <f>SUM('[35]TGNPDCL MoD'!P67:P72)</f>
        <v>70.133296376446012</v>
      </c>
      <c r="P32" s="66">
        <f>SUM('[35]TGNPDCL MoD'!Q67:Q72)</f>
        <v>32.577112622041341</v>
      </c>
      <c r="Q32" s="291">
        <f t="shared" si="2"/>
        <v>626.14872870897364</v>
      </c>
    </row>
    <row r="33" spans="3:18" x14ac:dyDescent="0.25">
      <c r="C33" s="806"/>
      <c r="D33" s="17" t="s">
        <v>363</v>
      </c>
      <c r="E33" s="66">
        <f>SUM('[35]TGNPDCL MoD'!F87:F92)</f>
        <v>5.8466074673636239</v>
      </c>
      <c r="F33" s="66">
        <f>SUM('[35]TGNPDCL MoD'!G87:G92)</f>
        <v>6.2650397145050842</v>
      </c>
      <c r="G33" s="66">
        <f>SUM('[35]TGNPDCL MoD'!H87:H92)</f>
        <v>6.4908845242047892</v>
      </c>
      <c r="H33" s="66">
        <f>SUM('[35]TGNPDCL MoD'!I87:I92)</f>
        <v>14.190539999098011</v>
      </c>
      <c r="I33" s="66">
        <f>SUM('[35]TGNPDCL MoD'!J87:J92)</f>
        <v>33.316797419588362</v>
      </c>
      <c r="J33" s="66">
        <f>SUM('[35]TGNPDCL MoD'!K87:K92)</f>
        <v>16.827193863515561</v>
      </c>
      <c r="K33" s="66">
        <f>SUM('[35]TGNPDCL MoD'!L87:L92)</f>
        <v>18.547824139206821</v>
      </c>
      <c r="L33" s="66">
        <f>SUM('[35]TGNPDCL MoD'!M87:M92)</f>
        <v>6.3615203020380555</v>
      </c>
      <c r="M33" s="66">
        <f>SUM('[35]TGNPDCL MoD'!N87:N92)</f>
        <v>10.913219822980391</v>
      </c>
      <c r="N33" s="66">
        <f>SUM('[35]TGNPDCL MoD'!O87:O92)</f>
        <v>20.823924670295646</v>
      </c>
      <c r="O33" s="66">
        <f>SUM('[35]TGNPDCL MoD'!P87:P92)</f>
        <v>18.702212367052272</v>
      </c>
      <c r="P33" s="66">
        <f>SUM('[35]TGNPDCL MoD'!Q87:Q92)</f>
        <v>8.6872300325443543</v>
      </c>
      <c r="Q33" s="291">
        <f t="shared" si="2"/>
        <v>166.97299432239302</v>
      </c>
    </row>
    <row r="34" spans="3:18" x14ac:dyDescent="0.25">
      <c r="C34" s="806"/>
      <c r="D34" s="17" t="s">
        <v>364</v>
      </c>
      <c r="E34" s="66">
        <f>SUM('[35]TGNPDCL MoD'!F93:F96)</f>
        <v>2.923303733681812</v>
      </c>
      <c r="F34" s="66">
        <f>SUM('[35]TGNPDCL MoD'!G93:G96)</f>
        <v>3.1325198572525412</v>
      </c>
      <c r="G34" s="66">
        <f>SUM('[35]TGNPDCL MoD'!H93:H96)</f>
        <v>3.2454422621023937</v>
      </c>
      <c r="H34" s="66">
        <f>SUM('[35]TGNPDCL MoD'!I93:I96)</f>
        <v>7.0952699995490036</v>
      </c>
      <c r="I34" s="66">
        <f>SUM('[35]TGNPDCL MoD'!J93:J96)</f>
        <v>16.658398709794177</v>
      </c>
      <c r="J34" s="66">
        <f>SUM('[35]TGNPDCL MoD'!K93:K96)</f>
        <v>8.4135969317577803</v>
      </c>
      <c r="K34" s="66">
        <f>SUM('[35]TGNPDCL MoD'!L93:L96)</f>
        <v>9.2739120696034085</v>
      </c>
      <c r="L34" s="66">
        <f>SUM('[35]TGNPDCL MoD'!M93:M96)</f>
        <v>3.1807601510190269</v>
      </c>
      <c r="M34" s="66">
        <f>SUM('[35]TGNPDCL MoD'!N93:N96)</f>
        <v>5.4566099114901956</v>
      </c>
      <c r="N34" s="66">
        <f>SUM('[35]TGNPDCL MoD'!O93:O96)</f>
        <v>10.411962335147823</v>
      </c>
      <c r="O34" s="66">
        <f>SUM('[35]TGNPDCL MoD'!P93:P96)</f>
        <v>9.3511061835261344</v>
      </c>
      <c r="P34" s="66">
        <f>SUM('[35]TGNPDCL MoD'!Q93:Q96)</f>
        <v>4.3436150162721781</v>
      </c>
      <c r="Q34" s="291">
        <f t="shared" si="2"/>
        <v>83.486497161196482</v>
      </c>
    </row>
    <row r="35" spans="3:18" x14ac:dyDescent="0.25">
      <c r="C35" s="806"/>
      <c r="D35" s="17" t="s">
        <v>365</v>
      </c>
      <c r="E35" s="66">
        <f>SUM('[35]TGNPDCL MoD'!F77:F78)</f>
        <v>0.43849556005227175</v>
      </c>
      <c r="F35" s="66">
        <f>SUM('[35]TGNPDCL MoD'!G77:G78)</f>
        <v>0.46987797858788127</v>
      </c>
      <c r="G35" s="66">
        <f>SUM('[35]TGNPDCL MoD'!H77:H78)</f>
        <v>0.48681633931535906</v>
      </c>
      <c r="H35" s="66">
        <f>SUM('[35]TGNPDCL MoD'!I77:I78)</f>
        <v>1.0642904999323508</v>
      </c>
      <c r="I35" s="66">
        <f>SUM('[35]TGNPDCL MoD'!J77:J78)</f>
        <v>2.4987598064691268</v>
      </c>
      <c r="J35" s="66">
        <f>SUM('[35]TGNPDCL MoD'!K77:K78)</f>
        <v>1.2620395397636677</v>
      </c>
      <c r="K35" s="66">
        <f>SUM('[35]TGNPDCL MoD'!L77:L78)</f>
        <v>1.3910868104405116</v>
      </c>
      <c r="L35" s="66">
        <f>SUM('[35]TGNPDCL MoD'!M77:M78)</f>
        <v>0.47711402265285408</v>
      </c>
      <c r="M35" s="66">
        <f>SUM('[35]TGNPDCL MoD'!N77:N78)</f>
        <v>0.81849148672352934</v>
      </c>
      <c r="N35" s="66">
        <f>SUM('[35]TGNPDCL MoD'!O77:O78)</f>
        <v>1.5617943502721738</v>
      </c>
      <c r="O35" s="66">
        <f>SUM('[35]TGNPDCL MoD'!P77:P78)</f>
        <v>1.4026659275289206</v>
      </c>
      <c r="P35" s="66">
        <f>SUM('[35]TGNPDCL MoD'!Q77:Q78)</f>
        <v>0.65154225244082675</v>
      </c>
      <c r="Q35" s="291">
        <f t="shared" si="2"/>
        <v>12.522974574179473</v>
      </c>
    </row>
    <row r="36" spans="3:18" x14ac:dyDescent="0.25">
      <c r="C36" s="806"/>
      <c r="D36" s="17" t="s">
        <v>366</v>
      </c>
      <c r="E36" s="66">
        <f>SUM('[35]TGNPDCL MoD'!F73:F74)</f>
        <v>1.461651866840906</v>
      </c>
      <c r="F36" s="66">
        <f>SUM('[35]TGNPDCL MoD'!G73:G74)</f>
        <v>1.5662599286262706</v>
      </c>
      <c r="G36" s="66">
        <f>SUM('[35]TGNPDCL MoD'!H73:H74)</f>
        <v>1.6227211310511969</v>
      </c>
      <c r="H36" s="66">
        <f>SUM('[35]TGNPDCL MoD'!I73:I74)</f>
        <v>3.5476349997745018</v>
      </c>
      <c r="I36" s="66">
        <f>SUM('[35]TGNPDCL MoD'!J73:J74)</f>
        <v>8.3291993548970886</v>
      </c>
      <c r="J36" s="66">
        <f>SUM('[35]TGNPDCL MoD'!K73:K74)</f>
        <v>4.2067984658788902</v>
      </c>
      <c r="K36" s="66">
        <f>SUM('[35]TGNPDCL MoD'!L73:L74)</f>
        <v>4.6369560348017043</v>
      </c>
      <c r="L36" s="66">
        <f>SUM('[35]TGNPDCL MoD'!M73:M74)</f>
        <v>1.5903800755095134</v>
      </c>
      <c r="M36" s="66">
        <f>SUM('[35]TGNPDCL MoD'!N73:N74)</f>
        <v>2.7283049557450978</v>
      </c>
      <c r="N36" s="66">
        <f>SUM('[35]TGNPDCL MoD'!O73:O74)</f>
        <v>5.2059811675739116</v>
      </c>
      <c r="O36" s="66">
        <f>SUM('[35]TGNPDCL MoD'!P73:P74)</f>
        <v>4.6755530917630672</v>
      </c>
      <c r="P36" s="66">
        <f>SUM('[35]TGNPDCL MoD'!Q73:Q74)</f>
        <v>2.171807508136089</v>
      </c>
      <c r="Q36" s="291">
        <f t="shared" si="2"/>
        <v>41.743248580598241</v>
      </c>
    </row>
    <row r="37" spans="3:18" x14ac:dyDescent="0.25">
      <c r="C37" s="806"/>
      <c r="D37" s="17" t="s">
        <v>367</v>
      </c>
      <c r="E37" s="66">
        <f>SUM('[35]TGNPDCL MoD'!F79+'[35]TGNPDCL MoD'!F80)</f>
        <v>0.36541296671022649</v>
      </c>
      <c r="F37" s="66">
        <f>SUM('[35]TGNPDCL MoD'!G79+'[35]TGNPDCL MoD'!G80)</f>
        <v>0.39156498215656765</v>
      </c>
      <c r="G37" s="66">
        <f>SUM('[35]TGNPDCL MoD'!H79+'[35]TGNPDCL MoD'!H80)</f>
        <v>0.40568028276279922</v>
      </c>
      <c r="H37" s="66">
        <f>SUM('[35]TGNPDCL MoD'!I79+'[35]TGNPDCL MoD'!I80)</f>
        <v>0.88690874994362545</v>
      </c>
      <c r="I37" s="66">
        <f>SUM('[35]TGNPDCL MoD'!J79+'[35]TGNPDCL MoD'!J80)</f>
        <v>2.0822998387242722</v>
      </c>
      <c r="J37" s="66">
        <f>SUM('[35]TGNPDCL MoD'!K79+'[35]TGNPDCL MoD'!K80)</f>
        <v>1.0516996164697225</v>
      </c>
      <c r="K37" s="66">
        <f>SUM('[35]TGNPDCL MoD'!L79+'[35]TGNPDCL MoD'!L80)</f>
        <v>1.1592390087004261</v>
      </c>
      <c r="L37" s="66">
        <f>SUM('[35]TGNPDCL MoD'!M79+'[35]TGNPDCL MoD'!M80)</f>
        <v>0.39759501887737836</v>
      </c>
      <c r="M37" s="66">
        <f>SUM('[35]TGNPDCL MoD'!N79+'[35]TGNPDCL MoD'!N80)</f>
        <v>0.68207623893627445</v>
      </c>
      <c r="N37" s="66">
        <f>SUM('[35]TGNPDCL MoD'!O79+'[35]TGNPDCL MoD'!O80)</f>
        <v>1.3014952918934779</v>
      </c>
      <c r="O37" s="66">
        <f>SUM('[35]TGNPDCL MoD'!P79+'[35]TGNPDCL MoD'!P80)</f>
        <v>1.1688882729407668</v>
      </c>
      <c r="P37" s="66">
        <f>SUM('[35]TGNPDCL MoD'!Q79+'[35]TGNPDCL MoD'!Q80)</f>
        <v>0.54295187703402226</v>
      </c>
      <c r="Q37" s="291">
        <f t="shared" si="2"/>
        <v>10.43581214514956</v>
      </c>
    </row>
    <row r="38" spans="3:18" x14ac:dyDescent="0.25">
      <c r="C38" s="806"/>
      <c r="D38" s="126" t="s">
        <v>448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291">
        <f t="shared" si="2"/>
        <v>0</v>
      </c>
    </row>
    <row r="39" spans="3:18" x14ac:dyDescent="0.25">
      <c r="C39" s="806"/>
      <c r="D39" s="126" t="s">
        <v>449</v>
      </c>
      <c r="E39" s="66">
        <f>SUM('[35]TGNPDCL MoD'!F75:F76)</f>
        <v>0.43849556005227175</v>
      </c>
      <c r="F39" s="66">
        <f>SUM('[35]TGNPDCL MoD'!G75:G76)</f>
        <v>0.46987797858788127</v>
      </c>
      <c r="G39" s="66">
        <f>SUM('[35]TGNPDCL MoD'!H75:H76)</f>
        <v>0.48681633931535906</v>
      </c>
      <c r="H39" s="66">
        <f>SUM('[35]TGNPDCL MoD'!I75:I76)</f>
        <v>1.0642904999323508</v>
      </c>
      <c r="I39" s="66">
        <f>SUM('[35]TGNPDCL MoD'!J75:J76)</f>
        <v>2.4987598064691268</v>
      </c>
      <c r="J39" s="66">
        <f>SUM('[35]TGNPDCL MoD'!K75:K76)</f>
        <v>1.2620395397636677</v>
      </c>
      <c r="K39" s="66">
        <f>SUM('[35]TGNPDCL MoD'!L75:L76)</f>
        <v>1.3910868104405116</v>
      </c>
      <c r="L39" s="66">
        <f>SUM('[35]TGNPDCL MoD'!M75:M76)</f>
        <v>0.47711402265285408</v>
      </c>
      <c r="M39" s="66">
        <f>SUM('[35]TGNPDCL MoD'!N75:N76)</f>
        <v>0.81849148672352934</v>
      </c>
      <c r="N39" s="66">
        <f>SUM('[35]TGNPDCL MoD'!O75:O76)</f>
        <v>1.5617943502721738</v>
      </c>
      <c r="O39" s="66">
        <f>SUM('[35]TGNPDCL MoD'!P75:P76)</f>
        <v>1.4026659275289206</v>
      </c>
      <c r="P39" s="66">
        <f>SUM('[35]TGNPDCL MoD'!Q75:Q76)</f>
        <v>0.65154225244082675</v>
      </c>
      <c r="Q39" s="291">
        <f t="shared" si="2"/>
        <v>12.522974574179473</v>
      </c>
    </row>
    <row r="40" spans="3:18" x14ac:dyDescent="0.25">
      <c r="C40" s="806"/>
      <c r="D40" s="126" t="s">
        <v>450</v>
      </c>
      <c r="E40" s="66">
        <f>SUM('[35]TGNPDCL MoD'!F57:F58)</f>
        <v>0.24360864447348429</v>
      </c>
      <c r="F40" s="66">
        <f>SUM('[35]TGNPDCL MoD'!G57:G58)</f>
        <v>0.26104332143771181</v>
      </c>
      <c r="G40" s="66">
        <f>SUM('[35]TGNPDCL MoD'!H57:H58)</f>
        <v>0.27045352184186622</v>
      </c>
      <c r="H40" s="66">
        <f>SUM('[35]TGNPDCL MoD'!I57:I58)</f>
        <v>0.59127249996241704</v>
      </c>
      <c r="I40" s="66">
        <f>SUM('[35]TGNPDCL MoD'!J57:J58)</f>
        <v>1.3881998924828483</v>
      </c>
      <c r="J40" s="66">
        <f>SUM('[35]TGNPDCL MoD'!K57:K58)</f>
        <v>0.70113307764648169</v>
      </c>
      <c r="K40" s="66">
        <f>SUM('[35]TGNPDCL MoD'!L57:L58)</f>
        <v>0.77282600580028427</v>
      </c>
      <c r="L40" s="66">
        <f>SUM('[35]TGNPDCL MoD'!M57:M58)</f>
        <v>0.26506334591825231</v>
      </c>
      <c r="M40" s="66">
        <f>SUM('[35]TGNPDCL MoD'!N57:N58)</f>
        <v>0.45471749262418304</v>
      </c>
      <c r="N40" s="66">
        <f>SUM('[35]TGNPDCL MoD'!O57:O58)</f>
        <v>0.86766352792898527</v>
      </c>
      <c r="O40" s="66">
        <f>SUM('[35]TGNPDCL MoD'!P57:P58)</f>
        <v>0.77925884862717809</v>
      </c>
      <c r="P40" s="66">
        <f>SUM('[35]TGNPDCL MoD'!Q57:Q58)</f>
        <v>0.36196791802268147</v>
      </c>
      <c r="Q40" s="291">
        <f t="shared" si="2"/>
        <v>6.9572080967663741</v>
      </c>
    </row>
    <row r="41" spans="3:18" x14ac:dyDescent="0.25">
      <c r="C41" s="806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</row>
    <row r="42" spans="3:18" x14ac:dyDescent="0.25">
      <c r="C42" s="806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</row>
    <row r="43" spans="3:18" x14ac:dyDescent="0.25">
      <c r="C43" s="806"/>
      <c r="D43" s="17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17"/>
    </row>
    <row r="44" spans="3:18" x14ac:dyDescent="0.25">
      <c r="C44" s="806"/>
      <c r="D44" s="17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17"/>
    </row>
    <row r="45" spans="3:18" x14ac:dyDescent="0.25">
      <c r="C45" s="806"/>
      <c r="D45" s="17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17"/>
    </row>
    <row r="46" spans="3:18" x14ac:dyDescent="0.25">
      <c r="C46" s="806"/>
      <c r="D46" s="17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17"/>
    </row>
    <row r="47" spans="3:18" x14ac:dyDescent="0.25">
      <c r="C47" s="807"/>
      <c r="D47" s="107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17"/>
    </row>
    <row r="48" spans="3:18" x14ac:dyDescent="0.25">
      <c r="C48" s="751" t="s">
        <v>212</v>
      </c>
      <c r="D48" s="752"/>
      <c r="E48" s="291">
        <f t="shared" ref="E48:P48" si="3">SUM(E30:E47)</f>
        <v>59.211517125725095</v>
      </c>
      <c r="F48" s="291">
        <f t="shared" si="3"/>
        <v>63.449189708650231</v>
      </c>
      <c r="G48" s="291">
        <f t="shared" si="3"/>
        <v>65.736433018883986</v>
      </c>
      <c r="H48" s="291">
        <f t="shared" si="3"/>
        <v>143.7146938408651</v>
      </c>
      <c r="I48" s="291">
        <f t="shared" si="3"/>
        <v>337.41586586688112</v>
      </c>
      <c r="J48" s="291">
        <f t="shared" si="3"/>
        <v>170.41740585275386</v>
      </c>
      <c r="K48" s="291">
        <f t="shared" si="3"/>
        <v>187.84308896981705</v>
      </c>
      <c r="L48" s="291">
        <f t="shared" si="3"/>
        <v>64.426296858890382</v>
      </c>
      <c r="M48" s="291">
        <f t="shared" si="3"/>
        <v>110.52363375723392</v>
      </c>
      <c r="N48" s="291">
        <f t="shared" si="3"/>
        <v>210.8942970984192</v>
      </c>
      <c r="O48" s="291">
        <f t="shared" si="3"/>
        <v>189.40665574732185</v>
      </c>
      <c r="P48" s="291">
        <f t="shared" si="3"/>
        <v>87.97992215459297</v>
      </c>
      <c r="Q48" s="323">
        <f>SUM(E48:P48)</f>
        <v>1691.0190000000346</v>
      </c>
      <c r="R48" s="427"/>
    </row>
    <row r="49" spans="3:17" x14ac:dyDescent="0.25">
      <c r="C49" s="753" t="s">
        <v>368</v>
      </c>
      <c r="D49" s="754"/>
      <c r="E49" s="291">
        <f t="shared" ref="E49:Q49" si="4">E28+E48</f>
        <v>1423.7300569671625</v>
      </c>
      <c r="F49" s="291">
        <f t="shared" si="4"/>
        <v>863.78844432259484</v>
      </c>
      <c r="G49" s="291">
        <f t="shared" si="4"/>
        <v>1008.9450221833604</v>
      </c>
      <c r="H49" s="291">
        <f t="shared" si="4"/>
        <v>1205.1317048672411</v>
      </c>
      <c r="I49" s="291">
        <f t="shared" si="4"/>
        <v>1548.2733895852864</v>
      </c>
      <c r="J49" s="291">
        <f t="shared" si="4"/>
        <v>1468.2941632456245</v>
      </c>
      <c r="K49" s="291">
        <f t="shared" si="4"/>
        <v>1359.1741644875785</v>
      </c>
      <c r="L49" s="291">
        <f t="shared" si="4"/>
        <v>1105.6437303009068</v>
      </c>
      <c r="M49" s="291">
        <f t="shared" si="4"/>
        <v>1346.6716489207299</v>
      </c>
      <c r="N49" s="291">
        <f t="shared" si="4"/>
        <v>1587.6176090220104</v>
      </c>
      <c r="O49" s="291">
        <f t="shared" si="4"/>
        <v>1492.2024024686941</v>
      </c>
      <c r="P49" s="291">
        <f t="shared" si="4"/>
        <v>1576.0219912404436</v>
      </c>
      <c r="Q49" s="323">
        <f t="shared" si="4"/>
        <v>15985.494327611632</v>
      </c>
    </row>
    <row r="50" spans="3:17" x14ac:dyDescent="0.25">
      <c r="C50" s="800" t="s">
        <v>369</v>
      </c>
      <c r="D50" s="801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</row>
    <row r="51" spans="3:17" x14ac:dyDescent="0.25">
      <c r="C51" s="753" t="s">
        <v>349</v>
      </c>
      <c r="D51" s="754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</row>
    <row r="52" spans="3:17" x14ac:dyDescent="0.25">
      <c r="C52" s="805" t="s">
        <v>370</v>
      </c>
      <c r="D52" s="322" t="s">
        <v>371</v>
      </c>
      <c r="E52" s="66">
        <f>SUM('[35]TGNPDCL MoD'!F25:F30)</f>
        <v>43.890308121775462</v>
      </c>
      <c r="F52" s="66">
        <f>SUM('[35]TGNPDCL MoD'!G25:G30)</f>
        <v>56.408650126762467</v>
      </c>
      <c r="G52" s="66">
        <f>SUM('[35]TGNPDCL MoD'!H25:H30)</f>
        <v>57.318467064290921</v>
      </c>
      <c r="H52" s="66">
        <f>SUM('[35]TGNPDCL MoD'!I25:I30)</f>
        <v>47.150371148288208</v>
      </c>
      <c r="I52" s="66">
        <f>SUM('[35]TGNPDCL MoD'!J25:J30)</f>
        <v>38.411604610128805</v>
      </c>
      <c r="J52" s="66">
        <f>SUM('[35]TGNPDCL MoD'!K25:K30)</f>
        <v>40.941762188779279</v>
      </c>
      <c r="K52" s="66">
        <f>SUM('[35]TGNPDCL MoD'!L25:L30)</f>
        <v>39.767836774091229</v>
      </c>
      <c r="L52" s="66">
        <f>SUM('[35]TGNPDCL MoD'!M25:M30)</f>
        <v>55.953741657998293</v>
      </c>
      <c r="M52" s="66">
        <f>SUM('[35]TGNPDCL MoD'!N25:N30)</f>
        <v>37.605766751174983</v>
      </c>
      <c r="N52" s="66">
        <f>SUM('[35]TGNPDCL MoD'!O25:O30)</f>
        <v>37.881910345704782</v>
      </c>
      <c r="O52" s="66">
        <f>SUM('[35]TGNPDCL MoD'!P25:P30)</f>
        <v>43.974485313874077</v>
      </c>
      <c r="P52" s="66">
        <f>SUM('[35]TGNPDCL MoD'!Q25:Q30)</f>
        <v>56.408650126762524</v>
      </c>
      <c r="Q52" s="291">
        <f t="shared" ref="Q52:Q68" si="5">SUM(E52:P52)</f>
        <v>555.71355422963109</v>
      </c>
    </row>
    <row r="53" spans="3:17" x14ac:dyDescent="0.25">
      <c r="C53" s="806"/>
      <c r="D53" s="322" t="s">
        <v>372</v>
      </c>
      <c r="E53" s="66">
        <f>'[35]TGNPDCL MoD'!F31</f>
        <v>12.530617313331042</v>
      </c>
      <c r="F53" s="66">
        <f>'[35]TGNPDCL MoD'!G31</f>
        <v>14.698075443204523</v>
      </c>
      <c r="G53" s="66">
        <f>'[35]TGNPDCL MoD'!H31</f>
        <v>14.223943977294702</v>
      </c>
      <c r="H53" s="66">
        <f>'[35]TGNPDCL MoD'!I31</f>
        <v>0</v>
      </c>
      <c r="I53" s="66">
        <f>'[35]TGNPDCL MoD'!J31</f>
        <v>4.8993584810681678</v>
      </c>
      <c r="J53" s="66">
        <f>'[35]TGNPDCL MoD'!K31</f>
        <v>10.159959983781917</v>
      </c>
      <c r="K53" s="66">
        <f>'[35]TGNPDCL MoD'!L31</f>
        <v>10.498625316574646</v>
      </c>
      <c r="L53" s="66">
        <f>'[35]TGNPDCL MoD'!M31</f>
        <v>13.885278644501966</v>
      </c>
      <c r="M53" s="66">
        <f>'[35]TGNPDCL MoD'!N31</f>
        <v>12.248396202670428</v>
      </c>
      <c r="N53" s="66">
        <f>'[35]TGNPDCL MoD'!O31</f>
        <v>12.248396202670428</v>
      </c>
      <c r="O53" s="66">
        <f>'[35]TGNPDCL MoD'!P31</f>
        <v>11.695242825775637</v>
      </c>
      <c r="P53" s="66">
        <f>'[35]TGNPDCL MoD'!Q31</f>
        <v>13.998167088766209</v>
      </c>
      <c r="Q53" s="291">
        <f t="shared" si="5"/>
        <v>131.08606147963968</v>
      </c>
    </row>
    <row r="54" spans="3:17" x14ac:dyDescent="0.25">
      <c r="C54" s="806"/>
      <c r="D54" s="322" t="s">
        <v>373</v>
      </c>
      <c r="E54" s="66">
        <f>SUM('[35]TGNPDCL MoD'!F42:F45)</f>
        <v>39.97156080052055</v>
      </c>
      <c r="F54" s="66">
        <f>SUM('[35]TGNPDCL MoD'!G42:G45)</f>
        <v>41.011833066316377</v>
      </c>
      <c r="G54" s="66">
        <f>SUM('[35]TGNPDCL MoD'!H42:H45)</f>
        <v>39.97156080052055</v>
      </c>
      <c r="H54" s="66">
        <f>SUM('[35]TGNPDCL MoD'!I42:I45)</f>
        <v>41.30394616053789</v>
      </c>
      <c r="I54" s="66">
        <f>SUM('[35]TGNPDCL MoD'!J42:J45)</f>
        <v>41.30394616053789</v>
      </c>
      <c r="J54" s="66">
        <f>SUM('[35]TGNPDCL MoD'!K42:K45)</f>
        <v>39.97156080052055</v>
      </c>
      <c r="K54" s="66">
        <f>SUM('[35]TGNPDCL MoD'!L42:L45)</f>
        <v>38.206150198497554</v>
      </c>
      <c r="L54" s="66">
        <f>SUM('[35]TGNPDCL MoD'!M42:M45)</f>
        <v>29.978670600390412</v>
      </c>
      <c r="M54" s="66">
        <f>SUM('[35]TGNPDCL MoD'!N42:N45)</f>
        <v>25.814966350336181</v>
      </c>
      <c r="N54" s="66">
        <f>SUM('[35]TGNPDCL MoD'!O42:O45)</f>
        <v>36.140952890470658</v>
      </c>
      <c r="O54" s="66">
        <f>SUM('[35]TGNPDCL MoD'!P42:P45)</f>
        <v>37.30679008048584</v>
      </c>
      <c r="P54" s="66">
        <f>SUM('[35]TGNPDCL MoD'!Q42:Q45)</f>
        <v>41.30394616053789</v>
      </c>
      <c r="Q54" s="291">
        <f t="shared" si="5"/>
        <v>452.28588406967231</v>
      </c>
    </row>
    <row r="55" spans="3:17" x14ac:dyDescent="0.25">
      <c r="C55" s="806"/>
      <c r="D55" s="322" t="s">
        <v>374</v>
      </c>
      <c r="E55" s="66">
        <f>'[35]TGNPDCL MoD'!F40</f>
        <v>72.313437932971709</v>
      </c>
      <c r="F55" s="66">
        <f>'[35]TGNPDCL MoD'!G40</f>
        <v>87.623694537397284</v>
      </c>
      <c r="G55" s="66">
        <f>'[35]TGNPDCL MoD'!H40</f>
        <v>84.911504618017631</v>
      </c>
      <c r="H55" s="66">
        <f>'[35]TGNPDCL MoD'!I40</f>
        <v>68.345297795117546</v>
      </c>
      <c r="I55" s="66">
        <f>'[35]TGNPDCL MoD'!J40</f>
        <v>53.394763902435571</v>
      </c>
      <c r="J55" s="66">
        <f>'[35]TGNPDCL MoD'!K40</f>
        <v>59.939928509830906</v>
      </c>
      <c r="K55" s="66">
        <f>'[35]TGNPDCL MoD'!L40</f>
        <v>53.045735808711072</v>
      </c>
      <c r="L55" s="66">
        <f>'[35]TGNPDCL MoD'!M40</f>
        <v>0</v>
      </c>
      <c r="M55" s="66">
        <f>'[35]TGNPDCL MoD'!N40</f>
        <v>35.240544175607482</v>
      </c>
      <c r="N55" s="66">
        <f>'[35]TGNPDCL MoD'!O40</f>
        <v>70.481088351214964</v>
      </c>
      <c r="O55" s="66">
        <f>'[35]TGNPDCL MoD'!P40</f>
        <v>69.447641307942007</v>
      </c>
      <c r="P55" s="66">
        <f>'[35]TGNPDCL MoD'!Q40</f>
        <v>84.226941090058148</v>
      </c>
      <c r="Q55" s="291">
        <f t="shared" si="5"/>
        <v>738.97057802930431</v>
      </c>
    </row>
    <row r="56" spans="3:17" x14ac:dyDescent="0.25">
      <c r="C56" s="806"/>
      <c r="D56" s="322" t="s">
        <v>375</v>
      </c>
      <c r="E56" s="66">
        <f>'[35]TGNPDCL MoD'!F41</f>
        <v>34.445677846109973</v>
      </c>
      <c r="F56" s="66">
        <f>'[35]TGNPDCL MoD'!G41</f>
        <v>42.712640529176383</v>
      </c>
      <c r="G56" s="66">
        <f>'[35]TGNPDCL MoD'!H41</f>
        <v>0</v>
      </c>
      <c r="H56" s="66">
        <f>'[35]TGNPDCL MoD'!I41</f>
        <v>16.27148210635287</v>
      </c>
      <c r="I56" s="66">
        <f>'[35]TGNPDCL MoD'!J41</f>
        <v>25.569071547371244</v>
      </c>
      <c r="J56" s="66">
        <f>'[35]TGNPDCL MoD'!K41</f>
        <v>28.903135006395118</v>
      </c>
      <c r="K56" s="66">
        <f>'[35]TGNPDCL MoD'!L41</f>
        <v>27.054749708389323</v>
      </c>
      <c r="L56" s="66">
        <f>'[35]TGNPDCL MoD'!M41</f>
        <v>40.350651191157411</v>
      </c>
      <c r="M56" s="66">
        <f>'[35]TGNPDCL MoD'!N41</f>
        <v>34.567504328111696</v>
      </c>
      <c r="N56" s="66">
        <f>'[35]TGNPDCL MoD'!O41</f>
        <v>33.559931844352874</v>
      </c>
      <c r="O56" s="66">
        <f>'[35]TGNPDCL MoD'!P41</f>
        <v>33.067850732265569</v>
      </c>
      <c r="P56" s="66">
        <f>'[35]TGNPDCL MoD'!Q41</f>
        <v>40.678705265882272</v>
      </c>
      <c r="Q56" s="291">
        <f t="shared" si="5"/>
        <v>357.18140010556476</v>
      </c>
    </row>
    <row r="57" spans="3:17" x14ac:dyDescent="0.25">
      <c r="C57" s="806"/>
      <c r="D57" s="322" t="s">
        <v>376</v>
      </c>
      <c r="E57" s="66">
        <f>SUM('[35]TGNPDCL MoD'!F49:F51)</f>
        <v>36.542165836481871</v>
      </c>
      <c r="F57" s="66">
        <f>SUM('[35]TGNPDCL MoD'!G49:G51)</f>
        <v>44.423809448271918</v>
      </c>
      <c r="G57" s="66">
        <f>SUM('[35]TGNPDCL MoD'!H49:H51)</f>
        <v>28.66052222469169</v>
      </c>
      <c r="H57" s="66">
        <f>SUM('[35]TGNPDCL MoD'!I49:I51)</f>
        <v>27.832730796743895</v>
      </c>
      <c r="I57" s="66">
        <f>SUM('[35]TGNPDCL MoD'!J49:J51)</f>
        <v>27.764880905169989</v>
      </c>
      <c r="J57" s="66">
        <f>SUM('[35]TGNPDCL MoD'!K49:K51)</f>
        <v>30.093548335926208</v>
      </c>
      <c r="K57" s="66">
        <f>SUM('[35]TGNPDCL MoD'!L49:L51)</f>
        <v>26.654285668963187</v>
      </c>
      <c r="L57" s="66">
        <f>SUM('[35]TGNPDCL MoD'!M49:M51)</f>
        <v>28.66052222469169</v>
      </c>
      <c r="M57" s="66">
        <f>SUM('[35]TGNPDCL MoD'!N49:N51)</f>
        <v>26.861929505614022</v>
      </c>
      <c r="N57" s="66">
        <f>SUM('[35]TGNPDCL MoD'!O49:O51)</f>
        <v>33.282561814502984</v>
      </c>
      <c r="O57" s="66">
        <f>SUM('[35]TGNPDCL MoD'!P49:P51)</f>
        <v>35.109139725247296</v>
      </c>
      <c r="P57" s="66">
        <f>SUM('[35]TGNPDCL MoD'!Q49:Q51)</f>
        <v>43.313214212065297</v>
      </c>
      <c r="Q57" s="291">
        <f t="shared" si="5"/>
        <v>389.19931069837003</v>
      </c>
    </row>
    <row r="58" spans="3:17" x14ac:dyDescent="0.25">
      <c r="C58" s="806"/>
      <c r="D58" s="322" t="s">
        <v>377</v>
      </c>
      <c r="E58" s="66">
        <f>'[35]TGNPDCL MoD'!F53</f>
        <v>5.9733239101176245</v>
      </c>
      <c r="F58" s="66">
        <f>'[35]TGNPDCL MoD'!G53</f>
        <v>7.2616878907312241</v>
      </c>
      <c r="G58" s="66">
        <f>'[35]TGNPDCL MoD'!H53</f>
        <v>7.0274398942560268</v>
      </c>
      <c r="H58" s="66">
        <f>'[35]TGNPDCL MoD'!I53</f>
        <v>5.751550704222991</v>
      </c>
      <c r="I58" s="66">
        <f>'[35]TGNPDCL MoD'!J53</f>
        <v>4.5385549317070222</v>
      </c>
      <c r="J58" s="66">
        <f>'[35]TGNPDCL MoD'!K53</f>
        <v>4.9192079259792241</v>
      </c>
      <c r="K58" s="66">
        <f>'[35]TGNPDCL MoD'!L53</f>
        <v>4.3570127344387437</v>
      </c>
      <c r="L58" s="66">
        <f>'[35]TGNPDCL MoD'!M53</f>
        <v>7.2031258916124266</v>
      </c>
      <c r="M58" s="66">
        <f>'[35]TGNPDCL MoD'!N53</f>
        <v>5.6278081153167037</v>
      </c>
      <c r="N58" s="66">
        <f>'[35]TGNPDCL MoD'!O53</f>
        <v>5.8093503125849839</v>
      </c>
      <c r="O58" s="66">
        <f>'[35]TGNPDCL MoD'!P53</f>
        <v>5.7390759136424219</v>
      </c>
      <c r="P58" s="66">
        <f>'[35]TGNPDCL MoD'!Q53</f>
        <v>7.0801456934629456</v>
      </c>
      <c r="Q58" s="291">
        <f t="shared" si="5"/>
        <v>71.288283918072324</v>
      </c>
    </row>
    <row r="59" spans="3:17" x14ac:dyDescent="0.25">
      <c r="C59" s="806"/>
      <c r="D59" s="322" t="s">
        <v>378</v>
      </c>
      <c r="E59" s="66">
        <f>'[35]TGNPDCL MoD'!F54</f>
        <v>26.089810718942381</v>
      </c>
      <c r="F59" s="66">
        <f>'[35]TGNPDCL MoD'!G54</f>
        <v>31.717024795577004</v>
      </c>
      <c r="G59" s="66">
        <f>'[35]TGNPDCL MoD'!H54</f>
        <v>30.693894963461616</v>
      </c>
      <c r="H59" s="66">
        <f>'[35]TGNPDCL MoD'!I54</f>
        <v>22.994842976793329</v>
      </c>
      <c r="I59" s="66">
        <f>'[35]TGNPDCL MoD'!J54</f>
        <v>19.823140497235627</v>
      </c>
      <c r="J59" s="66">
        <f>'[35]TGNPDCL MoD'!K54</f>
        <v>20.669060793278895</v>
      </c>
      <c r="K59" s="66">
        <f>'[35]TGNPDCL MoD'!L54</f>
        <v>19.030214877346204</v>
      </c>
      <c r="L59" s="66">
        <f>'[35]TGNPDCL MoD'!M54</f>
        <v>30.693894963461616</v>
      </c>
      <c r="M59" s="66">
        <f>'[35]TGNPDCL MoD'!N54</f>
        <v>22.250346244894573</v>
      </c>
      <c r="N59" s="66">
        <f>'[35]TGNPDCL MoD'!O54</f>
        <v>22.257757311703962</v>
      </c>
      <c r="O59" s="66">
        <f>'[35]TGNPDCL MoD'!P54</f>
        <v>25.066680886826994</v>
      </c>
      <c r="P59" s="66">
        <f>'[35]TGNPDCL MoD'!Q54</f>
        <v>30.141293051016788</v>
      </c>
      <c r="Q59" s="291">
        <f t="shared" si="5"/>
        <v>301.42796208053903</v>
      </c>
    </row>
    <row r="60" spans="3:17" x14ac:dyDescent="0.25">
      <c r="C60" s="807"/>
      <c r="D60" s="322" t="s">
        <v>379</v>
      </c>
      <c r="E60" s="66">
        <f>'[35]TGNPDCL MoD'!F55</f>
        <v>113.62118666376631</v>
      </c>
      <c r="F60" s="66">
        <f>'[35]TGNPDCL MoD'!G55</f>
        <v>117.40855955255853</v>
      </c>
      <c r="G60" s="66">
        <f>'[35]TGNPDCL MoD'!H55</f>
        <v>113.62118666376631</v>
      </c>
      <c r="H60" s="66">
        <f>'[35]TGNPDCL MoD'!I55</f>
        <v>119.81846318622416</v>
      </c>
      <c r="I60" s="66">
        <f>'[35]TGNPDCL MoD'!J55</f>
        <v>95.87990069262267</v>
      </c>
      <c r="J60" s="66">
        <f>'[35]TGNPDCL MoD'!K55</f>
        <v>104.02601702898704</v>
      </c>
      <c r="K60" s="66">
        <f>'[35]TGNPDCL MoD'!L55</f>
        <v>91.251007342926926</v>
      </c>
      <c r="L60" s="66">
        <f>'[35]TGNPDCL MoD'!M55</f>
        <v>113.62118666376631</v>
      </c>
      <c r="M60" s="66">
        <f>'[35]TGNPDCL MoD'!N55</f>
        <v>112.44763450104199</v>
      </c>
      <c r="N60" s="66">
        <f>'[35]TGNPDCL MoD'!O55</f>
        <v>102.47473891342656</v>
      </c>
      <c r="O60" s="66">
        <f>'[35]TGNPDCL MoD'!P55</f>
        <v>101.56560535577987</v>
      </c>
      <c r="P60" s="66">
        <f>'[35]TGNPDCL MoD'!Q55</f>
        <v>124.84994712983337</v>
      </c>
      <c r="Q60" s="291">
        <f t="shared" si="5"/>
        <v>1310.5854336947</v>
      </c>
    </row>
    <row r="61" spans="3:17" x14ac:dyDescent="0.25">
      <c r="C61" s="250"/>
      <c r="D61" s="322" t="s">
        <v>451</v>
      </c>
      <c r="E61" s="66">
        <f>'[35]TGNPDCL MoD'!F56</f>
        <v>113.14190355253538</v>
      </c>
      <c r="F61" s="66">
        <f>'[35]TGNPDCL MoD'!G56</f>
        <v>117.41396224264224</v>
      </c>
      <c r="G61" s="66">
        <f>'[35]TGNPDCL MoD'!H56</f>
        <v>113.6264150735247</v>
      </c>
      <c r="H61" s="66">
        <f>'[35]TGNPDCL MoD'!I56</f>
        <v>113.61834798085897</v>
      </c>
      <c r="I61" s="66">
        <f>'[35]TGNPDCL MoD'!J56</f>
        <v>93.548680307964304</v>
      </c>
      <c r="J61" s="66">
        <f>'[35]TGNPDCL MoD'!K56</f>
        <v>99.566732216635273</v>
      </c>
      <c r="K61" s="66">
        <f>'[35]TGNPDCL MoD'!L56</f>
        <v>89.792057741229485</v>
      </c>
      <c r="L61" s="66">
        <f>'[35]TGNPDCL MoD'!M56</f>
        <v>113.62641507352475</v>
      </c>
      <c r="M61" s="66">
        <f>'[35]TGNPDCL MoD'!N56</f>
        <v>109.39663936455707</v>
      </c>
      <c r="N61" s="66">
        <f>'[35]TGNPDCL MoD'!O56</f>
        <v>100.04992557295563</v>
      </c>
      <c r="O61" s="66">
        <f>'[35]TGNPDCL MoD'!P56</f>
        <v>101.50123165079947</v>
      </c>
      <c r="P61" s="66">
        <f>'[35]TGNPDCL MoD'!Q56</f>
        <v>124.50086755822628</v>
      </c>
      <c r="Q61" s="291">
        <f t="shared" si="5"/>
        <v>1289.7831783354532</v>
      </c>
    </row>
    <row r="62" spans="3:17" x14ac:dyDescent="0.25">
      <c r="C62" s="17"/>
      <c r="D62" s="322" t="s">
        <v>380</v>
      </c>
      <c r="E62" s="66">
        <f>'[35]TGNPDCL MoD'!F33</f>
        <v>0.7692865295927358</v>
      </c>
      <c r="F62" s="66">
        <f>'[35]TGNPDCL MoD'!G33</f>
        <v>0.93521107519121793</v>
      </c>
      <c r="G62" s="66">
        <f>'[35]TGNPDCL MoD'!H33</f>
        <v>0.90504297599143824</v>
      </c>
      <c r="H62" s="66">
        <f>'[35]TGNPDCL MoD'!I33</f>
        <v>0.67802802951361096</v>
      </c>
      <c r="I62" s="66">
        <f>'[35]TGNPDCL MoD'!J33</f>
        <v>0.58450692199450494</v>
      </c>
      <c r="J62" s="66">
        <f>'[35]TGNPDCL MoD'!K33</f>
        <v>0.58827793439446574</v>
      </c>
      <c r="K62" s="66">
        <f>'[35]TGNPDCL MoD'!L33</f>
        <v>0.56112664511472832</v>
      </c>
      <c r="L62" s="66">
        <f>'[35]TGNPDCL MoD'!M33</f>
        <v>0.90504297599143824</v>
      </c>
      <c r="M62" s="66">
        <f>'[35]TGNPDCL MoD'!N33</f>
        <v>0.65464775263383435</v>
      </c>
      <c r="N62" s="66">
        <f>'[35]TGNPDCL MoD'!O33</f>
        <v>0.63126747575405795</v>
      </c>
      <c r="O62" s="66">
        <f>'[35]TGNPDCL MoD'!P33</f>
        <v>0.7391184303930185</v>
      </c>
      <c r="P62" s="66">
        <f>'[35]TGNPDCL MoD'!Q33</f>
        <v>0.86507024455182346</v>
      </c>
      <c r="Q62" s="291">
        <f t="shared" si="5"/>
        <v>8.8166269911168733</v>
      </c>
    </row>
    <row r="63" spans="3:17" x14ac:dyDescent="0.25">
      <c r="C63" s="17"/>
      <c r="D63" s="322" t="s">
        <v>381</v>
      </c>
      <c r="E63" s="66">
        <f>'[35]TGNPDCL MoD'!F34</f>
        <v>1.2945560971589001</v>
      </c>
      <c r="F63" s="66">
        <f>'[35]TGNPDCL MoD'!G34</f>
        <v>1.3105922650291117</v>
      </c>
      <c r="G63" s="66">
        <f>'[35]TGNPDCL MoD'!H34</f>
        <v>1.2945560971589001</v>
      </c>
      <c r="H63" s="66">
        <f>'[35]TGNPDCL MoD'!I34</f>
        <v>1.3919393711343671</v>
      </c>
      <c r="I63" s="66">
        <f>'[35]TGNPDCL MoD'!J34</f>
        <v>1.1750137548536865</v>
      </c>
      <c r="J63" s="66">
        <f>'[35]TGNPDCL MoD'!K34</f>
        <v>1.3207970991283373</v>
      </c>
      <c r="K63" s="66">
        <f>'[35]TGNPDCL MoD'!L34</f>
        <v>1.2021294568887715</v>
      </c>
      <c r="L63" s="66">
        <f>'[35]TGNPDCL MoD'!M34</f>
        <v>1.2945560971589001</v>
      </c>
      <c r="M63" s="66">
        <f>'[35]TGNPDCL MoD'!N34</f>
        <v>1.3105922650291117</v>
      </c>
      <c r="N63" s="66">
        <f>'[35]TGNPDCL MoD'!O34</f>
        <v>1.3377079670641967</v>
      </c>
      <c r="O63" s="66">
        <f>'[35]TGNPDCL MoD'!P34</f>
        <v>1.2572355610245896</v>
      </c>
      <c r="P63" s="66">
        <f>'[35]TGNPDCL MoD'!Q34</f>
        <v>1.446170775204537</v>
      </c>
      <c r="Q63" s="291">
        <f t="shared" si="5"/>
        <v>15.635846806833412</v>
      </c>
    </row>
    <row r="64" spans="3:17" x14ac:dyDescent="0.25">
      <c r="C64" s="17"/>
      <c r="D64" s="322" t="s">
        <v>382</v>
      </c>
      <c r="E64" s="66">
        <f>'[35]TGNPDCL MoD'!F52</f>
        <v>11.290327445624186</v>
      </c>
      <c r="F64" s="66">
        <f>'[35]TGNPDCL MoD'!G52</f>
        <v>11.666671693811658</v>
      </c>
      <c r="G64" s="66">
        <f>'[35]TGNPDCL MoD'!H52</f>
        <v>11.290327445624186</v>
      </c>
      <c r="H64" s="66">
        <f>'[35]TGNPDCL MoD'!I52</f>
        <v>12.612618047363956</v>
      </c>
      <c r="I64" s="66">
        <f>'[35]TGNPDCL MoD'!J52</f>
        <v>10.484238751871288</v>
      </c>
      <c r="J64" s="66">
        <f>'[35]TGNPDCL MoD'!K52</f>
        <v>12.205759400674793</v>
      </c>
      <c r="K64" s="66">
        <f>'[35]TGNPDCL MoD'!L52</f>
        <v>10.957211928647435</v>
      </c>
      <c r="L64" s="66">
        <f>'[35]TGNPDCL MoD'!M52</f>
        <v>11.290327445624186</v>
      </c>
      <c r="M64" s="66">
        <f>'[35]TGNPDCL MoD'!N52</f>
        <v>11.666671693811658</v>
      </c>
      <c r="N64" s="66">
        <f>'[35]TGNPDCL MoD'!O52</f>
        <v>11.666671693811658</v>
      </c>
      <c r="O64" s="66">
        <f>'[35]TGNPDCL MoD'!P52</f>
        <v>11.392042107296472</v>
      </c>
      <c r="P64" s="66">
        <f>'[35]TGNPDCL MoD'!Q52</f>
        <v>12.612618047363956</v>
      </c>
      <c r="Q64" s="291">
        <f t="shared" si="5"/>
        <v>139.13548570152543</v>
      </c>
    </row>
    <row r="65" spans="3:17" x14ac:dyDescent="0.25">
      <c r="C65" s="17"/>
      <c r="D65" s="322" t="s">
        <v>383</v>
      </c>
      <c r="E65" s="66">
        <f>'[35]TGNPDCL MoD'!F35</f>
        <v>0</v>
      </c>
      <c r="F65" s="66">
        <f>'[35]TGNPDCL MoD'!G35</f>
        <v>0</v>
      </c>
      <c r="G65" s="66">
        <f>'[35]TGNPDCL MoD'!H35</f>
        <v>0</v>
      </c>
      <c r="H65" s="66">
        <f>'[35]TGNPDCL MoD'!I35</f>
        <v>0</v>
      </c>
      <c r="I65" s="66">
        <f>'[35]TGNPDCL MoD'!J35</f>
        <v>0</v>
      </c>
      <c r="J65" s="66">
        <f>'[35]TGNPDCL MoD'!K35</f>
        <v>0</v>
      </c>
      <c r="K65" s="66">
        <f>'[35]TGNPDCL MoD'!L35</f>
        <v>0</v>
      </c>
      <c r="L65" s="66">
        <f>'[35]TGNPDCL MoD'!M35</f>
        <v>0</v>
      </c>
      <c r="M65" s="66">
        <f>'[35]TGNPDCL MoD'!N35</f>
        <v>0</v>
      </c>
      <c r="N65" s="66">
        <f>'[35]TGNPDCL MoD'!O35</f>
        <v>0</v>
      </c>
      <c r="O65" s="66">
        <f>'[35]TGNPDCL MoD'!P35</f>
        <v>0</v>
      </c>
      <c r="P65" s="66">
        <f>'[35]TGNPDCL MoD'!Q35</f>
        <v>0</v>
      </c>
      <c r="Q65" s="291">
        <f t="shared" si="5"/>
        <v>0</v>
      </c>
    </row>
    <row r="66" spans="3:17" x14ac:dyDescent="0.25">
      <c r="C66" s="17"/>
      <c r="D66" s="322" t="s">
        <v>384</v>
      </c>
      <c r="E66" s="66">
        <f t="shared" ref="E66:P66" si="6">E65</f>
        <v>0</v>
      </c>
      <c r="F66" s="66">
        <f t="shared" si="6"/>
        <v>0</v>
      </c>
      <c r="G66" s="66">
        <f t="shared" si="6"/>
        <v>0</v>
      </c>
      <c r="H66" s="66">
        <f t="shared" si="6"/>
        <v>0</v>
      </c>
      <c r="I66" s="66">
        <f t="shared" si="6"/>
        <v>0</v>
      </c>
      <c r="J66" s="66">
        <f t="shared" si="6"/>
        <v>0</v>
      </c>
      <c r="K66" s="66">
        <f t="shared" si="6"/>
        <v>0</v>
      </c>
      <c r="L66" s="66">
        <f t="shared" si="6"/>
        <v>0</v>
      </c>
      <c r="M66" s="66">
        <f t="shared" si="6"/>
        <v>0</v>
      </c>
      <c r="N66" s="66">
        <f t="shared" si="6"/>
        <v>0</v>
      </c>
      <c r="O66" s="66">
        <f t="shared" si="6"/>
        <v>0</v>
      </c>
      <c r="P66" s="66">
        <f t="shared" si="6"/>
        <v>0</v>
      </c>
      <c r="Q66" s="291">
        <f t="shared" si="5"/>
        <v>0</v>
      </c>
    </row>
    <row r="67" spans="3:17" x14ac:dyDescent="0.25">
      <c r="C67" s="17"/>
      <c r="D67" s="322" t="s">
        <v>385</v>
      </c>
      <c r="E67" s="66">
        <f>'[35]TGNPDCL MoD'!F46</f>
        <v>14.292405768804876</v>
      </c>
      <c r="F67" s="66">
        <f>'[35]TGNPDCL MoD'!G46</f>
        <v>17.722583153318055</v>
      </c>
      <c r="G67" s="66">
        <f>'[35]TGNPDCL MoD'!H46</f>
        <v>17.15088692256586</v>
      </c>
      <c r="H67" s="66">
        <f>'[35]TGNPDCL MoD'!I46</f>
        <v>13.502920497766127</v>
      </c>
      <c r="I67" s="66">
        <f>'[35]TGNPDCL MoD'!J46</f>
        <v>10.549156638879779</v>
      </c>
      <c r="J67" s="66">
        <f>'[35]TGNPDCL MoD'!K46</f>
        <v>11.842279065581181</v>
      </c>
      <c r="K67" s="66">
        <f>'[35]TGNPDCL MoD'!L46</f>
        <v>10.631636221637883</v>
      </c>
      <c r="L67" s="66">
        <f>'[35]TGNPDCL MoD'!M46</f>
        <v>16.742532472028572</v>
      </c>
      <c r="M67" s="66">
        <f>'[35]TGNPDCL MoD'!N46</f>
        <v>13.924886763321318</v>
      </c>
      <c r="N67" s="66">
        <f>'[35]TGNPDCL MoD'!O46</f>
        <v>13.924886763321318</v>
      </c>
      <c r="O67" s="66">
        <f>'[35]TGNPDCL MoD'!P46</f>
        <v>13.720709538052688</v>
      </c>
      <c r="P67" s="66">
        <f>'[35]TGNPDCL MoD'!Q46</f>
        <v>16.878650622207665</v>
      </c>
      <c r="Q67" s="291">
        <f t="shared" si="5"/>
        <v>170.8835344274853</v>
      </c>
    </row>
    <row r="68" spans="3:17" x14ac:dyDescent="0.25">
      <c r="C68" s="17"/>
      <c r="D68" s="322" t="s">
        <v>386</v>
      </c>
      <c r="E68" s="66">
        <f>'[35]TGNPDCL MoD'!F47</f>
        <v>23.646530194869655</v>
      </c>
      <c r="F68" s="66">
        <f>'[35]TGNPDCL MoD'!G47</f>
        <v>0</v>
      </c>
      <c r="G68" s="66">
        <f>'[35]TGNPDCL MoD'!H47</f>
        <v>12.0784434808327</v>
      </c>
      <c r="H68" s="66">
        <f>'[35]TGNPDCL MoD'!I47</f>
        <v>23.309066831401395</v>
      </c>
      <c r="I68" s="66">
        <f>'[35]TGNPDCL MoD'!J47</f>
        <v>19.161061277809274</v>
      </c>
      <c r="J68" s="66">
        <f>'[35]TGNPDCL MoD'!K47</f>
        <v>20.07403282729944</v>
      </c>
      <c r="K68" s="66">
        <f>'[35]TGNPDCL MoD'!L47</f>
        <v>18.633692618787002</v>
      </c>
      <c r="L68" s="66">
        <f>'[35]TGNPDCL MoD'!M47</f>
        <v>24.156886961665471</v>
      </c>
      <c r="M68" s="66">
        <f>'[35]TGNPDCL MoD'!N47</f>
        <v>21.922347578503633</v>
      </c>
      <c r="N68" s="66">
        <f>'[35]TGNPDCL MoD'!O47</f>
        <v>21.27053591389835</v>
      </c>
      <c r="O68" s="66">
        <f>'[35]TGNPDCL MoD'!P47</f>
        <v>20.789074092896641</v>
      </c>
      <c r="P68" s="66">
        <f>'[35]TGNPDCL MoD'!Q47</f>
        <v>26.016853845098787</v>
      </c>
      <c r="Q68" s="291">
        <f t="shared" si="5"/>
        <v>231.05852562306234</v>
      </c>
    </row>
    <row r="69" spans="3:17" x14ac:dyDescent="0.25">
      <c r="C69" s="17"/>
      <c r="D69" s="17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291"/>
    </row>
    <row r="70" spans="3:17" x14ac:dyDescent="0.25">
      <c r="C70" s="17"/>
      <c r="D70" s="17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291"/>
    </row>
    <row r="71" spans="3:17" x14ac:dyDescent="0.25">
      <c r="C71" s="17"/>
      <c r="D71" s="17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291"/>
    </row>
    <row r="72" spans="3:17" x14ac:dyDescent="0.25">
      <c r="C72" s="17"/>
      <c r="D72" s="17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291"/>
    </row>
    <row r="73" spans="3:17" x14ac:dyDescent="0.25">
      <c r="C73" s="17"/>
      <c r="D73" s="17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291"/>
    </row>
    <row r="74" spans="3:17" x14ac:dyDescent="0.25">
      <c r="C74" s="17"/>
      <c r="D74" s="17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291"/>
    </row>
    <row r="75" spans="3:17" x14ac:dyDescent="0.25">
      <c r="C75" s="17"/>
      <c r="D75" s="17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291"/>
    </row>
    <row r="76" spans="3:17" x14ac:dyDescent="0.25">
      <c r="C76" s="17"/>
      <c r="D76" s="17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291"/>
    </row>
    <row r="77" spans="3:17" x14ac:dyDescent="0.25">
      <c r="C77" s="751" t="s">
        <v>212</v>
      </c>
      <c r="D77" s="752"/>
      <c r="E77" s="291">
        <f t="shared" ref="E77:P77" si="7">SUM(E52:E76)</f>
        <v>549.81309873260261</v>
      </c>
      <c r="F77" s="291">
        <f t="shared" si="7"/>
        <v>592.31499581998798</v>
      </c>
      <c r="G77" s="291">
        <f t="shared" si="7"/>
        <v>532.77419220199715</v>
      </c>
      <c r="H77" s="291">
        <f t="shared" si="7"/>
        <v>514.58160563231934</v>
      </c>
      <c r="I77" s="291">
        <f t="shared" si="7"/>
        <v>447.08787938164988</v>
      </c>
      <c r="J77" s="291">
        <f t="shared" si="7"/>
        <v>485.22205911719271</v>
      </c>
      <c r="K77" s="291">
        <f t="shared" si="7"/>
        <v>441.64347304224418</v>
      </c>
      <c r="L77" s="291">
        <f t="shared" si="7"/>
        <v>488.36283286357337</v>
      </c>
      <c r="M77" s="291">
        <f t="shared" si="7"/>
        <v>471.54068159262465</v>
      </c>
      <c r="N77" s="291">
        <f t="shared" si="7"/>
        <v>503.01768337343742</v>
      </c>
      <c r="O77" s="291">
        <f t="shared" si="7"/>
        <v>512.37192352230261</v>
      </c>
      <c r="P77" s="291">
        <f t="shared" si="7"/>
        <v>624.32124091103856</v>
      </c>
      <c r="Q77" s="323">
        <f>SUM(E77:P77)</f>
        <v>6163.0516661909705</v>
      </c>
    </row>
    <row r="78" spans="3:17" x14ac:dyDescent="0.25">
      <c r="C78" s="753" t="s">
        <v>387</v>
      </c>
      <c r="D78" s="754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3:17" x14ac:dyDescent="0.25">
      <c r="C79" s="833" t="s">
        <v>388</v>
      </c>
      <c r="D79" s="17" t="s">
        <v>389</v>
      </c>
      <c r="E79" s="66">
        <f>'[35]TGNPDCL MoD'!F32</f>
        <v>4.4623902013750651</v>
      </c>
      <c r="F79" s="66">
        <f>'[35]TGNPDCL MoD'!G32</f>
        <v>4.6111365414209011</v>
      </c>
      <c r="G79" s="66">
        <f>'[35]TGNPDCL MoD'!H32</f>
        <v>4.4623902013750651</v>
      </c>
      <c r="H79" s="66">
        <f>'[35]TGNPDCL MoD'!I32</f>
        <v>4.6111365414209011</v>
      </c>
      <c r="I79" s="66">
        <f>'[35]TGNPDCL MoD'!J32</f>
        <v>4.6111365414209011</v>
      </c>
      <c r="J79" s="66">
        <f>'[35]TGNPDCL MoD'!K32</f>
        <v>4.4623902013750651</v>
      </c>
      <c r="K79" s="66">
        <f>'[35]TGNPDCL MoD'!L32</f>
        <v>4.6111365414209011</v>
      </c>
      <c r="L79" s="66">
        <f>'[35]TGNPDCL MoD'!M32</f>
        <v>4.4623902013750651</v>
      </c>
      <c r="M79" s="66">
        <f>'[35]TGNPDCL MoD'!N32</f>
        <v>4.6111365414209011</v>
      </c>
      <c r="N79" s="66">
        <f>'[35]TGNPDCL MoD'!O32</f>
        <v>4.6111365414209011</v>
      </c>
      <c r="O79" s="66">
        <f>'[35]TGNPDCL MoD'!P32</f>
        <v>4.1648975212833932</v>
      </c>
      <c r="P79" s="66">
        <f>'[35]TGNPDCL MoD'!Q32</f>
        <v>4.6111365414209011</v>
      </c>
      <c r="Q79" s="66">
        <f t="shared" ref="Q79:Q93" si="8">SUM(E79:P79)</f>
        <v>54.292414116729972</v>
      </c>
    </row>
    <row r="80" spans="3:17" x14ac:dyDescent="0.25">
      <c r="C80" s="834"/>
      <c r="D80" s="17" t="s">
        <v>390</v>
      </c>
      <c r="E80" s="66">
        <f>'[35]TGNPDCL MoD'!F36+'[35]TGNPDCL MoD'!F37</f>
        <v>14.14496850214887</v>
      </c>
      <c r="F80" s="66">
        <f>'[35]TGNPDCL MoD'!G36+'[35]TGNPDCL MoD'!G37</f>
        <v>14.616467452220498</v>
      </c>
      <c r="G80" s="66">
        <f>'[35]TGNPDCL MoD'!H36+'[35]TGNPDCL MoD'!H37</f>
        <v>14.14496850214887</v>
      </c>
      <c r="H80" s="66">
        <f>'[35]TGNPDCL MoD'!I36+'[35]TGNPDCL MoD'!I37</f>
        <v>14.616467452220498</v>
      </c>
      <c r="I80" s="66">
        <f>'[35]TGNPDCL MoD'!J36+'[35]TGNPDCL MoD'!J37</f>
        <v>14.616467452220498</v>
      </c>
      <c r="J80" s="66">
        <f>'[35]TGNPDCL MoD'!K36+'[35]TGNPDCL MoD'!K37</f>
        <v>14.14496850214887</v>
      </c>
      <c r="K80" s="66">
        <f>'[35]TGNPDCL MoD'!L36+'[35]TGNPDCL MoD'!L37</f>
        <v>14.616467452220498</v>
      </c>
      <c r="L80" s="66">
        <f>'[35]TGNPDCL MoD'!M36+'[35]TGNPDCL MoD'!M37</f>
        <v>14.14496850214887</v>
      </c>
      <c r="M80" s="66">
        <f>'[35]TGNPDCL MoD'!N36+'[35]TGNPDCL MoD'!N37</f>
        <v>14.616467452220498</v>
      </c>
      <c r="N80" s="66">
        <f>'[35]TGNPDCL MoD'!O36+'[35]TGNPDCL MoD'!O37</f>
        <v>14.616467452220498</v>
      </c>
      <c r="O80" s="66">
        <f>'[35]TGNPDCL MoD'!P36+'[35]TGNPDCL MoD'!P37</f>
        <v>13.201970602005609</v>
      </c>
      <c r="P80" s="66">
        <f>'[35]TGNPDCL MoD'!Q36+'[35]TGNPDCL MoD'!Q37</f>
        <v>14.616467452220498</v>
      </c>
      <c r="Q80" s="66">
        <f t="shared" si="8"/>
        <v>172.09711677614459</v>
      </c>
    </row>
    <row r="81" spans="3:18" x14ac:dyDescent="0.25">
      <c r="C81" s="834"/>
      <c r="D81" s="17" t="s">
        <v>391</v>
      </c>
      <c r="E81" s="66">
        <f>'[35]TGNPDCL MoD'!F38+'[35]TGNPDCL MoD'!F39</f>
        <v>14.14496850214887</v>
      </c>
      <c r="F81" s="66">
        <f>'[35]TGNPDCL MoD'!G38+'[35]TGNPDCL MoD'!G39</f>
        <v>14.616467452220498</v>
      </c>
      <c r="G81" s="66">
        <f>'[35]TGNPDCL MoD'!H38+'[35]TGNPDCL MoD'!H39</f>
        <v>14.14496850214887</v>
      </c>
      <c r="H81" s="66">
        <f>'[35]TGNPDCL MoD'!I38+'[35]TGNPDCL MoD'!I39</f>
        <v>14.616467452220498</v>
      </c>
      <c r="I81" s="66">
        <f>'[35]TGNPDCL MoD'!J38+'[35]TGNPDCL MoD'!J39</f>
        <v>14.616467452220498</v>
      </c>
      <c r="J81" s="66">
        <f>'[35]TGNPDCL MoD'!K38+'[35]TGNPDCL MoD'!K39</f>
        <v>14.14496850214887</v>
      </c>
      <c r="K81" s="66">
        <f>'[35]TGNPDCL MoD'!L38+'[35]TGNPDCL MoD'!L39</f>
        <v>14.616467452220498</v>
      </c>
      <c r="L81" s="66">
        <f>'[35]TGNPDCL MoD'!M38+'[35]TGNPDCL MoD'!M39</f>
        <v>14.14496850214887</v>
      </c>
      <c r="M81" s="66">
        <f>'[35]TGNPDCL MoD'!N38+'[35]TGNPDCL MoD'!N39</f>
        <v>14.616467452220498</v>
      </c>
      <c r="N81" s="66">
        <f>'[35]TGNPDCL MoD'!O38+'[35]TGNPDCL MoD'!O39</f>
        <v>14.616467452220498</v>
      </c>
      <c r="O81" s="66">
        <f>'[35]TGNPDCL MoD'!P38+'[35]TGNPDCL MoD'!P39</f>
        <v>13.201970602005609</v>
      </c>
      <c r="P81" s="66">
        <f>'[35]TGNPDCL MoD'!Q38+'[35]TGNPDCL MoD'!Q39</f>
        <v>14.616467452220498</v>
      </c>
      <c r="Q81" s="66">
        <f t="shared" si="8"/>
        <v>172.09711677614459</v>
      </c>
    </row>
    <row r="82" spans="3:18" x14ac:dyDescent="0.25">
      <c r="C82" s="835"/>
      <c r="D82" s="17" t="s">
        <v>392</v>
      </c>
      <c r="E82" s="66">
        <f>'[35]TGNPDCL MoD'!F48</f>
        <v>11.001920351516084</v>
      </c>
      <c r="F82" s="66">
        <f>'[35]TGNPDCL MoD'!G48</f>
        <v>11.368651029899954</v>
      </c>
      <c r="G82" s="66">
        <f>'[35]TGNPDCL MoD'!H48</f>
        <v>11.001920351516084</v>
      </c>
      <c r="H82" s="66">
        <f>'[35]TGNPDCL MoD'!I48</f>
        <v>11.368651029899954</v>
      </c>
      <c r="I82" s="66">
        <f>'[35]TGNPDCL MoD'!J48</f>
        <v>11.368651029899954</v>
      </c>
      <c r="J82" s="66">
        <f>'[35]TGNPDCL MoD'!K48</f>
        <v>11.001920351516084</v>
      </c>
      <c r="K82" s="66">
        <f>'[35]TGNPDCL MoD'!L48</f>
        <v>11.368651029899954</v>
      </c>
      <c r="L82" s="66">
        <f>'[35]TGNPDCL MoD'!M48</f>
        <v>11.001920351516084</v>
      </c>
      <c r="M82" s="66">
        <f>'[35]TGNPDCL MoD'!N48</f>
        <v>11.368651029899954</v>
      </c>
      <c r="N82" s="66">
        <f>'[35]TGNPDCL MoD'!O48</f>
        <v>11.368651029899954</v>
      </c>
      <c r="O82" s="66">
        <f>'[35]TGNPDCL MoD'!P48</f>
        <v>10.268458994748343</v>
      </c>
      <c r="P82" s="66">
        <f>'[35]TGNPDCL MoD'!Q48</f>
        <v>11.368651029899954</v>
      </c>
      <c r="Q82" s="66">
        <f t="shared" si="8"/>
        <v>133.85669761011235</v>
      </c>
    </row>
    <row r="83" spans="3:18" x14ac:dyDescent="0.25">
      <c r="C83" s="17"/>
      <c r="D83" s="17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17">
        <f t="shared" si="8"/>
        <v>0</v>
      </c>
    </row>
    <row r="84" spans="3:18" x14ac:dyDescent="0.25">
      <c r="C84" s="17"/>
      <c r="D84" s="17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17">
        <f t="shared" si="8"/>
        <v>0</v>
      </c>
    </row>
    <row r="85" spans="3:18" x14ac:dyDescent="0.25">
      <c r="C85" s="17"/>
      <c r="D85" s="17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17">
        <f t="shared" si="8"/>
        <v>0</v>
      </c>
    </row>
    <row r="86" spans="3:18" x14ac:dyDescent="0.25">
      <c r="C86" s="17"/>
      <c r="D86" s="17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17">
        <f t="shared" si="8"/>
        <v>0</v>
      </c>
    </row>
    <row r="87" spans="3:18" x14ac:dyDescent="0.25">
      <c r="C87" s="17"/>
      <c r="D87" s="17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17">
        <f t="shared" si="8"/>
        <v>0</v>
      </c>
    </row>
    <row r="88" spans="3:18" x14ac:dyDescent="0.25">
      <c r="C88" s="17"/>
      <c r="D88" s="17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17">
        <f t="shared" si="8"/>
        <v>0</v>
      </c>
    </row>
    <row r="89" spans="3:18" x14ac:dyDescent="0.25">
      <c r="C89" s="17"/>
      <c r="D89" s="17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17">
        <f t="shared" si="8"/>
        <v>0</v>
      </c>
    </row>
    <row r="90" spans="3:18" x14ac:dyDescent="0.25">
      <c r="C90" s="17"/>
      <c r="D90" s="17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17">
        <f t="shared" si="8"/>
        <v>0</v>
      </c>
    </row>
    <row r="91" spans="3:18" x14ac:dyDescent="0.25">
      <c r="C91" s="17"/>
      <c r="D91" s="17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17">
        <f t="shared" si="8"/>
        <v>0</v>
      </c>
    </row>
    <row r="92" spans="3:18" x14ac:dyDescent="0.25">
      <c r="C92" s="17"/>
      <c r="D92" s="17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17">
        <f t="shared" si="8"/>
        <v>0</v>
      </c>
    </row>
    <row r="93" spans="3:18" x14ac:dyDescent="0.25">
      <c r="C93" s="751" t="s">
        <v>212</v>
      </c>
      <c r="D93" s="752"/>
      <c r="E93" s="291">
        <f t="shared" ref="E93:P93" si="9">SUM(E79:E92)</f>
        <v>43.75424755718889</v>
      </c>
      <c r="F93" s="291">
        <f t="shared" si="9"/>
        <v>45.212722475761851</v>
      </c>
      <c r="G93" s="291">
        <f t="shared" si="9"/>
        <v>43.75424755718889</v>
      </c>
      <c r="H93" s="291">
        <f t="shared" si="9"/>
        <v>45.212722475761851</v>
      </c>
      <c r="I93" s="291">
        <f t="shared" si="9"/>
        <v>45.212722475761851</v>
      </c>
      <c r="J93" s="291">
        <f t="shared" si="9"/>
        <v>43.75424755718889</v>
      </c>
      <c r="K93" s="291">
        <f t="shared" si="9"/>
        <v>45.212722475761851</v>
      </c>
      <c r="L93" s="291">
        <f t="shared" si="9"/>
        <v>43.75424755718889</v>
      </c>
      <c r="M93" s="291">
        <f t="shared" si="9"/>
        <v>45.212722475761851</v>
      </c>
      <c r="N93" s="291">
        <f t="shared" si="9"/>
        <v>45.212722475761851</v>
      </c>
      <c r="O93" s="291">
        <f t="shared" si="9"/>
        <v>40.837297720042955</v>
      </c>
      <c r="P93" s="291">
        <f t="shared" si="9"/>
        <v>45.212722475761851</v>
      </c>
      <c r="Q93" s="323">
        <f t="shared" si="8"/>
        <v>532.34334527913143</v>
      </c>
      <c r="R93" s="427"/>
    </row>
    <row r="94" spans="3:18" x14ac:dyDescent="0.25">
      <c r="C94" s="753" t="s">
        <v>394</v>
      </c>
      <c r="D94" s="754"/>
      <c r="E94" s="291">
        <f t="shared" ref="E94:Q94" si="10">E77+E93</f>
        <v>593.56734628979154</v>
      </c>
      <c r="F94" s="291">
        <f t="shared" si="10"/>
        <v>637.52771829574988</v>
      </c>
      <c r="G94" s="291">
        <f t="shared" si="10"/>
        <v>576.52843975918609</v>
      </c>
      <c r="H94" s="291">
        <f t="shared" si="10"/>
        <v>559.79432810808123</v>
      </c>
      <c r="I94" s="291">
        <f t="shared" si="10"/>
        <v>492.30060185741172</v>
      </c>
      <c r="J94" s="291">
        <f t="shared" si="10"/>
        <v>528.97630667438159</v>
      </c>
      <c r="K94" s="291">
        <f t="shared" si="10"/>
        <v>486.85619551800602</v>
      </c>
      <c r="L94" s="291">
        <f t="shared" si="10"/>
        <v>532.11708042076225</v>
      </c>
      <c r="M94" s="291">
        <f t="shared" si="10"/>
        <v>516.75340406838654</v>
      </c>
      <c r="N94" s="291">
        <f t="shared" si="10"/>
        <v>548.23040584919931</v>
      </c>
      <c r="O94" s="291">
        <f t="shared" si="10"/>
        <v>553.20922124234562</v>
      </c>
      <c r="P94" s="291">
        <f t="shared" si="10"/>
        <v>669.53396338680045</v>
      </c>
      <c r="Q94" s="323">
        <f t="shared" si="10"/>
        <v>6695.395011470102</v>
      </c>
      <c r="R94" s="427"/>
    </row>
    <row r="95" spans="3:18" x14ac:dyDescent="0.25">
      <c r="C95" s="800" t="s">
        <v>395</v>
      </c>
      <c r="D95" s="80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</row>
    <row r="96" spans="3:18" x14ac:dyDescent="0.25">
      <c r="C96" s="17" t="s">
        <v>396</v>
      </c>
      <c r="D96" s="322" t="s">
        <v>396</v>
      </c>
      <c r="E96" s="66">
        <f>'[35]TGNPDCL MoD'!F23</f>
        <v>45.885048721318867</v>
      </c>
      <c r="F96" s="66">
        <f>'[35]TGNPDCL MoD'!G23</f>
        <v>47.414550345362784</v>
      </c>
      <c r="G96" s="66">
        <f>'[35]TGNPDCL MoD'!H23</f>
        <v>45.885048721318825</v>
      </c>
      <c r="H96" s="66">
        <f>'[35]TGNPDCL MoD'!I23</f>
        <v>51.258973346338152</v>
      </c>
      <c r="I96" s="66">
        <f>'[35]TGNPDCL MoD'!J23</f>
        <v>42.609021594143613</v>
      </c>
      <c r="J96" s="66">
        <f>'[35]TGNPDCL MoD'!K23</f>
        <v>49.605458077101474</v>
      </c>
      <c r="K96" s="66">
        <f>'[35]TGNPDCL MoD'!L23</f>
        <v>44.531233094631304</v>
      </c>
      <c r="L96" s="66">
        <f>'[35]TGNPDCL MoD'!M23</f>
        <v>45.885048721318825</v>
      </c>
      <c r="M96" s="66">
        <f>'[35]TGNPDCL MoD'!N23</f>
        <v>47.414550345362784</v>
      </c>
      <c r="N96" s="66">
        <f>'[35]TGNPDCL MoD'!O23</f>
        <v>47.414550345362784</v>
      </c>
      <c r="O96" s="66">
        <f>'[35]TGNPDCL MoD'!P23</f>
        <v>46.298427538628047</v>
      </c>
      <c r="P96" s="66">
        <f>'[35]TGNPDCL MoD'!Q23</f>
        <v>51.258973346338195</v>
      </c>
      <c r="Q96" s="66">
        <f>SUM(E96:P96)</f>
        <v>565.4608841972256</v>
      </c>
    </row>
    <row r="97" spans="3:18" x14ac:dyDescent="0.25">
      <c r="C97" s="17" t="s">
        <v>397</v>
      </c>
      <c r="D97" s="322" t="s">
        <v>397</v>
      </c>
      <c r="E97" s="66">
        <f>'[35]TGNPDCL MoD'!F24</f>
        <v>0</v>
      </c>
      <c r="F97" s="66">
        <f>'[35]TGNPDCL MoD'!G24</f>
        <v>0</v>
      </c>
      <c r="G97" s="66">
        <f>'[35]TGNPDCL MoD'!H24</f>
        <v>0</v>
      </c>
      <c r="H97" s="66">
        <f>'[35]TGNPDCL MoD'!I24</f>
        <v>0</v>
      </c>
      <c r="I97" s="66">
        <f>'[35]TGNPDCL MoD'!J24</f>
        <v>0</v>
      </c>
      <c r="J97" s="66">
        <f>'[35]TGNPDCL MoD'!K24</f>
        <v>0</v>
      </c>
      <c r="K97" s="66">
        <f>'[35]TGNPDCL MoD'!L24</f>
        <v>0</v>
      </c>
      <c r="L97" s="66">
        <f>'[35]TGNPDCL MoD'!M24</f>
        <v>0</v>
      </c>
      <c r="M97" s="66">
        <f>'[35]TGNPDCL MoD'!N24</f>
        <v>0</v>
      </c>
      <c r="N97" s="66">
        <f>'[35]TGNPDCL MoD'!O24</f>
        <v>0</v>
      </c>
      <c r="O97" s="66">
        <f>'[35]TGNPDCL MoD'!P24</f>
        <v>0</v>
      </c>
      <c r="P97" s="66">
        <f>'[35]TGNPDCL MoD'!Q24</f>
        <v>0</v>
      </c>
      <c r="Q97" s="66">
        <f>SUM(E97:P97)</f>
        <v>0</v>
      </c>
    </row>
    <row r="98" spans="3:18" x14ac:dyDescent="0.25">
      <c r="C98" s="17"/>
      <c r="D98" s="17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17"/>
    </row>
    <row r="99" spans="3:18" x14ac:dyDescent="0.25">
      <c r="C99" s="17"/>
      <c r="D99" s="17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17"/>
    </row>
    <row r="100" spans="3:18" x14ac:dyDescent="0.25">
      <c r="C100" s="17"/>
      <c r="D100" s="17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17"/>
    </row>
    <row r="101" spans="3:18" x14ac:dyDescent="0.25">
      <c r="C101" s="17"/>
      <c r="D101" s="17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17"/>
    </row>
    <row r="102" spans="3:18" x14ac:dyDescent="0.25">
      <c r="C102" s="17"/>
      <c r="D102" s="17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17"/>
    </row>
    <row r="103" spans="3:18" x14ac:dyDescent="0.25">
      <c r="C103" s="753" t="s">
        <v>398</v>
      </c>
      <c r="D103" s="754"/>
      <c r="E103" s="66">
        <f t="shared" ref="E103:P103" si="11">SUM(E96:E102)</f>
        <v>45.885048721318867</v>
      </c>
      <c r="F103" s="66">
        <f t="shared" si="11"/>
        <v>47.414550345362784</v>
      </c>
      <c r="G103" s="66">
        <f t="shared" si="11"/>
        <v>45.885048721318825</v>
      </c>
      <c r="H103" s="66">
        <f t="shared" si="11"/>
        <v>51.258973346338152</v>
      </c>
      <c r="I103" s="66">
        <f t="shared" si="11"/>
        <v>42.609021594143613</v>
      </c>
      <c r="J103" s="66">
        <f t="shared" si="11"/>
        <v>49.605458077101474</v>
      </c>
      <c r="K103" s="66">
        <f t="shared" si="11"/>
        <v>44.531233094631304</v>
      </c>
      <c r="L103" s="66">
        <f t="shared" si="11"/>
        <v>45.885048721318825</v>
      </c>
      <c r="M103" s="66">
        <f t="shared" si="11"/>
        <v>47.414550345362784</v>
      </c>
      <c r="N103" s="66">
        <f t="shared" si="11"/>
        <v>47.414550345362784</v>
      </c>
      <c r="O103" s="66">
        <f t="shared" si="11"/>
        <v>46.298427538628047</v>
      </c>
      <c r="P103" s="66">
        <f t="shared" si="11"/>
        <v>51.258973346338195</v>
      </c>
      <c r="Q103" s="86">
        <f>SUM(E103:P103)</f>
        <v>565.4608841972256</v>
      </c>
      <c r="R103" s="427"/>
    </row>
    <row r="104" spans="3:18" x14ac:dyDescent="0.25">
      <c r="C104" s="800" t="s">
        <v>399</v>
      </c>
      <c r="D104" s="80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</row>
    <row r="105" spans="3:18" x14ac:dyDescent="0.25">
      <c r="C105" s="17" t="s">
        <v>400</v>
      </c>
      <c r="D105" s="322" t="s">
        <v>400</v>
      </c>
      <c r="E105" s="66">
        <f>'[35]TGNPDCL MoD'!F20+'[35]TGNPDCL MoD'!F21+'[35]TGNPDCL MoD'!F22</f>
        <v>329.89721798152857</v>
      </c>
      <c r="F105" s="66">
        <f>'[35]TGNPDCL MoD'!G20+'[35]TGNPDCL MoD'!G21+'[35]TGNPDCL MoD'!G22</f>
        <v>103.58148170087165</v>
      </c>
      <c r="G105" s="66">
        <f>'[35]TGNPDCL MoD'!H20+'[35]TGNPDCL MoD'!H21+'[35]TGNPDCL MoD'!H22</f>
        <v>117.90340713072237</v>
      </c>
      <c r="H105" s="66">
        <f>'[35]TGNPDCL MoD'!I20+'[35]TGNPDCL MoD'!I21+'[35]TGNPDCL MoD'!I22</f>
        <v>299.45828998334252</v>
      </c>
      <c r="I105" s="66">
        <f>'[35]TGNPDCL MoD'!J20+'[35]TGNPDCL MoD'!J21+'[35]TGNPDCL MoD'!J22</f>
        <v>287.6168238438097</v>
      </c>
      <c r="J105" s="66">
        <f>'[35]TGNPDCL MoD'!K20+'[35]TGNPDCL MoD'!K21+'[35]TGNPDCL MoD'!K22</f>
        <v>323.32176456736141</v>
      </c>
      <c r="K105" s="66">
        <f>'[35]TGNPDCL MoD'!L20+'[35]TGNPDCL MoD'!L21+'[35]TGNPDCL MoD'!L22</f>
        <v>276.72824147340879</v>
      </c>
      <c r="L105" s="66">
        <f>'[35]TGNPDCL MoD'!M20+'[35]TGNPDCL MoD'!M21+'[35]TGNPDCL MoD'!M22</f>
        <v>334.13639023769832</v>
      </c>
      <c r="M105" s="66">
        <f>'[35]TGNPDCL MoD'!N20+'[35]TGNPDCL MoD'!N21+'[35]TGNPDCL MoD'!N22</f>
        <v>341.49362311799359</v>
      </c>
      <c r="N105" s="66">
        <f>'[35]TGNPDCL MoD'!O20+'[35]TGNPDCL MoD'!O21+'[35]TGNPDCL MoD'!O22</f>
        <v>314.77960969808618</v>
      </c>
      <c r="O105" s="66">
        <f>'[35]TGNPDCL MoD'!P20+'[35]TGNPDCL MoD'!P21+'[35]TGNPDCL MoD'!P22</f>
        <v>308.11070470626566</v>
      </c>
      <c r="P105" s="66">
        <f>'[35]TGNPDCL MoD'!Q20+'[35]TGNPDCL MoD'!Q21+'[35]TGNPDCL MoD'!Q22</f>
        <v>382.52863199028189</v>
      </c>
      <c r="Q105" s="66">
        <f>SUM(E105:P105)</f>
        <v>3419.5561864313709</v>
      </c>
    </row>
    <row r="106" spans="3:18" x14ac:dyDescent="0.25">
      <c r="C106" s="17" t="s">
        <v>401</v>
      </c>
      <c r="D106" s="322" t="s">
        <v>401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17">
        <f>SUM(E106:P106)</f>
        <v>0</v>
      </c>
    </row>
    <row r="107" spans="3:18" x14ac:dyDescent="0.25">
      <c r="C107" s="17" t="s">
        <v>402</v>
      </c>
      <c r="D107" s="322" t="s">
        <v>402</v>
      </c>
      <c r="E107" s="66">
        <v>0</v>
      </c>
      <c r="F107" s="66">
        <v>0</v>
      </c>
      <c r="G107" s="66">
        <v>0</v>
      </c>
      <c r="H107" s="66">
        <v>0</v>
      </c>
      <c r="I107" s="66">
        <v>0</v>
      </c>
      <c r="J107" s="66">
        <v>0</v>
      </c>
      <c r="K107" s="66">
        <v>0</v>
      </c>
      <c r="L107" s="66">
        <v>0</v>
      </c>
      <c r="M107" s="66">
        <v>0</v>
      </c>
      <c r="N107" s="66">
        <v>0</v>
      </c>
      <c r="O107" s="66">
        <v>0</v>
      </c>
      <c r="P107" s="66">
        <v>0</v>
      </c>
      <c r="Q107" s="17">
        <f>SUM(E107:P107)</f>
        <v>0</v>
      </c>
    </row>
    <row r="108" spans="3:18" x14ac:dyDescent="0.25">
      <c r="C108" s="17"/>
      <c r="D108" s="17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17"/>
    </row>
    <row r="109" spans="3:18" x14ac:dyDescent="0.25">
      <c r="C109" s="17"/>
      <c r="D109" s="17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17"/>
    </row>
    <row r="110" spans="3:18" x14ac:dyDescent="0.25">
      <c r="C110" s="17"/>
      <c r="D110" s="17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17"/>
    </row>
    <row r="111" spans="3:18" x14ac:dyDescent="0.25">
      <c r="C111" s="17"/>
      <c r="D111" s="17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17"/>
    </row>
    <row r="112" spans="3:18" x14ac:dyDescent="0.25">
      <c r="C112" s="17"/>
      <c r="D112" s="17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17"/>
    </row>
    <row r="113" spans="3:18" x14ac:dyDescent="0.25">
      <c r="C113" s="753" t="s">
        <v>403</v>
      </c>
      <c r="D113" s="754"/>
      <c r="E113" s="66">
        <f t="shared" ref="E113:P113" si="12">SUM(E105:E112)</f>
        <v>329.89721798152857</v>
      </c>
      <c r="F113" s="66">
        <f t="shared" si="12"/>
        <v>103.58148170087165</v>
      </c>
      <c r="G113" s="66">
        <f t="shared" si="12"/>
        <v>117.90340713072237</v>
      </c>
      <c r="H113" s="66">
        <f t="shared" si="12"/>
        <v>299.45828998334252</v>
      </c>
      <c r="I113" s="66">
        <f t="shared" si="12"/>
        <v>287.6168238438097</v>
      </c>
      <c r="J113" s="66">
        <f t="shared" si="12"/>
        <v>323.32176456736141</v>
      </c>
      <c r="K113" s="66">
        <f t="shared" si="12"/>
        <v>276.72824147340879</v>
      </c>
      <c r="L113" s="66">
        <f t="shared" si="12"/>
        <v>334.13639023769832</v>
      </c>
      <c r="M113" s="66">
        <f t="shared" si="12"/>
        <v>341.49362311799359</v>
      </c>
      <c r="N113" s="66">
        <f t="shared" si="12"/>
        <v>314.77960969808618</v>
      </c>
      <c r="O113" s="66">
        <f t="shared" si="12"/>
        <v>308.11070470626566</v>
      </c>
      <c r="P113" s="66">
        <f t="shared" si="12"/>
        <v>382.52863199028189</v>
      </c>
      <c r="Q113" s="86">
        <f>SUM(E113:P113)</f>
        <v>3419.5561864313709</v>
      </c>
      <c r="R113" s="427"/>
    </row>
    <row r="114" spans="3:18" x14ac:dyDescent="0.25">
      <c r="C114" s="800" t="s">
        <v>404</v>
      </c>
      <c r="D114" s="80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</row>
    <row r="115" spans="3:18" x14ac:dyDescent="0.25">
      <c r="C115" s="17"/>
      <c r="D115" s="322" t="s">
        <v>405</v>
      </c>
      <c r="E115" s="66">
        <f>'[35]TGNPDCL MoD'!$F$104</f>
        <v>3.246513007437709E-2</v>
      </c>
      <c r="F115" s="66">
        <f>'[35]TGNPDCL MoD'!$F$104</f>
        <v>3.246513007437709E-2</v>
      </c>
      <c r="G115" s="66">
        <f>'[35]TGNPDCL MoD'!$F$104</f>
        <v>3.246513007437709E-2</v>
      </c>
      <c r="H115" s="66">
        <f>'[35]TGNPDCL MoD'!$F$104</f>
        <v>3.246513007437709E-2</v>
      </c>
      <c r="I115" s="66">
        <f>'[35]TGNPDCL MoD'!$F$104</f>
        <v>3.246513007437709E-2</v>
      </c>
      <c r="J115" s="66">
        <f>'[35]TGNPDCL MoD'!$F$104</f>
        <v>3.246513007437709E-2</v>
      </c>
      <c r="K115" s="66">
        <f>'[35]TGNPDCL MoD'!$F$104</f>
        <v>3.246513007437709E-2</v>
      </c>
      <c r="L115" s="66">
        <f>'[35]TGNPDCL MoD'!$F$104</f>
        <v>3.246513007437709E-2</v>
      </c>
      <c r="M115" s="66">
        <f>'[35]TGNPDCL MoD'!$F$104</f>
        <v>3.246513007437709E-2</v>
      </c>
      <c r="N115" s="66">
        <f>'[35]TGNPDCL MoD'!$F$104</f>
        <v>3.246513007437709E-2</v>
      </c>
      <c r="O115" s="66">
        <f>'[35]TGNPDCL MoD'!$F$104</f>
        <v>3.246513007437709E-2</v>
      </c>
      <c r="P115" s="66">
        <f>'[35]TGNPDCL MoD'!$F$104</f>
        <v>3.246513007437709E-2</v>
      </c>
      <c r="Q115" s="291">
        <f t="shared" ref="Q115:Q128" si="13">SUM(E115:P115)</f>
        <v>0.38958156089252499</v>
      </c>
    </row>
    <row r="116" spans="3:18" x14ac:dyDescent="0.25">
      <c r="C116" s="17"/>
      <c r="D116" s="322" t="s">
        <v>406</v>
      </c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291">
        <f t="shared" si="13"/>
        <v>0</v>
      </c>
    </row>
    <row r="117" spans="3:18" x14ac:dyDescent="0.25">
      <c r="C117" s="17"/>
      <c r="D117" s="322" t="s">
        <v>407</v>
      </c>
      <c r="E117" s="66">
        <f>'[35]TGNPDCL MoD'!F101</f>
        <v>0</v>
      </c>
      <c r="F117" s="66">
        <f>'[35]TGNPDCL MoD'!G101</f>
        <v>0</v>
      </c>
      <c r="G117" s="66">
        <f>'[35]TGNPDCL MoD'!H101</f>
        <v>0</v>
      </c>
      <c r="H117" s="66">
        <f>'[35]TGNPDCL MoD'!I101</f>
        <v>0</v>
      </c>
      <c r="I117" s="66">
        <f>'[35]TGNPDCL MoD'!J101</f>
        <v>0</v>
      </c>
      <c r="J117" s="66">
        <f>'[35]TGNPDCL MoD'!K101</f>
        <v>0</v>
      </c>
      <c r="K117" s="66">
        <f>'[35]TGNPDCL MoD'!L101</f>
        <v>0</v>
      </c>
      <c r="L117" s="66">
        <f>'[35]TGNPDCL MoD'!M101</f>
        <v>0</v>
      </c>
      <c r="M117" s="66">
        <f>'[35]TGNPDCL MoD'!N101</f>
        <v>0</v>
      </c>
      <c r="N117" s="66">
        <f>'[35]TGNPDCL MoD'!O101</f>
        <v>0</v>
      </c>
      <c r="O117" s="66">
        <f>'[35]TGNPDCL MoD'!P101</f>
        <v>0</v>
      </c>
      <c r="P117" s="66">
        <f>'[35]TGNPDCL MoD'!Q101</f>
        <v>0</v>
      </c>
      <c r="Q117" s="291">
        <f t="shared" si="13"/>
        <v>0</v>
      </c>
    </row>
    <row r="118" spans="3:18" x14ac:dyDescent="0.25">
      <c r="C118" s="17"/>
      <c r="D118" s="322" t="s">
        <v>408</v>
      </c>
      <c r="E118" s="66">
        <f>'[35]TGNPDCL MoD'!F102</f>
        <v>3.5476995666069602</v>
      </c>
      <c r="F118" s="66">
        <f>'[35]TGNPDCL MoD'!G102</f>
        <v>2.4945358430075384</v>
      </c>
      <c r="G118" s="66">
        <f>'[35]TGNPDCL MoD'!H102</f>
        <v>2.0740705759705658</v>
      </c>
      <c r="H118" s="66">
        <f>'[35]TGNPDCL MoD'!I102</f>
        <v>2.9286263373885997</v>
      </c>
      <c r="I118" s="66">
        <f>'[35]TGNPDCL MoD'!J102</f>
        <v>2.9286263373885997</v>
      </c>
      <c r="J118" s="66">
        <f>'[35]TGNPDCL MoD'!K102</f>
        <v>2.0876891012844818</v>
      </c>
      <c r="K118" s="66">
        <f>'[35]TGNPDCL MoD'!L102</f>
        <v>2.9286263373885997</v>
      </c>
      <c r="L118" s="66">
        <f>'[35]TGNPDCL MoD'!M102</f>
        <v>2.7517854522078959</v>
      </c>
      <c r="M118" s="66">
        <f>'[35]TGNPDCL MoD'!N102</f>
        <v>4.490981271490794</v>
      </c>
      <c r="N118" s="66">
        <f>'[35]TGNPDCL MoD'!O102</f>
        <v>4.5660239033509873</v>
      </c>
      <c r="O118" s="66">
        <f>'[35]TGNPDCL MoD'!P102</f>
        <v>4.8160654790990236</v>
      </c>
      <c r="P118" s="66">
        <f>'[35]TGNPDCL MoD'!Q102</f>
        <v>4.836435182808386</v>
      </c>
      <c r="Q118" s="291">
        <f t="shared" si="13"/>
        <v>40.45116538799244</v>
      </c>
    </row>
    <row r="119" spans="3:18" x14ac:dyDescent="0.25">
      <c r="C119" s="17"/>
      <c r="D119" s="322" t="s">
        <v>409</v>
      </c>
      <c r="E119" s="66">
        <f>'[35]TGNPDCL MoD'!F99+'[35]TGNPDCL MoD'!F100</f>
        <v>0</v>
      </c>
      <c r="F119" s="66">
        <f>'[35]TGNPDCL MoD'!G99+'[35]TGNPDCL MoD'!G100</f>
        <v>0</v>
      </c>
      <c r="G119" s="66">
        <f>'[35]TGNPDCL MoD'!H99+'[35]TGNPDCL MoD'!H100</f>
        <v>0</v>
      </c>
      <c r="H119" s="66">
        <f>'[35]TGNPDCL MoD'!I99+'[35]TGNPDCL MoD'!I100</f>
        <v>0</v>
      </c>
      <c r="I119" s="66">
        <f>'[35]TGNPDCL MoD'!J99+'[35]TGNPDCL MoD'!J100</f>
        <v>0</v>
      </c>
      <c r="J119" s="66">
        <f>'[35]TGNPDCL MoD'!K99+'[35]TGNPDCL MoD'!K100</f>
        <v>0</v>
      </c>
      <c r="K119" s="66">
        <f>'[35]TGNPDCL MoD'!L99+'[35]TGNPDCL MoD'!L100</f>
        <v>0</v>
      </c>
      <c r="L119" s="66">
        <f>'[35]TGNPDCL MoD'!M99+'[35]TGNPDCL MoD'!M100</f>
        <v>0</v>
      </c>
      <c r="M119" s="66">
        <f>'[35]TGNPDCL MoD'!N99+'[35]TGNPDCL MoD'!N100</f>
        <v>0</v>
      </c>
      <c r="N119" s="66">
        <f>'[35]TGNPDCL MoD'!O99+'[35]TGNPDCL MoD'!O100</f>
        <v>0</v>
      </c>
      <c r="O119" s="66">
        <f>'[35]TGNPDCL MoD'!P99+'[35]TGNPDCL MoD'!P100</f>
        <v>0</v>
      </c>
      <c r="P119" s="66">
        <f>'[35]TGNPDCL MoD'!Q99+'[35]TGNPDCL MoD'!Q100</f>
        <v>0</v>
      </c>
      <c r="Q119" s="291">
        <f t="shared" si="13"/>
        <v>0</v>
      </c>
    </row>
    <row r="120" spans="3:18" x14ac:dyDescent="0.25">
      <c r="C120" s="17"/>
      <c r="D120" s="322" t="s">
        <v>367</v>
      </c>
      <c r="E120" s="66">
        <f>'[35]TGNPDCL MoD'!$F$103</f>
        <v>1.0190928297479487E-2</v>
      </c>
      <c r="F120" s="66">
        <f>'[35]TGNPDCL MoD'!$F$103</f>
        <v>1.0190928297479487E-2</v>
      </c>
      <c r="G120" s="66">
        <f>'[35]TGNPDCL MoD'!$F$103</f>
        <v>1.0190928297479487E-2</v>
      </c>
      <c r="H120" s="66">
        <f>'[35]TGNPDCL MoD'!$F$103</f>
        <v>1.0190928297479487E-2</v>
      </c>
      <c r="I120" s="66">
        <f>'[35]TGNPDCL MoD'!$F$103</f>
        <v>1.0190928297479487E-2</v>
      </c>
      <c r="J120" s="66">
        <f>'[35]TGNPDCL MoD'!$F$103</f>
        <v>1.0190928297479487E-2</v>
      </c>
      <c r="K120" s="66">
        <f>'[35]TGNPDCL MoD'!$F$103</f>
        <v>1.0190928297479487E-2</v>
      </c>
      <c r="L120" s="66">
        <f>'[35]TGNPDCL MoD'!$F$103</f>
        <v>1.0190928297479487E-2</v>
      </c>
      <c r="M120" s="66">
        <f>'[35]TGNPDCL MoD'!$F$103</f>
        <v>1.0190928297479487E-2</v>
      </c>
      <c r="N120" s="66">
        <f>'[35]TGNPDCL MoD'!$F$103</f>
        <v>1.0190928297479487E-2</v>
      </c>
      <c r="O120" s="66">
        <f>'[35]TGNPDCL MoD'!$F$103</f>
        <v>1.0190928297479487E-2</v>
      </c>
      <c r="P120" s="66">
        <f>'[35]TGNPDCL MoD'!$F$103</f>
        <v>1.0190928297479487E-2</v>
      </c>
      <c r="Q120" s="291">
        <f t="shared" si="13"/>
        <v>0.12229113956975385</v>
      </c>
    </row>
    <row r="121" spans="3:18" x14ac:dyDescent="0.25">
      <c r="C121" s="17"/>
      <c r="D121" s="322" t="s">
        <v>410</v>
      </c>
      <c r="E121" s="66">
        <f>'[35]TGNPDCL MoD'!F114</f>
        <v>226.62958233077637</v>
      </c>
      <c r="F121" s="66">
        <f>'[35]TGNPDCL MoD'!G114</f>
        <v>233.69121127278808</v>
      </c>
      <c r="G121" s="66">
        <f>'[35]TGNPDCL MoD'!H114</f>
        <v>218.79356955298169</v>
      </c>
      <c r="H121" s="66">
        <f>'[35]TGNPDCL MoD'!I114</f>
        <v>171.36205215742916</v>
      </c>
      <c r="I121" s="66">
        <f>'[35]TGNPDCL MoD'!J114</f>
        <v>210.76324071015981</v>
      </c>
      <c r="J121" s="66">
        <f>'[35]TGNPDCL MoD'!K114</f>
        <v>185.78100214280934</v>
      </c>
      <c r="K121" s="66">
        <f>'[35]TGNPDCL MoD'!L114</f>
        <v>227.7632626523762</v>
      </c>
      <c r="L121" s="66">
        <f>'[35]TGNPDCL MoD'!M114</f>
        <v>175.62172179034471</v>
      </c>
      <c r="M121" s="66">
        <f>'[35]TGNPDCL MoD'!N114</f>
        <v>192.52008888103424</v>
      </c>
      <c r="N121" s="66">
        <f>'[35]TGNPDCL MoD'!O114</f>
        <v>205.25461345268329</v>
      </c>
      <c r="O121" s="66">
        <f>'[35]TGNPDCL MoD'!P114</f>
        <v>210.68073102820591</v>
      </c>
      <c r="P121" s="66">
        <f>'[35]TGNPDCL MoD'!Q114</f>
        <v>225.9090101570014</v>
      </c>
      <c r="Q121" s="291">
        <f t="shared" si="13"/>
        <v>2484.7700861285903</v>
      </c>
    </row>
    <row r="122" spans="3:18" x14ac:dyDescent="0.25">
      <c r="C122" s="17"/>
      <c r="D122" s="322" t="s">
        <v>411</v>
      </c>
      <c r="E122" s="66">
        <f>'[35]TGNPDCL MoD'!F107</f>
        <v>6.1049643221902974</v>
      </c>
      <c r="F122" s="66">
        <f>'[35]TGNPDCL MoD'!G107</f>
        <v>6.2951910009149028</v>
      </c>
      <c r="G122" s="66">
        <f>'[35]TGNPDCL MoD'!H107</f>
        <v>5.8938772348618604</v>
      </c>
      <c r="H122" s="66">
        <f>'[35]TGNPDCL MoD'!I107</f>
        <v>4.6161635380481805</v>
      </c>
      <c r="I122" s="66">
        <f>'[35]TGNPDCL MoD'!J107</f>
        <v>5.6775556471119915</v>
      </c>
      <c r="J122" s="66">
        <f>'[35]TGNPDCL MoD'!K107</f>
        <v>5.0045822710259102</v>
      </c>
      <c r="K122" s="66">
        <f>'[35]TGNPDCL MoD'!L107</f>
        <v>6.1355034858994486</v>
      </c>
      <c r="L122" s="66">
        <f>'[35]TGNPDCL MoD'!M107</f>
        <v>4.7309108312559625</v>
      </c>
      <c r="M122" s="66">
        <f>'[35]TGNPDCL MoD'!N107</f>
        <v>5.186120284192083</v>
      </c>
      <c r="N122" s="66">
        <f>'[35]TGNPDCL MoD'!O107</f>
        <v>5.5291638417471702</v>
      </c>
      <c r="O122" s="66">
        <f>'[35]TGNPDCL MoD'!P107</f>
        <v>5.6753329952437603</v>
      </c>
      <c r="P122" s="66">
        <f>'[35]TGNPDCL MoD'!Q107</f>
        <v>6.0855534960871163</v>
      </c>
      <c r="Q122" s="291">
        <f t="shared" si="13"/>
        <v>66.934918948578684</v>
      </c>
    </row>
    <row r="123" spans="3:18" x14ac:dyDescent="0.25">
      <c r="C123" s="17"/>
      <c r="D123" s="322" t="s">
        <v>412</v>
      </c>
      <c r="E123" s="66">
        <f>'[35]TGNPDCL MoD'!F108</f>
        <v>30.615785319455821</v>
      </c>
      <c r="F123" s="66">
        <f>'[35]TGNPDCL MoD'!G108</f>
        <v>31.569753082493634</v>
      </c>
      <c r="G123" s="66">
        <f>'[35]TGNPDCL MoD'!H108</f>
        <v>29.557204694198688</v>
      </c>
      <c r="H123" s="66">
        <f>'[35]TGNPDCL MoD'!I108</f>
        <v>23.149598330441705</v>
      </c>
      <c r="I123" s="66">
        <f>'[35]TGNPDCL MoD'!J108</f>
        <v>28.472373573000965</v>
      </c>
      <c r="J123" s="66">
        <f>'[35]TGNPDCL MoD'!K108</f>
        <v>25.097479417916229</v>
      </c>
      <c r="K123" s="66">
        <f>'[35]TGNPDCL MoD'!L108</f>
        <v>30.768936170240746</v>
      </c>
      <c r="L123" s="66">
        <f>'[35]TGNPDCL MoD'!M108</f>
        <v>23.725044526264469</v>
      </c>
      <c r="M123" s="66">
        <f>'[35]TGNPDCL MoD'!N108</f>
        <v>26.007874392414955</v>
      </c>
      <c r="N123" s="66">
        <f>'[35]TGNPDCL MoD'!O108</f>
        <v>27.728203514594153</v>
      </c>
      <c r="O123" s="66">
        <f>'[35]TGNPDCL MoD'!P108</f>
        <v>28.461227196241591</v>
      </c>
      <c r="P123" s="66">
        <f>'[35]TGNPDCL MoD'!Q108</f>
        <v>30.518441968457317</v>
      </c>
      <c r="Q123" s="291">
        <f t="shared" si="13"/>
        <v>335.67192218572023</v>
      </c>
    </row>
    <row r="124" spans="3:18" x14ac:dyDescent="0.25">
      <c r="C124" s="17"/>
      <c r="D124" s="322" t="s">
        <v>413</v>
      </c>
      <c r="E124" s="66">
        <f>'[35]TGNPDCL MoD'!F109</f>
        <v>30.61578531945581</v>
      </c>
      <c r="F124" s="66">
        <f>'[35]TGNPDCL MoD'!G109</f>
        <v>31.569753082493634</v>
      </c>
      <c r="G124" s="66">
        <f>'[35]TGNPDCL MoD'!H109</f>
        <v>29.557204694198681</v>
      </c>
      <c r="H124" s="66">
        <f>'[35]TGNPDCL MoD'!I109</f>
        <v>23.149598330441702</v>
      </c>
      <c r="I124" s="66">
        <f>'[35]TGNPDCL MoD'!J109</f>
        <v>28.472373573000961</v>
      </c>
      <c r="J124" s="66">
        <f>'[35]TGNPDCL MoD'!K109</f>
        <v>25.097479417916226</v>
      </c>
      <c r="K124" s="66">
        <f>'[35]TGNPDCL MoD'!L109</f>
        <v>30.768936170240735</v>
      </c>
      <c r="L124" s="66">
        <f>'[35]TGNPDCL MoD'!M109</f>
        <v>23.725044526264465</v>
      </c>
      <c r="M124" s="66">
        <f>'[35]TGNPDCL MoD'!N109</f>
        <v>26.007874392414955</v>
      </c>
      <c r="N124" s="66">
        <f>'[35]TGNPDCL MoD'!O109</f>
        <v>27.728203514594153</v>
      </c>
      <c r="O124" s="66">
        <f>'[35]TGNPDCL MoD'!P109</f>
        <v>28.461227196241587</v>
      </c>
      <c r="P124" s="66">
        <f>'[35]TGNPDCL MoD'!Q109</f>
        <v>30.51844196845731</v>
      </c>
      <c r="Q124" s="291">
        <f t="shared" si="13"/>
        <v>335.67192218572018</v>
      </c>
    </row>
    <row r="125" spans="3:18" x14ac:dyDescent="0.25">
      <c r="C125" s="17"/>
      <c r="D125" s="322" t="s">
        <v>414</v>
      </c>
      <c r="E125" s="66">
        <f>'[35]TGNPDCL MoD'!F110</f>
        <v>118.25347079639809</v>
      </c>
      <c r="F125" s="66">
        <f>'[35]TGNPDCL MoD'!G110</f>
        <v>121.93817128113166</v>
      </c>
      <c r="G125" s="66">
        <f>'[35]TGNPDCL MoD'!H110</f>
        <v>114.16470313134243</v>
      </c>
      <c r="H125" s="66">
        <f>'[35]TGNPDCL MoD'!I110</f>
        <v>89.41532355133107</v>
      </c>
      <c r="I125" s="66">
        <f>'[35]TGNPDCL MoD'!J110</f>
        <v>109.97454292571622</v>
      </c>
      <c r="J125" s="66">
        <f>'[35]TGNPDCL MoD'!K110</f>
        <v>96.939014251701423</v>
      </c>
      <c r="K125" s="66">
        <f>'[35]TGNPDCL MoD'!L110</f>
        <v>118.84501595755488</v>
      </c>
      <c r="L125" s="66">
        <f>'[35]TGNPDCL MoD'!M110</f>
        <v>91.637984482696524</v>
      </c>
      <c r="M125" s="66">
        <f>'[35]TGNPDCL MoD'!N110</f>
        <v>100.45541484070277</v>
      </c>
      <c r="N125" s="66">
        <f>'[35]TGNPDCL MoD'!O110</f>
        <v>107.10018607511991</v>
      </c>
      <c r="O125" s="66">
        <f>'[35]TGNPDCL MoD'!P110</f>
        <v>109.93149004548314</v>
      </c>
      <c r="P125" s="66">
        <f>'[35]TGNPDCL MoD'!Q110</f>
        <v>117.87748210316637</v>
      </c>
      <c r="Q125" s="291">
        <f t="shared" si="13"/>
        <v>1296.5327994423446</v>
      </c>
    </row>
    <row r="126" spans="3:18" x14ac:dyDescent="0.25">
      <c r="C126" s="17"/>
      <c r="D126" s="322" t="s">
        <v>415</v>
      </c>
      <c r="E126" s="66">
        <f>'[35]TGNPDCL MoD'!F111</f>
        <v>0</v>
      </c>
      <c r="F126" s="66">
        <f>'[35]TGNPDCL MoD'!G111</f>
        <v>0</v>
      </c>
      <c r="G126" s="66">
        <f>'[35]TGNPDCL MoD'!H111</f>
        <v>0</v>
      </c>
      <c r="H126" s="66">
        <f>'[35]TGNPDCL MoD'!I111</f>
        <v>0</v>
      </c>
      <c r="I126" s="66">
        <f>'[35]TGNPDCL MoD'!J111</f>
        <v>0</v>
      </c>
      <c r="J126" s="66">
        <f>'[35]TGNPDCL MoD'!K111</f>
        <v>0</v>
      </c>
      <c r="K126" s="66">
        <f>'[35]TGNPDCL MoD'!L111</f>
        <v>0</v>
      </c>
      <c r="L126" s="66">
        <f>'[35]TGNPDCL MoD'!M111</f>
        <v>0</v>
      </c>
      <c r="M126" s="66">
        <f>'[35]TGNPDCL MoD'!N111</f>
        <v>0</v>
      </c>
      <c r="N126" s="66">
        <f>'[35]TGNPDCL MoD'!O111</f>
        <v>0</v>
      </c>
      <c r="O126" s="66">
        <f>'[35]TGNPDCL MoD'!P111</f>
        <v>0</v>
      </c>
      <c r="P126" s="66">
        <f>'[35]TGNPDCL MoD'!Q111</f>
        <v>0</v>
      </c>
      <c r="Q126" s="291">
        <f t="shared" si="13"/>
        <v>0</v>
      </c>
    </row>
    <row r="127" spans="3:18" x14ac:dyDescent="0.25">
      <c r="C127" s="17"/>
      <c r="D127" s="322" t="s">
        <v>416</v>
      </c>
      <c r="E127" s="66">
        <f>'[35]TGNPDCL MoD'!F112</f>
        <v>129.50477190129811</v>
      </c>
      <c r="F127" s="66">
        <f>'[35]TGNPDCL MoD'!G112</f>
        <v>133.54005553894805</v>
      </c>
      <c r="G127" s="66">
        <f>'[35]TGNPDCL MoD'!H112</f>
        <v>125.02697585646044</v>
      </c>
      <c r="H127" s="66">
        <f>'[35]TGNPDCL MoD'!I112</f>
        <v>97.9228009377684</v>
      </c>
      <c r="I127" s="66">
        <f>'[35]TGNPDCL MoD'!J112</f>
        <v>120.43814021379407</v>
      </c>
      <c r="J127" s="66">
        <f>'[35]TGNPDCL MoD'!K112</f>
        <v>106.16233793778564</v>
      </c>
      <c r="K127" s="66">
        <f>'[35]TGNPDCL MoD'!L112</f>
        <v>130.15260000011835</v>
      </c>
      <c r="L127" s="66">
        <f>'[35]TGNPDCL MoD'!M112</f>
        <v>100.3569383460987</v>
      </c>
      <c r="M127" s="66">
        <f>'[35]TGNPDCL MoD'!N112</f>
        <v>110.01330867991527</v>
      </c>
      <c r="N127" s="66">
        <f>'[35]TGNPDCL MoD'!O112</f>
        <v>117.29030086673325</v>
      </c>
      <c r="O127" s="66">
        <f>'[35]TGNPDCL MoD'!P112</f>
        <v>120.39099104010192</v>
      </c>
      <c r="P127" s="66">
        <f>'[35]TGNPDCL MoD'!Q112</f>
        <v>129.09300952657443</v>
      </c>
      <c r="Q127" s="291">
        <f t="shared" si="13"/>
        <v>1419.8922308455967</v>
      </c>
    </row>
    <row r="128" spans="3:18" x14ac:dyDescent="0.25">
      <c r="C128" s="17"/>
      <c r="D128" s="322" t="s">
        <v>417</v>
      </c>
      <c r="E128" s="66">
        <f>'[35]TGNPDCL MoD'!F113</f>
        <v>76.539463298639518</v>
      </c>
      <c r="F128" s="66">
        <f>'[35]TGNPDCL MoD'!G113</f>
        <v>78.92438270623407</v>
      </c>
      <c r="G128" s="66">
        <f>'[35]TGNPDCL MoD'!H113</f>
        <v>73.8930117354967</v>
      </c>
      <c r="H128" s="66">
        <f>'[35]TGNPDCL MoD'!I113</f>
        <v>57.873995826104235</v>
      </c>
      <c r="I128" s="66">
        <f>'[35]TGNPDCL MoD'!J113</f>
        <v>71.180933932502384</v>
      </c>
      <c r="J128" s="66">
        <f>'[35]TGNPDCL MoD'!K113</f>
        <v>62.743698544790547</v>
      </c>
      <c r="K128" s="66">
        <f>'[35]TGNPDCL MoD'!L113</f>
        <v>76.922340425601831</v>
      </c>
      <c r="L128" s="66">
        <f>'[35]TGNPDCL MoD'!M113</f>
        <v>59.312611315661158</v>
      </c>
      <c r="M128" s="66">
        <f>'[35]TGNPDCL MoD'!N113</f>
        <v>65.019685981037384</v>
      </c>
      <c r="N128" s="66">
        <f>'[35]TGNPDCL MoD'!O113</f>
        <v>69.320508786485348</v>
      </c>
      <c r="O128" s="66">
        <f>'[35]TGNPDCL MoD'!P113</f>
        <v>71.153067990603958</v>
      </c>
      <c r="P128" s="66">
        <f>'[35]TGNPDCL MoD'!Q113</f>
        <v>76.296104921143268</v>
      </c>
      <c r="Q128" s="291">
        <f t="shared" si="13"/>
        <v>839.17980546430044</v>
      </c>
    </row>
    <row r="129" spans="3:18" x14ac:dyDescent="0.25">
      <c r="C129" s="17"/>
      <c r="D129" s="17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291"/>
    </row>
    <row r="130" spans="3:18" x14ac:dyDescent="0.25">
      <c r="C130" s="17"/>
      <c r="D130" s="17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291"/>
    </row>
    <row r="131" spans="3:18" x14ac:dyDescent="0.25">
      <c r="C131" s="17"/>
      <c r="D131" s="17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291"/>
    </row>
    <row r="132" spans="3:18" x14ac:dyDescent="0.25">
      <c r="C132" s="17"/>
      <c r="D132" s="17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291"/>
    </row>
    <row r="133" spans="3:18" x14ac:dyDescent="0.25">
      <c r="C133" s="17"/>
      <c r="D133" s="17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291"/>
    </row>
    <row r="134" spans="3:18" x14ac:dyDescent="0.25">
      <c r="C134" s="17"/>
      <c r="D134" s="17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291"/>
    </row>
    <row r="135" spans="3:18" x14ac:dyDescent="0.25">
      <c r="C135" s="17"/>
      <c r="D135" s="17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291"/>
    </row>
    <row r="136" spans="3:18" x14ac:dyDescent="0.25">
      <c r="C136" s="17"/>
      <c r="D136" s="17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291"/>
    </row>
    <row r="137" spans="3:18" x14ac:dyDescent="0.25">
      <c r="C137" s="17"/>
      <c r="D137" s="17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291"/>
    </row>
    <row r="138" spans="3:18" x14ac:dyDescent="0.25">
      <c r="C138" s="17"/>
      <c r="D138" s="17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291"/>
    </row>
    <row r="139" spans="3:18" x14ac:dyDescent="0.25">
      <c r="C139" s="753" t="s">
        <v>420</v>
      </c>
      <c r="D139" s="754"/>
      <c r="E139" s="291">
        <f t="shared" ref="E139:P139" si="14">SUM(E115:E138)</f>
        <v>621.85417891319275</v>
      </c>
      <c r="F139" s="291">
        <f t="shared" si="14"/>
        <v>640.06570986638349</v>
      </c>
      <c r="G139" s="291">
        <f t="shared" si="14"/>
        <v>599.00327353388286</v>
      </c>
      <c r="H139" s="291">
        <f t="shared" si="14"/>
        <v>470.46081506732492</v>
      </c>
      <c r="I139" s="291">
        <f t="shared" si="14"/>
        <v>577.95044297104687</v>
      </c>
      <c r="J139" s="291">
        <f t="shared" si="14"/>
        <v>508.95593914360171</v>
      </c>
      <c r="K139" s="291">
        <f t="shared" si="14"/>
        <v>624.32787725779269</v>
      </c>
      <c r="L139" s="291">
        <f t="shared" si="14"/>
        <v>481.9046973291658</v>
      </c>
      <c r="M139" s="291">
        <f t="shared" si="14"/>
        <v>529.74400478157429</v>
      </c>
      <c r="N139" s="291">
        <f t="shared" si="14"/>
        <v>564.55986001368012</v>
      </c>
      <c r="O139" s="291">
        <f t="shared" si="14"/>
        <v>579.6127890295927</v>
      </c>
      <c r="P139" s="291">
        <f t="shared" si="14"/>
        <v>621.17713538206749</v>
      </c>
      <c r="Q139" s="323">
        <f>SUM(E139:P139)</f>
        <v>6819.6167232893067</v>
      </c>
      <c r="R139" s="427"/>
    </row>
    <row r="140" spans="3:18" x14ac:dyDescent="0.25">
      <c r="C140" s="800" t="s">
        <v>421</v>
      </c>
      <c r="D140" s="801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</row>
    <row r="141" spans="3:18" x14ac:dyDescent="0.25">
      <c r="C141" s="17"/>
      <c r="D141" s="322" t="s">
        <v>453</v>
      </c>
      <c r="E141" s="66">
        <f>'[35]ST,D-D'!D27</f>
        <v>0</v>
      </c>
      <c r="F141" s="66">
        <f>'[35]ST,D-D'!E27</f>
        <v>0</v>
      </c>
      <c r="G141" s="66">
        <f>'[35]ST,D-D'!F27</f>
        <v>0</v>
      </c>
      <c r="H141" s="66">
        <f>'[35]ST,D-D'!G27</f>
        <v>0</v>
      </c>
      <c r="I141" s="66">
        <f>'[35]ST,D-D'!H27</f>
        <v>0</v>
      </c>
      <c r="J141" s="66">
        <f>'[35]ST,D-D'!I27</f>
        <v>0</v>
      </c>
      <c r="K141" s="66">
        <f>'[35]ST,D-D'!J27</f>
        <v>0</v>
      </c>
      <c r="L141" s="66">
        <f>'[35]ST,D-D'!K27</f>
        <v>0</v>
      </c>
      <c r="M141" s="66">
        <f>'[35]ST,D-D'!L27</f>
        <v>0</v>
      </c>
      <c r="N141" s="66">
        <f>'[35]ST,D-D'!M27</f>
        <v>0</v>
      </c>
      <c r="O141" s="66">
        <f>'[35]ST,D-D'!N27</f>
        <v>0</v>
      </c>
      <c r="P141" s="66">
        <f>'[35]ST,D-D'!O27</f>
        <v>0</v>
      </c>
      <c r="Q141" s="17">
        <f>SUM(E141:P141)</f>
        <v>0</v>
      </c>
    </row>
    <row r="142" spans="3:18" x14ac:dyDescent="0.25">
      <c r="C142" s="17"/>
      <c r="D142" s="322" t="s">
        <v>422</v>
      </c>
      <c r="E142" s="66">
        <f>'[35]ST,D-D'!D29</f>
        <v>0</v>
      </c>
      <c r="F142" s="66">
        <f>'[35]ST,D-D'!E29</f>
        <v>0</v>
      </c>
      <c r="G142" s="66">
        <f>'[35]ST,D-D'!F29</f>
        <v>0</v>
      </c>
      <c r="H142" s="66">
        <f>'[35]ST,D-D'!G29</f>
        <v>0</v>
      </c>
      <c r="I142" s="66">
        <f>'[35]ST,D-D'!H29</f>
        <v>0</v>
      </c>
      <c r="J142" s="66">
        <f>'[35]ST,D-D'!I29</f>
        <v>0</v>
      </c>
      <c r="K142" s="66">
        <f>'[35]ST,D-D'!J29</f>
        <v>-98.813848208658783</v>
      </c>
      <c r="L142" s="66">
        <f>'[35]ST,D-D'!K29</f>
        <v>0</v>
      </c>
      <c r="M142" s="66">
        <f>'[35]ST,D-D'!L29</f>
        <v>0</v>
      </c>
      <c r="N142" s="66">
        <f>'[35]ST,D-D'!M29</f>
        <v>0</v>
      </c>
      <c r="O142" s="66">
        <f>'[35]ST,D-D'!N29</f>
        <v>0</v>
      </c>
      <c r="P142" s="66">
        <f>'[35]ST,D-D'!O29</f>
        <v>0</v>
      </c>
      <c r="Q142" s="17">
        <f>SUM(E142:P142)</f>
        <v>-98.813848208658783</v>
      </c>
    </row>
    <row r="143" spans="3:18" x14ac:dyDescent="0.25">
      <c r="C143" s="17"/>
      <c r="D143" s="17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17"/>
    </row>
    <row r="144" spans="3:18" x14ac:dyDescent="0.25">
      <c r="C144" s="17"/>
      <c r="D144" s="17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17"/>
    </row>
    <row r="145" spans="3:18" x14ac:dyDescent="0.25">
      <c r="C145" s="17"/>
      <c r="D145" s="17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17"/>
    </row>
    <row r="146" spans="3:18" x14ac:dyDescent="0.25">
      <c r="C146" s="17"/>
      <c r="D146" s="17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17"/>
    </row>
    <row r="147" spans="3:18" x14ac:dyDescent="0.25">
      <c r="C147" s="17"/>
      <c r="D147" s="17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17"/>
    </row>
    <row r="148" spans="3:18" x14ac:dyDescent="0.25">
      <c r="C148" s="17"/>
      <c r="D148" s="17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17"/>
    </row>
    <row r="149" spans="3:18" x14ac:dyDescent="0.25">
      <c r="C149" s="17"/>
      <c r="D149" s="17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17"/>
    </row>
    <row r="150" spans="3:18" x14ac:dyDescent="0.25">
      <c r="C150" s="17"/>
      <c r="D150" s="17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17"/>
    </row>
    <row r="151" spans="3:18" x14ac:dyDescent="0.25">
      <c r="C151" s="17"/>
      <c r="D151" s="17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17"/>
    </row>
    <row r="152" spans="3:18" x14ac:dyDescent="0.25">
      <c r="C152" s="753" t="s">
        <v>423</v>
      </c>
      <c r="D152" s="754"/>
      <c r="E152" s="17">
        <f t="shared" ref="E152:P152" si="15">SUM(E141:E151)</f>
        <v>0</v>
      </c>
      <c r="F152" s="17">
        <f t="shared" si="15"/>
        <v>0</v>
      </c>
      <c r="G152" s="17">
        <f t="shared" si="15"/>
        <v>0</v>
      </c>
      <c r="H152" s="17">
        <f t="shared" si="15"/>
        <v>0</v>
      </c>
      <c r="I152" s="17">
        <f t="shared" si="15"/>
        <v>0</v>
      </c>
      <c r="J152" s="17">
        <f t="shared" si="15"/>
        <v>0</v>
      </c>
      <c r="K152" s="17">
        <f t="shared" si="15"/>
        <v>-98.813848208658783</v>
      </c>
      <c r="L152" s="17">
        <f t="shared" si="15"/>
        <v>0</v>
      </c>
      <c r="M152" s="17">
        <f t="shared" si="15"/>
        <v>0</v>
      </c>
      <c r="N152" s="17">
        <f t="shared" si="15"/>
        <v>0</v>
      </c>
      <c r="O152" s="17">
        <f t="shared" si="15"/>
        <v>0</v>
      </c>
      <c r="P152" s="17">
        <f t="shared" si="15"/>
        <v>0</v>
      </c>
      <c r="Q152" s="86">
        <f>SUM(E152:P152)</f>
        <v>-98.813848208658783</v>
      </c>
      <c r="R152" s="427"/>
    </row>
    <row r="153" spans="3:18" x14ac:dyDescent="0.25">
      <c r="C153" s="800" t="s">
        <v>424</v>
      </c>
      <c r="D153" s="801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3:18" x14ac:dyDescent="0.25">
      <c r="C154" s="17" t="s">
        <v>425</v>
      </c>
      <c r="D154" s="322" t="s">
        <v>426</v>
      </c>
      <c r="E154" s="66" t="s">
        <v>472</v>
      </c>
      <c r="F154" s="66">
        <f>'[35]ST,D-D'!E31</f>
        <v>-638.22009050709221</v>
      </c>
      <c r="G154" s="66">
        <f>'[35]ST,D-D'!F31</f>
        <v>-660.96766373912988</v>
      </c>
      <c r="H154" s="66">
        <f>'[35]ST,D-D'!G31</f>
        <v>-572.23438007479149</v>
      </c>
      <c r="I154" s="66">
        <f>'[35]ST,D-D'!H31</f>
        <v>-706.41513561055854</v>
      </c>
      <c r="J154" s="66">
        <f>'[35]ST,D-D'!I31</f>
        <v>-681.54916852458337</v>
      </c>
      <c r="K154" s="66">
        <f>'[35]ST,D-D'!J31</f>
        <v>-685.25713523233298</v>
      </c>
      <c r="L154" s="66">
        <f>'[35]ST,D-D'!K31</f>
        <v>-622.45114767828363</v>
      </c>
      <c r="M154" s="66">
        <f>'[35]ST,D-D'!L31</f>
        <v>-443.51197135112943</v>
      </c>
      <c r="N154" s="66">
        <f>'[35]ST,D-D'!M31</f>
        <v>-426.17658938351497</v>
      </c>
      <c r="O154" s="66">
        <f>'[35]ST,D-D'!N31</f>
        <v>-59.748476047714121</v>
      </c>
      <c r="P154" s="66">
        <f>'[35]ST,D-D'!O31</f>
        <v>-59.932747906500481</v>
      </c>
      <c r="Q154" s="17">
        <f>SUM(E154:P154)</f>
        <v>-5556.4645060556313</v>
      </c>
      <c r="R154" s="427"/>
    </row>
    <row r="155" spans="3:18" x14ac:dyDescent="0.25">
      <c r="C155" s="17" t="s">
        <v>425</v>
      </c>
      <c r="D155" s="322" t="s">
        <v>427</v>
      </c>
      <c r="E155" s="66">
        <v>0</v>
      </c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17">
        <f>SUM(E155:P155)</f>
        <v>0</v>
      </c>
    </row>
    <row r="156" spans="3:18" x14ac:dyDescent="0.25">
      <c r="C156" s="17"/>
      <c r="D156" s="117" t="s">
        <v>463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>
        <f>SUM(E156:P156)</f>
        <v>0</v>
      </c>
    </row>
    <row r="157" spans="3:18" x14ac:dyDescent="0.25">
      <c r="C157" s="753" t="s">
        <v>428</v>
      </c>
      <c r="D157" s="754"/>
      <c r="E157" s="321">
        <f t="shared" ref="E157:P157" si="16">SUM(E154:E155)</f>
        <v>0</v>
      </c>
      <c r="F157" s="321">
        <f t="shared" si="16"/>
        <v>-638.22009050709221</v>
      </c>
      <c r="G157" s="321">
        <f t="shared" si="16"/>
        <v>-660.96766373912988</v>
      </c>
      <c r="H157" s="321">
        <f t="shared" si="16"/>
        <v>-572.23438007479149</v>
      </c>
      <c r="I157" s="321">
        <f t="shared" si="16"/>
        <v>-706.41513561055854</v>
      </c>
      <c r="J157" s="321">
        <f t="shared" si="16"/>
        <v>-681.54916852458337</v>
      </c>
      <c r="K157" s="321">
        <f t="shared" si="16"/>
        <v>-685.25713523233298</v>
      </c>
      <c r="L157" s="321">
        <f t="shared" si="16"/>
        <v>-622.45114767828363</v>
      </c>
      <c r="M157" s="321">
        <f t="shared" si="16"/>
        <v>-443.51197135112943</v>
      </c>
      <c r="N157" s="321">
        <f t="shared" si="16"/>
        <v>-426.17658938351497</v>
      </c>
      <c r="O157" s="321">
        <f t="shared" si="16"/>
        <v>-59.748476047714121</v>
      </c>
      <c r="P157" s="321">
        <f t="shared" si="16"/>
        <v>-59.932747906500481</v>
      </c>
      <c r="Q157" s="248">
        <f>Q154-Q155</f>
        <v>-5556.4645060556313</v>
      </c>
      <c r="R157" s="427"/>
    </row>
    <row r="158" spans="3:18" x14ac:dyDescent="0.25">
      <c r="C158" s="753" t="s">
        <v>220</v>
      </c>
      <c r="D158" s="754"/>
      <c r="E158" s="321">
        <f t="shared" ref="E158:Q158" si="17">E49+E94+E103+E113+E139+E152+E157</f>
        <v>3014.9338488729945</v>
      </c>
      <c r="F158" s="321">
        <f t="shared" si="17"/>
        <v>1654.1578140238703</v>
      </c>
      <c r="G158" s="321">
        <f t="shared" si="17"/>
        <v>1687.2975275893405</v>
      </c>
      <c r="H158" s="321">
        <f t="shared" si="17"/>
        <v>2013.8697312975362</v>
      </c>
      <c r="I158" s="321">
        <f t="shared" si="17"/>
        <v>2242.3351442411395</v>
      </c>
      <c r="J158" s="321">
        <f t="shared" si="17"/>
        <v>2197.6044631834875</v>
      </c>
      <c r="K158" s="321">
        <f t="shared" si="17"/>
        <v>2007.5467283904254</v>
      </c>
      <c r="L158" s="321">
        <f t="shared" si="17"/>
        <v>1877.2357993315682</v>
      </c>
      <c r="M158" s="321">
        <f t="shared" si="17"/>
        <v>2338.5652598829179</v>
      </c>
      <c r="N158" s="321">
        <f t="shared" si="17"/>
        <v>2636.4254455448236</v>
      </c>
      <c r="O158" s="321">
        <f t="shared" si="17"/>
        <v>2919.685068937812</v>
      </c>
      <c r="P158" s="321">
        <f t="shared" si="17"/>
        <v>3240.5879474394314</v>
      </c>
      <c r="Q158" s="248">
        <f t="shared" si="17"/>
        <v>27830.244778735349</v>
      </c>
      <c r="R158" s="427"/>
    </row>
    <row r="160" spans="3:18" x14ac:dyDescent="0.25">
      <c r="D160" s="22"/>
      <c r="E160" s="22"/>
    </row>
    <row r="161" spans="4:5" x14ac:dyDescent="0.25">
      <c r="D161" s="24"/>
      <c r="E161" s="24"/>
    </row>
    <row r="162" spans="4:5" x14ac:dyDescent="0.25">
      <c r="E162" s="24"/>
    </row>
    <row r="163" spans="4:5" x14ac:dyDescent="0.25">
      <c r="E163" s="24"/>
    </row>
  </sheetData>
  <mergeCells count="32">
    <mergeCell ref="C157:D157"/>
    <mergeCell ref="C158:D158"/>
    <mergeCell ref="C113:D113"/>
    <mergeCell ref="C114:D114"/>
    <mergeCell ref="C139:D139"/>
    <mergeCell ref="C140:D140"/>
    <mergeCell ref="C152:D152"/>
    <mergeCell ref="C153:D153"/>
    <mergeCell ref="C29:D29"/>
    <mergeCell ref="C30:C47"/>
    <mergeCell ref="C104:D104"/>
    <mergeCell ref="C49:D49"/>
    <mergeCell ref="C50:D50"/>
    <mergeCell ref="C51:D51"/>
    <mergeCell ref="C52:C60"/>
    <mergeCell ref="C77:D77"/>
    <mergeCell ref="C78:D78"/>
    <mergeCell ref="C79:C82"/>
    <mergeCell ref="C48:D48"/>
    <mergeCell ref="C93:D93"/>
    <mergeCell ref="C94:D94"/>
    <mergeCell ref="C95:D95"/>
    <mergeCell ref="C103:D103"/>
    <mergeCell ref="C8:D8"/>
    <mergeCell ref="C9:D9"/>
    <mergeCell ref="C10:C27"/>
    <mergeCell ref="C28:D28"/>
    <mergeCell ref="C2:P2"/>
    <mergeCell ref="C3:Q3"/>
    <mergeCell ref="C5:C7"/>
    <mergeCell ref="D5:D7"/>
    <mergeCell ref="E5:Q5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W518"/>
  <sheetViews>
    <sheetView showGridLines="0" topLeftCell="B464" zoomScale="58" workbookViewId="0">
      <selection activeCell="K17" sqref="K17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5.33203125" style="4" customWidth="1"/>
    <col min="5" max="7" width="16.44140625" style="4" hidden="1" customWidth="1"/>
    <col min="8" max="8" width="16.88671875" style="4" hidden="1" customWidth="1"/>
    <col min="9" max="9" width="13.88671875" style="4" hidden="1" customWidth="1"/>
    <col min="10" max="10" width="18.44140625" style="4" hidden="1" customWidth="1"/>
    <col min="11" max="11" width="13.44140625" style="4" hidden="1" customWidth="1"/>
    <col min="12" max="12" width="24.44140625" style="4" customWidth="1"/>
    <col min="13" max="13" width="12" style="4" hidden="1" customWidth="1"/>
    <col min="14" max="14" width="12.6640625" style="4" hidden="1" customWidth="1"/>
    <col min="15" max="15" width="18.44140625" style="4" hidden="1" customWidth="1"/>
    <col min="16" max="16" width="13.88671875" style="4" hidden="1" customWidth="1"/>
    <col min="17" max="17" width="13.88671875" style="4" bestFit="1" customWidth="1"/>
    <col min="18" max="20" width="11.88671875" style="4" bestFit="1" customWidth="1"/>
    <col min="21" max="21" width="11.44140625" style="4" bestFit="1" customWidth="1"/>
    <col min="22" max="22" width="12.44140625" style="4" customWidth="1"/>
    <col min="23" max="23" width="12.88671875" style="4" customWidth="1"/>
    <col min="24" max="16384" width="9.109375" style="4"/>
  </cols>
  <sheetData>
    <row r="2" spans="2:23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23" ht="14.25" customHeight="1" x14ac:dyDescent="0.25">
      <c r="C3" s="826" t="s">
        <v>614</v>
      </c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</row>
    <row r="4" spans="2:23" x14ac:dyDescent="0.25">
      <c r="C4" s="22" t="s">
        <v>615</v>
      </c>
      <c r="I4" s="25"/>
    </row>
    <row r="5" spans="2:23" x14ac:dyDescent="0.25">
      <c r="B5" s="14"/>
      <c r="C5" s="14"/>
      <c r="D5" s="57"/>
      <c r="E5" s="57"/>
      <c r="F5" s="57"/>
      <c r="G5" s="57"/>
      <c r="H5" s="57"/>
      <c r="I5" s="57"/>
      <c r="J5" s="57"/>
      <c r="K5" s="57"/>
      <c r="P5" s="15" t="s">
        <v>3</v>
      </c>
      <c r="W5" s="25"/>
    </row>
    <row r="6" spans="2:23" ht="15" hidden="1" customHeight="1" x14ac:dyDescent="0.25">
      <c r="B6" s="60"/>
      <c r="C6" s="827" t="s">
        <v>346</v>
      </c>
      <c r="D6" s="762" t="s">
        <v>347</v>
      </c>
      <c r="E6" s="755" t="s">
        <v>299</v>
      </c>
      <c r="F6" s="756"/>
      <c r="G6" s="757"/>
      <c r="H6" s="755" t="s">
        <v>300</v>
      </c>
      <c r="I6" s="756"/>
      <c r="J6" s="756"/>
      <c r="K6" s="756"/>
      <c r="L6" s="768" t="s">
        <v>9</v>
      </c>
      <c r="M6" s="768"/>
      <c r="N6" s="768"/>
      <c r="O6" s="768"/>
      <c r="P6" s="768"/>
    </row>
    <row r="7" spans="2:23" ht="33" customHeight="1" x14ac:dyDescent="0.25">
      <c r="B7" s="60"/>
      <c r="C7" s="828"/>
      <c r="D7" s="764"/>
      <c r="E7" s="7" t="s">
        <v>10</v>
      </c>
      <c r="F7" s="7" t="s">
        <v>11</v>
      </c>
      <c r="G7" s="7" t="s">
        <v>12</v>
      </c>
      <c r="H7" s="7" t="s">
        <v>10</v>
      </c>
      <c r="I7" s="7" t="s">
        <v>13</v>
      </c>
      <c r="J7" s="7" t="s">
        <v>14</v>
      </c>
      <c r="K7" s="7" t="s">
        <v>15</v>
      </c>
      <c r="L7" s="513" t="s">
        <v>1236</v>
      </c>
      <c r="M7" s="7" t="s">
        <v>616</v>
      </c>
      <c r="N7" s="7" t="s">
        <v>617</v>
      </c>
      <c r="O7" s="7" t="s">
        <v>618</v>
      </c>
      <c r="P7" s="7" t="s">
        <v>619</v>
      </c>
    </row>
    <row r="8" spans="2:23" ht="15" customHeight="1" x14ac:dyDescent="0.25">
      <c r="B8" s="60"/>
      <c r="C8" s="829"/>
      <c r="D8" s="766"/>
      <c r="E8" s="7" t="s">
        <v>21</v>
      </c>
      <c r="F8" s="7" t="s">
        <v>22</v>
      </c>
      <c r="G8" s="7" t="s">
        <v>23</v>
      </c>
      <c r="H8" s="7" t="s">
        <v>21</v>
      </c>
      <c r="I8" s="7" t="s">
        <v>24</v>
      </c>
      <c r="J8" s="7" t="s">
        <v>25</v>
      </c>
      <c r="K8" s="7" t="s">
        <v>25</v>
      </c>
      <c r="L8" s="7" t="s">
        <v>26</v>
      </c>
      <c r="M8" s="7" t="s">
        <v>26</v>
      </c>
      <c r="N8" s="7" t="s">
        <v>26</v>
      </c>
      <c r="O8" s="7" t="s">
        <v>26</v>
      </c>
      <c r="P8" s="7" t="s">
        <v>26</v>
      </c>
    </row>
    <row r="9" spans="2:23" x14ac:dyDescent="0.25">
      <c r="B9" s="60"/>
      <c r="C9" s="800" t="s">
        <v>348</v>
      </c>
      <c r="D9" s="801"/>
      <c r="E9" s="59"/>
      <c r="F9" s="59"/>
      <c r="G9" s="58"/>
      <c r="H9" s="59"/>
      <c r="I9" s="17"/>
      <c r="J9" s="17"/>
      <c r="K9" s="17"/>
      <c r="L9" s="17"/>
      <c r="M9" s="17"/>
      <c r="N9" s="17"/>
      <c r="O9" s="17"/>
      <c r="P9" s="17"/>
    </row>
    <row r="10" spans="2:23" x14ac:dyDescent="0.25">
      <c r="C10" s="753" t="s">
        <v>349</v>
      </c>
      <c r="D10" s="75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2:23" s="118" customFormat="1" ht="14.25" customHeight="1" x14ac:dyDescent="0.25">
      <c r="C11" s="802" t="s">
        <v>350</v>
      </c>
      <c r="D11" s="119" t="s">
        <v>351</v>
      </c>
      <c r="E11" s="120">
        <f>'[48]PP Cost'!$M$78</f>
        <v>360.1146</v>
      </c>
      <c r="F11" s="120">
        <f>'F13-Year(n-1)'!Q11</f>
        <v>419.07770706618169</v>
      </c>
      <c r="G11" s="120"/>
      <c r="H11" s="120">
        <f>'[49]PP Cost'!M80</f>
        <v>363.82529999999997</v>
      </c>
      <c r="I11" s="120">
        <f>SUM('F13-Year(n)'!E11:J11)</f>
        <v>243.44769512538676</v>
      </c>
      <c r="J11" s="120">
        <f>SUM('F13-Year(n)'!K11:P11)</f>
        <v>248.92487197668834</v>
      </c>
      <c r="K11" s="120">
        <f t="shared" ref="K11:K29" si="0">I11+J11</f>
        <v>492.3725671020751</v>
      </c>
      <c r="L11" s="120">
        <f>'F13-Year(n+2)'!Q11</f>
        <v>394.31672370111215</v>
      </c>
      <c r="M11" s="120" t="e">
        <f>#REF!</f>
        <v>#REF!</v>
      </c>
      <c r="N11" s="120">
        <f>'F13-Year(n+3)'!Q11</f>
        <v>414.64636176275906</v>
      </c>
      <c r="O11" s="120">
        <f>'F13-Year(n+4)'!Q11</f>
        <v>439.28757363094519</v>
      </c>
      <c r="P11" s="120">
        <f>'F13-Year(n+5)'!Q11</f>
        <v>483.48420784981204</v>
      </c>
    </row>
    <row r="12" spans="2:23" ht="14.25" customHeight="1" x14ac:dyDescent="0.25">
      <c r="B12" s="60"/>
      <c r="C12" s="803"/>
      <c r="D12" s="59" t="s">
        <v>352</v>
      </c>
      <c r="E12" s="109">
        <f>'[48]PP Cost'!$M$79</f>
        <v>414.57353999999992</v>
      </c>
      <c r="F12" s="120">
        <f>'F13-Year(n-1)'!Q12</f>
        <v>500.67684747511328</v>
      </c>
      <c r="G12" s="109"/>
      <c r="H12" s="109">
        <f>'[49]PP Cost'!M81</f>
        <v>395.10119999999995</v>
      </c>
      <c r="I12" s="120">
        <f>SUM('F13-Year(n)'!E12:J12)</f>
        <v>288.50635380314765</v>
      </c>
      <c r="J12" s="120">
        <f>SUM('F13-Year(n)'!K12:P12)</f>
        <v>258.5498641342092</v>
      </c>
      <c r="K12" s="66">
        <f t="shared" si="0"/>
        <v>547.05621793735691</v>
      </c>
      <c r="L12" s="66">
        <f>'F13-Year(n+2)'!Q12</f>
        <v>424.08744557413974</v>
      </c>
      <c r="M12" s="120" t="e">
        <f>#REF!</f>
        <v>#REF!</v>
      </c>
      <c r="N12" s="66">
        <f>'F13-Year(n+3)'!Q12</f>
        <v>413.45373004823625</v>
      </c>
      <c r="O12" s="66">
        <f>'F13-Year(n+4)'!Q12</f>
        <v>439.59838601883547</v>
      </c>
      <c r="P12" s="66">
        <f>'F13-Year(n+5)'!Q12</f>
        <v>481.71276414013477</v>
      </c>
    </row>
    <row r="13" spans="2:23" ht="14.25" customHeight="1" x14ac:dyDescent="0.25">
      <c r="B13" s="60"/>
      <c r="C13" s="803"/>
      <c r="D13" s="59" t="s">
        <v>353</v>
      </c>
      <c r="E13" s="109">
        <f>'[48]PP Cost'!$M$80</f>
        <v>712.86964499999999</v>
      </c>
      <c r="F13" s="120">
        <f>'F13-Year(n-1)'!Q13</f>
        <v>553.90149667420326</v>
      </c>
      <c r="G13" s="109"/>
      <c r="H13" s="109">
        <f>'[49]PP Cost'!M82</f>
        <v>772.85929499999997</v>
      </c>
      <c r="I13" s="120">
        <f>SUM('F13-Year(n)'!E13:J13)</f>
        <v>498.74730376064036</v>
      </c>
      <c r="J13" s="120">
        <f>SUM('F13-Year(n)'!K13:P13)</f>
        <v>490.55731114161216</v>
      </c>
      <c r="K13" s="66">
        <f t="shared" si="0"/>
        <v>989.30461490225252</v>
      </c>
      <c r="L13" s="66">
        <f>'F13-Year(n+2)'!Q13</f>
        <v>829.80799613294266</v>
      </c>
      <c r="M13" s="120" t="e">
        <f>#REF!</f>
        <v>#REF!</v>
      </c>
      <c r="N13" s="66">
        <f>'F13-Year(n+3)'!Q13</f>
        <v>841.67043729231852</v>
      </c>
      <c r="O13" s="66">
        <f>'F13-Year(n+4)'!Q13</f>
        <v>876.12759017242934</v>
      </c>
      <c r="P13" s="66">
        <f>'F13-Year(n+5)'!Q13</f>
        <v>942.1588034570841</v>
      </c>
    </row>
    <row r="14" spans="2:23" x14ac:dyDescent="0.25">
      <c r="B14" s="60"/>
      <c r="C14" s="803"/>
      <c r="D14" s="59" t="s">
        <v>354</v>
      </c>
      <c r="E14" s="109">
        <f>'[48]PP Cost'!$M$81</f>
        <v>65.873760000000004</v>
      </c>
      <c r="F14" s="120">
        <f>'F13-Year(n-1)'!Q14</f>
        <v>52.726378467089553</v>
      </c>
      <c r="G14" s="109"/>
      <c r="H14" s="109">
        <f>'[49]PP Cost'!M83</f>
        <v>61.476874999999993</v>
      </c>
      <c r="I14" s="120">
        <f>SUM('F13-Year(n)'!E14:J14)</f>
        <v>27.508458173129128</v>
      </c>
      <c r="J14" s="120">
        <f>SUM('F13-Year(n)'!K14:P14)</f>
        <v>23.676455069852075</v>
      </c>
      <c r="K14" s="66">
        <f t="shared" si="0"/>
        <v>51.184913242981203</v>
      </c>
      <c r="L14" s="66">
        <f>'F13-Year(n+2)'!Q14</f>
        <v>0</v>
      </c>
      <c r="M14" s="120" t="e">
        <f>#REF!</f>
        <v>#REF!</v>
      </c>
      <c r="N14" s="66">
        <f>'F13-Year(n+3)'!Q14</f>
        <v>75.777720236598697</v>
      </c>
      <c r="O14" s="66">
        <f>'F13-Year(n+4)'!Q14</f>
        <v>80.164670414269494</v>
      </c>
      <c r="P14" s="66">
        <f>'F13-Year(n+5)'!Q14</f>
        <v>87.727775876887065</v>
      </c>
    </row>
    <row r="15" spans="2:23" s="118" customFormat="1" ht="14.25" customHeight="1" x14ac:dyDescent="0.25">
      <c r="C15" s="803"/>
      <c r="D15" s="119" t="s">
        <v>355</v>
      </c>
      <c r="E15" s="120">
        <f>'[48]PP Cost'!$M$82</f>
        <v>429.72261999999995</v>
      </c>
      <c r="F15" s="120">
        <f>'F13-Year(n-1)'!Q15</f>
        <v>434.02471874589742</v>
      </c>
      <c r="G15" s="120"/>
      <c r="H15" s="120">
        <f>'[49]PP Cost'!M84</f>
        <v>354.96968499999997</v>
      </c>
      <c r="I15" s="120">
        <f>SUM('F13-Year(n)'!E15:J15)</f>
        <v>238.25752375942744</v>
      </c>
      <c r="J15" s="120">
        <f>SUM('F13-Year(n)'!K15:P15)</f>
        <v>249.31414919328</v>
      </c>
      <c r="K15" s="120">
        <f t="shared" si="0"/>
        <v>487.57167295270744</v>
      </c>
      <c r="L15" s="120">
        <f>'F13-Year(n+2)'!Q15</f>
        <v>408.80112701916352</v>
      </c>
      <c r="M15" s="120" t="e">
        <f>#REF!</f>
        <v>#REF!</v>
      </c>
      <c r="N15" s="120">
        <f>'F13-Year(n+3)'!Q15</f>
        <v>419.86014764524401</v>
      </c>
      <c r="O15" s="120">
        <f>'F13-Year(n+4)'!Q15</f>
        <v>449.44236640793997</v>
      </c>
      <c r="P15" s="120">
        <f>'F13-Year(n+5)'!Q15</f>
        <v>470.52611295926687</v>
      </c>
    </row>
    <row r="16" spans="2:23" ht="14.25" customHeight="1" x14ac:dyDescent="0.25">
      <c r="B16" s="60"/>
      <c r="C16" s="803"/>
      <c r="D16" s="59" t="s">
        <v>356</v>
      </c>
      <c r="E16" s="109">
        <f>'[48]PP Cost'!$M$83</f>
        <v>548.89499000000001</v>
      </c>
      <c r="F16" s="120">
        <f>'F13-Year(n-1)'!Q16</f>
        <v>613.26667398049199</v>
      </c>
      <c r="G16" s="109"/>
      <c r="H16" s="109">
        <f>'[49]PP Cost'!M85</f>
        <v>530.95405000000005</v>
      </c>
      <c r="I16" s="120">
        <f>SUM('F13-Year(n)'!E16:J16)</f>
        <v>316.676907843207</v>
      </c>
      <c r="J16" s="120">
        <f>SUM('F13-Year(n)'!K16:P16)</f>
        <v>329.59106861965483</v>
      </c>
      <c r="K16" s="66">
        <f t="shared" si="0"/>
        <v>646.26797646286184</v>
      </c>
      <c r="L16" s="66">
        <f>'F13-Year(n+2)'!Q16</f>
        <v>578.81599379653085</v>
      </c>
      <c r="M16" s="120" t="e">
        <f>#REF!</f>
        <v>#REF!</v>
      </c>
      <c r="N16" s="66">
        <f>'F13-Year(n+3)'!Q16</f>
        <v>571.84587744728719</v>
      </c>
      <c r="O16" s="66">
        <f>'F13-Year(n+4)'!Q16</f>
        <v>597.067112093383</v>
      </c>
      <c r="P16" s="66">
        <f>'F13-Year(n+5)'!Q16</f>
        <v>640.2023018781988</v>
      </c>
    </row>
    <row r="17" spans="2:16" x14ac:dyDescent="0.25">
      <c r="B17" s="60"/>
      <c r="C17" s="803"/>
      <c r="D17" s="59" t="s">
        <v>357</v>
      </c>
      <c r="E17" s="109">
        <f>'[48]PP Cost'!$M$84</f>
        <v>1081.8339699999999</v>
      </c>
      <c r="F17" s="120">
        <f>'F13-Year(n-1)'!Q17</f>
        <v>904.34130597777846</v>
      </c>
      <c r="G17" s="109"/>
      <c r="H17" s="109">
        <f>'[49]PP Cost'!M86</f>
        <v>920.66001000000006</v>
      </c>
      <c r="I17" s="120">
        <f>SUM('F13-Year(n)'!E17:J17)</f>
        <v>443.29905988806297</v>
      </c>
      <c r="J17" s="120">
        <f>SUM('F13-Year(n)'!K17:P17)</f>
        <v>537.66376393827409</v>
      </c>
      <c r="K17" s="66">
        <f t="shared" si="0"/>
        <v>980.96282382633706</v>
      </c>
      <c r="L17" s="66">
        <f>'F13-Year(n+2)'!Q17</f>
        <v>1171.5293429679577</v>
      </c>
      <c r="M17" s="120" t="e">
        <f>#REF!</f>
        <v>#REF!</v>
      </c>
      <c r="N17" s="66">
        <f>'F13-Year(n+3)'!Q17</f>
        <v>1213.6184966414157</v>
      </c>
      <c r="O17" s="66">
        <f>'F13-Year(n+4)'!Q17</f>
        <v>1260.5998066569955</v>
      </c>
      <c r="P17" s="66">
        <f>'F13-Year(n+5)'!Q17</f>
        <v>1331.6081001660473</v>
      </c>
    </row>
    <row r="18" spans="2:16" x14ac:dyDescent="0.25">
      <c r="B18" s="60"/>
      <c r="C18" s="803"/>
      <c r="D18" s="59" t="s">
        <v>358</v>
      </c>
      <c r="E18" s="109">
        <f>'[48]PP Cost'!$M$85</f>
        <v>0</v>
      </c>
      <c r="F18" s="120">
        <f>'F13-Year(n-1)'!Q18</f>
        <v>0</v>
      </c>
      <c r="G18" s="109"/>
      <c r="H18" s="109">
        <f>'[49]PP Cost'!M87</f>
        <v>95.765510000000006</v>
      </c>
      <c r="I18" s="120">
        <f>SUM('F13-Year(n)'!E18:J18)</f>
        <v>0</v>
      </c>
      <c r="J18" s="120">
        <f>SUM('F13-Year(n)'!K18:P18)</f>
        <v>0</v>
      </c>
      <c r="K18" s="66">
        <f t="shared" si="0"/>
        <v>0</v>
      </c>
      <c r="L18" s="66">
        <f>'F13-Year(n+2)'!Q18</f>
        <v>4496.0169054015969</v>
      </c>
      <c r="M18" s="120" t="e">
        <f>#REF!</f>
        <v>#REF!</v>
      </c>
      <c r="N18" s="66">
        <f>'F13-Year(n+3)'!Q18</f>
        <v>3885.9242633308322</v>
      </c>
      <c r="O18" s="66">
        <f>'F13-Year(n+4)'!Q18</f>
        <v>4000.2206484501535</v>
      </c>
      <c r="P18" s="66">
        <f>'F13-Year(n+5)'!Q18</f>
        <v>4157.4320958504477</v>
      </c>
    </row>
    <row r="19" spans="2:16" x14ac:dyDescent="0.25">
      <c r="B19" s="60"/>
      <c r="C19" s="803"/>
      <c r="D19" s="325" t="s">
        <v>620</v>
      </c>
      <c r="E19" s="109"/>
      <c r="F19" s="120">
        <f>'F13-Year(n-1)'!Q19</f>
        <v>7.023151036749999</v>
      </c>
      <c r="G19" s="109"/>
      <c r="H19" s="109"/>
      <c r="I19" s="120">
        <f>SUM('F13-Year(n)'!E19:J19)</f>
        <v>0</v>
      </c>
      <c r="J19" s="120">
        <f>SUM('F13-Year(n)'!K19:P19)</f>
        <v>0</v>
      </c>
      <c r="K19" s="66">
        <f t="shared" si="0"/>
        <v>0</v>
      </c>
      <c r="L19" s="66">
        <f>'F13-Year(n+2)'!Q19</f>
        <v>0</v>
      </c>
      <c r="M19" s="120" t="e">
        <f>#REF!</f>
        <v>#REF!</v>
      </c>
      <c r="N19" s="66">
        <f>'F13-Year(n+3)'!Q19</f>
        <v>0</v>
      </c>
      <c r="O19" s="66">
        <f>'F13-Year(n+4)'!Q19</f>
        <v>0</v>
      </c>
      <c r="P19" s="66">
        <f>'F13-Year(n+5)'!Q19</f>
        <v>0</v>
      </c>
    </row>
    <row r="20" spans="2:16" hidden="1" x14ac:dyDescent="0.25">
      <c r="B20" s="60"/>
      <c r="C20" s="803"/>
      <c r="D20" s="59"/>
      <c r="E20" s="109"/>
      <c r="F20" s="120">
        <f>'F13-Year(n-1)'!Q20</f>
        <v>0</v>
      </c>
      <c r="G20" s="109"/>
      <c r="H20" s="109"/>
      <c r="I20" s="120">
        <f>SUM('F13-Year(n)'!E20:J20)</f>
        <v>0</v>
      </c>
      <c r="J20" s="120">
        <f>SUM('F13-Year(n)'!K20:P20)</f>
        <v>0</v>
      </c>
      <c r="K20" s="66">
        <f t="shared" si="0"/>
        <v>0</v>
      </c>
      <c r="L20" s="66">
        <f>'F13-Year(n+2)'!Q20</f>
        <v>0</v>
      </c>
      <c r="M20" s="120" t="e">
        <f>#REF!</f>
        <v>#REF!</v>
      </c>
      <c r="N20" s="66">
        <f>'F13-Year(n+3)'!Q20</f>
        <v>0</v>
      </c>
      <c r="O20" s="66">
        <f>'F13-Year(n+4)'!Q20</f>
        <v>0</v>
      </c>
      <c r="P20" s="66">
        <f>'F13-Year(n+5)'!Q20</f>
        <v>0</v>
      </c>
    </row>
    <row r="21" spans="2:16" hidden="1" x14ac:dyDescent="0.25">
      <c r="B21" s="60"/>
      <c r="C21" s="803"/>
      <c r="D21" s="59"/>
      <c r="E21" s="109"/>
      <c r="F21" s="120">
        <f>'F13-Year(n-1)'!Q21</f>
        <v>0</v>
      </c>
      <c r="G21" s="109"/>
      <c r="H21" s="109"/>
      <c r="I21" s="120">
        <f>SUM('F13-Year(n)'!E21:J21)</f>
        <v>0</v>
      </c>
      <c r="J21" s="120">
        <f>SUM('F13-Year(n)'!K21:P21)</f>
        <v>0</v>
      </c>
      <c r="K21" s="66">
        <f t="shared" si="0"/>
        <v>0</v>
      </c>
      <c r="L21" s="66">
        <f>'F13-Year(n+2)'!Q21</f>
        <v>0</v>
      </c>
      <c r="M21" s="120" t="e">
        <f>#REF!</f>
        <v>#REF!</v>
      </c>
      <c r="N21" s="66">
        <f>'F13-Year(n+3)'!Q21</f>
        <v>0</v>
      </c>
      <c r="O21" s="66">
        <f>'F13-Year(n+4)'!Q21</f>
        <v>0</v>
      </c>
      <c r="P21" s="66">
        <f>'F13-Year(n+5)'!Q21</f>
        <v>0</v>
      </c>
    </row>
    <row r="22" spans="2:16" hidden="1" x14ac:dyDescent="0.25">
      <c r="B22" s="60"/>
      <c r="C22" s="803"/>
      <c r="D22" s="59"/>
      <c r="E22" s="109"/>
      <c r="F22" s="120">
        <f>'F13-Year(n-1)'!Q22</f>
        <v>0</v>
      </c>
      <c r="G22" s="109"/>
      <c r="H22" s="109"/>
      <c r="I22" s="120">
        <f>SUM('F13-Year(n)'!E22:J22)</f>
        <v>0</v>
      </c>
      <c r="J22" s="120">
        <f>SUM('F13-Year(n)'!K22:P22)</f>
        <v>0</v>
      </c>
      <c r="K22" s="66">
        <f t="shared" si="0"/>
        <v>0</v>
      </c>
      <c r="L22" s="66">
        <f>'F13-Year(n+2)'!Q22</f>
        <v>0</v>
      </c>
      <c r="M22" s="120" t="e">
        <f>#REF!</f>
        <v>#REF!</v>
      </c>
      <c r="N22" s="66">
        <f>'F13-Year(n+3)'!Q22</f>
        <v>0</v>
      </c>
      <c r="O22" s="66">
        <f>'F13-Year(n+4)'!Q22</f>
        <v>0</v>
      </c>
      <c r="P22" s="66">
        <f>'F13-Year(n+5)'!Q22</f>
        <v>0</v>
      </c>
    </row>
    <row r="23" spans="2:16" hidden="1" x14ac:dyDescent="0.25">
      <c r="B23" s="60"/>
      <c r="C23" s="803"/>
      <c r="D23" s="59"/>
      <c r="E23" s="109"/>
      <c r="F23" s="120">
        <f>'F13-Year(n-1)'!Q23</f>
        <v>0</v>
      </c>
      <c r="G23" s="109"/>
      <c r="H23" s="109"/>
      <c r="I23" s="120">
        <f>SUM('F13-Year(n)'!E23:J23)</f>
        <v>0</v>
      </c>
      <c r="J23" s="120">
        <f>SUM('F13-Year(n)'!K23:P23)</f>
        <v>0</v>
      </c>
      <c r="K23" s="66">
        <f t="shared" si="0"/>
        <v>0</v>
      </c>
      <c r="L23" s="66">
        <f>'F13-Year(n+2)'!Q23</f>
        <v>0</v>
      </c>
      <c r="M23" s="120" t="e">
        <f>#REF!</f>
        <v>#REF!</v>
      </c>
      <c r="N23" s="66">
        <f>'F13-Year(n+3)'!Q23</f>
        <v>0</v>
      </c>
      <c r="O23" s="66">
        <f>'F13-Year(n+4)'!Q23</f>
        <v>0</v>
      </c>
      <c r="P23" s="66">
        <f>'F13-Year(n+5)'!Q23</f>
        <v>0</v>
      </c>
    </row>
    <row r="24" spans="2:16" hidden="1" x14ac:dyDescent="0.25">
      <c r="B24" s="60"/>
      <c r="C24" s="803"/>
      <c r="D24" s="59"/>
      <c r="E24" s="109"/>
      <c r="F24" s="120">
        <f>'F13-Year(n-1)'!Q24</f>
        <v>0</v>
      </c>
      <c r="G24" s="109"/>
      <c r="H24" s="109"/>
      <c r="I24" s="120">
        <f>SUM('F13-Year(n)'!E24:J24)</f>
        <v>0</v>
      </c>
      <c r="J24" s="120">
        <f>SUM('F13-Year(n)'!K24:P24)</f>
        <v>0</v>
      </c>
      <c r="K24" s="66">
        <f t="shared" si="0"/>
        <v>0</v>
      </c>
      <c r="L24" s="66">
        <f>'F13-Year(n+2)'!Q24</f>
        <v>0</v>
      </c>
      <c r="M24" s="120" t="e">
        <f>#REF!</f>
        <v>#REF!</v>
      </c>
      <c r="N24" s="66">
        <f>'F13-Year(n+3)'!Q24</f>
        <v>0</v>
      </c>
      <c r="O24" s="66">
        <f>'F13-Year(n+4)'!Q24</f>
        <v>0</v>
      </c>
      <c r="P24" s="66">
        <f>'F13-Year(n+5)'!Q24</f>
        <v>0</v>
      </c>
    </row>
    <row r="25" spans="2:16" hidden="1" x14ac:dyDescent="0.25">
      <c r="B25" s="60"/>
      <c r="C25" s="803"/>
      <c r="D25" s="59"/>
      <c r="E25" s="109"/>
      <c r="F25" s="120">
        <f>'F13-Year(n-1)'!Q25</f>
        <v>0</v>
      </c>
      <c r="G25" s="109"/>
      <c r="H25" s="109"/>
      <c r="I25" s="120">
        <f>SUM('F13-Year(n)'!E25:J25)</f>
        <v>0</v>
      </c>
      <c r="J25" s="120">
        <f>SUM('F13-Year(n)'!K25:P25)</f>
        <v>0</v>
      </c>
      <c r="K25" s="66">
        <f t="shared" si="0"/>
        <v>0</v>
      </c>
      <c r="L25" s="66">
        <f>'F13-Year(n+2)'!Q25</f>
        <v>0</v>
      </c>
      <c r="M25" s="120" t="e">
        <f>#REF!</f>
        <v>#REF!</v>
      </c>
      <c r="N25" s="66">
        <f>'F13-Year(n+3)'!Q25</f>
        <v>0</v>
      </c>
      <c r="O25" s="66">
        <f>'F13-Year(n+4)'!Q25</f>
        <v>0</v>
      </c>
      <c r="P25" s="66">
        <f>'F13-Year(n+5)'!Q25</f>
        <v>0</v>
      </c>
    </row>
    <row r="26" spans="2:16" hidden="1" x14ac:dyDescent="0.25">
      <c r="B26" s="60"/>
      <c r="C26" s="803"/>
      <c r="D26" s="59"/>
      <c r="E26" s="109"/>
      <c r="F26" s="120">
        <f>'F13-Year(n-1)'!Q26</f>
        <v>0</v>
      </c>
      <c r="G26" s="109"/>
      <c r="H26" s="109"/>
      <c r="I26" s="120">
        <f>SUM('F13-Year(n)'!E26:J26)</f>
        <v>0</v>
      </c>
      <c r="J26" s="120">
        <f>SUM('F13-Year(n)'!K26:P26)</f>
        <v>0</v>
      </c>
      <c r="K26" s="66">
        <f t="shared" si="0"/>
        <v>0</v>
      </c>
      <c r="L26" s="66">
        <f>'F13-Year(n+2)'!Q26</f>
        <v>0</v>
      </c>
      <c r="M26" s="120" t="e">
        <f>#REF!</f>
        <v>#REF!</v>
      </c>
      <c r="N26" s="66">
        <f>'F13-Year(n+3)'!Q26</f>
        <v>0</v>
      </c>
      <c r="O26" s="66">
        <f>'F13-Year(n+4)'!Q26</f>
        <v>0</v>
      </c>
      <c r="P26" s="66">
        <f>'F13-Year(n+5)'!Q26</f>
        <v>0</v>
      </c>
    </row>
    <row r="27" spans="2:16" hidden="1" x14ac:dyDescent="0.25">
      <c r="B27" s="60"/>
      <c r="C27" s="803"/>
      <c r="D27" s="59"/>
      <c r="E27" s="109"/>
      <c r="F27" s="120">
        <f>'F13-Year(n-1)'!Q27</f>
        <v>0</v>
      </c>
      <c r="G27" s="109"/>
      <c r="H27" s="109"/>
      <c r="I27" s="120">
        <f>SUM('F13-Year(n)'!E27:J27)</f>
        <v>0</v>
      </c>
      <c r="J27" s="120">
        <f>SUM('F13-Year(n)'!K27:P27)</f>
        <v>0</v>
      </c>
      <c r="K27" s="66">
        <f t="shared" si="0"/>
        <v>0</v>
      </c>
      <c r="L27" s="66">
        <f>'F13-Year(n+2)'!Q27</f>
        <v>0</v>
      </c>
      <c r="M27" s="120" t="e">
        <f>#REF!</f>
        <v>#REF!</v>
      </c>
      <c r="N27" s="66">
        <f>'F13-Year(n+3)'!Q27</f>
        <v>0</v>
      </c>
      <c r="O27" s="66">
        <f>'F13-Year(n+4)'!Q27</f>
        <v>0</v>
      </c>
      <c r="P27" s="66">
        <f>'F13-Year(n+5)'!Q27</f>
        <v>0</v>
      </c>
    </row>
    <row r="28" spans="2:16" hidden="1" x14ac:dyDescent="0.25">
      <c r="B28" s="60"/>
      <c r="C28" s="804"/>
      <c r="D28" s="59"/>
      <c r="E28" s="109"/>
      <c r="F28" s="120">
        <f>'F13-Year(n-1)'!Q28</f>
        <v>0</v>
      </c>
      <c r="G28" s="109"/>
      <c r="H28" s="109"/>
      <c r="I28" s="120">
        <f>SUM('F13-Year(n)'!E28:J28)</f>
        <v>0</v>
      </c>
      <c r="J28" s="120">
        <f>SUM('F13-Year(n)'!K28:P28)</f>
        <v>0</v>
      </c>
      <c r="K28" s="66">
        <f t="shared" si="0"/>
        <v>0</v>
      </c>
      <c r="L28" s="66">
        <f>'F13-Year(n+2)'!Q28</f>
        <v>0</v>
      </c>
      <c r="M28" s="120" t="e">
        <f>#REF!</f>
        <v>#REF!</v>
      </c>
      <c r="N28" s="66">
        <f>'F13-Year(n+3)'!Q28</f>
        <v>0</v>
      </c>
      <c r="O28" s="66">
        <f>'F13-Year(n+4)'!Q28</f>
        <v>0</v>
      </c>
      <c r="P28" s="66">
        <f>'F13-Year(n+5)'!Q28</f>
        <v>0</v>
      </c>
    </row>
    <row r="29" spans="2:16" x14ac:dyDescent="0.25">
      <c r="C29" s="751" t="s">
        <v>212</v>
      </c>
      <c r="D29" s="752"/>
      <c r="E29" s="86">
        <f>SUM(E11:E28)</f>
        <v>3613.8831249999994</v>
      </c>
      <c r="F29" s="86">
        <f>SUM(F11:F28)</f>
        <v>3485.0382794235056</v>
      </c>
      <c r="G29" s="86">
        <f>F29-E29</f>
        <v>-128.84484557649375</v>
      </c>
      <c r="H29" s="86">
        <f>SUM(H11:H28)</f>
        <v>3495.6119250000002</v>
      </c>
      <c r="I29" s="86">
        <f>SUM(I11:I28)</f>
        <v>2056.4433023530009</v>
      </c>
      <c r="J29" s="86">
        <f>SUM('F13-Year(n)'!K29:P29)</f>
        <v>2138.277484073571</v>
      </c>
      <c r="K29" s="86">
        <f t="shared" si="0"/>
        <v>4194.720786426572</v>
      </c>
      <c r="L29" s="86">
        <f>'F13-Year(n+2)'!Q29</f>
        <v>8303.3755345934442</v>
      </c>
      <c r="M29" s="86" t="e">
        <f>#REF!</f>
        <v>#REF!</v>
      </c>
      <c r="N29" s="86">
        <f>'F13-Year(n+3)'!Q29</f>
        <v>7836.7970344046917</v>
      </c>
      <c r="O29" s="86">
        <f>'F13-Year(n+4)'!Q29</f>
        <v>8142.5081538449513</v>
      </c>
      <c r="P29" s="86">
        <f>'F13-Year(n+5)'!Q29</f>
        <v>8594.85216217788</v>
      </c>
    </row>
    <row r="30" spans="2:16" x14ac:dyDescent="0.25">
      <c r="C30" s="753" t="s">
        <v>359</v>
      </c>
      <c r="D30" s="754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</row>
    <row r="31" spans="2:16" x14ac:dyDescent="0.25">
      <c r="C31" s="805" t="s">
        <v>350</v>
      </c>
      <c r="D31" s="17" t="s">
        <v>360</v>
      </c>
      <c r="E31" s="66">
        <f>'[48]PP Cost'!$M$87</f>
        <v>18.332625</v>
      </c>
      <c r="F31" s="109">
        <f>'F13-Year(n-1)'!Q31</f>
        <v>0</v>
      </c>
      <c r="G31" s="66"/>
      <c r="H31" s="66">
        <f>'[49]PP Cost'!M89</f>
        <v>14.486454999999999</v>
      </c>
      <c r="I31" s="66">
        <f>SUM('F13-Year(n)'!E31:J31)</f>
        <v>0</v>
      </c>
      <c r="J31" s="66">
        <f>SUM('F13-Year(n)'!K31:P31)</f>
        <v>0</v>
      </c>
      <c r="K31" s="66">
        <f t="shared" ref="K31:K38" si="1">I31+J31</f>
        <v>0</v>
      </c>
      <c r="L31" s="66">
        <f>'F13-Year(n+2)'!Q31</f>
        <v>13.576449999999996</v>
      </c>
      <c r="M31" s="66" t="e">
        <f>#REF!</f>
        <v>#REF!</v>
      </c>
      <c r="N31" s="66">
        <f>'F13-Year(n+3)'!Q31</f>
        <v>0</v>
      </c>
      <c r="O31" s="66">
        <f>'F13-Year(n+4)'!Q31</f>
        <v>0</v>
      </c>
      <c r="P31" s="66">
        <f>'F13-Year(n+5)'!Q31</f>
        <v>0</v>
      </c>
    </row>
    <row r="32" spans="2:16" x14ac:dyDescent="0.25">
      <c r="C32" s="806"/>
      <c r="D32" s="17" t="s">
        <v>361</v>
      </c>
      <c r="E32" s="66">
        <f>'[48]PP Cost'!$M$88</f>
        <v>102.18561</v>
      </c>
      <c r="F32" s="109">
        <f>'F13-Year(n-1)'!Q32</f>
        <v>0</v>
      </c>
      <c r="G32" s="66"/>
      <c r="H32" s="66">
        <f>'[49]PP Cost'!M90</f>
        <v>94.664079999999998</v>
      </c>
      <c r="I32" s="66">
        <f>SUM('F13-Year(n)'!E32:J32)</f>
        <v>0</v>
      </c>
      <c r="J32" s="66">
        <f>SUM('F13-Year(n)'!K32:P32)</f>
        <v>0</v>
      </c>
      <c r="K32" s="66">
        <f t="shared" si="1"/>
        <v>0</v>
      </c>
      <c r="L32" s="66">
        <f>'F13-Year(n+2)'!Q32</f>
        <v>86.775503981269964</v>
      </c>
      <c r="M32" s="66" t="e">
        <f>#REF!</f>
        <v>#REF!</v>
      </c>
      <c r="N32" s="66">
        <f>'F13-Year(n+3)'!Q32</f>
        <v>0</v>
      </c>
      <c r="O32" s="66">
        <f>'F13-Year(n+4)'!Q32</f>
        <v>0</v>
      </c>
      <c r="P32" s="66">
        <f>'F13-Year(n+5)'!Q32</f>
        <v>0</v>
      </c>
    </row>
    <row r="33" spans="3:16" x14ac:dyDescent="0.25">
      <c r="C33" s="806"/>
      <c r="D33" s="17" t="s">
        <v>362</v>
      </c>
      <c r="E33" s="66">
        <f>'[48]PP Cost'!$M$89</f>
        <v>136.64211</v>
      </c>
      <c r="F33" s="109">
        <f>'F13-Year(n-1)'!Q33</f>
        <v>0</v>
      </c>
      <c r="G33" s="66"/>
      <c r="H33" s="66">
        <f>'[49]PP Cost'!M91</f>
        <v>125.106545</v>
      </c>
      <c r="I33" s="66">
        <f>SUM('F13-Year(n)'!E33:J33)</f>
        <v>0</v>
      </c>
      <c r="J33" s="66">
        <f>SUM('F13-Year(n)'!K33:P33)</f>
        <v>0</v>
      </c>
      <c r="K33" s="66">
        <f t="shared" si="1"/>
        <v>0</v>
      </c>
      <c r="L33" s="66">
        <f>'F13-Year(n+2)'!Q33</f>
        <v>112.05725000000001</v>
      </c>
      <c r="M33" s="66" t="e">
        <f>#REF!</f>
        <v>#REF!</v>
      </c>
      <c r="N33" s="66">
        <f>'F13-Year(n+3)'!Q33</f>
        <v>0</v>
      </c>
      <c r="O33" s="66">
        <f>'F13-Year(n+4)'!Q33</f>
        <v>0</v>
      </c>
      <c r="P33" s="66">
        <f>'F13-Year(n+5)'!Q33</f>
        <v>0</v>
      </c>
    </row>
    <row r="34" spans="3:16" x14ac:dyDescent="0.25">
      <c r="C34" s="806"/>
      <c r="D34" s="17" t="s">
        <v>363</v>
      </c>
      <c r="E34" s="66">
        <f>'[48]PP Cost'!$M$90</f>
        <v>78.148520000000005</v>
      </c>
      <c r="F34" s="109">
        <f>'F13-Year(n-1)'!Q34</f>
        <v>0</v>
      </c>
      <c r="G34" s="66"/>
      <c r="H34" s="66">
        <f>'[49]PP Cost'!M92</f>
        <v>76.187149999999988</v>
      </c>
      <c r="I34" s="66">
        <f>SUM('F13-Year(n)'!E34:J34)</f>
        <v>0</v>
      </c>
      <c r="J34" s="66">
        <f>SUM('F13-Year(n)'!K34:P34)</f>
        <v>0</v>
      </c>
      <c r="K34" s="66">
        <f t="shared" si="1"/>
        <v>0</v>
      </c>
      <c r="L34" s="66">
        <f>'F13-Year(n+2)'!Q34</f>
        <v>63.491254999999995</v>
      </c>
      <c r="M34" s="66" t="e">
        <f>#REF!</f>
        <v>#REF!</v>
      </c>
      <c r="N34" s="66">
        <f>'F13-Year(n+3)'!Q34</f>
        <v>0</v>
      </c>
      <c r="O34" s="66">
        <f>'F13-Year(n+4)'!Q34</f>
        <v>0</v>
      </c>
      <c r="P34" s="66">
        <f>'F13-Year(n+5)'!Q34</f>
        <v>0</v>
      </c>
    </row>
    <row r="35" spans="3:16" x14ac:dyDescent="0.25">
      <c r="C35" s="806"/>
      <c r="D35" s="17" t="s">
        <v>364</v>
      </c>
      <c r="E35" s="66">
        <f>'[48]PP Cost'!$M$91</f>
        <v>36.379584999999999</v>
      </c>
      <c r="F35" s="109">
        <f>'F13-Year(n-1)'!Q35</f>
        <v>0</v>
      </c>
      <c r="G35" s="66"/>
      <c r="H35" s="66">
        <f>'[49]PP Cost'!M93</f>
        <v>27.132284999999996</v>
      </c>
      <c r="I35" s="66">
        <f>SUM('F13-Year(n)'!E35:J35)</f>
        <v>0</v>
      </c>
      <c r="J35" s="66">
        <f>SUM('F13-Year(n)'!K35:P35)</f>
        <v>0</v>
      </c>
      <c r="K35" s="66">
        <f t="shared" si="1"/>
        <v>0</v>
      </c>
      <c r="L35" s="66">
        <f>'F13-Year(n+2)'!Q35</f>
        <v>27.585815000000007</v>
      </c>
      <c r="M35" s="66" t="e">
        <f>#REF!</f>
        <v>#REF!</v>
      </c>
      <c r="N35" s="66">
        <f>'F13-Year(n+3)'!Q35</f>
        <v>0</v>
      </c>
      <c r="O35" s="66">
        <f>'F13-Year(n+4)'!Q35</f>
        <v>0</v>
      </c>
      <c r="P35" s="66">
        <f>'F13-Year(n+5)'!Q35</f>
        <v>0</v>
      </c>
    </row>
    <row r="36" spans="3:16" x14ac:dyDescent="0.25">
      <c r="C36" s="806"/>
      <c r="D36" s="17" t="s">
        <v>365</v>
      </c>
      <c r="E36" s="66">
        <f>'[48]PP Cost'!$M$92</f>
        <v>3.0215699999999996</v>
      </c>
      <c r="F36" s="109">
        <f>'F13-Year(n-1)'!Q36</f>
        <v>0</v>
      </c>
      <c r="G36" s="66"/>
      <c r="H36" s="66">
        <f>'[49]PP Cost'!M94</f>
        <v>2.9980099999999998</v>
      </c>
      <c r="I36" s="66">
        <f>SUM('F13-Year(n)'!E36:J36)</f>
        <v>0</v>
      </c>
      <c r="J36" s="66">
        <f>SUM('F13-Year(n)'!K36:P36)</f>
        <v>0</v>
      </c>
      <c r="K36" s="66">
        <f t="shared" si="1"/>
        <v>0</v>
      </c>
      <c r="L36" s="66">
        <f>'F13-Year(n+2)'!Q36</f>
        <v>1.5019499999999999</v>
      </c>
      <c r="M36" s="66" t="e">
        <f>#REF!</f>
        <v>#REF!</v>
      </c>
      <c r="N36" s="66">
        <f>'F13-Year(n+3)'!Q36</f>
        <v>0</v>
      </c>
      <c r="O36" s="66">
        <f>'F13-Year(n+4)'!Q36</f>
        <v>0</v>
      </c>
      <c r="P36" s="66">
        <f>'F13-Year(n+5)'!Q36</f>
        <v>0</v>
      </c>
    </row>
    <row r="37" spans="3:16" x14ac:dyDescent="0.25">
      <c r="C37" s="806"/>
      <c r="D37" s="17" t="s">
        <v>366</v>
      </c>
      <c r="E37" s="66">
        <f>'[48]PP Cost'!$M$93</f>
        <v>14.498234999999998</v>
      </c>
      <c r="F37" s="109">
        <f>'F13-Year(n-1)'!Q37</f>
        <v>0</v>
      </c>
      <c r="G37" s="66"/>
      <c r="H37" s="66">
        <f>'[49]PP Cost'!M95</f>
        <v>16.818894999999998</v>
      </c>
      <c r="I37" s="66">
        <f>SUM('F13-Year(n)'!E37:J37)</f>
        <v>0</v>
      </c>
      <c r="J37" s="66">
        <f>SUM('F13-Year(n)'!K37:P37)</f>
        <v>0</v>
      </c>
      <c r="K37" s="66">
        <f t="shared" si="1"/>
        <v>0</v>
      </c>
      <c r="L37" s="66">
        <f>'F13-Year(n+2)'!Q37</f>
        <v>6.3836810187300177</v>
      </c>
      <c r="M37" s="66" t="e">
        <f>#REF!</f>
        <v>#REF!</v>
      </c>
      <c r="N37" s="66">
        <f>'F13-Year(n+3)'!Q37</f>
        <v>0</v>
      </c>
      <c r="O37" s="66">
        <f>'F13-Year(n+4)'!Q37</f>
        <v>0</v>
      </c>
      <c r="P37" s="66">
        <f>'F13-Year(n+5)'!Q37</f>
        <v>0</v>
      </c>
    </row>
    <row r="38" spans="3:16" x14ac:dyDescent="0.25">
      <c r="C38" s="806"/>
      <c r="D38" s="17" t="s">
        <v>367</v>
      </c>
      <c r="E38" s="66">
        <f>'[48]PP Cost'!$M$94</f>
        <v>2.7093999999999996</v>
      </c>
      <c r="F38" s="109">
        <f>'F13-Year(n-1)'!Q38</f>
        <v>0</v>
      </c>
      <c r="G38" s="66"/>
      <c r="H38" s="66">
        <f>'[49]PP Cost'!M96</f>
        <v>3.0215699999999996</v>
      </c>
      <c r="I38" s="66">
        <f>SUM('F13-Year(n)'!E38:J38)</f>
        <v>0</v>
      </c>
      <c r="J38" s="66">
        <f>SUM('F13-Year(n)'!K38:P38)</f>
        <v>0</v>
      </c>
      <c r="K38" s="66">
        <f t="shared" si="1"/>
        <v>0</v>
      </c>
      <c r="L38" s="66">
        <f>'F13-Year(n+2)'!Q38</f>
        <v>11.225751000000001</v>
      </c>
      <c r="M38" s="66" t="e">
        <f>#REF!</f>
        <v>#REF!</v>
      </c>
      <c r="N38" s="66">
        <f>'F13-Year(n+3)'!Q38</f>
        <v>0</v>
      </c>
      <c r="O38" s="66">
        <f>'F13-Year(n+4)'!Q38</f>
        <v>0</v>
      </c>
      <c r="P38" s="66">
        <f>'F13-Year(n+5)'!Q38</f>
        <v>0</v>
      </c>
    </row>
    <row r="39" spans="3:16" x14ac:dyDescent="0.25">
      <c r="C39" s="806"/>
      <c r="D39" s="17"/>
      <c r="E39" s="66"/>
      <c r="F39" s="109">
        <f>'F13-Year(n-1)'!Q39</f>
        <v>391.91765504908324</v>
      </c>
      <c r="G39" s="66"/>
      <c r="H39" s="66"/>
      <c r="I39" s="66">
        <f>SUM('F13-Year(n)'!E39:J39)</f>
        <v>0</v>
      </c>
      <c r="J39" s="66">
        <f>SUM('F13-Year(n)'!K39:P39)</f>
        <v>0</v>
      </c>
      <c r="K39" s="66">
        <v>0</v>
      </c>
      <c r="L39" s="66">
        <f>'F13-Year(n+2)'!Q39</f>
        <v>0</v>
      </c>
      <c r="M39" s="66" t="e">
        <f>#REF!</f>
        <v>#REF!</v>
      </c>
      <c r="N39" s="66">
        <f>'F13-Year(n+3)'!Q39</f>
        <v>0</v>
      </c>
      <c r="O39" s="66">
        <f>'F13-Year(n+4)'!Q39</f>
        <v>0</v>
      </c>
      <c r="P39" s="66">
        <f>'F13-Year(n+5)'!Q39</f>
        <v>0</v>
      </c>
    </row>
    <row r="40" spans="3:16" x14ac:dyDescent="0.25">
      <c r="C40" s="806"/>
      <c r="D40" s="325" t="s">
        <v>621</v>
      </c>
      <c r="E40" s="66"/>
      <c r="F40" s="109">
        <f>'F13-Year(n-1)'!Q40</f>
        <v>385.04108023560008</v>
      </c>
      <c r="G40" s="66"/>
      <c r="H40" s="66"/>
      <c r="I40" s="66">
        <f>SUM('F13-Year(n)'!E40:J40)</f>
        <v>171.99978000000002</v>
      </c>
      <c r="J40" s="66">
        <f>SUM('F13-Year(n)'!K40:P40)</f>
        <v>171.99978000000002</v>
      </c>
      <c r="K40" s="66">
        <f t="shared" ref="K40:K50" si="2">I40+J40</f>
        <v>343.99956000000003</v>
      </c>
      <c r="L40" s="66">
        <f>'F13-Year(n+2)'!Q40</f>
        <v>1.5019499999999999</v>
      </c>
      <c r="M40" s="66" t="e">
        <f>#REF!</f>
        <v>#REF!</v>
      </c>
      <c r="N40" s="66">
        <f>'F13-Year(n+3)'!Q40</f>
        <v>0</v>
      </c>
      <c r="O40" s="66">
        <f>'F13-Year(n+4)'!Q40</f>
        <v>0</v>
      </c>
      <c r="P40" s="66">
        <f>'F13-Year(n+5)'!Q40</f>
        <v>0</v>
      </c>
    </row>
    <row r="41" spans="3:16" x14ac:dyDescent="0.25">
      <c r="C41" s="806"/>
      <c r="D41" s="325" t="s">
        <v>622</v>
      </c>
      <c r="E41" s="66"/>
      <c r="F41" s="109">
        <f>'F13-Year(n-1)'!Q41</f>
        <v>336.51038957164997</v>
      </c>
      <c r="G41" s="66"/>
      <c r="H41" s="66"/>
      <c r="I41" s="66">
        <f>SUM('F13-Year(n)'!E41:J41)</f>
        <v>0</v>
      </c>
      <c r="J41" s="66">
        <f>SUM('F13-Year(n)'!K41:P41)</f>
        <v>0</v>
      </c>
      <c r="K41" s="66">
        <f t="shared" si="2"/>
        <v>0</v>
      </c>
      <c r="L41" s="66">
        <f>'F13-Year(n+2)'!Q41</f>
        <v>7.4838339999999972</v>
      </c>
      <c r="M41" s="66" t="e">
        <f>#REF!</f>
        <v>#REF!</v>
      </c>
      <c r="N41" s="66">
        <f>'F13-Year(n+3)'!Q41</f>
        <v>0</v>
      </c>
      <c r="O41" s="66">
        <f>'F13-Year(n+4)'!Q41</f>
        <v>0</v>
      </c>
      <c r="P41" s="66">
        <f>'F13-Year(n+5)'!Q41</f>
        <v>0</v>
      </c>
    </row>
    <row r="42" spans="3:16" x14ac:dyDescent="0.25">
      <c r="C42" s="806"/>
      <c r="D42" s="327" t="s">
        <v>623</v>
      </c>
      <c r="E42" s="66"/>
      <c r="F42" s="109">
        <f>'F13-Year(n-1)'!Q42</f>
        <v>0</v>
      </c>
      <c r="G42" s="66"/>
      <c r="H42" s="66"/>
      <c r="I42" s="66">
        <f>SUM('F13-Year(n)'!E42:J42)</f>
        <v>192.99542124999999</v>
      </c>
      <c r="J42" s="66">
        <f>SUM('F13-Year(n)'!K42:P42)</f>
        <v>192.99542124999999</v>
      </c>
      <c r="K42" s="66">
        <f t="shared" si="2"/>
        <v>385.99084249999999</v>
      </c>
      <c r="L42" s="66">
        <f>'F13-Year(n+2)'!Q42</f>
        <v>0</v>
      </c>
      <c r="M42" s="66" t="e">
        <f>#REF!</f>
        <v>#REF!</v>
      </c>
      <c r="N42" s="66">
        <f>'F13-Year(n+3)'!Q42</f>
        <v>0</v>
      </c>
      <c r="O42" s="66">
        <f>'F13-Year(n+4)'!Q42</f>
        <v>0</v>
      </c>
      <c r="P42" s="66">
        <f>'F13-Year(n+5)'!Q42</f>
        <v>0</v>
      </c>
    </row>
    <row r="43" spans="3:16" x14ac:dyDescent="0.25">
      <c r="C43" s="806"/>
      <c r="E43" s="66"/>
      <c r="F43" s="109">
        <f>'F13-Year(n-1)'!Q43</f>
        <v>0</v>
      </c>
      <c r="G43" s="66"/>
      <c r="H43" s="66"/>
      <c r="I43" s="66">
        <f>SUM('F13-Year(n)'!E43:J43)</f>
        <v>0</v>
      </c>
      <c r="J43" s="66">
        <f>SUM('F13-Year(n)'!K43:P43)</f>
        <v>0</v>
      </c>
      <c r="K43" s="66">
        <f t="shared" si="2"/>
        <v>0</v>
      </c>
      <c r="L43" s="66">
        <f>'F13-Year(n+2)'!Q43</f>
        <v>0</v>
      </c>
      <c r="M43" s="66" t="e">
        <f>#REF!</f>
        <v>#REF!</v>
      </c>
      <c r="N43" s="66">
        <f>'F13-Year(n+3)'!Q43</f>
        <v>0</v>
      </c>
      <c r="O43" s="66">
        <f>'F13-Year(n+4)'!Q43</f>
        <v>0</v>
      </c>
      <c r="P43" s="66">
        <f>'F13-Year(n+5)'!Q43</f>
        <v>0</v>
      </c>
    </row>
    <row r="44" spans="3:16" x14ac:dyDescent="0.25">
      <c r="C44" s="806"/>
      <c r="D44" s="17"/>
      <c r="E44" s="66"/>
      <c r="F44" s="109">
        <f>'F13-Year(n-1)'!Q44</f>
        <v>0</v>
      </c>
      <c r="G44" s="66"/>
      <c r="H44" s="66"/>
      <c r="I44" s="66">
        <f>SUM('F13-Year(n)'!E44:J44)</f>
        <v>0</v>
      </c>
      <c r="J44" s="66">
        <f>SUM('F13-Year(n)'!K44:P44)</f>
        <v>0</v>
      </c>
      <c r="K44" s="66">
        <f t="shared" si="2"/>
        <v>0</v>
      </c>
      <c r="L44" s="66">
        <f>'F13-Year(n+2)'!Q44</f>
        <v>438.64596999999998</v>
      </c>
      <c r="M44" s="66" t="e">
        <f>#REF!</f>
        <v>#REF!</v>
      </c>
      <c r="N44" s="66">
        <f>'F13-Year(n+3)'!Q44</f>
        <v>0</v>
      </c>
      <c r="O44" s="66">
        <f>'F13-Year(n+4)'!Q44</f>
        <v>0</v>
      </c>
      <c r="P44" s="66">
        <f>'F13-Year(n+5)'!Q44</f>
        <v>0</v>
      </c>
    </row>
    <row r="45" spans="3:16" x14ac:dyDescent="0.25">
      <c r="C45" s="806"/>
      <c r="D45" s="17"/>
      <c r="E45" s="66"/>
      <c r="F45" s="109">
        <f>'F13-Year(n-1)'!Q45</f>
        <v>0</v>
      </c>
      <c r="G45" s="66"/>
      <c r="H45" s="66"/>
      <c r="I45" s="66">
        <f>SUM('F13-Year(n)'!E45:J45)</f>
        <v>0</v>
      </c>
      <c r="J45" s="66">
        <f>SUM('F13-Year(n)'!K45:P45)</f>
        <v>0</v>
      </c>
      <c r="K45" s="66">
        <f t="shared" si="2"/>
        <v>0</v>
      </c>
      <c r="L45" s="66">
        <f>'F13-Year(n+2)'!Q45</f>
        <v>9.9099249999999994</v>
      </c>
      <c r="M45" s="66" t="e">
        <f>#REF!</f>
        <v>#REF!</v>
      </c>
      <c r="N45" s="66">
        <f>'F13-Year(n+3)'!Q45</f>
        <v>0</v>
      </c>
      <c r="O45" s="66">
        <f>'F13-Year(n+4)'!Q45</f>
        <v>0</v>
      </c>
      <c r="P45" s="66">
        <f>'F13-Year(n+5)'!Q45</f>
        <v>0</v>
      </c>
    </row>
    <row r="46" spans="3:16" x14ac:dyDescent="0.25">
      <c r="C46" s="806"/>
      <c r="D46" s="17" t="s">
        <v>624</v>
      </c>
      <c r="E46" s="66">
        <v>385</v>
      </c>
      <c r="F46" s="109">
        <f>'F13-Year(n-1)'!Q46</f>
        <v>0</v>
      </c>
      <c r="G46" s="66"/>
      <c r="H46" s="66">
        <f>'[49]PP Cost'!$M$97</f>
        <v>406.10666499999996</v>
      </c>
      <c r="I46" s="66">
        <f>SUM('F13-Year(n)'!E46:J46)</f>
        <v>0</v>
      </c>
      <c r="J46" s="66">
        <f>SUM('F13-Year(n)'!K46:P46)</f>
        <v>0</v>
      </c>
      <c r="K46" s="66">
        <f t="shared" si="2"/>
        <v>0</v>
      </c>
      <c r="L46" s="66">
        <f>'F13-Year(n+2)'!Q46</f>
        <v>0</v>
      </c>
      <c r="M46" s="66" t="e">
        <f>#REF!</f>
        <v>#REF!</v>
      </c>
      <c r="N46" s="66">
        <f>'F13-Year(n+3)'!Q46</f>
        <v>0</v>
      </c>
      <c r="O46" s="66">
        <f>'F13-Year(n+4)'!Q46</f>
        <v>0</v>
      </c>
      <c r="P46" s="66">
        <f>'F13-Year(n+5)'!Q46</f>
        <v>0</v>
      </c>
    </row>
    <row r="47" spans="3:16" x14ac:dyDescent="0.25">
      <c r="C47" s="806"/>
      <c r="D47" s="17"/>
      <c r="E47" s="66"/>
      <c r="F47" s="109">
        <f>'F13-Year(n-1)'!Q47</f>
        <v>0</v>
      </c>
      <c r="G47" s="66"/>
      <c r="H47" s="66"/>
      <c r="I47" s="66">
        <f>SUM('F13-Year(n)'!E47:J47)</f>
        <v>0</v>
      </c>
      <c r="J47" s="66">
        <f>SUM('F13-Year(n)'!K47:P47)</f>
        <v>0</v>
      </c>
      <c r="K47" s="66">
        <f t="shared" si="2"/>
        <v>0</v>
      </c>
      <c r="L47" s="66">
        <f>'F13-Year(n+2)'!Q47</f>
        <v>0</v>
      </c>
      <c r="M47" s="66" t="e">
        <f>#REF!</f>
        <v>#REF!</v>
      </c>
      <c r="N47" s="66">
        <f>'F13-Year(n+3)'!Q47</f>
        <v>0</v>
      </c>
      <c r="O47" s="66">
        <f>'F13-Year(n+4)'!Q47</f>
        <v>0</v>
      </c>
      <c r="P47" s="66">
        <f>'F13-Year(n+5)'!Q47</f>
        <v>0</v>
      </c>
    </row>
    <row r="48" spans="3:16" x14ac:dyDescent="0.25">
      <c r="C48" s="807"/>
      <c r="D48" s="107"/>
      <c r="E48" s="66"/>
      <c r="F48" s="109">
        <f>'F13-Year(n-1)'!Q48</f>
        <v>0</v>
      </c>
      <c r="G48" s="66"/>
      <c r="H48" s="66"/>
      <c r="I48" s="66">
        <v>0</v>
      </c>
      <c r="J48" s="66">
        <v>0</v>
      </c>
      <c r="K48" s="66">
        <f t="shared" si="2"/>
        <v>0</v>
      </c>
      <c r="L48" s="66">
        <f>'F13-Year(n+2)'!Q48</f>
        <v>0</v>
      </c>
      <c r="M48" s="66" t="e">
        <f>#REF!</f>
        <v>#REF!</v>
      </c>
      <c r="N48" s="66">
        <f>'F13-Year(n+3)'!Q48</f>
        <v>0</v>
      </c>
      <c r="O48" s="66">
        <f>'F13-Year(n+4)'!Q48</f>
        <v>0</v>
      </c>
      <c r="P48" s="66">
        <f>'F13-Year(n+5)'!Q48</f>
        <v>0</v>
      </c>
    </row>
    <row r="49" spans="3:16" x14ac:dyDescent="0.25">
      <c r="C49" s="751" t="s">
        <v>212</v>
      </c>
      <c r="D49" s="752"/>
      <c r="E49" s="86">
        <f>SUM(E31:E48)</f>
        <v>776.91765500000008</v>
      </c>
      <c r="F49" s="86">
        <f>SUM(F31:F48)</f>
        <v>1113.4691248563333</v>
      </c>
      <c r="G49" s="86">
        <f>F49-E49</f>
        <v>336.55146985633326</v>
      </c>
      <c r="H49" s="86">
        <f>SUM(H31:H48)</f>
        <v>766.52165500000001</v>
      </c>
      <c r="I49" s="86">
        <f>SUM(I31:I48)</f>
        <v>364.99520125000004</v>
      </c>
      <c r="J49" s="86">
        <f>SUM('F13-Year(n)'!K48:P48)</f>
        <v>364.99520124999992</v>
      </c>
      <c r="K49" s="86">
        <f t="shared" si="2"/>
        <v>729.99040249999996</v>
      </c>
      <c r="L49" s="86">
        <f>'F13-Year(n+2)'!Q49</f>
        <v>780.13933499999996</v>
      </c>
      <c r="M49" s="86" t="e">
        <f>#REF!</f>
        <v>#REF!</v>
      </c>
      <c r="N49" s="86">
        <f>'F13-Year(n+3)'!Q49</f>
        <v>981.60089499999992</v>
      </c>
      <c r="O49" s="86">
        <f>'F13-Year(n+4)'!Q49</f>
        <v>1037.608905</v>
      </c>
      <c r="P49" s="86">
        <f>'F13-Year(n+5)'!Q49</f>
        <v>1093.1250999999997</v>
      </c>
    </row>
    <row r="50" spans="3:16" x14ac:dyDescent="0.25">
      <c r="C50" s="753" t="s">
        <v>368</v>
      </c>
      <c r="D50" s="754"/>
      <c r="E50" s="86">
        <f>E29+E49</f>
        <v>4390.8007799999996</v>
      </c>
      <c r="F50" s="86">
        <f>F29+F49</f>
        <v>4598.5074042798387</v>
      </c>
      <c r="G50" s="86">
        <f>F50-E50</f>
        <v>207.70662427983916</v>
      </c>
      <c r="H50" s="86">
        <f>H29+H49</f>
        <v>4262.1335799999997</v>
      </c>
      <c r="I50" s="86">
        <f>I29+I49</f>
        <v>2421.4385036030008</v>
      </c>
      <c r="J50" s="86">
        <f>SUM('F13-Year(n)'!K49:P49)</f>
        <v>2503.2726853235708</v>
      </c>
      <c r="K50" s="86">
        <f t="shared" si="2"/>
        <v>4924.7111889265716</v>
      </c>
      <c r="L50" s="86">
        <f>'F13-Year(n+2)'!Q50</f>
        <v>9083.514869593444</v>
      </c>
      <c r="M50" s="86" t="e">
        <f>#REF!</f>
        <v>#REF!</v>
      </c>
      <c r="N50" s="86">
        <f>'F13-Year(n+3)'!Q50</f>
        <v>8818.3979294046912</v>
      </c>
      <c r="O50" s="86">
        <f>'F13-Year(n+4)'!Q50</f>
        <v>9180.1170588449513</v>
      </c>
      <c r="P50" s="86">
        <f>'F13-Year(n+5)'!Q50</f>
        <v>9687.9772621778793</v>
      </c>
    </row>
    <row r="51" spans="3:16" x14ac:dyDescent="0.25">
      <c r="C51" s="800" t="s">
        <v>369</v>
      </c>
      <c r="D51" s="801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</row>
    <row r="52" spans="3:16" x14ac:dyDescent="0.25">
      <c r="C52" s="753" t="s">
        <v>349</v>
      </c>
      <c r="D52" s="754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</row>
    <row r="53" spans="3:16" s="118" customFormat="1" x14ac:dyDescent="0.25">
      <c r="C53" s="805" t="s">
        <v>370</v>
      </c>
      <c r="D53" s="119" t="s">
        <v>371</v>
      </c>
      <c r="E53" s="120">
        <f>'[48]PP Cost'!$M$98</f>
        <v>259.27190999999999</v>
      </c>
      <c r="F53" s="120">
        <f>'F13-Year(n-1)'!Q53</f>
        <v>287.566252617369</v>
      </c>
      <c r="G53" s="120"/>
      <c r="H53" s="120">
        <f>'[49]PP Cost'!M100</f>
        <v>215.65940499999999</v>
      </c>
      <c r="I53" s="120">
        <f>SUM('F13-Year(n)'!E52:J52)</f>
        <v>150.51500225100111</v>
      </c>
      <c r="J53" s="120">
        <f>SUM('F13-Year(n)'!K52:P52)</f>
        <v>145.2040919849785</v>
      </c>
      <c r="K53" s="120">
        <f t="shared" ref="K53:K78" si="3">I53+J53</f>
        <v>295.71909423597958</v>
      </c>
      <c r="L53" s="120">
        <f>'F13-Year(n+2)'!Q53</f>
        <v>260.05690457018056</v>
      </c>
      <c r="M53" s="120" t="e">
        <f>#REF!</f>
        <v>#REF!</v>
      </c>
      <c r="N53" s="120">
        <f>'F13-Year(n+3)'!Q53</f>
        <v>262.47475651970183</v>
      </c>
      <c r="O53" s="120">
        <f>'F13-Year(n+4)'!Q53</f>
        <v>274.76869611285866</v>
      </c>
      <c r="P53" s="120">
        <f>'F13-Year(n+5)'!Q53</f>
        <v>306.24181527470523</v>
      </c>
    </row>
    <row r="54" spans="3:16" x14ac:dyDescent="0.25">
      <c r="C54" s="806"/>
      <c r="D54" s="17" t="s">
        <v>372</v>
      </c>
      <c r="E54" s="66">
        <f>'[48]PP Cost'!$M$99</f>
        <v>70.108669999999989</v>
      </c>
      <c r="F54" s="120">
        <f>'F13-Year(n-1)'!Q54</f>
        <v>65.681143236159642</v>
      </c>
      <c r="G54" s="66"/>
      <c r="H54" s="66">
        <f>'[49]PP Cost'!M101</f>
        <v>52.609479999999998</v>
      </c>
      <c r="I54" s="120">
        <f>SUM('F13-Year(n)'!E53:J53)</f>
        <v>37.70746005369805</v>
      </c>
      <c r="J54" s="120">
        <f>SUM('F13-Year(n)'!K53:P53)</f>
        <v>36.360423581621411</v>
      </c>
      <c r="K54" s="66">
        <f t="shared" si="3"/>
        <v>74.067883635319461</v>
      </c>
      <c r="L54" s="66">
        <f>'F13-Year(n+2)'!Q54</f>
        <v>63.011801736993824</v>
      </c>
      <c r="M54" s="66" t="e">
        <f>#REF!</f>
        <v>#REF!</v>
      </c>
      <c r="N54" s="66">
        <f>'F13-Year(n+3)'!Q54</f>
        <v>62.545754037408592</v>
      </c>
      <c r="O54" s="66">
        <f>'F13-Year(n+4)'!Q54</f>
        <v>63.949484893698944</v>
      </c>
      <c r="P54" s="66">
        <f>'F13-Year(n+5)'!Q54</f>
        <v>70.321770433227414</v>
      </c>
    </row>
    <row r="55" spans="3:16" x14ac:dyDescent="0.25">
      <c r="C55" s="806"/>
      <c r="D55" s="17" t="s">
        <v>373</v>
      </c>
      <c r="E55" s="66">
        <f>'[48]PP Cost'!$M$100</f>
        <v>114.15409</v>
      </c>
      <c r="F55" s="120">
        <f>'F13-Year(n-1)'!Q55</f>
        <v>150.20086262675508</v>
      </c>
      <c r="G55" s="66"/>
      <c r="H55" s="66">
        <f>'[49]PP Cost'!M102</f>
        <v>114.51632499999999</v>
      </c>
      <c r="I55" s="120">
        <f>SUM('F13-Year(n)'!E54:J54)</f>
        <v>76.033970853027952</v>
      </c>
      <c r="J55" s="120">
        <f>SUM('F13-Year(n)'!K54:P54)</f>
        <v>68.097028154716597</v>
      </c>
      <c r="K55" s="66">
        <f t="shared" si="3"/>
        <v>144.13099900774455</v>
      </c>
      <c r="L55" s="66">
        <f>'F13-Year(n+2)'!Q55</f>
        <v>117.39203071263792</v>
      </c>
      <c r="M55" s="66" t="e">
        <f>#REF!</f>
        <v>#REF!</v>
      </c>
      <c r="N55" s="66">
        <f>'F13-Year(n+3)'!Q55</f>
        <v>135.95226974189049</v>
      </c>
      <c r="O55" s="66">
        <f>'F13-Year(n+4)'!Q55</f>
        <v>142.16885173297345</v>
      </c>
      <c r="P55" s="66">
        <f>'F13-Year(n+5)'!Q55</f>
        <v>149.40190051135744</v>
      </c>
    </row>
    <row r="56" spans="3:16" x14ac:dyDescent="0.25">
      <c r="C56" s="806"/>
      <c r="D56" s="17" t="s">
        <v>374</v>
      </c>
      <c r="E56" s="66">
        <f>'[48]PP Cost'!$M$101</f>
        <v>444.88053500000001</v>
      </c>
      <c r="F56" s="120">
        <f>'F13-Year(n-1)'!Q56</f>
        <v>625.39594422382083</v>
      </c>
      <c r="G56" s="66"/>
      <c r="H56" s="66">
        <f>'[49]PP Cost'!M103</f>
        <v>351.68306499999994</v>
      </c>
      <c r="I56" s="120">
        <f>SUM('F13-Year(n)'!E55:J55)</f>
        <v>258.47547915055753</v>
      </c>
      <c r="J56" s="120">
        <f>SUM('F13-Year(n)'!K55:P55)</f>
        <v>253.48465220672713</v>
      </c>
      <c r="K56" s="66">
        <f t="shared" si="3"/>
        <v>511.96013135728469</v>
      </c>
      <c r="L56" s="66">
        <f>'F13-Year(n+2)'!Q56</f>
        <v>425.19719799599812</v>
      </c>
      <c r="M56" s="66" t="e">
        <f>#REF!</f>
        <v>#REF!</v>
      </c>
      <c r="N56" s="66">
        <f>'F13-Year(n+3)'!Q56</f>
        <v>389.06864884393275</v>
      </c>
      <c r="O56" s="66">
        <f>'F13-Year(n+4)'!Q56</f>
        <v>405.29057711734913</v>
      </c>
      <c r="P56" s="66">
        <f>'F13-Year(n+5)'!Q56</f>
        <v>449.25610831949274</v>
      </c>
    </row>
    <row r="57" spans="3:16" x14ac:dyDescent="0.25">
      <c r="C57" s="806"/>
      <c r="D57" s="17" t="s">
        <v>375</v>
      </c>
      <c r="E57" s="66">
        <f>'[48]PP Cost'!$M$102</f>
        <v>231.77738999999997</v>
      </c>
      <c r="F57" s="120">
        <f>'F13-Year(n-1)'!Q57</f>
        <v>304.73178253273596</v>
      </c>
      <c r="G57" s="66"/>
      <c r="H57" s="66">
        <f>'[49]PP Cost'!M104</f>
        <v>203.36402999999999</v>
      </c>
      <c r="I57" s="120">
        <f>SUM('F13-Year(n)'!E56:J56)</f>
        <v>120.2782102970601</v>
      </c>
      <c r="J57" s="120">
        <f>SUM('F13-Year(n)'!K56:P56)</f>
        <v>141.95195623920804</v>
      </c>
      <c r="K57" s="66">
        <f t="shared" si="3"/>
        <v>262.23016653626814</v>
      </c>
      <c r="L57" s="66">
        <f>'F13-Year(n+2)'!Q57</f>
        <v>229.87868324711471</v>
      </c>
      <c r="M57" s="66" t="e">
        <f>#REF!</f>
        <v>#REF!</v>
      </c>
      <c r="N57" s="66">
        <f>'F13-Year(n+3)'!Q57</f>
        <v>241.8523688280207</v>
      </c>
      <c r="O57" s="66">
        <f>'F13-Year(n+4)'!Q57</f>
        <v>250.54109999948957</v>
      </c>
      <c r="P57" s="66">
        <f>'F13-Year(n+5)'!Q57</f>
        <v>274.36532540995137</v>
      </c>
    </row>
    <row r="58" spans="3:16" x14ac:dyDescent="0.25">
      <c r="C58" s="806"/>
      <c r="D58" s="17" t="s">
        <v>376</v>
      </c>
      <c r="E58" s="66">
        <f>'[48]PP Cost'!$M$103</f>
        <v>263.15047499999997</v>
      </c>
      <c r="F58" s="120">
        <f>'F13-Year(n-1)'!Q58</f>
        <v>287.83581656570669</v>
      </c>
      <c r="G58" s="66"/>
      <c r="H58" s="66">
        <f>'[49]PP Cost'!M105</f>
        <v>249.550465</v>
      </c>
      <c r="I58" s="120">
        <f>SUM('F13-Year(n)'!E57:J57)</f>
        <v>115.19019883853366</v>
      </c>
      <c r="J58" s="120">
        <f>SUM('F13-Year(n)'!K57:P57)</f>
        <v>104.00865187823182</v>
      </c>
      <c r="K58" s="66">
        <f t="shared" si="3"/>
        <v>219.19885071676549</v>
      </c>
      <c r="L58" s="66">
        <f>'F13-Year(n+2)'!Q58</f>
        <v>292.37984799469928</v>
      </c>
      <c r="M58" s="66" t="e">
        <f>#REF!</f>
        <v>#REF!</v>
      </c>
      <c r="N58" s="66">
        <f>'F13-Year(n+3)'!Q58</f>
        <v>289.20866384001704</v>
      </c>
      <c r="O58" s="66">
        <f>'F13-Year(n+4)'!Q58</f>
        <v>303.07492033045946</v>
      </c>
      <c r="P58" s="66">
        <f>'F13-Year(n+5)'!Q58</f>
        <v>330.76330015817069</v>
      </c>
    </row>
    <row r="59" spans="3:16" x14ac:dyDescent="0.25">
      <c r="C59" s="806"/>
      <c r="D59" s="17" t="s">
        <v>377</v>
      </c>
      <c r="E59" s="66">
        <f>'[48]PP Cost'!$M$116</f>
        <v>45.750574999999998</v>
      </c>
      <c r="F59" s="120">
        <f>'F13-Year(n-1)'!Q59</f>
        <v>230.96753068506996</v>
      </c>
      <c r="G59" s="66"/>
      <c r="H59" s="66">
        <f>'[49]PP Cost'!M120</f>
        <v>35.448965000000001</v>
      </c>
      <c r="I59" s="120">
        <f>SUM('F13-Year(n)'!E58:J58)</f>
        <v>118.43880429452508</v>
      </c>
      <c r="J59" s="120">
        <f>SUM('F13-Year(n)'!K58:P58)</f>
        <v>119.57927487779999</v>
      </c>
      <c r="K59" s="66">
        <f t="shared" si="3"/>
        <v>238.01807917232509</v>
      </c>
      <c r="L59" s="66">
        <f>'F13-Year(n+2)'!Q59</f>
        <v>28.148333710498395</v>
      </c>
      <c r="M59" s="66" t="e">
        <f>#REF!</f>
        <v>#REF!</v>
      </c>
      <c r="N59" s="66">
        <f>'F13-Year(n+3)'!Q59</f>
        <v>27.816035105489636</v>
      </c>
      <c r="O59" s="66">
        <f>'F13-Year(n+4)'!Q59</f>
        <v>29.831791689561694</v>
      </c>
      <c r="P59" s="66">
        <f>'F13-Year(n+5)'!Q59</f>
        <v>34.180362021417551</v>
      </c>
    </row>
    <row r="60" spans="3:16" x14ac:dyDescent="0.25">
      <c r="C60" s="806"/>
      <c r="D60" s="17" t="s">
        <v>378</v>
      </c>
      <c r="E60" s="66">
        <f>'[48]PP Cost'!$M$117</f>
        <v>161.74529000000001</v>
      </c>
      <c r="F60" s="120">
        <f>'F13-Year(n-1)'!Q60</f>
        <v>59.216796275909232</v>
      </c>
      <c r="G60" s="66"/>
      <c r="H60" s="66">
        <f>'[49]PP Cost'!M121</f>
        <v>265.59776999999997</v>
      </c>
      <c r="I60" s="120">
        <f>SUM('F13-Year(n)'!E59:J59)</f>
        <v>24.521469866876004</v>
      </c>
      <c r="J60" s="120">
        <f>SUM('F13-Year(n)'!K59:P59)</f>
        <v>26.78190599974576</v>
      </c>
      <c r="K60" s="66">
        <f t="shared" si="3"/>
        <v>51.303375866621764</v>
      </c>
      <c r="L60" s="66">
        <f>'F13-Year(n+2)'!Q60</f>
        <v>160.08943013484873</v>
      </c>
      <c r="M60" s="66" t="e">
        <f>#REF!</f>
        <v>#REF!</v>
      </c>
      <c r="N60" s="66">
        <f>'F13-Year(n+3)'!Q60</f>
        <v>158.67065704067159</v>
      </c>
      <c r="O60" s="66">
        <f>'F13-Year(n+4)'!Q60</f>
        <v>169.07495922033277</v>
      </c>
      <c r="P60" s="66">
        <f>'F13-Year(n+5)'!Q60</f>
        <v>191.00328254582178</v>
      </c>
    </row>
    <row r="61" spans="3:16" x14ac:dyDescent="0.25">
      <c r="C61" s="807"/>
      <c r="D61" s="17" t="s">
        <v>379</v>
      </c>
      <c r="E61" s="66">
        <f>'[48]PP Cost'!$M$107</f>
        <v>437.78602999999998</v>
      </c>
      <c r="F61" s="120">
        <f>'F13-Year(n-1)'!Q61</f>
        <v>0</v>
      </c>
      <c r="G61" s="66"/>
      <c r="H61" s="66">
        <f>'[49]PP Cost'!$M$111</f>
        <v>925.84909999999991</v>
      </c>
      <c r="I61" s="120">
        <f>SUM('F13-Year(n)'!E60:J60)</f>
        <v>0.95090881179999998</v>
      </c>
      <c r="J61" s="120">
        <f>SUM('F13-Year(n)'!K60:P60)</f>
        <v>405.04278287685281</v>
      </c>
      <c r="K61" s="66">
        <f t="shared" si="3"/>
        <v>405.9936916886528</v>
      </c>
      <c r="L61" s="66">
        <f>'F13-Year(n+2)'!Q61</f>
        <v>706.6232617626199</v>
      </c>
      <c r="M61" s="66" t="e">
        <f>#REF!</f>
        <v>#REF!</v>
      </c>
      <c r="N61" s="66">
        <f>'F13-Year(n+3)'!Q61</f>
        <v>767.51994635534027</v>
      </c>
      <c r="O61" s="66">
        <f>'F13-Year(n+4)'!Q61</f>
        <v>810.08136920277263</v>
      </c>
      <c r="P61" s="66">
        <f>'F13-Year(n+5)'!Q61</f>
        <v>837.55787999520226</v>
      </c>
    </row>
    <row r="62" spans="3:16" x14ac:dyDescent="0.25">
      <c r="C62" s="17"/>
      <c r="D62" s="17" t="s">
        <v>380</v>
      </c>
      <c r="E62" s="66">
        <f>'[48]PP Cost'!$M$104</f>
        <v>38.311504999999997</v>
      </c>
      <c r="F62" s="120">
        <f>'F13-Year(n-1)'!Q62</f>
        <v>39.945702669894594</v>
      </c>
      <c r="G62" s="66"/>
      <c r="H62" s="66">
        <f>'[49]PP Cost'!$M$106</f>
        <v>3.5457800000000002</v>
      </c>
      <c r="I62" s="120">
        <f>SUM('F13-Year(n)'!E61:J61)</f>
        <v>17.338577445344587</v>
      </c>
      <c r="J62" s="120">
        <f>SUM('F13-Year(n)'!K61:P61)</f>
        <v>3.7870674888860956</v>
      </c>
      <c r="K62" s="66">
        <f t="shared" si="3"/>
        <v>21.125644934230682</v>
      </c>
      <c r="L62" s="66">
        <f>'F13-Year(n+2)'!Q62</f>
        <v>685.89548948863535</v>
      </c>
      <c r="M62" s="66" t="e">
        <f>#REF!</f>
        <v>#REF!</v>
      </c>
      <c r="N62" s="66">
        <f>'F13-Year(n+3)'!Q62</f>
        <v>755.20451168655518</v>
      </c>
      <c r="O62" s="66">
        <f>'F13-Year(n+4)'!Q62</f>
        <v>798.05032561592725</v>
      </c>
      <c r="P62" s="66">
        <f>'F13-Year(n+5)'!Q62</f>
        <v>829.52717926077958</v>
      </c>
    </row>
    <row r="63" spans="3:16" x14ac:dyDescent="0.25">
      <c r="C63" s="17"/>
      <c r="D63" s="17" t="s">
        <v>381</v>
      </c>
      <c r="E63" s="66">
        <f>'[48]PP Cost'!$M$105</f>
        <v>69.345915000000005</v>
      </c>
      <c r="F63" s="120">
        <f>'F13-Year(n-1)'!Q63</f>
        <v>10.000871195831529</v>
      </c>
      <c r="G63" s="66"/>
      <c r="H63" s="66">
        <f>'[49]PP Cost'!$M$107</f>
        <v>4.6000899999999998</v>
      </c>
      <c r="I63" s="120">
        <f>SUM('F13-Year(n)'!E62:J62)</f>
        <v>12.202701226332641</v>
      </c>
      <c r="J63" s="120">
        <f>SUM('F13-Year(n)'!K62:P62)</f>
        <v>1.6811571638099152</v>
      </c>
      <c r="K63" s="66">
        <f t="shared" si="3"/>
        <v>13.883858390142557</v>
      </c>
      <c r="L63" s="66">
        <f>'F13-Year(n+2)'!Q63</f>
        <v>4.6823350651621265</v>
      </c>
      <c r="M63" s="66" t="e">
        <f>#REF!</f>
        <v>#REF!</v>
      </c>
      <c r="N63" s="66">
        <f>'F13-Year(n+3)'!Q63</f>
        <v>5.5625308180487707</v>
      </c>
      <c r="O63" s="66">
        <f>'F13-Year(n+4)'!Q63</f>
        <v>5.9284490168059643</v>
      </c>
      <c r="P63" s="66">
        <f>'F13-Year(n+5)'!Q63</f>
        <v>6.6485382065005076</v>
      </c>
    </row>
    <row r="64" spans="3:16" x14ac:dyDescent="0.25">
      <c r="C64" s="17"/>
      <c r="D64" s="17" t="s">
        <v>382</v>
      </c>
      <c r="E64" s="66">
        <f>'[48]PP Cost'!$M$106</f>
        <v>48.315669999999997</v>
      </c>
      <c r="F64" s="120">
        <f>'F13-Year(n-1)'!Q64</f>
        <v>52.401989313946117</v>
      </c>
      <c r="G64" s="66"/>
      <c r="H64" s="66">
        <f>'[49]PP Cost'!$M$108</f>
        <v>46.899124999999998</v>
      </c>
      <c r="I64" s="120">
        <f>SUM('F13-Year(n)'!E63:J63)</f>
        <v>33.683680815361939</v>
      </c>
      <c r="J64" s="120">
        <f>SUM('F13-Year(n)'!K63:P63)</f>
        <v>29.852650382537647</v>
      </c>
      <c r="K64" s="66">
        <f t="shared" si="3"/>
        <v>63.536331197899585</v>
      </c>
      <c r="L64" s="66">
        <f>'F13-Year(n+2)'!Q64</f>
        <v>6.2061329706168973</v>
      </c>
      <c r="M64" s="66" t="e">
        <f>#REF!</f>
        <v>#REF!</v>
      </c>
      <c r="N64" s="66">
        <f>'F13-Year(n+3)'!Q64</f>
        <v>4.7023189493519055</v>
      </c>
      <c r="O64" s="66">
        <f>'F13-Year(n+4)'!Q64</f>
        <v>5.0460344609154637</v>
      </c>
      <c r="P64" s="66">
        <f>'F13-Year(n+5)'!Q64</f>
        <v>5.6490489498613394</v>
      </c>
    </row>
    <row r="65" spans="3:16" x14ac:dyDescent="0.25">
      <c r="C65" s="17"/>
      <c r="D65" s="17" t="s">
        <v>383</v>
      </c>
      <c r="E65" s="66"/>
      <c r="F65" s="120">
        <f>'F13-Year(n-1)'!Q65</f>
        <v>2.4916085651691362</v>
      </c>
      <c r="G65" s="66"/>
      <c r="H65" s="66">
        <f>'[49]PP Cost'!M109</f>
        <v>4.0994399999999995</v>
      </c>
      <c r="I65" s="120">
        <f>SUM('F13-Year(n)'!E64:J64)</f>
        <v>2.6202092726267803</v>
      </c>
      <c r="J65" s="120">
        <f>SUM('F13-Year(n)'!K64:P64)</f>
        <v>2.1835542452133301</v>
      </c>
      <c r="K65" s="66">
        <f t="shared" si="3"/>
        <v>4.8037635178401104</v>
      </c>
      <c r="L65" s="66">
        <f>'F13-Year(n+2)'!Q65</f>
        <v>60.20539076039465</v>
      </c>
      <c r="M65" s="66" t="e">
        <f>#REF!</f>
        <v>#REF!</v>
      </c>
      <c r="N65" s="66">
        <f>'F13-Year(n+3)'!Q65</f>
        <v>0.58900000000000008</v>
      </c>
      <c r="O65" s="66">
        <f>'F13-Year(n+4)'!Q65</f>
        <v>0.58899999999999997</v>
      </c>
      <c r="P65" s="66">
        <f>'F13-Year(n+5)'!Q65</f>
        <v>0.58900000000000008</v>
      </c>
    </row>
    <row r="66" spans="3:16" x14ac:dyDescent="0.25">
      <c r="C66" s="17"/>
      <c r="D66" s="17" t="s">
        <v>384</v>
      </c>
      <c r="E66" s="66"/>
      <c r="F66" s="120">
        <f>'F13-Year(n-1)'!Q66</f>
        <v>1.4637051294956016</v>
      </c>
      <c r="G66" s="66"/>
      <c r="H66" s="66">
        <f>'[49]PP Cost'!M110</f>
        <v>4.3762699999999999</v>
      </c>
      <c r="I66" s="120">
        <f>SUM('F13-Year(n)'!E65:J65)</f>
        <v>2.1724797647602609</v>
      </c>
      <c r="J66" s="120">
        <f>SUM('F13-Year(n)'!K65:P65)</f>
        <v>1.7518375813844556</v>
      </c>
      <c r="K66" s="66">
        <f t="shared" si="3"/>
        <v>3.9243173461447167</v>
      </c>
      <c r="L66" s="66">
        <f>'F13-Year(n+2)'!Q66</f>
        <v>36.082515172230366</v>
      </c>
      <c r="M66" s="66" t="e">
        <f>#REF!</f>
        <v>#REF!</v>
      </c>
      <c r="N66" s="66">
        <f>'F13-Year(n+3)'!Q66</f>
        <v>33.64141050616805</v>
      </c>
      <c r="O66" s="66">
        <f>'F13-Year(n+4)'!Q66</f>
        <v>36.127371870311705</v>
      </c>
      <c r="P66" s="66">
        <f>'F13-Year(n+5)'!Q66</f>
        <v>40.527854218000108</v>
      </c>
    </row>
    <row r="67" spans="3:16" x14ac:dyDescent="0.25">
      <c r="C67" s="17"/>
      <c r="D67" s="17" t="s">
        <v>385</v>
      </c>
      <c r="E67" s="66">
        <f>'[48]PP Cost'!$M$108</f>
        <v>0</v>
      </c>
      <c r="F67" s="120">
        <f>'F13-Year(n-1)'!Q67</f>
        <v>138.36565632076423</v>
      </c>
      <c r="G67" s="66"/>
      <c r="H67" s="66">
        <f>'[49]PP Cost'!M112</f>
        <v>0</v>
      </c>
      <c r="I67" s="120">
        <f>SUM('F13-Year(n)'!E66:J66)</f>
        <v>50.416221633840621</v>
      </c>
      <c r="J67" s="120">
        <f>SUM('F13-Year(n)'!K66:P66)</f>
        <v>27.263509052702293</v>
      </c>
      <c r="K67" s="66">
        <f t="shared" si="3"/>
        <v>77.679730686542911</v>
      </c>
      <c r="L67" s="66">
        <f>'F13-Year(n+2)'!Q67</f>
        <v>86.727447729517493</v>
      </c>
      <c r="M67" s="66" t="e">
        <f>#REF!</f>
        <v>#REF!</v>
      </c>
      <c r="N67" s="66">
        <f>'F13-Year(n+3)'!Q68</f>
        <v>100.35639623715508</v>
      </c>
      <c r="O67" s="66">
        <f>'F13-Year(n+4)'!Q68</f>
        <v>104.24711473293674</v>
      </c>
      <c r="P67" s="66">
        <f>'F13-Year(n+5)'!Q68</f>
        <v>115.48785493372165</v>
      </c>
    </row>
    <row r="68" spans="3:16" x14ac:dyDescent="0.25">
      <c r="C68" s="17"/>
      <c r="D68" s="17" t="s">
        <v>386</v>
      </c>
      <c r="E68" s="66">
        <f>'[48]PP Cost'!$M$109</f>
        <v>0</v>
      </c>
      <c r="F68" s="120">
        <f>'F13-Year(n-1)'!Q68</f>
        <v>183.28433880965844</v>
      </c>
      <c r="G68" s="66"/>
      <c r="H68" s="66">
        <f>'[49]PP Cost'!M113</f>
        <v>0</v>
      </c>
      <c r="I68" s="120">
        <f>SUM('F13-Year(n)'!E67:J67)</f>
        <v>58.542079689422806</v>
      </c>
      <c r="J68" s="120">
        <f>SUM('F13-Year(n)'!K67:P67)</f>
        <v>57.82477788378911</v>
      </c>
      <c r="K68" s="66">
        <f t="shared" si="3"/>
        <v>116.36685757321192</v>
      </c>
      <c r="L68" s="66">
        <f>'F13-Year(n+2)'!Q68</f>
        <v>77.963203252834148</v>
      </c>
      <c r="M68" s="66" t="e">
        <f>#REF!</f>
        <v>#REF!</v>
      </c>
      <c r="N68" s="66">
        <f>'F13-Year(n+3)'!Q69</f>
        <v>78.134310856265387</v>
      </c>
      <c r="O68" s="66">
        <f>'F13-Year(n+4)'!Q69</f>
        <v>79.131726233883398</v>
      </c>
      <c r="P68" s="66">
        <f>'F13-Year(n+5)'!Q69</f>
        <v>91.540558987457359</v>
      </c>
    </row>
    <row r="69" spans="3:16" x14ac:dyDescent="0.25">
      <c r="C69" s="17"/>
      <c r="D69" s="328" t="s">
        <v>438</v>
      </c>
      <c r="E69" s="66"/>
      <c r="F69" s="120">
        <f>'F13-Year(n-1)'!Q69</f>
        <v>0</v>
      </c>
      <c r="G69" s="66"/>
      <c r="H69" s="66"/>
      <c r="I69" s="120">
        <f>SUM('F13-Year(n)'!E68:J68)</f>
        <v>2.347021540215E-2</v>
      </c>
      <c r="J69" s="120">
        <f>SUM('F13-Year(n)'!K68:P68)</f>
        <v>5.1923295E-4</v>
      </c>
      <c r="K69" s="66">
        <f t="shared" si="3"/>
        <v>2.398944835215E-2</v>
      </c>
      <c r="L69" s="66">
        <f>'F13-Year(n+2)'!Q69</f>
        <v>0</v>
      </c>
      <c r="M69" s="66" t="e">
        <f>#REF!</f>
        <v>#REF!</v>
      </c>
      <c r="N69" s="66">
        <f>'F13-Year(n+3)'!Q70</f>
        <v>0</v>
      </c>
      <c r="O69" s="66">
        <f>'F13-Year(n+4)'!Q70</f>
        <v>0</v>
      </c>
      <c r="P69" s="66">
        <f>'F13-Year(n+5)'!Q70</f>
        <v>0</v>
      </c>
    </row>
    <row r="70" spans="3:16" x14ac:dyDescent="0.25">
      <c r="C70" s="17"/>
      <c r="D70" s="328" t="s">
        <v>439</v>
      </c>
      <c r="E70" s="66"/>
      <c r="F70" s="120">
        <f>'F13-Year(n-1)'!Q70</f>
        <v>0</v>
      </c>
      <c r="G70" s="66"/>
      <c r="H70" s="66"/>
      <c r="I70" s="120">
        <f>SUM('F13-Year(n)'!E69:J69)</f>
        <v>0.16781650056199998</v>
      </c>
      <c r="J70" s="120">
        <f>SUM('F13-Year(n)'!K69:P69)</f>
        <v>-2.8944343500000003E-3</v>
      </c>
      <c r="K70" s="66">
        <f t="shared" si="3"/>
        <v>0.16492206621199998</v>
      </c>
      <c r="L70" s="66">
        <f>'F13-Year(n+2)'!Q70</f>
        <v>0</v>
      </c>
      <c r="M70" s="66" t="e">
        <f>#REF!</f>
        <v>#REF!</v>
      </c>
      <c r="N70" s="66">
        <f>'F13-Year(n+3)'!Q71</f>
        <v>0</v>
      </c>
      <c r="O70" s="66">
        <f>'F13-Year(n+4)'!Q71</f>
        <v>0</v>
      </c>
      <c r="P70" s="66">
        <f>'F13-Year(n+5)'!Q71</f>
        <v>0</v>
      </c>
    </row>
    <row r="71" spans="3:16" x14ac:dyDescent="0.25">
      <c r="C71" s="17"/>
      <c r="D71" s="327" t="s">
        <v>441</v>
      </c>
      <c r="E71" s="66"/>
      <c r="F71" s="120">
        <f>'F13-Year(n-1)'!Q71</f>
        <v>0</v>
      </c>
      <c r="G71" s="66"/>
      <c r="H71" s="66"/>
      <c r="I71" s="120">
        <f>SUM('F13-Year(n)'!E70:J70)</f>
        <v>3.0536528299999997E-2</v>
      </c>
      <c r="J71" s="120">
        <f>SUM('F13-Year(n)'!K70:P70)</f>
        <v>3.0115569999999997E-4</v>
      </c>
      <c r="K71" s="66">
        <f t="shared" si="3"/>
        <v>3.0837683999999997E-2</v>
      </c>
      <c r="L71" s="66">
        <f>'F13-Year(n+2)'!Q71</f>
        <v>0</v>
      </c>
      <c r="M71" s="66" t="e">
        <f>#REF!</f>
        <v>#REF!</v>
      </c>
      <c r="N71" s="66">
        <f>'F13-Year(n+3)'!Q72</f>
        <v>0</v>
      </c>
      <c r="O71" s="66">
        <f>'F13-Year(n+4)'!Q72</f>
        <v>0</v>
      </c>
      <c r="P71" s="66">
        <f>'F13-Year(n+5)'!Q72</f>
        <v>0</v>
      </c>
    </row>
    <row r="72" spans="3:16" x14ac:dyDescent="0.25">
      <c r="C72" s="17"/>
      <c r="D72" s="327" t="s">
        <v>442</v>
      </c>
      <c r="E72" s="66"/>
      <c r="F72" s="120">
        <f>'F13-Year(n-1)'!Q72</f>
        <v>0</v>
      </c>
      <c r="G72" s="66"/>
      <c r="H72" s="66"/>
      <c r="I72" s="120">
        <f>SUM('F13-Year(n)'!E71:J71)</f>
        <v>7.9878471900000012E-2</v>
      </c>
      <c r="J72" s="120">
        <f>SUM('F13-Year(n)'!K71:P71)</f>
        <v>0.40889305289549999</v>
      </c>
      <c r="K72" s="66">
        <f t="shared" si="3"/>
        <v>0.48877152479550001</v>
      </c>
      <c r="L72" s="66">
        <f>'F13-Year(n+2)'!Q72</f>
        <v>0</v>
      </c>
      <c r="M72" s="66" t="e">
        <f>#REF!</f>
        <v>#REF!</v>
      </c>
      <c r="N72" s="66">
        <f>'F13-Year(n+3)'!Q73</f>
        <v>0</v>
      </c>
      <c r="O72" s="66">
        <f>'F13-Year(n+4)'!Q73</f>
        <v>0</v>
      </c>
      <c r="P72" s="66">
        <f>'F13-Year(n+5)'!Q73</f>
        <v>0</v>
      </c>
    </row>
    <row r="73" spans="3:16" x14ac:dyDescent="0.25">
      <c r="C73" s="17"/>
      <c r="D73" s="328" t="s">
        <v>443</v>
      </c>
      <c r="E73" s="66"/>
      <c r="F73" s="120">
        <f>'F13-Year(n-1)'!Q73</f>
        <v>0</v>
      </c>
      <c r="G73" s="66"/>
      <c r="H73" s="66"/>
      <c r="I73" s="120">
        <f>SUM('F13-Year(n)'!E72:J72)</f>
        <v>1.1012532999999998E-3</v>
      </c>
      <c r="J73" s="120">
        <f>SUM('F13-Year(n)'!K72:P72)</f>
        <v>1.2291841000000001E-2</v>
      </c>
      <c r="K73" s="66">
        <f t="shared" si="3"/>
        <v>1.3393094300000002E-2</v>
      </c>
      <c r="L73" s="66">
        <f>'F13-Year(n+2)'!Q73</f>
        <v>0</v>
      </c>
      <c r="M73" s="66" t="e">
        <f>#REF!</f>
        <v>#REF!</v>
      </c>
      <c r="N73" s="66">
        <f>'F13-Year(n+3)'!Q74</f>
        <v>0</v>
      </c>
      <c r="O73" s="66">
        <f>'F13-Year(n+4)'!Q74</f>
        <v>0</v>
      </c>
      <c r="P73" s="66">
        <f>'F13-Year(n+5)'!Q74</f>
        <v>0</v>
      </c>
    </row>
    <row r="74" spans="3:16" x14ac:dyDescent="0.25">
      <c r="C74" s="17"/>
      <c r="D74" s="328" t="s">
        <v>444</v>
      </c>
      <c r="E74" s="66"/>
      <c r="F74" s="120">
        <f>'F13-Year(n-1)'!Q74</f>
        <v>0</v>
      </c>
      <c r="G74" s="66"/>
      <c r="H74" s="66"/>
      <c r="I74" s="120">
        <f>SUM('F13-Year(n)'!E73:J73)</f>
        <v>2.4737999999999999E-6</v>
      </c>
      <c r="J74" s="120">
        <f>SUM('F13-Year(n)'!K73:P73)</f>
        <v>-8.8055500000000008E-6</v>
      </c>
      <c r="K74" s="66">
        <f t="shared" si="3"/>
        <v>-6.3317500000000008E-6</v>
      </c>
      <c r="L74" s="66">
        <f>'F13-Year(n+2)'!Q74</f>
        <v>0</v>
      </c>
      <c r="M74" s="66" t="e">
        <f>#REF!</f>
        <v>#REF!</v>
      </c>
      <c r="N74" s="66">
        <f>'F13-Year(n+3)'!Q75</f>
        <v>0</v>
      </c>
      <c r="O74" s="66">
        <f>'F13-Year(n+4)'!Q75</f>
        <v>0</v>
      </c>
      <c r="P74" s="66">
        <f>'F13-Year(n+5)'!Q75</f>
        <v>0</v>
      </c>
    </row>
    <row r="75" spans="3:16" x14ac:dyDescent="0.25">
      <c r="C75" s="17"/>
      <c r="D75" s="325" t="s">
        <v>625</v>
      </c>
      <c r="E75" s="66"/>
      <c r="F75" s="120">
        <f>'F13-Year(n-1)'!Q75</f>
        <v>0.52445293305000007</v>
      </c>
      <c r="G75" s="66"/>
      <c r="H75" s="66"/>
      <c r="I75" s="120">
        <f>SUM('F13-Year(n)'!E74:J74)</f>
        <v>0</v>
      </c>
      <c r="J75" s="120">
        <f>SUM('F13-Year(n)'!K74:P74)</f>
        <v>0</v>
      </c>
      <c r="K75" s="66">
        <f t="shared" si="3"/>
        <v>0</v>
      </c>
      <c r="L75" s="66">
        <f>'F13-Year(n+2)'!Q75</f>
        <v>0</v>
      </c>
      <c r="M75" s="66" t="e">
        <f>#REF!</f>
        <v>#REF!</v>
      </c>
      <c r="N75" s="66">
        <f>'F13-Year(n+3)'!Q76</f>
        <v>0</v>
      </c>
      <c r="O75" s="66">
        <f>'F13-Year(n+4)'!Q76</f>
        <v>0</v>
      </c>
      <c r="P75" s="66">
        <f>'F13-Year(n+5)'!Q76</f>
        <v>0</v>
      </c>
    </row>
    <row r="76" spans="3:16" x14ac:dyDescent="0.25">
      <c r="C76" s="17"/>
      <c r="D76" s="17"/>
      <c r="E76" s="66"/>
      <c r="F76" s="120">
        <f>'F13-Year(n-1)'!Q76</f>
        <v>0</v>
      </c>
      <c r="G76" s="66"/>
      <c r="H76" s="66"/>
      <c r="I76" s="120">
        <f>SUM('F13-Year(n)'!E75:J75)</f>
        <v>0</v>
      </c>
      <c r="J76" s="120">
        <f>SUM('F13-Year(n)'!K75:P75)</f>
        <v>0</v>
      </c>
      <c r="K76" s="66">
        <f t="shared" si="3"/>
        <v>0</v>
      </c>
      <c r="L76" s="66">
        <f>'F13-Year(n+2)'!Q76</f>
        <v>0</v>
      </c>
      <c r="M76" s="66" t="e">
        <f>#REF!</f>
        <v>#REF!</v>
      </c>
      <c r="N76" s="66">
        <f>'F13-Year(n+3)'!Q77</f>
        <v>0</v>
      </c>
      <c r="O76" s="66">
        <f>'F13-Year(n+4)'!Q77</f>
        <v>0</v>
      </c>
      <c r="P76" s="66">
        <f>'F13-Year(n+5)'!Q77</f>
        <v>0</v>
      </c>
    </row>
    <row r="77" spans="3:16" x14ac:dyDescent="0.25">
      <c r="C77" s="17"/>
      <c r="D77" s="17"/>
      <c r="E77" s="66"/>
      <c r="F77" s="120">
        <f>'F13-Year(n-1)'!Q77</f>
        <v>0</v>
      </c>
      <c r="G77" s="66"/>
      <c r="H77" s="66"/>
      <c r="I77" s="120">
        <f>SUM('F13-Year(n)'!E76:J76)</f>
        <v>0</v>
      </c>
      <c r="J77" s="120">
        <f>SUM('F13-Year(n)'!K76:P76)</f>
        <v>0</v>
      </c>
      <c r="K77" s="66">
        <f t="shared" si="3"/>
        <v>0</v>
      </c>
      <c r="L77" s="66">
        <f>'F13-Year(n+2)'!Q77</f>
        <v>0</v>
      </c>
      <c r="M77" s="66" t="e">
        <f>#REF!</f>
        <v>#REF!</v>
      </c>
      <c r="N77" s="66">
        <f>'F13-Year(n+3)'!Q78</f>
        <v>0</v>
      </c>
      <c r="O77" s="66">
        <f>'F13-Year(n+4)'!Q78</f>
        <v>0</v>
      </c>
      <c r="P77" s="66">
        <f>'F13-Year(n+5)'!Q78</f>
        <v>0</v>
      </c>
    </row>
    <row r="78" spans="3:16" x14ac:dyDescent="0.25">
      <c r="C78" s="751" t="s">
        <v>212</v>
      </c>
      <c r="D78" s="752"/>
      <c r="E78" s="86">
        <f>SUM(E53:E77)</f>
        <v>2184.5980549999999</v>
      </c>
      <c r="F78" s="86">
        <f>SUM(F53:F77)</f>
        <v>2440.0744537013361</v>
      </c>
      <c r="G78" s="86">
        <f>F78-E78</f>
        <v>255.47639870133617</v>
      </c>
      <c r="H78" s="86">
        <f>SUM(H53:H77)</f>
        <v>2477.7993099999999</v>
      </c>
      <c r="I78" s="86">
        <f>SUM(I53:I77)</f>
        <v>1079.390259708033</v>
      </c>
      <c r="J78" s="86">
        <f>SUM(J53:J77)</f>
        <v>1425.2744236408507</v>
      </c>
      <c r="K78" s="86">
        <f t="shared" si="3"/>
        <v>2504.664683348884</v>
      </c>
      <c r="L78" s="86">
        <f>'F13-Year(n+2)'!Q78</f>
        <v>3240.5400063049824</v>
      </c>
      <c r="M78" s="86" t="e">
        <f>#REF!</f>
        <v>#REF!</v>
      </c>
      <c r="N78" s="86">
        <f>'F13-Year(n+3)'!Q79</f>
        <v>3336.270579366017</v>
      </c>
      <c r="O78" s="86">
        <f>'F13-Year(n+4)'!Q79</f>
        <v>3500.8727722302765</v>
      </c>
      <c r="P78" s="86">
        <f>'F13-Year(n+5)'!Q79</f>
        <v>3756.0327792256667</v>
      </c>
    </row>
    <row r="79" spans="3:16" x14ac:dyDescent="0.25">
      <c r="C79" s="753" t="s">
        <v>387</v>
      </c>
      <c r="D79" s="754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</row>
    <row r="80" spans="3:16" x14ac:dyDescent="0.25">
      <c r="C80" s="805" t="s">
        <v>388</v>
      </c>
      <c r="D80" s="17" t="s">
        <v>389</v>
      </c>
      <c r="E80" s="66">
        <f>'[48]PP Cost'!$M$111</f>
        <v>3.7313149999999999</v>
      </c>
      <c r="F80" s="109">
        <f>'F13-Year(n-1)'!Q80</f>
        <v>5.5771083277499995</v>
      </c>
      <c r="G80" s="66"/>
      <c r="H80" s="66">
        <f>'[49]PP Cost'!M115</f>
        <v>4.2231299999999994</v>
      </c>
      <c r="I80" s="66">
        <f>SUM('F13-Year(n)'!E79:J79)</f>
        <v>1.7447701681500001</v>
      </c>
      <c r="J80" s="66">
        <f>SUM('F13-Year(n)'!K79:P79)</f>
        <v>3.0085316898499999</v>
      </c>
      <c r="K80" s="66">
        <f t="shared" ref="K80:K95" si="4">I80+J80</f>
        <v>4.7533018580000004</v>
      </c>
      <c r="L80" s="66">
        <f>'F13-Year(n+2)'!Q80</f>
        <v>15.556552573743067</v>
      </c>
      <c r="M80" s="66" t="e">
        <f>#REF!</f>
        <v>#REF!</v>
      </c>
      <c r="N80" s="66">
        <f>'F13-Year(n+3)'!Q81</f>
        <v>14.14386514549029</v>
      </c>
      <c r="O80" s="66">
        <f>'F13-Year(n+4)'!Q81</f>
        <v>14.38899139216578</v>
      </c>
      <c r="P80" s="66">
        <f>'F13-Year(n+5)'!Q81</f>
        <v>14.658951811517092</v>
      </c>
    </row>
    <row r="81" spans="3:16" x14ac:dyDescent="0.25">
      <c r="C81" s="806"/>
      <c r="D81" s="17" t="s">
        <v>390</v>
      </c>
      <c r="E81" s="66">
        <f>'[48]PP Cost'!$M$112</f>
        <v>46.395529999999994</v>
      </c>
      <c r="F81" s="109">
        <f>'F13-Year(n-1)'!Q81</f>
        <v>122.70574103635001</v>
      </c>
      <c r="G81" s="66"/>
      <c r="H81" s="66">
        <f>'[49]PP Cost'!M116</f>
        <v>43.774479999999997</v>
      </c>
      <c r="I81" s="66">
        <f>SUM('F13-Year(n)'!E80:J80)</f>
        <v>56.184283505099998</v>
      </c>
      <c r="J81" s="66">
        <f>SUM('F13-Year(n)'!K80:P80)</f>
        <v>56.488642599400002</v>
      </c>
      <c r="K81" s="66">
        <f t="shared" si="4"/>
        <v>112.67292610449999</v>
      </c>
      <c r="L81" s="66">
        <f>'F13-Year(n+2)'!Q81</f>
        <v>64.573050066336407</v>
      </c>
      <c r="M81" s="66" t="e">
        <f>#REF!</f>
        <v>#REF!</v>
      </c>
      <c r="N81" s="66">
        <f>'F13-Year(n+3)'!Q82</f>
        <v>60.608236636635311</v>
      </c>
      <c r="O81" s="66">
        <f>'F13-Year(n+4)'!Q82</f>
        <v>61.65863335715941</v>
      </c>
      <c r="P81" s="66">
        <f>'F13-Year(n+5)'!Q82</f>
        <v>62.815447623292762</v>
      </c>
    </row>
    <row r="82" spans="3:16" x14ac:dyDescent="0.25">
      <c r="C82" s="806"/>
      <c r="D82" s="17" t="s">
        <v>391</v>
      </c>
      <c r="E82" s="66">
        <f>'[48]PP Cost'!$M$113</f>
        <v>46.145204999999997</v>
      </c>
      <c r="F82" s="109">
        <f>'F13-Year(n-1)'!Q82</f>
        <v>0</v>
      </c>
      <c r="G82" s="66"/>
      <c r="H82" s="66">
        <f>'[49]PP Cost'!M117</f>
        <v>47.435114999999996</v>
      </c>
      <c r="I82" s="66">
        <f>SUM('F13-Year(n)'!E81:J81)</f>
        <v>0</v>
      </c>
      <c r="J82" s="66">
        <f>SUM('F13-Year(n)'!K81:P81)</f>
        <v>0</v>
      </c>
      <c r="K82" s="66">
        <f t="shared" si="4"/>
        <v>0</v>
      </c>
      <c r="L82" s="66">
        <f>'F13-Year(n+2)'!Q82</f>
        <v>49.273567208434862</v>
      </c>
      <c r="M82" s="66" t="e">
        <f>#REF!</f>
        <v>#REF!</v>
      </c>
      <c r="N82" s="66">
        <f>'F13-Year(n+3)'!Q83</f>
        <v>60.608236636635311</v>
      </c>
      <c r="O82" s="66">
        <f>'F13-Year(n+4)'!Q83</f>
        <v>61.65863335715941</v>
      </c>
      <c r="P82" s="66">
        <f>'F13-Year(n+5)'!Q83</f>
        <v>62.815447623292762</v>
      </c>
    </row>
    <row r="83" spans="3:16" x14ac:dyDescent="0.25">
      <c r="C83" s="807"/>
      <c r="D83" s="17" t="s">
        <v>392</v>
      </c>
      <c r="E83" s="66">
        <f>'[48]PP Cost'!$M$114</f>
        <v>33.193095</v>
      </c>
      <c r="F83" s="109">
        <f>'F13-Year(n-1)'!Q83</f>
        <v>45.760736634149985</v>
      </c>
      <c r="G83" s="66"/>
      <c r="H83" s="66">
        <f>'[49]PP Cost'!M118</f>
        <v>41.00029</v>
      </c>
      <c r="I83" s="66">
        <f>SUM('F13-Year(n)'!E82:J82)</f>
        <v>15.770495909499999</v>
      </c>
      <c r="J83" s="66">
        <f>SUM('F13-Year(n)'!K82:P82)</f>
        <v>26.394929181949998</v>
      </c>
      <c r="K83" s="66">
        <f t="shared" si="4"/>
        <v>42.165425091449997</v>
      </c>
      <c r="L83" s="66">
        <f>'F13-Year(n+2)'!Q83</f>
        <v>62.514819704419637</v>
      </c>
      <c r="M83" s="66" t="e">
        <f>#REF!</f>
        <v>#REF!</v>
      </c>
      <c r="N83" s="66">
        <f>'F13-Year(n+3)'!Q84</f>
        <v>56.827424350046527</v>
      </c>
      <c r="O83" s="66">
        <f>'F13-Year(n+4)'!Q84</f>
        <v>57.812296101570773</v>
      </c>
      <c r="P83" s="66">
        <f>'F13-Year(n+5)'!Q84</f>
        <v>58.89694694844944</v>
      </c>
    </row>
    <row r="84" spans="3:16" hidden="1" x14ac:dyDescent="0.25">
      <c r="C84" s="17"/>
      <c r="D84" s="17"/>
      <c r="E84" s="66"/>
      <c r="F84" s="109">
        <f>'F13-Year(n-1)'!Q84</f>
        <v>0</v>
      </c>
      <c r="G84" s="66"/>
      <c r="H84" s="66"/>
      <c r="I84" s="66">
        <f>SUM('F13-Year(n)'!E83:J83)</f>
        <v>0</v>
      </c>
      <c r="J84" s="66">
        <f>SUM('F13-Year(n)'!K83:P83)</f>
        <v>0</v>
      </c>
      <c r="K84" s="66">
        <f t="shared" si="4"/>
        <v>0</v>
      </c>
      <c r="L84" s="66">
        <f>'F13-Year(n+2)'!Q84</f>
        <v>0</v>
      </c>
      <c r="M84" s="66" t="e">
        <f>#REF!</f>
        <v>#REF!</v>
      </c>
      <c r="N84" s="66">
        <f>'F13-Year(n+3)'!Q85</f>
        <v>0</v>
      </c>
      <c r="O84" s="66">
        <f>'F13-Year(n+4)'!Q85</f>
        <v>0</v>
      </c>
      <c r="P84" s="66">
        <f>'F13-Year(n+5)'!Q85</f>
        <v>0</v>
      </c>
    </row>
    <row r="85" spans="3:16" hidden="1" x14ac:dyDescent="0.25">
      <c r="C85" s="17"/>
      <c r="D85" s="17"/>
      <c r="E85" s="66"/>
      <c r="F85" s="109">
        <f>'F13-Year(n-1)'!Q85</f>
        <v>0</v>
      </c>
      <c r="G85" s="66"/>
      <c r="H85" s="66"/>
      <c r="I85" s="66">
        <f>SUM('F13-Year(n)'!E84:J84)</f>
        <v>0</v>
      </c>
      <c r="J85" s="66">
        <f>SUM('F13-Year(n)'!K84:P84)</f>
        <v>0</v>
      </c>
      <c r="K85" s="66">
        <f t="shared" si="4"/>
        <v>0</v>
      </c>
      <c r="L85" s="66">
        <f>'F13-Year(n+2)'!Q85</f>
        <v>0</v>
      </c>
      <c r="M85" s="66" t="e">
        <f>#REF!</f>
        <v>#REF!</v>
      </c>
      <c r="N85" s="66">
        <f>'F13-Year(n+3)'!Q86</f>
        <v>0</v>
      </c>
      <c r="O85" s="66">
        <f>'F13-Year(n+4)'!Q86</f>
        <v>0</v>
      </c>
      <c r="P85" s="66">
        <f>'F13-Year(n+5)'!Q86</f>
        <v>0</v>
      </c>
    </row>
    <row r="86" spans="3:16" hidden="1" x14ac:dyDescent="0.25">
      <c r="C86" s="17"/>
      <c r="D86" s="17"/>
      <c r="E86" s="66"/>
      <c r="F86" s="109">
        <f>'F13-Year(n-1)'!Q86</f>
        <v>0</v>
      </c>
      <c r="G86" s="66"/>
      <c r="H86" s="66"/>
      <c r="I86" s="66">
        <f>SUM('F13-Year(n)'!E85:J85)</f>
        <v>0</v>
      </c>
      <c r="J86" s="66">
        <f>SUM('F13-Year(n)'!K85:P85)</f>
        <v>0</v>
      </c>
      <c r="K86" s="66">
        <f t="shared" si="4"/>
        <v>0</v>
      </c>
      <c r="L86" s="66">
        <f>'F13-Year(n+2)'!Q86</f>
        <v>0</v>
      </c>
      <c r="M86" s="66" t="e">
        <f>#REF!</f>
        <v>#REF!</v>
      </c>
      <c r="N86" s="66">
        <f>'F13-Year(n+3)'!Q87</f>
        <v>0</v>
      </c>
      <c r="O86" s="66">
        <f>'F13-Year(n+4)'!Q87</f>
        <v>0</v>
      </c>
      <c r="P86" s="66">
        <f>'F13-Year(n+5)'!Q87</f>
        <v>0</v>
      </c>
    </row>
    <row r="87" spans="3:16" hidden="1" x14ac:dyDescent="0.25">
      <c r="C87" s="17"/>
      <c r="D87" s="17"/>
      <c r="E87" s="66"/>
      <c r="F87" s="109">
        <f>'F13-Year(n-1)'!Q87</f>
        <v>0</v>
      </c>
      <c r="G87" s="66"/>
      <c r="H87" s="66"/>
      <c r="I87" s="66">
        <f>SUM('F13-Year(n)'!E86:J86)</f>
        <v>0</v>
      </c>
      <c r="J87" s="66">
        <f>SUM('F13-Year(n)'!K86:P86)</f>
        <v>0</v>
      </c>
      <c r="K87" s="66">
        <f t="shared" si="4"/>
        <v>0</v>
      </c>
      <c r="L87" s="66">
        <f>'F13-Year(n+2)'!Q87</f>
        <v>0</v>
      </c>
      <c r="M87" s="66" t="e">
        <f>#REF!</f>
        <v>#REF!</v>
      </c>
      <c r="N87" s="66">
        <f>'F13-Year(n+3)'!Q88</f>
        <v>0</v>
      </c>
      <c r="O87" s="66">
        <f>'F13-Year(n+4)'!Q88</f>
        <v>0</v>
      </c>
      <c r="P87" s="66">
        <f>'F13-Year(n+5)'!Q88</f>
        <v>0</v>
      </c>
    </row>
    <row r="88" spans="3:16" hidden="1" x14ac:dyDescent="0.25">
      <c r="C88" s="17"/>
      <c r="D88" s="17"/>
      <c r="E88" s="66"/>
      <c r="F88" s="109">
        <f>'F13-Year(n-1)'!Q88</f>
        <v>0</v>
      </c>
      <c r="G88" s="66"/>
      <c r="H88" s="66"/>
      <c r="I88" s="66">
        <f>SUM('F13-Year(n)'!E87:J87)</f>
        <v>0</v>
      </c>
      <c r="J88" s="66">
        <f>SUM('F13-Year(n)'!K87:P87)</f>
        <v>0</v>
      </c>
      <c r="K88" s="66">
        <f t="shared" si="4"/>
        <v>0</v>
      </c>
      <c r="L88" s="66">
        <f>'F13-Year(n+2)'!Q88</f>
        <v>0</v>
      </c>
      <c r="M88" s="66" t="e">
        <f>#REF!</f>
        <v>#REF!</v>
      </c>
      <c r="N88" s="66">
        <f>'F13-Year(n+3)'!Q89</f>
        <v>0</v>
      </c>
      <c r="O88" s="66">
        <f>'F13-Year(n+4)'!Q89</f>
        <v>0</v>
      </c>
      <c r="P88" s="66">
        <f>'F13-Year(n+5)'!Q89</f>
        <v>0</v>
      </c>
    </row>
    <row r="89" spans="3:16" hidden="1" x14ac:dyDescent="0.25">
      <c r="C89" s="17"/>
      <c r="D89" s="17"/>
      <c r="E89" s="66"/>
      <c r="F89" s="109">
        <f>'F13-Year(n-1)'!Q89</f>
        <v>0</v>
      </c>
      <c r="G89" s="66"/>
      <c r="H89" s="66"/>
      <c r="I89" s="66">
        <f>SUM('F13-Year(n)'!E88:J88)</f>
        <v>0</v>
      </c>
      <c r="J89" s="66">
        <f>SUM('F13-Year(n)'!K88:P88)</f>
        <v>0</v>
      </c>
      <c r="K89" s="66">
        <f t="shared" si="4"/>
        <v>0</v>
      </c>
      <c r="L89" s="66">
        <f>'F13-Year(n+2)'!Q89</f>
        <v>0</v>
      </c>
      <c r="M89" s="66" t="e">
        <f>#REF!</f>
        <v>#REF!</v>
      </c>
      <c r="N89" s="66">
        <f>'F13-Year(n+3)'!Q90</f>
        <v>0</v>
      </c>
      <c r="O89" s="66">
        <f>'F13-Year(n+4)'!Q90</f>
        <v>0</v>
      </c>
      <c r="P89" s="66">
        <f>'F13-Year(n+5)'!Q90</f>
        <v>0</v>
      </c>
    </row>
    <row r="90" spans="3:16" hidden="1" x14ac:dyDescent="0.25">
      <c r="C90" s="17"/>
      <c r="D90" s="17"/>
      <c r="E90" s="66"/>
      <c r="F90" s="109">
        <f>'F13-Year(n-1)'!Q90</f>
        <v>0</v>
      </c>
      <c r="G90" s="66"/>
      <c r="H90" s="66"/>
      <c r="I90" s="66">
        <f>SUM('F13-Year(n)'!E89:J89)</f>
        <v>0</v>
      </c>
      <c r="J90" s="66">
        <f>SUM('F13-Year(n)'!K89:P89)</f>
        <v>0</v>
      </c>
      <c r="K90" s="66">
        <f t="shared" si="4"/>
        <v>0</v>
      </c>
      <c r="L90" s="66">
        <f>'F13-Year(n+2)'!Q90</f>
        <v>0</v>
      </c>
      <c r="M90" s="66" t="e">
        <f>#REF!</f>
        <v>#REF!</v>
      </c>
      <c r="N90" s="66">
        <f>'F13-Year(n+3)'!Q91</f>
        <v>0</v>
      </c>
      <c r="O90" s="66">
        <f>'F13-Year(n+4)'!Q91</f>
        <v>0</v>
      </c>
      <c r="P90" s="66">
        <f>'F13-Year(n+5)'!Q91</f>
        <v>0</v>
      </c>
    </row>
    <row r="91" spans="3:16" hidden="1" x14ac:dyDescent="0.25">
      <c r="C91" s="17"/>
      <c r="D91" s="17"/>
      <c r="E91" s="66"/>
      <c r="F91" s="109">
        <f>'F13-Year(n-1)'!Q91</f>
        <v>0</v>
      </c>
      <c r="G91" s="66"/>
      <c r="H91" s="66"/>
      <c r="I91" s="66">
        <f>SUM('F13-Year(n)'!E90:J90)</f>
        <v>0</v>
      </c>
      <c r="J91" s="66">
        <f>SUM('F13-Year(n)'!K90:P90)</f>
        <v>0</v>
      </c>
      <c r="K91" s="66">
        <f t="shared" si="4"/>
        <v>0</v>
      </c>
      <c r="L91" s="66">
        <f>'F13-Year(n+2)'!Q91</f>
        <v>0</v>
      </c>
      <c r="M91" s="66" t="e">
        <f>#REF!</f>
        <v>#REF!</v>
      </c>
      <c r="N91" s="66">
        <f>'F13-Year(n+3)'!Q92</f>
        <v>0</v>
      </c>
      <c r="O91" s="66">
        <f>'F13-Year(n+4)'!Q92</f>
        <v>0</v>
      </c>
      <c r="P91" s="66">
        <f>'F13-Year(n+5)'!Q92</f>
        <v>0</v>
      </c>
    </row>
    <row r="92" spans="3:16" hidden="1" x14ac:dyDescent="0.25">
      <c r="C92" s="17"/>
      <c r="D92" s="17"/>
      <c r="E92" s="66"/>
      <c r="F92" s="109">
        <f>'F13-Year(n-1)'!Q92</f>
        <v>0</v>
      </c>
      <c r="G92" s="66"/>
      <c r="H92" s="66"/>
      <c r="I92" s="66">
        <f>SUM('F13-Year(n)'!E91:J91)</f>
        <v>0</v>
      </c>
      <c r="J92" s="66">
        <f>SUM('F13-Year(n)'!K91:P91)</f>
        <v>0</v>
      </c>
      <c r="K92" s="66">
        <f t="shared" si="4"/>
        <v>0</v>
      </c>
      <c r="L92" s="66">
        <f>'F13-Year(n+2)'!Q92</f>
        <v>0</v>
      </c>
      <c r="M92" s="66" t="e">
        <f>#REF!</f>
        <v>#REF!</v>
      </c>
      <c r="N92" s="66">
        <f>'F13-Year(n+3)'!Q93</f>
        <v>0</v>
      </c>
      <c r="O92" s="66">
        <f>'F13-Year(n+4)'!Q93</f>
        <v>0</v>
      </c>
      <c r="P92" s="66">
        <f>'F13-Year(n+5)'!Q93</f>
        <v>0</v>
      </c>
    </row>
    <row r="93" spans="3:16" hidden="1" x14ac:dyDescent="0.25">
      <c r="C93" s="17"/>
      <c r="D93" s="17"/>
      <c r="E93" s="66"/>
      <c r="F93" s="109">
        <f>'F13-Year(n-1)'!Q93</f>
        <v>0</v>
      </c>
      <c r="G93" s="66"/>
      <c r="H93" s="66"/>
      <c r="I93" s="66">
        <f>SUM('F13-Year(n)'!E92:J92)</f>
        <v>0</v>
      </c>
      <c r="J93" s="66">
        <f>SUM('F13-Year(n)'!K92:P92)</f>
        <v>0</v>
      </c>
      <c r="K93" s="66">
        <f t="shared" si="4"/>
        <v>0</v>
      </c>
      <c r="L93" s="66">
        <f>'F13-Year(n+2)'!Q93</f>
        <v>0</v>
      </c>
      <c r="M93" s="66" t="e">
        <f>#REF!</f>
        <v>#REF!</v>
      </c>
      <c r="N93" s="66">
        <f>'F13-Year(n+3)'!Q94</f>
        <v>0</v>
      </c>
      <c r="O93" s="66">
        <f>'F13-Year(n+4)'!Q94</f>
        <v>0</v>
      </c>
      <c r="P93" s="66">
        <f>'F13-Year(n+5)'!Q94</f>
        <v>0</v>
      </c>
    </row>
    <row r="94" spans="3:16" x14ac:dyDescent="0.25">
      <c r="C94" s="751" t="s">
        <v>212</v>
      </c>
      <c r="D94" s="752"/>
      <c r="E94" s="86">
        <f>SUM(E80:E93)</f>
        <v>129.46514500000001</v>
      </c>
      <c r="F94" s="86">
        <f>SUM(F80:F93)</f>
        <v>174.04358599824999</v>
      </c>
      <c r="G94" s="86">
        <f>F94-E94</f>
        <v>44.578440998249988</v>
      </c>
      <c r="H94" s="86">
        <f>SUM(H80:H93)</f>
        <v>136.43301499999998</v>
      </c>
      <c r="I94" s="86">
        <f>SUM(I80:I93)</f>
        <v>73.699549582749995</v>
      </c>
      <c r="J94" s="86">
        <f>SUM(J80:J93)</f>
        <v>85.892103471200002</v>
      </c>
      <c r="K94" s="86">
        <f t="shared" si="4"/>
        <v>159.59165305394998</v>
      </c>
      <c r="L94" s="86">
        <f>'F13-Year(n+2)'!Q94</f>
        <v>191.91798955293396</v>
      </c>
      <c r="M94" s="86" t="e">
        <f>#REF!</f>
        <v>#REF!</v>
      </c>
      <c r="N94" s="86">
        <f>'F13-Year(n+3)'!Q95</f>
        <v>192.18776276880749</v>
      </c>
      <c r="O94" s="86">
        <f>'F13-Year(n+4)'!Q95</f>
        <v>195.51855420805538</v>
      </c>
      <c r="P94" s="86">
        <f>'F13-Year(n+5)'!Q95</f>
        <v>199.18679400655211</v>
      </c>
    </row>
    <row r="95" spans="3:16" x14ac:dyDescent="0.25">
      <c r="C95" s="753" t="s">
        <v>394</v>
      </c>
      <c r="D95" s="754"/>
      <c r="E95" s="86">
        <f>E78+E94</f>
        <v>2314.0632000000001</v>
      </c>
      <c r="F95" s="86">
        <f>F78+F94</f>
        <v>2614.118039699586</v>
      </c>
      <c r="G95" s="86">
        <f>F95-E95</f>
        <v>300.05483969958595</v>
      </c>
      <c r="H95" s="86">
        <f>H78+H94</f>
        <v>2614.2323249999999</v>
      </c>
      <c r="I95" s="86">
        <f>I78+I94</f>
        <v>1153.089809290783</v>
      </c>
      <c r="J95" s="86">
        <f>J78+J94</f>
        <v>1511.1665271120507</v>
      </c>
      <c r="K95" s="86">
        <f t="shared" si="4"/>
        <v>2664.2563364028338</v>
      </c>
      <c r="L95" s="86">
        <f>'F13-Year(n+2)'!Q95</f>
        <v>3432.4579958579166</v>
      </c>
      <c r="M95" s="86" t="e">
        <f>#REF!</f>
        <v>#REF!</v>
      </c>
      <c r="N95" s="86">
        <f>'F13-Year(n+3)'!Q96</f>
        <v>3528.4583421348243</v>
      </c>
      <c r="O95" s="86">
        <f>'F13-Year(n+4)'!Q96</f>
        <v>3696.3913264383323</v>
      </c>
      <c r="P95" s="86">
        <f>'F13-Year(n+5)'!Q96</f>
        <v>3955.2195732322193</v>
      </c>
    </row>
    <row r="96" spans="3:16" x14ac:dyDescent="0.25">
      <c r="C96" s="800" t="s">
        <v>395</v>
      </c>
      <c r="D96" s="801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</row>
    <row r="97" spans="3:16" x14ac:dyDescent="0.25">
      <c r="C97" s="17" t="s">
        <v>396</v>
      </c>
      <c r="D97" s="17" t="s">
        <v>396</v>
      </c>
      <c r="E97" s="66">
        <f>'[48]PP Cost'!$M$131</f>
        <v>255.56709999999998</v>
      </c>
      <c r="F97" s="109">
        <f>'F13-Year(n-1)'!Q97</f>
        <v>718.2314249760899</v>
      </c>
      <c r="G97" s="66"/>
      <c r="H97" s="66">
        <f>'[49]PP Cost'!M137</f>
        <v>243.83679006999998</v>
      </c>
      <c r="I97" s="66">
        <f>SUM('F13-Year(n)'!E96:J96)</f>
        <v>360.72680545960759</v>
      </c>
      <c r="J97" s="66">
        <f>SUM('F13-Year(n)'!K96:P96)</f>
        <v>321.45674015719584</v>
      </c>
      <c r="K97" s="66">
        <f t="shared" ref="K97:K104" si="5">I97+J97</f>
        <v>682.18354561680349</v>
      </c>
      <c r="L97" s="66">
        <f>'F13-Year(n+2)'!Q97</f>
        <v>241.72038846653476</v>
      </c>
      <c r="M97" s="66" t="e">
        <f>#REF!</f>
        <v>#REF!</v>
      </c>
      <c r="N97" s="66">
        <f>'F13-Year(n+3)'!Q98</f>
        <v>236.08719986585868</v>
      </c>
      <c r="O97" s="66">
        <f>'F13-Year(n+4)'!Q98</f>
        <v>246.65553338770823</v>
      </c>
      <c r="P97" s="66">
        <f>'F13-Year(n+5)'!Q98</f>
        <v>265.9692413419815</v>
      </c>
    </row>
    <row r="98" spans="3:16" x14ac:dyDescent="0.25">
      <c r="C98" s="17" t="s">
        <v>397</v>
      </c>
      <c r="D98" s="17" t="s">
        <v>397</v>
      </c>
      <c r="E98" s="66">
        <f>'[48]PP Cost'!$M$132</f>
        <v>677.62094000000002</v>
      </c>
      <c r="F98" s="109">
        <f>'F13-Year(n-1)'!Q98</f>
        <v>220.09626641863647</v>
      </c>
      <c r="G98" s="66"/>
      <c r="H98" s="66">
        <f>'[49]PP Cost'!M138</f>
        <v>844.09972904000006</v>
      </c>
      <c r="I98" s="66">
        <f>SUM('F13-Year(n)'!E97:J97)</f>
        <v>136.3878265743619</v>
      </c>
      <c r="J98" s="66">
        <f>SUM('F13-Year(n)'!K97:P97)</f>
        <v>129.49626691682892</v>
      </c>
      <c r="K98" s="66">
        <f t="shared" si="5"/>
        <v>265.88409349119081</v>
      </c>
      <c r="L98" s="66">
        <f>'F13-Year(n+2)'!Q98</f>
        <v>0</v>
      </c>
      <c r="M98" s="66" t="e">
        <f>#REF!</f>
        <v>#REF!</v>
      </c>
      <c r="N98" s="66">
        <f>'F13-Year(n+3)'!Q99</f>
        <v>0</v>
      </c>
      <c r="O98" s="66">
        <f>'F13-Year(n+4)'!Q99</f>
        <v>0</v>
      </c>
      <c r="P98" s="66">
        <f>'F13-Year(n+5)'!Q99</f>
        <v>0</v>
      </c>
    </row>
    <row r="99" spans="3:16" hidden="1" x14ac:dyDescent="0.25">
      <c r="C99" s="17"/>
      <c r="D99" s="17"/>
      <c r="E99" s="66"/>
      <c r="F99" s="109">
        <f>'F13-Year(n-1)'!Q100</f>
        <v>0</v>
      </c>
      <c r="G99" s="66"/>
      <c r="H99" s="66"/>
      <c r="I99" s="66">
        <f>SUM('F13-Year(n)'!E98:J98)</f>
        <v>0</v>
      </c>
      <c r="J99" s="66">
        <f>SUM('F13-Year(n)'!K98:P98)</f>
        <v>0</v>
      </c>
      <c r="K99" s="66">
        <f t="shared" si="5"/>
        <v>0</v>
      </c>
      <c r="L99" s="66">
        <f>'F13-Year(n+2)'!Q99</f>
        <v>0</v>
      </c>
      <c r="M99" s="66" t="e">
        <f>#REF!</f>
        <v>#REF!</v>
      </c>
      <c r="N99" s="66">
        <f>'F13-Year(n+3)'!Q100</f>
        <v>0</v>
      </c>
      <c r="O99" s="66">
        <f>'F13-Year(n+4)'!Q100</f>
        <v>0</v>
      </c>
      <c r="P99" s="66">
        <f>'F13-Year(n+5)'!Q100</f>
        <v>0</v>
      </c>
    </row>
    <row r="100" spans="3:16" hidden="1" x14ac:dyDescent="0.25">
      <c r="C100" s="17"/>
      <c r="D100" s="17"/>
      <c r="E100" s="66"/>
      <c r="F100" s="109">
        <f>'F13-Year(n-1)'!Q101</f>
        <v>0</v>
      </c>
      <c r="G100" s="66"/>
      <c r="H100" s="66"/>
      <c r="I100" s="66">
        <f>SUM('F13-Year(n)'!E99:J99)</f>
        <v>0</v>
      </c>
      <c r="J100" s="66">
        <f>SUM('F13-Year(n)'!K99:P99)</f>
        <v>0</v>
      </c>
      <c r="K100" s="66">
        <f t="shared" si="5"/>
        <v>0</v>
      </c>
      <c r="L100" s="66">
        <f>'F13-Year(n+2)'!Q100</f>
        <v>0</v>
      </c>
      <c r="M100" s="66" t="e">
        <f>#REF!</f>
        <v>#REF!</v>
      </c>
      <c r="N100" s="66">
        <f>'F13-Year(n+3)'!Q101</f>
        <v>0</v>
      </c>
      <c r="O100" s="66">
        <f>'F13-Year(n+4)'!Q101</f>
        <v>0</v>
      </c>
      <c r="P100" s="66">
        <f>'F13-Year(n+5)'!Q101</f>
        <v>0</v>
      </c>
    </row>
    <row r="101" spans="3:16" hidden="1" x14ac:dyDescent="0.25">
      <c r="C101" s="17"/>
      <c r="D101" s="17"/>
      <c r="E101" s="66"/>
      <c r="F101" s="109">
        <f>'F13-Year(n-1)'!Q102</f>
        <v>0</v>
      </c>
      <c r="G101" s="66"/>
      <c r="H101" s="66"/>
      <c r="I101" s="66">
        <f>SUM('F13-Year(n)'!E100:J100)</f>
        <v>0</v>
      </c>
      <c r="J101" s="66">
        <f>SUM('F13-Year(n)'!K100:P100)</f>
        <v>0</v>
      </c>
      <c r="K101" s="66">
        <f t="shared" si="5"/>
        <v>0</v>
      </c>
      <c r="L101" s="66">
        <f>'F13-Year(n+2)'!Q101</f>
        <v>0</v>
      </c>
      <c r="M101" s="66" t="e">
        <f>#REF!</f>
        <v>#REF!</v>
      </c>
      <c r="N101" s="66">
        <f>'F13-Year(n+3)'!Q102</f>
        <v>0</v>
      </c>
      <c r="O101" s="66">
        <f>'F13-Year(n+4)'!Q102</f>
        <v>0</v>
      </c>
      <c r="P101" s="66">
        <f>'F13-Year(n+5)'!Q102</f>
        <v>0</v>
      </c>
    </row>
    <row r="102" spans="3:16" hidden="1" x14ac:dyDescent="0.25">
      <c r="C102" s="17"/>
      <c r="D102" s="17"/>
      <c r="E102" s="66"/>
      <c r="F102" s="109">
        <f>'F13-Year(n-1)'!Q103</f>
        <v>0</v>
      </c>
      <c r="G102" s="66"/>
      <c r="H102" s="66"/>
      <c r="I102" s="66">
        <f>SUM('F13-Year(n)'!E101:J101)</f>
        <v>0</v>
      </c>
      <c r="J102" s="66">
        <f>SUM('F13-Year(n)'!K101:P101)</f>
        <v>0</v>
      </c>
      <c r="K102" s="66">
        <f t="shared" si="5"/>
        <v>0</v>
      </c>
      <c r="L102" s="66">
        <f>'F13-Year(n+2)'!Q102</f>
        <v>0</v>
      </c>
      <c r="M102" s="66" t="e">
        <f>#REF!</f>
        <v>#REF!</v>
      </c>
      <c r="N102" s="66">
        <f>'F13-Year(n+3)'!Q103</f>
        <v>0</v>
      </c>
      <c r="O102" s="66">
        <f>'F13-Year(n+4)'!Q103</f>
        <v>0</v>
      </c>
      <c r="P102" s="66">
        <f>'F13-Year(n+5)'!Q103</f>
        <v>0</v>
      </c>
    </row>
    <row r="103" spans="3:16" hidden="1" x14ac:dyDescent="0.25">
      <c r="C103" s="17"/>
      <c r="D103" s="17"/>
      <c r="E103" s="66"/>
      <c r="F103" s="109">
        <f>'F13-Year(n-1)'!Q104</f>
        <v>938.32769139472634</v>
      </c>
      <c r="G103" s="66"/>
      <c r="H103" s="66"/>
      <c r="I103" s="66">
        <f>SUM('F13-Year(n)'!J102:O102)</f>
        <v>0</v>
      </c>
      <c r="J103" s="66">
        <f>SUM('F13-Year(n)'!K102:P102)</f>
        <v>0</v>
      </c>
      <c r="K103" s="66">
        <f t="shared" si="5"/>
        <v>0</v>
      </c>
      <c r="L103" s="66">
        <f>'F13-Year(n+2)'!Q103</f>
        <v>0</v>
      </c>
      <c r="M103" s="66" t="e">
        <f>#REF!</f>
        <v>#REF!</v>
      </c>
      <c r="N103" s="66">
        <f>'F13-Year(n+3)'!Q104</f>
        <v>0</v>
      </c>
      <c r="O103" s="66">
        <f>'F13-Year(n+4)'!Q104</f>
        <v>0</v>
      </c>
      <c r="P103" s="66">
        <f>'F13-Year(n+5)'!Q104</f>
        <v>0</v>
      </c>
    </row>
    <row r="104" spans="3:16" x14ac:dyDescent="0.25">
      <c r="C104" s="753" t="s">
        <v>398</v>
      </c>
      <c r="D104" s="754"/>
      <c r="E104" s="86">
        <f>SUM(E97:E103)</f>
        <v>933.18804</v>
      </c>
      <c r="F104" s="86">
        <f>SUM(F97:F103)</f>
        <v>1876.6553827894527</v>
      </c>
      <c r="G104" s="86">
        <f>F104-E104</f>
        <v>943.46734278945269</v>
      </c>
      <c r="H104" s="86">
        <f>SUM(H97:H103)</f>
        <v>1087.9365191100001</v>
      </c>
      <c r="I104" s="86">
        <f>SUM(I97:I102)</f>
        <v>497.11463203396949</v>
      </c>
      <c r="J104" s="86">
        <f>SUM(J97:J102)</f>
        <v>450.95300707402475</v>
      </c>
      <c r="K104" s="86">
        <f t="shared" si="5"/>
        <v>948.06763910799418</v>
      </c>
      <c r="L104" s="86">
        <f>'F13-Year(n+2)'!Q104</f>
        <v>241.72038846653476</v>
      </c>
      <c r="M104" s="86" t="e">
        <f>#REF!</f>
        <v>#REF!</v>
      </c>
      <c r="N104" s="86">
        <f>'F13-Year(n+3)'!Q105</f>
        <v>236.08719986585868</v>
      </c>
      <c r="O104" s="86">
        <f>'F13-Year(n+4)'!Q105</f>
        <v>246.65553338770823</v>
      </c>
      <c r="P104" s="86">
        <f>'F13-Year(n+5)'!Q105</f>
        <v>265.9692413419815</v>
      </c>
    </row>
    <row r="105" spans="3:16" x14ac:dyDescent="0.25">
      <c r="C105" s="800" t="s">
        <v>399</v>
      </c>
      <c r="D105" s="801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</row>
    <row r="106" spans="3:16" x14ac:dyDescent="0.25">
      <c r="C106" s="17" t="s">
        <v>400</v>
      </c>
      <c r="D106" s="17" t="s">
        <v>400</v>
      </c>
      <c r="E106" s="66">
        <f>'[48]PP Cost'!$M$133</f>
        <v>1041.667115</v>
      </c>
      <c r="F106" s="109">
        <f>'F13-Year(n-1)'!Q106</f>
        <v>1303.7947000577499</v>
      </c>
      <c r="G106" s="66"/>
      <c r="H106" s="66">
        <f>'[49]PP Cost'!M139</f>
        <v>1125.7270637000001</v>
      </c>
      <c r="I106" s="66">
        <f>SUM('F13-Year(n)'!E105:J105)</f>
        <v>642.4613783241</v>
      </c>
      <c r="J106" s="66">
        <f>SUM('F13-Year(n)'!K105:P105)</f>
        <v>665.10821866954996</v>
      </c>
      <c r="K106" s="66">
        <f t="shared" ref="K106:K114" si="6">I106+J106</f>
        <v>1307.5695969936501</v>
      </c>
      <c r="L106" s="66">
        <f>'F13-Year(n+2)'!Q106</f>
        <v>993.70219274484555</v>
      </c>
      <c r="M106" s="66" t="e">
        <f>#REF!</f>
        <v>#REF!</v>
      </c>
      <c r="N106" s="66">
        <f>'F13-Year(n+3)'!Q107</f>
        <v>1183.9449174253</v>
      </c>
      <c r="O106" s="66">
        <f>'F13-Year(n+4)'!Q107</f>
        <v>1969.3072754368816</v>
      </c>
      <c r="P106" s="66">
        <f>'F13-Year(n+5)'!Q107</f>
        <v>2136.8412784710581</v>
      </c>
    </row>
    <row r="107" spans="3:16" x14ac:dyDescent="0.25">
      <c r="C107" s="17" t="s">
        <v>401</v>
      </c>
      <c r="D107" s="17" t="s">
        <v>401</v>
      </c>
      <c r="E107" s="66">
        <f>'[48]PP Cost'!$M$134</f>
        <v>673.854285</v>
      </c>
      <c r="F107" s="109">
        <f>'F13-Year(n-1)'!Q107</f>
        <v>216.51180191259999</v>
      </c>
      <c r="G107" s="66"/>
      <c r="H107" s="66">
        <f>'[49]PP Cost'!M140</f>
        <v>677.54983185000003</v>
      </c>
      <c r="I107" s="66">
        <f>SUM('F13-Year(n)'!E106:J106)</f>
        <v>0</v>
      </c>
      <c r="J107" s="66">
        <f>SUM('F13-Year(n)'!K106:P106)</f>
        <v>0</v>
      </c>
      <c r="K107" s="66">
        <f t="shared" si="6"/>
        <v>0</v>
      </c>
      <c r="L107" s="66">
        <f>'F13-Year(n+2)'!Q107</f>
        <v>0</v>
      </c>
      <c r="M107" s="66" t="e">
        <f>#REF!</f>
        <v>#REF!</v>
      </c>
      <c r="N107" s="66">
        <f>'F13-Year(n+3)'!Q108</f>
        <v>0</v>
      </c>
      <c r="O107" s="66">
        <f>'F13-Year(n+4)'!Q108</f>
        <v>0</v>
      </c>
      <c r="P107" s="66">
        <f>'F13-Year(n+5)'!Q108</f>
        <v>0</v>
      </c>
    </row>
    <row r="108" spans="3:16" x14ac:dyDescent="0.25">
      <c r="C108" s="17" t="s">
        <v>402</v>
      </c>
      <c r="D108" s="17" t="s">
        <v>402</v>
      </c>
      <c r="E108" s="66">
        <f>'[48]PP Cost'!$M$135</f>
        <v>0</v>
      </c>
      <c r="F108" s="109">
        <f>'F13-Year(n-1)'!Q108</f>
        <v>0</v>
      </c>
      <c r="G108" s="66"/>
      <c r="H108" s="66"/>
      <c r="I108" s="66">
        <f>SUM('F13-Year(n)'!E107:J107)</f>
        <v>0</v>
      </c>
      <c r="J108" s="66">
        <f>SUM('F13-Year(n)'!K107:P107)</f>
        <v>0</v>
      </c>
      <c r="K108" s="66">
        <f t="shared" si="6"/>
        <v>0</v>
      </c>
      <c r="L108" s="66">
        <f>'F13-Year(n+2)'!Q108</f>
        <v>0</v>
      </c>
      <c r="M108" s="66" t="e">
        <f>#REF!</f>
        <v>#REF!</v>
      </c>
      <c r="N108" s="66">
        <f>'F13-Year(n+3)'!Q109</f>
        <v>0</v>
      </c>
      <c r="O108" s="66">
        <f>'F13-Year(n+4)'!Q109</f>
        <v>0</v>
      </c>
      <c r="P108" s="66">
        <f>'F13-Year(n+5)'!Q109</f>
        <v>0</v>
      </c>
    </row>
    <row r="109" spans="3:16" hidden="1" x14ac:dyDescent="0.25">
      <c r="C109" s="17"/>
      <c r="D109" s="17"/>
      <c r="E109" s="66"/>
      <c r="F109" s="109">
        <f>'F13-Year(n-1)'!Q109</f>
        <v>0</v>
      </c>
      <c r="G109" s="66"/>
      <c r="H109" s="66"/>
      <c r="I109" s="66">
        <f>SUM('F13-Year(n)'!E108:J108)</f>
        <v>0</v>
      </c>
      <c r="J109" s="66">
        <f>SUM('F13-Year(n)'!K108:P108)</f>
        <v>0</v>
      </c>
      <c r="K109" s="66">
        <f t="shared" si="6"/>
        <v>0</v>
      </c>
      <c r="L109" s="66">
        <f>'F13-Year(n+2)'!Q109</f>
        <v>0</v>
      </c>
      <c r="M109" s="66" t="e">
        <f>#REF!</f>
        <v>#REF!</v>
      </c>
      <c r="N109" s="66">
        <f>'F13-Year(n+3)'!Q110</f>
        <v>0</v>
      </c>
      <c r="O109" s="66">
        <f>'F13-Year(n+4)'!Q110</f>
        <v>0</v>
      </c>
      <c r="P109" s="66">
        <f>'F13-Year(n+5)'!Q110</f>
        <v>0</v>
      </c>
    </row>
    <row r="110" spans="3:16" hidden="1" x14ac:dyDescent="0.25">
      <c r="C110" s="17"/>
      <c r="D110" s="17"/>
      <c r="E110" s="66"/>
      <c r="F110" s="109">
        <f>'F13-Year(n-1)'!Q110</f>
        <v>0</v>
      </c>
      <c r="G110" s="66"/>
      <c r="H110" s="66"/>
      <c r="I110" s="66">
        <f>SUM('F13-Year(n)'!E109:J109)</f>
        <v>0</v>
      </c>
      <c r="J110" s="66">
        <f>SUM('F13-Year(n)'!K109:P109)</f>
        <v>0</v>
      </c>
      <c r="K110" s="66">
        <f t="shared" si="6"/>
        <v>0</v>
      </c>
      <c r="L110" s="66">
        <f>'F13-Year(n+2)'!Q110</f>
        <v>0</v>
      </c>
      <c r="M110" s="66" t="e">
        <f>#REF!</f>
        <v>#REF!</v>
      </c>
      <c r="N110" s="66">
        <f>'F13-Year(n+3)'!Q111</f>
        <v>0</v>
      </c>
      <c r="O110" s="66">
        <f>'F13-Year(n+4)'!Q111</f>
        <v>0</v>
      </c>
      <c r="P110" s="66">
        <f>'F13-Year(n+5)'!Q111</f>
        <v>0</v>
      </c>
    </row>
    <row r="111" spans="3:16" hidden="1" x14ac:dyDescent="0.25">
      <c r="C111" s="17"/>
      <c r="D111" s="17"/>
      <c r="E111" s="66"/>
      <c r="F111" s="109">
        <f>'F13-Year(n-1)'!Q111</f>
        <v>0</v>
      </c>
      <c r="G111" s="66"/>
      <c r="H111" s="66"/>
      <c r="I111" s="66">
        <f>SUM('F13-Year(n)'!E110:J110)</f>
        <v>0</v>
      </c>
      <c r="J111" s="66">
        <f>SUM('F13-Year(n)'!K110:P110)</f>
        <v>0</v>
      </c>
      <c r="K111" s="66">
        <f t="shared" si="6"/>
        <v>0</v>
      </c>
      <c r="L111" s="66">
        <f>'F13-Year(n+2)'!Q111</f>
        <v>0</v>
      </c>
      <c r="M111" s="66" t="e">
        <f>#REF!</f>
        <v>#REF!</v>
      </c>
      <c r="N111" s="66">
        <f>'F13-Year(n+3)'!Q112</f>
        <v>0</v>
      </c>
      <c r="O111" s="66">
        <f>'F13-Year(n+4)'!Q112</f>
        <v>0</v>
      </c>
      <c r="P111" s="66">
        <f>'F13-Year(n+5)'!Q112</f>
        <v>0</v>
      </c>
    </row>
    <row r="112" spans="3:16" hidden="1" x14ac:dyDescent="0.25">
      <c r="C112" s="17"/>
      <c r="D112" s="17"/>
      <c r="E112" s="66"/>
      <c r="F112" s="109">
        <f>'F13-Year(n-1)'!Q112</f>
        <v>0</v>
      </c>
      <c r="G112" s="66"/>
      <c r="H112" s="66"/>
      <c r="I112" s="66">
        <f>SUM('F13-Year(n)'!E111:J111)</f>
        <v>0</v>
      </c>
      <c r="J112" s="66">
        <f>SUM('F13-Year(n)'!K111:P111)</f>
        <v>0</v>
      </c>
      <c r="K112" s="66">
        <f t="shared" si="6"/>
        <v>0</v>
      </c>
      <c r="L112" s="66">
        <f>'F13-Year(n+2)'!Q112</f>
        <v>0</v>
      </c>
      <c r="M112" s="66" t="e">
        <f>#REF!</f>
        <v>#REF!</v>
      </c>
      <c r="N112" s="66">
        <f>'F13-Year(n+3)'!Q113</f>
        <v>0</v>
      </c>
      <c r="O112" s="66">
        <f>'F13-Year(n+4)'!Q113</f>
        <v>0</v>
      </c>
      <c r="P112" s="66">
        <f>'F13-Year(n+5)'!Q113</f>
        <v>0</v>
      </c>
    </row>
    <row r="113" spans="3:16" hidden="1" x14ac:dyDescent="0.25">
      <c r="C113" s="17"/>
      <c r="D113" s="17"/>
      <c r="E113" s="66"/>
      <c r="F113" s="109">
        <f>'F13-Year(n-1)'!Q113</f>
        <v>0</v>
      </c>
      <c r="G113" s="66"/>
      <c r="H113" s="66"/>
      <c r="I113" s="66">
        <f>SUM('F13-Year(n)'!E112:J112)</f>
        <v>0</v>
      </c>
      <c r="J113" s="66">
        <f>SUM('F13-Year(n)'!K112:P112)</f>
        <v>0</v>
      </c>
      <c r="K113" s="66">
        <f t="shared" si="6"/>
        <v>0</v>
      </c>
      <c r="L113" s="66">
        <f>'F13-Year(n+2)'!Q113</f>
        <v>0</v>
      </c>
      <c r="M113" s="66" t="e">
        <f>#REF!</f>
        <v>#REF!</v>
      </c>
      <c r="N113" s="66">
        <f>'F13-Year(n+3)'!Q114</f>
        <v>0</v>
      </c>
      <c r="O113" s="66">
        <f>'F13-Year(n+4)'!Q114</f>
        <v>0</v>
      </c>
      <c r="P113" s="66">
        <f>'F13-Year(n+5)'!Q114</f>
        <v>0</v>
      </c>
    </row>
    <row r="114" spans="3:16" x14ac:dyDescent="0.25">
      <c r="C114" s="753" t="s">
        <v>403</v>
      </c>
      <c r="D114" s="754"/>
      <c r="E114" s="86">
        <f>SUM(E106:E113)</f>
        <v>1715.5214000000001</v>
      </c>
      <c r="F114" s="86">
        <f>SUM(F106:F113)</f>
        <v>1520.3065019703499</v>
      </c>
      <c r="G114" s="86">
        <f>F114-E114</f>
        <v>-195.21489802965016</v>
      </c>
      <c r="H114" s="86">
        <f>SUM(H106:H113)</f>
        <v>1803.2768955500001</v>
      </c>
      <c r="I114" s="86">
        <f>SUM(I106:I113)</f>
        <v>642.4613783241</v>
      </c>
      <c r="J114" s="86">
        <f>SUM(J106:J113)</f>
        <v>665.10821866954996</v>
      </c>
      <c r="K114" s="86">
        <f t="shared" si="6"/>
        <v>1307.5695969936501</v>
      </c>
      <c r="L114" s="86">
        <f>'F13-Year(n+2)'!Q114</f>
        <v>993.70219274484555</v>
      </c>
      <c r="M114" s="86" t="e">
        <f>#REF!</f>
        <v>#REF!</v>
      </c>
      <c r="N114" s="86">
        <f>'F13-Year(n+3)'!Q115</f>
        <v>1183.9449174253</v>
      </c>
      <c r="O114" s="86">
        <f>'F13-Year(n+4)'!Q115</f>
        <v>1969.3072754368816</v>
      </c>
      <c r="P114" s="86">
        <f>'F13-Year(n+5)'!Q115</f>
        <v>2136.8412784710581</v>
      </c>
    </row>
    <row r="115" spans="3:16" x14ac:dyDescent="0.25">
      <c r="C115" s="800" t="s">
        <v>404</v>
      </c>
      <c r="D115" s="801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</row>
    <row r="116" spans="3:16" x14ac:dyDescent="0.25">
      <c r="C116" s="17"/>
      <c r="D116" s="17" t="s">
        <v>405</v>
      </c>
      <c r="E116" s="66">
        <f>'[48]PP Cost'!$M$119</f>
        <v>46.36</v>
      </c>
      <c r="F116" s="109">
        <f>'F13-Year(n-1)'!Q116</f>
        <v>13.165205458144777</v>
      </c>
      <c r="G116" s="66"/>
      <c r="H116" s="66">
        <f>'[49]PP Cost'!M123</f>
        <v>0</v>
      </c>
      <c r="I116" s="66">
        <f>SUM('F13-Year(n)'!E115:J115)</f>
        <v>0</v>
      </c>
      <c r="J116" s="66">
        <f>SUM('F13-Year(n)'!K115:P115)</f>
        <v>0</v>
      </c>
      <c r="K116" s="66">
        <f t="shared" ref="K116:K140" si="7">I116+J116</f>
        <v>0</v>
      </c>
      <c r="L116" s="66">
        <f>'F13-Year(n+2)'!Q116</f>
        <v>0.50648000000000004</v>
      </c>
      <c r="M116" s="66" t="e">
        <f>#REF!</f>
        <v>#REF!</v>
      </c>
      <c r="N116" s="66">
        <f>'F13-Year(n+3)'!Q117</f>
        <v>0.37550000000000006</v>
      </c>
      <c r="O116" s="66">
        <f>'F13-Year(n+4)'!Q117</f>
        <v>0.37550000000000006</v>
      </c>
      <c r="P116" s="66">
        <f>'F13-Year(n+5)'!Q117</f>
        <v>0.37550000000000006</v>
      </c>
    </row>
    <row r="117" spans="3:16" x14ac:dyDescent="0.25">
      <c r="C117" s="17"/>
      <c r="D117" s="17" t="s">
        <v>406</v>
      </c>
      <c r="E117" s="66">
        <f>'[48]PP Cost'!$M$120</f>
        <v>6.87</v>
      </c>
      <c r="F117" s="109">
        <f>'F13-Year(n-1)'!Q117</f>
        <v>49.537864717669997</v>
      </c>
      <c r="G117" s="66"/>
      <c r="H117" s="66">
        <f>'[49]PP Cost'!M124</f>
        <v>24.05</v>
      </c>
      <c r="I117" s="66">
        <f>SUM('F13-Year(n)'!E116:J116)</f>
        <v>0</v>
      </c>
      <c r="J117" s="66">
        <f>SUM('F13-Year(n)'!K116:P116)</f>
        <v>0</v>
      </c>
      <c r="K117" s="66">
        <f t="shared" si="7"/>
        <v>0</v>
      </c>
      <c r="L117" s="66">
        <f>'F13-Year(n+2)'!Q117</f>
        <v>0</v>
      </c>
      <c r="M117" s="66" t="e">
        <f>#REF!</f>
        <v>#REF!</v>
      </c>
      <c r="N117" s="66">
        <f>'F13-Year(n+3)'!Q118</f>
        <v>0</v>
      </c>
      <c r="O117" s="66">
        <f>'F13-Year(n+4)'!Q118</f>
        <v>0</v>
      </c>
      <c r="P117" s="66">
        <f>'F13-Year(n+5)'!Q118</f>
        <v>0</v>
      </c>
    </row>
    <row r="118" spans="3:16" s="118" customFormat="1" x14ac:dyDescent="0.25">
      <c r="C118" s="119"/>
      <c r="D118" s="119" t="s">
        <v>407</v>
      </c>
      <c r="E118" s="120">
        <f>'[48]PP Cost'!$M$121</f>
        <v>0</v>
      </c>
      <c r="F118" s="109">
        <f>'F13-Year(n-1)'!Q118</f>
        <v>0</v>
      </c>
      <c r="G118" s="120"/>
      <c r="H118" s="120">
        <f>'[49]PP Cost'!M125</f>
        <v>0</v>
      </c>
      <c r="I118" s="66">
        <f>SUM('F13-Year(n)'!E117:J117)</f>
        <v>0</v>
      </c>
      <c r="J118" s="66">
        <f>SUM('F13-Year(n)'!K117:P117)</f>
        <v>0</v>
      </c>
      <c r="K118" s="120">
        <f t="shared" si="7"/>
        <v>0</v>
      </c>
      <c r="L118" s="120">
        <f>'F13-Year(n+2)'!Q118</f>
        <v>0</v>
      </c>
      <c r="M118" s="120" t="e">
        <f>#REF!</f>
        <v>#REF!</v>
      </c>
      <c r="N118" s="120">
        <f>'F13-Year(n+3)'!Q119</f>
        <v>0</v>
      </c>
      <c r="O118" s="120">
        <f>'F13-Year(n+4)'!Q119</f>
        <v>0</v>
      </c>
      <c r="P118" s="120">
        <f>'F13-Year(n+5)'!Q119</f>
        <v>0</v>
      </c>
    </row>
    <row r="119" spans="3:16" x14ac:dyDescent="0.25">
      <c r="C119" s="17"/>
      <c r="D119" s="17" t="s">
        <v>408</v>
      </c>
      <c r="E119" s="66">
        <f>'[48]PP Cost'!$M$122</f>
        <v>24.82</v>
      </c>
      <c r="F119" s="109">
        <f>'F13-Year(n-1)'!Q119</f>
        <v>-0.22285489999999999</v>
      </c>
      <c r="G119" s="66"/>
      <c r="H119" s="66">
        <f>'[49]PP Cost'!M126</f>
        <v>19.95</v>
      </c>
      <c r="I119" s="66">
        <f>SUM('F13-Year(n)'!E118:J118)</f>
        <v>0</v>
      </c>
      <c r="J119" s="66">
        <f>SUM('F13-Year(n)'!K118:P118)</f>
        <v>0</v>
      </c>
      <c r="K119" s="66">
        <f t="shared" si="7"/>
        <v>0</v>
      </c>
      <c r="L119" s="66">
        <f>'F13-Year(n+2)'!Q119</f>
        <v>23.087731164201493</v>
      </c>
      <c r="M119" s="66" t="e">
        <f>#REF!</f>
        <v>#REF!</v>
      </c>
      <c r="N119" s="66">
        <f>'F13-Year(n+3)'!Q120</f>
        <v>0</v>
      </c>
      <c r="O119" s="66">
        <f>'F13-Year(n+4)'!Q120</f>
        <v>24.213463573361501</v>
      </c>
      <c r="P119" s="66">
        <f>'F13-Year(n+5)'!Q120</f>
        <v>25.369515831286456</v>
      </c>
    </row>
    <row r="120" spans="3:16" x14ac:dyDescent="0.25">
      <c r="C120" s="17"/>
      <c r="D120" s="17" t="s">
        <v>409</v>
      </c>
      <c r="E120" s="66">
        <f>'[48]PP Cost'!$M$123</f>
        <v>0</v>
      </c>
      <c r="F120" s="109">
        <f>'F13-Year(n-1)'!Q120</f>
        <v>0</v>
      </c>
      <c r="G120" s="66"/>
      <c r="H120" s="66">
        <f>'[49]PP Cost'!M127</f>
        <v>0</v>
      </c>
      <c r="I120" s="66">
        <f>SUM('F13-Year(n)'!E119:J119)</f>
        <v>0</v>
      </c>
      <c r="J120" s="66">
        <f>SUM('F13-Year(n)'!K119:P119)</f>
        <v>0</v>
      </c>
      <c r="K120" s="66">
        <f t="shared" si="7"/>
        <v>0</v>
      </c>
      <c r="L120" s="66">
        <f>'F13-Year(n+2)'!Q120</f>
        <v>0</v>
      </c>
      <c r="M120" s="66" t="e">
        <f>#REF!</f>
        <v>#REF!</v>
      </c>
      <c r="N120" s="66">
        <f>'F13-Year(n+3)'!Q121</f>
        <v>0</v>
      </c>
      <c r="O120" s="66">
        <f>'F13-Year(n+4)'!Q121</f>
        <v>0</v>
      </c>
      <c r="P120" s="66">
        <f>'F13-Year(n+5)'!Q121</f>
        <v>0</v>
      </c>
    </row>
    <row r="121" spans="3:16" x14ac:dyDescent="0.25">
      <c r="C121" s="17"/>
      <c r="D121" s="17" t="s">
        <v>367</v>
      </c>
      <c r="E121" s="66">
        <f>'[48]PP Cost'!$M$124</f>
        <v>0</v>
      </c>
      <c r="F121" s="109">
        <f>'F13-Year(n-1)'!Q121</f>
        <v>0.2080722670188957</v>
      </c>
      <c r="G121" s="66"/>
      <c r="H121" s="66">
        <f>'[49]PP Cost'!M128</f>
        <v>0.31</v>
      </c>
      <c r="I121" s="66">
        <f>SUM('F13-Year(n)'!E120:J120)</f>
        <v>0</v>
      </c>
      <c r="J121" s="66">
        <f>SUM('F13-Year(n)'!K120:P120)</f>
        <v>0</v>
      </c>
      <c r="K121" s="66">
        <f t="shared" si="7"/>
        <v>0</v>
      </c>
      <c r="L121" s="66">
        <f>'F13-Year(n+2)'!Q121</f>
        <v>0.15250614084507039</v>
      </c>
      <c r="M121" s="66" t="e">
        <f>#REF!</f>
        <v>#REF!</v>
      </c>
      <c r="N121" s="66">
        <f>'F13-Year(n+3)'!Q122</f>
        <v>6.2574084507042216E-2</v>
      </c>
      <c r="O121" s="66">
        <f>'F13-Year(n+4)'!Q122</f>
        <v>6.2574084507042216E-2</v>
      </c>
      <c r="P121" s="66">
        <f>'F13-Year(n+5)'!Q122</f>
        <v>6.257408450704223E-2</v>
      </c>
    </row>
    <row r="122" spans="3:16" x14ac:dyDescent="0.25">
      <c r="C122" s="17"/>
      <c r="D122" s="17" t="s">
        <v>410</v>
      </c>
      <c r="E122" s="66">
        <f>'[48]PP Cost'!$M$125</f>
        <v>1017.83</v>
      </c>
      <c r="F122" s="109">
        <f>'F13-Year(n-1)'!Q122</f>
        <v>927.31116232146337</v>
      </c>
      <c r="G122" s="66"/>
      <c r="H122" s="66">
        <f>'[49]PP Cost'!M129</f>
        <v>907.35</v>
      </c>
      <c r="I122" s="66">
        <f>SUM('F13-Year(n)'!E121:J121)</f>
        <v>0</v>
      </c>
      <c r="J122" s="66">
        <f>SUM('F13-Year(n)'!K121:P121)</f>
        <v>0</v>
      </c>
      <c r="K122" s="66">
        <f t="shared" si="7"/>
        <v>0</v>
      </c>
      <c r="L122" s="66">
        <f>'F13-Year(n+2)'!Q122</f>
        <v>1199.9000052956671</v>
      </c>
      <c r="M122" s="66" t="e">
        <f>#REF!</f>
        <v>#REF!</v>
      </c>
      <c r="N122" s="66">
        <f>'F13-Year(n+3)'!Q123</f>
        <v>1409.6469483884343</v>
      </c>
      <c r="O122" s="66">
        <f>'F13-Year(n+4)'!Q123</f>
        <v>1434.4899560122053</v>
      </c>
      <c r="P122" s="66">
        <f>'F13-Year(n+5)'!Q123</f>
        <v>1460.9830110170974</v>
      </c>
    </row>
    <row r="123" spans="3:16" x14ac:dyDescent="0.25">
      <c r="C123" s="17"/>
      <c r="D123" s="17" t="s">
        <v>411</v>
      </c>
      <c r="E123" s="66">
        <f>'[48]PP Cost'!$M$126</f>
        <v>26.69</v>
      </c>
      <c r="F123" s="109">
        <f>'F13-Year(n-1)'!Q123</f>
        <v>115.84117681833</v>
      </c>
      <c r="G123" s="66"/>
      <c r="H123" s="66">
        <f>'[49]PP Cost'!M130</f>
        <v>11.72</v>
      </c>
      <c r="I123" s="66">
        <f>SUM('F13-Year(n)'!E122:J122)</f>
        <v>0</v>
      </c>
      <c r="J123" s="66">
        <f>SUM('F13-Year(n)'!K122:P122)</f>
        <v>0</v>
      </c>
      <c r="K123" s="66">
        <f t="shared" si="7"/>
        <v>0</v>
      </c>
      <c r="L123" s="66">
        <f>'F13-Year(n+2)'!Q123</f>
        <v>56.499073958091685</v>
      </c>
      <c r="M123" s="66" t="e">
        <f>#REF!</f>
        <v>#REF!</v>
      </c>
      <c r="N123" s="66">
        <f>'F13-Year(n+3)'!Q124</f>
        <v>67.136021007743182</v>
      </c>
      <c r="O123" s="66">
        <f>'F13-Year(n+4)'!Q124</f>
        <v>68.319197180778389</v>
      </c>
      <c r="P123" s="66">
        <f>'F13-Year(n+5)'!Q124</f>
        <v>69.580958715750782</v>
      </c>
    </row>
    <row r="124" spans="3:16" x14ac:dyDescent="0.25">
      <c r="C124" s="17"/>
      <c r="D124" s="17" t="s">
        <v>412</v>
      </c>
      <c r="E124" s="66">
        <f>'[48]PP Cost'!$M$127</f>
        <v>114.46</v>
      </c>
      <c r="F124" s="109">
        <f>'F13-Year(n-1)'!Q124</f>
        <v>120.14141414182596</v>
      </c>
      <c r="G124" s="66"/>
      <c r="H124" s="66">
        <f>'[49]PP Cost'!M131</f>
        <v>111.64</v>
      </c>
      <c r="I124" s="66">
        <f>SUM('F13-Year(n)'!E123:J123)</f>
        <v>0</v>
      </c>
      <c r="J124" s="66">
        <f>SUM('F13-Year(n)'!K123:P123)</f>
        <v>0</v>
      </c>
      <c r="K124" s="66">
        <f t="shared" si="7"/>
        <v>0</v>
      </c>
      <c r="L124" s="66">
        <f>'F13-Year(n+2)'!Q124</f>
        <v>129.11139989137004</v>
      </c>
      <c r="M124" s="66" t="e">
        <f>#REF!</f>
        <v>#REF!</v>
      </c>
      <c r="N124" s="66">
        <f>'F13-Year(n+3)'!Q125</f>
        <v>153.42099180149157</v>
      </c>
      <c r="O124" s="66">
        <f>'F13-Year(n+4)'!Q125</f>
        <v>156.12481694957441</v>
      </c>
      <c r="P124" s="66">
        <f>'F13-Year(n+5)'!Q125</f>
        <v>159.00822742291939</v>
      </c>
    </row>
    <row r="125" spans="3:16" s="118" customFormat="1" x14ac:dyDescent="0.25">
      <c r="C125" s="119"/>
      <c r="D125" s="119" t="s">
        <v>413</v>
      </c>
      <c r="E125" s="120">
        <f>'[48]PP Cost'!$M$128</f>
        <v>58.03</v>
      </c>
      <c r="F125" s="109">
        <f>'F13-Year(n-1)'!Q125</f>
        <v>49.858282804779996</v>
      </c>
      <c r="G125" s="120"/>
      <c r="H125" s="120">
        <f>'[49]PP Cost'!M132</f>
        <v>66.819999999999993</v>
      </c>
      <c r="I125" s="66">
        <f>SUM('F13-Year(n)'!E124:J124)</f>
        <v>0</v>
      </c>
      <c r="J125" s="66">
        <f>SUM('F13-Year(n)'!K124:P124)</f>
        <v>0</v>
      </c>
      <c r="K125" s="120">
        <f t="shared" si="7"/>
        <v>0</v>
      </c>
      <c r="L125" s="120">
        <f>'F13-Year(n+2)'!Q125</f>
        <v>111.8832172242289</v>
      </c>
      <c r="M125" s="120" t="e">
        <f>#REF!</f>
        <v>#REF!</v>
      </c>
      <c r="N125" s="120">
        <f>'F13-Year(n+3)'!Q126</f>
        <v>132.9464453213092</v>
      </c>
      <c r="O125" s="120">
        <f>'F13-Year(n+4)'!Q126</f>
        <v>135.28943592505317</v>
      </c>
      <c r="P125" s="120">
        <f>'F13-Year(n+5)'!Q126</f>
        <v>137.78804558942977</v>
      </c>
    </row>
    <row r="126" spans="3:16" x14ac:dyDescent="0.25">
      <c r="C126" s="17"/>
      <c r="D126" s="17" t="s">
        <v>414</v>
      </c>
      <c r="E126" s="66">
        <f>'[48]PP Cost'!$M$129</f>
        <v>0</v>
      </c>
      <c r="F126" s="109">
        <f>'F13-Year(n-1)'!Q126</f>
        <v>0</v>
      </c>
      <c r="G126" s="66"/>
      <c r="H126" s="66">
        <f>'[49]PP Cost'!$M$133</f>
        <v>88.18</v>
      </c>
      <c r="I126" s="66">
        <f>SUM('F13-Year(n)'!E125:J125)</f>
        <v>0</v>
      </c>
      <c r="J126" s="66">
        <f>SUM('F13-Year(n)'!K125:P125)</f>
        <v>0</v>
      </c>
      <c r="K126" s="66">
        <f t="shared" si="7"/>
        <v>0</v>
      </c>
      <c r="L126" s="66">
        <f>'F13-Year(n+2)'!Q126</f>
        <v>266.26082510652827</v>
      </c>
      <c r="M126" s="66" t="e">
        <f>#REF!</f>
        <v>#REF!</v>
      </c>
      <c r="N126" s="66">
        <f>'F13-Year(n+3)'!Q127</f>
        <v>316.39195802362525</v>
      </c>
      <c r="O126" s="66">
        <f>'F13-Year(n+4)'!Q127</f>
        <v>321.96791293507783</v>
      </c>
      <c r="P126" s="66">
        <f>'F13-Year(n+5)'!Q127</f>
        <v>327.91421711897885</v>
      </c>
    </row>
    <row r="127" spans="3:16" x14ac:dyDescent="0.25">
      <c r="C127" s="17"/>
      <c r="D127" s="17" t="s">
        <v>415</v>
      </c>
      <c r="E127" s="66"/>
      <c r="F127" s="109">
        <f>'F13-Year(n-1)'!Q127</f>
        <v>0</v>
      </c>
      <c r="G127" s="66"/>
      <c r="H127" s="66"/>
      <c r="I127" s="66">
        <f>SUM('F13-Year(n)'!E126:J126)</f>
        <v>0</v>
      </c>
      <c r="J127" s="66">
        <f>SUM('F13-Year(n)'!K126:P126)</f>
        <v>0</v>
      </c>
      <c r="K127" s="66">
        <f t="shared" si="7"/>
        <v>0</v>
      </c>
      <c r="L127" s="66">
        <f>'F13-Year(n+2)'!Q127</f>
        <v>0</v>
      </c>
      <c r="M127" s="66" t="e">
        <f>#REF!</f>
        <v>#REF!</v>
      </c>
      <c r="N127" s="66">
        <f>'F13-Year(n+3)'!Q128</f>
        <v>0</v>
      </c>
      <c r="O127" s="66">
        <f>'F13-Year(n+4)'!Q128</f>
        <v>0</v>
      </c>
      <c r="P127" s="66">
        <f>'F13-Year(n+5)'!Q128</f>
        <v>0</v>
      </c>
    </row>
    <row r="128" spans="3:16" x14ac:dyDescent="0.25">
      <c r="C128" s="17"/>
      <c r="D128" s="17" t="s">
        <v>416</v>
      </c>
      <c r="E128" s="66"/>
      <c r="F128" s="109">
        <f>'F13-Year(n-1)'!Q128</f>
        <v>0</v>
      </c>
      <c r="G128" s="66"/>
      <c r="H128" s="66">
        <f>'[49]PP Cost'!M134</f>
        <v>208.79</v>
      </c>
      <c r="I128" s="66">
        <f>SUM('F13-Year(n)'!E127:J127)</f>
        <v>0</v>
      </c>
      <c r="J128" s="66">
        <f>SUM('F13-Year(n)'!K127:P127)</f>
        <v>0</v>
      </c>
      <c r="K128" s="66">
        <f t="shared" si="7"/>
        <v>0</v>
      </c>
      <c r="L128" s="66">
        <f>'F13-Year(n+2)'!Q128</f>
        <v>325.45430233170674</v>
      </c>
      <c r="M128" s="66" t="e">
        <f>#REF!</f>
        <v>#REF!</v>
      </c>
      <c r="N128" s="66">
        <f>'F13-Year(n+3)'!Q129</f>
        <v>386.73336372738652</v>
      </c>
      <c r="O128" s="66">
        <f>'F13-Year(n+4)'!Q129</f>
        <v>393.54898512424023</v>
      </c>
      <c r="P128" s="66">
        <f>'F13-Year(n+5)'!Q129</f>
        <v>400.81729318475851</v>
      </c>
    </row>
    <row r="129" spans="3:19" x14ac:dyDescent="0.25">
      <c r="C129" s="17"/>
      <c r="D129" s="17" t="s">
        <v>417</v>
      </c>
      <c r="E129" s="66"/>
      <c r="F129" s="109">
        <f>'F13-Year(n-1)'!Q129</f>
        <v>0</v>
      </c>
      <c r="G129" s="66"/>
      <c r="H129" s="66">
        <f>'[49]PP Cost'!M135</f>
        <v>148.44</v>
      </c>
      <c r="I129" s="66">
        <f>SUM('F13-Year(n)'!E128:J128)</f>
        <v>0</v>
      </c>
      <c r="J129" s="66">
        <f>SUM('F13-Year(n)'!K128:P128)</f>
        <v>0</v>
      </c>
      <c r="K129" s="66">
        <f t="shared" si="7"/>
        <v>0</v>
      </c>
      <c r="L129" s="66">
        <f>'F13-Year(n+2)'!Q129</f>
        <v>166.55751957752199</v>
      </c>
      <c r="M129" s="66" t="e">
        <f>#REF!</f>
        <v>#REF!</v>
      </c>
      <c r="N129" s="66">
        <f>'F13-Year(n+3)'!Q130</f>
        <v>197.91257474587229</v>
      </c>
      <c r="O129" s="66">
        <f>'F13-Year(n+4)'!Q130</f>
        <v>201.40050029267161</v>
      </c>
      <c r="P129" s="66">
        <f>'F13-Year(n+5)'!Q130</f>
        <v>205.12009031831354</v>
      </c>
    </row>
    <row r="130" spans="3:19" x14ac:dyDescent="0.25">
      <c r="C130" s="17"/>
      <c r="D130" s="327" t="s">
        <v>418</v>
      </c>
      <c r="E130" s="66"/>
      <c r="F130" s="109">
        <f>'F13-Year(n-1)'!Q130</f>
        <v>13.08973190664075</v>
      </c>
      <c r="G130" s="66"/>
      <c r="H130" s="66"/>
      <c r="I130" s="66">
        <f>SUM('F13-Year(n)'!E129:J129)</f>
        <v>0</v>
      </c>
      <c r="J130" s="66">
        <f>SUM('F13-Year(n)'!K129:P129)</f>
        <v>0</v>
      </c>
      <c r="K130" s="66">
        <f t="shared" si="7"/>
        <v>0</v>
      </c>
      <c r="L130" s="66">
        <f>'F13-Year(n+2)'!Q130</f>
        <v>0</v>
      </c>
      <c r="M130" s="66" t="e">
        <f>#REF!</f>
        <v>#REF!</v>
      </c>
      <c r="N130" s="66">
        <f>'F13-Year(n+3)'!Q131</f>
        <v>0</v>
      </c>
      <c r="O130" s="66">
        <f>'F13-Year(n+4)'!Q131</f>
        <v>0</v>
      </c>
      <c r="P130" s="66">
        <f>'F13-Year(n+5)'!Q131</f>
        <v>0</v>
      </c>
    </row>
    <row r="131" spans="3:19" x14ac:dyDescent="0.25">
      <c r="C131" s="17"/>
      <c r="D131" s="327" t="s">
        <v>419</v>
      </c>
      <c r="E131" s="66"/>
      <c r="F131" s="109">
        <f>'F13-Year(n-1)'!Q131</f>
        <v>23.140718553549998</v>
      </c>
      <c r="G131" s="66"/>
      <c r="H131" s="66"/>
      <c r="I131" s="66">
        <f>SUM('F13-Year(n)'!E130:J130)</f>
        <v>0</v>
      </c>
      <c r="J131" s="66">
        <f>SUM('F13-Year(n)'!K130:P130)</f>
        <v>0</v>
      </c>
      <c r="K131" s="66">
        <f t="shared" si="7"/>
        <v>0</v>
      </c>
      <c r="L131" s="66">
        <f>'F13-Year(n+2)'!Q131</f>
        <v>0</v>
      </c>
      <c r="M131" s="66" t="e">
        <f>#REF!</f>
        <v>#REF!</v>
      </c>
      <c r="N131" s="66">
        <f>'F13-Year(n+3)'!Q132</f>
        <v>0</v>
      </c>
      <c r="O131" s="66">
        <f>'F13-Year(n+4)'!Q132</f>
        <v>0</v>
      </c>
      <c r="P131" s="66">
        <f>'F13-Year(n+5)'!Q132</f>
        <v>0</v>
      </c>
    </row>
    <row r="132" spans="3:19" x14ac:dyDescent="0.25">
      <c r="C132" s="17"/>
      <c r="D132" s="17" t="s">
        <v>626</v>
      </c>
      <c r="E132" s="66"/>
      <c r="F132" s="109">
        <f>'F13-Year(n-1)'!Q133</f>
        <v>0</v>
      </c>
      <c r="G132" s="66"/>
      <c r="H132" s="66"/>
      <c r="I132" s="66">
        <f>SUM('F13-Year(n)'!E131:J131)</f>
        <v>766.51851227576594</v>
      </c>
      <c r="J132" s="66">
        <f>SUM('F13-Year(n)'!K131:P131)</f>
        <v>749.94609617841115</v>
      </c>
      <c r="K132" s="66">
        <f t="shared" si="7"/>
        <v>1516.4646084541771</v>
      </c>
      <c r="L132" s="66">
        <f>'F13-Year(n+2)'!Q132</f>
        <v>0</v>
      </c>
      <c r="M132" s="66" t="e">
        <f>#REF!</f>
        <v>#REF!</v>
      </c>
      <c r="N132" s="66">
        <f>'F13-Year(n+3)'!Q133</f>
        <v>0</v>
      </c>
      <c r="O132" s="66">
        <f>'F13-Year(n+4)'!Q133</f>
        <v>0</v>
      </c>
      <c r="P132" s="66">
        <f>'F13-Year(n+5)'!Q133</f>
        <v>0</v>
      </c>
    </row>
    <row r="133" spans="3:19" hidden="1" x14ac:dyDescent="0.25">
      <c r="C133" s="17"/>
      <c r="D133" s="17"/>
      <c r="E133" s="66"/>
      <c r="F133" s="109">
        <f>'F13-Year(n-1)'!Q134</f>
        <v>0</v>
      </c>
      <c r="G133" s="66"/>
      <c r="H133" s="66"/>
      <c r="I133" s="66">
        <f>SUM('F13-Year(n)'!E132:J132)</f>
        <v>0</v>
      </c>
      <c r="J133" s="66">
        <f>SUM('F13-Year(n)'!K132:P132)</f>
        <v>0</v>
      </c>
      <c r="K133" s="66">
        <f t="shared" si="7"/>
        <v>0</v>
      </c>
      <c r="L133" s="66">
        <f>'F13-Year(n+2)'!Q133</f>
        <v>0</v>
      </c>
      <c r="M133" s="66" t="e">
        <f>#REF!</f>
        <v>#REF!</v>
      </c>
      <c r="N133" s="66">
        <f>'F13-Year(n+3)'!Q134</f>
        <v>0</v>
      </c>
      <c r="O133" s="66">
        <f>'F13-Year(n+4)'!Q134</f>
        <v>0</v>
      </c>
      <c r="P133" s="66">
        <f>'F13-Year(n+5)'!Q134</f>
        <v>0</v>
      </c>
      <c r="S133" s="4">
        <f>SUM(P139)</f>
        <v>0</v>
      </c>
    </row>
    <row r="134" spans="3:19" hidden="1" x14ac:dyDescent="0.25">
      <c r="C134" s="17"/>
      <c r="D134" s="17"/>
      <c r="E134" s="66"/>
      <c r="F134" s="109">
        <f>'F13-Year(n-1)'!Q135</f>
        <v>0</v>
      </c>
      <c r="G134" s="66"/>
      <c r="H134" s="66"/>
      <c r="I134" s="66">
        <f>SUM('F13-Year(n)'!E133:J133)</f>
        <v>0</v>
      </c>
      <c r="J134" s="66">
        <f>SUM('F13-Year(n)'!K133:P133)</f>
        <v>0</v>
      </c>
      <c r="K134" s="66">
        <f t="shared" si="7"/>
        <v>0</v>
      </c>
      <c r="L134" s="66">
        <f>'F13-Year(n+2)'!Q134</f>
        <v>0</v>
      </c>
      <c r="M134" s="66" t="e">
        <f>#REF!</f>
        <v>#REF!</v>
      </c>
      <c r="N134" s="66">
        <f>'F13-Year(n+3)'!Q135</f>
        <v>0</v>
      </c>
      <c r="O134" s="66">
        <f>'F13-Year(n+4)'!Q135</f>
        <v>0</v>
      </c>
      <c r="P134" s="66">
        <f>'F13-Year(n+5)'!Q135</f>
        <v>0</v>
      </c>
    </row>
    <row r="135" spans="3:19" hidden="1" x14ac:dyDescent="0.25">
      <c r="C135" s="17"/>
      <c r="D135" s="17"/>
      <c r="E135" s="66"/>
      <c r="F135" s="109">
        <f>'F13-Year(n-1)'!Q136</f>
        <v>0</v>
      </c>
      <c r="G135" s="66"/>
      <c r="H135" s="66"/>
      <c r="I135" s="66">
        <f>SUM('F13-Year(n)'!E134:J134)</f>
        <v>0</v>
      </c>
      <c r="J135" s="66">
        <f>SUM('F13-Year(n)'!K134:P134)</f>
        <v>0</v>
      </c>
      <c r="K135" s="66">
        <f t="shared" si="7"/>
        <v>0</v>
      </c>
      <c r="L135" s="66">
        <f>'F13-Year(n+2)'!Q135</f>
        <v>0</v>
      </c>
      <c r="M135" s="66" t="e">
        <f>#REF!</f>
        <v>#REF!</v>
      </c>
      <c r="N135" s="66">
        <f>'F13-Year(n+3)'!Q136</f>
        <v>0</v>
      </c>
      <c r="O135" s="66">
        <f>'F13-Year(n+4)'!Q136</f>
        <v>0</v>
      </c>
      <c r="P135" s="66">
        <f>'F13-Year(n+5)'!Q136</f>
        <v>0</v>
      </c>
    </row>
    <row r="136" spans="3:19" hidden="1" x14ac:dyDescent="0.25">
      <c r="C136" s="17"/>
      <c r="D136" s="17"/>
      <c r="E136" s="66"/>
      <c r="F136" s="109">
        <f>'F13-Year(n-1)'!Q137</f>
        <v>0</v>
      </c>
      <c r="G136" s="66"/>
      <c r="H136" s="66"/>
      <c r="I136" s="66">
        <f>SUM('F13-Year(n)'!E135:J135)</f>
        <v>0</v>
      </c>
      <c r="J136" s="66">
        <f>SUM('F13-Year(n)'!K135:P135)</f>
        <v>0</v>
      </c>
      <c r="K136" s="66">
        <f t="shared" si="7"/>
        <v>0</v>
      </c>
      <c r="L136" s="66">
        <f>'F13-Year(n+2)'!Q136</f>
        <v>0</v>
      </c>
      <c r="M136" s="66" t="e">
        <f>#REF!</f>
        <v>#REF!</v>
      </c>
      <c r="N136" s="66">
        <f>'F13-Year(n+3)'!Q137</f>
        <v>0</v>
      </c>
      <c r="O136" s="66">
        <f>'F13-Year(n+4)'!Q137</f>
        <v>0</v>
      </c>
      <c r="P136" s="66">
        <f>'F13-Year(n+5)'!Q137</f>
        <v>0</v>
      </c>
    </row>
    <row r="137" spans="3:19" hidden="1" x14ac:dyDescent="0.25">
      <c r="C137" s="17"/>
      <c r="D137" s="17"/>
      <c r="E137" s="66"/>
      <c r="F137" s="109">
        <f>'F13-Year(n-1)'!Q138</f>
        <v>0</v>
      </c>
      <c r="G137" s="66"/>
      <c r="H137" s="66"/>
      <c r="I137" s="66">
        <f>SUM('F13-Year(n)'!E136:J136)</f>
        <v>0</v>
      </c>
      <c r="J137" s="66">
        <f>SUM('F13-Year(n)'!K136:P136)</f>
        <v>0</v>
      </c>
      <c r="K137" s="66">
        <f t="shared" si="7"/>
        <v>0</v>
      </c>
      <c r="L137" s="66">
        <f>'F13-Year(n+2)'!Q137</f>
        <v>0</v>
      </c>
      <c r="M137" s="66" t="e">
        <f>#REF!</f>
        <v>#REF!</v>
      </c>
      <c r="N137" s="66">
        <f>'F13-Year(n+3)'!Q138</f>
        <v>0</v>
      </c>
      <c r="O137" s="66">
        <f>'F13-Year(n+4)'!Q138</f>
        <v>0</v>
      </c>
      <c r="P137" s="66">
        <f>'F13-Year(n+5)'!Q138</f>
        <v>0</v>
      </c>
    </row>
    <row r="138" spans="3:19" hidden="1" x14ac:dyDescent="0.25">
      <c r="C138" s="17"/>
      <c r="D138" s="17"/>
      <c r="E138" s="66"/>
      <c r="F138" s="109">
        <f>'F13-Year(n-1)'!Q139</f>
        <v>0</v>
      </c>
      <c r="G138" s="66"/>
      <c r="H138" s="66"/>
      <c r="I138" s="66">
        <f>SUM('F13-Year(n)'!E137:J137)</f>
        <v>0</v>
      </c>
      <c r="J138" s="66">
        <f>SUM('F13-Year(n)'!K137:P137)</f>
        <v>0</v>
      </c>
      <c r="K138" s="66">
        <f t="shared" si="7"/>
        <v>0</v>
      </c>
      <c r="L138" s="66">
        <f>'F13-Year(n+2)'!Q138</f>
        <v>0</v>
      </c>
      <c r="M138" s="66" t="e">
        <f>#REF!</f>
        <v>#REF!</v>
      </c>
      <c r="N138" s="66">
        <f>'F13-Year(n+3)'!Q139</f>
        <v>0</v>
      </c>
      <c r="O138" s="66">
        <f>'F13-Year(n+4)'!Q139</f>
        <v>0</v>
      </c>
      <c r="P138" s="66">
        <f>'F13-Year(n+5)'!Q139</f>
        <v>0</v>
      </c>
    </row>
    <row r="139" spans="3:19" hidden="1" x14ac:dyDescent="0.25">
      <c r="C139" s="17"/>
      <c r="D139" s="17"/>
      <c r="E139" s="66"/>
      <c r="F139" s="109">
        <f>'F13-Year(n-1)'!Q140</f>
        <v>1312.0707740894236</v>
      </c>
      <c r="G139" s="66"/>
      <c r="H139" s="66"/>
      <c r="I139" s="66">
        <f>SUM('F13-Year(n)'!E138:J138)</f>
        <v>0</v>
      </c>
      <c r="J139" s="66">
        <f>SUM('F13-Year(n)'!K138:P138)</f>
        <v>0</v>
      </c>
      <c r="K139" s="66">
        <f t="shared" si="7"/>
        <v>0</v>
      </c>
      <c r="L139" s="66">
        <f>'F13-Year(n+2)'!Q139</f>
        <v>0</v>
      </c>
      <c r="M139" s="66" t="e">
        <f>#REF!</f>
        <v>#REF!</v>
      </c>
      <c r="N139" s="66">
        <f>'F13-Year(n+3)'!Q140</f>
        <v>0</v>
      </c>
      <c r="O139" s="66">
        <f>'F13-Year(n+4)'!Q140</f>
        <v>0</v>
      </c>
      <c r="P139" s="66">
        <f>'F13-Year(n+5)'!Q140</f>
        <v>0</v>
      </c>
    </row>
    <row r="140" spans="3:19" x14ac:dyDescent="0.25">
      <c r="C140" s="753" t="s">
        <v>420</v>
      </c>
      <c r="D140" s="754"/>
      <c r="E140" s="86">
        <f>SUM(E116:E139)</f>
        <v>1295.0600000000002</v>
      </c>
      <c r="F140" s="86">
        <f>SUM(F116:F139)</f>
        <v>2624.1415481788472</v>
      </c>
      <c r="G140" s="86">
        <f>F140-E140</f>
        <v>1329.081548178847</v>
      </c>
      <c r="H140" s="86">
        <f>SUM(H116:H139)</f>
        <v>1587.2500000000002</v>
      </c>
      <c r="I140" s="86">
        <f>SUM(I116:I139)</f>
        <v>766.51851227576594</v>
      </c>
      <c r="J140" s="86">
        <f>SUM(J116:J139)</f>
        <v>749.94609617841115</v>
      </c>
      <c r="K140" s="86">
        <f t="shared" si="7"/>
        <v>1516.4646084541771</v>
      </c>
      <c r="L140" s="86">
        <f>'F13-Year(n+2)'!Q140</f>
        <v>2279.4130606901617</v>
      </c>
      <c r="M140" s="86" t="e">
        <f>#REF!</f>
        <v>#REF!</v>
      </c>
      <c r="N140" s="86">
        <f>'F13-Year(n+3)'!Q141</f>
        <v>2664.6263771003696</v>
      </c>
      <c r="O140" s="86">
        <f>'F13-Year(n+4)'!Q141</f>
        <v>2735.7923420774691</v>
      </c>
      <c r="P140" s="86">
        <f>'F13-Year(n+5)'!Q141</f>
        <v>2787.019433283042</v>
      </c>
    </row>
    <row r="141" spans="3:19" x14ac:dyDescent="0.25">
      <c r="C141" s="800" t="s">
        <v>421</v>
      </c>
      <c r="D141" s="801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</row>
    <row r="142" spans="3:19" x14ac:dyDescent="0.25">
      <c r="C142" s="17"/>
      <c r="E142" s="66">
        <f>'[48]PP Cost'!$M$136</f>
        <v>210.83549499999998</v>
      </c>
      <c r="F142" s="109">
        <f>'F13-Year(n-1)'!Q142</f>
        <v>1809.2004322691537</v>
      </c>
      <c r="G142" s="66"/>
      <c r="H142" s="66"/>
      <c r="I142" s="66">
        <f>SUM('F13-Year(n)'!E141:J141)</f>
        <v>0</v>
      </c>
      <c r="J142" s="66">
        <f>SUM('F13-Year(n)'!K141:P141)</f>
        <v>0</v>
      </c>
      <c r="K142" s="66">
        <f t="shared" ref="K142:K166" si="8">I142+J142</f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</row>
    <row r="143" spans="3:19" x14ac:dyDescent="0.25">
      <c r="C143" s="17"/>
      <c r="D143" s="17" t="s">
        <v>627</v>
      </c>
      <c r="E143" s="66"/>
      <c r="F143" s="109">
        <f>'F13-Year(n-1)'!Q143</f>
        <v>0</v>
      </c>
      <c r="G143" s="66"/>
      <c r="H143" s="66"/>
      <c r="I143" s="66">
        <f>SUM('F13-Year(n)'!E142:J142)</f>
        <v>0</v>
      </c>
      <c r="J143" s="66">
        <f>SUM('F13-Year(n)'!K142:P142)</f>
        <v>0</v>
      </c>
      <c r="K143" s="66">
        <f t="shared" si="8"/>
        <v>0</v>
      </c>
      <c r="L143" s="66">
        <f>'F13-Year(n+2)'!Q143</f>
        <v>-422.05430168099122</v>
      </c>
      <c r="M143" s="66" t="e">
        <f>#REF!</f>
        <v>#REF!</v>
      </c>
      <c r="N143" s="66">
        <f>'F13-Year(n+3)'!Q144</f>
        <v>23.74561359087761</v>
      </c>
      <c r="O143" s="66">
        <f>'[34]PP summary'!$J$62</f>
        <v>-172.59028516886247</v>
      </c>
      <c r="P143" s="66">
        <f>'F13-Year(n+5)'!Q144</f>
        <v>-56.704202581571302</v>
      </c>
    </row>
    <row r="144" spans="3:19" x14ac:dyDescent="0.25">
      <c r="C144" s="17"/>
      <c r="D144" s="17" t="s">
        <v>628</v>
      </c>
      <c r="E144" s="66"/>
      <c r="F144" s="109">
        <f>'F13-Year(n-1)'!Q144</f>
        <v>0</v>
      </c>
      <c r="G144" s="66"/>
      <c r="H144" s="66"/>
      <c r="I144" s="66">
        <f>SUM('F13-Year(n)'!E143:J143)</f>
        <v>0</v>
      </c>
      <c r="J144" s="66">
        <f>SUM('F13-Year(n)'!K143:P143)</f>
        <v>0</v>
      </c>
      <c r="K144" s="66">
        <f t="shared" si="8"/>
        <v>0</v>
      </c>
      <c r="L144" s="66">
        <f>'F13-Year(n+2)'!Q142</f>
        <v>243.75784012263694</v>
      </c>
      <c r="M144" s="66" t="e">
        <f>#REF!</f>
        <v>#REF!</v>
      </c>
      <c r="N144" s="66">
        <f>'F13-Year(n+3)'!Q143</f>
        <v>-315.38030793578076</v>
      </c>
      <c r="O144" s="66">
        <f>'F13-Year(n+4)'!Q143</f>
        <v>0</v>
      </c>
      <c r="P144" s="66">
        <f>'F13-Year(n+5)'!Q143</f>
        <v>0</v>
      </c>
    </row>
    <row r="145" spans="3:16" x14ac:dyDescent="0.25">
      <c r="C145" s="17"/>
      <c r="D145" s="17" t="s">
        <v>1223</v>
      </c>
      <c r="E145" s="66"/>
      <c r="F145" s="109">
        <f>'F13-Year(n-1)'!Q145</f>
        <v>0</v>
      </c>
      <c r="G145" s="66"/>
      <c r="H145" s="66"/>
      <c r="I145" s="66">
        <f>SUM('F13-Year(n)'!E144:J144)</f>
        <v>0</v>
      </c>
      <c r="J145" s="66">
        <f>SUM('F13-Year(n)'!K144:P144)</f>
        <v>0</v>
      </c>
      <c r="K145" s="66">
        <f t="shared" si="8"/>
        <v>0</v>
      </c>
      <c r="L145" s="66">
        <f>'F13-Year(n+2)'!Q144</f>
        <v>-1155.2836242362682</v>
      </c>
      <c r="M145" s="66" t="e">
        <f>#REF!</f>
        <v>#REF!</v>
      </c>
      <c r="N145" s="66">
        <f>'F13-Year(n+3)'!Q146</f>
        <v>0</v>
      </c>
      <c r="O145" s="66">
        <f>'F13-Year(n+4)'!Q146</f>
        <v>0</v>
      </c>
      <c r="P145" s="66">
        <f>'F13-Year(n+5)'!Q146</f>
        <v>0</v>
      </c>
    </row>
    <row r="146" spans="3:16" x14ac:dyDescent="0.25">
      <c r="C146" s="17"/>
      <c r="D146" s="17"/>
      <c r="E146" s="66"/>
      <c r="F146" s="109">
        <f>'F13-Year(n-1)'!Q146</f>
        <v>0</v>
      </c>
      <c r="G146" s="66"/>
      <c r="H146" s="66"/>
      <c r="I146" s="66">
        <f>SUM('F13-Year(n)'!E145:J145)</f>
        <v>0</v>
      </c>
      <c r="J146" s="66">
        <f>SUM('F13-Year(n)'!K145:P145)</f>
        <v>0</v>
      </c>
      <c r="K146" s="66">
        <f t="shared" si="8"/>
        <v>0</v>
      </c>
      <c r="L146" s="66">
        <f>'F13-Year(n+2)'!Q146</f>
        <v>0</v>
      </c>
      <c r="M146" s="66" t="e">
        <f>#REF!</f>
        <v>#REF!</v>
      </c>
      <c r="N146" s="66">
        <f>'F13-Year(n+3)'!Q147</f>
        <v>0</v>
      </c>
      <c r="O146" s="66">
        <f>'F13-Year(n+4)'!Q147</f>
        <v>0</v>
      </c>
      <c r="P146" s="66">
        <f>'F13-Year(n+5)'!Q147</f>
        <v>0</v>
      </c>
    </row>
    <row r="147" spans="3:16" x14ac:dyDescent="0.25">
      <c r="C147" s="17"/>
      <c r="D147" s="325" t="s">
        <v>629</v>
      </c>
      <c r="E147" s="66"/>
      <c r="F147" s="109">
        <f>'F13-Year(n-1)'!Q147</f>
        <v>714.91264224234988</v>
      </c>
      <c r="G147" s="66"/>
      <c r="H147" s="66"/>
      <c r="I147" s="66">
        <f>SUM('F13-Year(n)'!E146:J146)</f>
        <v>0</v>
      </c>
      <c r="J147" s="66">
        <f>SUM('F13-Year(n)'!K146:P146)</f>
        <v>0</v>
      </c>
      <c r="K147" s="66">
        <f t="shared" si="8"/>
        <v>0</v>
      </c>
      <c r="L147" s="66"/>
      <c r="M147" s="66"/>
      <c r="N147" s="66"/>
      <c r="O147" s="66"/>
      <c r="P147" s="66"/>
    </row>
    <row r="148" spans="3:16" x14ac:dyDescent="0.25">
      <c r="C148" s="17"/>
      <c r="D148" s="325" t="s">
        <v>630</v>
      </c>
      <c r="E148" s="66"/>
      <c r="F148" s="109">
        <f>'F13-Year(n-1)'!Q148</f>
        <v>1.3792174783999995</v>
      </c>
      <c r="G148" s="66"/>
      <c r="H148" s="66"/>
      <c r="I148" s="66">
        <f>SUM('F13-Year(n)'!E147:J147)</f>
        <v>0</v>
      </c>
      <c r="J148" s="66">
        <f>SUM('F13-Year(n)'!K147:P147)</f>
        <v>0</v>
      </c>
      <c r="K148" s="66">
        <f t="shared" si="8"/>
        <v>0</v>
      </c>
      <c r="L148" s="66"/>
      <c r="M148" s="66"/>
      <c r="N148" s="66"/>
      <c r="O148" s="66"/>
      <c r="P148" s="66"/>
    </row>
    <row r="149" spans="3:16" x14ac:dyDescent="0.25">
      <c r="C149" s="17"/>
      <c r="D149" s="326" t="s">
        <v>631</v>
      </c>
      <c r="E149" s="66"/>
      <c r="F149" s="109">
        <f>'F13-Year(n-1)'!Q149</f>
        <v>32.210907755500003</v>
      </c>
      <c r="G149" s="66"/>
      <c r="H149" s="66"/>
      <c r="I149" s="66">
        <f>SUM('F13-Year(n)'!E148:J148)</f>
        <v>29.227101549399997</v>
      </c>
      <c r="J149" s="66">
        <f>SUM('F13-Year(n)'!K148:P148)</f>
        <v>-9.7469960555999986</v>
      </c>
      <c r="K149" s="66">
        <f t="shared" si="8"/>
        <v>19.480105493799996</v>
      </c>
      <c r="L149" s="66"/>
      <c r="M149" s="66"/>
      <c r="N149" s="66"/>
      <c r="O149" s="66"/>
      <c r="P149" s="66"/>
    </row>
    <row r="150" spans="3:16" x14ac:dyDescent="0.25">
      <c r="C150" s="17"/>
      <c r="D150" s="325" t="s">
        <v>632</v>
      </c>
      <c r="E150" s="66"/>
      <c r="F150" s="109">
        <f>'F13-Year(n-1)'!Q150</f>
        <v>9.5858769903999992</v>
      </c>
      <c r="G150" s="66"/>
      <c r="H150" s="66"/>
      <c r="I150" s="66">
        <f>SUM('F13-Year(n)'!E149:J149)</f>
        <v>4.0459576766928569</v>
      </c>
      <c r="J150" s="66">
        <f>SUM('F13-Year(n)'!K149:P149)</f>
        <v>-4.9593041325928571</v>
      </c>
      <c r="K150" s="66">
        <f t="shared" si="8"/>
        <v>-0.91334645590000019</v>
      </c>
      <c r="L150" s="66"/>
      <c r="M150" s="66"/>
      <c r="N150" s="66"/>
      <c r="O150" s="66"/>
      <c r="P150" s="66"/>
    </row>
    <row r="151" spans="3:16" x14ac:dyDescent="0.25">
      <c r="C151" s="17"/>
      <c r="D151" s="325" t="s">
        <v>633</v>
      </c>
      <c r="E151" s="66"/>
      <c r="F151" s="109">
        <f>'F13-Year(n-1)'!Q151</f>
        <v>-2.86428199695</v>
      </c>
      <c r="G151" s="66"/>
      <c r="H151" s="66"/>
      <c r="I151" s="66">
        <f>SUM('F13-Year(n)'!E150:J150)</f>
        <v>0</v>
      </c>
      <c r="J151" s="66">
        <f>SUM('F13-Year(n)'!K150:P150)</f>
        <v>0</v>
      </c>
      <c r="K151" s="66">
        <f t="shared" si="8"/>
        <v>0</v>
      </c>
      <c r="L151" s="66"/>
      <c r="M151" s="66"/>
      <c r="N151" s="66"/>
      <c r="O151" s="66"/>
      <c r="P151" s="66"/>
    </row>
    <row r="152" spans="3:16" x14ac:dyDescent="0.25">
      <c r="C152" s="17"/>
      <c r="D152" s="325" t="s">
        <v>634</v>
      </c>
      <c r="E152" s="66"/>
      <c r="F152" s="109">
        <f>'F13-Year(n-1)'!Q152</f>
        <v>1.2047915972879975</v>
      </c>
      <c r="G152" s="66"/>
      <c r="H152" s="66"/>
      <c r="I152" s="66">
        <f>SUM('F13-Year(n)'!E151:J151)</f>
        <v>0</v>
      </c>
      <c r="J152" s="66">
        <f>SUM('F13-Year(n)'!K151:P151)</f>
        <v>0</v>
      </c>
      <c r="K152" s="66">
        <f t="shared" si="8"/>
        <v>0</v>
      </c>
      <c r="L152" s="66"/>
      <c r="M152" s="66"/>
      <c r="N152" s="66"/>
      <c r="O152" s="66"/>
      <c r="P152" s="66"/>
    </row>
    <row r="153" spans="3:16" x14ac:dyDescent="0.25">
      <c r="C153" s="17"/>
      <c r="D153" s="325" t="s">
        <v>635</v>
      </c>
      <c r="E153" s="66"/>
      <c r="F153" s="109">
        <f>'F13-Year(n-1)'!Q153</f>
        <v>1005.9486698999999</v>
      </c>
      <c r="G153" s="66"/>
      <c r="H153" s="66"/>
      <c r="I153" s="66">
        <f>SUM('F13-Year(n)'!E152:J152)</f>
        <v>0</v>
      </c>
      <c r="J153" s="66">
        <f>SUM('F13-Year(n)'!K152:P152)</f>
        <v>0</v>
      </c>
      <c r="K153" s="66">
        <f t="shared" si="8"/>
        <v>0</v>
      </c>
      <c r="L153" s="66"/>
      <c r="M153" s="66"/>
      <c r="N153" s="66"/>
      <c r="O153" s="66"/>
      <c r="P153" s="66"/>
    </row>
    <row r="154" spans="3:16" x14ac:dyDescent="0.25">
      <c r="C154" s="17"/>
      <c r="D154" s="325" t="s">
        <v>636</v>
      </c>
      <c r="E154" s="66"/>
      <c r="F154" s="109">
        <f>'F13-Year(n-1)'!Q154</f>
        <v>13.235678800000001</v>
      </c>
      <c r="G154" s="66"/>
      <c r="H154" s="66"/>
      <c r="I154" s="66">
        <f>SUM('F13-Year(n)'!E153:J153)</f>
        <v>0</v>
      </c>
      <c r="J154" s="66">
        <f>SUM('F13-Year(n)'!K153:P153)</f>
        <v>0</v>
      </c>
      <c r="K154" s="66">
        <f t="shared" si="8"/>
        <v>0</v>
      </c>
      <c r="L154" s="66"/>
      <c r="M154" s="66"/>
      <c r="N154" s="66"/>
      <c r="O154" s="66"/>
      <c r="P154" s="66"/>
    </row>
    <row r="155" spans="3:16" x14ac:dyDescent="0.25">
      <c r="C155" s="17"/>
      <c r="D155" s="325" t="s">
        <v>637</v>
      </c>
      <c r="E155" s="66"/>
      <c r="F155" s="109">
        <f>'F13-Year(n-1)'!Q155</f>
        <v>-2.6582839884</v>
      </c>
      <c r="G155" s="66"/>
      <c r="H155" s="66"/>
      <c r="I155" s="66">
        <f>SUM('F13-Year(n)'!E154:J154)</f>
        <v>0</v>
      </c>
      <c r="J155" s="66">
        <f>SUM('F13-Year(n)'!K154:P154)</f>
        <v>-1.3545232999999999E-3</v>
      </c>
      <c r="K155" s="112">
        <f t="shared" si="8"/>
        <v>-1.3545232999999999E-3</v>
      </c>
      <c r="L155" s="66"/>
      <c r="M155" s="66"/>
      <c r="N155" s="66"/>
      <c r="O155" s="66"/>
      <c r="P155" s="66"/>
    </row>
    <row r="156" spans="3:16" x14ac:dyDescent="0.25">
      <c r="C156" s="17"/>
      <c r="D156" s="325" t="s">
        <v>638</v>
      </c>
      <c r="E156" s="66"/>
      <c r="F156" s="109">
        <f>'F13-Year(n-1)'!Q156</f>
        <v>22.067560834897787</v>
      </c>
      <c r="G156" s="66"/>
      <c r="H156" s="66"/>
      <c r="I156" s="66">
        <f>SUM('F13-Year(n)'!E155:J155)</f>
        <v>0</v>
      </c>
      <c r="J156" s="66">
        <f>SUM('F13-Year(n)'!K155:P155)</f>
        <v>0</v>
      </c>
      <c r="K156" s="66">
        <f t="shared" si="8"/>
        <v>0</v>
      </c>
      <c r="L156" s="66"/>
      <c r="M156" s="66"/>
      <c r="N156" s="66"/>
      <c r="O156" s="66"/>
      <c r="P156" s="66"/>
    </row>
    <row r="157" spans="3:16" x14ac:dyDescent="0.25">
      <c r="C157" s="17"/>
      <c r="D157" s="325" t="s">
        <v>639</v>
      </c>
      <c r="E157" s="66"/>
      <c r="F157" s="109">
        <f>'F13-Year(n-1)'!Q157</f>
        <v>0.19106626955</v>
      </c>
      <c r="G157" s="66"/>
      <c r="H157" s="66"/>
      <c r="I157" s="66">
        <f>SUM('F13-Year(n)'!E156:J156)</f>
        <v>0</v>
      </c>
      <c r="J157" s="66">
        <f>SUM('F13-Year(n)'!K156:P156)</f>
        <v>0</v>
      </c>
      <c r="K157" s="66">
        <f t="shared" si="8"/>
        <v>0</v>
      </c>
      <c r="L157" s="66"/>
      <c r="M157" s="66"/>
      <c r="N157" s="66"/>
      <c r="O157" s="66"/>
      <c r="P157" s="66"/>
    </row>
    <row r="158" spans="3:16" x14ac:dyDescent="0.25">
      <c r="C158" s="17"/>
      <c r="D158" s="17" t="s">
        <v>640</v>
      </c>
      <c r="E158" s="66"/>
      <c r="F158" s="109">
        <f>'F13-Year(n-1)'!Q158</f>
        <v>0</v>
      </c>
      <c r="G158" s="66"/>
      <c r="H158" s="66">
        <f>'[49]PP Cost'!$M$141</f>
        <v>154.36747369999998</v>
      </c>
      <c r="I158" s="66">
        <f>SUM('F13-Year(n)'!E157:J157)</f>
        <v>1027.3405788637247</v>
      </c>
      <c r="J158" s="66">
        <f>SUM('F13-Year(n)'!K157:P157)</f>
        <v>1495.2690622869936</v>
      </c>
      <c r="K158" s="66">
        <f t="shared" si="8"/>
        <v>2522.6096411507183</v>
      </c>
      <c r="L158" s="66">
        <f>'F13-Year(n+2)'!Q147</f>
        <v>0</v>
      </c>
      <c r="M158" s="66" t="e">
        <f>#REF!</f>
        <v>#REF!</v>
      </c>
      <c r="N158" s="66">
        <f>'F13-Year(n+3)'!Q148</f>
        <v>0</v>
      </c>
      <c r="O158" s="66">
        <f>'F13-Year(n+4)'!Q148</f>
        <v>0</v>
      </c>
      <c r="P158" s="66">
        <f>'F13-Year(n+5)'!Q148</f>
        <v>0</v>
      </c>
    </row>
    <row r="159" spans="3:16" hidden="1" x14ac:dyDescent="0.25">
      <c r="C159" s="17"/>
      <c r="D159" s="17"/>
      <c r="E159" s="66"/>
      <c r="F159" s="109">
        <f>'F13-Year(n-1)'!Q159</f>
        <v>0</v>
      </c>
      <c r="G159" s="66"/>
      <c r="H159" s="66"/>
      <c r="I159" s="66">
        <f>SUM('F13-Year(n)'!E158:J158)</f>
        <v>0</v>
      </c>
      <c r="J159" s="66">
        <f>SUM('F13-Year(n)'!K158:P158)</f>
        <v>0</v>
      </c>
      <c r="K159" s="66">
        <f t="shared" si="8"/>
        <v>0</v>
      </c>
      <c r="L159" s="66"/>
      <c r="M159" s="66"/>
      <c r="N159" s="66"/>
      <c r="O159" s="66"/>
      <c r="P159" s="66"/>
    </row>
    <row r="160" spans="3:16" hidden="1" x14ac:dyDescent="0.25">
      <c r="C160" s="17"/>
      <c r="D160" s="17"/>
      <c r="E160" s="66"/>
      <c r="F160" s="109">
        <f>'F13-Year(n-1)'!Q160</f>
        <v>0</v>
      </c>
      <c r="G160" s="66"/>
      <c r="H160" s="66"/>
      <c r="I160" s="66">
        <f>SUM('F13-Year(n)'!E159:J159)</f>
        <v>0</v>
      </c>
      <c r="J160" s="66">
        <f>SUM('F13-Year(n)'!K159:P159)</f>
        <v>0</v>
      </c>
      <c r="K160" s="66">
        <f t="shared" si="8"/>
        <v>0</v>
      </c>
      <c r="L160" s="66"/>
      <c r="M160" s="66"/>
      <c r="N160" s="66"/>
      <c r="O160" s="66"/>
      <c r="P160" s="66"/>
    </row>
    <row r="161" spans="2:16" hidden="1" x14ac:dyDescent="0.25">
      <c r="C161" s="17"/>
      <c r="D161" s="17"/>
      <c r="E161" s="66"/>
      <c r="F161" s="109">
        <f>'F13-Year(n-1)'!Q161</f>
        <v>0</v>
      </c>
      <c r="G161" s="66"/>
      <c r="H161" s="66"/>
      <c r="I161" s="66">
        <f>SUM('F13-Year(n)'!E160:J160)</f>
        <v>0</v>
      </c>
      <c r="J161" s="66">
        <f>SUM('F13-Year(n)'!K160:P160)</f>
        <v>0</v>
      </c>
      <c r="K161" s="66">
        <f t="shared" si="8"/>
        <v>0</v>
      </c>
      <c r="L161" s="66">
        <f>'F13-Year(n+2)'!Q148</f>
        <v>0</v>
      </c>
      <c r="M161" s="66" t="e">
        <f>#REF!</f>
        <v>#REF!</v>
      </c>
      <c r="N161" s="66">
        <f>'F13-Year(n+3)'!Q149</f>
        <v>0</v>
      </c>
      <c r="O161" s="66">
        <f>'F13-Year(n+4)'!Q149</f>
        <v>0</v>
      </c>
      <c r="P161" s="66">
        <f>'F13-Year(n+5)'!Q149</f>
        <v>0</v>
      </c>
    </row>
    <row r="162" spans="2:16" hidden="1" x14ac:dyDescent="0.25">
      <c r="C162" s="17"/>
      <c r="D162" s="17"/>
      <c r="E162" s="66"/>
      <c r="F162" s="109">
        <f>'F13-Year(n-1)'!Q162</f>
        <v>0</v>
      </c>
      <c r="G162" s="66"/>
      <c r="H162" s="66"/>
      <c r="I162" s="66">
        <f>SUM('F13-Year(n)'!E161:J161)</f>
        <v>0</v>
      </c>
      <c r="J162" s="66">
        <f>SUM('F13-Year(n)'!K161:P161)</f>
        <v>0</v>
      </c>
      <c r="K162" s="66">
        <f t="shared" si="8"/>
        <v>0</v>
      </c>
      <c r="L162" s="66">
        <f>'F13-Year(n+2)'!Q149</f>
        <v>0</v>
      </c>
      <c r="M162" s="66" t="e">
        <f>#REF!</f>
        <v>#REF!</v>
      </c>
      <c r="N162" s="66">
        <f>'F13-Year(n+3)'!Q150</f>
        <v>0</v>
      </c>
      <c r="O162" s="66">
        <f>'F13-Year(n+4)'!Q150</f>
        <v>0</v>
      </c>
      <c r="P162" s="66">
        <f>'F13-Year(n+5)'!Q150</f>
        <v>0</v>
      </c>
    </row>
    <row r="163" spans="2:16" hidden="1" x14ac:dyDescent="0.25">
      <c r="C163" s="17"/>
      <c r="D163" s="17"/>
      <c r="E163" s="66"/>
      <c r="F163" s="109">
        <f>'F13-Year(n-1)'!Q163</f>
        <v>0</v>
      </c>
      <c r="G163" s="66"/>
      <c r="H163" s="66"/>
      <c r="I163" s="66">
        <f>SUM('F13-Year(n)'!E162:J162)</f>
        <v>0</v>
      </c>
      <c r="J163" s="66">
        <f>SUM('F13-Year(n)'!K162:P162)</f>
        <v>0</v>
      </c>
      <c r="K163" s="66">
        <f t="shared" si="8"/>
        <v>0</v>
      </c>
      <c r="L163" s="66">
        <f>'F13-Year(n+2)'!Q150</f>
        <v>0</v>
      </c>
      <c r="M163" s="66" t="e">
        <f>#REF!</f>
        <v>#REF!</v>
      </c>
      <c r="N163" s="66">
        <f>'F13-Year(n+3)'!Q151</f>
        <v>0</v>
      </c>
      <c r="O163" s="66">
        <f>'F13-Year(n+4)'!Q151</f>
        <v>0</v>
      </c>
      <c r="P163" s="66">
        <f>'F13-Year(n+5)'!Q151</f>
        <v>0</v>
      </c>
    </row>
    <row r="164" spans="2:16" hidden="1" x14ac:dyDescent="0.25">
      <c r="C164" s="17"/>
      <c r="D164" s="17"/>
      <c r="E164" s="66"/>
      <c r="F164" s="109">
        <f>'F13-Year(n-1)'!Q164</f>
        <v>0</v>
      </c>
      <c r="G164" s="66"/>
      <c r="H164" s="66"/>
      <c r="I164" s="66">
        <f>SUM('F13-Year(n)'!E163:J163)</f>
        <v>0</v>
      </c>
      <c r="J164" s="66">
        <f>SUM('F13-Year(n)'!K163:P163)</f>
        <v>0</v>
      </c>
      <c r="K164" s="66">
        <f t="shared" si="8"/>
        <v>0</v>
      </c>
      <c r="L164" s="66">
        <f>'F13-Year(n+2)'!Q151</f>
        <v>0</v>
      </c>
      <c r="M164" s="66" t="e">
        <f>#REF!</f>
        <v>#REF!</v>
      </c>
      <c r="N164" s="66">
        <f>'F13-Year(n+3)'!Q152</f>
        <v>0</v>
      </c>
      <c r="O164" s="66">
        <f>'F13-Year(n+4)'!Q152</f>
        <v>0</v>
      </c>
      <c r="P164" s="66">
        <f>'F13-Year(n+5)'!Q152</f>
        <v>0</v>
      </c>
    </row>
    <row r="165" spans="2:16" hidden="1" x14ac:dyDescent="0.25">
      <c r="C165" s="17"/>
      <c r="D165" s="17"/>
      <c r="E165" s="66"/>
      <c r="F165" s="109">
        <f>'F13-Year(n-1)'!Q165</f>
        <v>0</v>
      </c>
      <c r="G165" s="66"/>
      <c r="H165" s="66"/>
      <c r="I165" s="66">
        <f>SUM('F13-Year(n)'!E164:J164)</f>
        <v>0</v>
      </c>
      <c r="J165" s="66">
        <f>SUM('F13-Year(n)'!K152:P152)</f>
        <v>0</v>
      </c>
      <c r="K165" s="66">
        <f t="shared" si="8"/>
        <v>0</v>
      </c>
      <c r="L165" s="66">
        <f>'F13-Year(n+2)'!Q152</f>
        <v>0</v>
      </c>
      <c r="M165" s="66" t="e">
        <f>#REF!</f>
        <v>#REF!</v>
      </c>
      <c r="N165" s="66">
        <f>'F13-Year(n+3)'!Q153</f>
        <v>0</v>
      </c>
      <c r="O165" s="66">
        <f>'F13-Year(n+4)'!Q153</f>
        <v>0</v>
      </c>
      <c r="P165" s="66">
        <f>'F13-Year(n+5)'!Q153</f>
        <v>0</v>
      </c>
    </row>
    <row r="166" spans="2:16" x14ac:dyDescent="0.25">
      <c r="C166" s="753" t="s">
        <v>423</v>
      </c>
      <c r="D166" s="754"/>
      <c r="E166" s="86">
        <f>SUM(E142:E165)</f>
        <v>210.83549499999998</v>
      </c>
      <c r="F166" s="86">
        <f>SUM(F142:F165)</f>
        <v>3604.4142781521891</v>
      </c>
      <c r="G166" s="86">
        <f>F166-E166</f>
        <v>3393.5787831521893</v>
      </c>
      <c r="H166" s="86">
        <f>SUM(H142:H165)</f>
        <v>154.36747369999998</v>
      </c>
      <c r="I166" s="86">
        <f>SUM(I142:I165)</f>
        <v>1060.6136380898174</v>
      </c>
      <c r="J166" s="86">
        <f>SUM(J142:J165)</f>
        <v>1480.5614075755009</v>
      </c>
      <c r="K166" s="86">
        <f t="shared" si="8"/>
        <v>2541.1750456653181</v>
      </c>
      <c r="L166" s="86">
        <f>SUM(L142:L165)</f>
        <v>-1333.5800857946224</v>
      </c>
      <c r="M166" s="86" t="e">
        <f>SUM(M142:M165)</f>
        <v>#REF!</v>
      </c>
      <c r="N166" s="86">
        <f>SUM(N142:N165)</f>
        <v>-291.63469434490315</v>
      </c>
      <c r="O166" s="86">
        <f>SUM(O142:O165)</f>
        <v>-172.59028516886247</v>
      </c>
      <c r="P166" s="86">
        <f>SUM(P142:P165)</f>
        <v>-56.704202581571302</v>
      </c>
    </row>
    <row r="167" spans="2:16" x14ac:dyDescent="0.25">
      <c r="C167" s="800" t="s">
        <v>424</v>
      </c>
      <c r="D167" s="801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</row>
    <row r="168" spans="2:16" x14ac:dyDescent="0.25">
      <c r="C168" s="17" t="s">
        <v>425</v>
      </c>
      <c r="D168" s="17" t="s">
        <v>426</v>
      </c>
      <c r="E168" s="66">
        <f>'[48]PP Cost'!$M$138</f>
        <v>152.52000000000001</v>
      </c>
      <c r="F168" s="109"/>
      <c r="G168" s="66"/>
      <c r="H168" s="66">
        <f>'[49]PP Cost'!M142</f>
        <v>25.39</v>
      </c>
      <c r="I168" s="66">
        <f>SUM('F13-Year(n)'!E167:J167)</f>
        <v>0</v>
      </c>
      <c r="J168" s="66">
        <f>SUM('F13-Year(n)'!K167:P167)</f>
        <v>0</v>
      </c>
      <c r="K168" s="66">
        <f>I168+J168</f>
        <v>0</v>
      </c>
      <c r="L168" s="66">
        <f>'F13-Year(n+2)'!Q174</f>
        <v>0</v>
      </c>
      <c r="M168" s="66" t="e">
        <f>#REF!</f>
        <v>#REF!</v>
      </c>
      <c r="N168" s="66">
        <f>'F13-Year(n+3)'!Q175</f>
        <v>0</v>
      </c>
      <c r="O168" s="66">
        <f>'F13-Year(n+4)'!Q175</f>
        <v>0</v>
      </c>
      <c r="P168" s="66">
        <f>'F13-Year(n+5)'!Q175</f>
        <v>-2416.4670161010145</v>
      </c>
    </row>
    <row r="169" spans="2:16" x14ac:dyDescent="0.25">
      <c r="C169" s="17" t="s">
        <v>425</v>
      </c>
      <c r="D169" s="17" t="s">
        <v>427</v>
      </c>
      <c r="E169" s="66">
        <f>'[48]PP Cost'!$M$139</f>
        <v>-212.64</v>
      </c>
      <c r="F169" s="109"/>
      <c r="G169" s="66"/>
      <c r="H169" s="66">
        <f>'[49]PP Cost'!M143</f>
        <v>-235.3</v>
      </c>
      <c r="I169" s="66">
        <f>SUM('F13-Year(n)'!E168:J168)</f>
        <v>0</v>
      </c>
      <c r="J169" s="66">
        <f>SUM('F13-Year(n)'!K168:P168)</f>
        <v>0</v>
      </c>
      <c r="K169" s="66">
        <f>I169+J169</f>
        <v>0</v>
      </c>
      <c r="L169" s="66">
        <f>'F13-Year(n+2)'!Q175</f>
        <v>-655.55282535454887</v>
      </c>
      <c r="M169" s="66" t="e">
        <f>#REF!</f>
        <v>#REF!</v>
      </c>
      <c r="N169" s="66">
        <f>'F13-Year(n+3)'!Q176</f>
        <v>-1403.5521992963775</v>
      </c>
      <c r="O169" s="66">
        <f>'F13-Year(n+4)'!Q176</f>
        <v>-1905.122163920206</v>
      </c>
      <c r="P169" s="66">
        <f>'F13-Year(n+5)'!Q176</f>
        <v>0</v>
      </c>
    </row>
    <row r="170" spans="2:16" x14ac:dyDescent="0.25">
      <c r="C170" s="17"/>
      <c r="D170" s="17"/>
      <c r="E170" s="66"/>
      <c r="F170" s="109"/>
      <c r="G170" s="66"/>
      <c r="H170" s="66"/>
      <c r="I170" s="66"/>
      <c r="J170" s="66"/>
      <c r="K170" s="66"/>
      <c r="L170" s="66"/>
      <c r="M170" s="66" t="e">
        <f>#REF!</f>
        <v>#REF!</v>
      </c>
      <c r="N170" s="66">
        <f>'F13-Year(n+3)'!Q157</f>
        <v>0</v>
      </c>
      <c r="O170" s="66">
        <f>'F13-Year(n+4)'!Q157</f>
        <v>0</v>
      </c>
      <c r="P170" s="66">
        <f>'F13-Year(n+5)'!Q157</f>
        <v>0</v>
      </c>
    </row>
    <row r="171" spans="2:16" x14ac:dyDescent="0.25">
      <c r="C171" s="753" t="s">
        <v>428</v>
      </c>
      <c r="D171" s="754"/>
      <c r="E171" s="86">
        <f>E168+E169+E170</f>
        <v>-60.119999999999976</v>
      </c>
      <c r="F171" s="86">
        <f>F168+F169+F170</f>
        <v>0</v>
      </c>
      <c r="G171" s="86">
        <f>F171-E171</f>
        <v>60.119999999999976</v>
      </c>
      <c r="H171" s="86">
        <f>H168+H169+H170</f>
        <v>-209.91000000000003</v>
      </c>
      <c r="I171" s="86">
        <f>I168+I169+I170</f>
        <v>0</v>
      </c>
      <c r="J171" s="86">
        <f>J168+J169+J170</f>
        <v>0</v>
      </c>
      <c r="K171" s="86">
        <f>I171+J171</f>
        <v>0</v>
      </c>
      <c r="L171" s="86">
        <f>SUM(L168:L170)</f>
        <v>-655.55282535454887</v>
      </c>
      <c r="M171" s="86" t="e">
        <f>SUM(M168:M170)</f>
        <v>#REF!</v>
      </c>
      <c r="N171" s="86">
        <f>SUM(N168:N170)</f>
        <v>-1403.5521992963775</v>
      </c>
      <c r="O171" s="86">
        <f>SUM(O168:O170)</f>
        <v>-1905.122163920206</v>
      </c>
      <c r="P171" s="86">
        <f>SUM(P168:P170)</f>
        <v>-2416.4670161010145</v>
      </c>
    </row>
    <row r="172" spans="2:16" x14ac:dyDescent="0.25">
      <c r="C172" s="753" t="s">
        <v>220</v>
      </c>
      <c r="D172" s="754"/>
      <c r="E172" s="86">
        <f>E50+E95+E104+E114+E140+E166+E171</f>
        <v>10799.348914999999</v>
      </c>
      <c r="F172" s="86">
        <f>F50+F95+F104+F114+F140+F166+F171</f>
        <v>16838.143155070262</v>
      </c>
      <c r="G172" s="86">
        <f>F172-E172</f>
        <v>6038.7942400702632</v>
      </c>
      <c r="H172" s="86">
        <f t="shared" ref="H172:P172" si="9">H50+H95+H104+H114+H140+H166+H171</f>
        <v>11299.286793359999</v>
      </c>
      <c r="I172" s="86">
        <f t="shared" si="9"/>
        <v>6541.2364736174368</v>
      </c>
      <c r="J172" s="86">
        <f t="shared" si="9"/>
        <v>7361.0079419331096</v>
      </c>
      <c r="K172" s="86">
        <f t="shared" si="9"/>
        <v>13902.244415550544</v>
      </c>
      <c r="L172" s="86">
        <f>L50+L95+L104+L114+L140+L166+L171</f>
        <v>14041.675596203731</v>
      </c>
      <c r="M172" s="86" t="e">
        <f>M50+M95+M104+M114+M140+M166+M171</f>
        <v>#REF!</v>
      </c>
      <c r="N172" s="86">
        <f>N50+N95+N104+N114+N140+N166+N171</f>
        <v>14736.327872289767</v>
      </c>
      <c r="O172" s="86">
        <f t="shared" si="9"/>
        <v>15750.551087096273</v>
      </c>
      <c r="P172" s="86">
        <f t="shared" si="9"/>
        <v>16359.855569823594</v>
      </c>
    </row>
    <row r="174" spans="2:16" x14ac:dyDescent="0.25">
      <c r="C174" s="22" t="s">
        <v>641</v>
      </c>
      <c r="I174" s="25"/>
      <c r="L174" s="25" t="s">
        <v>229</v>
      </c>
    </row>
    <row r="175" spans="2:16" x14ac:dyDescent="0.25">
      <c r="B175" s="14"/>
      <c r="C175" s="14"/>
      <c r="D175" s="57"/>
      <c r="E175" s="57"/>
      <c r="F175" s="57"/>
      <c r="G175" s="57"/>
      <c r="H175" s="57"/>
      <c r="I175" s="57"/>
      <c r="J175" s="57"/>
      <c r="K175" s="57"/>
      <c r="P175" s="15" t="s">
        <v>3</v>
      </c>
    </row>
    <row r="176" spans="2:16" ht="15" hidden="1" customHeight="1" x14ac:dyDescent="0.25">
      <c r="B176" s="60"/>
      <c r="C176" s="827" t="s">
        <v>346</v>
      </c>
      <c r="D176" s="762" t="s">
        <v>347</v>
      </c>
      <c r="E176" s="755" t="s">
        <v>299</v>
      </c>
      <c r="F176" s="756"/>
      <c r="G176" s="757"/>
      <c r="H176" s="755" t="s">
        <v>300</v>
      </c>
      <c r="I176" s="756"/>
      <c r="J176" s="756"/>
      <c r="K176" s="756"/>
      <c r="L176" s="768" t="s">
        <v>9</v>
      </c>
      <c r="M176" s="768"/>
      <c r="N176" s="768"/>
      <c r="O176" s="768"/>
      <c r="P176" s="768"/>
    </row>
    <row r="177" spans="2:16" ht="21.6" customHeight="1" x14ac:dyDescent="0.25">
      <c r="B177" s="60"/>
      <c r="C177" s="828"/>
      <c r="D177" s="764"/>
      <c r="E177" s="7" t="s">
        <v>10</v>
      </c>
      <c r="F177" s="7" t="s">
        <v>11</v>
      </c>
      <c r="G177" s="7" t="s">
        <v>12</v>
      </c>
      <c r="H177" s="7" t="s">
        <v>10</v>
      </c>
      <c r="I177" s="7" t="s">
        <v>13</v>
      </c>
      <c r="J177" s="7" t="s">
        <v>14</v>
      </c>
      <c r="K177" s="7" t="s">
        <v>15</v>
      </c>
      <c r="L177" s="514" t="s">
        <v>1236</v>
      </c>
      <c r="M177" s="7" t="s">
        <v>17</v>
      </c>
      <c r="N177" s="7" t="s">
        <v>18</v>
      </c>
      <c r="O177" s="7" t="s">
        <v>19</v>
      </c>
      <c r="P177" s="7" t="s">
        <v>20</v>
      </c>
    </row>
    <row r="178" spans="2:16" x14ac:dyDescent="0.25">
      <c r="B178" s="60"/>
      <c r="C178" s="829"/>
      <c r="D178" s="766"/>
      <c r="E178" s="7" t="s">
        <v>21</v>
      </c>
      <c r="F178" s="7" t="s">
        <v>22</v>
      </c>
      <c r="G178" s="7" t="s">
        <v>23</v>
      </c>
      <c r="H178" s="7" t="s">
        <v>21</v>
      </c>
      <c r="I178" s="7" t="s">
        <v>24</v>
      </c>
      <c r="J178" s="7" t="s">
        <v>25</v>
      </c>
      <c r="K178" s="7" t="s">
        <v>25</v>
      </c>
      <c r="L178" s="7" t="s">
        <v>26</v>
      </c>
      <c r="M178" s="7" t="s">
        <v>26</v>
      </c>
      <c r="N178" s="7" t="s">
        <v>26</v>
      </c>
      <c r="O178" s="7" t="s">
        <v>26</v>
      </c>
      <c r="P178" s="7" t="s">
        <v>26</v>
      </c>
    </row>
    <row r="179" spans="2:16" x14ac:dyDescent="0.25">
      <c r="B179" s="60"/>
      <c r="C179" s="800" t="s">
        <v>348</v>
      </c>
      <c r="D179" s="801"/>
      <c r="E179" s="59"/>
      <c r="F179" s="59"/>
      <c r="G179" s="58"/>
      <c r="H179" s="59"/>
      <c r="I179" s="17"/>
      <c r="J179" s="17"/>
      <c r="K179" s="17"/>
      <c r="L179" s="17"/>
      <c r="M179" s="17"/>
      <c r="N179" s="17"/>
      <c r="O179" s="17"/>
      <c r="P179" s="17"/>
    </row>
    <row r="180" spans="2:16" x14ac:dyDescent="0.25">
      <c r="C180" s="753" t="s">
        <v>349</v>
      </c>
      <c r="D180" s="754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</row>
    <row r="181" spans="2:16" x14ac:dyDescent="0.25">
      <c r="B181" s="60"/>
      <c r="C181" s="802" t="s">
        <v>350</v>
      </c>
      <c r="D181" s="59" t="s">
        <v>351</v>
      </c>
      <c r="E181" s="109">
        <f>'[48]PP Cost'!$J$78</f>
        <v>109.674745</v>
      </c>
      <c r="F181" s="109">
        <f>'F13-Year(n-1)'!Q181</f>
        <v>109.6747450589</v>
      </c>
      <c r="G181" s="109"/>
      <c r="H181" s="109">
        <f>'[49]PP Cost'!J80</f>
        <v>116.05361499999999</v>
      </c>
      <c r="I181" s="66">
        <f>SUM('F13-Year(n)'!E180:J180)</f>
        <v>56.3275425</v>
      </c>
      <c r="J181" s="66">
        <f>SUM('F13-Year(n)'!K180:P180)</f>
        <v>56.3275425</v>
      </c>
      <c r="K181" s="66">
        <f t="shared" ref="K181:K199" si="10">I181+J181</f>
        <v>112.655085</v>
      </c>
      <c r="L181" s="66">
        <f>'F13-Year(n+2)'!Q186</f>
        <v>112.09259000000004</v>
      </c>
      <c r="M181" s="66" t="e">
        <f>#REF!</f>
        <v>#REF!</v>
      </c>
      <c r="N181" s="66">
        <f>'F13-Year(n+3)'!Q187</f>
        <v>128.16639999999998</v>
      </c>
      <c r="O181" s="66">
        <f>'F13-Year(n+4)'!Q187</f>
        <v>134.27432999999996</v>
      </c>
      <c r="P181" s="66">
        <f>'F13-Year(n+5)'!Q187</f>
        <v>138.23240999999999</v>
      </c>
    </row>
    <row r="182" spans="2:16" x14ac:dyDescent="0.25">
      <c r="B182" s="60"/>
      <c r="C182" s="803"/>
      <c r="D182" s="59" t="s">
        <v>352</v>
      </c>
      <c r="E182" s="109">
        <f>'[48]PP Cost'!$J$79</f>
        <v>153.66715499999998</v>
      </c>
      <c r="F182" s="109">
        <f>'F13-Year(n-1)'!Q182</f>
        <v>153.66715500000007</v>
      </c>
      <c r="G182" s="109"/>
      <c r="H182" s="109">
        <f>'[49]PP Cost'!J81</f>
        <v>149.92406</v>
      </c>
      <c r="I182" s="66">
        <f>SUM('F13-Year(n)'!E181:J181)</f>
        <v>88.037829941099986</v>
      </c>
      <c r="J182" s="66">
        <f>SUM('F13-Year(n)'!K181:P181)</f>
        <v>88.037829941099986</v>
      </c>
      <c r="K182" s="66">
        <f t="shared" si="10"/>
        <v>176.07565988219997</v>
      </c>
      <c r="L182" s="66">
        <f>'F13-Year(n+2)'!Q187</f>
        <v>130.27502000000001</v>
      </c>
      <c r="M182" s="66" t="e">
        <f>#REF!</f>
        <v>#REF!</v>
      </c>
      <c r="N182" s="66">
        <f>'F13-Year(n+3)'!Q188</f>
        <v>159.69262499999999</v>
      </c>
      <c r="O182" s="66">
        <f>'F13-Year(n+4)'!Q188</f>
        <v>165.12320500000004</v>
      </c>
      <c r="P182" s="66">
        <f>'F13-Year(n+5)'!Q188</f>
        <v>170.13264999999996</v>
      </c>
    </row>
    <row r="183" spans="2:16" x14ac:dyDescent="0.25">
      <c r="B183" s="60"/>
      <c r="C183" s="803"/>
      <c r="D183" s="59" t="s">
        <v>353</v>
      </c>
      <c r="E183" s="109">
        <f>'[48]PP Cost'!$J$80</f>
        <v>312.37615</v>
      </c>
      <c r="F183" s="109">
        <f>'F13-Year(n-1)'!Q183</f>
        <v>223.73482362034994</v>
      </c>
      <c r="G183" s="109"/>
      <c r="H183" s="109">
        <f>'[49]PP Cost'!J82</f>
        <v>392.94545999999997</v>
      </c>
      <c r="I183" s="66">
        <f>SUM('F13-Year(n)'!E182:J182)</f>
        <v>198.11162250000001</v>
      </c>
      <c r="J183" s="66">
        <f>SUM('F13-Year(n)'!K182:P182)</f>
        <v>198.11162250000001</v>
      </c>
      <c r="K183" s="66">
        <f t="shared" si="10"/>
        <v>396.22324500000002</v>
      </c>
      <c r="L183" s="66">
        <f>'F13-Year(n+2)'!Q188</f>
        <v>382.91479000000004</v>
      </c>
      <c r="M183" s="66" t="e">
        <f>#REF!</f>
        <v>#REF!</v>
      </c>
      <c r="N183" s="66">
        <f>'F13-Year(n+3)'!Q189</f>
        <v>434.19018499999993</v>
      </c>
      <c r="O183" s="66">
        <f>'F13-Year(n+4)'!Q189</f>
        <v>437.98923500000012</v>
      </c>
      <c r="P183" s="66">
        <f>'F13-Year(n+5)'!Q189</f>
        <v>443.03696499999995</v>
      </c>
    </row>
    <row r="184" spans="2:16" x14ac:dyDescent="0.25">
      <c r="B184" s="60"/>
      <c r="C184" s="803"/>
      <c r="D184" s="59" t="s">
        <v>354</v>
      </c>
      <c r="E184" s="109">
        <f>'[48]PP Cost'!$J$81</f>
        <v>33.349179999999997</v>
      </c>
      <c r="F184" s="109">
        <f>'F13-Year(n-1)'!Q184</f>
        <v>24.829576129699998</v>
      </c>
      <c r="G184" s="109"/>
      <c r="H184" s="109">
        <f>'[49]PP Cost'!J83</f>
        <v>34.36815</v>
      </c>
      <c r="I184" s="66">
        <f>SUM('F13-Year(n)'!E183:J183)</f>
        <v>11.334676713699999</v>
      </c>
      <c r="J184" s="66">
        <f>SUM('F13-Year(n)'!K183:P183)</f>
        <v>9.4659972019499996</v>
      </c>
      <c r="K184" s="66">
        <f t="shared" si="10"/>
        <v>20.800673915649998</v>
      </c>
      <c r="L184" s="66">
        <f>'F13-Year(n+2)'!Q189</f>
        <v>0</v>
      </c>
      <c r="M184" s="66" t="e">
        <f>#REF!</f>
        <v>#REF!</v>
      </c>
      <c r="N184" s="66">
        <f>'F13-Year(n+3)'!Q190</f>
        <v>38.682574999999979</v>
      </c>
      <c r="O184" s="66">
        <f>'F13-Year(n+4)'!Q190</f>
        <v>40.458410000000008</v>
      </c>
      <c r="P184" s="66">
        <f>'F13-Year(n+5)'!Q190</f>
        <v>42.325539999999997</v>
      </c>
    </row>
    <row r="185" spans="2:16" x14ac:dyDescent="0.25">
      <c r="B185" s="60"/>
      <c r="C185" s="803"/>
      <c r="D185" s="59" t="s">
        <v>355</v>
      </c>
      <c r="E185" s="109">
        <f>'[48]PP Cost'!$J$82</f>
        <v>144.31383499999998</v>
      </c>
      <c r="F185" s="109">
        <f>'F13-Year(n-1)'!Q185</f>
        <v>138.82990927</v>
      </c>
      <c r="G185" s="109"/>
      <c r="H185" s="109">
        <f>'[49]PP Cost'!J84</f>
        <v>118.45673499999999</v>
      </c>
      <c r="I185" s="66">
        <f>SUM('F13-Year(n)'!E184:J184)</f>
        <v>61.825857558899983</v>
      </c>
      <c r="J185" s="66">
        <f>SUM('F13-Year(n)'!K184:P184)</f>
        <v>61.825857558899983</v>
      </c>
      <c r="K185" s="66">
        <f t="shared" si="10"/>
        <v>123.65171511779997</v>
      </c>
      <c r="L185" s="66">
        <f>'F13-Year(n+2)'!Q190</f>
        <v>129.44158499999998</v>
      </c>
      <c r="M185" s="66" t="e">
        <f>#REF!</f>
        <v>#REF!</v>
      </c>
      <c r="N185" s="66">
        <f>'F13-Year(n+3)'!Q191</f>
        <v>140.01707999999994</v>
      </c>
      <c r="O185" s="66">
        <f>'F13-Year(n+4)'!Q191</f>
        <v>144.11357500000003</v>
      </c>
      <c r="P185" s="66">
        <f>'F13-Year(n+5)'!Q191</f>
        <v>148.08049</v>
      </c>
    </row>
    <row r="186" spans="2:16" x14ac:dyDescent="0.25">
      <c r="B186" s="60"/>
      <c r="C186" s="803"/>
      <c r="D186" s="59" t="s">
        <v>356</v>
      </c>
      <c r="E186" s="109">
        <f>'[48]PP Cost'!$J$83</f>
        <v>212.072395</v>
      </c>
      <c r="F186" s="109">
        <f>'F13-Year(n-1)'!Q186</f>
        <v>212.07239511780006</v>
      </c>
      <c r="G186" s="109"/>
      <c r="H186" s="109">
        <f>'[49]PP Cost'!J85</f>
        <v>220.436195</v>
      </c>
      <c r="I186" s="66">
        <f>SUM('F13-Year(n)'!E185:J185)</f>
        <v>110.31969994109998</v>
      </c>
      <c r="J186" s="66">
        <f>SUM('F13-Year(n)'!K185:P185)</f>
        <v>110.31969994109998</v>
      </c>
      <c r="K186" s="66">
        <f t="shared" si="10"/>
        <v>220.63939988219997</v>
      </c>
      <c r="L186" s="66">
        <f>'F13-Year(n+2)'!Q191</f>
        <v>197.45635999999996</v>
      </c>
      <c r="M186" s="66" t="e">
        <f>#REF!</f>
        <v>#REF!</v>
      </c>
      <c r="N186" s="66">
        <f>'F13-Year(n+3)'!Q192</f>
        <v>249.41794000000007</v>
      </c>
      <c r="O186" s="66">
        <f>'F13-Year(n+4)'!Q192</f>
        <v>248.78770999999995</v>
      </c>
      <c r="P186" s="66">
        <f>'F13-Year(n+5)'!Q192</f>
        <v>248.1398100000001</v>
      </c>
    </row>
    <row r="187" spans="2:16" x14ac:dyDescent="0.25">
      <c r="B187" s="60"/>
      <c r="C187" s="803"/>
      <c r="D187" s="59" t="s">
        <v>357</v>
      </c>
      <c r="E187" s="109">
        <f>'[48]PP Cost'!$J$84</f>
        <v>569.52176999999995</v>
      </c>
      <c r="F187" s="109">
        <f>'F13-Year(n-1)'!Q187</f>
        <v>437.72773213469998</v>
      </c>
      <c r="G187" s="109"/>
      <c r="H187" s="109">
        <f>'[49]PP Cost'!J86</f>
        <v>415.73092500000001</v>
      </c>
      <c r="I187" s="66">
        <f>SUM('F13-Year(n)'!E186:J186)</f>
        <v>163.44812631315</v>
      </c>
      <c r="J187" s="66">
        <f>SUM('F13-Year(n)'!K186:P186)</f>
        <v>200.65542980309999</v>
      </c>
      <c r="K187" s="66">
        <f t="shared" si="10"/>
        <v>364.10355611624999</v>
      </c>
      <c r="L187" s="66">
        <f>'F13-Year(n+2)'!Q192</f>
        <v>421.87124999999997</v>
      </c>
      <c r="M187" s="66" t="e">
        <f>#REF!</f>
        <v>#REF!</v>
      </c>
      <c r="N187" s="66">
        <f>'F13-Year(n+3)'!Q193</f>
        <v>612.91634499999986</v>
      </c>
      <c r="O187" s="66">
        <f>'F13-Year(n+4)'!Q193</f>
        <v>609.76225000000011</v>
      </c>
      <c r="P187" s="66">
        <f>'F13-Year(n+5)'!Q193</f>
        <v>606.77307499999972</v>
      </c>
    </row>
    <row r="188" spans="2:16" x14ac:dyDescent="0.25">
      <c r="B188" s="60"/>
      <c r="C188" s="803"/>
      <c r="D188" s="59" t="s">
        <v>358</v>
      </c>
      <c r="E188" s="109" t="e">
        <f>'[48]PP Cost'!$J$85</f>
        <v>#REF!</v>
      </c>
      <c r="F188" s="109">
        <f>'F13-Year(n-1)'!Q188</f>
        <v>0</v>
      </c>
      <c r="G188" s="109"/>
      <c r="H188" s="109">
        <f>'[49]PP Cost'!J87</f>
        <v>32.745455</v>
      </c>
      <c r="I188" s="66">
        <f>SUM('F13-Year(n)'!E187:J187)</f>
        <v>0</v>
      </c>
      <c r="J188" s="66">
        <f>SUM('F13-Year(n)'!K187:P187)</f>
        <v>0</v>
      </c>
      <c r="K188" s="66">
        <f t="shared" si="10"/>
        <v>0</v>
      </c>
      <c r="L188" s="66">
        <f>'F13-Year(n+2)'!Q193</f>
        <v>2019.5474442499994</v>
      </c>
      <c r="M188" s="66" t="e">
        <f>#REF!</f>
        <v>#REF!</v>
      </c>
      <c r="N188" s="66">
        <f>'F13-Year(n+3)'!Q194</f>
        <v>2063.8015206417381</v>
      </c>
      <c r="O188" s="66">
        <f>'F13-Year(n+4)'!Q194</f>
        <v>2022.4445024874221</v>
      </c>
      <c r="P188" s="66">
        <f>'F13-Year(n+5)'!Q194</f>
        <v>1975.8836046211186</v>
      </c>
    </row>
    <row r="189" spans="2:16" x14ac:dyDescent="0.25">
      <c r="B189" s="60"/>
      <c r="C189" s="803"/>
      <c r="D189" s="325" t="s">
        <v>620</v>
      </c>
      <c r="E189" s="109"/>
      <c r="F189" s="109">
        <f>'F13-Year(n-1)'!Q189</f>
        <v>7.023151036749999</v>
      </c>
      <c r="G189" s="109"/>
      <c r="H189" s="109"/>
      <c r="I189" s="66">
        <f>SUM('F13-Year(n)'!E188:J188)</f>
        <v>0</v>
      </c>
      <c r="J189" s="66">
        <f>SUM('F13-Year(n)'!K188:P188)</f>
        <v>0</v>
      </c>
      <c r="K189" s="66">
        <f t="shared" si="10"/>
        <v>0</v>
      </c>
      <c r="L189" s="66">
        <f>'F13-Year(n+2)'!Q194</f>
        <v>0</v>
      </c>
      <c r="M189" s="66" t="e">
        <f>#REF!</f>
        <v>#REF!</v>
      </c>
      <c r="N189" s="66">
        <f>'F13-Year(n+3)'!Q195</f>
        <v>0</v>
      </c>
      <c r="O189" s="66">
        <f>'F13-Year(n+4)'!Q195</f>
        <v>0</v>
      </c>
      <c r="P189" s="66">
        <f>'F13-Year(n+5)'!Q195</f>
        <v>0</v>
      </c>
    </row>
    <row r="190" spans="2:16" hidden="1" x14ac:dyDescent="0.25">
      <c r="B190" s="60"/>
      <c r="C190" s="803"/>
      <c r="D190" s="59"/>
      <c r="E190" s="109"/>
      <c r="F190" s="109">
        <f>'F13-Year(n-1)'!Q190</f>
        <v>0</v>
      </c>
      <c r="G190" s="109"/>
      <c r="H190" s="109"/>
      <c r="I190" s="66">
        <f>SUM('F13-Year(n)'!E189:J189)</f>
        <v>0</v>
      </c>
      <c r="J190" s="66">
        <f>SUM('F13-Year(n)'!K189:P189)</f>
        <v>0</v>
      </c>
      <c r="K190" s="66">
        <f t="shared" si="10"/>
        <v>0</v>
      </c>
      <c r="L190" s="66">
        <f>'F13-Year(n+2)'!Q195</f>
        <v>0</v>
      </c>
      <c r="M190" s="66" t="e">
        <f>#REF!</f>
        <v>#REF!</v>
      </c>
      <c r="N190" s="66">
        <f>'F13-Year(n+3)'!Q196</f>
        <v>0</v>
      </c>
      <c r="O190" s="66">
        <f>'F13-Year(n+4)'!Q196</f>
        <v>0</v>
      </c>
      <c r="P190" s="66">
        <f>'F13-Year(n+5)'!Q196</f>
        <v>0</v>
      </c>
    </row>
    <row r="191" spans="2:16" hidden="1" x14ac:dyDescent="0.25">
      <c r="B191" s="60"/>
      <c r="C191" s="803"/>
      <c r="D191" s="59"/>
      <c r="E191" s="109"/>
      <c r="F191" s="109">
        <f>'F13-Year(n-1)'!Q191</f>
        <v>0</v>
      </c>
      <c r="G191" s="109"/>
      <c r="H191" s="109"/>
      <c r="I191" s="66">
        <f>SUM('F13-Year(n)'!E190:J190)</f>
        <v>0</v>
      </c>
      <c r="J191" s="66">
        <f>SUM('F13-Year(n)'!K190:P190)</f>
        <v>0</v>
      </c>
      <c r="K191" s="66">
        <f t="shared" si="10"/>
        <v>0</v>
      </c>
      <c r="L191" s="66">
        <f>'F13-Year(n+2)'!Q196</f>
        <v>0</v>
      </c>
      <c r="M191" s="66" t="e">
        <f>#REF!</f>
        <v>#REF!</v>
      </c>
      <c r="N191" s="66">
        <f>'F13-Year(n+3)'!Q197</f>
        <v>0</v>
      </c>
      <c r="O191" s="66">
        <f>'F13-Year(n+4)'!Q197</f>
        <v>0</v>
      </c>
      <c r="P191" s="66">
        <f>'F13-Year(n+5)'!Q197</f>
        <v>0</v>
      </c>
    </row>
    <row r="192" spans="2:16" hidden="1" x14ac:dyDescent="0.25">
      <c r="B192" s="60"/>
      <c r="C192" s="803"/>
      <c r="D192" s="59"/>
      <c r="E192" s="109"/>
      <c r="F192" s="109">
        <f>'F13-Year(n-1)'!Q192</f>
        <v>0</v>
      </c>
      <c r="G192" s="109"/>
      <c r="H192" s="109"/>
      <c r="I192" s="66">
        <f>SUM('F13-Year(n)'!E191:J191)</f>
        <v>0</v>
      </c>
      <c r="J192" s="66">
        <f>SUM('F13-Year(n)'!K191:P191)</f>
        <v>0</v>
      </c>
      <c r="K192" s="66">
        <f t="shared" si="10"/>
        <v>0</v>
      </c>
      <c r="L192" s="66">
        <f>'F13-Year(n+2)'!Q197</f>
        <v>0</v>
      </c>
      <c r="M192" s="66" t="e">
        <f>#REF!</f>
        <v>#REF!</v>
      </c>
      <c r="N192" s="66">
        <f>'F13-Year(n+3)'!Q198</f>
        <v>0</v>
      </c>
      <c r="O192" s="66">
        <f>'F13-Year(n+4)'!Q198</f>
        <v>0</v>
      </c>
      <c r="P192" s="66">
        <f>'F13-Year(n+5)'!Q198</f>
        <v>0</v>
      </c>
    </row>
    <row r="193" spans="2:16" hidden="1" x14ac:dyDescent="0.25">
      <c r="B193" s="60"/>
      <c r="C193" s="803"/>
      <c r="D193" s="59"/>
      <c r="E193" s="109"/>
      <c r="F193" s="109">
        <f>'F13-Year(n-1)'!Q193</f>
        <v>0</v>
      </c>
      <c r="G193" s="109"/>
      <c r="H193" s="109"/>
      <c r="I193" s="66">
        <f>SUM('F13-Year(n)'!E192:J192)</f>
        <v>0</v>
      </c>
      <c r="J193" s="66">
        <f>SUM('F13-Year(n)'!K192:P192)</f>
        <v>0</v>
      </c>
      <c r="K193" s="66">
        <f t="shared" si="10"/>
        <v>0</v>
      </c>
      <c r="L193" s="66">
        <f>'F13-Year(n+2)'!Q198</f>
        <v>0</v>
      </c>
      <c r="M193" s="66" t="e">
        <f>#REF!</f>
        <v>#REF!</v>
      </c>
      <c r="N193" s="66">
        <f>'F13-Year(n+3)'!Q199</f>
        <v>0</v>
      </c>
      <c r="O193" s="66">
        <f>'F13-Year(n+4)'!Q199</f>
        <v>0</v>
      </c>
      <c r="P193" s="66">
        <f>'F13-Year(n+5)'!Q199</f>
        <v>0</v>
      </c>
    </row>
    <row r="194" spans="2:16" hidden="1" x14ac:dyDescent="0.25">
      <c r="B194" s="60"/>
      <c r="C194" s="803"/>
      <c r="D194" s="59"/>
      <c r="E194" s="109"/>
      <c r="F194" s="109">
        <f>'F13-Year(n-1)'!Q194</f>
        <v>0</v>
      </c>
      <c r="G194" s="109"/>
      <c r="H194" s="109"/>
      <c r="I194" s="66">
        <f>SUM('F13-Year(n)'!E193:J193)</f>
        <v>0</v>
      </c>
      <c r="J194" s="66">
        <f>SUM('F13-Year(n)'!K193:P193)</f>
        <v>0</v>
      </c>
      <c r="K194" s="66">
        <f t="shared" si="10"/>
        <v>0</v>
      </c>
      <c r="L194" s="66">
        <f>'F13-Year(n+2)'!Q199</f>
        <v>0</v>
      </c>
      <c r="M194" s="66" t="e">
        <f>#REF!</f>
        <v>#REF!</v>
      </c>
      <c r="N194" s="66">
        <f>'F13-Year(n+3)'!Q200</f>
        <v>0</v>
      </c>
      <c r="O194" s="66">
        <f>'F13-Year(n+4)'!Q200</f>
        <v>0</v>
      </c>
      <c r="P194" s="66">
        <f>'F13-Year(n+5)'!Q200</f>
        <v>0</v>
      </c>
    </row>
    <row r="195" spans="2:16" hidden="1" x14ac:dyDescent="0.25">
      <c r="B195" s="60"/>
      <c r="C195" s="803"/>
      <c r="D195" s="59"/>
      <c r="E195" s="109"/>
      <c r="F195" s="109">
        <f>'F13-Year(n-1)'!Q195</f>
        <v>0</v>
      </c>
      <c r="G195" s="109"/>
      <c r="H195" s="109"/>
      <c r="I195" s="66">
        <f>SUM('F13-Year(n)'!E194:J194)</f>
        <v>0</v>
      </c>
      <c r="J195" s="66">
        <f>SUM('F13-Year(n)'!K194:P194)</f>
        <v>0</v>
      </c>
      <c r="K195" s="66">
        <f t="shared" si="10"/>
        <v>0</v>
      </c>
      <c r="L195" s="66">
        <f>'F13-Year(n+2)'!Q200</f>
        <v>0</v>
      </c>
      <c r="M195" s="66" t="e">
        <f>#REF!</f>
        <v>#REF!</v>
      </c>
      <c r="N195" s="66">
        <f>'F13-Year(n+3)'!Q201</f>
        <v>0</v>
      </c>
      <c r="O195" s="66">
        <f>'F13-Year(n+4)'!Q201</f>
        <v>0</v>
      </c>
      <c r="P195" s="66">
        <f>'F13-Year(n+5)'!Q201</f>
        <v>0</v>
      </c>
    </row>
    <row r="196" spans="2:16" hidden="1" x14ac:dyDescent="0.25">
      <c r="B196" s="60"/>
      <c r="C196" s="803"/>
      <c r="D196" s="59"/>
      <c r="E196" s="109"/>
      <c r="F196" s="109">
        <f>'F13-Year(n-1)'!Q196</f>
        <v>0</v>
      </c>
      <c r="G196" s="109"/>
      <c r="H196" s="109"/>
      <c r="I196" s="66">
        <f>SUM('F13-Year(n)'!E195:J195)</f>
        <v>0</v>
      </c>
      <c r="J196" s="66">
        <f>SUM('F13-Year(n)'!K195:P195)</f>
        <v>0</v>
      </c>
      <c r="K196" s="66">
        <f t="shared" si="10"/>
        <v>0</v>
      </c>
      <c r="L196" s="66">
        <f>'F13-Year(n+2)'!Q201</f>
        <v>0</v>
      </c>
      <c r="M196" s="66" t="e">
        <f>#REF!</f>
        <v>#REF!</v>
      </c>
      <c r="N196" s="66">
        <f>'F13-Year(n+3)'!Q202</f>
        <v>0</v>
      </c>
      <c r="O196" s="66">
        <f>'F13-Year(n+4)'!Q202</f>
        <v>0</v>
      </c>
      <c r="P196" s="66">
        <f>'F13-Year(n+5)'!Q202</f>
        <v>0</v>
      </c>
    </row>
    <row r="197" spans="2:16" hidden="1" x14ac:dyDescent="0.25">
      <c r="B197" s="60"/>
      <c r="C197" s="803"/>
      <c r="D197" s="59"/>
      <c r="E197" s="109"/>
      <c r="F197" s="109">
        <f>'F13-Year(n-1)'!Q197</f>
        <v>0</v>
      </c>
      <c r="G197" s="109"/>
      <c r="H197" s="109"/>
      <c r="I197" s="66">
        <f>SUM('F13-Year(n)'!E196:J196)</f>
        <v>0</v>
      </c>
      <c r="J197" s="66">
        <f>SUM('F13-Year(n)'!K196:P196)</f>
        <v>0</v>
      </c>
      <c r="K197" s="66">
        <f t="shared" si="10"/>
        <v>0</v>
      </c>
      <c r="L197" s="66">
        <f>'F13-Year(n+2)'!Q202</f>
        <v>0</v>
      </c>
      <c r="M197" s="66" t="e">
        <f>#REF!</f>
        <v>#REF!</v>
      </c>
      <c r="N197" s="66">
        <f>'F13-Year(n+3)'!Q203</f>
        <v>0</v>
      </c>
      <c r="O197" s="66">
        <f>'F13-Year(n+4)'!Q203</f>
        <v>0</v>
      </c>
      <c r="P197" s="66">
        <f>'F13-Year(n+5)'!Q203</f>
        <v>0</v>
      </c>
    </row>
    <row r="198" spans="2:16" hidden="1" x14ac:dyDescent="0.25">
      <c r="B198" s="60"/>
      <c r="C198" s="804"/>
      <c r="D198" s="59"/>
      <c r="E198" s="109"/>
      <c r="F198" s="109">
        <f>'F13-Year(n-1)'!Q198</f>
        <v>0</v>
      </c>
      <c r="G198" s="109"/>
      <c r="H198" s="109"/>
      <c r="I198" s="66">
        <f>SUM('F13-Year(n)'!E197:J197)</f>
        <v>0</v>
      </c>
      <c r="J198" s="66">
        <f>SUM('F13-Year(n)'!K197:P197)</f>
        <v>0</v>
      </c>
      <c r="K198" s="66">
        <f t="shared" si="10"/>
        <v>0</v>
      </c>
      <c r="L198" s="66">
        <f>'F13-Year(n+2)'!Q203</f>
        <v>0</v>
      </c>
      <c r="M198" s="66" t="e">
        <f>#REF!</f>
        <v>#REF!</v>
      </c>
      <c r="N198" s="66">
        <f>'F13-Year(n+3)'!Q204</f>
        <v>0</v>
      </c>
      <c r="O198" s="66">
        <f>'F13-Year(n+4)'!Q204</f>
        <v>0</v>
      </c>
      <c r="P198" s="66">
        <f>'F13-Year(n+5)'!Q204</f>
        <v>0</v>
      </c>
    </row>
    <row r="199" spans="2:16" x14ac:dyDescent="0.25">
      <c r="C199" s="751" t="s">
        <v>212</v>
      </c>
      <c r="D199" s="752"/>
      <c r="E199" s="86" t="e">
        <f>SUM(E181:E198)</f>
        <v>#REF!</v>
      </c>
      <c r="F199" s="86">
        <f>SUM(F181:F198)</f>
        <v>1307.5594873682001</v>
      </c>
      <c r="G199" s="86" t="e">
        <f>F199-E199</f>
        <v>#REF!</v>
      </c>
      <c r="H199" s="86">
        <f>SUM(H181:H198)</f>
        <v>1480.6605950000001</v>
      </c>
      <c r="I199" s="86">
        <f>SUM(I181:I198)</f>
        <v>689.4053554679499</v>
      </c>
      <c r="J199" s="86">
        <f>SUM(J181:J198)</f>
        <v>724.74397944614998</v>
      </c>
      <c r="K199" s="86">
        <f t="shared" si="10"/>
        <v>1414.1493349140999</v>
      </c>
      <c r="L199" s="86">
        <f>'F13-Year(n+2)'!Q204</f>
        <v>3393.5990392499989</v>
      </c>
      <c r="M199" s="86" t="e">
        <f>#REF!</f>
        <v>#REF!</v>
      </c>
      <c r="N199" s="86">
        <f>'F13-Year(n+3)'!Q205</f>
        <v>3826.8846706417376</v>
      </c>
      <c r="O199" s="86">
        <f>'F13-Year(n+4)'!Q205</f>
        <v>3802.9532174874225</v>
      </c>
      <c r="P199" s="86">
        <f>'F13-Year(n+5)'!Q205</f>
        <v>3772.6045446211183</v>
      </c>
    </row>
    <row r="200" spans="2:16" x14ac:dyDescent="0.25">
      <c r="C200" s="753" t="s">
        <v>359</v>
      </c>
      <c r="D200" s="754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</row>
    <row r="201" spans="2:16" x14ac:dyDescent="0.25">
      <c r="C201" s="805" t="s">
        <v>350</v>
      </c>
      <c r="D201" s="17" t="s">
        <v>360</v>
      </c>
      <c r="E201" s="66">
        <f>'[48]PP Cost'!$J$87</f>
        <v>18.332625</v>
      </c>
      <c r="F201" s="109">
        <f>'F13-Year(n-1)'!Q201</f>
        <v>0</v>
      </c>
      <c r="G201" s="66"/>
      <c r="H201" s="66">
        <f>'[49]PP Cost'!J89</f>
        <v>14.486454999999999</v>
      </c>
      <c r="I201" s="66">
        <f>SUM('F13-Year(n)'!E200:J200)</f>
        <v>0</v>
      </c>
      <c r="J201" s="66">
        <f>SUM('F13-Year(n)'!K200:P200)</f>
        <v>0</v>
      </c>
      <c r="K201" s="66">
        <f t="shared" ref="K201:K220" si="11">I201+J201</f>
        <v>0</v>
      </c>
      <c r="L201" s="66">
        <f>'F13-Year(n+2)'!Q206</f>
        <v>13.576449999999996</v>
      </c>
      <c r="M201" s="66" t="e">
        <f>#REF!</f>
        <v>#REF!</v>
      </c>
      <c r="N201" s="66">
        <f>'F13-Year(n+3)'!Q207</f>
        <v>0</v>
      </c>
      <c r="O201" s="66">
        <f>'F13-Year(n+4)'!Q207</f>
        <v>0</v>
      </c>
      <c r="P201" s="66">
        <f>'F13-Year(n+5)'!Q207</f>
        <v>0</v>
      </c>
    </row>
    <row r="202" spans="2:16" x14ac:dyDescent="0.25">
      <c r="C202" s="806"/>
      <c r="D202" s="17" t="s">
        <v>361</v>
      </c>
      <c r="E202" s="66">
        <f>'[48]PP Cost'!$J$88</f>
        <v>102.18561</v>
      </c>
      <c r="F202" s="109">
        <f>'F13-Year(n-1)'!Q202</f>
        <v>0</v>
      </c>
      <c r="G202" s="66"/>
      <c r="H202" s="66">
        <f>'[49]PP Cost'!J90</f>
        <v>94.664079999999998</v>
      </c>
      <c r="I202" s="66">
        <f>SUM('F13-Year(n)'!E201:J201)</f>
        <v>0</v>
      </c>
      <c r="J202" s="66">
        <f>SUM('F13-Year(n)'!K201:P201)</f>
        <v>0</v>
      </c>
      <c r="K202" s="66">
        <f t="shared" si="11"/>
        <v>0</v>
      </c>
      <c r="L202" s="66">
        <f>'F13-Year(n+2)'!Q207</f>
        <v>86.775503981269964</v>
      </c>
      <c r="M202" s="66" t="e">
        <f>#REF!</f>
        <v>#REF!</v>
      </c>
      <c r="N202" s="66">
        <f>'F13-Year(n+3)'!Q208</f>
        <v>0</v>
      </c>
      <c r="O202" s="66">
        <f>'F13-Year(n+4)'!Q208</f>
        <v>0</v>
      </c>
      <c r="P202" s="66">
        <f>'F13-Year(n+5)'!Q208</f>
        <v>0</v>
      </c>
    </row>
    <row r="203" spans="2:16" x14ac:dyDescent="0.25">
      <c r="C203" s="806"/>
      <c r="D203" s="17" t="s">
        <v>362</v>
      </c>
      <c r="E203" s="66">
        <f>'[48]PP Cost'!$J$89</f>
        <v>136.64211</v>
      </c>
      <c r="F203" s="109">
        <f>'F13-Year(n-1)'!Q203</f>
        <v>0</v>
      </c>
      <c r="G203" s="66"/>
      <c r="H203" s="66">
        <f>'[49]PP Cost'!J91</f>
        <v>125.106545</v>
      </c>
      <c r="I203" s="66">
        <f>SUM('F13-Year(n)'!E202:J202)</f>
        <v>0</v>
      </c>
      <c r="J203" s="66">
        <f>SUM('F13-Year(n)'!K202:P202)</f>
        <v>0</v>
      </c>
      <c r="K203" s="66">
        <f t="shared" si="11"/>
        <v>0</v>
      </c>
      <c r="L203" s="66">
        <f>'F13-Year(n+2)'!Q208</f>
        <v>112.05725000000001</v>
      </c>
      <c r="M203" s="66" t="e">
        <f>#REF!</f>
        <v>#REF!</v>
      </c>
      <c r="N203" s="66">
        <f>'F13-Year(n+3)'!Q209</f>
        <v>0</v>
      </c>
      <c r="O203" s="66">
        <f>'F13-Year(n+4)'!Q209</f>
        <v>0</v>
      </c>
      <c r="P203" s="66">
        <f>'F13-Year(n+5)'!Q209</f>
        <v>0</v>
      </c>
    </row>
    <row r="204" spans="2:16" x14ac:dyDescent="0.25">
      <c r="C204" s="806"/>
      <c r="D204" s="17" t="s">
        <v>363</v>
      </c>
      <c r="E204" s="66">
        <f>'[48]PP Cost'!$J$90</f>
        <v>78.148520000000005</v>
      </c>
      <c r="F204" s="109">
        <f>'F13-Year(n-1)'!Q204</f>
        <v>0</v>
      </c>
      <c r="G204" s="66"/>
      <c r="H204" s="66">
        <f>'[49]PP Cost'!J92</f>
        <v>76.187149999999988</v>
      </c>
      <c r="I204" s="66">
        <f>SUM('F13-Year(n)'!E203:J203)</f>
        <v>0</v>
      </c>
      <c r="J204" s="66">
        <f>SUM('F13-Year(n)'!K203:P203)</f>
        <v>0</v>
      </c>
      <c r="K204" s="66">
        <f t="shared" si="11"/>
        <v>0</v>
      </c>
      <c r="L204" s="66">
        <f>'F13-Year(n+2)'!Q209</f>
        <v>63.491254999999995</v>
      </c>
      <c r="M204" s="66" t="e">
        <f>#REF!</f>
        <v>#REF!</v>
      </c>
      <c r="N204" s="66">
        <f>'F13-Year(n+3)'!Q210</f>
        <v>0</v>
      </c>
      <c r="O204" s="66">
        <f>'F13-Year(n+4)'!Q210</f>
        <v>0</v>
      </c>
      <c r="P204" s="66">
        <f>'F13-Year(n+5)'!Q210</f>
        <v>0</v>
      </c>
    </row>
    <row r="205" spans="2:16" x14ac:dyDescent="0.25">
      <c r="C205" s="806"/>
      <c r="D205" s="17" t="s">
        <v>364</v>
      </c>
      <c r="E205" s="66">
        <f>'[48]PP Cost'!$J$91</f>
        <v>36.379584999999999</v>
      </c>
      <c r="F205" s="109">
        <f>'F13-Year(n-1)'!Q205</f>
        <v>0</v>
      </c>
      <c r="G205" s="66"/>
      <c r="H205" s="66">
        <f>'[49]PP Cost'!J93</f>
        <v>27.132284999999996</v>
      </c>
      <c r="I205" s="66">
        <f>SUM('F13-Year(n)'!E204:J204)</f>
        <v>0</v>
      </c>
      <c r="J205" s="66">
        <f>SUM('F13-Year(n)'!K204:P204)</f>
        <v>0</v>
      </c>
      <c r="K205" s="66">
        <f t="shared" si="11"/>
        <v>0</v>
      </c>
      <c r="L205" s="66">
        <f>'F13-Year(n+2)'!Q210</f>
        <v>27.585815000000007</v>
      </c>
      <c r="M205" s="66" t="e">
        <f>#REF!</f>
        <v>#REF!</v>
      </c>
      <c r="N205" s="66">
        <f>'F13-Year(n+3)'!Q211</f>
        <v>0</v>
      </c>
      <c r="O205" s="66">
        <f>'F13-Year(n+4)'!Q211</f>
        <v>0</v>
      </c>
      <c r="P205" s="66">
        <f>'F13-Year(n+5)'!Q211</f>
        <v>0</v>
      </c>
    </row>
    <row r="206" spans="2:16" x14ac:dyDescent="0.25">
      <c r="C206" s="806"/>
      <c r="D206" s="17" t="s">
        <v>365</v>
      </c>
      <c r="E206" s="66">
        <f>'[48]PP Cost'!$J$92</f>
        <v>3.0215699999999996</v>
      </c>
      <c r="F206" s="109">
        <f>'F13-Year(n-1)'!Q206</f>
        <v>0</v>
      </c>
      <c r="G206" s="66"/>
      <c r="H206" s="66">
        <f>'[49]PP Cost'!J94</f>
        <v>2.9980099999999998</v>
      </c>
      <c r="I206" s="66">
        <f>SUM('F13-Year(n)'!E205:J205)</f>
        <v>0</v>
      </c>
      <c r="J206" s="66">
        <f>SUM('F13-Year(n)'!K205:P205)</f>
        <v>0</v>
      </c>
      <c r="K206" s="66">
        <f t="shared" si="11"/>
        <v>0</v>
      </c>
      <c r="L206" s="66">
        <f>'F13-Year(n+2)'!Q211</f>
        <v>1.5019499999999999</v>
      </c>
      <c r="M206" s="66" t="e">
        <f>#REF!</f>
        <v>#REF!</v>
      </c>
      <c r="N206" s="66">
        <f>'F13-Year(n+3)'!Q212</f>
        <v>0</v>
      </c>
      <c r="O206" s="66">
        <f>'F13-Year(n+4)'!Q212</f>
        <v>0</v>
      </c>
      <c r="P206" s="66">
        <f>'F13-Year(n+5)'!Q212</f>
        <v>0</v>
      </c>
    </row>
    <row r="207" spans="2:16" x14ac:dyDescent="0.25">
      <c r="C207" s="806"/>
      <c r="D207" s="17" t="s">
        <v>366</v>
      </c>
      <c r="E207" s="66">
        <f>'[48]PP Cost'!$J$93</f>
        <v>14.498234999999998</v>
      </c>
      <c r="F207" s="109">
        <f>'F13-Year(n-1)'!Q207</f>
        <v>0</v>
      </c>
      <c r="G207" s="66"/>
      <c r="H207" s="66">
        <f>'[49]PP Cost'!J95</f>
        <v>16.818894999999998</v>
      </c>
      <c r="I207" s="66">
        <f>SUM('F13-Year(n)'!E206:J206)</f>
        <v>0</v>
      </c>
      <c r="J207" s="66">
        <f>SUM('F13-Year(n)'!K206:P206)</f>
        <v>0</v>
      </c>
      <c r="K207" s="66">
        <f t="shared" si="11"/>
        <v>0</v>
      </c>
      <c r="L207" s="66">
        <f>'F13-Year(n+2)'!Q212</f>
        <v>6.3836810187300177</v>
      </c>
      <c r="M207" s="66" t="e">
        <f>#REF!</f>
        <v>#REF!</v>
      </c>
      <c r="N207" s="66">
        <f>'F13-Year(n+3)'!Q213</f>
        <v>0</v>
      </c>
      <c r="O207" s="66">
        <f>'F13-Year(n+4)'!Q213</f>
        <v>0</v>
      </c>
      <c r="P207" s="66">
        <f>'F13-Year(n+5)'!Q213</f>
        <v>0</v>
      </c>
    </row>
    <row r="208" spans="2:16" x14ac:dyDescent="0.25">
      <c r="C208" s="806"/>
      <c r="D208" s="17" t="s">
        <v>367</v>
      </c>
      <c r="E208" s="66">
        <f>'[48]PP Cost'!$J$94</f>
        <v>2.7093999999999996</v>
      </c>
      <c r="F208" s="109">
        <f>'F13-Year(n-1)'!Q208</f>
        <v>0</v>
      </c>
      <c r="G208" s="66"/>
      <c r="H208" s="66">
        <f>'[49]PP Cost'!J96</f>
        <v>3.0215699999999996</v>
      </c>
      <c r="I208" s="66">
        <f>SUM('F13-Year(n)'!E207:J207)</f>
        <v>0</v>
      </c>
      <c r="J208" s="66">
        <f>SUM('F13-Year(n)'!K207:P207)</f>
        <v>0</v>
      </c>
      <c r="K208" s="66">
        <f t="shared" si="11"/>
        <v>0</v>
      </c>
      <c r="L208" s="66">
        <f>'F13-Year(n+2)'!Q213</f>
        <v>11.225751000000001</v>
      </c>
      <c r="M208" s="66" t="e">
        <f>#REF!</f>
        <v>#REF!</v>
      </c>
      <c r="N208" s="66">
        <f>'F13-Year(n+3)'!Q214</f>
        <v>0</v>
      </c>
      <c r="O208" s="66">
        <f>'F13-Year(n+4)'!Q214</f>
        <v>0</v>
      </c>
      <c r="P208" s="66">
        <f>'F13-Year(n+5)'!Q214</f>
        <v>0</v>
      </c>
    </row>
    <row r="209" spans="3:16" x14ac:dyDescent="0.25">
      <c r="C209" s="806"/>
      <c r="D209" s="17"/>
      <c r="E209" s="66"/>
      <c r="F209" s="109">
        <f>'F13-Year(n-1)'!Q209</f>
        <v>391.91765504908324</v>
      </c>
      <c r="G209" s="66"/>
      <c r="H209" s="66"/>
      <c r="I209" s="66">
        <v>0</v>
      </c>
      <c r="J209" s="66">
        <v>0</v>
      </c>
      <c r="K209" s="66">
        <f t="shared" si="11"/>
        <v>0</v>
      </c>
      <c r="L209" s="66">
        <f>'F13-Year(n+2)'!Q214</f>
        <v>0</v>
      </c>
      <c r="M209" s="66" t="e">
        <f>#REF!</f>
        <v>#REF!</v>
      </c>
      <c r="N209" s="66">
        <f>'F13-Year(n+3)'!Q215</f>
        <v>0</v>
      </c>
      <c r="O209" s="66">
        <f>'F13-Year(n+4)'!Q215</f>
        <v>0</v>
      </c>
      <c r="P209" s="66">
        <f>'F13-Year(n+5)'!Q215</f>
        <v>0</v>
      </c>
    </row>
    <row r="210" spans="3:16" x14ac:dyDescent="0.25">
      <c r="C210" s="806"/>
      <c r="D210" s="325" t="s">
        <v>621</v>
      </c>
      <c r="E210" s="66"/>
      <c r="F210" s="109">
        <f>'F13-Year(n-1)'!Q210</f>
        <v>385.04108023560008</v>
      </c>
      <c r="G210" s="66"/>
      <c r="H210" s="66"/>
      <c r="I210" s="66">
        <f>SUM('F13-Year(n)'!E208:J208)</f>
        <v>0</v>
      </c>
      <c r="J210" s="66">
        <f>SUM('F13-Year(n)'!K208:P208)</f>
        <v>0</v>
      </c>
      <c r="K210" s="66">
        <f t="shared" si="11"/>
        <v>0</v>
      </c>
      <c r="L210" s="66">
        <f>'F13-Year(n+2)'!Q215</f>
        <v>1.5019499999999999</v>
      </c>
      <c r="M210" s="66" t="e">
        <f>#REF!</f>
        <v>#REF!</v>
      </c>
      <c r="N210" s="66">
        <f>'F13-Year(n+3)'!Q216</f>
        <v>0</v>
      </c>
      <c r="O210" s="66">
        <f>'F13-Year(n+4)'!Q216</f>
        <v>0</v>
      </c>
      <c r="P210" s="66">
        <f>'F13-Year(n+5)'!Q216</f>
        <v>0</v>
      </c>
    </row>
    <row r="211" spans="3:16" x14ac:dyDescent="0.25">
      <c r="C211" s="806"/>
      <c r="D211" s="325" t="s">
        <v>622</v>
      </c>
      <c r="E211" s="66"/>
      <c r="F211" s="109">
        <f>'F13-Year(n-1)'!Q211</f>
        <v>222.71338918544998</v>
      </c>
      <c r="G211" s="66"/>
      <c r="H211" s="66"/>
      <c r="I211" s="66">
        <f>SUM('F13-Year(n)'!E209:J209)</f>
        <v>0</v>
      </c>
      <c r="J211" s="66">
        <f>SUM('F13-Year(n)'!K209:P209)</f>
        <v>0</v>
      </c>
      <c r="K211" s="66">
        <f t="shared" si="11"/>
        <v>0</v>
      </c>
      <c r="L211" s="66">
        <f>'F13-Year(n+2)'!Q216</f>
        <v>7.4838339999999972</v>
      </c>
      <c r="M211" s="66" t="e">
        <f>#REF!</f>
        <v>#REF!</v>
      </c>
      <c r="N211" s="66">
        <f>'F13-Year(n+3)'!Q217</f>
        <v>0</v>
      </c>
      <c r="O211" s="66">
        <f>'F13-Year(n+4)'!Q217</f>
        <v>0</v>
      </c>
      <c r="P211" s="66">
        <f>'F13-Year(n+5)'!Q217</f>
        <v>0</v>
      </c>
    </row>
    <row r="212" spans="3:16" x14ac:dyDescent="0.25">
      <c r="C212" s="806"/>
      <c r="D212" s="327" t="s">
        <v>642</v>
      </c>
      <c r="E212" s="66"/>
      <c r="F212" s="109">
        <f>'F13-Year(n-1)'!Q212</f>
        <v>0</v>
      </c>
      <c r="G212" s="66"/>
      <c r="H212" s="66"/>
      <c r="I212" s="66">
        <f>SUM('F13-Year(n)'!E210:J210)</f>
        <v>0</v>
      </c>
      <c r="J212" s="66">
        <f>SUM('F13-Year(n)'!K210:P210)</f>
        <v>0</v>
      </c>
      <c r="K212" s="66">
        <f t="shared" si="11"/>
        <v>0</v>
      </c>
      <c r="L212" s="66">
        <f>'F13-Year(n+2)'!Q217</f>
        <v>0</v>
      </c>
      <c r="M212" s="66" t="e">
        <f>#REF!</f>
        <v>#REF!</v>
      </c>
      <c r="N212" s="66">
        <f>'F13-Year(n+3)'!Q218</f>
        <v>488.14847500000002</v>
      </c>
      <c r="O212" s="66">
        <f>'F13-Year(n+4)'!Q218</f>
        <v>537.50961999999993</v>
      </c>
      <c r="P212" s="66">
        <f>'F13-Year(n+5)'!Q218</f>
        <v>585.13321499999995</v>
      </c>
    </row>
    <row r="213" spans="3:16" x14ac:dyDescent="0.25">
      <c r="C213" s="806"/>
      <c r="D213" s="17" t="s">
        <v>643</v>
      </c>
      <c r="E213" s="66"/>
      <c r="F213" s="109">
        <f>'F13-Year(n-1)'!Q213</f>
        <v>0</v>
      </c>
      <c r="G213" s="66"/>
      <c r="H213" s="66"/>
      <c r="I213" s="66">
        <f>SUM('F13-Year(n)'!E211:J211)</f>
        <v>182.93530125000001</v>
      </c>
      <c r="J213" s="66">
        <f>SUM('F13-Year(n)'!K211:P211)</f>
        <v>182.93530125000001</v>
      </c>
      <c r="K213" s="66">
        <f t="shared" si="11"/>
        <v>365.87060250000002</v>
      </c>
      <c r="L213" s="66">
        <f>'F13-Year(n+2)'!Q218</f>
        <v>0</v>
      </c>
      <c r="M213" s="66" t="e">
        <f>#REF!</f>
        <v>#REF!</v>
      </c>
      <c r="N213" s="66">
        <f>'F13-Year(n+3)'!Q219</f>
        <v>0</v>
      </c>
      <c r="O213" s="66">
        <f>'F13-Year(n+4)'!Q219</f>
        <v>0</v>
      </c>
      <c r="P213" s="66">
        <f>'F13-Year(n+5)'!Q219</f>
        <v>0</v>
      </c>
    </row>
    <row r="214" spans="3:16" x14ac:dyDescent="0.25">
      <c r="C214" s="806"/>
      <c r="E214" s="66"/>
      <c r="F214" s="109">
        <f>'F13-Year(n-1)'!Q214</f>
        <v>0</v>
      </c>
      <c r="G214" s="66"/>
      <c r="H214" s="66"/>
      <c r="I214" s="66">
        <f>SUM('F13-Year(n)'!E212:J212)</f>
        <v>0</v>
      </c>
      <c r="J214" s="66">
        <f>SUM('F13-Year(n)'!K212:P212)</f>
        <v>0</v>
      </c>
      <c r="K214" s="66">
        <f t="shared" si="11"/>
        <v>0</v>
      </c>
      <c r="L214" s="66">
        <f>'F13-Year(n+2)'!Q219</f>
        <v>438.64596999999998</v>
      </c>
      <c r="M214" s="66" t="e">
        <f>#REF!</f>
        <v>#REF!</v>
      </c>
      <c r="N214" s="66">
        <f>'F13-Year(n+3)'!Q220</f>
        <v>0</v>
      </c>
      <c r="O214" s="66">
        <f>'F13-Year(n+4)'!Q220</f>
        <v>0</v>
      </c>
      <c r="P214" s="66">
        <f>'F13-Year(n+5)'!Q220</f>
        <v>0</v>
      </c>
    </row>
    <row r="215" spans="3:16" hidden="1" x14ac:dyDescent="0.25">
      <c r="C215" s="806"/>
      <c r="D215" s="17"/>
      <c r="E215" s="66"/>
      <c r="F215" s="109">
        <f>'F13-Year(n-1)'!Q215</f>
        <v>0</v>
      </c>
      <c r="G215" s="66"/>
      <c r="H215" s="66"/>
      <c r="I215" s="66">
        <f>SUM('F13-Year(n)'!E213:J213)</f>
        <v>0</v>
      </c>
      <c r="J215" s="66">
        <f>SUM('F13-Year(n)'!K213:P213)</f>
        <v>0</v>
      </c>
      <c r="K215" s="66">
        <f t="shared" si="11"/>
        <v>0</v>
      </c>
      <c r="L215" s="66">
        <f>'F13-Year(n+2)'!Q220</f>
        <v>9.9099249999999994</v>
      </c>
      <c r="M215" s="66" t="e">
        <f>#REF!</f>
        <v>#REF!</v>
      </c>
      <c r="N215" s="66">
        <f>'F13-Year(n+3)'!Q221</f>
        <v>0</v>
      </c>
      <c r="O215" s="66">
        <f>'F13-Year(n+4)'!Q221</f>
        <v>0</v>
      </c>
      <c r="P215" s="66">
        <f>'F13-Year(n+5)'!Q221</f>
        <v>0</v>
      </c>
    </row>
    <row r="216" spans="3:16" hidden="1" x14ac:dyDescent="0.25">
      <c r="C216" s="806"/>
      <c r="D216" s="17"/>
      <c r="E216" s="66"/>
      <c r="F216" s="109">
        <f>'F13-Year(n-1)'!Q216</f>
        <v>0</v>
      </c>
      <c r="G216" s="66"/>
      <c r="H216" s="66"/>
      <c r="I216" s="66">
        <f>SUM('F13-Year(n)'!E214:J214)</f>
        <v>0</v>
      </c>
      <c r="J216" s="66">
        <f>SUM('F13-Year(n)'!K214:P214)</f>
        <v>0</v>
      </c>
      <c r="K216" s="66">
        <f t="shared" si="11"/>
        <v>0</v>
      </c>
      <c r="L216" s="66">
        <f>'F13-Year(n+2)'!Q221</f>
        <v>0</v>
      </c>
      <c r="M216" s="66" t="e">
        <f>#REF!</f>
        <v>#REF!</v>
      </c>
      <c r="N216" s="66">
        <f>'F13-Year(n+3)'!Q222</f>
        <v>0</v>
      </c>
      <c r="O216" s="66">
        <f>'F13-Year(n+4)'!Q222</f>
        <v>0</v>
      </c>
      <c r="P216" s="66">
        <f>'F13-Year(n+5)'!Q222</f>
        <v>0</v>
      </c>
    </row>
    <row r="217" spans="3:16" hidden="1" x14ac:dyDescent="0.25">
      <c r="C217" s="806"/>
      <c r="D217" s="17"/>
      <c r="E217" s="66"/>
      <c r="F217" s="109">
        <f>'F13-Year(n-1)'!Q217</f>
        <v>0</v>
      </c>
      <c r="G217" s="66"/>
      <c r="H217" s="66"/>
      <c r="I217" s="66">
        <f>SUM('F13-Year(n)'!E215:J215)</f>
        <v>0</v>
      </c>
      <c r="J217" s="66">
        <f>SUM('F13-Year(n)'!K215:P215)</f>
        <v>0</v>
      </c>
      <c r="K217" s="66">
        <f t="shared" si="11"/>
        <v>0</v>
      </c>
      <c r="L217" s="66">
        <f>'F13-Year(n+2)'!Q222</f>
        <v>0</v>
      </c>
      <c r="M217" s="66" t="e">
        <f>#REF!</f>
        <v>#REF!</v>
      </c>
      <c r="N217" s="66">
        <f>'F13-Year(n+3)'!Q223</f>
        <v>0</v>
      </c>
      <c r="O217" s="66">
        <f>'F13-Year(n+4)'!Q223</f>
        <v>0</v>
      </c>
      <c r="P217" s="66">
        <f>'F13-Year(n+5)'!Q223</f>
        <v>0</v>
      </c>
    </row>
    <row r="218" spans="3:16" hidden="1" x14ac:dyDescent="0.25">
      <c r="C218" s="807"/>
      <c r="D218" s="107"/>
      <c r="E218" s="66"/>
      <c r="F218" s="109">
        <f>'F13-Year(n-1)'!Q218</f>
        <v>0</v>
      </c>
      <c r="G218" s="66"/>
      <c r="H218" s="66"/>
      <c r="I218" s="66">
        <f>SUM('F13-Year(n)'!E216:J216)</f>
        <v>0</v>
      </c>
      <c r="J218" s="66">
        <f>SUM('F13-Year(n)'!K216:P216)</f>
        <v>0</v>
      </c>
      <c r="K218" s="66">
        <f t="shared" si="11"/>
        <v>0</v>
      </c>
      <c r="L218" s="66">
        <f>'F13-Year(n+2)'!Q223</f>
        <v>0</v>
      </c>
      <c r="M218" s="66" t="e">
        <f>#REF!</f>
        <v>#REF!</v>
      </c>
      <c r="N218" s="66">
        <f>'F13-Year(n+3)'!Q224</f>
        <v>0</v>
      </c>
      <c r="O218" s="66">
        <f>'F13-Year(n+4)'!Q224</f>
        <v>0</v>
      </c>
      <c r="P218" s="66">
        <f>'F13-Year(n+5)'!Q224</f>
        <v>0</v>
      </c>
    </row>
    <row r="219" spans="3:16" x14ac:dyDescent="0.25">
      <c r="C219" s="751" t="s">
        <v>212</v>
      </c>
      <c r="D219" s="752"/>
      <c r="E219" s="86">
        <f>SUM(E201:E218)</f>
        <v>391.91765500000008</v>
      </c>
      <c r="F219" s="86">
        <f>SUM(F201:F218)</f>
        <v>999.67212447013333</v>
      </c>
      <c r="G219" s="86">
        <f>F219-E219</f>
        <v>607.75446947013324</v>
      </c>
      <c r="H219" s="86">
        <f>SUM(H201:H218)</f>
        <v>360.41498999999999</v>
      </c>
      <c r="I219" s="86">
        <f>SUM(I201:I218)</f>
        <v>182.93530125000001</v>
      </c>
      <c r="J219" s="86">
        <f>SUM(J201:J218)</f>
        <v>182.93530125000001</v>
      </c>
      <c r="K219" s="86">
        <f t="shared" si="11"/>
        <v>365.87060250000002</v>
      </c>
      <c r="L219" s="86">
        <f>'F13-Year(n+2)'!Q224</f>
        <v>780.13933499999996</v>
      </c>
      <c r="M219" s="86" t="e">
        <f>#REF!</f>
        <v>#REF!</v>
      </c>
      <c r="N219" s="86">
        <f>'F13-Year(n+3)'!Q225</f>
        <v>981.60089499999992</v>
      </c>
      <c r="O219" s="86">
        <f>'F13-Year(n+4)'!Q225</f>
        <v>1037.608905</v>
      </c>
      <c r="P219" s="86">
        <f>'F13-Year(n+5)'!Q225</f>
        <v>1093.1250999999997</v>
      </c>
    </row>
    <row r="220" spans="3:16" x14ac:dyDescent="0.25">
      <c r="C220" s="753" t="s">
        <v>368</v>
      </c>
      <c r="D220" s="754"/>
      <c r="E220" s="86" t="e">
        <f>E199+E219</f>
        <v>#REF!</v>
      </c>
      <c r="F220" s="86">
        <f>F199+F219</f>
        <v>2307.2316118383333</v>
      </c>
      <c r="G220" s="86" t="e">
        <f>F220-E220</f>
        <v>#REF!</v>
      </c>
      <c r="H220" s="86">
        <f>H199+H219</f>
        <v>1841.075585</v>
      </c>
      <c r="I220" s="86">
        <f>I199+I219</f>
        <v>872.34065671794997</v>
      </c>
      <c r="J220" s="86">
        <f>J199+J219</f>
        <v>907.67928069615004</v>
      </c>
      <c r="K220" s="86">
        <f t="shared" si="11"/>
        <v>1780.0199374141</v>
      </c>
      <c r="L220" s="86">
        <f>'F13-Year(n+2)'!Q225</f>
        <v>4173.7383742499987</v>
      </c>
      <c r="M220" s="86" t="e">
        <f>#REF!</f>
        <v>#REF!</v>
      </c>
      <c r="N220" s="86">
        <f>'F13-Year(n+3)'!Q226</f>
        <v>4808.4855656417376</v>
      </c>
      <c r="O220" s="86">
        <f>'F13-Year(n+4)'!Q226</f>
        <v>4840.562122487423</v>
      </c>
      <c r="P220" s="86">
        <f>'F13-Year(n+5)'!Q226</f>
        <v>4865.7296446211185</v>
      </c>
    </row>
    <row r="221" spans="3:16" x14ac:dyDescent="0.25">
      <c r="C221" s="800" t="s">
        <v>369</v>
      </c>
      <c r="D221" s="801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</row>
    <row r="222" spans="3:16" x14ac:dyDescent="0.25">
      <c r="C222" s="753" t="s">
        <v>349</v>
      </c>
      <c r="D222" s="754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</row>
    <row r="223" spans="3:16" x14ac:dyDescent="0.25">
      <c r="C223" s="805" t="s">
        <v>370</v>
      </c>
      <c r="D223" s="17" t="s">
        <v>371</v>
      </c>
      <c r="E223" s="66">
        <f>'[48]PP Cost'!$J$98</f>
        <v>53.369289999999999</v>
      </c>
      <c r="F223" s="109">
        <f>'F13-Year(n-1)'!Q223</f>
        <v>56.298042670599997</v>
      </c>
      <c r="G223" s="66"/>
      <c r="H223" s="66">
        <f>'[49]PP Cost'!J100</f>
        <v>52.535854999999991</v>
      </c>
      <c r="I223" s="66">
        <f>SUM('F13-Year(n)'!E221:J221)</f>
        <v>35.297041550049997</v>
      </c>
      <c r="J223" s="66">
        <f>SUM('F13-Year(n)'!K221:P221)</f>
        <v>31.969957986300003</v>
      </c>
      <c r="K223" s="66">
        <f t="shared" ref="K223:K246" si="12">I223+J223</f>
        <v>67.266999536349999</v>
      </c>
      <c r="L223" s="66">
        <f>'F13-Year(n+2)'!Q228</f>
        <v>57.933951650000012</v>
      </c>
      <c r="M223" s="66" t="e">
        <f>#REF!</f>
        <v>#REF!</v>
      </c>
      <c r="N223" s="66">
        <f>'F13-Year(n+3)'!Q229</f>
        <v>67.315903846153844</v>
      </c>
      <c r="O223" s="66">
        <f>'F13-Year(n+4)'!Q229</f>
        <v>67.315903846153844</v>
      </c>
      <c r="P223" s="66">
        <f>'F13-Year(n+5)'!Q229</f>
        <v>67.315903846153844</v>
      </c>
    </row>
    <row r="224" spans="3:16" x14ac:dyDescent="0.25">
      <c r="C224" s="806"/>
      <c r="D224" s="17" t="s">
        <v>372</v>
      </c>
      <c r="E224" s="66">
        <f>'[48]PP Cost'!$J$99</f>
        <v>15.870604999999999</v>
      </c>
      <c r="F224" s="109">
        <f>'F13-Year(n-1)'!Q224</f>
        <v>15.325260236949999</v>
      </c>
      <c r="G224" s="66"/>
      <c r="H224" s="66">
        <f>'[49]PP Cost'!J101</f>
        <v>15.629114999999999</v>
      </c>
      <c r="I224" s="66">
        <f>SUM('F13-Year(n)'!E222:J222)</f>
        <v>7.8076970046999996</v>
      </c>
      <c r="J224" s="66">
        <f>SUM('F13-Year(n)'!K222:P222)</f>
        <v>7.5355254351499994</v>
      </c>
      <c r="K224" s="66">
        <f t="shared" si="12"/>
        <v>15.343222439849999</v>
      </c>
      <c r="L224" s="66">
        <f>'F13-Year(n+2)'!Q229</f>
        <v>16.010021300000009</v>
      </c>
      <c r="M224" s="66" t="e">
        <f>#REF!</f>
        <v>#REF!</v>
      </c>
      <c r="N224" s="66">
        <f>'F13-Year(n+3)'!Q230</f>
        <v>16.027596153846151</v>
      </c>
      <c r="O224" s="66">
        <f>'F13-Year(n+4)'!Q230</f>
        <v>16.027596153846151</v>
      </c>
      <c r="P224" s="66">
        <f>'F13-Year(n+5)'!Q230</f>
        <v>16.027596153846151</v>
      </c>
    </row>
    <row r="225" spans="3:16" x14ac:dyDescent="0.25">
      <c r="C225" s="806"/>
      <c r="D225" s="17" t="s">
        <v>373</v>
      </c>
      <c r="E225" s="66">
        <f>'[48]PP Cost'!$J$100</f>
        <v>32.509855000000002</v>
      </c>
      <c r="F225" s="109">
        <f>'F13-Year(n-1)'!Q225</f>
        <v>50.665602946599989</v>
      </c>
      <c r="G225" s="66"/>
      <c r="H225" s="66">
        <f>'[49]PP Cost'!J102</f>
        <v>32.244804999999999</v>
      </c>
      <c r="I225" s="66">
        <f>SUM('F13-Year(n)'!E223:J223)</f>
        <v>35.404074482799992</v>
      </c>
      <c r="J225" s="66">
        <f>SUM('F13-Year(n)'!K223:P223)</f>
        <v>25.389988631850002</v>
      </c>
      <c r="K225" s="66">
        <f t="shared" si="12"/>
        <v>60.794063114649994</v>
      </c>
      <c r="L225" s="66">
        <f>'F13-Year(n+2)'!Q230</f>
        <v>37.607473299999995</v>
      </c>
      <c r="M225" s="66" t="e">
        <f>#REF!</f>
        <v>#REF!</v>
      </c>
      <c r="N225" s="66">
        <f>'F13-Year(n+3)'!Q231</f>
        <v>61.84500000000002</v>
      </c>
      <c r="O225" s="66">
        <f>'F13-Year(n+4)'!Q231</f>
        <v>61.844999999999999</v>
      </c>
      <c r="P225" s="66">
        <f>'F13-Year(n+5)'!Q231</f>
        <v>61.845000000000013</v>
      </c>
    </row>
    <row r="226" spans="3:16" x14ac:dyDescent="0.25">
      <c r="C226" s="806"/>
      <c r="D226" s="17" t="s">
        <v>374</v>
      </c>
      <c r="E226" s="66">
        <f>'[48]PP Cost'!$J$101</f>
        <v>105.06287499999999</v>
      </c>
      <c r="F226" s="109">
        <f>'F13-Year(n-1)'!Q226</f>
        <v>196.59711666920001</v>
      </c>
      <c r="G226" s="66"/>
      <c r="H226" s="66">
        <f>'[49]PP Cost'!J103</f>
        <v>105.06287499999999</v>
      </c>
      <c r="I226" s="66">
        <f>SUM('F13-Year(n)'!E224:J224)</f>
        <v>72.930492960099997</v>
      </c>
      <c r="J226" s="66">
        <f>SUM('F13-Year(n)'!K224:P224)</f>
        <v>62.634135455950002</v>
      </c>
      <c r="K226" s="66">
        <f t="shared" si="12"/>
        <v>135.56462841605</v>
      </c>
      <c r="L226" s="66">
        <f>'F13-Year(n+2)'!Q231</f>
        <v>116.29560565</v>
      </c>
      <c r="M226" s="66" t="e">
        <f>#REF!</f>
        <v>#REF!</v>
      </c>
      <c r="N226" s="66">
        <f>'F13-Year(n+3)'!Q232</f>
        <v>110.74692468706363</v>
      </c>
      <c r="O226" s="66">
        <f>'F13-Year(n+4)'!Q232</f>
        <v>110.7469246870636</v>
      </c>
      <c r="P226" s="66">
        <f>'F13-Year(n+5)'!Q232</f>
        <v>110.74692468706363</v>
      </c>
    </row>
    <row r="227" spans="3:16" x14ac:dyDescent="0.25">
      <c r="C227" s="806"/>
      <c r="D227" s="17" t="s">
        <v>375</v>
      </c>
      <c r="E227" s="66">
        <f>'[48]PP Cost'!$J$102</f>
        <v>72.184894999999997</v>
      </c>
      <c r="F227" s="109">
        <f>'F13-Year(n-1)'!Q227</f>
        <v>106.8832064762</v>
      </c>
      <c r="G227" s="66"/>
      <c r="H227" s="66">
        <f>'[49]PP Cost'!J104</f>
        <v>76.084074999999999</v>
      </c>
      <c r="I227" s="66">
        <f>SUM('F13-Year(n)'!E225:J225)</f>
        <v>45.701046019449997</v>
      </c>
      <c r="J227" s="66">
        <f>SUM('F13-Year(n)'!K225:P225)</f>
        <v>40.001386670449996</v>
      </c>
      <c r="K227" s="66">
        <f t="shared" si="12"/>
        <v>85.702432689899993</v>
      </c>
      <c r="L227" s="66">
        <f>'F13-Year(n+2)'!Q232</f>
        <v>78.233129849999969</v>
      </c>
      <c r="M227" s="66" t="e">
        <f>#REF!</f>
        <v>#REF!</v>
      </c>
      <c r="N227" s="66">
        <f>'F13-Year(n+3)'!Q233</f>
        <v>110.74692468706358</v>
      </c>
      <c r="O227" s="66">
        <f>'F13-Year(n+4)'!Q233</f>
        <v>110.74692468706361</v>
      </c>
      <c r="P227" s="66">
        <f>'F13-Year(n+5)'!Q233</f>
        <v>110.74692468706364</v>
      </c>
    </row>
    <row r="228" spans="3:16" x14ac:dyDescent="0.25">
      <c r="C228" s="806"/>
      <c r="D228" s="17" t="s">
        <v>376</v>
      </c>
      <c r="E228" s="66">
        <f>'[48]PP Cost'!$J$103</f>
        <v>86.653679999999994</v>
      </c>
      <c r="F228" s="109">
        <f>'F13-Year(n-1)'!Q228</f>
        <v>102.19872962159999</v>
      </c>
      <c r="G228" s="66"/>
      <c r="H228" s="66">
        <f>'[49]PP Cost'!J105</f>
        <v>84.126869999999997</v>
      </c>
      <c r="I228" s="66">
        <f>SUM('F13-Year(n)'!E226:J226)</f>
        <v>47.10293036769999</v>
      </c>
      <c r="J228" s="66">
        <f>SUM('F13-Year(n)'!K226:P226)</f>
        <v>44.001908037299998</v>
      </c>
      <c r="K228" s="66">
        <f t="shared" si="12"/>
        <v>91.104838404999981</v>
      </c>
      <c r="L228" s="66">
        <f>'F13-Year(n+2)'!Q233</f>
        <v>99.782048250000003</v>
      </c>
      <c r="M228" s="66" t="e">
        <f>#REF!</f>
        <v>#REF!</v>
      </c>
      <c r="N228" s="66">
        <f>'F13-Year(n+3)'!Q234</f>
        <v>91.589499999999973</v>
      </c>
      <c r="O228" s="66">
        <f>'F13-Year(n+4)'!Q234</f>
        <v>91.589499999999973</v>
      </c>
      <c r="P228" s="66">
        <f>'F13-Year(n+5)'!Q234</f>
        <v>91.589499999999973</v>
      </c>
    </row>
    <row r="229" spans="3:16" x14ac:dyDescent="0.25">
      <c r="C229" s="806"/>
      <c r="D229" s="17" t="s">
        <v>377</v>
      </c>
      <c r="E229" s="66">
        <f>'[48]PP Cost'!$J$116</f>
        <v>0</v>
      </c>
      <c r="F229" s="109">
        <f>'F13-Year(n-1)'!Q229</f>
        <v>15.373670382549998</v>
      </c>
      <c r="G229" s="66"/>
      <c r="H229" s="66">
        <f>'[49]PP Cost'!J120</f>
        <v>0</v>
      </c>
      <c r="I229" s="66">
        <f>SUM('F13-Year(n)'!E227:J227)</f>
        <v>0</v>
      </c>
      <c r="J229" s="66">
        <f>SUM('F13-Year(n)'!K227:P227)</f>
        <v>0</v>
      </c>
      <c r="K229" s="66">
        <f t="shared" si="12"/>
        <v>0</v>
      </c>
      <c r="L229" s="66">
        <f>'F13-Year(n+2)'!Q234</f>
        <v>0</v>
      </c>
      <c r="M229" s="66" t="e">
        <f>#REF!</f>
        <v>#REF!</v>
      </c>
      <c r="N229" s="66">
        <f>'F13-Year(n+3)'!Q235</f>
        <v>0</v>
      </c>
      <c r="O229" s="66">
        <f>'F13-Year(n+4)'!Q235</f>
        <v>0</v>
      </c>
      <c r="P229" s="66">
        <f>'F13-Year(n+5)'!Q235</f>
        <v>0</v>
      </c>
    </row>
    <row r="230" spans="3:16" x14ac:dyDescent="0.25">
      <c r="C230" s="806"/>
      <c r="D230" s="17" t="s">
        <v>378</v>
      </c>
      <c r="E230" s="66">
        <f>'[48]PP Cost'!$J$117</f>
        <v>0</v>
      </c>
      <c r="F230" s="109">
        <f>'F13-Year(n-1)'!Q230</f>
        <v>0</v>
      </c>
      <c r="G230" s="66"/>
      <c r="H230" s="66">
        <f>'[49]PP Cost'!J121</f>
        <v>0</v>
      </c>
      <c r="I230" s="66">
        <f>SUM('F13-Year(n)'!E228:J228)</f>
        <v>0</v>
      </c>
      <c r="J230" s="66">
        <f>SUM('F13-Year(n)'!K228:P228)</f>
        <v>0</v>
      </c>
      <c r="K230" s="66">
        <f t="shared" si="12"/>
        <v>0</v>
      </c>
      <c r="L230" s="66">
        <f>'F13-Year(n+2)'!Q235</f>
        <v>0</v>
      </c>
      <c r="M230" s="66" t="e">
        <f>#REF!</f>
        <v>#REF!</v>
      </c>
      <c r="N230" s="66">
        <f>'F13-Year(n+3)'!Q236</f>
        <v>0</v>
      </c>
      <c r="O230" s="66">
        <f>'F13-Year(n+4)'!Q236</f>
        <v>0</v>
      </c>
      <c r="P230" s="66">
        <f>'F13-Year(n+5)'!Q236</f>
        <v>0</v>
      </c>
    </row>
    <row r="231" spans="3:16" x14ac:dyDescent="0.25">
      <c r="C231" s="807"/>
      <c r="D231" s="17" t="s">
        <v>379</v>
      </c>
      <c r="E231" s="66">
        <f>'[48]PP Cost'!$J$107</f>
        <v>209.63099</v>
      </c>
      <c r="F231" s="109">
        <f>'F13-Year(n-1)'!Q231</f>
        <v>0</v>
      </c>
      <c r="G231" s="66"/>
      <c r="H231" s="66">
        <f>'[49]PP Cost'!$J$111</f>
        <v>447.00976999999995</v>
      </c>
      <c r="I231" s="66">
        <f>SUM('F13-Year(n)'!E229:J229)</f>
        <v>1.5641601799999998E-2</v>
      </c>
      <c r="J231" s="66">
        <f>SUM('F13-Year(n)'!K229:P229)</f>
        <v>135.31984304939999</v>
      </c>
      <c r="K231" s="66">
        <f t="shared" si="12"/>
        <v>135.33548465120001</v>
      </c>
      <c r="L231" s="66">
        <f>'F13-Year(n+2)'!Q236</f>
        <v>307.39968900000008</v>
      </c>
      <c r="M231" s="66" t="e">
        <f>#REF!</f>
        <v>#REF!</v>
      </c>
      <c r="N231" s="66">
        <f>'F13-Year(n+3)'!Q237</f>
        <v>331.60699999999997</v>
      </c>
      <c r="O231" s="66">
        <f>'F13-Year(n+4)'!Q237</f>
        <v>331.60699999999997</v>
      </c>
      <c r="P231" s="66">
        <f>'F13-Year(n+5)'!Q237</f>
        <v>331.60700000000008</v>
      </c>
    </row>
    <row r="232" spans="3:16" x14ac:dyDescent="0.25">
      <c r="C232" s="17"/>
      <c r="D232" s="17" t="s">
        <v>380</v>
      </c>
      <c r="E232" s="66">
        <f>'[48]PP Cost'!$J$104</f>
        <v>8.2754499999999993</v>
      </c>
      <c r="F232" s="109">
        <f>'F13-Year(n-1)'!Q232</f>
        <v>9.6895020621220347</v>
      </c>
      <c r="G232" s="66"/>
      <c r="H232" s="66">
        <f>'[49]PP Cost'!J106</f>
        <v>0.73330499999999998</v>
      </c>
      <c r="I232" s="66">
        <f>SUM('F13-Year(n)'!E230:J230)</f>
        <v>0.26652670807219359</v>
      </c>
      <c r="J232" s="66">
        <f>SUM('F13-Year(n)'!K230:P230)</f>
        <v>0.27685968670429545</v>
      </c>
      <c r="K232" s="66">
        <f t="shared" si="12"/>
        <v>0.54338639477648898</v>
      </c>
      <c r="L232" s="66">
        <f>'F13-Year(n+2)'!Q237</f>
        <v>307.39968899999997</v>
      </c>
      <c r="M232" s="66" t="e">
        <f>#REF!</f>
        <v>#REF!</v>
      </c>
      <c r="N232" s="66">
        <f>'F13-Year(n+3)'!Q238</f>
        <v>331.60699999999997</v>
      </c>
      <c r="O232" s="66">
        <f>'F13-Year(n+4)'!Q238</f>
        <v>331.60700000000003</v>
      </c>
      <c r="P232" s="66">
        <f>'F13-Year(n+5)'!Q238</f>
        <v>331.60699999999997</v>
      </c>
    </row>
    <row r="233" spans="3:16" x14ac:dyDescent="0.25">
      <c r="C233" s="17"/>
      <c r="D233" s="17" t="s">
        <v>381</v>
      </c>
      <c r="E233" s="66">
        <f>'[48]PP Cost'!$J$105</f>
        <v>15.390569999999999</v>
      </c>
      <c r="F233" s="109">
        <f>'F13-Year(n-1)'!Q233</f>
        <v>1.9538719510268798</v>
      </c>
      <c r="G233" s="66"/>
      <c r="H233" s="66">
        <f>'[49]PP Cost'!J107</f>
        <v>1.0012999999999999</v>
      </c>
      <c r="I233" s="66">
        <f>SUM('F13-Year(n)'!E231:J231)</f>
        <v>0.22312956080724825</v>
      </c>
      <c r="J233" s="66">
        <f>SUM('F13-Year(n)'!K231:P231)</f>
        <v>0.3470921357691652</v>
      </c>
      <c r="K233" s="66">
        <f t="shared" si="12"/>
        <v>0.57022169657641342</v>
      </c>
      <c r="L233" s="66">
        <f>'F13-Year(n+2)'!Q238</f>
        <v>0.93123844999999983</v>
      </c>
      <c r="M233" s="66" t="e">
        <f>#REF!</f>
        <v>#REF!</v>
      </c>
      <c r="N233" s="66">
        <f>'F13-Year(n+3)'!Q239</f>
        <v>0</v>
      </c>
      <c r="O233" s="66">
        <f>'F13-Year(n+4)'!Q239</f>
        <v>0</v>
      </c>
      <c r="P233" s="66">
        <f>'F13-Year(n+5)'!Q239</f>
        <v>0</v>
      </c>
    </row>
    <row r="234" spans="3:16" x14ac:dyDescent="0.25">
      <c r="C234" s="17"/>
      <c r="D234" s="17" t="s">
        <v>382</v>
      </c>
      <c r="E234" s="66">
        <f>'[48]PP Cost'!$J$106</f>
        <v>23.035789999999999</v>
      </c>
      <c r="F234" s="109">
        <f>'F13-Year(n-1)'!Q234</f>
        <v>23.669426486316727</v>
      </c>
      <c r="G234" s="66"/>
      <c r="H234" s="66">
        <f>'[49]PP Cost'!J108</f>
        <v>22.962164999999999</v>
      </c>
      <c r="I234" s="66">
        <f>SUM('F13-Year(n)'!E232:J232)</f>
        <v>10.663143593779296</v>
      </c>
      <c r="J234" s="66">
        <f>SUM('F13-Year(n)'!K232:P232)</f>
        <v>12.354590220007644</v>
      </c>
      <c r="K234" s="66">
        <f t="shared" si="12"/>
        <v>23.01773381378694</v>
      </c>
      <c r="L234" s="66">
        <f>'F13-Year(n+2)'!Q239</f>
        <v>1.2618735999999999</v>
      </c>
      <c r="M234" s="66" t="e">
        <f>#REF!</f>
        <v>#REF!</v>
      </c>
      <c r="N234" s="66">
        <f>'F13-Year(n+3)'!Q240</f>
        <v>0</v>
      </c>
      <c r="O234" s="66">
        <f>'F13-Year(n+4)'!Q240</f>
        <v>0</v>
      </c>
      <c r="P234" s="66">
        <f>'F13-Year(n+5)'!Q240</f>
        <v>0</v>
      </c>
    </row>
    <row r="235" spans="3:16" x14ac:dyDescent="0.25">
      <c r="C235" s="17"/>
      <c r="D235" s="17" t="s">
        <v>383</v>
      </c>
      <c r="E235" s="66"/>
      <c r="F235" s="109">
        <f>'F13-Year(n-1)'!Q235</f>
        <v>0.72986238756493593</v>
      </c>
      <c r="G235" s="66"/>
      <c r="H235" s="66">
        <f>'[49]PP Cost'!J109</f>
        <v>1.1573849999999999</v>
      </c>
      <c r="I235" s="66">
        <f>SUM('F13-Year(n)'!E233:J233)</f>
        <v>0.52547211240418923</v>
      </c>
      <c r="J235" s="66">
        <f>SUM('F13-Year(n)'!K233:P233)</f>
        <v>0.53392364077198018</v>
      </c>
      <c r="K235" s="66">
        <f t="shared" si="12"/>
        <v>1.0593957531761693</v>
      </c>
      <c r="L235" s="66">
        <f>'F13-Year(n+2)'!Q240</f>
        <v>25.225338600000008</v>
      </c>
      <c r="M235" s="66" t="e">
        <f>#REF!</f>
        <v>#REF!</v>
      </c>
      <c r="N235" s="66">
        <f>'F13-Year(n+3)'!Q241</f>
        <v>0.58900000000000008</v>
      </c>
      <c r="O235" s="66">
        <f>'F13-Year(n+4)'!Q241</f>
        <v>0.58899999999999997</v>
      </c>
      <c r="P235" s="66">
        <f>'F13-Year(n+5)'!Q241</f>
        <v>0.58900000000000008</v>
      </c>
    </row>
    <row r="236" spans="3:16" x14ac:dyDescent="0.25">
      <c r="C236" s="17"/>
      <c r="D236" s="17" t="s">
        <v>384</v>
      </c>
      <c r="E236" s="66"/>
      <c r="F236" s="109">
        <f>'F13-Year(n-1)'!Q236</f>
        <v>0.67071938054560165</v>
      </c>
      <c r="G236" s="66"/>
      <c r="H236" s="66">
        <f>'[49]PP Cost'!J110</f>
        <v>2.0408849999999998</v>
      </c>
      <c r="I236" s="66">
        <f>SUM('F13-Year(n)'!E234:J234)</f>
        <v>0.84723992399964887</v>
      </c>
      <c r="J236" s="66">
        <f>SUM('F13-Year(n)'!K234:P234)</f>
        <v>0.73031694486195564</v>
      </c>
      <c r="K236" s="66">
        <f t="shared" si="12"/>
        <v>1.5775568688616044</v>
      </c>
      <c r="L236" s="66">
        <f>'F13-Year(n+2)'!Q241</f>
        <v>36.082515172230366</v>
      </c>
      <c r="M236" s="66" t="e">
        <f>#REF!</f>
        <v>#REF!</v>
      </c>
      <c r="N236" s="66">
        <f>'F13-Year(n+3)'!Q242</f>
        <v>0</v>
      </c>
      <c r="O236" s="66">
        <f>'F13-Year(n+4)'!Q242</f>
        <v>0</v>
      </c>
      <c r="P236" s="66">
        <f>'F13-Year(n+5)'!Q242</f>
        <v>0</v>
      </c>
    </row>
    <row r="237" spans="3:16" x14ac:dyDescent="0.25">
      <c r="C237" s="17"/>
      <c r="D237" s="17" t="s">
        <v>385</v>
      </c>
      <c r="E237" s="66" t="e">
        <f>'[48]PP Cost'!$J$108</f>
        <v>#REF!</v>
      </c>
      <c r="F237" s="109">
        <f>'F13-Year(n-1)'!Q237</f>
        <v>0</v>
      </c>
      <c r="G237" s="66"/>
      <c r="H237" s="66">
        <f>'[49]PP Cost'!J112</f>
        <v>0</v>
      </c>
      <c r="I237" s="66">
        <f>SUM('F13-Year(n)'!E235:J235)</f>
        <v>17.480342703854998</v>
      </c>
      <c r="J237" s="66">
        <f>SUM('F13-Year(n)'!K235:P235)</f>
        <v>9.6223279032999987</v>
      </c>
      <c r="K237" s="66">
        <f t="shared" si="12"/>
        <v>27.102670607154998</v>
      </c>
      <c r="L237" s="66" t="e">
        <f>'F13-Year(n+2)'!#REF!</f>
        <v>#REF!</v>
      </c>
      <c r="M237" s="66" t="e">
        <f>#REF!</f>
        <v>#REF!</v>
      </c>
      <c r="N237" s="66">
        <f>'F13-Year(n+3)'!Q243</f>
        <v>22.971</v>
      </c>
      <c r="O237" s="66">
        <f>'F13-Year(n+4)'!Q243</f>
        <v>22.971</v>
      </c>
      <c r="P237" s="66">
        <f>'F13-Year(n+5)'!Q243</f>
        <v>22.971000000000004</v>
      </c>
    </row>
    <row r="238" spans="3:16" x14ac:dyDescent="0.25">
      <c r="C238" s="17"/>
      <c r="D238" s="17" t="s">
        <v>386</v>
      </c>
      <c r="E238" s="66" t="e">
        <f>'[48]PP Cost'!$J$109</f>
        <v>#REF!</v>
      </c>
      <c r="F238" s="109">
        <f>'F13-Year(n-1)'!Q238</f>
        <v>64.409742364227498</v>
      </c>
      <c r="G238" s="66"/>
      <c r="H238" s="66">
        <f>'[49]PP Cost'!J113</f>
        <v>0</v>
      </c>
      <c r="I238" s="66">
        <f>SUM('F13-Year(n)'!E236:J236)</f>
        <v>18.926881861951006</v>
      </c>
      <c r="J238" s="66">
        <f>SUM('F13-Year(n)'!K236:P236)</f>
        <v>18.883044884033112</v>
      </c>
      <c r="K238" s="66">
        <f t="shared" si="12"/>
        <v>37.809926745984114</v>
      </c>
      <c r="L238" s="66">
        <f>'F13-Year(n+2)'!Q242</f>
        <v>24.085208124992256</v>
      </c>
      <c r="M238" s="66" t="e">
        <f>#REF!</f>
        <v>#REF!</v>
      </c>
      <c r="N238" s="66">
        <f>'F13-Year(n+3)'!Q244</f>
        <v>37.401499999999992</v>
      </c>
      <c r="O238" s="66">
        <f>'F13-Year(n+4)'!Q244</f>
        <v>37.401499999999992</v>
      </c>
      <c r="P238" s="66">
        <f>'F13-Year(n+5)'!Q244</f>
        <v>37.401499999999999</v>
      </c>
    </row>
    <row r="239" spans="3:16" x14ac:dyDescent="0.25">
      <c r="C239" s="17"/>
      <c r="D239" s="328" t="s">
        <v>438</v>
      </c>
      <c r="E239" s="66"/>
      <c r="F239" s="109">
        <f>'F13-Year(n-1)'!Q239</f>
        <v>50.487422619611948</v>
      </c>
      <c r="G239" s="66"/>
      <c r="H239" s="66"/>
      <c r="I239" s="66">
        <f>SUM('F13-Year(n)'!E237:J237)</f>
        <v>5.1993974999999994E-3</v>
      </c>
      <c r="J239" s="66">
        <f>SUM('F13-Year(n)'!K237:P237)</f>
        <v>5.1923295E-4</v>
      </c>
      <c r="K239" s="66">
        <f t="shared" si="12"/>
        <v>5.7186304499999997E-3</v>
      </c>
      <c r="L239" s="66">
        <f>'F13-Year(n+2)'!Q243</f>
        <v>0</v>
      </c>
      <c r="M239" s="66" t="e">
        <f>#REF!</f>
        <v>#REF!</v>
      </c>
      <c r="N239" s="66">
        <f>'F13-Year(n+3)'!Q245</f>
        <v>0</v>
      </c>
      <c r="O239" s="66">
        <f>'F13-Year(n+4)'!Q245</f>
        <v>0</v>
      </c>
      <c r="P239" s="66">
        <f>'F13-Year(n+5)'!Q245</f>
        <v>0</v>
      </c>
    </row>
    <row r="240" spans="3:16" x14ac:dyDescent="0.25">
      <c r="C240" s="17"/>
      <c r="D240" s="328" t="s">
        <v>439</v>
      </c>
      <c r="E240" s="66"/>
      <c r="F240" s="109">
        <f>'F13-Year(n-1)'!Q240</f>
        <v>0</v>
      </c>
      <c r="G240" s="66"/>
      <c r="H240" s="66"/>
      <c r="I240" s="66">
        <f>SUM('F13-Year(n)'!E238:J238)</f>
        <v>3.7282168599999999E-2</v>
      </c>
      <c r="J240" s="66">
        <f>SUM('F13-Year(n)'!K238:P238)</f>
        <v>1.2211442499999998E-3</v>
      </c>
      <c r="K240" s="66">
        <f t="shared" si="12"/>
        <v>3.8503312849999999E-2</v>
      </c>
      <c r="L240" s="66">
        <f>'F13-Year(n+2)'!Q244</f>
        <v>0</v>
      </c>
      <c r="M240" s="66" t="e">
        <f>#REF!</f>
        <v>#REF!</v>
      </c>
      <c r="N240" s="66">
        <f>'F13-Year(n+3)'!Q246</f>
        <v>0</v>
      </c>
      <c r="O240" s="66">
        <f>'F13-Year(n+4)'!Q246</f>
        <v>0</v>
      </c>
      <c r="P240" s="66">
        <f>'F13-Year(n+5)'!Q246</f>
        <v>0</v>
      </c>
    </row>
    <row r="241" spans="3:16" x14ac:dyDescent="0.25">
      <c r="C241" s="17"/>
      <c r="D241" s="327" t="s">
        <v>441</v>
      </c>
      <c r="E241" s="66"/>
      <c r="F241" s="109">
        <f>'F13-Year(n-1)'!Q241</f>
        <v>0</v>
      </c>
      <c r="G241" s="66"/>
      <c r="H241" s="66"/>
      <c r="I241" s="66">
        <f>SUM('F13-Year(n)'!E239:J239)</f>
        <v>6.4739934999999988E-3</v>
      </c>
      <c r="J241" s="66">
        <f>SUM('F13-Year(n)'!K239:P239)</f>
        <v>3.0115569999999997E-4</v>
      </c>
      <c r="K241" s="66">
        <f t="shared" si="12"/>
        <v>6.7751491999999986E-3</v>
      </c>
      <c r="L241" s="66">
        <f>'F13-Year(n+2)'!Q245</f>
        <v>0</v>
      </c>
      <c r="M241" s="66" t="e">
        <f>#REF!</f>
        <v>#REF!</v>
      </c>
      <c r="N241" s="66">
        <f>'F13-Year(n+3)'!Q247</f>
        <v>0</v>
      </c>
      <c r="O241" s="66">
        <f>'F13-Year(n+4)'!Q247</f>
        <v>0</v>
      </c>
      <c r="P241" s="66">
        <f>'F13-Year(n+5)'!Q247</f>
        <v>0</v>
      </c>
    </row>
    <row r="242" spans="3:16" x14ac:dyDescent="0.25">
      <c r="C242" s="17"/>
      <c r="D242" s="327" t="s">
        <v>442</v>
      </c>
      <c r="E242" s="66"/>
      <c r="F242" s="109">
        <f>'F13-Year(n-1)'!Q242</f>
        <v>0</v>
      </c>
      <c r="G242" s="66"/>
      <c r="H242" s="66"/>
      <c r="I242" s="66">
        <f>SUM('F13-Year(n)'!E240:J240)</f>
        <v>3.3110369949999989E-2</v>
      </c>
      <c r="J242" s="66">
        <f>SUM('F13-Year(n)'!K240:P240)</f>
        <v>1.3107606E-3</v>
      </c>
      <c r="K242" s="66">
        <f t="shared" si="12"/>
        <v>3.4421130549999991E-2</v>
      </c>
      <c r="L242" s="66">
        <f>'F13-Year(n+2)'!Q246</f>
        <v>0</v>
      </c>
      <c r="M242" s="66" t="e">
        <f>#REF!</f>
        <v>#REF!</v>
      </c>
      <c r="N242" s="66">
        <f>'F13-Year(n+3)'!Q248</f>
        <v>0</v>
      </c>
      <c r="O242" s="66">
        <f>'F13-Year(n+4)'!Q248</f>
        <v>0</v>
      </c>
      <c r="P242" s="66">
        <f>'F13-Year(n+5)'!Q248</f>
        <v>0</v>
      </c>
    </row>
    <row r="243" spans="3:16" x14ac:dyDescent="0.25">
      <c r="C243" s="17"/>
      <c r="D243" s="328" t="s">
        <v>443</v>
      </c>
      <c r="E243" s="66"/>
      <c r="F243" s="109">
        <f>'F13-Year(n-1)'!Q243</f>
        <v>0</v>
      </c>
      <c r="G243" s="66"/>
      <c r="H243" s="66"/>
      <c r="I243" s="66">
        <f>SUM('F13-Year(n)'!E241:J241)</f>
        <v>1.1012532999999998E-3</v>
      </c>
      <c r="J243" s="66">
        <f>SUM('F13-Year(n)'!K241:P241)</f>
        <v>3.9937733999999992E-3</v>
      </c>
      <c r="K243" s="66">
        <f t="shared" si="12"/>
        <v>5.0950266999999988E-3</v>
      </c>
      <c r="L243" s="66">
        <f>'F13-Year(n+2)'!Q247</f>
        <v>0</v>
      </c>
      <c r="M243" s="66" t="e">
        <f>#REF!</f>
        <v>#REF!</v>
      </c>
      <c r="N243" s="66">
        <f>'F13-Year(n+3)'!Q249</f>
        <v>0</v>
      </c>
      <c r="O243" s="66">
        <f>'F13-Year(n+4)'!Q249</f>
        <v>0</v>
      </c>
      <c r="P243" s="66">
        <f>'F13-Year(n+5)'!Q249</f>
        <v>0</v>
      </c>
    </row>
    <row r="244" spans="3:16" x14ac:dyDescent="0.25">
      <c r="C244" s="17"/>
      <c r="D244" s="328" t="s">
        <v>444</v>
      </c>
      <c r="E244" s="66"/>
      <c r="F244" s="109">
        <f>'F13-Year(n-1)'!Q244</f>
        <v>0</v>
      </c>
      <c r="G244" s="66"/>
      <c r="H244" s="66"/>
      <c r="I244" s="66">
        <f>SUM('F13-Year(n)'!E242:J242)</f>
        <v>2.4737999999999999E-6</v>
      </c>
      <c r="J244" s="66">
        <f>SUM('F13-Year(n)'!K242:P242)</f>
        <v>-8.8055500000000008E-6</v>
      </c>
      <c r="K244" s="66">
        <f t="shared" si="12"/>
        <v>-6.3317500000000008E-6</v>
      </c>
      <c r="L244" s="66">
        <f>'F13-Year(n+2)'!Q248</f>
        <v>0</v>
      </c>
      <c r="M244" s="66" t="e">
        <f>#REF!</f>
        <v>#REF!</v>
      </c>
      <c r="N244" s="66">
        <f>'F13-Year(n+3)'!Q250</f>
        <v>0</v>
      </c>
      <c r="O244" s="66">
        <f>'F13-Year(n+4)'!Q250</f>
        <v>0</v>
      </c>
      <c r="P244" s="66">
        <f>'F13-Year(n+5)'!Q250</f>
        <v>0</v>
      </c>
    </row>
    <row r="245" spans="3:16" x14ac:dyDescent="0.25">
      <c r="C245" s="17"/>
      <c r="D245" s="325" t="s">
        <v>625</v>
      </c>
      <c r="E245" s="66"/>
      <c r="F245" s="109">
        <f>'F13-Year(n-1)'!Q245</f>
        <v>0</v>
      </c>
      <c r="G245" s="66"/>
      <c r="H245" s="66"/>
      <c r="I245" s="66">
        <f>SUM('F13-Year(n)'!E243:J243)</f>
        <v>0</v>
      </c>
      <c r="J245" s="66">
        <f>SUM('F13-Year(n)'!K243:P243)</f>
        <v>0</v>
      </c>
      <c r="K245" s="66">
        <f t="shared" si="12"/>
        <v>0</v>
      </c>
      <c r="L245" s="66">
        <f>'F13-Year(n+2)'!Q249</f>
        <v>0</v>
      </c>
      <c r="M245" s="66" t="e">
        <f>#REF!</f>
        <v>#REF!</v>
      </c>
      <c r="N245" s="66">
        <f>'F13-Year(n+3)'!Q251</f>
        <v>0</v>
      </c>
      <c r="O245" s="66">
        <f>'F13-Year(n+4)'!Q251</f>
        <v>0</v>
      </c>
      <c r="P245" s="66">
        <f>'F13-Year(n+5)'!Q251</f>
        <v>0</v>
      </c>
    </row>
    <row r="246" spans="3:16" x14ac:dyDescent="0.25">
      <c r="C246" s="17"/>
      <c r="D246" s="17"/>
      <c r="E246" s="66"/>
      <c r="F246" s="109">
        <f>'F13-Year(n-1)'!Q246</f>
        <v>0</v>
      </c>
      <c r="G246" s="66"/>
      <c r="H246" s="66"/>
      <c r="I246" s="66">
        <f>SUM('F13-Year(n)'!E244:J244)</f>
        <v>0</v>
      </c>
      <c r="J246" s="66">
        <f>SUM('F13-Year(n)'!K244:P244)</f>
        <v>0</v>
      </c>
      <c r="K246" s="66">
        <f t="shared" si="12"/>
        <v>0</v>
      </c>
      <c r="L246" s="66">
        <f>'F13-Year(n+2)'!Q250</f>
        <v>0</v>
      </c>
      <c r="M246" s="66" t="e">
        <f>#REF!</f>
        <v>#REF!</v>
      </c>
      <c r="N246" s="66">
        <f>'F13-Year(n+3)'!Q252</f>
        <v>0</v>
      </c>
      <c r="O246" s="66">
        <f>'F13-Year(n+4)'!Q252</f>
        <v>0</v>
      </c>
      <c r="P246" s="66">
        <f>'F13-Year(n+5)'!Q252</f>
        <v>0</v>
      </c>
    </row>
    <row r="247" spans="3:16" x14ac:dyDescent="0.25">
      <c r="C247" s="17"/>
      <c r="D247" s="17"/>
      <c r="E247" s="66"/>
      <c r="F247" s="109"/>
      <c r="G247" s="66"/>
      <c r="H247" s="66"/>
      <c r="I247" s="66">
        <f>SUM('F13-Year(n)'!E245:J245)</f>
        <v>0</v>
      </c>
      <c r="J247" s="66">
        <f>SUM('F13-Year(n)'!K245:P245)</f>
        <v>0</v>
      </c>
      <c r="K247" s="66"/>
      <c r="L247" s="66">
        <f>'F13-Year(n+2)'!Q251</f>
        <v>0</v>
      </c>
      <c r="M247" s="66" t="e">
        <f>#REF!</f>
        <v>#REF!</v>
      </c>
      <c r="N247" s="66">
        <f>'F13-Year(n+3)'!Q253</f>
        <v>0</v>
      </c>
      <c r="O247" s="66">
        <f>'F13-Year(n+4)'!Q253</f>
        <v>0</v>
      </c>
      <c r="P247" s="66">
        <f>'F13-Year(n+5)'!Q253</f>
        <v>0</v>
      </c>
    </row>
    <row r="248" spans="3:16" x14ac:dyDescent="0.25">
      <c r="C248" s="17"/>
      <c r="D248" s="17"/>
      <c r="E248" s="66"/>
      <c r="F248" s="109">
        <f>'F13-Year(n-1)'!Q247</f>
        <v>0</v>
      </c>
      <c r="G248" s="66"/>
      <c r="H248" s="66"/>
      <c r="I248" s="66">
        <f>SUM('F13-Year(n)'!E246:J246)</f>
        <v>0</v>
      </c>
      <c r="J248" s="66">
        <f>SUM('F13-Year(n)'!K246:P246)</f>
        <v>0</v>
      </c>
      <c r="K248" s="66">
        <f>I248+J248</f>
        <v>0</v>
      </c>
      <c r="L248" s="66">
        <f>'F13-Year(n+2)'!Q252</f>
        <v>0</v>
      </c>
      <c r="M248" s="66" t="e">
        <f>#REF!</f>
        <v>#REF!</v>
      </c>
      <c r="N248" s="66">
        <f>'F13-Year(n+3)'!Q254</f>
        <v>0</v>
      </c>
      <c r="O248" s="66">
        <f>'F13-Year(n+4)'!Q254</f>
        <v>0</v>
      </c>
      <c r="P248" s="66">
        <f>'F13-Year(n+5)'!Q254</f>
        <v>0</v>
      </c>
    </row>
    <row r="249" spans="3:16" x14ac:dyDescent="0.25">
      <c r="C249" s="751" t="s">
        <v>212</v>
      </c>
      <c r="D249" s="752"/>
      <c r="E249" s="86" t="e">
        <f>SUM(E223:E248)</f>
        <v>#REF!</v>
      </c>
      <c r="F249" s="86">
        <f>SUM(F223:F248)</f>
        <v>694.95217625511566</v>
      </c>
      <c r="G249" s="86" t="e">
        <f>F249-E249</f>
        <v>#REF!</v>
      </c>
      <c r="H249" s="86">
        <f>SUM(H223:H248)</f>
        <v>840.58840499999985</v>
      </c>
      <c r="I249" s="86">
        <f>SUM(I223:I248)</f>
        <v>293.27483010811864</v>
      </c>
      <c r="J249" s="86">
        <f>SUM(J223:J248)</f>
        <v>389.60823794319822</v>
      </c>
      <c r="K249" s="86">
        <f>I249+J249</f>
        <v>682.88306805131685</v>
      </c>
      <c r="L249" s="86">
        <f>'F13-Year(n+2)'!Q253</f>
        <v>1108.2477819472224</v>
      </c>
      <c r="M249" s="86" t="e">
        <f>#REF!</f>
        <v>#REF!</v>
      </c>
      <c r="N249" s="86">
        <f>'F13-Year(n+3)'!Q255</f>
        <v>1182.447349374127</v>
      </c>
      <c r="O249" s="86">
        <f>'F13-Year(n+4)'!Q255</f>
        <v>1182.4473493741273</v>
      </c>
      <c r="P249" s="86">
        <f>'F13-Year(n+5)'!Q255</f>
        <v>1182.4473493741275</v>
      </c>
    </row>
    <row r="250" spans="3:16" x14ac:dyDescent="0.25">
      <c r="C250" s="753" t="s">
        <v>387</v>
      </c>
      <c r="D250" s="754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</row>
    <row r="251" spans="3:16" x14ac:dyDescent="0.25">
      <c r="C251" s="805" t="s">
        <v>388</v>
      </c>
      <c r="D251" s="17" t="s">
        <v>389</v>
      </c>
      <c r="E251" s="66">
        <f>'[48]PP Cost'!J111</f>
        <v>0</v>
      </c>
      <c r="F251" s="109">
        <f>'F13-Year(n-1)'!Q251</f>
        <v>0</v>
      </c>
      <c r="G251" s="66"/>
      <c r="H251" s="66">
        <f>'[49]PP Cost'!J115</f>
        <v>0</v>
      </c>
      <c r="I251" s="66">
        <f>SUM('F13-Year(n)'!E249:J249)</f>
        <v>0</v>
      </c>
      <c r="J251" s="66">
        <f>SUM('F13-Year(n)'!K249:P249)</f>
        <v>0</v>
      </c>
      <c r="K251" s="66">
        <f t="shared" ref="K251:K266" si="13">I251+J251</f>
        <v>0</v>
      </c>
      <c r="L251" s="66">
        <f>'F13-Year(n+2)'!Q255</f>
        <v>0</v>
      </c>
      <c r="M251" s="66" t="e">
        <f>#REF!</f>
        <v>#REF!</v>
      </c>
      <c r="N251" s="66">
        <f>'F13-Year(n+3)'!Q257</f>
        <v>0</v>
      </c>
      <c r="O251" s="66">
        <f>'F13-Year(n+4)'!Q257</f>
        <v>0</v>
      </c>
      <c r="P251" s="66">
        <f>'F13-Year(n+5)'!Q257</f>
        <v>0</v>
      </c>
    </row>
    <row r="252" spans="3:16" x14ac:dyDescent="0.25">
      <c r="C252" s="806"/>
      <c r="D252" s="17" t="s">
        <v>390</v>
      </c>
      <c r="E252" s="66">
        <f>'[48]PP Cost'!J112</f>
        <v>0</v>
      </c>
      <c r="F252" s="109">
        <f>'F13-Year(n-1)'!Q252</f>
        <v>0</v>
      </c>
      <c r="G252" s="66"/>
      <c r="H252" s="66">
        <f>'[49]PP Cost'!J116</f>
        <v>0</v>
      </c>
      <c r="I252" s="66">
        <f>SUM('F13-Year(n)'!E250:J250)</f>
        <v>0</v>
      </c>
      <c r="J252" s="66">
        <f>SUM('F13-Year(n)'!K250:P250)</f>
        <v>0</v>
      </c>
      <c r="K252" s="66">
        <f t="shared" si="13"/>
        <v>0</v>
      </c>
      <c r="L252" s="66">
        <f>'F13-Year(n+2)'!Q256</f>
        <v>0</v>
      </c>
      <c r="M252" s="66" t="e">
        <f>#REF!</f>
        <v>#REF!</v>
      </c>
      <c r="N252" s="66">
        <f>'F13-Year(n+3)'!Q258</f>
        <v>0</v>
      </c>
      <c r="O252" s="66">
        <f>'F13-Year(n+4)'!Q258</f>
        <v>0</v>
      </c>
      <c r="P252" s="66">
        <f>'F13-Year(n+5)'!Q258</f>
        <v>0</v>
      </c>
    </row>
    <row r="253" spans="3:16" x14ac:dyDescent="0.25">
      <c r="C253" s="806"/>
      <c r="D253" s="17" t="s">
        <v>391</v>
      </c>
      <c r="E253" s="66">
        <f>'[48]PP Cost'!J113</f>
        <v>0</v>
      </c>
      <c r="F253" s="109">
        <f>'F13-Year(n-1)'!Q253</f>
        <v>0</v>
      </c>
      <c r="G253" s="66"/>
      <c r="H253" s="66">
        <f>'[49]PP Cost'!J117</f>
        <v>0</v>
      </c>
      <c r="I253" s="66">
        <f>SUM('F13-Year(n)'!E251:J251)</f>
        <v>0</v>
      </c>
      <c r="J253" s="66">
        <f>SUM('F13-Year(n)'!K251:P251)</f>
        <v>0</v>
      </c>
      <c r="K253" s="66">
        <f t="shared" si="13"/>
        <v>0</v>
      </c>
      <c r="L253" s="66">
        <f>'F13-Year(n+2)'!Q257</f>
        <v>0</v>
      </c>
      <c r="M253" s="66" t="e">
        <f>#REF!</f>
        <v>#REF!</v>
      </c>
      <c r="N253" s="66">
        <f>'F13-Year(n+3)'!Q259</f>
        <v>0</v>
      </c>
      <c r="O253" s="66">
        <f>'F13-Year(n+4)'!Q259</f>
        <v>0</v>
      </c>
      <c r="P253" s="66">
        <f>'F13-Year(n+5)'!Q259</f>
        <v>0</v>
      </c>
    </row>
    <row r="254" spans="3:16" x14ac:dyDescent="0.25">
      <c r="C254" s="807"/>
      <c r="D254" s="17" t="s">
        <v>392</v>
      </c>
      <c r="E254" s="66">
        <f>'[48]PP Cost'!J114</f>
        <v>0</v>
      </c>
      <c r="F254" s="109">
        <f>'F13-Year(n-1)'!Q254</f>
        <v>0</v>
      </c>
      <c r="G254" s="66"/>
      <c r="H254" s="66">
        <f>'[49]PP Cost'!J118</f>
        <v>0</v>
      </c>
      <c r="I254" s="66">
        <f>SUM('F13-Year(n)'!E252:J252)</f>
        <v>0</v>
      </c>
      <c r="J254" s="66">
        <f>SUM('F13-Year(n)'!K252:P252)</f>
        <v>0</v>
      </c>
      <c r="K254" s="66">
        <f t="shared" si="13"/>
        <v>0</v>
      </c>
      <c r="L254" s="66">
        <f>'F13-Year(n+2)'!Q258</f>
        <v>0</v>
      </c>
      <c r="M254" s="66" t="e">
        <f>#REF!</f>
        <v>#REF!</v>
      </c>
      <c r="N254" s="66">
        <f>'F13-Year(n+3)'!Q260</f>
        <v>0</v>
      </c>
      <c r="O254" s="66">
        <f>'F13-Year(n+4)'!Q260</f>
        <v>0</v>
      </c>
      <c r="P254" s="66">
        <f>'F13-Year(n+5)'!Q260</f>
        <v>0</v>
      </c>
    </row>
    <row r="255" spans="3:16" hidden="1" x14ac:dyDescent="0.25">
      <c r="C255" s="17"/>
      <c r="D255" s="17"/>
      <c r="E255" s="66"/>
      <c r="F255" s="109">
        <f>'F13-Year(n-1)'!Q255</f>
        <v>0</v>
      </c>
      <c r="G255" s="66"/>
      <c r="H255" s="66"/>
      <c r="I255" s="66">
        <f>SUM('F13-Year(n)'!E253:J253)</f>
        <v>0</v>
      </c>
      <c r="J255" s="66">
        <f>SUM('F13-Year(n)'!K253:P253)</f>
        <v>0</v>
      </c>
      <c r="K255" s="66">
        <f t="shared" si="13"/>
        <v>0</v>
      </c>
      <c r="L255" s="66">
        <f>'F13-Year(n+2)'!Q259</f>
        <v>0</v>
      </c>
      <c r="M255" s="66" t="e">
        <f>#REF!</f>
        <v>#REF!</v>
      </c>
      <c r="N255" s="66">
        <f>'F13-Year(n+3)'!Q261</f>
        <v>0</v>
      </c>
      <c r="O255" s="66">
        <f>'F13-Year(n+4)'!Q261</f>
        <v>0</v>
      </c>
      <c r="P255" s="66">
        <f>'F13-Year(n+5)'!Q261</f>
        <v>0</v>
      </c>
    </row>
    <row r="256" spans="3:16" hidden="1" x14ac:dyDescent="0.25">
      <c r="C256" s="17"/>
      <c r="D256" s="17"/>
      <c r="E256" s="66"/>
      <c r="F256" s="109">
        <f>'F13-Year(n-1)'!Q256</f>
        <v>0</v>
      </c>
      <c r="G256" s="66"/>
      <c r="H256" s="66"/>
      <c r="I256" s="66">
        <f>SUM('F13-Year(n)'!E254:J254)</f>
        <v>0</v>
      </c>
      <c r="J256" s="66">
        <f>SUM('F13-Year(n)'!K254:P254)</f>
        <v>0</v>
      </c>
      <c r="K256" s="66">
        <f t="shared" si="13"/>
        <v>0</v>
      </c>
      <c r="L256" s="66">
        <f>'F13-Year(n+2)'!Q260</f>
        <v>0</v>
      </c>
      <c r="M256" s="66" t="e">
        <f>#REF!</f>
        <v>#REF!</v>
      </c>
      <c r="N256" s="66">
        <f>'F13-Year(n+3)'!Q262</f>
        <v>0</v>
      </c>
      <c r="O256" s="66">
        <f>'F13-Year(n+4)'!Q262</f>
        <v>0</v>
      </c>
      <c r="P256" s="66">
        <f>'F13-Year(n+5)'!Q262</f>
        <v>0</v>
      </c>
    </row>
    <row r="257" spans="3:16" hidden="1" x14ac:dyDescent="0.25">
      <c r="C257" s="17"/>
      <c r="D257" s="17"/>
      <c r="E257" s="66"/>
      <c r="F257" s="109">
        <f>'F13-Year(n-1)'!Q257</f>
        <v>0</v>
      </c>
      <c r="G257" s="66"/>
      <c r="H257" s="66"/>
      <c r="I257" s="66">
        <f>SUM('F13-Year(n)'!E255:J255)</f>
        <v>0</v>
      </c>
      <c r="J257" s="66">
        <f>SUM('F13-Year(n)'!K255:P255)</f>
        <v>0</v>
      </c>
      <c r="K257" s="66">
        <f t="shared" si="13"/>
        <v>0</v>
      </c>
      <c r="L257" s="66">
        <f>'F13-Year(n+2)'!Q261</f>
        <v>0</v>
      </c>
      <c r="M257" s="66" t="e">
        <f>#REF!</f>
        <v>#REF!</v>
      </c>
      <c r="N257" s="66">
        <f>'F13-Year(n+3)'!Q263</f>
        <v>0</v>
      </c>
      <c r="O257" s="66">
        <f>'F13-Year(n+4)'!Q263</f>
        <v>0</v>
      </c>
      <c r="P257" s="66">
        <f>'F13-Year(n+5)'!Q263</f>
        <v>0</v>
      </c>
    </row>
    <row r="258" spans="3:16" hidden="1" x14ac:dyDescent="0.25">
      <c r="C258" s="17"/>
      <c r="D258" s="17"/>
      <c r="E258" s="66"/>
      <c r="F258" s="109">
        <f>'F13-Year(n-1)'!Q258</f>
        <v>0</v>
      </c>
      <c r="G258" s="66"/>
      <c r="H258" s="66"/>
      <c r="I258" s="66">
        <f>SUM('F13-Year(n)'!E256:J256)</f>
        <v>0</v>
      </c>
      <c r="J258" s="66">
        <f>SUM('F13-Year(n)'!K256:P256)</f>
        <v>0</v>
      </c>
      <c r="K258" s="66">
        <f t="shared" si="13"/>
        <v>0</v>
      </c>
      <c r="L258" s="66">
        <f>'F13-Year(n+2)'!Q262</f>
        <v>0</v>
      </c>
      <c r="M258" s="66" t="e">
        <f>#REF!</f>
        <v>#REF!</v>
      </c>
      <c r="N258" s="66">
        <f>'F13-Year(n+3)'!Q264</f>
        <v>0</v>
      </c>
      <c r="O258" s="66">
        <f>'F13-Year(n+4)'!Q264</f>
        <v>0</v>
      </c>
      <c r="P258" s="66">
        <f>'F13-Year(n+5)'!Q264</f>
        <v>0</v>
      </c>
    </row>
    <row r="259" spans="3:16" hidden="1" x14ac:dyDescent="0.25">
      <c r="C259" s="17"/>
      <c r="D259" s="17"/>
      <c r="E259" s="66"/>
      <c r="F259" s="109">
        <f>'F13-Year(n-1)'!Q259</f>
        <v>0</v>
      </c>
      <c r="G259" s="66"/>
      <c r="H259" s="66"/>
      <c r="I259" s="66">
        <f>SUM('F13-Year(n)'!E257:J257)</f>
        <v>0</v>
      </c>
      <c r="J259" s="66">
        <f>SUM('F13-Year(n)'!K257:P257)</f>
        <v>0</v>
      </c>
      <c r="K259" s="66">
        <f t="shared" si="13"/>
        <v>0</v>
      </c>
      <c r="L259" s="66">
        <f>'F13-Year(n+2)'!Q263</f>
        <v>0</v>
      </c>
      <c r="M259" s="66" t="e">
        <f>#REF!</f>
        <v>#REF!</v>
      </c>
      <c r="N259" s="66">
        <f>'F13-Year(n+3)'!Q265</f>
        <v>0</v>
      </c>
      <c r="O259" s="66">
        <f>'F13-Year(n+4)'!Q265</f>
        <v>0</v>
      </c>
      <c r="P259" s="66">
        <f>'F13-Year(n+5)'!Q265</f>
        <v>0</v>
      </c>
    </row>
    <row r="260" spans="3:16" hidden="1" x14ac:dyDescent="0.25">
      <c r="C260" s="17"/>
      <c r="D260" s="17"/>
      <c r="E260" s="66"/>
      <c r="F260" s="109">
        <f>'F13-Year(n-1)'!Q260</f>
        <v>0</v>
      </c>
      <c r="G260" s="66"/>
      <c r="H260" s="66"/>
      <c r="I260" s="66">
        <f>SUM('F13-Year(n)'!E258:J258)</f>
        <v>0</v>
      </c>
      <c r="J260" s="66">
        <f>SUM('F13-Year(n)'!K258:P258)</f>
        <v>0</v>
      </c>
      <c r="K260" s="66">
        <f t="shared" si="13"/>
        <v>0</v>
      </c>
      <c r="L260" s="66">
        <f>'F13-Year(n+2)'!Q264</f>
        <v>0</v>
      </c>
      <c r="M260" s="66" t="e">
        <f>#REF!</f>
        <v>#REF!</v>
      </c>
      <c r="N260" s="66">
        <f>'F13-Year(n+3)'!Q266</f>
        <v>0</v>
      </c>
      <c r="O260" s="66">
        <f>'F13-Year(n+4)'!Q266</f>
        <v>0</v>
      </c>
      <c r="P260" s="66">
        <f>'F13-Year(n+5)'!Q266</f>
        <v>0</v>
      </c>
    </row>
    <row r="261" spans="3:16" hidden="1" x14ac:dyDescent="0.25">
      <c r="C261" s="17"/>
      <c r="D261" s="17"/>
      <c r="E261" s="66"/>
      <c r="F261" s="109">
        <f>'F13-Year(n-1)'!Q261</f>
        <v>0</v>
      </c>
      <c r="G261" s="66"/>
      <c r="H261" s="66"/>
      <c r="I261" s="66">
        <f>SUM('F13-Year(n)'!E259:J259)</f>
        <v>0</v>
      </c>
      <c r="J261" s="66">
        <f>SUM('F13-Year(n)'!K259:P259)</f>
        <v>0</v>
      </c>
      <c r="K261" s="66">
        <f t="shared" si="13"/>
        <v>0</v>
      </c>
      <c r="L261" s="66">
        <f>'F13-Year(n+2)'!Q265</f>
        <v>0</v>
      </c>
      <c r="M261" s="66" t="e">
        <f>#REF!</f>
        <v>#REF!</v>
      </c>
      <c r="N261" s="66">
        <f>'F13-Year(n+3)'!Q267</f>
        <v>0</v>
      </c>
      <c r="O261" s="66">
        <f>'F13-Year(n+4)'!Q267</f>
        <v>0</v>
      </c>
      <c r="P261" s="66">
        <f>'F13-Year(n+5)'!Q267</f>
        <v>0</v>
      </c>
    </row>
    <row r="262" spans="3:16" hidden="1" x14ac:dyDescent="0.25">
      <c r="C262" s="17"/>
      <c r="D262" s="17"/>
      <c r="E262" s="66"/>
      <c r="F262" s="109">
        <f>'F13-Year(n-1)'!Q262</f>
        <v>0</v>
      </c>
      <c r="G262" s="66"/>
      <c r="H262" s="66"/>
      <c r="I262" s="66">
        <f>SUM('F13-Year(n)'!E260:J260)</f>
        <v>0</v>
      </c>
      <c r="J262" s="66">
        <f>SUM('F13-Year(n)'!K260:P260)</f>
        <v>0</v>
      </c>
      <c r="K262" s="66">
        <f t="shared" si="13"/>
        <v>0</v>
      </c>
      <c r="L262" s="66">
        <f>'F13-Year(n+2)'!Q266</f>
        <v>0</v>
      </c>
      <c r="M262" s="66" t="e">
        <f>#REF!</f>
        <v>#REF!</v>
      </c>
      <c r="N262" s="66">
        <f>'F13-Year(n+3)'!Q268</f>
        <v>0</v>
      </c>
      <c r="O262" s="66">
        <f>'F13-Year(n+4)'!Q268</f>
        <v>0</v>
      </c>
      <c r="P262" s="66">
        <f>'F13-Year(n+5)'!Q268</f>
        <v>0</v>
      </c>
    </row>
    <row r="263" spans="3:16" hidden="1" x14ac:dyDescent="0.25">
      <c r="C263" s="17"/>
      <c r="D263" s="17"/>
      <c r="E263" s="66"/>
      <c r="F263" s="109">
        <f>'F13-Year(n-1)'!Q263</f>
        <v>0</v>
      </c>
      <c r="G263" s="66"/>
      <c r="H263" s="66"/>
      <c r="I263" s="66">
        <f>SUM('F13-Year(n)'!E261:J261)</f>
        <v>0</v>
      </c>
      <c r="J263" s="66">
        <f>SUM('F13-Year(n)'!K261:P261)</f>
        <v>0</v>
      </c>
      <c r="K263" s="66">
        <f t="shared" si="13"/>
        <v>0</v>
      </c>
      <c r="L263" s="66">
        <f>'F13-Year(n+2)'!Q267</f>
        <v>0</v>
      </c>
      <c r="M263" s="66" t="e">
        <f>#REF!</f>
        <v>#REF!</v>
      </c>
      <c r="N263" s="66">
        <f>'F13-Year(n+3)'!Q269</f>
        <v>0</v>
      </c>
      <c r="O263" s="66">
        <f>'F13-Year(n+4)'!Q269</f>
        <v>0</v>
      </c>
      <c r="P263" s="66">
        <f>'F13-Year(n+5)'!Q269</f>
        <v>0</v>
      </c>
    </row>
    <row r="264" spans="3:16" hidden="1" x14ac:dyDescent="0.25">
      <c r="C264" s="17"/>
      <c r="D264" s="17"/>
      <c r="E264" s="66"/>
      <c r="F264" s="109">
        <f>'F13-Year(n-1)'!Q264</f>
        <v>0</v>
      </c>
      <c r="G264" s="66"/>
      <c r="H264" s="66"/>
      <c r="I264" s="66">
        <f>SUM('F13-Year(n)'!E262:J262)</f>
        <v>0</v>
      </c>
      <c r="J264" s="66">
        <f>SUM('F13-Year(n)'!K262:P262)</f>
        <v>0</v>
      </c>
      <c r="K264" s="66">
        <f t="shared" si="13"/>
        <v>0</v>
      </c>
      <c r="L264" s="66">
        <f>'F13-Year(n+2)'!Q268</f>
        <v>0</v>
      </c>
      <c r="M264" s="66" t="e">
        <f>#REF!</f>
        <v>#REF!</v>
      </c>
      <c r="N264" s="66">
        <f>'F13-Year(n+3)'!Q270</f>
        <v>0</v>
      </c>
      <c r="O264" s="66">
        <f>'F13-Year(n+4)'!Q270</f>
        <v>0</v>
      </c>
      <c r="P264" s="66">
        <f>'F13-Year(n+5)'!Q270</f>
        <v>0</v>
      </c>
    </row>
    <row r="265" spans="3:16" x14ac:dyDescent="0.25">
      <c r="C265" s="751" t="s">
        <v>212</v>
      </c>
      <c r="D265" s="752"/>
      <c r="E265" s="86">
        <f>SUM(E251:E264)</f>
        <v>0</v>
      </c>
      <c r="F265" s="86">
        <f>SUM(F251:F264)</f>
        <v>0</v>
      </c>
      <c r="G265" s="86">
        <f>F265-E265</f>
        <v>0</v>
      </c>
      <c r="H265" s="86">
        <f>SUM(H251:H264)</f>
        <v>0</v>
      </c>
      <c r="I265" s="86">
        <f>SUM(I251:I264)</f>
        <v>0</v>
      </c>
      <c r="J265" s="86">
        <f>SUM(J251:J264)</f>
        <v>0</v>
      </c>
      <c r="K265" s="86">
        <f t="shared" si="13"/>
        <v>0</v>
      </c>
      <c r="L265" s="86">
        <f>'F13-Year(n+2)'!Q269</f>
        <v>0</v>
      </c>
      <c r="M265" s="86" t="e">
        <f>#REF!</f>
        <v>#REF!</v>
      </c>
      <c r="N265" s="86">
        <f>'F13-Year(n+3)'!Q271</f>
        <v>0</v>
      </c>
      <c r="O265" s="86">
        <f>'F13-Year(n+4)'!Q271</f>
        <v>0</v>
      </c>
      <c r="P265" s="86">
        <f>'F13-Year(n+5)'!Q271</f>
        <v>0</v>
      </c>
    </row>
    <row r="266" spans="3:16" x14ac:dyDescent="0.25">
      <c r="C266" s="753" t="s">
        <v>394</v>
      </c>
      <c r="D266" s="754"/>
      <c r="E266" s="86" t="e">
        <f>E249+E265</f>
        <v>#REF!</v>
      </c>
      <c r="F266" s="86">
        <f>F249+F265</f>
        <v>694.95217625511566</v>
      </c>
      <c r="G266" s="86" t="e">
        <f>F266-E266</f>
        <v>#REF!</v>
      </c>
      <c r="H266" s="86">
        <f>H249+H265</f>
        <v>840.58840499999985</v>
      </c>
      <c r="I266" s="86">
        <f>I249+I265</f>
        <v>293.27483010811864</v>
      </c>
      <c r="J266" s="86">
        <f>J249+J265</f>
        <v>389.60823794319822</v>
      </c>
      <c r="K266" s="86">
        <f t="shared" si="13"/>
        <v>682.88306805131685</v>
      </c>
      <c r="L266" s="86">
        <f>'F13-Year(n+2)'!Q270</f>
        <v>1108.2477819472224</v>
      </c>
      <c r="M266" s="86" t="e">
        <f>#REF!</f>
        <v>#REF!</v>
      </c>
      <c r="N266" s="86">
        <f>'F13-Year(n+3)'!Q272</f>
        <v>1182.447349374127</v>
      </c>
      <c r="O266" s="86">
        <f>'F13-Year(n+4)'!Q272</f>
        <v>1182.4473493741273</v>
      </c>
      <c r="P266" s="86">
        <f>'F13-Year(n+5)'!Q272</f>
        <v>1182.4473493741275</v>
      </c>
    </row>
    <row r="267" spans="3:16" x14ac:dyDescent="0.25">
      <c r="C267" s="800" t="s">
        <v>395</v>
      </c>
      <c r="D267" s="801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</row>
    <row r="268" spans="3:16" x14ac:dyDescent="0.25">
      <c r="C268" s="17" t="s">
        <v>396</v>
      </c>
      <c r="D268" s="17" t="s">
        <v>396</v>
      </c>
      <c r="E268" s="66">
        <f>'[48]PP Cost'!J131</f>
        <v>98.445459999999983</v>
      </c>
      <c r="F268" s="109">
        <f>'F13-Year(n-1)'!Q268</f>
        <v>329.99967572659</v>
      </c>
      <c r="G268" s="66"/>
      <c r="H268" s="66">
        <f>'[49]PP Cost'!J137</f>
        <v>93.526992419999999</v>
      </c>
      <c r="I268" s="66">
        <f>SUM('F13-Year(n)'!E266:J266)</f>
        <v>165.91789243700762</v>
      </c>
      <c r="J268" s="66">
        <f>SUM('F13-Year(n)'!K266:P266)</f>
        <v>162.47529257574581</v>
      </c>
      <c r="K268" s="66">
        <f t="shared" ref="K268:K275" si="14">I268+J268</f>
        <v>328.39318501275341</v>
      </c>
      <c r="L268" s="66">
        <f>'F13-Year(n+2)'!Q272</f>
        <v>92.51717499999998</v>
      </c>
      <c r="M268" s="66" t="e">
        <f>#REF!</f>
        <v>#REF!</v>
      </c>
      <c r="N268" s="66">
        <f>'F13-Year(n+3)'!Q274</f>
        <v>92.516957270363704</v>
      </c>
      <c r="O268" s="66">
        <f>'F13-Year(n+4)'!Q274</f>
        <v>92.516957270363704</v>
      </c>
      <c r="P268" s="66">
        <f>'F13-Year(n+5)'!Q274</f>
        <v>92.516957270363719</v>
      </c>
    </row>
    <row r="269" spans="3:16" x14ac:dyDescent="0.25">
      <c r="C269" s="17" t="s">
        <v>397</v>
      </c>
      <c r="D269" s="17" t="s">
        <v>397</v>
      </c>
      <c r="E269" s="66">
        <f>'[48]PP Cost'!J132</f>
        <v>334.849445</v>
      </c>
      <c r="F269" s="109">
        <f>'F13-Year(n-1)'!Q269</f>
        <v>96.225922435549975</v>
      </c>
      <c r="G269" s="66"/>
      <c r="H269" s="66">
        <f>'[49]PP Cost'!J138</f>
        <v>334.26225498000002</v>
      </c>
      <c r="I269" s="66">
        <f>SUM('F13-Year(n)'!E267:J267)</f>
        <v>46.839729878841752</v>
      </c>
      <c r="J269" s="66">
        <f>SUM('F13-Year(n)'!K267:P267)</f>
        <v>45.909306951274999</v>
      </c>
      <c r="K269" s="66">
        <f t="shared" si="14"/>
        <v>92.749036830116751</v>
      </c>
      <c r="L269" s="66">
        <f>'F13-Year(n+2)'!Q273</f>
        <v>0</v>
      </c>
      <c r="M269" s="66" t="e">
        <f>#REF!</f>
        <v>#REF!</v>
      </c>
      <c r="N269" s="66">
        <f>'F13-Year(n+3)'!Q275</f>
        <v>0</v>
      </c>
      <c r="O269" s="66">
        <f>'F13-Year(n+4)'!Q275</f>
        <v>0</v>
      </c>
      <c r="P269" s="66">
        <f>'F13-Year(n+5)'!Q275</f>
        <v>0</v>
      </c>
    </row>
    <row r="270" spans="3:16" hidden="1" x14ac:dyDescent="0.25">
      <c r="C270" s="17"/>
      <c r="D270" s="17"/>
      <c r="E270" s="66"/>
      <c r="F270" s="109">
        <f>'F13-Year(n-1)'!Q270</f>
        <v>0</v>
      </c>
      <c r="G270" s="66"/>
      <c r="H270" s="66"/>
      <c r="I270" s="66">
        <f>SUM('F13-Year(n)'!E268:J268)</f>
        <v>0</v>
      </c>
      <c r="J270" s="66">
        <f>SUM('F13-Year(n)'!K268:P268)</f>
        <v>0</v>
      </c>
      <c r="K270" s="66">
        <f t="shared" si="14"/>
        <v>0</v>
      </c>
      <c r="L270" s="66">
        <f>'F13-Year(n+2)'!Q274</f>
        <v>0</v>
      </c>
      <c r="M270" s="66" t="e">
        <f>#REF!</f>
        <v>#REF!</v>
      </c>
      <c r="N270" s="66">
        <f>'F13-Year(n+3)'!Q276</f>
        <v>0</v>
      </c>
      <c r="O270" s="66">
        <f>'F13-Year(n+4)'!Q276</f>
        <v>0</v>
      </c>
      <c r="P270" s="66">
        <f>'F13-Year(n+5)'!Q276</f>
        <v>0</v>
      </c>
    </row>
    <row r="271" spans="3:16" hidden="1" x14ac:dyDescent="0.25">
      <c r="C271" s="17"/>
      <c r="D271" s="17"/>
      <c r="E271" s="66"/>
      <c r="F271" s="109">
        <f>'F13-Year(n-1)'!Q271</f>
        <v>0</v>
      </c>
      <c r="G271" s="66"/>
      <c r="H271" s="66"/>
      <c r="I271" s="66">
        <f>SUM('F13-Year(n)'!E269:J269)</f>
        <v>0</v>
      </c>
      <c r="J271" s="66">
        <f>SUM('F13-Year(n)'!K269:P269)</f>
        <v>0</v>
      </c>
      <c r="K271" s="66">
        <f t="shared" si="14"/>
        <v>0</v>
      </c>
      <c r="L271" s="66">
        <f>'F13-Year(n+2)'!Q275</f>
        <v>0</v>
      </c>
      <c r="M271" s="66" t="e">
        <f>#REF!</f>
        <v>#REF!</v>
      </c>
      <c r="N271" s="66">
        <f>'F13-Year(n+3)'!Q277</f>
        <v>0</v>
      </c>
      <c r="O271" s="66">
        <f>'F13-Year(n+4)'!Q277</f>
        <v>0</v>
      </c>
      <c r="P271" s="66">
        <f>'F13-Year(n+5)'!Q277</f>
        <v>0</v>
      </c>
    </row>
    <row r="272" spans="3:16" hidden="1" x14ac:dyDescent="0.25">
      <c r="C272" s="17"/>
      <c r="D272" s="17"/>
      <c r="E272" s="66"/>
      <c r="F272" s="109">
        <f>'F13-Year(n-1)'!Q272</f>
        <v>0</v>
      </c>
      <c r="G272" s="66"/>
      <c r="H272" s="66"/>
      <c r="I272" s="66">
        <f>SUM('F13-Year(n)'!E270:J270)</f>
        <v>0</v>
      </c>
      <c r="J272" s="66">
        <f>SUM('F13-Year(n)'!K270:P270)</f>
        <v>0</v>
      </c>
      <c r="K272" s="66">
        <f t="shared" si="14"/>
        <v>0</v>
      </c>
      <c r="L272" s="66">
        <f>'F13-Year(n+2)'!Q276</f>
        <v>0</v>
      </c>
      <c r="M272" s="66" t="e">
        <f>#REF!</f>
        <v>#REF!</v>
      </c>
      <c r="N272" s="66">
        <f>'F13-Year(n+3)'!Q278</f>
        <v>0</v>
      </c>
      <c r="O272" s="66">
        <f>'F13-Year(n+4)'!Q278</f>
        <v>0</v>
      </c>
      <c r="P272" s="66">
        <f>'F13-Year(n+5)'!Q278</f>
        <v>0</v>
      </c>
    </row>
    <row r="273" spans="3:16" hidden="1" x14ac:dyDescent="0.25">
      <c r="C273" s="17"/>
      <c r="D273" s="17"/>
      <c r="E273" s="66"/>
      <c r="F273" s="109">
        <f>'F13-Year(n-1)'!Q273</f>
        <v>0</v>
      </c>
      <c r="G273" s="66"/>
      <c r="H273" s="66"/>
      <c r="I273" s="66">
        <f>SUM('F13-Year(n)'!E271:J271)</f>
        <v>0</v>
      </c>
      <c r="J273" s="66">
        <f>SUM('F13-Year(n)'!K271:P271)</f>
        <v>0</v>
      </c>
      <c r="K273" s="66">
        <f t="shared" si="14"/>
        <v>0</v>
      </c>
      <c r="L273" s="66">
        <f>'F13-Year(n+2)'!Q277</f>
        <v>0</v>
      </c>
      <c r="M273" s="66" t="e">
        <f>#REF!</f>
        <v>#REF!</v>
      </c>
      <c r="N273" s="66">
        <f>'F13-Year(n+3)'!Q279</f>
        <v>0</v>
      </c>
      <c r="O273" s="66">
        <f>'F13-Year(n+4)'!Q279</f>
        <v>0</v>
      </c>
      <c r="P273" s="66">
        <f>'F13-Year(n+5)'!Q279</f>
        <v>0</v>
      </c>
    </row>
    <row r="274" spans="3:16" hidden="1" x14ac:dyDescent="0.25">
      <c r="C274" s="17"/>
      <c r="D274" s="17"/>
      <c r="E274" s="66"/>
      <c r="F274" s="109">
        <f>'F13-Year(n-1)'!Q274</f>
        <v>0</v>
      </c>
      <c r="G274" s="66"/>
      <c r="H274" s="66"/>
      <c r="I274" s="66">
        <f>SUM('F13-Year(n)'!E272:J272)</f>
        <v>0</v>
      </c>
      <c r="J274" s="66">
        <f>SUM('F13-Year(n)'!K272:P272)</f>
        <v>0</v>
      </c>
      <c r="K274" s="66">
        <f t="shared" si="14"/>
        <v>0</v>
      </c>
      <c r="L274" s="66">
        <f>'F13-Year(n+2)'!Q278</f>
        <v>0</v>
      </c>
      <c r="M274" s="66" t="e">
        <f>#REF!</f>
        <v>#REF!</v>
      </c>
      <c r="N274" s="66">
        <f>'F13-Year(n+3)'!Q280</f>
        <v>0</v>
      </c>
      <c r="O274" s="66">
        <f>'F13-Year(n+4)'!Q280</f>
        <v>0</v>
      </c>
      <c r="P274" s="66">
        <f>'F13-Year(n+5)'!Q280</f>
        <v>0</v>
      </c>
    </row>
    <row r="275" spans="3:16" x14ac:dyDescent="0.25">
      <c r="C275" s="753" t="s">
        <v>398</v>
      </c>
      <c r="D275" s="754"/>
      <c r="E275" s="86">
        <f>SUM(E268:E274)</f>
        <v>433.29490499999997</v>
      </c>
      <c r="F275" s="86">
        <f>SUM(F268:F274)</f>
        <v>426.22559816213999</v>
      </c>
      <c r="G275" s="86">
        <f>F275-E275</f>
        <v>-7.0693068378599833</v>
      </c>
      <c r="H275" s="86">
        <f>SUM(H268:H274)</f>
        <v>427.78924740000002</v>
      </c>
      <c r="I275" s="86">
        <f>SUM(I268:I274)</f>
        <v>212.75762231584937</v>
      </c>
      <c r="J275" s="86">
        <f>SUM(J268:J274)</f>
        <v>208.38459952702081</v>
      </c>
      <c r="K275" s="86">
        <f t="shared" si="14"/>
        <v>421.14222184287019</v>
      </c>
      <c r="L275" s="86">
        <f>'F13-Year(n+2)'!Q279</f>
        <v>92.51717499999998</v>
      </c>
      <c r="M275" s="86" t="e">
        <f>#REF!</f>
        <v>#REF!</v>
      </c>
      <c r="N275" s="86">
        <f>'F13-Year(n+3)'!Q281</f>
        <v>92.516957270363704</v>
      </c>
      <c r="O275" s="86">
        <f>'F13-Year(n+4)'!Q281</f>
        <v>92.516957270363704</v>
      </c>
      <c r="P275" s="86">
        <f>'F13-Year(n+5)'!Q281</f>
        <v>92.516957270363719</v>
      </c>
    </row>
    <row r="276" spans="3:16" x14ac:dyDescent="0.25">
      <c r="C276" s="800" t="s">
        <v>399</v>
      </c>
      <c r="D276" s="801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</row>
    <row r="277" spans="3:16" x14ac:dyDescent="0.25">
      <c r="C277" s="17" t="s">
        <v>400</v>
      </c>
      <c r="D277" s="17" t="s">
        <v>400</v>
      </c>
      <c r="E277" s="66">
        <f>'[48]PP Cost'!J133</f>
        <v>417.05912000000001</v>
      </c>
      <c r="F277" s="109">
        <f>'F13-Year(n-1)'!Q277</f>
        <v>412.08274732055008</v>
      </c>
      <c r="G277" s="66"/>
      <c r="H277" s="66">
        <f>'[49]PP Cost'!J139</f>
        <v>391.59532030000003</v>
      </c>
      <c r="I277" s="66">
        <f>SUM('F13-Year(n)'!E275:J275)</f>
        <v>195.88384512005001</v>
      </c>
      <c r="J277" s="66">
        <f>SUM('F13-Year(n)'!K275:P275)</f>
        <v>194.63544624974998</v>
      </c>
      <c r="K277" s="66">
        <f t="shared" ref="K277:K285" si="15">I277+J277</f>
        <v>390.51929136979999</v>
      </c>
      <c r="L277" s="66">
        <f>'F13-Year(n+2)'!Q281</f>
        <v>394.2294799999998</v>
      </c>
      <c r="M277" s="66" t="e">
        <f>#REF!</f>
        <v>#REF!</v>
      </c>
      <c r="N277" s="66">
        <f>'F13-Year(n+3)'!Q283</f>
        <v>471.95097499999986</v>
      </c>
      <c r="O277" s="66">
        <f>'F13-Year(n+4)'!Q283</f>
        <v>854.89227000000005</v>
      </c>
      <c r="P277" s="66">
        <f>'F13-Year(n+5)'!Q283</f>
        <v>844.24903999999981</v>
      </c>
    </row>
    <row r="278" spans="3:16" x14ac:dyDescent="0.25">
      <c r="C278" s="17" t="s">
        <v>401</v>
      </c>
      <c r="D278" s="17" t="s">
        <v>401</v>
      </c>
      <c r="E278" s="66">
        <f>'[48]PP Cost'!J134</f>
        <v>449.46001000000001</v>
      </c>
      <c r="F278" s="109">
        <f>'F13-Year(n-1)'!Q278</f>
        <v>0</v>
      </c>
      <c r="G278" s="66"/>
      <c r="H278" s="66">
        <f>'[49]PP Cost'!J140</f>
        <v>437.61373404000005</v>
      </c>
      <c r="I278" s="66">
        <f>SUM('F13-Year(n)'!E276:J276)</f>
        <v>0</v>
      </c>
      <c r="J278" s="66">
        <f>SUM('F13-Year(n)'!K276:P276)</f>
        <v>0</v>
      </c>
      <c r="K278" s="66">
        <f t="shared" si="15"/>
        <v>0</v>
      </c>
      <c r="L278" s="66">
        <f>'F13-Year(n+2)'!Q282</f>
        <v>0</v>
      </c>
      <c r="M278" s="66" t="e">
        <f>#REF!</f>
        <v>#REF!</v>
      </c>
      <c r="N278" s="66">
        <f>'F13-Year(n+3)'!Q284</f>
        <v>0</v>
      </c>
      <c r="O278" s="66">
        <f>'F13-Year(n+4)'!Q284</f>
        <v>0</v>
      </c>
      <c r="P278" s="66">
        <f>'F13-Year(n+5)'!Q284</f>
        <v>0</v>
      </c>
    </row>
    <row r="279" spans="3:16" x14ac:dyDescent="0.25">
      <c r="C279" s="17" t="s">
        <v>402</v>
      </c>
      <c r="D279" s="17" t="s">
        <v>402</v>
      </c>
      <c r="E279" s="66">
        <f>'[48]PP Cost'!J135</f>
        <v>0</v>
      </c>
      <c r="F279" s="109">
        <f>'F13-Year(n-1)'!Q279</f>
        <v>0</v>
      </c>
      <c r="G279" s="66"/>
      <c r="H279" s="66"/>
      <c r="I279" s="66">
        <f>SUM('F13-Year(n)'!E277:J277)</f>
        <v>0</v>
      </c>
      <c r="J279" s="66">
        <f>SUM('F13-Year(n)'!K277:P277)</f>
        <v>0</v>
      </c>
      <c r="K279" s="66">
        <f t="shared" si="15"/>
        <v>0</v>
      </c>
      <c r="L279" s="66">
        <f>'F13-Year(n+2)'!Q283</f>
        <v>0</v>
      </c>
      <c r="M279" s="66" t="e">
        <f>#REF!</f>
        <v>#REF!</v>
      </c>
      <c r="N279" s="66">
        <f>'F13-Year(n+3)'!Q285</f>
        <v>0</v>
      </c>
      <c r="O279" s="66">
        <f>'F13-Year(n+4)'!Q285</f>
        <v>0</v>
      </c>
      <c r="P279" s="66">
        <f>'F13-Year(n+5)'!Q285</f>
        <v>0</v>
      </c>
    </row>
    <row r="280" spans="3:16" hidden="1" x14ac:dyDescent="0.25">
      <c r="C280" s="17"/>
      <c r="D280" s="17"/>
      <c r="E280" s="66"/>
      <c r="F280" s="109">
        <f>'F13-Year(n-1)'!Q280</f>
        <v>0</v>
      </c>
      <c r="G280" s="66"/>
      <c r="H280" s="66"/>
      <c r="I280" s="66">
        <f>SUM('F13-Year(n)'!E278:J278)</f>
        <v>0</v>
      </c>
      <c r="J280" s="66">
        <f>SUM('F13-Year(n)'!K278:P278)</f>
        <v>0</v>
      </c>
      <c r="K280" s="66">
        <f t="shared" si="15"/>
        <v>0</v>
      </c>
      <c r="L280" s="66">
        <f>'F13-Year(n+2)'!Q284</f>
        <v>0</v>
      </c>
      <c r="M280" s="66" t="e">
        <f>#REF!</f>
        <v>#REF!</v>
      </c>
      <c r="N280" s="66">
        <f>'F13-Year(n+3)'!Q286</f>
        <v>0</v>
      </c>
      <c r="O280" s="66">
        <f>'F13-Year(n+4)'!Q286</f>
        <v>0</v>
      </c>
      <c r="P280" s="66">
        <f>'F13-Year(n+5)'!Q286</f>
        <v>0</v>
      </c>
    </row>
    <row r="281" spans="3:16" hidden="1" x14ac:dyDescent="0.25">
      <c r="C281" s="17"/>
      <c r="D281" s="17"/>
      <c r="E281" s="66"/>
      <c r="F281" s="109">
        <f>'F13-Year(n-1)'!Q281</f>
        <v>0</v>
      </c>
      <c r="G281" s="66"/>
      <c r="H281" s="66"/>
      <c r="I281" s="66">
        <f>SUM('F13-Year(n)'!E279:J279)</f>
        <v>0</v>
      </c>
      <c r="J281" s="66">
        <f>SUM('F13-Year(n)'!K279:P279)</f>
        <v>0</v>
      </c>
      <c r="K281" s="66">
        <f t="shared" si="15"/>
        <v>0</v>
      </c>
      <c r="L281" s="66">
        <f>'F13-Year(n+2)'!Q285</f>
        <v>0</v>
      </c>
      <c r="M281" s="66" t="e">
        <f>#REF!</f>
        <v>#REF!</v>
      </c>
      <c r="N281" s="66">
        <f>'F13-Year(n+3)'!Q287</f>
        <v>0</v>
      </c>
      <c r="O281" s="66">
        <f>'F13-Year(n+4)'!Q287</f>
        <v>0</v>
      </c>
      <c r="P281" s="66">
        <f>'F13-Year(n+5)'!Q287</f>
        <v>0</v>
      </c>
    </row>
    <row r="282" spans="3:16" hidden="1" x14ac:dyDescent="0.25">
      <c r="C282" s="17"/>
      <c r="D282" s="17"/>
      <c r="E282" s="66"/>
      <c r="F282" s="109">
        <f>'F13-Year(n-1)'!Q282</f>
        <v>0</v>
      </c>
      <c r="G282" s="66"/>
      <c r="H282" s="66"/>
      <c r="I282" s="66">
        <f>SUM('F13-Year(n)'!E280:J280)</f>
        <v>0</v>
      </c>
      <c r="J282" s="66">
        <f>SUM('F13-Year(n)'!K280:P280)</f>
        <v>0</v>
      </c>
      <c r="K282" s="66">
        <f t="shared" si="15"/>
        <v>0</v>
      </c>
      <c r="L282" s="66">
        <f>'F13-Year(n+2)'!Q286</f>
        <v>0</v>
      </c>
      <c r="M282" s="66" t="e">
        <f>#REF!</f>
        <v>#REF!</v>
      </c>
      <c r="N282" s="66">
        <f>'F13-Year(n+3)'!Q288</f>
        <v>0</v>
      </c>
      <c r="O282" s="66">
        <f>'F13-Year(n+4)'!Q288</f>
        <v>0</v>
      </c>
      <c r="P282" s="66">
        <f>'F13-Year(n+5)'!Q288</f>
        <v>0</v>
      </c>
    </row>
    <row r="283" spans="3:16" hidden="1" x14ac:dyDescent="0.25">
      <c r="C283" s="17"/>
      <c r="D283" s="17"/>
      <c r="E283" s="66"/>
      <c r="F283" s="109">
        <f>'F13-Year(n-1)'!Q283</f>
        <v>0</v>
      </c>
      <c r="G283" s="66"/>
      <c r="H283" s="66"/>
      <c r="I283" s="66">
        <f>SUM('F13-Year(n)'!E281:J281)</f>
        <v>0</v>
      </c>
      <c r="J283" s="66">
        <f>SUM('F13-Year(n)'!K281:P281)</f>
        <v>0</v>
      </c>
      <c r="K283" s="66">
        <f t="shared" si="15"/>
        <v>0</v>
      </c>
      <c r="L283" s="66">
        <f>'F13-Year(n+2)'!Q287</f>
        <v>0</v>
      </c>
      <c r="M283" s="66" t="e">
        <f>#REF!</f>
        <v>#REF!</v>
      </c>
      <c r="N283" s="66">
        <f>'F13-Year(n+3)'!Q289</f>
        <v>0</v>
      </c>
      <c r="O283" s="66">
        <f>'F13-Year(n+4)'!Q289</f>
        <v>0</v>
      </c>
      <c r="P283" s="66">
        <f>'F13-Year(n+5)'!Q289</f>
        <v>0</v>
      </c>
    </row>
    <row r="284" spans="3:16" hidden="1" x14ac:dyDescent="0.25">
      <c r="C284" s="17"/>
      <c r="D284" s="17"/>
      <c r="E284" s="66"/>
      <c r="F284" s="109">
        <f>'F13-Year(n-1)'!Q284</f>
        <v>0</v>
      </c>
      <c r="G284" s="66"/>
      <c r="H284" s="66"/>
      <c r="I284" s="66">
        <f>SUM('F13-Year(n)'!E282:J282)</f>
        <v>0</v>
      </c>
      <c r="J284" s="66">
        <f>SUM('F13-Year(n)'!K282:P282)</f>
        <v>0</v>
      </c>
      <c r="K284" s="66">
        <f t="shared" si="15"/>
        <v>0</v>
      </c>
      <c r="L284" s="66">
        <f>'F13-Year(n+2)'!Q288</f>
        <v>0</v>
      </c>
      <c r="M284" s="66" t="e">
        <f>#REF!</f>
        <v>#REF!</v>
      </c>
      <c r="N284" s="66">
        <f>'F13-Year(n+3)'!Q290</f>
        <v>0</v>
      </c>
      <c r="O284" s="66">
        <f>'F13-Year(n+4)'!Q290</f>
        <v>0</v>
      </c>
      <c r="P284" s="66">
        <f>'F13-Year(n+5)'!Q290</f>
        <v>0</v>
      </c>
    </row>
    <row r="285" spans="3:16" x14ac:dyDescent="0.25">
      <c r="C285" s="753" t="s">
        <v>403</v>
      </c>
      <c r="D285" s="754"/>
      <c r="E285" s="86">
        <f>SUM(E277:E284)</f>
        <v>866.51913000000002</v>
      </c>
      <c r="F285" s="86">
        <f>SUM(F277:F284)</f>
        <v>412.08274732055008</v>
      </c>
      <c r="G285" s="86">
        <f>F285-E285</f>
        <v>-454.43638267944993</v>
      </c>
      <c r="H285" s="86">
        <f>SUM(H277:H284)</f>
        <v>829.20905434000008</v>
      </c>
      <c r="I285" s="86">
        <f>SUM(I277:I284)</f>
        <v>195.88384512005001</v>
      </c>
      <c r="J285" s="86">
        <f>SUM(J277:J284)</f>
        <v>194.63544624974998</v>
      </c>
      <c r="K285" s="86">
        <f t="shared" si="15"/>
        <v>390.51929136979999</v>
      </c>
      <c r="L285" s="86">
        <f>'F13-Year(n+2)'!Q289</f>
        <v>394.2294799999998</v>
      </c>
      <c r="M285" s="86" t="e">
        <f>#REF!</f>
        <v>#REF!</v>
      </c>
      <c r="N285" s="86">
        <f>'F13-Year(n+3)'!Q291</f>
        <v>471.95097499999986</v>
      </c>
      <c r="O285" s="86">
        <f>'F13-Year(n+4)'!Q291</f>
        <v>854.89227000000005</v>
      </c>
      <c r="P285" s="86">
        <f>'F13-Year(n+5)'!Q291</f>
        <v>844.24903999999981</v>
      </c>
    </row>
    <row r="286" spans="3:16" x14ac:dyDescent="0.25">
      <c r="C286" s="800" t="s">
        <v>404</v>
      </c>
      <c r="D286" s="801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</row>
    <row r="287" spans="3:16" x14ac:dyDescent="0.25">
      <c r="C287" s="17"/>
      <c r="D287" s="17" t="s">
        <v>405</v>
      </c>
      <c r="E287" s="66" t="e">
        <f>'[48]PP Cost'!J119</f>
        <v>#REF!</v>
      </c>
      <c r="F287" s="109">
        <f>'F13-Year(n-1)'!Q287</f>
        <v>0</v>
      </c>
      <c r="G287" s="66"/>
      <c r="H287" s="66" t="e">
        <f>'[49]PP Cost'!$J$123</f>
        <v>#REF!</v>
      </c>
      <c r="I287" s="66">
        <f>SUM('F13-Year(n)'!E285:J285)</f>
        <v>0</v>
      </c>
      <c r="J287" s="66">
        <f>SUM('F13-Year(n)'!K285:P285)</f>
        <v>0</v>
      </c>
      <c r="K287" s="66">
        <f t="shared" ref="K287:K311" si="16">I287+J287</f>
        <v>0</v>
      </c>
      <c r="L287" s="66">
        <f>'F13-Year(n+2)'!Q291</f>
        <v>0</v>
      </c>
      <c r="M287" s="66" t="e">
        <f>#REF!</f>
        <v>#REF!</v>
      </c>
      <c r="N287" s="66">
        <f>'F13-Year(n+3)'!Q293</f>
        <v>0</v>
      </c>
      <c r="O287" s="66">
        <f>'F13-Year(n+4)'!Q293</f>
        <v>0</v>
      </c>
      <c r="P287" s="66">
        <f>'F13-Year(n+5)'!Q293</f>
        <v>0</v>
      </c>
    </row>
    <row r="288" spans="3:16" x14ac:dyDescent="0.25">
      <c r="C288" s="17"/>
      <c r="D288" s="17" t="s">
        <v>406</v>
      </c>
      <c r="E288" s="66" t="e">
        <f>'[48]PP Cost'!J120</f>
        <v>#REF!</v>
      </c>
      <c r="F288" s="109">
        <f>'F13-Year(n-1)'!Q288</f>
        <v>0</v>
      </c>
      <c r="G288" s="66"/>
      <c r="H288" s="66" t="e">
        <f>'[49]PP Cost'!$J$123</f>
        <v>#REF!</v>
      </c>
      <c r="I288" s="66">
        <f>SUM('F13-Year(n)'!E286:J286)</f>
        <v>0</v>
      </c>
      <c r="J288" s="66">
        <f>SUM('F13-Year(n)'!K286:P286)</f>
        <v>0</v>
      </c>
      <c r="K288" s="66">
        <f t="shared" si="16"/>
        <v>0</v>
      </c>
      <c r="L288" s="66">
        <f>'F13-Year(n+2)'!Q292</f>
        <v>0</v>
      </c>
      <c r="M288" s="66" t="e">
        <f>#REF!</f>
        <v>#REF!</v>
      </c>
      <c r="N288" s="66">
        <f>'F13-Year(n+3)'!Q294</f>
        <v>0</v>
      </c>
      <c r="O288" s="66">
        <f>'F13-Year(n+4)'!Q294</f>
        <v>0</v>
      </c>
      <c r="P288" s="66">
        <f>'F13-Year(n+5)'!Q294</f>
        <v>0</v>
      </c>
    </row>
    <row r="289" spans="3:16" x14ac:dyDescent="0.25">
      <c r="C289" s="17"/>
      <c r="D289" s="17" t="s">
        <v>407</v>
      </c>
      <c r="E289" s="66"/>
      <c r="F289" s="109">
        <f>'F13-Year(n-1)'!Q289</f>
        <v>0</v>
      </c>
      <c r="G289" s="66"/>
      <c r="H289" s="66" t="e">
        <f>'[49]PP Cost'!$J$123</f>
        <v>#REF!</v>
      </c>
      <c r="I289" s="66">
        <f>SUM('F13-Year(n)'!E287:J287)</f>
        <v>0</v>
      </c>
      <c r="J289" s="66">
        <f>SUM('F13-Year(n)'!K287:P287)</f>
        <v>0</v>
      </c>
      <c r="K289" s="66">
        <f t="shared" si="16"/>
        <v>0</v>
      </c>
      <c r="L289" s="66">
        <f>'F13-Year(n+2)'!Q293</f>
        <v>0</v>
      </c>
      <c r="M289" s="66" t="e">
        <f>#REF!</f>
        <v>#REF!</v>
      </c>
      <c r="N289" s="66">
        <f>'F13-Year(n+3)'!Q295</f>
        <v>0</v>
      </c>
      <c r="O289" s="66">
        <f>'F13-Year(n+4)'!Q295</f>
        <v>0</v>
      </c>
      <c r="P289" s="66">
        <f>'F13-Year(n+5)'!Q295</f>
        <v>0</v>
      </c>
    </row>
    <row r="290" spans="3:16" x14ac:dyDescent="0.25">
      <c r="C290" s="17"/>
      <c r="D290" s="17" t="s">
        <v>408</v>
      </c>
      <c r="E290" s="66" t="e">
        <f>'[48]PP Cost'!$J$122</f>
        <v>#REF!</v>
      </c>
      <c r="F290" s="109">
        <f>'F13-Year(n-1)'!Q290</f>
        <v>0</v>
      </c>
      <c r="G290" s="66"/>
      <c r="H290" s="66" t="e">
        <f>'[49]PP Cost'!$J$123</f>
        <v>#REF!</v>
      </c>
      <c r="I290" s="66">
        <f>SUM('F13-Year(n)'!E288:J288)</f>
        <v>0</v>
      </c>
      <c r="J290" s="66">
        <f>SUM('F13-Year(n)'!K288:P288)</f>
        <v>0</v>
      </c>
      <c r="K290" s="66">
        <f t="shared" si="16"/>
        <v>0</v>
      </c>
      <c r="L290" s="66">
        <f>'F13-Year(n+2)'!Q294</f>
        <v>0</v>
      </c>
      <c r="M290" s="66" t="e">
        <f>#REF!</f>
        <v>#REF!</v>
      </c>
      <c r="N290" s="66">
        <f>'F13-Year(n+3)'!Q296</f>
        <v>0</v>
      </c>
      <c r="O290" s="66">
        <f>'F13-Year(n+4)'!Q296</f>
        <v>0</v>
      </c>
      <c r="P290" s="66">
        <f>'F13-Year(n+5)'!Q296</f>
        <v>0</v>
      </c>
    </row>
    <row r="291" spans="3:16" x14ac:dyDescent="0.25">
      <c r="C291" s="17"/>
      <c r="D291" s="17" t="s">
        <v>409</v>
      </c>
      <c r="E291" s="66"/>
      <c r="F291" s="109">
        <f>'F13-Year(n-1)'!Q291</f>
        <v>0</v>
      </c>
      <c r="G291" s="66"/>
      <c r="H291" s="66" t="e">
        <f>'[49]PP Cost'!$J$123</f>
        <v>#REF!</v>
      </c>
      <c r="I291" s="66">
        <f>SUM('F13-Year(n)'!E289:J289)</f>
        <v>0</v>
      </c>
      <c r="J291" s="66">
        <f>SUM('F13-Year(n)'!K289:P289)</f>
        <v>0</v>
      </c>
      <c r="K291" s="66">
        <f t="shared" si="16"/>
        <v>0</v>
      </c>
      <c r="L291" s="66">
        <f>'F13-Year(n+2)'!Q295</f>
        <v>0</v>
      </c>
      <c r="M291" s="66" t="e">
        <f>#REF!</f>
        <v>#REF!</v>
      </c>
      <c r="N291" s="66">
        <f>'F13-Year(n+3)'!Q297</f>
        <v>0</v>
      </c>
      <c r="O291" s="66">
        <f>'F13-Year(n+4)'!Q297</f>
        <v>0</v>
      </c>
      <c r="P291" s="66">
        <f>'F13-Year(n+5)'!Q297</f>
        <v>0</v>
      </c>
    </row>
    <row r="292" spans="3:16" x14ac:dyDescent="0.25">
      <c r="C292" s="17"/>
      <c r="D292" s="17" t="s">
        <v>367</v>
      </c>
      <c r="E292" s="66"/>
      <c r="F292" s="109">
        <f>'F13-Year(n-1)'!Q292</f>
        <v>0</v>
      </c>
      <c r="G292" s="66"/>
      <c r="H292" s="66" t="e">
        <f>'[49]PP Cost'!$J$123</f>
        <v>#REF!</v>
      </c>
      <c r="I292" s="66">
        <f>SUM('F13-Year(n)'!E290:J290)</f>
        <v>0</v>
      </c>
      <c r="J292" s="66">
        <f>SUM('F13-Year(n)'!K290:P290)</f>
        <v>0</v>
      </c>
      <c r="K292" s="66">
        <f t="shared" si="16"/>
        <v>0</v>
      </c>
      <c r="L292" s="66">
        <f>'F13-Year(n+2)'!Q296</f>
        <v>0</v>
      </c>
      <c r="M292" s="66" t="e">
        <f>#REF!</f>
        <v>#REF!</v>
      </c>
      <c r="N292" s="66">
        <f>'F13-Year(n+3)'!Q298</f>
        <v>0</v>
      </c>
      <c r="O292" s="66">
        <f>'F13-Year(n+4)'!Q298</f>
        <v>0</v>
      </c>
      <c r="P292" s="66">
        <f>'F13-Year(n+5)'!Q298</f>
        <v>0</v>
      </c>
    </row>
    <row r="293" spans="3:16" x14ac:dyDescent="0.25">
      <c r="C293" s="17"/>
      <c r="D293" s="17" t="s">
        <v>410</v>
      </c>
      <c r="E293" s="66" t="e">
        <f>'[48]PP Cost'!$J$125</f>
        <v>#REF!</v>
      </c>
      <c r="F293" s="109">
        <f>'F13-Year(n-1)'!Q293</f>
        <v>0</v>
      </c>
      <c r="G293" s="66"/>
      <c r="H293" s="66" t="e">
        <f>'[49]PP Cost'!$J$123</f>
        <v>#REF!</v>
      </c>
      <c r="I293" s="66">
        <f>SUM('F13-Year(n)'!E291:J291)</f>
        <v>0</v>
      </c>
      <c r="J293" s="66">
        <f>SUM('F13-Year(n)'!K291:P291)</f>
        <v>0</v>
      </c>
      <c r="K293" s="66">
        <f t="shared" si="16"/>
        <v>0</v>
      </c>
      <c r="L293" s="66">
        <f>'F13-Year(n+2)'!Q297</f>
        <v>0</v>
      </c>
      <c r="M293" s="66" t="e">
        <f>#REF!</f>
        <v>#REF!</v>
      </c>
      <c r="N293" s="66">
        <f>'F13-Year(n+3)'!Q299</f>
        <v>0</v>
      </c>
      <c r="O293" s="66">
        <f>'F13-Year(n+4)'!Q299</f>
        <v>0</v>
      </c>
      <c r="P293" s="66">
        <f>'F13-Year(n+5)'!Q299</f>
        <v>0</v>
      </c>
    </row>
    <row r="294" spans="3:16" x14ac:dyDescent="0.25">
      <c r="C294" s="17"/>
      <c r="D294" s="17" t="s">
        <v>411</v>
      </c>
      <c r="E294" s="66" t="e">
        <f>'[48]PP Cost'!$J$126</f>
        <v>#REF!</v>
      </c>
      <c r="F294" s="109">
        <f>'F13-Year(n-1)'!Q294</f>
        <v>0</v>
      </c>
      <c r="G294" s="66"/>
      <c r="H294" s="66" t="e">
        <f>'[49]PP Cost'!$J$123</f>
        <v>#REF!</v>
      </c>
      <c r="I294" s="66">
        <f>SUM('F13-Year(n)'!E292:J292)</f>
        <v>0</v>
      </c>
      <c r="J294" s="66">
        <f>SUM('F13-Year(n)'!K292:P292)</f>
        <v>0</v>
      </c>
      <c r="K294" s="66">
        <f t="shared" si="16"/>
        <v>0</v>
      </c>
      <c r="L294" s="66">
        <f>'F13-Year(n+2)'!Q298</f>
        <v>0</v>
      </c>
      <c r="M294" s="66" t="e">
        <f>#REF!</f>
        <v>#REF!</v>
      </c>
      <c r="N294" s="66">
        <f>'F13-Year(n+3)'!Q300</f>
        <v>0</v>
      </c>
      <c r="O294" s="66">
        <f>'F13-Year(n+4)'!Q300</f>
        <v>0</v>
      </c>
      <c r="P294" s="66">
        <f>'F13-Year(n+5)'!Q300</f>
        <v>0</v>
      </c>
    </row>
    <row r="295" spans="3:16" x14ac:dyDescent="0.25">
      <c r="C295" s="17"/>
      <c r="D295" s="17" t="s">
        <v>412</v>
      </c>
      <c r="E295" s="66" t="e">
        <f>'[48]PP Cost'!$J$127</f>
        <v>#REF!</v>
      </c>
      <c r="F295" s="109">
        <f>'F13-Year(n-1)'!Q295</f>
        <v>10.840810498523499</v>
      </c>
      <c r="G295" s="66"/>
      <c r="H295" s="66" t="e">
        <f>'[49]PP Cost'!$J$123</f>
        <v>#REF!</v>
      </c>
      <c r="I295" s="66">
        <f>SUM('F13-Year(n)'!E293:J293)</f>
        <v>0</v>
      </c>
      <c r="J295" s="66">
        <f>SUM('F13-Year(n)'!K293:P293)</f>
        <v>0</v>
      </c>
      <c r="K295" s="66">
        <f t="shared" si="16"/>
        <v>0</v>
      </c>
      <c r="L295" s="66">
        <f>'F13-Year(n+2)'!Q299</f>
        <v>0</v>
      </c>
      <c r="M295" s="66" t="e">
        <f>#REF!</f>
        <v>#REF!</v>
      </c>
      <c r="N295" s="66">
        <f>'F13-Year(n+3)'!Q301</f>
        <v>0</v>
      </c>
      <c r="O295" s="66">
        <f>'F13-Year(n+4)'!Q301</f>
        <v>0</v>
      </c>
      <c r="P295" s="66">
        <f>'F13-Year(n+5)'!Q301</f>
        <v>0</v>
      </c>
    </row>
    <row r="296" spans="3:16" x14ac:dyDescent="0.25">
      <c r="C296" s="17"/>
      <c r="D296" s="17" t="s">
        <v>413</v>
      </c>
      <c r="E296" s="66" t="e">
        <f>'[48]PP Cost'!$J$128</f>
        <v>#REF!</v>
      </c>
      <c r="F296" s="109">
        <f>'F13-Year(n-1)'!Q296</f>
        <v>0</v>
      </c>
      <c r="G296" s="66"/>
      <c r="H296" s="66" t="e">
        <f>'[49]PP Cost'!$J$123</f>
        <v>#REF!</v>
      </c>
      <c r="I296" s="66">
        <f>SUM('F13-Year(n)'!E294:J294)</f>
        <v>0</v>
      </c>
      <c r="J296" s="66">
        <f>SUM('F13-Year(n)'!K294:P294)</f>
        <v>0</v>
      </c>
      <c r="K296" s="66">
        <f t="shared" si="16"/>
        <v>0</v>
      </c>
      <c r="L296" s="66">
        <f>'F13-Year(n+2)'!Q300</f>
        <v>0</v>
      </c>
      <c r="M296" s="66" t="e">
        <f>#REF!</f>
        <v>#REF!</v>
      </c>
      <c r="N296" s="66">
        <f>'F13-Year(n+3)'!Q302</f>
        <v>0</v>
      </c>
      <c r="O296" s="66">
        <f>'F13-Year(n+4)'!Q302</f>
        <v>0</v>
      </c>
      <c r="P296" s="66">
        <f>'F13-Year(n+5)'!Q302</f>
        <v>0</v>
      </c>
    </row>
    <row r="297" spans="3:16" x14ac:dyDescent="0.25">
      <c r="C297" s="17"/>
      <c r="D297" s="17" t="s">
        <v>414</v>
      </c>
      <c r="E297" s="66"/>
      <c r="F297" s="109">
        <f>'F13-Year(n-1)'!Q297</f>
        <v>0</v>
      </c>
      <c r="G297" s="66"/>
      <c r="H297" s="66" t="e">
        <f>'[49]PP Cost'!$J$123</f>
        <v>#REF!</v>
      </c>
      <c r="I297" s="66">
        <f>SUM('F13-Year(n)'!E295:J295)</f>
        <v>0</v>
      </c>
      <c r="J297" s="66">
        <f>SUM('F13-Year(n)'!K295:P295)</f>
        <v>0</v>
      </c>
      <c r="K297" s="66">
        <f t="shared" si="16"/>
        <v>0</v>
      </c>
      <c r="L297" s="66">
        <f>'F13-Year(n+2)'!Q301</f>
        <v>0</v>
      </c>
      <c r="M297" s="66" t="e">
        <f>#REF!</f>
        <v>#REF!</v>
      </c>
      <c r="N297" s="66">
        <f>'F13-Year(n+3)'!Q303</f>
        <v>0</v>
      </c>
      <c r="O297" s="66">
        <f>'F13-Year(n+4)'!Q303</f>
        <v>0</v>
      </c>
      <c r="P297" s="66">
        <f>'F13-Year(n+5)'!Q303</f>
        <v>0</v>
      </c>
    </row>
    <row r="298" spans="3:16" x14ac:dyDescent="0.25">
      <c r="C298" s="17"/>
      <c r="D298" s="17" t="s">
        <v>415</v>
      </c>
      <c r="E298" s="66"/>
      <c r="F298" s="109">
        <f>'F13-Year(n-1)'!Q298</f>
        <v>0</v>
      </c>
      <c r="G298" s="66"/>
      <c r="H298" s="66"/>
      <c r="I298" s="66">
        <f>SUM('F13-Year(n)'!E296:J296)</f>
        <v>0</v>
      </c>
      <c r="J298" s="66">
        <f>SUM('F13-Year(n)'!K296:P296)</f>
        <v>0</v>
      </c>
      <c r="K298" s="66">
        <f t="shared" si="16"/>
        <v>0</v>
      </c>
      <c r="L298" s="66">
        <f>'F13-Year(n+2)'!Q302</f>
        <v>0</v>
      </c>
      <c r="M298" s="66" t="e">
        <f>#REF!</f>
        <v>#REF!</v>
      </c>
      <c r="N298" s="66">
        <f>'F13-Year(n+3)'!Q304</f>
        <v>0</v>
      </c>
      <c r="O298" s="66">
        <f>'F13-Year(n+4)'!Q304</f>
        <v>0</v>
      </c>
      <c r="P298" s="66">
        <f>'F13-Year(n+5)'!Q304</f>
        <v>0</v>
      </c>
    </row>
    <row r="299" spans="3:16" x14ac:dyDescent="0.25">
      <c r="C299" s="17"/>
      <c r="D299" s="17" t="s">
        <v>416</v>
      </c>
      <c r="E299" s="66" t="e">
        <f>'[48]PP Cost'!$J$129</f>
        <v>#REF!</v>
      </c>
      <c r="F299" s="109">
        <f>'F13-Year(n-1)'!Q299</f>
        <v>0</v>
      </c>
      <c r="G299" s="66"/>
      <c r="H299" s="66" t="e">
        <f>'[49]PP Cost'!J134</f>
        <v>#REF!</v>
      </c>
      <c r="I299" s="66">
        <f>SUM('F13-Year(n)'!E297:J297)</f>
        <v>0</v>
      </c>
      <c r="J299" s="66">
        <f>SUM('F13-Year(n)'!K297:P297)</f>
        <v>0</v>
      </c>
      <c r="K299" s="66">
        <f t="shared" si="16"/>
        <v>0</v>
      </c>
      <c r="L299" s="66">
        <f>'F13-Year(n+2)'!Q303</f>
        <v>0</v>
      </c>
      <c r="M299" s="66" t="e">
        <f>#REF!</f>
        <v>#REF!</v>
      </c>
      <c r="N299" s="66">
        <f>'F13-Year(n+3)'!Q305</f>
        <v>0</v>
      </c>
      <c r="O299" s="66">
        <f>'F13-Year(n+4)'!Q305</f>
        <v>0</v>
      </c>
      <c r="P299" s="66">
        <f>'F13-Year(n+5)'!Q305</f>
        <v>0</v>
      </c>
    </row>
    <row r="300" spans="3:16" x14ac:dyDescent="0.25">
      <c r="C300" s="17"/>
      <c r="D300" s="17" t="s">
        <v>417</v>
      </c>
      <c r="E300" s="66"/>
      <c r="F300" s="109">
        <f>'F13-Year(n-1)'!Q300</f>
        <v>0</v>
      </c>
      <c r="G300" s="66"/>
      <c r="H300" s="66" t="e">
        <f>'[49]PP Cost'!J135</f>
        <v>#REF!</v>
      </c>
      <c r="I300" s="66">
        <f>SUM('F13-Year(n)'!E298:J298)</f>
        <v>0</v>
      </c>
      <c r="J300" s="66">
        <f>SUM('F13-Year(n)'!K298:P298)</f>
        <v>0</v>
      </c>
      <c r="K300" s="66">
        <f t="shared" si="16"/>
        <v>0</v>
      </c>
      <c r="L300" s="66">
        <f>'F13-Year(n+2)'!Q304</f>
        <v>0</v>
      </c>
      <c r="M300" s="66" t="e">
        <f>#REF!</f>
        <v>#REF!</v>
      </c>
      <c r="N300" s="66">
        <f>'F13-Year(n+3)'!Q306</f>
        <v>0</v>
      </c>
      <c r="O300" s="66">
        <f>'F13-Year(n+4)'!Q306</f>
        <v>0</v>
      </c>
      <c r="P300" s="66">
        <f>'F13-Year(n+5)'!Q306</f>
        <v>0</v>
      </c>
    </row>
    <row r="301" spans="3:16" x14ac:dyDescent="0.25">
      <c r="C301" s="17"/>
      <c r="D301" s="327" t="s">
        <v>418</v>
      </c>
      <c r="E301" s="66"/>
      <c r="F301" s="109">
        <f>'F13-Year(n-1)'!Q301</f>
        <v>0</v>
      </c>
      <c r="G301" s="66"/>
      <c r="H301" s="66"/>
      <c r="I301" s="66">
        <f>SUM('F13-Year(n)'!E299:J299)</f>
        <v>0</v>
      </c>
      <c r="J301" s="66">
        <f>SUM('F13-Year(n)'!K299:P299)</f>
        <v>0</v>
      </c>
      <c r="K301" s="66">
        <f t="shared" si="16"/>
        <v>0</v>
      </c>
      <c r="L301" s="66">
        <f>'F13-Year(n+2)'!Q305</f>
        <v>0</v>
      </c>
      <c r="M301" s="66" t="e">
        <f>#REF!</f>
        <v>#REF!</v>
      </c>
      <c r="N301" s="66">
        <f>'F13-Year(n+3)'!Q307</f>
        <v>0</v>
      </c>
      <c r="O301" s="66">
        <f>'F13-Year(n+4)'!Q307</f>
        <v>0</v>
      </c>
      <c r="P301" s="66">
        <f>'F13-Year(n+5)'!Q307</f>
        <v>0</v>
      </c>
    </row>
    <row r="302" spans="3:16" x14ac:dyDescent="0.25">
      <c r="C302" s="17"/>
      <c r="D302" s="327" t="s">
        <v>419</v>
      </c>
      <c r="E302" s="66"/>
      <c r="F302" s="109">
        <f>'F13-Year(n-1)'!Q302</f>
        <v>3.5624192499999997E-3</v>
      </c>
      <c r="G302" s="66"/>
      <c r="H302" s="66"/>
      <c r="I302" s="66">
        <f>SUM('F13-Year(n)'!E300:J300)</f>
        <v>0</v>
      </c>
      <c r="J302" s="66">
        <f>SUM('F13-Year(n)'!K300:P300)</f>
        <v>0</v>
      </c>
      <c r="K302" s="66">
        <f t="shared" si="16"/>
        <v>0</v>
      </c>
      <c r="L302" s="66">
        <f>'F13-Year(n+2)'!Q306</f>
        <v>0</v>
      </c>
      <c r="M302" s="66" t="e">
        <f>#REF!</f>
        <v>#REF!</v>
      </c>
      <c r="N302" s="66">
        <f>'F13-Year(n+3)'!Q308</f>
        <v>0</v>
      </c>
      <c r="O302" s="66">
        <f>'F13-Year(n+4)'!Q308</f>
        <v>0</v>
      </c>
      <c r="P302" s="66">
        <f>'F13-Year(n+5)'!Q308</f>
        <v>0</v>
      </c>
    </row>
    <row r="303" spans="3:16" hidden="1" x14ac:dyDescent="0.25">
      <c r="C303" s="17"/>
      <c r="D303" s="17"/>
      <c r="E303" s="66"/>
      <c r="F303" s="109">
        <f>'F13-Year(n-1)'!Q303</f>
        <v>0</v>
      </c>
      <c r="G303" s="66"/>
      <c r="H303" s="66"/>
      <c r="I303" s="66">
        <f>SUM('F13-Year(n)'!E301:J301)</f>
        <v>0</v>
      </c>
      <c r="J303" s="66">
        <f>SUM('F13-Year(n)'!K301:P301)</f>
        <v>0</v>
      </c>
      <c r="K303" s="66">
        <f t="shared" si="16"/>
        <v>0</v>
      </c>
      <c r="L303" s="66">
        <f>'F13-Year(n+2)'!Q307</f>
        <v>0</v>
      </c>
      <c r="M303" s="66" t="e">
        <f>#REF!</f>
        <v>#REF!</v>
      </c>
      <c r="N303" s="66">
        <f>'F13-Year(n+3)'!Q309</f>
        <v>0</v>
      </c>
      <c r="O303" s="66">
        <f>'F13-Year(n+4)'!Q309</f>
        <v>0</v>
      </c>
      <c r="P303" s="66">
        <f>'F13-Year(n+5)'!Q309</f>
        <v>0</v>
      </c>
    </row>
    <row r="304" spans="3:16" hidden="1" x14ac:dyDescent="0.25">
      <c r="C304" s="17"/>
      <c r="D304" s="17"/>
      <c r="E304" s="66"/>
      <c r="F304" s="109">
        <f>'F13-Year(n-1)'!Q304</f>
        <v>0</v>
      </c>
      <c r="G304" s="66"/>
      <c r="H304" s="66"/>
      <c r="I304" s="66">
        <f>SUM('F13-Year(n)'!E302:J302)</f>
        <v>0</v>
      </c>
      <c r="J304" s="66">
        <f>SUM('F13-Year(n)'!K302:P302)</f>
        <v>0</v>
      </c>
      <c r="K304" s="66">
        <f t="shared" si="16"/>
        <v>0</v>
      </c>
      <c r="L304" s="66">
        <f>'F13-Year(n+2)'!Q308</f>
        <v>0</v>
      </c>
      <c r="M304" s="66" t="e">
        <f>#REF!</f>
        <v>#REF!</v>
      </c>
      <c r="N304" s="66">
        <f>'F13-Year(n+3)'!Q310</f>
        <v>0</v>
      </c>
      <c r="O304" s="66">
        <f>'F13-Year(n+4)'!Q310</f>
        <v>0</v>
      </c>
      <c r="P304" s="66">
        <f>'F13-Year(n+5)'!Q310</f>
        <v>0</v>
      </c>
    </row>
    <row r="305" spans="3:16" hidden="1" x14ac:dyDescent="0.25">
      <c r="C305" s="17"/>
      <c r="D305" s="17"/>
      <c r="E305" s="66"/>
      <c r="F305" s="109">
        <f>'F13-Year(n-1)'!Q305</f>
        <v>0</v>
      </c>
      <c r="G305" s="66"/>
      <c r="H305" s="66"/>
      <c r="I305" s="66">
        <f>SUM('F13-Year(n)'!E303:J303)</f>
        <v>0</v>
      </c>
      <c r="J305" s="66">
        <f>SUM('F13-Year(n)'!K303:P303)</f>
        <v>0</v>
      </c>
      <c r="K305" s="66">
        <f t="shared" si="16"/>
        <v>0</v>
      </c>
      <c r="L305" s="66">
        <f>'F13-Year(n+2)'!Q309</f>
        <v>0</v>
      </c>
      <c r="M305" s="66" t="e">
        <f>#REF!</f>
        <v>#REF!</v>
      </c>
      <c r="N305" s="66">
        <f>'F13-Year(n+3)'!Q311</f>
        <v>0</v>
      </c>
      <c r="O305" s="66">
        <f>'F13-Year(n+4)'!Q311</f>
        <v>0</v>
      </c>
      <c r="P305" s="66">
        <f>'F13-Year(n+5)'!Q311</f>
        <v>0</v>
      </c>
    </row>
    <row r="306" spans="3:16" hidden="1" x14ac:dyDescent="0.25">
      <c r="C306" s="17"/>
      <c r="D306" s="17"/>
      <c r="E306" s="66"/>
      <c r="F306" s="109">
        <f>'F13-Year(n-1)'!Q306</f>
        <v>0</v>
      </c>
      <c r="G306" s="66"/>
      <c r="H306" s="66"/>
      <c r="I306" s="66">
        <f>SUM('F13-Year(n)'!E304:J304)</f>
        <v>0</v>
      </c>
      <c r="J306" s="66">
        <f>SUM('F13-Year(n)'!K304:P304)</f>
        <v>0</v>
      </c>
      <c r="K306" s="66">
        <f t="shared" si="16"/>
        <v>0</v>
      </c>
      <c r="L306" s="66">
        <f>'F13-Year(n+2)'!Q310</f>
        <v>0</v>
      </c>
      <c r="M306" s="66" t="e">
        <f>#REF!</f>
        <v>#REF!</v>
      </c>
      <c r="N306" s="66">
        <f>'F13-Year(n+3)'!Q312</f>
        <v>0</v>
      </c>
      <c r="O306" s="66">
        <f>'F13-Year(n+4)'!Q312</f>
        <v>0</v>
      </c>
      <c r="P306" s="66">
        <f>'F13-Year(n+5)'!Q312</f>
        <v>0</v>
      </c>
    </row>
    <row r="307" spans="3:16" hidden="1" x14ac:dyDescent="0.25">
      <c r="C307" s="17"/>
      <c r="D307" s="17"/>
      <c r="E307" s="66"/>
      <c r="F307" s="109">
        <f>'F13-Year(n-1)'!Q307</f>
        <v>0</v>
      </c>
      <c r="G307" s="66"/>
      <c r="H307" s="66"/>
      <c r="I307" s="66">
        <f>SUM('F13-Year(n)'!E305:J305)</f>
        <v>0</v>
      </c>
      <c r="J307" s="66">
        <f>SUM('F13-Year(n)'!K305:P305)</f>
        <v>0</v>
      </c>
      <c r="K307" s="66">
        <f t="shared" si="16"/>
        <v>0</v>
      </c>
      <c r="L307" s="66">
        <f>'F13-Year(n+2)'!Q311</f>
        <v>0</v>
      </c>
      <c r="M307" s="66" t="e">
        <f>#REF!</f>
        <v>#REF!</v>
      </c>
      <c r="N307" s="66">
        <f>'F13-Year(n+3)'!Q313</f>
        <v>0</v>
      </c>
      <c r="O307" s="66">
        <f>'F13-Year(n+4)'!Q313</f>
        <v>0</v>
      </c>
      <c r="P307" s="66">
        <f>'F13-Year(n+5)'!Q313</f>
        <v>0</v>
      </c>
    </row>
    <row r="308" spans="3:16" hidden="1" x14ac:dyDescent="0.25">
      <c r="C308" s="17"/>
      <c r="D308" s="17"/>
      <c r="E308" s="66"/>
      <c r="F308" s="109">
        <f>'F13-Year(n-1)'!Q308</f>
        <v>0</v>
      </c>
      <c r="G308" s="66"/>
      <c r="H308" s="66"/>
      <c r="I308" s="66">
        <f>SUM('F13-Year(n)'!E306:J306)</f>
        <v>0</v>
      </c>
      <c r="J308" s="66">
        <f>SUM('F13-Year(n)'!K306:P306)</f>
        <v>0</v>
      </c>
      <c r="K308" s="66">
        <f t="shared" si="16"/>
        <v>0</v>
      </c>
      <c r="L308" s="66">
        <f>'F13-Year(n+2)'!Q312</f>
        <v>0</v>
      </c>
      <c r="M308" s="66" t="e">
        <f>#REF!</f>
        <v>#REF!</v>
      </c>
      <c r="N308" s="66">
        <f>'F13-Year(n+3)'!Q314</f>
        <v>0</v>
      </c>
      <c r="O308" s="66">
        <f>'F13-Year(n+4)'!Q314</f>
        <v>0</v>
      </c>
      <c r="P308" s="66">
        <f>'F13-Year(n+5)'!Q314</f>
        <v>0</v>
      </c>
    </row>
    <row r="309" spans="3:16" hidden="1" x14ac:dyDescent="0.25">
      <c r="C309" s="17"/>
      <c r="D309" s="17"/>
      <c r="E309" s="66"/>
      <c r="F309" s="109">
        <f>'F13-Year(n-1)'!Q309</f>
        <v>0</v>
      </c>
      <c r="G309" s="66"/>
      <c r="H309" s="66"/>
      <c r="I309" s="66">
        <f>SUM('F13-Year(n)'!E307:J307)</f>
        <v>0</v>
      </c>
      <c r="J309" s="66">
        <f>SUM('F13-Year(n)'!K307:P307)</f>
        <v>0</v>
      </c>
      <c r="K309" s="66">
        <f t="shared" si="16"/>
        <v>0</v>
      </c>
      <c r="L309" s="66">
        <f>'F13-Year(n+2)'!Q313</f>
        <v>0</v>
      </c>
      <c r="M309" s="66" t="e">
        <f>#REF!</f>
        <v>#REF!</v>
      </c>
      <c r="N309" s="66">
        <f>'F13-Year(n+3)'!Q315</f>
        <v>0</v>
      </c>
      <c r="O309" s="66">
        <f>'F13-Year(n+4)'!Q315</f>
        <v>0</v>
      </c>
      <c r="P309" s="66">
        <f>'F13-Year(n+5)'!Q315</f>
        <v>0</v>
      </c>
    </row>
    <row r="310" spans="3:16" hidden="1" x14ac:dyDescent="0.25">
      <c r="C310" s="17"/>
      <c r="D310" s="17"/>
      <c r="E310" s="66"/>
      <c r="F310" s="109">
        <f>'F13-Year(n-1)'!Q310</f>
        <v>0</v>
      </c>
      <c r="G310" s="66"/>
      <c r="H310" s="66"/>
      <c r="I310" s="66">
        <f>SUM('F13-Year(n)'!E308:J308)</f>
        <v>0</v>
      </c>
      <c r="J310" s="66">
        <f>SUM('F13-Year(n)'!K308:P308)</f>
        <v>0</v>
      </c>
      <c r="K310" s="66">
        <f t="shared" si="16"/>
        <v>0</v>
      </c>
      <c r="L310" s="66">
        <f>'F13-Year(n+2)'!Q314</f>
        <v>0</v>
      </c>
      <c r="M310" s="66" t="e">
        <f>#REF!</f>
        <v>#REF!</v>
      </c>
      <c r="N310" s="66">
        <f>'F13-Year(n+3)'!Q316</f>
        <v>0</v>
      </c>
      <c r="O310" s="66">
        <f>'F13-Year(n+4)'!Q316</f>
        <v>0</v>
      </c>
      <c r="P310" s="66">
        <f>'F13-Year(n+5)'!Q316</f>
        <v>0</v>
      </c>
    </row>
    <row r="311" spans="3:16" x14ac:dyDescent="0.25">
      <c r="C311" s="753" t="s">
        <v>420</v>
      </c>
      <c r="D311" s="754"/>
      <c r="E311" s="86" t="e">
        <f>SUM(E287:E310)</f>
        <v>#REF!</v>
      </c>
      <c r="F311" s="86">
        <f>SUM(F287:F310)</f>
        <v>10.8443729177735</v>
      </c>
      <c r="G311" s="86" t="e">
        <f>F311-E311</f>
        <v>#REF!</v>
      </c>
      <c r="H311" s="86" t="e">
        <f>SUM(H287:H310)</f>
        <v>#REF!</v>
      </c>
      <c r="I311" s="86">
        <f>SUM(I287:I310)</f>
        <v>0</v>
      </c>
      <c r="J311" s="86">
        <f>SUM(J287:J310)</f>
        <v>0</v>
      </c>
      <c r="K311" s="86">
        <f t="shared" si="16"/>
        <v>0</v>
      </c>
      <c r="L311" s="86">
        <f>'F13-Year(n+2)'!Q315</f>
        <v>0</v>
      </c>
      <c r="M311" s="86" t="e">
        <f>#REF!</f>
        <v>#REF!</v>
      </c>
      <c r="N311" s="86">
        <f>'F13-Year(n+3)'!Q317</f>
        <v>0</v>
      </c>
      <c r="O311" s="86">
        <f>'F13-Year(n+4)'!Q317</f>
        <v>0</v>
      </c>
      <c r="P311" s="86">
        <f>'F13-Year(n+5)'!Q317</f>
        <v>0</v>
      </c>
    </row>
    <row r="312" spans="3:16" x14ac:dyDescent="0.25">
      <c r="C312" s="800" t="s">
        <v>421</v>
      </c>
      <c r="D312" s="801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</row>
    <row r="313" spans="3:16" x14ac:dyDescent="0.25">
      <c r="C313" s="17"/>
      <c r="D313" s="17" t="s">
        <v>644</v>
      </c>
      <c r="E313" s="66">
        <f>'[48]PP Cost'!$J$136</f>
        <v>0</v>
      </c>
      <c r="F313" s="109">
        <f>'F13-Year(n-1)'!Q313</f>
        <v>0</v>
      </c>
      <c r="G313" s="66"/>
      <c r="H313" s="66">
        <f>'[49]PP Cost'!$J$141</f>
        <v>0</v>
      </c>
      <c r="I313" s="66">
        <f>SUM('F13-Year(n)'!E311:J311)</f>
        <v>0</v>
      </c>
      <c r="J313" s="66">
        <f>SUM('F13-Year(n)'!K311:P311)</f>
        <v>0</v>
      </c>
      <c r="K313" s="66">
        <f t="shared" ref="K313:K337" si="17">I313+J313</f>
        <v>0</v>
      </c>
      <c r="L313" s="66">
        <f>'F13-Year(n+2)'!Q317</f>
        <v>0</v>
      </c>
      <c r="M313" s="66" t="e">
        <f>#REF!</f>
        <v>#REF!</v>
      </c>
      <c r="N313" s="66">
        <f>'F13-Year(n+3)'!Q319</f>
        <v>0</v>
      </c>
      <c r="O313" s="66">
        <f>'F13-Year(n+4)'!Q319</f>
        <v>0</v>
      </c>
      <c r="P313" s="66">
        <f>'F13-Year(n+5)'!Q319</f>
        <v>0</v>
      </c>
    </row>
    <row r="314" spans="3:16" x14ac:dyDescent="0.25">
      <c r="C314" s="17"/>
      <c r="D314" s="17"/>
      <c r="E314" s="66"/>
      <c r="F314" s="109">
        <f>'F13-Year(n-1)'!Q314</f>
        <v>0</v>
      </c>
      <c r="G314" s="66"/>
      <c r="H314" s="66"/>
      <c r="I314" s="66">
        <f>SUM('F13-Year(n)'!E312:J312)</f>
        <v>0</v>
      </c>
      <c r="J314" s="66">
        <f>SUM('F13-Year(n)'!K312:P312)</f>
        <v>0</v>
      </c>
      <c r="K314" s="66">
        <f t="shared" si="17"/>
        <v>0</v>
      </c>
      <c r="L314" s="66">
        <f>'F13-Year(n+2)'!Q318</f>
        <v>0</v>
      </c>
      <c r="M314" s="66" t="e">
        <f>#REF!</f>
        <v>#REF!</v>
      </c>
      <c r="N314" s="66">
        <f>'F13-Year(n+3)'!Q320</f>
        <v>0</v>
      </c>
      <c r="O314" s="66">
        <f>'F13-Year(n+4)'!Q320</f>
        <v>0</v>
      </c>
      <c r="P314" s="66">
        <f>'F13-Year(n+5)'!Q320</f>
        <v>0</v>
      </c>
    </row>
    <row r="315" spans="3:16" x14ac:dyDescent="0.25">
      <c r="C315" s="17"/>
      <c r="D315" s="17"/>
      <c r="E315" s="66"/>
      <c r="F315" s="109">
        <f>'F13-Year(n-1)'!Q315</f>
        <v>0</v>
      </c>
      <c r="G315" s="66"/>
      <c r="H315" s="66"/>
      <c r="I315" s="66">
        <f>SUM('F13-Year(n)'!E313:J313)</f>
        <v>0</v>
      </c>
      <c r="J315" s="66">
        <f>SUM('F13-Year(n)'!K313:P313)</f>
        <v>0</v>
      </c>
      <c r="K315" s="66">
        <f t="shared" si="17"/>
        <v>0</v>
      </c>
      <c r="L315" s="66">
        <f>'F13-Year(n+2)'!Q319</f>
        <v>0</v>
      </c>
      <c r="M315" s="66" t="e">
        <f>#REF!</f>
        <v>#REF!</v>
      </c>
      <c r="N315" s="66">
        <f>'F13-Year(n+3)'!Q321</f>
        <v>0</v>
      </c>
      <c r="O315" s="66">
        <f>'F13-Year(n+4)'!Q321</f>
        <v>0</v>
      </c>
      <c r="P315" s="66">
        <f>'F13-Year(n+5)'!Q321</f>
        <v>0</v>
      </c>
    </row>
    <row r="316" spans="3:16" x14ac:dyDescent="0.25">
      <c r="C316" s="17"/>
      <c r="D316" s="17"/>
      <c r="E316" s="66"/>
      <c r="F316" s="109">
        <f>'F13-Year(n-1)'!Q316</f>
        <v>0</v>
      </c>
      <c r="G316" s="66"/>
      <c r="H316" s="66"/>
      <c r="I316" s="66">
        <f>SUM('F13-Year(n)'!E314:J314)</f>
        <v>0</v>
      </c>
      <c r="J316" s="66">
        <f>SUM('F13-Year(n)'!K314:P314)</f>
        <v>0</v>
      </c>
      <c r="K316" s="66">
        <f t="shared" si="17"/>
        <v>0</v>
      </c>
      <c r="L316" s="66">
        <f>'F13-Year(n+2)'!Q320</f>
        <v>0</v>
      </c>
      <c r="M316" s="66" t="e">
        <f>#REF!</f>
        <v>#REF!</v>
      </c>
      <c r="N316" s="66">
        <f>'F13-Year(n+3)'!Q322</f>
        <v>0</v>
      </c>
      <c r="O316" s="66">
        <f>'F13-Year(n+4)'!Q322</f>
        <v>0</v>
      </c>
      <c r="P316" s="66">
        <f>'F13-Year(n+5)'!Q322</f>
        <v>0</v>
      </c>
    </row>
    <row r="317" spans="3:16" x14ac:dyDescent="0.25">
      <c r="C317" s="17"/>
      <c r="D317" s="17"/>
      <c r="E317" s="66"/>
      <c r="F317" s="109">
        <f>'F13-Year(n-1)'!Q317</f>
        <v>0</v>
      </c>
      <c r="G317" s="66"/>
      <c r="H317" s="66"/>
      <c r="I317" s="66">
        <f>SUM('F13-Year(n)'!E315:J315)</f>
        <v>0</v>
      </c>
      <c r="J317" s="66">
        <f>SUM('F13-Year(n)'!K315:P315)</f>
        <v>0</v>
      </c>
      <c r="K317" s="66">
        <f t="shared" si="17"/>
        <v>0</v>
      </c>
      <c r="L317" s="66">
        <f>'F13-Year(n+2)'!Q321</f>
        <v>0</v>
      </c>
      <c r="M317" s="66" t="e">
        <f>#REF!</f>
        <v>#REF!</v>
      </c>
      <c r="N317" s="66">
        <f>'F13-Year(n+3)'!Q323</f>
        <v>0</v>
      </c>
      <c r="O317" s="66">
        <f>'F13-Year(n+4)'!Q323</f>
        <v>0</v>
      </c>
      <c r="P317" s="66">
        <f>'F13-Year(n+5)'!Q323</f>
        <v>0</v>
      </c>
    </row>
    <row r="318" spans="3:16" x14ac:dyDescent="0.25">
      <c r="C318" s="17"/>
      <c r="D318" s="325" t="s">
        <v>629</v>
      </c>
      <c r="E318" s="66"/>
      <c r="F318" s="109">
        <f>'F13-Year(n-1)'!Q318</f>
        <v>712.96428731644994</v>
      </c>
      <c r="G318" s="66"/>
      <c r="H318" s="66"/>
      <c r="I318" s="66">
        <f>SUM('F13-Year(n)'!E316:J316)</f>
        <v>0</v>
      </c>
      <c r="J318" s="66">
        <f>SUM('F13-Year(n)'!K316:P316)</f>
        <v>0</v>
      </c>
      <c r="K318" s="66">
        <f t="shared" si="17"/>
        <v>0</v>
      </c>
      <c r="L318" s="66">
        <f>'F13-Year(n+2)'!Q322</f>
        <v>0</v>
      </c>
      <c r="M318" s="66" t="e">
        <f>#REF!</f>
        <v>#REF!</v>
      </c>
      <c r="N318" s="66">
        <f>'F13-Year(n+3)'!Q324</f>
        <v>0</v>
      </c>
      <c r="O318" s="66">
        <f>'F13-Year(n+4)'!Q324</f>
        <v>0</v>
      </c>
      <c r="P318" s="66">
        <f>'F13-Year(n+5)'!Q324</f>
        <v>0</v>
      </c>
    </row>
    <row r="319" spans="3:16" x14ac:dyDescent="0.25">
      <c r="C319" s="17"/>
      <c r="D319" s="325" t="s">
        <v>630</v>
      </c>
      <c r="E319" s="66"/>
      <c r="F319" s="109">
        <f>'F13-Year(n-1)'!Q319</f>
        <v>1.3792174783999995</v>
      </c>
      <c r="G319" s="66"/>
      <c r="H319" s="66"/>
      <c r="I319" s="66">
        <f>SUM('F13-Year(n)'!E317:J317)</f>
        <v>0</v>
      </c>
      <c r="J319" s="66">
        <f>SUM('F13-Year(n)'!K317:P317)</f>
        <v>0</v>
      </c>
      <c r="K319" s="66">
        <f t="shared" si="17"/>
        <v>0</v>
      </c>
      <c r="L319" s="66">
        <f>'F13-Year(n+2)'!Q323</f>
        <v>0</v>
      </c>
      <c r="M319" s="66" t="e">
        <f>#REF!</f>
        <v>#REF!</v>
      </c>
      <c r="N319" s="66">
        <f>'F13-Year(n+3)'!Q325</f>
        <v>0</v>
      </c>
      <c r="O319" s="66">
        <f>'F13-Year(n+4)'!Q325</f>
        <v>0</v>
      </c>
      <c r="P319" s="66">
        <f>'F13-Year(n+5)'!Q325</f>
        <v>0</v>
      </c>
    </row>
    <row r="320" spans="3:16" x14ac:dyDescent="0.25">
      <c r="C320" s="17"/>
      <c r="D320" s="326" t="s">
        <v>631</v>
      </c>
      <c r="E320" s="66"/>
      <c r="F320" s="109">
        <f>'F13-Year(n-1)'!Q320</f>
        <v>0</v>
      </c>
      <c r="G320" s="66"/>
      <c r="H320" s="66"/>
      <c r="I320" s="66">
        <f>SUM('F13-Year(n)'!E318:J318)</f>
        <v>0</v>
      </c>
      <c r="J320" s="66">
        <f>SUM('F13-Year(n)'!K318:P318)</f>
        <v>0</v>
      </c>
      <c r="K320" s="66">
        <f t="shared" si="17"/>
        <v>0</v>
      </c>
      <c r="L320" s="66">
        <f>'F13-Year(n+2)'!Q324</f>
        <v>0</v>
      </c>
      <c r="M320" s="66" t="e">
        <f>#REF!</f>
        <v>#REF!</v>
      </c>
      <c r="N320" s="66">
        <f>'F13-Year(n+3)'!Q326</f>
        <v>0</v>
      </c>
      <c r="O320" s="66">
        <f>'F13-Year(n+4)'!Q326</f>
        <v>0</v>
      </c>
      <c r="P320" s="66">
        <f>'F13-Year(n+5)'!Q326</f>
        <v>0</v>
      </c>
    </row>
    <row r="321" spans="3:16" x14ac:dyDescent="0.25">
      <c r="C321" s="17"/>
      <c r="D321" s="325" t="s">
        <v>632</v>
      </c>
      <c r="E321" s="66"/>
      <c r="F321" s="109">
        <f>'F13-Year(n-1)'!Q321</f>
        <v>9.5858769903999992</v>
      </c>
      <c r="G321" s="66"/>
      <c r="H321" s="66"/>
      <c r="I321" s="66">
        <f>SUM('F13-Year(n)'!E319:J319)</f>
        <v>0</v>
      </c>
      <c r="J321" s="66">
        <f>SUM('F13-Year(n)'!K319:P319)</f>
        <v>-5.8970286253499999</v>
      </c>
      <c r="K321" s="66">
        <f t="shared" si="17"/>
        <v>-5.8970286253499999</v>
      </c>
      <c r="L321" s="66">
        <f>'F13-Year(n+2)'!Q325</f>
        <v>0</v>
      </c>
      <c r="M321" s="66" t="e">
        <f>#REF!</f>
        <v>#REF!</v>
      </c>
      <c r="N321" s="66">
        <f>'F13-Year(n+3)'!Q327</f>
        <v>0</v>
      </c>
      <c r="O321" s="66">
        <f>'F13-Year(n+4)'!Q327</f>
        <v>0</v>
      </c>
      <c r="P321" s="66">
        <f>'F13-Year(n+5)'!Q327</f>
        <v>0</v>
      </c>
    </row>
    <row r="322" spans="3:16" x14ac:dyDescent="0.25">
      <c r="C322" s="17"/>
      <c r="D322" s="325" t="s">
        <v>633</v>
      </c>
      <c r="E322" s="66"/>
      <c r="F322" s="109">
        <f>'F13-Year(n-1)'!Q322</f>
        <v>0</v>
      </c>
      <c r="G322" s="66"/>
      <c r="H322" s="66"/>
      <c r="I322" s="66">
        <f>SUM('F13-Year(n)'!E320:J320)</f>
        <v>0</v>
      </c>
      <c r="J322" s="66">
        <f>SUM('F13-Year(n)'!K320:P320)</f>
        <v>0</v>
      </c>
      <c r="K322" s="66">
        <f t="shared" si="17"/>
        <v>0</v>
      </c>
      <c r="L322" s="66">
        <f>'F13-Year(n+2)'!Q326</f>
        <v>0</v>
      </c>
      <c r="M322" s="66" t="e">
        <f>#REF!</f>
        <v>#REF!</v>
      </c>
      <c r="N322" s="66">
        <f>'F13-Year(n+3)'!Q328</f>
        <v>0</v>
      </c>
      <c r="O322" s="66">
        <f>'F13-Year(n+4)'!Q328</f>
        <v>0</v>
      </c>
      <c r="P322" s="66">
        <f>'F13-Year(n+5)'!Q328</f>
        <v>0</v>
      </c>
    </row>
    <row r="323" spans="3:16" x14ac:dyDescent="0.25">
      <c r="C323" s="17"/>
      <c r="D323" s="325" t="s">
        <v>634</v>
      </c>
      <c r="E323" s="66"/>
      <c r="F323" s="109">
        <f>'F13-Year(n-1)'!Q323</f>
        <v>1.2047915972879975</v>
      </c>
      <c r="G323" s="66"/>
      <c r="H323" s="66"/>
      <c r="I323" s="66">
        <f>SUM('F13-Year(n)'!E321:J321)</f>
        <v>0</v>
      </c>
      <c r="J323" s="66">
        <f>SUM('F13-Year(n)'!K321:P321)</f>
        <v>0</v>
      </c>
      <c r="K323" s="66">
        <f t="shared" si="17"/>
        <v>0</v>
      </c>
      <c r="L323" s="66">
        <f>'F13-Year(n+2)'!Q327</f>
        <v>0</v>
      </c>
      <c r="M323" s="66" t="e">
        <f>#REF!</f>
        <v>#REF!</v>
      </c>
      <c r="N323" s="66">
        <f>'F13-Year(n+3)'!Q329</f>
        <v>0</v>
      </c>
      <c r="O323" s="66">
        <f>'F13-Year(n+4)'!Q329</f>
        <v>0</v>
      </c>
      <c r="P323" s="66">
        <f>'F13-Year(n+5)'!Q329</f>
        <v>0</v>
      </c>
    </row>
    <row r="324" spans="3:16" x14ac:dyDescent="0.25">
      <c r="C324" s="17"/>
      <c r="D324" s="325" t="s">
        <v>635</v>
      </c>
      <c r="E324" s="66"/>
      <c r="F324" s="109">
        <f>'F13-Year(n-1)'!Q324</f>
        <v>1005.4319363999998</v>
      </c>
      <c r="G324" s="66"/>
      <c r="H324" s="66"/>
      <c r="I324" s="66">
        <f>SUM('F13-Year(n)'!E322:J322)</f>
        <v>0</v>
      </c>
      <c r="J324" s="66">
        <f>SUM('F13-Year(n)'!K322:P322)</f>
        <v>0</v>
      </c>
      <c r="K324" s="66">
        <f t="shared" si="17"/>
        <v>0</v>
      </c>
      <c r="L324" s="66">
        <f>'F13-Year(n+2)'!Q328</f>
        <v>0</v>
      </c>
      <c r="M324" s="66" t="e">
        <f>#REF!</f>
        <v>#REF!</v>
      </c>
      <c r="N324" s="66">
        <f>'F13-Year(n+3)'!Q330</f>
        <v>0</v>
      </c>
      <c r="O324" s="66">
        <f>'F13-Year(n+4)'!Q330</f>
        <v>0</v>
      </c>
      <c r="P324" s="66">
        <f>'F13-Year(n+5)'!Q330</f>
        <v>0</v>
      </c>
    </row>
    <row r="325" spans="3:16" x14ac:dyDescent="0.25">
      <c r="C325" s="17"/>
      <c r="D325" s="325" t="s">
        <v>636</v>
      </c>
      <c r="E325" s="66"/>
      <c r="F325" s="109">
        <f>'F13-Year(n-1)'!Q325</f>
        <v>13.235678800000001</v>
      </c>
      <c r="G325" s="66"/>
      <c r="H325" s="66"/>
      <c r="I325" s="66">
        <f>SUM('F13-Year(n)'!E323:J323)</f>
        <v>0</v>
      </c>
      <c r="J325" s="66">
        <f>SUM('F13-Year(n)'!K323:P323)</f>
        <v>0</v>
      </c>
      <c r="K325" s="66">
        <f t="shared" si="17"/>
        <v>0</v>
      </c>
      <c r="L325" s="66">
        <f>'F13-Year(n+2)'!Q329</f>
        <v>0</v>
      </c>
      <c r="M325" s="66" t="e">
        <f>#REF!</f>
        <v>#REF!</v>
      </c>
      <c r="N325" s="66">
        <f>'F13-Year(n+3)'!Q331</f>
        <v>0</v>
      </c>
      <c r="O325" s="66">
        <f>'F13-Year(n+4)'!Q331</f>
        <v>0</v>
      </c>
      <c r="P325" s="66">
        <f>'F13-Year(n+5)'!Q331</f>
        <v>0</v>
      </c>
    </row>
    <row r="326" spans="3:16" x14ac:dyDescent="0.25">
      <c r="C326" s="17"/>
      <c r="D326" s="325" t="s">
        <v>637</v>
      </c>
      <c r="E326" s="66"/>
      <c r="F326" s="109">
        <f>'F13-Year(n-1)'!Q326</f>
        <v>-2.6582839884</v>
      </c>
      <c r="G326" s="66"/>
      <c r="H326" s="66"/>
      <c r="I326" s="66">
        <f>SUM('F13-Year(n)'!E324:J324)</f>
        <v>0</v>
      </c>
      <c r="J326" s="66">
        <f>SUM('F13-Year(n)'!K324:P324)</f>
        <v>-1.3545232999999999E-3</v>
      </c>
      <c r="K326" s="66">
        <f t="shared" si="17"/>
        <v>-1.3545232999999999E-3</v>
      </c>
      <c r="L326" s="66">
        <f>'F13-Year(n+2)'!Q330</f>
        <v>0</v>
      </c>
      <c r="M326" s="66" t="e">
        <f>#REF!</f>
        <v>#REF!</v>
      </c>
      <c r="N326" s="66">
        <f>'F13-Year(n+3)'!Q332</f>
        <v>0</v>
      </c>
      <c r="O326" s="66">
        <f>'F13-Year(n+4)'!Q332</f>
        <v>0</v>
      </c>
      <c r="P326" s="66">
        <f>'F13-Year(n+5)'!Q332</f>
        <v>0</v>
      </c>
    </row>
    <row r="327" spans="3:16" x14ac:dyDescent="0.25">
      <c r="C327" s="17"/>
      <c r="D327" s="325" t="s">
        <v>638</v>
      </c>
      <c r="E327" s="66"/>
      <c r="F327" s="109">
        <f>'F13-Year(n-1)'!Q327</f>
        <v>22.067560834897787</v>
      </c>
      <c r="G327" s="66"/>
      <c r="H327" s="66"/>
      <c r="I327" s="66">
        <f>SUM('F13-Year(n)'!E325:J325)</f>
        <v>0</v>
      </c>
      <c r="J327" s="66">
        <f>SUM('F13-Year(n)'!K325:P325)</f>
        <v>0</v>
      </c>
      <c r="K327" s="66">
        <f t="shared" si="17"/>
        <v>0</v>
      </c>
      <c r="L327" s="66">
        <f>'F13-Year(n+2)'!Q331</f>
        <v>0</v>
      </c>
      <c r="M327" s="66" t="e">
        <f>#REF!</f>
        <v>#REF!</v>
      </c>
      <c r="N327" s="66">
        <f>'F13-Year(n+3)'!Q333</f>
        <v>0</v>
      </c>
      <c r="O327" s="66">
        <f>'F13-Year(n+4)'!Q333</f>
        <v>0</v>
      </c>
      <c r="P327" s="66">
        <f>'F13-Year(n+5)'!Q333</f>
        <v>0</v>
      </c>
    </row>
    <row r="328" spans="3:16" x14ac:dyDescent="0.25">
      <c r="C328" s="17"/>
      <c r="D328" s="325" t="s">
        <v>639</v>
      </c>
      <c r="E328" s="66"/>
      <c r="F328" s="109">
        <f>'F13-Year(n-1)'!Q328</f>
        <v>0.19106626955</v>
      </c>
      <c r="G328" s="66"/>
      <c r="H328" s="66"/>
      <c r="I328" s="66">
        <f>SUM('F13-Year(n)'!E326:J326)</f>
        <v>0</v>
      </c>
      <c r="J328" s="66">
        <f>SUM('F13-Year(n)'!K326:P326)</f>
        <v>0</v>
      </c>
      <c r="K328" s="66">
        <f t="shared" si="17"/>
        <v>0</v>
      </c>
      <c r="L328" s="66">
        <f>'F13-Year(n+2)'!Q332</f>
        <v>0</v>
      </c>
      <c r="M328" s="66" t="e">
        <f>#REF!</f>
        <v>#REF!</v>
      </c>
      <c r="N328" s="66">
        <f>'F13-Year(n+3)'!Q334</f>
        <v>0</v>
      </c>
      <c r="O328" s="66">
        <f>'F13-Year(n+4)'!Q334</f>
        <v>0</v>
      </c>
      <c r="P328" s="66">
        <f>'F13-Year(n+5)'!Q334</f>
        <v>0</v>
      </c>
    </row>
    <row r="329" spans="3:16" hidden="1" x14ac:dyDescent="0.25">
      <c r="C329" s="17"/>
      <c r="D329" s="17"/>
      <c r="E329" s="66"/>
      <c r="F329" s="109">
        <f>'F13-Year(n-1)'!Q329</f>
        <v>0</v>
      </c>
      <c r="G329" s="66"/>
      <c r="H329" s="66"/>
      <c r="I329" s="66">
        <f>SUM('F13-Year(n)'!E327:J327)</f>
        <v>0</v>
      </c>
      <c r="J329" s="66">
        <f>SUM('F13-Year(n)'!K327:P327)</f>
        <v>0</v>
      </c>
      <c r="K329" s="66">
        <f t="shared" si="17"/>
        <v>0</v>
      </c>
      <c r="L329" s="66">
        <f>'F13-Year(n+2)'!Q333</f>
        <v>0</v>
      </c>
      <c r="M329" s="66" t="e">
        <f>#REF!</f>
        <v>#REF!</v>
      </c>
      <c r="N329" s="66">
        <f>'F13-Year(n+3)'!Q335</f>
        <v>0</v>
      </c>
      <c r="O329" s="66">
        <f>'F13-Year(n+4)'!Q335</f>
        <v>0</v>
      </c>
      <c r="P329" s="66">
        <f>'F13-Year(n+5)'!Q335</f>
        <v>0</v>
      </c>
    </row>
    <row r="330" spans="3:16" hidden="1" x14ac:dyDescent="0.25">
      <c r="C330" s="17"/>
      <c r="D330" s="17"/>
      <c r="E330" s="66"/>
      <c r="F330" s="109">
        <f>'F13-Year(n-1)'!Q330</f>
        <v>0</v>
      </c>
      <c r="G330" s="66"/>
      <c r="H330" s="66"/>
      <c r="I330" s="66">
        <f>SUM('F13-Year(n)'!E328:J328)</f>
        <v>0</v>
      </c>
      <c r="J330" s="66">
        <f>SUM('F13-Year(n)'!K328:P328)</f>
        <v>0</v>
      </c>
      <c r="K330" s="66">
        <f t="shared" si="17"/>
        <v>0</v>
      </c>
      <c r="L330" s="66">
        <f>'F13-Year(n+2)'!Q334</f>
        <v>0</v>
      </c>
      <c r="M330" s="66" t="e">
        <f>#REF!</f>
        <v>#REF!</v>
      </c>
      <c r="N330" s="66">
        <f>'F13-Year(n+3)'!Q336</f>
        <v>0</v>
      </c>
      <c r="O330" s="66">
        <f>'F13-Year(n+4)'!Q336</f>
        <v>0</v>
      </c>
      <c r="P330" s="66">
        <f>'F13-Year(n+5)'!Q336</f>
        <v>0</v>
      </c>
    </row>
    <row r="331" spans="3:16" hidden="1" x14ac:dyDescent="0.25">
      <c r="C331" s="17"/>
      <c r="D331" s="17"/>
      <c r="E331" s="66"/>
      <c r="F331" s="109">
        <f>'F13-Year(n-1)'!Q331</f>
        <v>0</v>
      </c>
      <c r="G331" s="66"/>
      <c r="H331" s="66"/>
      <c r="I331" s="66">
        <f>SUM('F13-Year(n)'!E329:J329)</f>
        <v>0</v>
      </c>
      <c r="J331" s="66">
        <f>SUM('F13-Year(n)'!K329:P329)</f>
        <v>0</v>
      </c>
      <c r="K331" s="66">
        <f t="shared" si="17"/>
        <v>0</v>
      </c>
      <c r="L331" s="66">
        <f>'F13-Year(n+2)'!Q335</f>
        <v>0</v>
      </c>
      <c r="M331" s="66" t="e">
        <f>#REF!</f>
        <v>#REF!</v>
      </c>
      <c r="N331" s="66">
        <f>'F13-Year(n+3)'!Q337</f>
        <v>0</v>
      </c>
      <c r="O331" s="66">
        <f>'F13-Year(n+4)'!Q337</f>
        <v>0</v>
      </c>
      <c r="P331" s="66">
        <f>'F13-Year(n+5)'!Q337</f>
        <v>0</v>
      </c>
    </row>
    <row r="332" spans="3:16" hidden="1" x14ac:dyDescent="0.25">
      <c r="C332" s="17"/>
      <c r="D332" s="17"/>
      <c r="E332" s="66"/>
      <c r="F332" s="109">
        <f>'F13-Year(n-1)'!Q332</f>
        <v>0</v>
      </c>
      <c r="G332" s="66"/>
      <c r="H332" s="66"/>
      <c r="I332" s="66">
        <f>SUM('F13-Year(n)'!E330:J330)</f>
        <v>0</v>
      </c>
      <c r="J332" s="66">
        <f>SUM('F13-Year(n)'!K330:P330)</f>
        <v>0</v>
      </c>
      <c r="K332" s="66">
        <f t="shared" si="17"/>
        <v>0</v>
      </c>
      <c r="L332" s="66">
        <f>'F13-Year(n+2)'!Q336</f>
        <v>0</v>
      </c>
      <c r="M332" s="66" t="e">
        <f>#REF!</f>
        <v>#REF!</v>
      </c>
      <c r="N332" s="66">
        <f>'F13-Year(n+3)'!Q338</f>
        <v>0</v>
      </c>
      <c r="O332" s="66">
        <f>'F13-Year(n+4)'!Q338</f>
        <v>0</v>
      </c>
      <c r="P332" s="66">
        <f>'F13-Year(n+5)'!Q338</f>
        <v>0</v>
      </c>
    </row>
    <row r="333" spans="3:16" hidden="1" x14ac:dyDescent="0.25">
      <c r="C333" s="17"/>
      <c r="D333" s="17"/>
      <c r="E333" s="66"/>
      <c r="F333" s="109">
        <f>'F13-Year(n-1)'!Q333</f>
        <v>0</v>
      </c>
      <c r="G333" s="66"/>
      <c r="H333" s="66"/>
      <c r="I333" s="66">
        <f>SUM('F13-Year(n)'!E331:J331)</f>
        <v>0</v>
      </c>
      <c r="J333" s="66">
        <f>SUM('F13-Year(n)'!K331:P331)</f>
        <v>0</v>
      </c>
      <c r="K333" s="66">
        <f t="shared" si="17"/>
        <v>0</v>
      </c>
      <c r="L333" s="66">
        <f>'F13-Year(n+2)'!Q337</f>
        <v>0</v>
      </c>
      <c r="M333" s="66" t="e">
        <f>#REF!</f>
        <v>#REF!</v>
      </c>
      <c r="N333" s="66">
        <f>'F13-Year(n+3)'!Q339</f>
        <v>0</v>
      </c>
      <c r="O333" s="66">
        <f>'F13-Year(n+4)'!Q339</f>
        <v>0</v>
      </c>
      <c r="P333" s="66">
        <f>'F13-Year(n+5)'!Q339</f>
        <v>0</v>
      </c>
    </row>
    <row r="334" spans="3:16" hidden="1" x14ac:dyDescent="0.25">
      <c r="C334" s="17"/>
      <c r="D334" s="17"/>
      <c r="E334" s="66"/>
      <c r="F334" s="109">
        <f>'F13-Year(n-1)'!Q334</f>
        <v>0</v>
      </c>
      <c r="G334" s="66"/>
      <c r="H334" s="66"/>
      <c r="I334" s="66">
        <f>SUM('F13-Year(n)'!E332:J332)</f>
        <v>0</v>
      </c>
      <c r="J334" s="66">
        <f>SUM('F13-Year(n)'!K332:P332)</f>
        <v>0</v>
      </c>
      <c r="K334" s="66">
        <f t="shared" si="17"/>
        <v>0</v>
      </c>
      <c r="L334" s="66">
        <f>'F13-Year(n+2)'!Q338</f>
        <v>0</v>
      </c>
      <c r="M334" s="66" t="e">
        <f>#REF!</f>
        <v>#REF!</v>
      </c>
      <c r="N334" s="66">
        <f>'F13-Year(n+3)'!Q340</f>
        <v>0</v>
      </c>
      <c r="O334" s="66">
        <f>'F13-Year(n+4)'!Q340</f>
        <v>0</v>
      </c>
      <c r="P334" s="66">
        <f>'F13-Year(n+5)'!Q340</f>
        <v>0</v>
      </c>
    </row>
    <row r="335" spans="3:16" hidden="1" x14ac:dyDescent="0.25">
      <c r="C335" s="17"/>
      <c r="D335" s="17"/>
      <c r="E335" s="66"/>
      <c r="F335" s="109">
        <f>'F13-Year(n-1)'!Q335</f>
        <v>0</v>
      </c>
      <c r="G335" s="66"/>
      <c r="H335" s="66"/>
      <c r="I335" s="66">
        <f>SUM('F13-Year(n)'!E333:J333)</f>
        <v>0</v>
      </c>
      <c r="J335" s="66">
        <f>SUM('F13-Year(n)'!K333:P333)</f>
        <v>0</v>
      </c>
      <c r="K335" s="66">
        <f t="shared" si="17"/>
        <v>0</v>
      </c>
      <c r="L335" s="66">
        <f>'F13-Year(n+2)'!Q339</f>
        <v>0</v>
      </c>
      <c r="M335" s="66" t="e">
        <f>#REF!</f>
        <v>#REF!</v>
      </c>
      <c r="N335" s="66">
        <f>'F13-Year(n+3)'!Q341</f>
        <v>0</v>
      </c>
      <c r="O335" s="66">
        <f>'F13-Year(n+4)'!Q341</f>
        <v>0</v>
      </c>
      <c r="P335" s="66">
        <f>'F13-Year(n+5)'!Q341</f>
        <v>0</v>
      </c>
    </row>
    <row r="336" spans="3:16" hidden="1" x14ac:dyDescent="0.25">
      <c r="C336" s="17"/>
      <c r="D336" s="17"/>
      <c r="E336" s="66"/>
      <c r="F336" s="109">
        <f>'F13-Year(n-1)'!Q336</f>
        <v>0</v>
      </c>
      <c r="G336" s="66"/>
      <c r="H336" s="66"/>
      <c r="I336" s="66">
        <f>SUM('F13-Year(n)'!E334:J334)</f>
        <v>0</v>
      </c>
      <c r="J336" s="66">
        <f>SUM('F13-Year(n)'!K334:P334)</f>
        <v>0</v>
      </c>
      <c r="K336" s="66">
        <f t="shared" si="17"/>
        <v>0</v>
      </c>
      <c r="L336" s="66">
        <f>'F13-Year(n+2)'!Q340</f>
        <v>0</v>
      </c>
      <c r="M336" s="66" t="e">
        <f>#REF!</f>
        <v>#REF!</v>
      </c>
      <c r="N336" s="66">
        <f>'F13-Year(n+3)'!Q342</f>
        <v>0</v>
      </c>
      <c r="O336" s="66">
        <f>'F13-Year(n+4)'!Q342</f>
        <v>0</v>
      </c>
      <c r="P336" s="66">
        <f>'F13-Year(n+5)'!Q342</f>
        <v>0</v>
      </c>
    </row>
    <row r="337" spans="2:16" x14ac:dyDescent="0.25">
      <c r="C337" s="753" t="s">
        <v>423</v>
      </c>
      <c r="D337" s="754"/>
      <c r="E337" s="86">
        <f>SUM(E313:E336)</f>
        <v>0</v>
      </c>
      <c r="F337" s="86">
        <f>SUM(F313:F336)</f>
        <v>1763.4021316985854</v>
      </c>
      <c r="G337" s="86">
        <f>F337-E337</f>
        <v>1763.4021316985854</v>
      </c>
      <c r="H337" s="86">
        <f>SUM(H313:H336)</f>
        <v>0</v>
      </c>
      <c r="I337" s="86">
        <f>SUM(I313:I336)</f>
        <v>0</v>
      </c>
      <c r="J337" s="86">
        <f>SUM(J313:J336)</f>
        <v>-5.8983831486499998</v>
      </c>
      <c r="K337" s="86">
        <f t="shared" si="17"/>
        <v>-5.8983831486499998</v>
      </c>
      <c r="L337" s="86">
        <f>'F13-Year(n+2)'!Q343</f>
        <v>0</v>
      </c>
      <c r="M337" s="86" t="e">
        <f>#REF!</f>
        <v>#REF!</v>
      </c>
      <c r="N337" s="86">
        <f>'F13-Year(n+3)'!Q345</f>
        <v>0</v>
      </c>
      <c r="O337" s="86">
        <f>'F13-Year(n+4)'!Q345</f>
        <v>0</v>
      </c>
      <c r="P337" s="86">
        <f>'F13-Year(n+5)'!Q345</f>
        <v>0</v>
      </c>
    </row>
    <row r="338" spans="2:16" x14ac:dyDescent="0.25">
      <c r="C338" s="800" t="s">
        <v>424</v>
      </c>
      <c r="D338" s="801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</row>
    <row r="339" spans="2:16" x14ac:dyDescent="0.25">
      <c r="C339" s="17" t="s">
        <v>425</v>
      </c>
      <c r="D339" s="17" t="s">
        <v>426</v>
      </c>
      <c r="E339" s="66">
        <f>'[48]PP Cost'!J138</f>
        <v>0</v>
      </c>
      <c r="F339" s="109">
        <f>'F13-Year(n-1)'!Q313</f>
        <v>0</v>
      </c>
      <c r="G339" s="66"/>
      <c r="H339" s="66">
        <f>'[49]PP Cost'!J142</f>
        <v>0</v>
      </c>
      <c r="I339" s="66">
        <f>SUM('F13-Year(n)'!E337:J337)</f>
        <v>0</v>
      </c>
      <c r="J339" s="66">
        <f>SUM('F13-Year(n)'!K337:P337)</f>
        <v>0</v>
      </c>
      <c r="K339" s="66">
        <f>I339+J339</f>
        <v>0</v>
      </c>
      <c r="L339" s="66">
        <f>'F13-Year(n+2)'!Q345</f>
        <v>0</v>
      </c>
      <c r="M339" s="66" t="e">
        <f>#REF!</f>
        <v>#REF!</v>
      </c>
      <c r="N339" s="66">
        <f>'F13-Year(n+3)'!Q347</f>
        <v>0</v>
      </c>
      <c r="O339" s="66">
        <f>'F13-Year(n+4)'!Q347</f>
        <v>0</v>
      </c>
      <c r="P339" s="66">
        <f>'F13-Year(n+5)'!Q347</f>
        <v>0</v>
      </c>
    </row>
    <row r="340" spans="2:16" x14ac:dyDescent="0.25">
      <c r="C340" s="17" t="s">
        <v>425</v>
      </c>
      <c r="D340" s="17" t="s">
        <v>427</v>
      </c>
      <c r="E340" s="66">
        <f>'[48]PP Cost'!J139</f>
        <v>0</v>
      </c>
      <c r="F340" s="109">
        <f>'F13-Year(n-1)'!Q314</f>
        <v>0</v>
      </c>
      <c r="G340" s="66"/>
      <c r="H340" s="66">
        <f>'[49]PP Cost'!J143</f>
        <v>0</v>
      </c>
      <c r="I340" s="66">
        <f>SUM('F13-Year(n)'!E338:J338)</f>
        <v>0</v>
      </c>
      <c r="J340" s="66">
        <f>SUM('F13-Year(n)'!K338:P338)</f>
        <v>0</v>
      </c>
      <c r="K340" s="66">
        <f>I340+J340</f>
        <v>0</v>
      </c>
      <c r="L340" s="66">
        <f>'F13-Year(n+2)'!Q346</f>
        <v>0</v>
      </c>
      <c r="M340" s="66" t="e">
        <f>#REF!</f>
        <v>#REF!</v>
      </c>
      <c r="N340" s="66">
        <f>'F13-Year(n+3)'!Q348</f>
        <v>0</v>
      </c>
      <c r="O340" s="66">
        <f>'F13-Year(n+4)'!Q348</f>
        <v>0</v>
      </c>
      <c r="P340" s="66">
        <f>'F13-Year(n+5)'!Q348</f>
        <v>0</v>
      </c>
    </row>
    <row r="341" spans="2:16" x14ac:dyDescent="0.25">
      <c r="C341" s="116"/>
      <c r="D341" s="17" t="s">
        <v>463</v>
      </c>
      <c r="E341" s="66"/>
      <c r="F341" s="109"/>
      <c r="G341" s="66"/>
      <c r="H341" s="66"/>
      <c r="I341" s="66">
        <f>SUM('F13-Year(n)'!E339:J339)</f>
        <v>0</v>
      </c>
      <c r="J341" s="66">
        <f>SUM('F13-Year(n)'!K339:P339)</f>
        <v>0</v>
      </c>
      <c r="K341" s="66"/>
      <c r="L341" s="66"/>
      <c r="M341" s="66"/>
      <c r="N341" s="66"/>
      <c r="O341" s="66"/>
      <c r="P341" s="66"/>
    </row>
    <row r="342" spans="2:16" x14ac:dyDescent="0.25">
      <c r="C342" s="753" t="s">
        <v>428</v>
      </c>
      <c r="D342" s="754"/>
      <c r="E342" s="86">
        <f>E339-E340</f>
        <v>0</v>
      </c>
      <c r="F342" s="86">
        <f>F339-F340</f>
        <v>0</v>
      </c>
      <c r="G342" s="86">
        <f>F342-E342</f>
        <v>0</v>
      </c>
      <c r="H342" s="86">
        <f>H339-H340</f>
        <v>0</v>
      </c>
      <c r="I342" s="86">
        <f>SUM('F13-Year(n)'!E313:J313)</f>
        <v>0</v>
      </c>
      <c r="J342" s="86">
        <f>SUM('F13-Year(n)'!J313:P313)</f>
        <v>0</v>
      </c>
      <c r="K342" s="86">
        <f>I342+J342</f>
        <v>0</v>
      </c>
      <c r="L342" s="86">
        <f>'F13-Year(n+2)'!Q347</f>
        <v>0</v>
      </c>
      <c r="M342" s="86" t="e">
        <f>#REF!</f>
        <v>#REF!</v>
      </c>
      <c r="N342" s="86">
        <f>'F13-Year(n+3)'!Q349</f>
        <v>0</v>
      </c>
      <c r="O342" s="86">
        <f>'F13-Year(n+4)'!Q349</f>
        <v>0</v>
      </c>
      <c r="P342" s="86">
        <f>'F13-Year(n+5)'!Q349</f>
        <v>0</v>
      </c>
    </row>
    <row r="343" spans="2:16" x14ac:dyDescent="0.25">
      <c r="C343" s="753" t="s">
        <v>220</v>
      </c>
      <c r="D343" s="754"/>
      <c r="E343" s="86" t="e">
        <f>E220+E266+E275+E285+E311+E337+E342</f>
        <v>#REF!</v>
      </c>
      <c r="F343" s="86">
        <f>F220+F266+F275+F285+F311+F337+F342</f>
        <v>5614.738638192498</v>
      </c>
      <c r="G343" s="86" t="e">
        <f>F343-E343</f>
        <v>#REF!</v>
      </c>
      <c r="H343" s="86" t="e">
        <f>H220+H266+H275+H285+H311+H337+H342</f>
        <v>#REF!</v>
      </c>
      <c r="I343" s="86">
        <f>I220+I266+I275+I285+I311+I337+I342</f>
        <v>1574.2569542619681</v>
      </c>
      <c r="J343" s="86">
        <f>J220+J266+J275+J285+J311+J337+J342</f>
        <v>1694.409181267469</v>
      </c>
      <c r="K343" s="86">
        <f>I343+J343</f>
        <v>3268.6661355294373</v>
      </c>
      <c r="L343" s="86">
        <f>'F13-Year(n+2)'!Q348</f>
        <v>5768.7328111972211</v>
      </c>
      <c r="M343" s="86" t="e">
        <f>#REF!</f>
        <v>#REF!</v>
      </c>
      <c r="N343" s="86">
        <f>'F13-Year(n+3)'!Q350</f>
        <v>6555.4008472862279</v>
      </c>
      <c r="O343" s="86">
        <f>'F13-Year(n+4)'!Q350</f>
        <v>6970.4186991319139</v>
      </c>
      <c r="P343" s="86">
        <f>'F13-Year(n+5)'!Q350</f>
        <v>6984.9429912656096</v>
      </c>
    </row>
    <row r="345" spans="2:16" x14ac:dyDescent="0.25">
      <c r="C345" s="22" t="s">
        <v>645</v>
      </c>
      <c r="I345" s="25"/>
      <c r="K345" s="64"/>
      <c r="L345" s="124"/>
      <c r="M345" s="124"/>
      <c r="N345" s="124"/>
      <c r="O345" s="124"/>
      <c r="P345" s="124"/>
    </row>
    <row r="346" spans="2:16" x14ac:dyDescent="0.25">
      <c r="B346" s="14"/>
      <c r="C346" s="14"/>
      <c r="D346" s="57"/>
      <c r="E346" s="57"/>
      <c r="F346" s="57"/>
      <c r="G346" s="57"/>
      <c r="H346" s="57"/>
      <c r="I346" s="57"/>
      <c r="J346" s="57"/>
      <c r="K346" s="57"/>
      <c r="L346" s="25" t="s">
        <v>229</v>
      </c>
      <c r="P346" s="15" t="s">
        <v>3</v>
      </c>
    </row>
    <row r="347" spans="2:16" ht="15" hidden="1" customHeight="1" x14ac:dyDescent="0.25">
      <c r="B347" s="60"/>
      <c r="C347" s="827" t="s">
        <v>346</v>
      </c>
      <c r="D347" s="762" t="s">
        <v>347</v>
      </c>
      <c r="E347" s="755" t="s">
        <v>299</v>
      </c>
      <c r="F347" s="756"/>
      <c r="G347" s="757"/>
      <c r="H347" s="755" t="s">
        <v>300</v>
      </c>
      <c r="I347" s="756"/>
      <c r="J347" s="756"/>
      <c r="K347" s="756"/>
      <c r="L347" s="768" t="s">
        <v>9</v>
      </c>
      <c r="M347" s="768"/>
      <c r="N347" s="768"/>
      <c r="O347" s="768"/>
      <c r="P347" s="768"/>
    </row>
    <row r="348" spans="2:16" ht="27.6" x14ac:dyDescent="0.25">
      <c r="B348" s="60"/>
      <c r="C348" s="828"/>
      <c r="D348" s="764"/>
      <c r="E348" s="7" t="s">
        <v>10</v>
      </c>
      <c r="F348" s="7" t="s">
        <v>11</v>
      </c>
      <c r="G348" s="7" t="s">
        <v>12</v>
      </c>
      <c r="H348" s="7" t="s">
        <v>10</v>
      </c>
      <c r="I348" s="7" t="s">
        <v>13</v>
      </c>
      <c r="J348" s="7" t="s">
        <v>14</v>
      </c>
      <c r="K348" s="7" t="s">
        <v>15</v>
      </c>
      <c r="L348" s="514" t="s">
        <v>1236</v>
      </c>
      <c r="M348" s="7" t="s">
        <v>17</v>
      </c>
      <c r="N348" s="7" t="s">
        <v>18</v>
      </c>
      <c r="O348" s="7" t="s">
        <v>19</v>
      </c>
      <c r="P348" s="7" t="s">
        <v>20</v>
      </c>
    </row>
    <row r="349" spans="2:16" ht="15" customHeight="1" x14ac:dyDescent="0.25">
      <c r="B349" s="60"/>
      <c r="C349" s="829"/>
      <c r="D349" s="766"/>
      <c r="E349" s="7" t="s">
        <v>21</v>
      </c>
      <c r="F349" s="7" t="s">
        <v>22</v>
      </c>
      <c r="G349" s="7" t="s">
        <v>23</v>
      </c>
      <c r="H349" s="7" t="s">
        <v>21</v>
      </c>
      <c r="I349" s="7" t="s">
        <v>24</v>
      </c>
      <c r="J349" s="7" t="s">
        <v>25</v>
      </c>
      <c r="K349" s="7" t="s">
        <v>25</v>
      </c>
      <c r="L349" s="7" t="s">
        <v>26</v>
      </c>
      <c r="M349" s="7" t="s">
        <v>26</v>
      </c>
      <c r="N349" s="7" t="s">
        <v>26</v>
      </c>
      <c r="O349" s="7" t="s">
        <v>26</v>
      </c>
      <c r="P349" s="7" t="s">
        <v>26</v>
      </c>
    </row>
    <row r="350" spans="2:16" x14ac:dyDescent="0.25">
      <c r="B350" s="60"/>
      <c r="C350" s="800" t="s">
        <v>348</v>
      </c>
      <c r="D350" s="801"/>
      <c r="E350" s="59"/>
      <c r="F350" s="59"/>
      <c r="G350" s="58"/>
      <c r="H350" s="59"/>
      <c r="I350" s="17"/>
      <c r="J350" s="17"/>
      <c r="K350" s="17"/>
      <c r="L350" s="17"/>
      <c r="M350" s="17"/>
      <c r="N350" s="17"/>
      <c r="O350" s="17"/>
      <c r="P350" s="17"/>
    </row>
    <row r="351" spans="2:16" x14ac:dyDescent="0.25">
      <c r="C351" s="753" t="s">
        <v>349</v>
      </c>
      <c r="D351" s="754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</row>
    <row r="352" spans="2:16" ht="14.25" customHeight="1" x14ac:dyDescent="0.25">
      <c r="B352" s="60"/>
      <c r="C352" s="802" t="s">
        <v>350</v>
      </c>
      <c r="D352" s="59" t="s">
        <v>351</v>
      </c>
      <c r="E352" s="109">
        <f>'[48]PP Cost'!K78</f>
        <v>250.43985499999999</v>
      </c>
      <c r="F352" s="109">
        <f>'F13-Year(n-1)'!Q352</f>
        <v>309.40296200728176</v>
      </c>
      <c r="G352" s="109"/>
      <c r="H352" s="109">
        <f>'[49]PP Cost'!K80</f>
        <v>247.77168499999999</v>
      </c>
      <c r="I352" s="66">
        <f>SUM('F13-Year(n)'!E350:J350)+SUM('F13-Year(n)'!E519:J519)</f>
        <v>187.12015262538677</v>
      </c>
      <c r="J352" s="66">
        <f>SUM('F13-Year(n)'!K350:P350)+SUM('F13-Year(n)'!K519:P519)</f>
        <v>192.59732947668834</v>
      </c>
      <c r="K352" s="66">
        <f t="shared" ref="K352:K370" si="18">I352+J352</f>
        <v>379.71748210207511</v>
      </c>
      <c r="L352" s="66">
        <f>'F13-Year(n+2)'!Q357</f>
        <v>282.22413370111212</v>
      </c>
      <c r="M352" s="66" t="e">
        <f>#REF!</f>
        <v>#REF!</v>
      </c>
      <c r="N352" s="66">
        <f>'F13-Year(n+3)'!Q359</f>
        <v>286.4799617627591</v>
      </c>
      <c r="O352" s="66">
        <f>'F13-Year(n+4)'!Q359</f>
        <v>305.01324363094528</v>
      </c>
      <c r="P352" s="66">
        <f>'F13-Year(n+5)'!Q359</f>
        <v>345.25179784981202</v>
      </c>
    </row>
    <row r="353" spans="2:16" x14ac:dyDescent="0.25">
      <c r="B353" s="60"/>
      <c r="C353" s="803"/>
      <c r="D353" s="59" t="s">
        <v>352</v>
      </c>
      <c r="E353" s="109">
        <f>'[48]PP Cost'!K79</f>
        <v>260.90638499999994</v>
      </c>
      <c r="F353" s="109">
        <f>'F13-Year(n-1)'!Q353</f>
        <v>347.00969247511341</v>
      </c>
      <c r="G353" s="109"/>
      <c r="H353" s="109">
        <f>'[49]PP Cost'!K81</f>
        <v>245.17713999999998</v>
      </c>
      <c r="I353" s="66">
        <f>SUM('F13-Year(n)'!E351:J351)+SUM('F13-Year(n)'!E520:J520)</f>
        <v>200.46852386204768</v>
      </c>
      <c r="J353" s="66">
        <f>SUM('F13-Year(n)'!K351:P351)+SUM('F13-Year(n)'!K520:P520)</f>
        <v>170.51203419310917</v>
      </c>
      <c r="K353" s="66">
        <f t="shared" si="18"/>
        <v>370.98055805515685</v>
      </c>
      <c r="L353" s="66">
        <f>'F13-Year(n+2)'!Q358</f>
        <v>293.81242557413987</v>
      </c>
      <c r="M353" s="66" t="e">
        <f>#REF!</f>
        <v>#REF!</v>
      </c>
      <c r="N353" s="66">
        <f>'F13-Year(n+3)'!Q360</f>
        <v>253.76110504823629</v>
      </c>
      <c r="O353" s="66">
        <f>'F13-Year(n+4)'!Q360</f>
        <v>274.47518101883549</v>
      </c>
      <c r="P353" s="66">
        <f>'F13-Year(n+5)'!Q360</f>
        <v>311.5801141401347</v>
      </c>
    </row>
    <row r="354" spans="2:16" x14ac:dyDescent="0.25">
      <c r="B354" s="60"/>
      <c r="C354" s="803"/>
      <c r="D354" s="59" t="s">
        <v>353</v>
      </c>
      <c r="E354" s="109">
        <f>'[48]PP Cost'!K80</f>
        <v>400.493495</v>
      </c>
      <c r="F354" s="109">
        <f>'F13-Year(n-1)'!Q354</f>
        <v>330.16667305385323</v>
      </c>
      <c r="G354" s="109"/>
      <c r="H354" s="109">
        <f>'[49]PP Cost'!K82</f>
        <v>379.91383499999995</v>
      </c>
      <c r="I354" s="66">
        <f>SUM('F13-Year(n)'!E352:J352)+SUM('F13-Year(n)'!E521:J521)</f>
        <v>300.63568126064035</v>
      </c>
      <c r="J354" s="66">
        <f>SUM('F13-Year(n)'!K352:P352)+SUM('F13-Year(n)'!K521:P521)</f>
        <v>292.44568864161221</v>
      </c>
      <c r="K354" s="66">
        <f t="shared" si="18"/>
        <v>593.08136990225262</v>
      </c>
      <c r="L354" s="66">
        <f>'F13-Year(n+2)'!Q359</f>
        <v>446.89320613294262</v>
      </c>
      <c r="M354" s="66" t="e">
        <f>#REF!</f>
        <v>#REF!</v>
      </c>
      <c r="N354" s="66">
        <f>'F13-Year(n+3)'!Q361</f>
        <v>407.4802522923186</v>
      </c>
      <c r="O354" s="66">
        <f>'F13-Year(n+4)'!Q361</f>
        <v>438.13835517242921</v>
      </c>
      <c r="P354" s="66">
        <f>'F13-Year(n+5)'!Q361</f>
        <v>499.12183845708432</v>
      </c>
    </row>
    <row r="355" spans="2:16" x14ac:dyDescent="0.25">
      <c r="B355" s="60"/>
      <c r="C355" s="803"/>
      <c r="D355" s="59" t="s">
        <v>354</v>
      </c>
      <c r="E355" s="109">
        <f>'[48]PP Cost'!K81</f>
        <v>32.52458</v>
      </c>
      <c r="F355" s="109">
        <f>'F13-Year(n-1)'!Q355</f>
        <v>27.896802337389552</v>
      </c>
      <c r="G355" s="109"/>
      <c r="H355" s="109">
        <f>'[49]PP Cost'!K83</f>
        <v>27.108724999999996</v>
      </c>
      <c r="I355" s="66">
        <f>SUM('F13-Year(n)'!E353:J353)+SUM('F13-Year(n)'!E522:J522)</f>
        <v>16.173781459429133</v>
      </c>
      <c r="J355" s="66">
        <f>SUM('F13-Year(n)'!K353:P353)+SUM('F13-Year(n)'!K522:P522)</f>
        <v>14.210457867902072</v>
      </c>
      <c r="K355" s="66">
        <f t="shared" si="18"/>
        <v>30.384239327331205</v>
      </c>
      <c r="L355" s="66">
        <f>'F13-Year(n+2)'!Q360</f>
        <v>0</v>
      </c>
      <c r="M355" s="66" t="e">
        <f>#REF!</f>
        <v>#REF!</v>
      </c>
      <c r="N355" s="66">
        <f>'F13-Year(n+3)'!Q362</f>
        <v>37.095145236598711</v>
      </c>
      <c r="O355" s="66">
        <f>'F13-Year(n+4)'!Q362</f>
        <v>39.706260414269501</v>
      </c>
      <c r="P355" s="66">
        <f>'F13-Year(n+5)'!Q362</f>
        <v>45.402235876887069</v>
      </c>
    </row>
    <row r="356" spans="2:16" x14ac:dyDescent="0.25">
      <c r="B356" s="60"/>
      <c r="C356" s="803"/>
      <c r="D356" s="59" t="s">
        <v>355</v>
      </c>
      <c r="E356" s="109">
        <f>'[48]PP Cost'!K82</f>
        <v>285.40878499999997</v>
      </c>
      <c r="F356" s="109">
        <f>'F13-Year(n-1)'!Q356</f>
        <v>295.19480947589744</v>
      </c>
      <c r="G356" s="109"/>
      <c r="H356" s="109">
        <f>'[49]PP Cost'!K84</f>
        <v>236.51294999999999</v>
      </c>
      <c r="I356" s="66">
        <f>SUM('F13-Year(n)'!E354:J354)+SUM('F13-Year(n)'!E523:J523)</f>
        <v>176.4316662005275</v>
      </c>
      <c r="J356" s="66">
        <f>SUM('F13-Year(n)'!K354:P354)+SUM('F13-Year(n)'!K523:P523)</f>
        <v>187.48829163438</v>
      </c>
      <c r="K356" s="66">
        <f t="shared" si="18"/>
        <v>363.91995783490751</v>
      </c>
      <c r="L356" s="66">
        <f>'F13-Year(n+2)'!Q361</f>
        <v>279.35954201916365</v>
      </c>
      <c r="M356" s="66" t="e">
        <f>#REF!</f>
        <v>#REF!</v>
      </c>
      <c r="N356" s="66">
        <f>'F13-Year(n+3)'!Q363</f>
        <v>279.84306764524405</v>
      </c>
      <c r="O356" s="66">
        <f>'F13-Year(n+4)'!Q363</f>
        <v>305.32879140793989</v>
      </c>
      <c r="P356" s="66">
        <f>'F13-Year(n+5)'!Q363</f>
        <v>322.44562295926687</v>
      </c>
    </row>
    <row r="357" spans="2:16" x14ac:dyDescent="0.25">
      <c r="B357" s="60"/>
      <c r="C357" s="803"/>
      <c r="D357" s="59" t="s">
        <v>356</v>
      </c>
      <c r="E357" s="109">
        <f>'[48]PP Cost'!K83</f>
        <v>336.82259499999998</v>
      </c>
      <c r="F357" s="109">
        <f>'F13-Year(n-1)'!Q357</f>
        <v>401.19427886269199</v>
      </c>
      <c r="G357" s="109"/>
      <c r="H357" s="109">
        <f>'[49]PP Cost'!K85</f>
        <v>310.517855</v>
      </c>
      <c r="I357" s="66">
        <f>SUM('F13-Year(n)'!E355:J355)+SUM('F13-Year(n)'!E524:J524)</f>
        <v>206.35720790210704</v>
      </c>
      <c r="J357" s="66">
        <f>SUM('F13-Year(n)'!K355:P355)+SUM('F13-Year(n)'!K524:P524)</f>
        <v>219.27136867855484</v>
      </c>
      <c r="K357" s="66">
        <f t="shared" si="18"/>
        <v>425.62857658066184</v>
      </c>
      <c r="L357" s="66">
        <f>'F13-Year(n+2)'!Q362</f>
        <v>381.359633796531</v>
      </c>
      <c r="M357" s="66" t="e">
        <f>#REF!</f>
        <v>#REF!</v>
      </c>
      <c r="N357" s="66">
        <f>'F13-Year(n+3)'!Q364</f>
        <v>322.42793744728704</v>
      </c>
      <c r="O357" s="66">
        <f>'F13-Year(n+4)'!Q364</f>
        <v>348.27940209338306</v>
      </c>
      <c r="P357" s="66">
        <f>'F13-Year(n+5)'!Q364</f>
        <v>392.06249187819873</v>
      </c>
    </row>
    <row r="358" spans="2:16" x14ac:dyDescent="0.25">
      <c r="B358" s="60"/>
      <c r="C358" s="803"/>
      <c r="D358" s="59" t="s">
        <v>357</v>
      </c>
      <c r="E358" s="109">
        <f>'[48]PP Cost'!K84</f>
        <v>512.31219999999996</v>
      </c>
      <c r="F358" s="109">
        <f>'F13-Year(n-1)'!Q358</f>
        <v>466.6135738430786</v>
      </c>
      <c r="G358" s="109"/>
      <c r="H358" s="109">
        <f>'[49]PP Cost'!K86</f>
        <v>504.92908499999999</v>
      </c>
      <c r="I358" s="66">
        <f>SUM('F13-Year(n)'!E356:J356)+SUM('F13-Year(n)'!E525:J525)</f>
        <v>279.85093357491297</v>
      </c>
      <c r="J358" s="66">
        <f>SUM('F13-Year(n)'!K356:P356)+SUM('F13-Year(n)'!K525:P525)</f>
        <v>337.0083341351741</v>
      </c>
      <c r="K358" s="66">
        <f t="shared" si="18"/>
        <v>616.85926771008712</v>
      </c>
      <c r="L358" s="66">
        <f>'F13-Year(n+2)'!Q363</f>
        <v>749.65809296795805</v>
      </c>
      <c r="M358" s="66" t="e">
        <f>#REF!</f>
        <v>#REF!</v>
      </c>
      <c r="N358" s="66">
        <f>'F13-Year(n+3)'!Q365</f>
        <v>600.70215164141575</v>
      </c>
      <c r="O358" s="66">
        <f>'F13-Year(n+4)'!Q365</f>
        <v>650.83755665699528</v>
      </c>
      <c r="P358" s="66">
        <f>'F13-Year(n+5)'!Q365</f>
        <v>724.83502516604756</v>
      </c>
    </row>
    <row r="359" spans="2:16" x14ac:dyDescent="0.25">
      <c r="B359" s="60"/>
      <c r="C359" s="803"/>
      <c r="D359" s="59" t="s">
        <v>358</v>
      </c>
      <c r="E359" s="109" t="e">
        <f>'[48]PP Cost'!K85</f>
        <v>#REF!</v>
      </c>
      <c r="F359" s="109">
        <f>'F13-Year(n-1)'!Q359</f>
        <v>0</v>
      </c>
      <c r="G359" s="109"/>
      <c r="H359" s="109">
        <f>'[49]PP Cost'!K87</f>
        <v>63.020054999999999</v>
      </c>
      <c r="I359" s="66">
        <f>SUM('F13-Year(n)'!E357:J357)+SUM('F13-Year(n)'!E526:J526)</f>
        <v>0</v>
      </c>
      <c r="J359" s="66">
        <f>SUM('F13-Year(n)'!K357:P357)+SUM('F13-Year(n)'!K526:P526)</f>
        <v>0</v>
      </c>
      <c r="K359" s="66">
        <f t="shared" si="18"/>
        <v>0</v>
      </c>
      <c r="L359" s="66">
        <f>'F13-Year(n+2)'!Q364</f>
        <v>2476.4694611515979</v>
      </c>
      <c r="M359" s="66" t="e">
        <f>#REF!</f>
        <v>#REF!</v>
      </c>
      <c r="N359" s="66">
        <f>'F13-Year(n+3)'!Q366</f>
        <v>1822.1227426890946</v>
      </c>
      <c r="O359" s="66">
        <f>'F13-Year(n+4)'!Q366</f>
        <v>1977.7761459627309</v>
      </c>
      <c r="P359" s="66">
        <f>'F13-Year(n+5)'!Q366</f>
        <v>2181.5484912293291</v>
      </c>
    </row>
    <row r="360" spans="2:16" x14ac:dyDescent="0.25">
      <c r="B360" s="60"/>
      <c r="C360" s="803"/>
      <c r="D360" s="325" t="s">
        <v>620</v>
      </c>
      <c r="E360" s="109"/>
      <c r="F360" s="109">
        <f>'F13-Year(n-1)'!Q360</f>
        <v>0</v>
      </c>
      <c r="G360" s="109"/>
      <c r="H360" s="109"/>
      <c r="I360" s="66">
        <f>SUM('F13-Year(n)'!E358:J358)+SUM('F13-Year(n)'!E527:J527)</f>
        <v>0</v>
      </c>
      <c r="J360" s="66">
        <f>SUM('F13-Year(n)'!K358:P358)+SUM('F13-Year(n)'!K527:P527)</f>
        <v>0</v>
      </c>
      <c r="K360" s="66">
        <f t="shared" si="18"/>
        <v>0</v>
      </c>
      <c r="L360" s="66">
        <f>'F13-Year(n+2)'!Q365</f>
        <v>0</v>
      </c>
      <c r="M360" s="66" t="e">
        <f>#REF!</f>
        <v>#REF!</v>
      </c>
      <c r="N360" s="66">
        <f>'F13-Year(n+3)'!Q367</f>
        <v>0</v>
      </c>
      <c r="O360" s="66">
        <f>'F13-Year(n+4)'!Q367</f>
        <v>0</v>
      </c>
      <c r="P360" s="66">
        <f>'F13-Year(n+5)'!Q367</f>
        <v>0</v>
      </c>
    </row>
    <row r="361" spans="2:16" hidden="1" x14ac:dyDescent="0.25">
      <c r="B361" s="60"/>
      <c r="C361" s="803"/>
      <c r="D361" s="59"/>
      <c r="E361" s="109"/>
      <c r="F361" s="109">
        <f>'F13-Year(n-1)'!Q361</f>
        <v>0</v>
      </c>
      <c r="G361" s="109"/>
      <c r="H361" s="109"/>
      <c r="I361" s="66">
        <f>SUM('F13-Year(n)'!E359:J359)+SUM('F13-Year(n)'!E528:J528)</f>
        <v>0</v>
      </c>
      <c r="J361" s="66">
        <f>SUM('F13-Year(n)'!K359:P359)+SUM('F13-Year(n)'!K528:P528)</f>
        <v>0</v>
      </c>
      <c r="K361" s="66">
        <f t="shared" si="18"/>
        <v>0</v>
      </c>
      <c r="L361" s="66">
        <f>'F13-Year(n+2)'!Q366</f>
        <v>0</v>
      </c>
      <c r="M361" s="66" t="e">
        <f>#REF!</f>
        <v>#REF!</v>
      </c>
      <c r="N361" s="66">
        <f>'F13-Year(n+3)'!Q368</f>
        <v>0</v>
      </c>
      <c r="O361" s="66">
        <f>'F13-Year(n+4)'!Q368</f>
        <v>0</v>
      </c>
      <c r="P361" s="66">
        <f>'F13-Year(n+5)'!Q368</f>
        <v>0</v>
      </c>
    </row>
    <row r="362" spans="2:16" hidden="1" x14ac:dyDescent="0.25">
      <c r="B362" s="60"/>
      <c r="C362" s="803"/>
      <c r="D362" s="59"/>
      <c r="E362" s="109"/>
      <c r="F362" s="109">
        <f>'F13-Year(n-1)'!Q362</f>
        <v>0</v>
      </c>
      <c r="G362" s="109"/>
      <c r="H362" s="109"/>
      <c r="I362" s="66">
        <f>SUM('F13-Year(n)'!E360:J360)+SUM('F13-Year(n)'!E529:J529)</f>
        <v>0</v>
      </c>
      <c r="J362" s="66">
        <f>SUM('F13-Year(n)'!K360:P360)+SUM('F13-Year(n)'!K529:P529)</f>
        <v>0</v>
      </c>
      <c r="K362" s="66">
        <f t="shared" si="18"/>
        <v>0</v>
      </c>
      <c r="L362" s="66">
        <f>'F13-Year(n+2)'!Q367</f>
        <v>0</v>
      </c>
      <c r="M362" s="66" t="e">
        <f>#REF!</f>
        <v>#REF!</v>
      </c>
      <c r="N362" s="66">
        <f>'F13-Year(n+3)'!Q369</f>
        <v>0</v>
      </c>
      <c r="O362" s="66">
        <f>'F13-Year(n+4)'!Q369</f>
        <v>0</v>
      </c>
      <c r="P362" s="66">
        <f>'F13-Year(n+5)'!Q369</f>
        <v>0</v>
      </c>
    </row>
    <row r="363" spans="2:16" hidden="1" x14ac:dyDescent="0.25">
      <c r="B363" s="60"/>
      <c r="C363" s="803"/>
      <c r="D363" s="59"/>
      <c r="E363" s="109"/>
      <c r="F363" s="109">
        <f>'F13-Year(n-1)'!Q363</f>
        <v>0</v>
      </c>
      <c r="G363" s="109"/>
      <c r="H363" s="109"/>
      <c r="I363" s="66">
        <f>SUM('F13-Year(n)'!E361:J361)+SUM('F13-Year(n)'!E530:J530)</f>
        <v>0</v>
      </c>
      <c r="J363" s="66">
        <f>SUM('F13-Year(n)'!K361:P361)+SUM('F13-Year(n)'!K530:P530)</f>
        <v>0</v>
      </c>
      <c r="K363" s="66">
        <f t="shared" si="18"/>
        <v>0</v>
      </c>
      <c r="L363" s="66">
        <f>'F13-Year(n+2)'!Q368</f>
        <v>0</v>
      </c>
      <c r="M363" s="66" t="e">
        <f>#REF!</f>
        <v>#REF!</v>
      </c>
      <c r="N363" s="66">
        <f>'F13-Year(n+3)'!Q370</f>
        <v>0</v>
      </c>
      <c r="O363" s="66">
        <f>'F13-Year(n+4)'!Q370</f>
        <v>0</v>
      </c>
      <c r="P363" s="66">
        <f>'F13-Year(n+5)'!Q370</f>
        <v>0</v>
      </c>
    </row>
    <row r="364" spans="2:16" hidden="1" x14ac:dyDescent="0.25">
      <c r="B364" s="60"/>
      <c r="C364" s="803"/>
      <c r="D364" s="59"/>
      <c r="E364" s="109"/>
      <c r="F364" s="109">
        <f>'F13-Year(n-1)'!Q364</f>
        <v>0</v>
      </c>
      <c r="G364" s="109"/>
      <c r="H364" s="109"/>
      <c r="I364" s="66">
        <f>SUM('F13-Year(n)'!E362:J362)+SUM('F13-Year(n)'!E531:J531)</f>
        <v>0</v>
      </c>
      <c r="J364" s="66">
        <f>SUM('F13-Year(n)'!K362:P362)+SUM('F13-Year(n)'!K531:P531)</f>
        <v>0</v>
      </c>
      <c r="K364" s="66">
        <f t="shared" si="18"/>
        <v>0</v>
      </c>
      <c r="L364" s="66">
        <f>'F13-Year(n+2)'!Q369</f>
        <v>0</v>
      </c>
      <c r="M364" s="66" t="e">
        <f>#REF!</f>
        <v>#REF!</v>
      </c>
      <c r="N364" s="66">
        <f>'F13-Year(n+3)'!Q371</f>
        <v>0</v>
      </c>
      <c r="O364" s="66">
        <f>'F13-Year(n+4)'!Q371</f>
        <v>0</v>
      </c>
      <c r="P364" s="66">
        <f>'F13-Year(n+5)'!Q371</f>
        <v>0</v>
      </c>
    </row>
    <row r="365" spans="2:16" hidden="1" x14ac:dyDescent="0.25">
      <c r="B365" s="60"/>
      <c r="C365" s="803"/>
      <c r="D365" s="59"/>
      <c r="E365" s="109"/>
      <c r="F365" s="109">
        <f>'F13-Year(n-1)'!Q365</f>
        <v>0</v>
      </c>
      <c r="G365" s="109"/>
      <c r="H365" s="109"/>
      <c r="I365" s="66">
        <f>SUM('F13-Year(n)'!E363:J363)+SUM('F13-Year(n)'!E532:J532)</f>
        <v>0</v>
      </c>
      <c r="J365" s="66">
        <f>SUM('F13-Year(n)'!K363:P363)+SUM('F13-Year(n)'!K532:P532)</f>
        <v>0</v>
      </c>
      <c r="K365" s="66">
        <f t="shared" si="18"/>
        <v>0</v>
      </c>
      <c r="L365" s="66">
        <f>'F13-Year(n+2)'!Q370</f>
        <v>0</v>
      </c>
      <c r="M365" s="66" t="e">
        <f>#REF!</f>
        <v>#REF!</v>
      </c>
      <c r="N365" s="66">
        <f>'F13-Year(n+3)'!Q372</f>
        <v>0</v>
      </c>
      <c r="O365" s="66">
        <f>'F13-Year(n+4)'!Q372</f>
        <v>0</v>
      </c>
      <c r="P365" s="66">
        <f>'F13-Year(n+5)'!Q372</f>
        <v>0</v>
      </c>
    </row>
    <row r="366" spans="2:16" hidden="1" x14ac:dyDescent="0.25">
      <c r="B366" s="60"/>
      <c r="C366" s="803"/>
      <c r="D366" s="59"/>
      <c r="E366" s="109"/>
      <c r="F366" s="109">
        <f>'F13-Year(n-1)'!Q366</f>
        <v>0</v>
      </c>
      <c r="G366" s="109"/>
      <c r="H366" s="109"/>
      <c r="I366" s="66">
        <f>SUM('F13-Year(n)'!E364:J364)+SUM('F13-Year(n)'!E533:J533)</f>
        <v>0</v>
      </c>
      <c r="J366" s="66">
        <f>SUM('F13-Year(n)'!K364:P364)+SUM('F13-Year(n)'!K533:P533)</f>
        <v>0</v>
      </c>
      <c r="K366" s="66">
        <f t="shared" si="18"/>
        <v>0</v>
      </c>
      <c r="L366" s="66">
        <f>'F13-Year(n+2)'!Q371</f>
        <v>0</v>
      </c>
      <c r="M366" s="66" t="e">
        <f>#REF!</f>
        <v>#REF!</v>
      </c>
      <c r="N366" s="66">
        <f>'F13-Year(n+3)'!Q373</f>
        <v>0</v>
      </c>
      <c r="O366" s="66">
        <f>'F13-Year(n+4)'!Q373</f>
        <v>0</v>
      </c>
      <c r="P366" s="66">
        <f>'F13-Year(n+5)'!Q373</f>
        <v>0</v>
      </c>
    </row>
    <row r="367" spans="2:16" hidden="1" x14ac:dyDescent="0.25">
      <c r="B367" s="60"/>
      <c r="C367" s="803"/>
      <c r="D367" s="59"/>
      <c r="E367" s="109"/>
      <c r="F367" s="109">
        <f>'F13-Year(n-1)'!Q367</f>
        <v>0</v>
      </c>
      <c r="G367" s="109"/>
      <c r="H367" s="109"/>
      <c r="I367" s="66">
        <f>SUM('F13-Year(n)'!E365:J365)+SUM('F13-Year(n)'!E534:J534)</f>
        <v>0</v>
      </c>
      <c r="J367" s="66">
        <f>SUM('F13-Year(n)'!K365:P365)+SUM('F13-Year(n)'!K534:P534)</f>
        <v>0</v>
      </c>
      <c r="K367" s="66">
        <f t="shared" si="18"/>
        <v>0</v>
      </c>
      <c r="L367" s="66">
        <f>'F13-Year(n+2)'!Q372</f>
        <v>0</v>
      </c>
      <c r="M367" s="66" t="e">
        <f>#REF!</f>
        <v>#REF!</v>
      </c>
      <c r="N367" s="66">
        <f>'F13-Year(n+3)'!Q374</f>
        <v>0</v>
      </c>
      <c r="O367" s="66">
        <f>'F13-Year(n+4)'!Q374</f>
        <v>0</v>
      </c>
      <c r="P367" s="66">
        <f>'F13-Year(n+5)'!Q374</f>
        <v>0</v>
      </c>
    </row>
    <row r="368" spans="2:16" hidden="1" x14ac:dyDescent="0.25">
      <c r="B368" s="60"/>
      <c r="C368" s="803"/>
      <c r="D368" s="59"/>
      <c r="E368" s="109"/>
      <c r="F368" s="109">
        <f>'F13-Year(n-1)'!Q368</f>
        <v>0</v>
      </c>
      <c r="G368" s="109"/>
      <c r="H368" s="109"/>
      <c r="I368" s="66">
        <f>SUM('F13-Year(n)'!E366:J366)+SUM('F13-Year(n)'!E535:J535)</f>
        <v>0</v>
      </c>
      <c r="J368" s="66">
        <f>SUM('F13-Year(n)'!K366:P366)+SUM('F13-Year(n)'!K535:P535)</f>
        <v>0</v>
      </c>
      <c r="K368" s="66">
        <f t="shared" si="18"/>
        <v>0</v>
      </c>
      <c r="L368" s="66">
        <f>'F13-Year(n+2)'!Q373</f>
        <v>0</v>
      </c>
      <c r="M368" s="66" t="e">
        <f>#REF!</f>
        <v>#REF!</v>
      </c>
      <c r="N368" s="66">
        <f>'F13-Year(n+3)'!Q375</f>
        <v>0</v>
      </c>
      <c r="O368" s="66">
        <f>'F13-Year(n+4)'!Q375</f>
        <v>0</v>
      </c>
      <c r="P368" s="66">
        <f>'F13-Year(n+5)'!Q375</f>
        <v>0</v>
      </c>
    </row>
    <row r="369" spans="2:16" hidden="1" x14ac:dyDescent="0.25">
      <c r="B369" s="60"/>
      <c r="C369" s="804"/>
      <c r="D369" s="59"/>
      <c r="E369" s="109"/>
      <c r="F369" s="109">
        <f>'F13-Year(n-1)'!Q369</f>
        <v>0</v>
      </c>
      <c r="G369" s="109"/>
      <c r="H369" s="109"/>
      <c r="I369" s="66">
        <f>SUM('F13-Year(n)'!E367:J367)+SUM('F13-Year(n)'!E536:J536)</f>
        <v>0</v>
      </c>
      <c r="J369" s="66">
        <f>SUM('F13-Year(n)'!K367:P367)+SUM('F13-Year(n)'!K536:P536)</f>
        <v>0</v>
      </c>
      <c r="K369" s="66">
        <f t="shared" si="18"/>
        <v>0</v>
      </c>
      <c r="L369" s="66">
        <f>'F13-Year(n+2)'!Q374</f>
        <v>0</v>
      </c>
      <c r="M369" s="66" t="e">
        <f>#REF!</f>
        <v>#REF!</v>
      </c>
      <c r="N369" s="66">
        <f>'F13-Year(n+3)'!Q376</f>
        <v>0</v>
      </c>
      <c r="O369" s="66">
        <f>'F13-Year(n+4)'!Q376</f>
        <v>0</v>
      </c>
      <c r="P369" s="66">
        <f>'F13-Year(n+5)'!Q376</f>
        <v>0</v>
      </c>
    </row>
    <row r="370" spans="2:16" x14ac:dyDescent="0.25">
      <c r="C370" s="751" t="s">
        <v>212</v>
      </c>
      <c r="D370" s="752"/>
      <c r="E370" s="86" t="e">
        <f>SUM(E352:E369)</f>
        <v>#REF!</v>
      </c>
      <c r="F370" s="86">
        <f>SUM(F352:F369)</f>
        <v>2177.4787920553063</v>
      </c>
      <c r="G370" s="86" t="e">
        <f>F370-E370</f>
        <v>#REF!</v>
      </c>
      <c r="H370" s="86">
        <f>SUM(H352:H369)</f>
        <v>2014.9513299999999</v>
      </c>
      <c r="I370" s="86">
        <f>SUM(I352:I369)</f>
        <v>1367.0379468850515</v>
      </c>
      <c r="J370" s="86">
        <f>SUM(J352:J369)</f>
        <v>1413.5335046274208</v>
      </c>
      <c r="K370" s="86">
        <f t="shared" si="18"/>
        <v>2780.5714515124723</v>
      </c>
      <c r="L370" s="86">
        <f>'F13-Year(n+2)'!Q375</f>
        <v>4909.7764953434444</v>
      </c>
      <c r="M370" s="86" t="e">
        <f>#REF!</f>
        <v>#REF!</v>
      </c>
      <c r="N370" s="86">
        <f>'F13-Year(n+3)'!Q377</f>
        <v>4009.9123637629541</v>
      </c>
      <c r="O370" s="86">
        <f>'F13-Year(n+4)'!Q377</f>
        <v>4339.5549363575292</v>
      </c>
      <c r="P370" s="86">
        <f>'F13-Year(n+5)'!Q377</f>
        <v>4822.2476175567599</v>
      </c>
    </row>
    <row r="371" spans="2:16" x14ac:dyDescent="0.25">
      <c r="C371" s="753" t="s">
        <v>359</v>
      </c>
      <c r="D371" s="754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</row>
    <row r="372" spans="2:16" x14ac:dyDescent="0.25">
      <c r="C372" s="805" t="s">
        <v>350</v>
      </c>
      <c r="D372" s="17" t="s">
        <v>360</v>
      </c>
      <c r="E372" s="66">
        <f>'[48]PP Cost'!K87</f>
        <v>0</v>
      </c>
      <c r="F372" s="109">
        <f>'F13-Year(n-1)'!Q372</f>
        <v>0</v>
      </c>
      <c r="G372" s="66"/>
      <c r="H372" s="66">
        <f>'[49]PP Cost'!K89</f>
        <v>0</v>
      </c>
      <c r="I372" s="66">
        <f>SUM('F13-Year(n)'!E370:J370)+SUM('F13-Year(n)'!E539:J539)</f>
        <v>0</v>
      </c>
      <c r="J372" s="66">
        <f>SUM('F13-Year(n)'!K370:P370)+SUM('F13-Year(n)'!K539:P539)</f>
        <v>0</v>
      </c>
      <c r="K372" s="66">
        <f t="shared" ref="K372:K391" si="19">I372+J372</f>
        <v>0</v>
      </c>
      <c r="L372" s="66">
        <f>'F13-Year(n+2)'!Q377</f>
        <v>0</v>
      </c>
      <c r="M372" s="66" t="e">
        <f>#REF!</f>
        <v>#REF!</v>
      </c>
      <c r="N372" s="66">
        <f>'F13-Year(n+3)'!Q379</f>
        <v>0</v>
      </c>
      <c r="O372" s="66">
        <f>'F13-Year(n+4)'!Q379</f>
        <v>0</v>
      </c>
      <c r="P372" s="66">
        <f>'F13-Year(n+5)'!Q379</f>
        <v>0</v>
      </c>
    </row>
    <row r="373" spans="2:16" x14ac:dyDescent="0.25">
      <c r="C373" s="806"/>
      <c r="D373" s="17" t="s">
        <v>361</v>
      </c>
      <c r="E373" s="66">
        <f>'[48]PP Cost'!K88</f>
        <v>0</v>
      </c>
      <c r="F373" s="109">
        <f>'F13-Year(n-1)'!Q373</f>
        <v>0</v>
      </c>
      <c r="G373" s="66"/>
      <c r="H373" s="66">
        <f>'[49]PP Cost'!K90</f>
        <v>0</v>
      </c>
      <c r="I373" s="66">
        <f>SUM('F13-Year(n)'!E371:J371)+SUM('F13-Year(n)'!E540:J540)</f>
        <v>0</v>
      </c>
      <c r="J373" s="66">
        <f>SUM('F13-Year(n)'!K371:P371)+SUM('F13-Year(n)'!K540:P540)</f>
        <v>0</v>
      </c>
      <c r="K373" s="66">
        <f t="shared" si="19"/>
        <v>0</v>
      </c>
      <c r="L373" s="66">
        <f>'F13-Year(n+2)'!Q378</f>
        <v>0</v>
      </c>
      <c r="M373" s="66" t="e">
        <f>#REF!</f>
        <v>#REF!</v>
      </c>
      <c r="N373" s="66">
        <f>'F13-Year(n+3)'!Q380</f>
        <v>0</v>
      </c>
      <c r="O373" s="66">
        <f>'F13-Year(n+4)'!Q380</f>
        <v>0</v>
      </c>
      <c r="P373" s="66">
        <f>'F13-Year(n+5)'!Q380</f>
        <v>0</v>
      </c>
    </row>
    <row r="374" spans="2:16" x14ac:dyDescent="0.25">
      <c r="C374" s="806"/>
      <c r="D374" s="17" t="s">
        <v>362</v>
      </c>
      <c r="E374" s="66">
        <f>'[48]PP Cost'!K89</f>
        <v>0</v>
      </c>
      <c r="F374" s="109">
        <f>'F13-Year(n-1)'!Q374</f>
        <v>0</v>
      </c>
      <c r="G374" s="66"/>
      <c r="H374" s="66">
        <f>'[49]PP Cost'!K91</f>
        <v>0</v>
      </c>
      <c r="I374" s="66">
        <f>SUM('F13-Year(n)'!E372:J372)+SUM('F13-Year(n)'!E541:J541)</f>
        <v>0</v>
      </c>
      <c r="J374" s="66">
        <f>SUM('F13-Year(n)'!K372:P372)+SUM('F13-Year(n)'!K541:P541)</f>
        <v>0</v>
      </c>
      <c r="K374" s="66">
        <f t="shared" si="19"/>
        <v>0</v>
      </c>
      <c r="L374" s="66">
        <f>'F13-Year(n+2)'!Q379</f>
        <v>0</v>
      </c>
      <c r="M374" s="66" t="e">
        <f>#REF!</f>
        <v>#REF!</v>
      </c>
      <c r="N374" s="66">
        <f>'F13-Year(n+3)'!Q381</f>
        <v>0</v>
      </c>
      <c r="O374" s="66">
        <f>'F13-Year(n+4)'!Q381</f>
        <v>0</v>
      </c>
      <c r="P374" s="66">
        <f>'F13-Year(n+5)'!Q381</f>
        <v>0</v>
      </c>
    </row>
    <row r="375" spans="2:16" x14ac:dyDescent="0.25">
      <c r="C375" s="806"/>
      <c r="D375" s="17" t="s">
        <v>363</v>
      </c>
      <c r="E375" s="66">
        <f>'[48]PP Cost'!K90</f>
        <v>0</v>
      </c>
      <c r="F375" s="109">
        <f>'F13-Year(n-1)'!Q375</f>
        <v>0</v>
      </c>
      <c r="G375" s="66"/>
      <c r="H375" s="66">
        <f>'[49]PP Cost'!K92</f>
        <v>0</v>
      </c>
      <c r="I375" s="66">
        <f>SUM('F13-Year(n)'!E373:J373)+SUM('F13-Year(n)'!E542:J542)</f>
        <v>0</v>
      </c>
      <c r="J375" s="66">
        <f>SUM('F13-Year(n)'!K373:P373)+SUM('F13-Year(n)'!K542:P542)</f>
        <v>0</v>
      </c>
      <c r="K375" s="66">
        <f t="shared" si="19"/>
        <v>0</v>
      </c>
      <c r="L375" s="66">
        <f>'F13-Year(n+2)'!Q380</f>
        <v>0</v>
      </c>
      <c r="M375" s="66" t="e">
        <f>#REF!</f>
        <v>#REF!</v>
      </c>
      <c r="N375" s="66">
        <f>'F13-Year(n+3)'!Q382</f>
        <v>0</v>
      </c>
      <c r="O375" s="66">
        <f>'F13-Year(n+4)'!Q382</f>
        <v>0</v>
      </c>
      <c r="P375" s="66">
        <f>'F13-Year(n+5)'!Q382</f>
        <v>0</v>
      </c>
    </row>
    <row r="376" spans="2:16" x14ac:dyDescent="0.25">
      <c r="C376" s="806"/>
      <c r="D376" s="17" t="s">
        <v>364</v>
      </c>
      <c r="E376" s="66">
        <f>'[48]PP Cost'!K91</f>
        <v>0</v>
      </c>
      <c r="F376" s="109">
        <f>'F13-Year(n-1)'!Q376</f>
        <v>0</v>
      </c>
      <c r="G376" s="66"/>
      <c r="H376" s="66">
        <f>'[49]PP Cost'!K93</f>
        <v>0</v>
      </c>
      <c r="I376" s="66">
        <f>SUM('F13-Year(n)'!E374:J374)+SUM('F13-Year(n)'!E543:J543)</f>
        <v>0</v>
      </c>
      <c r="J376" s="66">
        <f>SUM('F13-Year(n)'!K374:P374)+SUM('F13-Year(n)'!K543:P543)</f>
        <v>0</v>
      </c>
      <c r="K376" s="66">
        <f t="shared" si="19"/>
        <v>0</v>
      </c>
      <c r="L376" s="66">
        <f>'F13-Year(n+2)'!Q381</f>
        <v>0</v>
      </c>
      <c r="M376" s="66" t="e">
        <f>#REF!</f>
        <v>#REF!</v>
      </c>
      <c r="N376" s="66">
        <f>'F13-Year(n+3)'!Q383</f>
        <v>0</v>
      </c>
      <c r="O376" s="66">
        <f>'F13-Year(n+4)'!Q383</f>
        <v>0</v>
      </c>
      <c r="P376" s="66">
        <f>'F13-Year(n+5)'!Q383</f>
        <v>0</v>
      </c>
    </row>
    <row r="377" spans="2:16" x14ac:dyDescent="0.25">
      <c r="C377" s="806"/>
      <c r="D377" s="17" t="s">
        <v>365</v>
      </c>
      <c r="E377" s="66">
        <f>'[48]PP Cost'!K92</f>
        <v>0</v>
      </c>
      <c r="F377" s="109">
        <f>'F13-Year(n-1)'!Q377</f>
        <v>0</v>
      </c>
      <c r="G377" s="66"/>
      <c r="H377" s="66">
        <f>'[49]PP Cost'!K94</f>
        <v>0</v>
      </c>
      <c r="I377" s="66">
        <f>SUM('F13-Year(n)'!E375:J375)+SUM('F13-Year(n)'!E544:J544)</f>
        <v>0</v>
      </c>
      <c r="J377" s="66">
        <f>SUM('F13-Year(n)'!K375:P375)+SUM('F13-Year(n)'!K544:P544)</f>
        <v>0</v>
      </c>
      <c r="K377" s="66">
        <f t="shared" si="19"/>
        <v>0</v>
      </c>
      <c r="L377" s="66">
        <f>'F13-Year(n+2)'!Q382</f>
        <v>0</v>
      </c>
      <c r="M377" s="66" t="e">
        <f>#REF!</f>
        <v>#REF!</v>
      </c>
      <c r="N377" s="66">
        <f>'F13-Year(n+3)'!Q384</f>
        <v>0</v>
      </c>
      <c r="O377" s="66">
        <f>'F13-Year(n+4)'!Q384</f>
        <v>0</v>
      </c>
      <c r="P377" s="66">
        <f>'F13-Year(n+5)'!Q384</f>
        <v>0</v>
      </c>
    </row>
    <row r="378" spans="2:16" x14ac:dyDescent="0.25">
      <c r="C378" s="806"/>
      <c r="D378" s="17" t="s">
        <v>366</v>
      </c>
      <c r="E378" s="66">
        <f>'[48]PP Cost'!K93</f>
        <v>0</v>
      </c>
      <c r="F378" s="109">
        <f>'F13-Year(n-1)'!Q378</f>
        <v>0</v>
      </c>
      <c r="G378" s="66"/>
      <c r="H378" s="66">
        <f>'[49]PP Cost'!K95</f>
        <v>0</v>
      </c>
      <c r="I378" s="66">
        <f>SUM('F13-Year(n)'!E376:J376)+SUM('F13-Year(n)'!E545:J545)</f>
        <v>0</v>
      </c>
      <c r="J378" s="66">
        <f>SUM('F13-Year(n)'!K376:P376)+SUM('F13-Year(n)'!K545:P545)</f>
        <v>0</v>
      </c>
      <c r="K378" s="66">
        <f t="shared" si="19"/>
        <v>0</v>
      </c>
      <c r="L378" s="66">
        <f>'F13-Year(n+2)'!Q383</f>
        <v>0</v>
      </c>
      <c r="M378" s="66" t="e">
        <f>#REF!</f>
        <v>#REF!</v>
      </c>
      <c r="N378" s="66">
        <f>'F13-Year(n+3)'!Q385</f>
        <v>0</v>
      </c>
      <c r="O378" s="66">
        <f>'F13-Year(n+4)'!Q385</f>
        <v>0</v>
      </c>
      <c r="P378" s="66">
        <f>'F13-Year(n+5)'!Q385</f>
        <v>0</v>
      </c>
    </row>
    <row r="379" spans="2:16" x14ac:dyDescent="0.25">
      <c r="C379" s="806"/>
      <c r="D379" s="17" t="s">
        <v>367</v>
      </c>
      <c r="E379" s="66">
        <f>'[48]PP Cost'!K94</f>
        <v>0</v>
      </c>
      <c r="F379" s="109">
        <f>'F13-Year(n-1)'!Q379</f>
        <v>0</v>
      </c>
      <c r="G379" s="66"/>
      <c r="H379" s="66">
        <f>'[49]PP Cost'!K96</f>
        <v>0</v>
      </c>
      <c r="I379" s="66">
        <f>SUM('F13-Year(n)'!E377:J377)+SUM('F13-Year(n)'!E546:J546)</f>
        <v>0</v>
      </c>
      <c r="J379" s="66">
        <f>SUM('F13-Year(n)'!K377:P377)+SUM('F13-Year(n)'!K546:P546)</f>
        <v>0</v>
      </c>
      <c r="K379" s="66">
        <f t="shared" si="19"/>
        <v>0</v>
      </c>
      <c r="L379" s="66">
        <f>'F13-Year(n+2)'!Q384</f>
        <v>0</v>
      </c>
      <c r="M379" s="66" t="e">
        <f>#REF!</f>
        <v>#REF!</v>
      </c>
      <c r="N379" s="66">
        <f>'F13-Year(n+3)'!Q386</f>
        <v>0</v>
      </c>
      <c r="O379" s="66">
        <f>'F13-Year(n+4)'!Q386</f>
        <v>0</v>
      </c>
      <c r="P379" s="66">
        <f>'F13-Year(n+5)'!Q386</f>
        <v>0</v>
      </c>
    </row>
    <row r="380" spans="2:16" x14ac:dyDescent="0.25">
      <c r="C380" s="806"/>
      <c r="D380" s="17"/>
      <c r="E380" s="66"/>
      <c r="F380" s="109">
        <f>'F13-Year(n-1)'!Q380</f>
        <v>0</v>
      </c>
      <c r="G380" s="66"/>
      <c r="H380" s="66"/>
      <c r="I380" s="66">
        <f>SUM('F13-Year(n)'!E378:J378)+SUM('F13-Year(n)'!E547:J547)</f>
        <v>0</v>
      </c>
      <c r="J380" s="66">
        <f>SUM('F13-Year(n)'!K378:P378)+SUM('F13-Year(n)'!K547:P547)</f>
        <v>0</v>
      </c>
      <c r="K380" s="66">
        <f t="shared" si="19"/>
        <v>0</v>
      </c>
      <c r="L380" s="66">
        <f>'F13-Year(n+2)'!Q385</f>
        <v>0</v>
      </c>
      <c r="M380" s="66" t="e">
        <f>#REF!</f>
        <v>#REF!</v>
      </c>
      <c r="N380" s="66">
        <f>'F13-Year(n+3)'!Q387</f>
        <v>0</v>
      </c>
      <c r="O380" s="66">
        <f>'F13-Year(n+4)'!Q387</f>
        <v>0</v>
      </c>
      <c r="P380" s="66">
        <f>'F13-Year(n+5)'!Q387</f>
        <v>0</v>
      </c>
    </row>
    <row r="381" spans="2:16" x14ac:dyDescent="0.25">
      <c r="C381" s="806"/>
      <c r="D381" s="325" t="s">
        <v>621</v>
      </c>
      <c r="E381" s="66"/>
      <c r="F381" s="109">
        <f>'F13-Year(n-1)'!Q381</f>
        <v>0</v>
      </c>
      <c r="G381" s="66"/>
      <c r="H381" s="66"/>
      <c r="I381" s="66">
        <f>SUM('F13-Year(n)'!E379:J379)+SUM('F13-Year(n)'!E548:J548)</f>
        <v>171.99978000000002</v>
      </c>
      <c r="J381" s="66">
        <f>SUM('F13-Year(n)'!K379:P379)+SUM('F13-Year(n)'!K548:P548)</f>
        <v>171.99978000000002</v>
      </c>
      <c r="K381" s="66">
        <f t="shared" si="19"/>
        <v>343.99956000000003</v>
      </c>
      <c r="L381" s="66">
        <f>'F13-Year(n+2)'!Q386</f>
        <v>0</v>
      </c>
      <c r="M381" s="66" t="e">
        <f>#REF!</f>
        <v>#REF!</v>
      </c>
      <c r="N381" s="66">
        <f>'F13-Year(n+3)'!Q388</f>
        <v>0</v>
      </c>
      <c r="O381" s="66">
        <f>'F13-Year(n+4)'!Q388</f>
        <v>0</v>
      </c>
      <c r="P381" s="66">
        <f>'F13-Year(n+5)'!Q388</f>
        <v>0</v>
      </c>
    </row>
    <row r="382" spans="2:16" x14ac:dyDescent="0.25">
      <c r="C382" s="806"/>
      <c r="D382" s="325" t="s">
        <v>622</v>
      </c>
      <c r="E382" s="66"/>
      <c r="F382" s="109">
        <f>'F13-Year(n-1)'!Q382</f>
        <v>113.7970003862</v>
      </c>
      <c r="G382" s="66"/>
      <c r="H382" s="66"/>
      <c r="I382" s="66">
        <f>SUM('F13-Year(n)'!E380:J380)+SUM('F13-Year(n)'!E549:J549)</f>
        <v>0</v>
      </c>
      <c r="J382" s="66">
        <f>SUM('F13-Year(n)'!K380:P380)+SUM('F13-Year(n)'!K549:P549)</f>
        <v>0</v>
      </c>
      <c r="K382" s="66">
        <f t="shared" si="19"/>
        <v>0</v>
      </c>
      <c r="L382" s="66">
        <f>'F13-Year(n+2)'!Q387</f>
        <v>0</v>
      </c>
      <c r="M382" s="66" t="e">
        <f>#REF!</f>
        <v>#REF!</v>
      </c>
      <c r="N382" s="66">
        <f>'F13-Year(n+3)'!Q389</f>
        <v>0</v>
      </c>
      <c r="O382" s="66">
        <f>'F13-Year(n+4)'!Q389</f>
        <v>0</v>
      </c>
      <c r="P382" s="66">
        <f>'F13-Year(n+5)'!Q389</f>
        <v>0</v>
      </c>
    </row>
    <row r="383" spans="2:16" x14ac:dyDescent="0.25">
      <c r="C383" s="806"/>
      <c r="D383" s="327" t="s">
        <v>642</v>
      </c>
      <c r="E383" s="66"/>
      <c r="F383" s="109">
        <f>'F13-Year(n-1)'!Q383</f>
        <v>0</v>
      </c>
      <c r="G383" s="66"/>
      <c r="H383" s="66"/>
      <c r="I383" s="66">
        <f>SUM('F13-Year(n)'!E381:J381)+SUM('F13-Year(n)'!E550:J550)</f>
        <v>10.060119999999998</v>
      </c>
      <c r="J383" s="66">
        <f>SUM('F13-Year(n)'!K381:P381)+SUM('F13-Year(n)'!K550:P550)</f>
        <v>10.060119999999998</v>
      </c>
      <c r="K383" s="66">
        <f t="shared" si="19"/>
        <v>20.120239999999995</v>
      </c>
      <c r="L383" s="66">
        <f>'F13-Year(n+2)'!Q388</f>
        <v>0</v>
      </c>
      <c r="M383" s="66" t="e">
        <f>#REF!</f>
        <v>#REF!</v>
      </c>
      <c r="N383" s="66">
        <f>'F13-Year(n+3)'!Q390</f>
        <v>0</v>
      </c>
      <c r="O383" s="66">
        <f>'F13-Year(n+4)'!Q390</f>
        <v>0</v>
      </c>
      <c r="P383" s="66">
        <f>'F13-Year(n+5)'!Q390</f>
        <v>0</v>
      </c>
    </row>
    <row r="384" spans="2:16" hidden="1" x14ac:dyDescent="0.25">
      <c r="C384" s="806"/>
      <c r="D384" s="17"/>
      <c r="E384" s="66"/>
      <c r="F384" s="109">
        <f>'F13-Year(n-1)'!Q384</f>
        <v>0</v>
      </c>
      <c r="G384" s="66"/>
      <c r="H384" s="66"/>
      <c r="I384" s="66">
        <f>SUM('F13-Year(n)'!E382:J382)+SUM('F13-Year(n)'!E551:J551)</f>
        <v>0</v>
      </c>
      <c r="J384" s="66">
        <f>SUM('F13-Year(n)'!K382:P382)+SUM('F13-Year(n)'!K551:P551)</f>
        <v>0</v>
      </c>
      <c r="K384" s="66">
        <f t="shared" si="19"/>
        <v>0</v>
      </c>
      <c r="L384" s="66">
        <f>'F13-Year(n+2)'!Q389</f>
        <v>0</v>
      </c>
      <c r="M384" s="66" t="e">
        <f>#REF!</f>
        <v>#REF!</v>
      </c>
      <c r="N384" s="66">
        <f>'F13-Year(n+3)'!Q391</f>
        <v>0</v>
      </c>
      <c r="O384" s="66">
        <f>'F13-Year(n+4)'!Q391</f>
        <v>0</v>
      </c>
      <c r="P384" s="66">
        <f>'F13-Year(n+5)'!Q391</f>
        <v>0</v>
      </c>
    </row>
    <row r="385" spans="3:16" hidden="1" x14ac:dyDescent="0.25">
      <c r="C385" s="806"/>
      <c r="D385" s="17"/>
      <c r="E385" s="66"/>
      <c r="F385" s="109">
        <f>'F13-Year(n-1)'!Q385</f>
        <v>0</v>
      </c>
      <c r="G385" s="66"/>
      <c r="H385" s="66"/>
      <c r="I385" s="66">
        <f>SUM('F13-Year(n)'!E383:J383)+SUM('F13-Year(n)'!E552:J552)</f>
        <v>0</v>
      </c>
      <c r="J385" s="66">
        <f>SUM('F13-Year(n)'!K383:P383)+SUM('F13-Year(n)'!K552:P552)</f>
        <v>0</v>
      </c>
      <c r="K385" s="66">
        <f t="shared" si="19"/>
        <v>0</v>
      </c>
      <c r="L385" s="66">
        <f>'F13-Year(n+2)'!Q390</f>
        <v>0</v>
      </c>
      <c r="M385" s="66" t="e">
        <f>#REF!</f>
        <v>#REF!</v>
      </c>
      <c r="N385" s="66">
        <f>'F13-Year(n+3)'!Q392</f>
        <v>0</v>
      </c>
      <c r="O385" s="66">
        <f>'F13-Year(n+4)'!Q392</f>
        <v>0</v>
      </c>
      <c r="P385" s="66">
        <f>'F13-Year(n+5)'!Q392</f>
        <v>0</v>
      </c>
    </row>
    <row r="386" spans="3:16" hidden="1" x14ac:dyDescent="0.25">
      <c r="C386" s="806"/>
      <c r="D386" s="107"/>
      <c r="E386" s="66"/>
      <c r="F386" s="109"/>
      <c r="G386" s="66"/>
      <c r="H386" s="66"/>
      <c r="I386" s="66">
        <f>SUM('F13-Year(n)'!E384:J384)+SUM('F13-Year(n)'!E553:J553)</f>
        <v>0</v>
      </c>
      <c r="J386" s="66">
        <f>SUM('F13-Year(n)'!K384:P384)+SUM('F13-Year(n)'!K553:P553)</f>
        <v>0</v>
      </c>
      <c r="K386" s="66">
        <f t="shared" si="19"/>
        <v>0</v>
      </c>
      <c r="L386" s="66">
        <f>'F13-Year(n+2)'!Q391</f>
        <v>0</v>
      </c>
      <c r="M386" s="66" t="e">
        <f>#REF!</f>
        <v>#REF!</v>
      </c>
      <c r="N386" s="66">
        <f>'F13-Year(n+3)'!Q393</f>
        <v>0</v>
      </c>
      <c r="O386" s="66">
        <f>'F13-Year(n+4)'!Q393</f>
        <v>0</v>
      </c>
      <c r="P386" s="66">
        <f>'F13-Year(n+5)'!Q393</f>
        <v>0</v>
      </c>
    </row>
    <row r="387" spans="3:16" hidden="1" x14ac:dyDescent="0.25">
      <c r="C387" s="806"/>
      <c r="D387" s="107"/>
      <c r="E387" s="66"/>
      <c r="F387" s="109"/>
      <c r="G387" s="66"/>
      <c r="H387" s="66"/>
      <c r="I387" s="66">
        <f>SUM('F13-Year(n)'!E385:J385)+SUM('F13-Year(n)'!E554:J554)</f>
        <v>0</v>
      </c>
      <c r="J387" s="66">
        <f>SUM('F13-Year(n)'!K385:P385)+SUM('F13-Year(n)'!K554:P554)</f>
        <v>0</v>
      </c>
      <c r="K387" s="66">
        <f t="shared" si="19"/>
        <v>0</v>
      </c>
      <c r="L387" s="66">
        <f>'F13-Year(n+2)'!Q392</f>
        <v>0</v>
      </c>
      <c r="M387" s="66" t="e">
        <f>#REF!</f>
        <v>#REF!</v>
      </c>
      <c r="N387" s="66">
        <f>'F13-Year(n+3)'!Q394</f>
        <v>0</v>
      </c>
      <c r="O387" s="66">
        <f>'F13-Year(n+4)'!Q394</f>
        <v>0</v>
      </c>
      <c r="P387" s="66">
        <f>'F13-Year(n+5)'!Q394</f>
        <v>0</v>
      </c>
    </row>
    <row r="388" spans="3:16" hidden="1" x14ac:dyDescent="0.25">
      <c r="C388" s="806"/>
      <c r="D388" s="107"/>
      <c r="E388" s="66"/>
      <c r="F388" s="109"/>
      <c r="G388" s="66"/>
      <c r="H388" s="66"/>
      <c r="I388" s="66">
        <f>SUM('F13-Year(n)'!E386:J386)+SUM('F13-Year(n)'!E555:J555)</f>
        <v>0</v>
      </c>
      <c r="J388" s="66">
        <f>SUM('F13-Year(n)'!K386:P386)+SUM('F13-Year(n)'!K555:P555)</f>
        <v>0</v>
      </c>
      <c r="K388" s="66">
        <f t="shared" si="19"/>
        <v>0</v>
      </c>
      <c r="L388" s="66">
        <f>'F13-Year(n+2)'!Q393</f>
        <v>0</v>
      </c>
      <c r="M388" s="66" t="e">
        <f>#REF!</f>
        <v>#REF!</v>
      </c>
      <c r="N388" s="66">
        <f>'F13-Year(n+3)'!Q395</f>
        <v>0</v>
      </c>
      <c r="O388" s="66">
        <f>'F13-Year(n+4)'!Q395</f>
        <v>0</v>
      </c>
      <c r="P388" s="66">
        <f>'F13-Year(n+5)'!Q395</f>
        <v>0</v>
      </c>
    </row>
    <row r="389" spans="3:16" hidden="1" x14ac:dyDescent="0.25">
      <c r="C389" s="807"/>
      <c r="D389" s="107"/>
      <c r="E389" s="66"/>
      <c r="F389" s="109">
        <f>'F13-Year(n-1)'!Q389</f>
        <v>0</v>
      </c>
      <c r="G389" s="66"/>
      <c r="H389" s="66"/>
      <c r="I389" s="66">
        <f>SUM('F13-Year(n)'!E387:J387)+SUM('F13-Year(n)'!E556:J556)</f>
        <v>0</v>
      </c>
      <c r="J389" s="66">
        <f>SUM('F13-Year(n)'!K387:P387)+SUM('F13-Year(n)'!K556:P556)</f>
        <v>0</v>
      </c>
      <c r="K389" s="66">
        <f t="shared" si="19"/>
        <v>0</v>
      </c>
      <c r="L389" s="66">
        <f>'F13-Year(n+2)'!Q394</f>
        <v>0</v>
      </c>
      <c r="M389" s="66" t="e">
        <f>#REF!</f>
        <v>#REF!</v>
      </c>
      <c r="N389" s="66">
        <f>'F13-Year(n+3)'!Q396</f>
        <v>0</v>
      </c>
      <c r="O389" s="66">
        <f>'F13-Year(n+4)'!Q396</f>
        <v>0</v>
      </c>
      <c r="P389" s="66">
        <f>'F13-Year(n+5)'!Q396</f>
        <v>0</v>
      </c>
    </row>
    <row r="390" spans="3:16" x14ac:dyDescent="0.25">
      <c r="C390" s="751" t="s">
        <v>212</v>
      </c>
      <c r="D390" s="752"/>
      <c r="E390" s="86">
        <f>SUM(E372:E389)</f>
        <v>0</v>
      </c>
      <c r="F390" s="86">
        <f>SUM(F372:F389)</f>
        <v>113.7970003862</v>
      </c>
      <c r="G390" s="86">
        <f>F390-E390</f>
        <v>113.7970003862</v>
      </c>
      <c r="H390" s="86">
        <f>SUM(H372:H389)</f>
        <v>0</v>
      </c>
      <c r="I390" s="86">
        <f>SUM(I372:I389)</f>
        <v>182.05990000000003</v>
      </c>
      <c r="J390" s="86">
        <f>SUM(J372:J389)</f>
        <v>182.05990000000003</v>
      </c>
      <c r="K390" s="86">
        <f t="shared" si="19"/>
        <v>364.11980000000005</v>
      </c>
      <c r="L390" s="86">
        <f>'F13-Year(n+2)'!Q395</f>
        <v>0</v>
      </c>
      <c r="M390" s="86" t="e">
        <f>#REF!</f>
        <v>#REF!</v>
      </c>
      <c r="N390" s="86">
        <f>'F13-Year(n+3)'!Q397</f>
        <v>0</v>
      </c>
      <c r="O390" s="86">
        <f>'F13-Year(n+4)'!Q397</f>
        <v>0</v>
      </c>
      <c r="P390" s="86">
        <f>'F13-Year(n+5)'!Q397</f>
        <v>0</v>
      </c>
    </row>
    <row r="391" spans="3:16" x14ac:dyDescent="0.25">
      <c r="C391" s="753" t="s">
        <v>368</v>
      </c>
      <c r="D391" s="754"/>
      <c r="E391" s="86" t="e">
        <f>E370+E390</f>
        <v>#REF!</v>
      </c>
      <c r="F391" s="86">
        <f>F370+F390</f>
        <v>2291.2757924415064</v>
      </c>
      <c r="G391" s="86" t="e">
        <f>F391-E391</f>
        <v>#REF!</v>
      </c>
      <c r="H391" s="86">
        <f>H370+H390</f>
        <v>2014.9513299999999</v>
      </c>
      <c r="I391" s="86">
        <f>I370+I390</f>
        <v>1549.0978468850515</v>
      </c>
      <c r="J391" s="86">
        <f>J370+J390</f>
        <v>1595.5934046274208</v>
      </c>
      <c r="K391" s="86">
        <f t="shared" si="19"/>
        <v>3144.6912515124723</v>
      </c>
      <c r="L391" s="86">
        <f>'F13-Year(n+2)'!Q396</f>
        <v>4909.7764953434444</v>
      </c>
      <c r="M391" s="86" t="e">
        <f>#REF!</f>
        <v>#REF!</v>
      </c>
      <c r="N391" s="86">
        <f>'F13-Year(n+3)'!Q398</f>
        <v>4009.9123637629541</v>
      </c>
      <c r="O391" s="86">
        <f>'F13-Year(n+4)'!Q398</f>
        <v>4339.5549363575292</v>
      </c>
      <c r="P391" s="86">
        <f>'F13-Year(n+5)'!Q398</f>
        <v>4822.2476175567599</v>
      </c>
    </row>
    <row r="392" spans="3:16" x14ac:dyDescent="0.25">
      <c r="C392" s="800" t="s">
        <v>369</v>
      </c>
      <c r="D392" s="801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</row>
    <row r="393" spans="3:16" x14ac:dyDescent="0.25">
      <c r="C393" s="753" t="s">
        <v>349</v>
      </c>
      <c r="D393" s="754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</row>
    <row r="394" spans="3:16" x14ac:dyDescent="0.25">
      <c r="C394" s="805" t="s">
        <v>370</v>
      </c>
      <c r="D394" s="17" t="s">
        <v>371</v>
      </c>
      <c r="E394" s="66">
        <f>'[48]PP Cost'!K98</f>
        <v>205.90261999999998</v>
      </c>
      <c r="F394" s="109">
        <f>'F13-Year(n-1)'!Q394</f>
        <v>231.26820994676899</v>
      </c>
      <c r="G394" s="66"/>
      <c r="H394" s="66">
        <f>'[49]PP Cost'!K100</f>
        <v>163.12354999999999</v>
      </c>
      <c r="I394" s="66">
        <f>SUM('F13-Year(n)'!E391:J391)+SUM('F13-Year(n)'!E561:J561)</f>
        <v>115.2179607009511</v>
      </c>
      <c r="J394" s="66">
        <f>SUM('F13-Year(n)'!K391:P391)+SUM('F13-Year(n)'!K561:P561)</f>
        <v>113.23413399867849</v>
      </c>
      <c r="K394" s="66">
        <f t="shared" ref="K394:K419" si="20">I394+J394</f>
        <v>228.45209469962958</v>
      </c>
      <c r="L394" s="66">
        <f>'F13-Year(n+2)'!Q399</f>
        <v>202.12295292018055</v>
      </c>
      <c r="M394" s="66" t="e">
        <f>#REF!</f>
        <v>#REF!</v>
      </c>
      <c r="N394" s="66">
        <f>'F13-Year(n+3)'!Q401</f>
        <v>195.15885267354795</v>
      </c>
      <c r="O394" s="66">
        <f>'F13-Year(n+4)'!Q401</f>
        <v>207.45279226670479</v>
      </c>
      <c r="P394" s="66">
        <f>'F13-Year(n+5)'!Q401</f>
        <v>238.92591142855144</v>
      </c>
    </row>
    <row r="395" spans="3:16" x14ac:dyDescent="0.25">
      <c r="C395" s="806"/>
      <c r="D395" s="17" t="s">
        <v>372</v>
      </c>
      <c r="E395" s="66">
        <f>'[48]PP Cost'!K99</f>
        <v>54.238064999999992</v>
      </c>
      <c r="F395" s="109">
        <f>'F13-Year(n-1)'!Q395</f>
        <v>50.355882999209641</v>
      </c>
      <c r="G395" s="66"/>
      <c r="H395" s="66">
        <f>'[49]PP Cost'!K101</f>
        <v>36.980364999999999</v>
      </c>
      <c r="I395" s="66">
        <f>SUM('F13-Year(n)'!E392:J392)+SUM('F13-Year(n)'!E562:J562)</f>
        <v>29.89976304899805</v>
      </c>
      <c r="J395" s="66">
        <f>SUM('F13-Year(n)'!K392:P392)+SUM('F13-Year(n)'!K562:P562)</f>
        <v>28.824898146471416</v>
      </c>
      <c r="K395" s="66">
        <f t="shared" si="20"/>
        <v>58.724661195469466</v>
      </c>
      <c r="L395" s="66">
        <f>'F13-Year(n+2)'!Q400</f>
        <v>47.001780436993819</v>
      </c>
      <c r="M395" s="66" t="e">
        <f>#REF!</f>
        <v>#REF!</v>
      </c>
      <c r="N395" s="66">
        <f>'F13-Year(n+3)'!Q402</f>
        <v>46.518157883562445</v>
      </c>
      <c r="O395" s="66">
        <f>'F13-Year(n+4)'!Q402</f>
        <v>47.921888739852797</v>
      </c>
      <c r="P395" s="66">
        <f>'F13-Year(n+5)'!Q402</f>
        <v>54.294174279381274</v>
      </c>
    </row>
    <row r="396" spans="3:16" x14ac:dyDescent="0.25">
      <c r="C396" s="806"/>
      <c r="D396" s="17" t="s">
        <v>373</v>
      </c>
      <c r="E396" s="66">
        <f>'[48]PP Cost'!K100</f>
        <v>81.644234999999995</v>
      </c>
      <c r="F396" s="109">
        <f>'F13-Year(n-1)'!Q396</f>
        <v>99.535259680155093</v>
      </c>
      <c r="G396" s="66"/>
      <c r="H396" s="66">
        <f>'[49]PP Cost'!K102</f>
        <v>82.271519999999995</v>
      </c>
      <c r="I396" s="66">
        <f>SUM('F13-Year(n)'!E393:J393)+SUM('F13-Year(n)'!E563:J563)</f>
        <v>40.629896370227947</v>
      </c>
      <c r="J396" s="66">
        <f>SUM('F13-Year(n)'!K393:P393)+SUM('F13-Year(n)'!K563:P563)</f>
        <v>42.707039522866609</v>
      </c>
      <c r="K396" s="66">
        <f t="shared" si="20"/>
        <v>83.336935893094562</v>
      </c>
      <c r="L396" s="66">
        <f>'F13-Year(n+2)'!Q401</f>
        <v>79.784557412637895</v>
      </c>
      <c r="M396" s="66" t="e">
        <f>#REF!</f>
        <v>#REF!</v>
      </c>
      <c r="N396" s="66">
        <f>'F13-Year(n+3)'!Q403</f>
        <v>74.107269741890491</v>
      </c>
      <c r="O396" s="66">
        <f>'F13-Year(n+4)'!Q403</f>
        <v>80.323851732973438</v>
      </c>
      <c r="P396" s="66">
        <f>'F13-Year(n+5)'!Q403</f>
        <v>87.556900511357441</v>
      </c>
    </row>
    <row r="397" spans="3:16" x14ac:dyDescent="0.25">
      <c r="C397" s="806"/>
      <c r="D397" s="17" t="s">
        <v>374</v>
      </c>
      <c r="E397" s="66">
        <f>'[48]PP Cost'!K101</f>
        <v>339.81765999999999</v>
      </c>
      <c r="F397" s="109">
        <f>'F13-Year(n-1)'!Q397</f>
        <v>428.79882755462086</v>
      </c>
      <c r="G397" s="66"/>
      <c r="H397" s="66">
        <f>'[49]PP Cost'!K103</f>
        <v>246.62018999999998</v>
      </c>
      <c r="I397" s="66">
        <f>SUM('F13-Year(n)'!E394:J394)+SUM('F13-Year(n)'!E564:J564)</f>
        <v>185.54498619045756</v>
      </c>
      <c r="J397" s="66">
        <f>SUM('F13-Year(n)'!K394:P394)+SUM('F13-Year(n)'!K564:P564)</f>
        <v>190.85051675077713</v>
      </c>
      <c r="K397" s="66">
        <f t="shared" si="20"/>
        <v>376.39550294123467</v>
      </c>
      <c r="L397" s="66">
        <f>'F13-Year(n+2)'!Q402</f>
        <v>308.90159234599821</v>
      </c>
      <c r="M397" s="66" t="e">
        <f>#REF!</f>
        <v>#REF!</v>
      </c>
      <c r="N397" s="66">
        <f>'F13-Year(n+3)'!Q404</f>
        <v>278.32172415686921</v>
      </c>
      <c r="O397" s="66">
        <f>'F13-Year(n+4)'!Q404</f>
        <v>294.54365243028559</v>
      </c>
      <c r="P397" s="66">
        <f>'F13-Year(n+5)'!Q404</f>
        <v>338.50918363242909</v>
      </c>
    </row>
    <row r="398" spans="3:16" x14ac:dyDescent="0.25">
      <c r="C398" s="806"/>
      <c r="D398" s="17" t="s">
        <v>375</v>
      </c>
      <c r="E398" s="66">
        <f>'[48]PP Cost'!K102</f>
        <v>159.59249499999999</v>
      </c>
      <c r="F398" s="109">
        <f>'F13-Year(n-1)'!Q398</f>
        <v>197.84857605653602</v>
      </c>
      <c r="G398" s="66"/>
      <c r="H398" s="66">
        <f>'[49]PP Cost'!K104</f>
        <v>127.27995499999999</v>
      </c>
      <c r="I398" s="66">
        <f>SUM('F13-Year(n)'!E395:J395)+SUM('F13-Year(n)'!E565:J565)</f>
        <v>74.577164277610095</v>
      </c>
      <c r="J398" s="66">
        <f>SUM('F13-Year(n)'!K395:P395)+SUM('F13-Year(n)'!K565:P565)</f>
        <v>101.95056956875808</v>
      </c>
      <c r="K398" s="66">
        <f t="shared" si="20"/>
        <v>176.52773384636816</v>
      </c>
      <c r="L398" s="66">
        <f>'F13-Year(n+2)'!Q403</f>
        <v>151.64555339711472</v>
      </c>
      <c r="M398" s="66" t="e">
        <f>#REF!</f>
        <v>#REF!</v>
      </c>
      <c r="N398" s="66">
        <f>'F13-Year(n+3)'!Q405</f>
        <v>131.10544414095708</v>
      </c>
      <c r="O398" s="66">
        <f>'F13-Year(n+4)'!Q405</f>
        <v>139.79417531242598</v>
      </c>
      <c r="P398" s="66">
        <f>'F13-Year(n+5)'!Q405</f>
        <v>163.61840072288774</v>
      </c>
    </row>
    <row r="399" spans="3:16" x14ac:dyDescent="0.25">
      <c r="C399" s="806"/>
      <c r="D399" s="17" t="s">
        <v>376</v>
      </c>
      <c r="E399" s="66">
        <f>'[48]PP Cost'!K103</f>
        <v>176.49679499999996</v>
      </c>
      <c r="F399" s="109">
        <f>'F13-Year(n-1)'!Q399</f>
        <v>185.63708694410673</v>
      </c>
      <c r="G399" s="66"/>
      <c r="H399" s="66">
        <f>'[49]PP Cost'!K105</f>
        <v>165.42359500000001</v>
      </c>
      <c r="I399" s="66">
        <f>SUM('F13-Year(n)'!E396:J396)+SUM('F13-Year(n)'!E566:J566)</f>
        <v>68.087268470833649</v>
      </c>
      <c r="J399" s="66">
        <f>SUM('F13-Year(n)'!K396:P396)+SUM('F13-Year(n)'!K566:P566)</f>
        <v>60.006743840931797</v>
      </c>
      <c r="K399" s="66">
        <f t="shared" si="20"/>
        <v>128.09401231176545</v>
      </c>
      <c r="L399" s="66">
        <f>'F13-Year(n+2)'!Q404</f>
        <v>192.59779974469927</v>
      </c>
      <c r="M399" s="66" t="e">
        <f>#REF!</f>
        <v>#REF!</v>
      </c>
      <c r="N399" s="66">
        <f>'F13-Year(n+3)'!Q406</f>
        <v>197.61916384001705</v>
      </c>
      <c r="O399" s="66">
        <f>'F13-Year(n+4)'!Q406</f>
        <v>211.48542033045945</v>
      </c>
      <c r="P399" s="66">
        <f>'F13-Year(n+5)'!Q406</f>
        <v>239.17380015817071</v>
      </c>
    </row>
    <row r="400" spans="3:16" x14ac:dyDescent="0.25">
      <c r="C400" s="806"/>
      <c r="D400" s="17" t="s">
        <v>377</v>
      </c>
      <c r="E400" s="66">
        <f>'[48]PP Cost'!K116</f>
        <v>45.750574999999998</v>
      </c>
      <c r="F400" s="109">
        <f>'F13-Year(n-1)'!Q400</f>
        <v>215.59386030251994</v>
      </c>
      <c r="G400" s="66"/>
      <c r="H400" s="66">
        <f>'[49]PP Cost'!$K$120</f>
        <v>35.448965000000001</v>
      </c>
      <c r="I400" s="66">
        <f>SUM('F13-Year(n)'!E397:J397)+SUM('F13-Year(n)'!E567:J567)</f>
        <v>118.43880429452508</v>
      </c>
      <c r="J400" s="66">
        <f>SUM('F13-Year(n)'!K397:P397)+SUM('F13-Year(n)'!K567:P567)</f>
        <v>119.57927487779999</v>
      </c>
      <c r="K400" s="66">
        <f t="shared" si="20"/>
        <v>238.01807917232509</v>
      </c>
      <c r="L400" s="66">
        <f>'F13-Year(n+2)'!Q405</f>
        <v>28.148333710498395</v>
      </c>
      <c r="M400" s="66" t="e">
        <f>#REF!</f>
        <v>#REF!</v>
      </c>
      <c r="N400" s="66">
        <f>'F13-Year(n+3)'!Q407</f>
        <v>27.816035105489636</v>
      </c>
      <c r="O400" s="66">
        <f>'F13-Year(n+4)'!Q407</f>
        <v>29.831791689561694</v>
      </c>
      <c r="P400" s="66">
        <f>'F13-Year(n+5)'!Q407</f>
        <v>34.180362021417551</v>
      </c>
    </row>
    <row r="401" spans="3:16" x14ac:dyDescent="0.25">
      <c r="C401" s="806"/>
      <c r="D401" s="17" t="s">
        <v>378</v>
      </c>
      <c r="E401" s="66">
        <f>'[48]PP Cost'!K117</f>
        <v>161.74529000000001</v>
      </c>
      <c r="F401" s="109">
        <f>'F13-Year(n-1)'!Q401</f>
        <v>59.216796275909232</v>
      </c>
      <c r="G401" s="66"/>
      <c r="H401" s="66">
        <f>'[49]PP Cost'!$K$121</f>
        <v>265.59776999999997</v>
      </c>
      <c r="I401" s="66">
        <f>SUM('F13-Year(n)'!E398:J398)+SUM('F13-Year(n)'!E568:J568)</f>
        <v>24.521469866876004</v>
      </c>
      <c r="J401" s="66">
        <f>SUM('F13-Year(n)'!K398:P398)+SUM('F13-Year(n)'!K568:P568)</f>
        <v>26.78190599974576</v>
      </c>
      <c r="K401" s="66">
        <f t="shared" si="20"/>
        <v>51.303375866621764</v>
      </c>
      <c r="L401" s="66">
        <f>'F13-Year(n+2)'!Q406</f>
        <v>160.08943013484873</v>
      </c>
      <c r="M401" s="66" t="e">
        <f>#REF!</f>
        <v>#REF!</v>
      </c>
      <c r="N401" s="66">
        <f>'F13-Year(n+3)'!Q408</f>
        <v>158.67065704067159</v>
      </c>
      <c r="O401" s="66">
        <f>'F13-Year(n+4)'!Q408</f>
        <v>169.07495922033277</v>
      </c>
      <c r="P401" s="66">
        <f>'F13-Year(n+5)'!Q408</f>
        <v>191.00328254582178</v>
      </c>
    </row>
    <row r="402" spans="3:16" x14ac:dyDescent="0.25">
      <c r="C402" s="807"/>
      <c r="D402" s="17" t="s">
        <v>379</v>
      </c>
      <c r="E402" s="66">
        <f>'[48]PP Cost'!$K$107</f>
        <v>228.15503999999999</v>
      </c>
      <c r="F402" s="109">
        <f>'F13-Year(n-1)'!Q402</f>
        <v>0</v>
      </c>
      <c r="G402" s="66"/>
      <c r="H402" s="66">
        <f>'[49]PP Cost'!$K$111</f>
        <v>478.83933000000002</v>
      </c>
      <c r="I402" s="66">
        <f>SUM('F13-Year(n)'!E399:J399)+SUM('F13-Year(n)'!E569:J569)</f>
        <v>0.93526721000000002</v>
      </c>
      <c r="J402" s="66">
        <f>SUM('F13-Year(n)'!K399:P399)+SUM('F13-Year(n)'!K569:P569)</f>
        <v>269.72293982745282</v>
      </c>
      <c r="K402" s="66">
        <f t="shared" si="20"/>
        <v>270.65820703745283</v>
      </c>
      <c r="L402" s="66">
        <f>'F13-Year(n+2)'!Q407</f>
        <v>399.22357276261982</v>
      </c>
      <c r="M402" s="66" t="e">
        <f>#REF!</f>
        <v>#REF!</v>
      </c>
      <c r="N402" s="66">
        <f>'F13-Year(n+3)'!Q409</f>
        <v>435.9129463553403</v>
      </c>
      <c r="O402" s="66">
        <f>'F13-Year(n+4)'!Q409</f>
        <v>478.47436920277272</v>
      </c>
      <c r="P402" s="66">
        <f>'F13-Year(n+5)'!Q409</f>
        <v>505.95087999520211</v>
      </c>
    </row>
    <row r="403" spans="3:16" x14ac:dyDescent="0.25">
      <c r="C403" s="17"/>
      <c r="D403" s="17" t="s">
        <v>380</v>
      </c>
      <c r="E403" s="66">
        <f>'[48]PP Cost'!$K$104</f>
        <v>30.036054999999998</v>
      </c>
      <c r="F403" s="109">
        <f>'F13-Year(n-1)'!Q403</f>
        <v>30.256200607772563</v>
      </c>
      <c r="G403" s="66"/>
      <c r="H403" s="66">
        <f>'[49]PP Cost'!K106</f>
        <v>2.8124750000000001</v>
      </c>
      <c r="I403" s="66">
        <f>SUM('F13-Year(n)'!E400:J400)+SUM('F13-Year(n)'!E570:J570)</f>
        <v>17.072050737272395</v>
      </c>
      <c r="J403" s="66">
        <f>SUM('F13-Year(n)'!K400:P400)+SUM('F13-Year(n)'!K570:P570)</f>
        <v>3.5102078021817995</v>
      </c>
      <c r="K403" s="66">
        <f t="shared" si="20"/>
        <v>20.582258539454195</v>
      </c>
      <c r="L403" s="66">
        <f>'F13-Year(n+2)'!Q408</f>
        <v>378.49580048863527</v>
      </c>
      <c r="M403" s="66" t="e">
        <f>#REF!</f>
        <v>#REF!</v>
      </c>
      <c r="N403" s="66">
        <f>'F13-Year(n+3)'!Q410</f>
        <v>423.59751168655504</v>
      </c>
      <c r="O403" s="66">
        <f>'F13-Year(n+4)'!Q410</f>
        <v>466.44332561592717</v>
      </c>
      <c r="P403" s="66">
        <f>'F13-Year(n+5)'!Q410</f>
        <v>497.92017926077938</v>
      </c>
    </row>
    <row r="404" spans="3:16" x14ac:dyDescent="0.25">
      <c r="C404" s="17"/>
      <c r="D404" s="17" t="s">
        <v>381</v>
      </c>
      <c r="E404" s="66">
        <f>'[48]PP Cost'!$K$105</f>
        <v>53.955345000000001</v>
      </c>
      <c r="F404" s="109">
        <f>'F13-Year(n-1)'!Q404</f>
        <v>8.0469992448046508</v>
      </c>
      <c r="G404" s="66"/>
      <c r="H404" s="66">
        <f>'[49]PP Cost'!K107</f>
        <v>3.5987900000000002</v>
      </c>
      <c r="I404" s="66">
        <f>SUM('F13-Year(n)'!E401:J401)+SUM('F13-Year(n)'!E571:J571)</f>
        <v>11.979571665525393</v>
      </c>
      <c r="J404" s="66">
        <f>SUM('F13-Year(n)'!K401:P401)+SUM('F13-Year(n)'!K571:P571)</f>
        <v>1.3340650280407498</v>
      </c>
      <c r="K404" s="66">
        <f t="shared" si="20"/>
        <v>13.313636693566142</v>
      </c>
      <c r="L404" s="66">
        <f>'F13-Year(n+2)'!Q409</f>
        <v>3.751096615162127</v>
      </c>
      <c r="M404" s="66" t="e">
        <f>#REF!</f>
        <v>#REF!</v>
      </c>
      <c r="N404" s="66">
        <f>'F13-Year(n+3)'!Q411</f>
        <v>5.5625308180487707</v>
      </c>
      <c r="O404" s="66">
        <f>'F13-Year(n+4)'!Q411</f>
        <v>5.9284490168059643</v>
      </c>
      <c r="P404" s="66">
        <f>'F13-Year(n+5)'!Q411</f>
        <v>6.6485382065005076</v>
      </c>
    </row>
    <row r="405" spans="3:16" x14ac:dyDescent="0.25">
      <c r="C405" s="17"/>
      <c r="D405" s="17" t="s">
        <v>382</v>
      </c>
      <c r="E405" s="66">
        <f>'[48]PP Cost'!$K$106</f>
        <v>25.279879999999999</v>
      </c>
      <c r="F405" s="109">
        <f>'F13-Year(n-1)'!Q405</f>
        <v>28.732562827629398</v>
      </c>
      <c r="G405" s="66"/>
      <c r="H405" s="66">
        <f>'[49]PP Cost'!K108</f>
        <v>23.936959999999999</v>
      </c>
      <c r="I405" s="66">
        <f>SUM('F13-Year(n)'!E402:J402)+SUM('F13-Year(n)'!E572:J572)</f>
        <v>23.020537221582639</v>
      </c>
      <c r="J405" s="66">
        <f>SUM('F13-Year(n)'!K402:P402)+SUM('F13-Year(n)'!K572:P572)</f>
        <v>17.498060162529999</v>
      </c>
      <c r="K405" s="66">
        <f t="shared" si="20"/>
        <v>40.518597384112638</v>
      </c>
      <c r="L405" s="66">
        <f>'F13-Year(n+2)'!Q410</f>
        <v>4.944259370616896</v>
      </c>
      <c r="M405" s="66" t="e">
        <f>#REF!</f>
        <v>#REF!</v>
      </c>
      <c r="N405" s="66">
        <f>'F13-Year(n+3)'!Q412</f>
        <v>4.7023189493519055</v>
      </c>
      <c r="O405" s="66">
        <f>'F13-Year(n+4)'!Q412</f>
        <v>5.0460344609154637</v>
      </c>
      <c r="P405" s="66">
        <f>'F13-Year(n+5)'!Q412</f>
        <v>5.6490489498613394</v>
      </c>
    </row>
    <row r="406" spans="3:16" x14ac:dyDescent="0.25">
      <c r="C406" s="17"/>
      <c r="D406" s="17" t="s">
        <v>383</v>
      </c>
      <c r="E406" s="66"/>
      <c r="F406" s="109">
        <f>'F13-Year(n-1)'!Q406</f>
        <v>1.7617461776041998</v>
      </c>
      <c r="G406" s="66"/>
      <c r="H406" s="66">
        <f>'[49]PP Cost'!K109</f>
        <v>2.9420549999999999</v>
      </c>
      <c r="I406" s="66">
        <f>SUM('F13-Year(n)'!E403:J403)+SUM('F13-Year(n)'!E573:J573)</f>
        <v>2.094737160222591</v>
      </c>
      <c r="J406" s="66">
        <f>SUM('F13-Year(n)'!K403:P403)+SUM('F13-Year(n)'!K573:P573)</f>
        <v>1.6496306044413498</v>
      </c>
      <c r="K406" s="66">
        <f t="shared" si="20"/>
        <v>3.7443677646639406</v>
      </c>
      <c r="L406" s="66">
        <f>'F13-Year(n+2)'!Q411</f>
        <v>34.980052160394649</v>
      </c>
      <c r="M406" s="66" t="e">
        <f>#REF!</f>
        <v>#REF!</v>
      </c>
      <c r="N406" s="66">
        <f>'F13-Year(n+3)'!Q413</f>
        <v>0</v>
      </c>
      <c r="O406" s="66">
        <f>'F13-Year(n+4)'!Q413</f>
        <v>0</v>
      </c>
      <c r="P406" s="66">
        <f>'F13-Year(n+5)'!Q413</f>
        <v>0</v>
      </c>
    </row>
    <row r="407" spans="3:16" x14ac:dyDescent="0.25">
      <c r="C407" s="17"/>
      <c r="D407" s="17" t="s">
        <v>384</v>
      </c>
      <c r="E407" s="66"/>
      <c r="F407" s="109">
        <f>'F13-Year(n-1)'!Q407</f>
        <v>0.79298574894999996</v>
      </c>
      <c r="G407" s="66"/>
      <c r="H407" s="66">
        <f>'[49]PP Cost'!K110</f>
        <v>2.3353849999999996</v>
      </c>
      <c r="I407" s="66">
        <f>SUM('F13-Year(n)'!E404:J404)+SUM('F13-Year(n)'!E574:J574)</f>
        <v>1.3252398407606121</v>
      </c>
      <c r="J407" s="66">
        <f>SUM('F13-Year(n)'!K404:P404)+SUM('F13-Year(n)'!K574:P574)</f>
        <v>1.0215206365225</v>
      </c>
      <c r="K407" s="66">
        <f t="shared" si="20"/>
        <v>2.3467604772831123</v>
      </c>
      <c r="L407" s="66" t="e">
        <f>'F13-Year(n+2)'!#REF!</f>
        <v>#REF!</v>
      </c>
      <c r="M407" s="66" t="e">
        <f>#REF!</f>
        <v>#REF!</v>
      </c>
      <c r="N407" s="66">
        <f>'F13-Year(n+3)'!Q414</f>
        <v>33.64141050616805</v>
      </c>
      <c r="O407" s="66">
        <f>'F13-Year(n+4)'!Q414</f>
        <v>36.127371870311705</v>
      </c>
      <c r="P407" s="66">
        <f>'F13-Year(n+5)'!Q414</f>
        <v>40.527854218000108</v>
      </c>
    </row>
    <row r="408" spans="3:16" x14ac:dyDescent="0.25">
      <c r="C408" s="17"/>
      <c r="D408" s="17" t="s">
        <v>385</v>
      </c>
      <c r="E408" s="66" t="e">
        <f>'[48]PP Cost'!$K$108</f>
        <v>#REF!</v>
      </c>
      <c r="F408" s="109">
        <f>'F13-Year(n-1)'!Q408</f>
        <v>73.955913956536747</v>
      </c>
      <c r="G408" s="66"/>
      <c r="H408" s="66">
        <f>'[49]PP Cost'!K112</f>
        <v>0</v>
      </c>
      <c r="I408" s="66">
        <f>SUM('F13-Year(n)'!E405:J405)+SUM('F13-Year(n)'!E575:J575)</f>
        <v>32.93587892998562</v>
      </c>
      <c r="J408" s="66">
        <f>SUM('F13-Year(n)'!K405:P405)+SUM('F13-Year(n)'!K575:P575)</f>
        <v>17.641181149402293</v>
      </c>
      <c r="K408" s="66">
        <f t="shared" si="20"/>
        <v>50.577060079387913</v>
      </c>
      <c r="L408" s="66">
        <f>'F13-Year(n+2)'!Q412</f>
        <v>0</v>
      </c>
      <c r="M408" s="66" t="e">
        <f>#REF!</f>
        <v>#REF!</v>
      </c>
      <c r="N408" s="66">
        <f>'F13-Year(n+3)'!Q415</f>
        <v>0</v>
      </c>
      <c r="O408" s="66">
        <f>'F13-Year(n+4)'!Q415</f>
        <v>0</v>
      </c>
      <c r="P408" s="66">
        <f>'F13-Year(n+5)'!Q415</f>
        <v>0</v>
      </c>
    </row>
    <row r="409" spans="3:16" x14ac:dyDescent="0.25">
      <c r="C409" s="17"/>
      <c r="D409" s="17" t="s">
        <v>386</v>
      </c>
      <c r="E409" s="66" t="e">
        <f xml:space="preserve"> '[48]PP Cost'!$K$109</f>
        <v>#REF!</v>
      </c>
      <c r="F409" s="109">
        <f>'F13-Year(n-1)'!Q409</f>
        <v>132.79691619004652</v>
      </c>
      <c r="G409" s="66"/>
      <c r="H409" s="66">
        <f>'[49]PP Cost'!K113</f>
        <v>0</v>
      </c>
      <c r="I409" s="66">
        <f>SUM('F13-Year(n)'!E406:J406)+SUM('F13-Year(n)'!E576:J576)</f>
        <v>39.615197827471796</v>
      </c>
      <c r="J409" s="66">
        <f>SUM('F13-Year(n)'!K406:P406)+SUM('F13-Year(n)'!K576:P576)</f>
        <v>38.941732999755999</v>
      </c>
      <c r="K409" s="66">
        <f t="shared" si="20"/>
        <v>78.556930827227802</v>
      </c>
      <c r="L409" s="66">
        <f>'F13-Year(n+2)'!Q413</f>
        <v>62.642239604525251</v>
      </c>
      <c r="M409" s="66" t="e">
        <f>#REF!</f>
        <v>#REF!</v>
      </c>
      <c r="N409" s="66">
        <f>'F13-Year(n+3)'!Q416</f>
        <v>62.95489623715509</v>
      </c>
      <c r="O409" s="66">
        <f>'F13-Year(n+4)'!Q416</f>
        <v>66.845614732936738</v>
      </c>
      <c r="P409" s="66">
        <f>'F13-Year(n+5)'!Q416</f>
        <v>78.086354933721637</v>
      </c>
    </row>
    <row r="410" spans="3:16" x14ac:dyDescent="0.25">
      <c r="C410" s="17"/>
      <c r="D410" s="425" t="s">
        <v>438</v>
      </c>
      <c r="E410" s="66"/>
      <c r="F410" s="109">
        <f>'F13-Year(n-1)'!Q410</f>
        <v>0</v>
      </c>
      <c r="G410" s="66"/>
      <c r="H410" s="66"/>
      <c r="I410" s="66">
        <f>SUM('F13-Year(n)'!E407:J407)+SUM('F13-Year(n)'!E577:J577)</f>
        <v>1.8270817902149999E-2</v>
      </c>
      <c r="J410" s="66">
        <f>SUM('F13-Year(n)'!K407:P407)+SUM('F13-Year(n)'!K577:P577)</f>
        <v>0</v>
      </c>
      <c r="K410" s="66">
        <f t="shared" si="20"/>
        <v>1.8270817902149999E-2</v>
      </c>
      <c r="L410" s="66">
        <f>'F13-Year(n+2)'!Q414</f>
        <v>77.963203252834148</v>
      </c>
      <c r="M410" s="66" t="e">
        <f>#REF!</f>
        <v>#REF!</v>
      </c>
      <c r="N410" s="66">
        <f>'F13-Year(n+3)'!Q417</f>
        <v>78.134310856265387</v>
      </c>
      <c r="O410" s="66">
        <f>'F13-Year(n+4)'!Q417</f>
        <v>79.131726233883398</v>
      </c>
      <c r="P410" s="66">
        <f>'F13-Year(n+5)'!Q417</f>
        <v>91.540558987457359</v>
      </c>
    </row>
    <row r="411" spans="3:16" x14ac:dyDescent="0.25">
      <c r="C411" s="17"/>
      <c r="D411" s="425" t="s">
        <v>439</v>
      </c>
      <c r="E411" s="66"/>
      <c r="F411" s="109">
        <f>'F13-Year(n-1)'!Q411</f>
        <v>0</v>
      </c>
      <c r="G411" s="66"/>
      <c r="H411" s="66"/>
      <c r="I411" s="66">
        <f>SUM('F13-Year(n)'!E408:J408)+SUM('F13-Year(n)'!E578:J578)</f>
        <v>0.13053433196199998</v>
      </c>
      <c r="J411" s="66">
        <f>SUM('F13-Year(n)'!K408:P408)+SUM('F13-Year(n)'!K578:P578)</f>
        <v>-4.1155786000000001E-3</v>
      </c>
      <c r="K411" s="66">
        <f t="shared" si="20"/>
        <v>0.12641875336199998</v>
      </c>
      <c r="L411" s="66">
        <f>'F13-Year(n+2)'!Q415</f>
        <v>0</v>
      </c>
      <c r="M411" s="66" t="e">
        <f>#REF!</f>
        <v>#REF!</v>
      </c>
      <c r="N411" s="66">
        <f>'F13-Year(n+3)'!Q418</f>
        <v>0</v>
      </c>
      <c r="O411" s="66">
        <f>'F13-Year(n+4)'!Q418</f>
        <v>0</v>
      </c>
      <c r="P411" s="66">
        <f>'F13-Year(n+5)'!Q418</f>
        <v>0</v>
      </c>
    </row>
    <row r="412" spans="3:16" x14ac:dyDescent="0.25">
      <c r="C412" s="17"/>
      <c r="D412" s="327" t="s">
        <v>441</v>
      </c>
      <c r="E412" s="66"/>
      <c r="F412" s="109">
        <f>'F13-Year(n-1)'!Q412</f>
        <v>0</v>
      </c>
      <c r="G412" s="66"/>
      <c r="H412" s="66"/>
      <c r="I412" s="66">
        <f>SUM('F13-Year(n)'!E409:J409)+SUM('F13-Year(n)'!E579:J579)</f>
        <v>2.40625348E-2</v>
      </c>
      <c r="J412" s="66">
        <f>SUM('F13-Year(n)'!K409:P409)+SUM('F13-Year(n)'!K579:P579)</f>
        <v>0</v>
      </c>
      <c r="K412" s="66">
        <f t="shared" si="20"/>
        <v>2.40625348E-2</v>
      </c>
      <c r="L412" s="66">
        <f>'F13-Year(n+2)'!Q416</f>
        <v>0</v>
      </c>
      <c r="M412" s="66" t="e">
        <f>#REF!</f>
        <v>#REF!</v>
      </c>
      <c r="N412" s="66">
        <f>'F13-Year(n+3)'!Q419</f>
        <v>0</v>
      </c>
      <c r="O412" s="66">
        <f>'F13-Year(n+4)'!Q419</f>
        <v>0</v>
      </c>
      <c r="P412" s="66">
        <f>'F13-Year(n+5)'!Q419</f>
        <v>0</v>
      </c>
    </row>
    <row r="413" spans="3:16" x14ac:dyDescent="0.25">
      <c r="C413" s="17"/>
      <c r="D413" s="327" t="s">
        <v>442</v>
      </c>
      <c r="E413" s="66"/>
      <c r="F413" s="109">
        <f>'F13-Year(n-1)'!Q413</f>
        <v>0</v>
      </c>
      <c r="G413" s="66"/>
      <c r="H413" s="66"/>
      <c r="I413" s="66">
        <f>SUM('F13-Year(n)'!E410:J410)+SUM('F13-Year(n)'!E580:J580)</f>
        <v>4.6768101950000002E-2</v>
      </c>
      <c r="J413" s="66">
        <f>SUM('F13-Year(n)'!K410:P410)+SUM('F13-Year(n)'!K580:P580)</f>
        <v>0.40758229229549997</v>
      </c>
      <c r="K413" s="66">
        <f t="shared" si="20"/>
        <v>0.45435039424549994</v>
      </c>
      <c r="L413" s="66">
        <f>'F13-Year(n+2)'!Q417</f>
        <v>0</v>
      </c>
      <c r="M413" s="66" t="e">
        <f>#REF!</f>
        <v>#REF!</v>
      </c>
      <c r="N413" s="66">
        <f>'F13-Year(n+3)'!Q420</f>
        <v>0</v>
      </c>
      <c r="O413" s="66">
        <f>'F13-Year(n+4)'!Q420</f>
        <v>0</v>
      </c>
      <c r="P413" s="66">
        <f>'F13-Year(n+5)'!Q420</f>
        <v>0</v>
      </c>
    </row>
    <row r="414" spans="3:16" x14ac:dyDescent="0.25">
      <c r="C414" s="17"/>
      <c r="D414" s="425" t="s">
        <v>443</v>
      </c>
      <c r="E414" s="66"/>
      <c r="F414" s="109">
        <f>'F13-Year(n-1)'!Q414</f>
        <v>0</v>
      </c>
      <c r="G414" s="66"/>
      <c r="H414" s="66"/>
      <c r="I414" s="66">
        <f>SUM('F13-Year(n)'!E411:J411)+SUM('F13-Year(n)'!E581:J581)</f>
        <v>0</v>
      </c>
      <c r="J414" s="66">
        <f>SUM('F13-Year(n)'!K411:P411)+SUM('F13-Year(n)'!K581:P581)</f>
        <v>8.2980676000000003E-3</v>
      </c>
      <c r="K414" s="66">
        <f t="shared" si="20"/>
        <v>8.2980676000000003E-3</v>
      </c>
      <c r="L414" s="66">
        <f>'F13-Year(n+2)'!Q418</f>
        <v>0</v>
      </c>
      <c r="M414" s="66" t="e">
        <f>#REF!</f>
        <v>#REF!</v>
      </c>
      <c r="N414" s="66">
        <f>'F13-Year(n+3)'!Q421</f>
        <v>0</v>
      </c>
      <c r="O414" s="66">
        <f>'F13-Year(n+4)'!Q421</f>
        <v>0</v>
      </c>
      <c r="P414" s="66">
        <f>'F13-Year(n+5)'!Q421</f>
        <v>0</v>
      </c>
    </row>
    <row r="415" spans="3:16" x14ac:dyDescent="0.25">
      <c r="C415" s="17"/>
      <c r="D415" s="425" t="s">
        <v>444</v>
      </c>
      <c r="E415" s="66"/>
      <c r="F415" s="109">
        <f>'F13-Year(n-1)'!Q415</f>
        <v>0</v>
      </c>
      <c r="G415" s="66"/>
      <c r="H415" s="66"/>
      <c r="I415" s="66">
        <f>SUM('F13-Year(n)'!E412:J412)+SUM('F13-Year(n)'!E582:J582)</f>
        <v>0</v>
      </c>
      <c r="J415" s="66">
        <f>SUM('F13-Year(n)'!K412:P412)+SUM('F13-Year(n)'!K582:P582)</f>
        <v>0</v>
      </c>
      <c r="K415" s="66">
        <f t="shared" si="20"/>
        <v>0</v>
      </c>
      <c r="L415" s="66">
        <f>'F13-Year(n+2)'!Q419</f>
        <v>0</v>
      </c>
      <c r="M415" s="66" t="e">
        <f>#REF!</f>
        <v>#REF!</v>
      </c>
      <c r="N415" s="66">
        <f>'F13-Year(n+3)'!Q422</f>
        <v>0</v>
      </c>
      <c r="O415" s="66">
        <f>'F13-Year(n+4)'!Q422</f>
        <v>0</v>
      </c>
      <c r="P415" s="66">
        <f>'F13-Year(n+5)'!Q422</f>
        <v>0</v>
      </c>
    </row>
    <row r="416" spans="3:16" x14ac:dyDescent="0.25">
      <c r="C416" s="17"/>
      <c r="D416" s="325" t="s">
        <v>625</v>
      </c>
      <c r="E416" s="66"/>
      <c r="F416" s="109">
        <f>'F13-Year(n-1)'!Q416</f>
        <v>0.52445293305000007</v>
      </c>
      <c r="G416" s="66"/>
      <c r="H416" s="66"/>
      <c r="I416" s="66">
        <f>SUM('F13-Year(n)'!E413:J413)+SUM('F13-Year(n)'!E583:J583)</f>
        <v>0</v>
      </c>
      <c r="J416" s="66">
        <f>SUM('F13-Year(n)'!K413:P413)+SUM('F13-Year(n)'!K583:P583)</f>
        <v>0</v>
      </c>
      <c r="K416" s="66">
        <f t="shared" si="20"/>
        <v>0</v>
      </c>
      <c r="L416" s="66">
        <f>'F13-Year(n+2)'!Q420</f>
        <v>0</v>
      </c>
      <c r="M416" s="66" t="e">
        <f>#REF!</f>
        <v>#REF!</v>
      </c>
      <c r="N416" s="66">
        <f>'F13-Year(n+3)'!Q423</f>
        <v>0</v>
      </c>
      <c r="O416" s="66">
        <f>'F13-Year(n+4)'!Q423</f>
        <v>0</v>
      </c>
      <c r="P416" s="66">
        <f>'F13-Year(n+5)'!Q423</f>
        <v>0</v>
      </c>
    </row>
    <row r="417" spans="3:16" x14ac:dyDescent="0.25">
      <c r="C417" s="17"/>
      <c r="D417" s="17"/>
      <c r="E417" s="66"/>
      <c r="F417" s="109">
        <f>'F13-Year(n-1)'!Q417</f>
        <v>0</v>
      </c>
      <c r="G417" s="66"/>
      <c r="H417" s="66"/>
      <c r="I417" s="66">
        <f>SUM('F13-Year(n)'!E414:J414)+SUM('F13-Year(n)'!E584:J584)</f>
        <v>0</v>
      </c>
      <c r="J417" s="66">
        <f>SUM('F13-Year(n)'!K414:P414)+SUM('F13-Year(n)'!K584:P584)</f>
        <v>0</v>
      </c>
      <c r="K417" s="66">
        <f t="shared" si="20"/>
        <v>0</v>
      </c>
      <c r="L417" s="66">
        <f>'F13-Year(n+2)'!Q421</f>
        <v>0</v>
      </c>
      <c r="M417" s="66" t="e">
        <f>#REF!</f>
        <v>#REF!</v>
      </c>
      <c r="N417" s="66">
        <f>'F13-Year(n+3)'!Q424</f>
        <v>0</v>
      </c>
      <c r="O417" s="66">
        <f>'F13-Year(n+4)'!Q424</f>
        <v>0</v>
      </c>
      <c r="P417" s="66">
        <f>'F13-Year(n+5)'!Q424</f>
        <v>0</v>
      </c>
    </row>
    <row r="418" spans="3:16" x14ac:dyDescent="0.25">
      <c r="C418" s="17"/>
      <c r="D418" s="17"/>
      <c r="E418" s="66"/>
      <c r="F418" s="109">
        <f>'F13-Year(n-1)'!Q418</f>
        <v>0</v>
      </c>
      <c r="G418" s="66"/>
      <c r="H418" s="66"/>
      <c r="I418" s="66">
        <f>SUM('F13-Year(n)'!E415:J415)+SUM('F13-Year(n)'!E585:J585)</f>
        <v>0</v>
      </c>
      <c r="J418" s="66">
        <f>SUM('F13-Year(n)'!K415:P415)+SUM('F13-Year(n)'!K585:P585)</f>
        <v>0</v>
      </c>
      <c r="K418" s="66">
        <f t="shared" si="20"/>
        <v>0</v>
      </c>
      <c r="L418" s="66">
        <f>'F13-Year(n+2)'!Q422</f>
        <v>0</v>
      </c>
      <c r="M418" s="66" t="e">
        <f>#REF!</f>
        <v>#REF!</v>
      </c>
      <c r="N418" s="66">
        <f>'F13-Year(n+3)'!Q425</f>
        <v>0</v>
      </c>
      <c r="O418" s="66">
        <f>'F13-Year(n+4)'!Q425</f>
        <v>0</v>
      </c>
      <c r="P418" s="66">
        <f>'F13-Year(n+5)'!Q425</f>
        <v>0</v>
      </c>
    </row>
    <row r="419" spans="3:16" x14ac:dyDescent="0.25">
      <c r="C419" s="751" t="s">
        <v>212</v>
      </c>
      <c r="D419" s="752"/>
      <c r="E419" s="86" t="e">
        <f>SUM(E394:E418)</f>
        <v>#REF!</v>
      </c>
      <c r="F419" s="86">
        <f>SUM(F394:F418)</f>
        <v>1745.1222774462208</v>
      </c>
      <c r="G419" s="86" t="e">
        <f>F419-E419</f>
        <v>#REF!</v>
      </c>
      <c r="H419" s="86">
        <f>SUM(H394:H418)</f>
        <v>1637.2109050000001</v>
      </c>
      <c r="I419" s="86">
        <f>SUM(I394:I418)</f>
        <v>786.11542959991482</v>
      </c>
      <c r="J419" s="86">
        <f>SUM(J394:J418)</f>
        <v>1035.6661856976521</v>
      </c>
      <c r="K419" s="86">
        <f t="shared" si="20"/>
        <v>1821.781615297567</v>
      </c>
      <c r="L419" s="86">
        <f>'F13-Year(n+2)'!Q425</f>
        <v>2132.29222435776</v>
      </c>
      <c r="M419" s="86" t="e">
        <f>#REF!</f>
        <v>#REF!</v>
      </c>
      <c r="N419" s="86">
        <f>'F13-Year(n+3)'!Q428</f>
        <v>2153.82322999189</v>
      </c>
      <c r="O419" s="86">
        <f>'F13-Year(n+4)'!Q428</f>
        <v>2318.4254228561499</v>
      </c>
      <c r="P419" s="86">
        <f>'F13-Year(n+5)'!Q428</f>
        <v>2573.5854298515392</v>
      </c>
    </row>
    <row r="420" spans="3:16" x14ac:dyDescent="0.25">
      <c r="C420" s="753" t="s">
        <v>387</v>
      </c>
      <c r="D420" s="754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</row>
    <row r="421" spans="3:16" x14ac:dyDescent="0.25">
      <c r="C421" s="805" t="s">
        <v>388</v>
      </c>
      <c r="D421" s="17" t="s">
        <v>389</v>
      </c>
      <c r="E421" s="66">
        <f>'[48]PP Cost'!K111</f>
        <v>3.7313149999999999</v>
      </c>
      <c r="F421" s="109">
        <f>'F13-Year(n-1)'!Q421</f>
        <v>5.5771083277499995</v>
      </c>
      <c r="G421" s="66"/>
      <c r="H421" s="66">
        <f>'[49]PP Cost'!K115</f>
        <v>4.2231299999999994</v>
      </c>
      <c r="I421" s="66">
        <f>SUM('F13-Year(n)'!E418:J418)+SUM('F13-Year(n)'!E588:J588)</f>
        <v>1.7447701681500001</v>
      </c>
      <c r="J421" s="66">
        <f>SUM('F13-Year(n)'!K418:P418)+SUM('F13-Year(n)'!K588:P588)</f>
        <v>3.0085316898499999</v>
      </c>
      <c r="K421" s="66">
        <f t="shared" ref="K421:K436" si="21">I421+J421</f>
        <v>4.7533018580000004</v>
      </c>
      <c r="L421" s="66">
        <f>'F13-Year(n+2)'!Q427</f>
        <v>15.556552573743067</v>
      </c>
      <c r="M421" s="66" t="e">
        <f>#REF!</f>
        <v>#REF!</v>
      </c>
      <c r="N421" s="66">
        <f>'F13-Year(n+3)'!Q430</f>
        <v>14.14386514549029</v>
      </c>
      <c r="O421" s="66">
        <f>'F13-Year(n+4)'!Q430</f>
        <v>14.38899139216578</v>
      </c>
      <c r="P421" s="66">
        <f>'F13-Year(n+5)'!Q430</f>
        <v>14.658951811517092</v>
      </c>
    </row>
    <row r="422" spans="3:16" x14ac:dyDescent="0.25">
      <c r="C422" s="806"/>
      <c r="D422" s="17" t="s">
        <v>390</v>
      </c>
      <c r="E422" s="66">
        <f>'[48]PP Cost'!K112</f>
        <v>46.395529999999994</v>
      </c>
      <c r="F422" s="109">
        <f>'F13-Year(n-1)'!Q422</f>
        <v>122.70574103635001</v>
      </c>
      <c r="G422" s="66"/>
      <c r="H422" s="66">
        <f>'[49]PP Cost'!K116</f>
        <v>43.774479999999997</v>
      </c>
      <c r="I422" s="66">
        <f>SUM('F13-Year(n)'!E419:J419)+SUM('F13-Year(n)'!E589:J589)</f>
        <v>56.184283505099998</v>
      </c>
      <c r="J422" s="66">
        <f>SUM('F13-Year(n)'!K419:P419)+SUM('F13-Year(n)'!K589:P589)</f>
        <v>56.488642599400002</v>
      </c>
      <c r="K422" s="66">
        <f t="shared" si="21"/>
        <v>112.67292610449999</v>
      </c>
      <c r="L422" s="66">
        <f>'F13-Year(n+2)'!Q428</f>
        <v>64.573050066336407</v>
      </c>
      <c r="M422" s="66" t="e">
        <f>#REF!</f>
        <v>#REF!</v>
      </c>
      <c r="N422" s="66">
        <f>'F13-Year(n+3)'!Q431</f>
        <v>60.608236636635311</v>
      </c>
      <c r="O422" s="66">
        <f>'F13-Year(n+4)'!Q431</f>
        <v>61.65863335715941</v>
      </c>
      <c r="P422" s="66">
        <f>'F13-Year(n+5)'!Q431</f>
        <v>62.815447623292762</v>
      </c>
    </row>
    <row r="423" spans="3:16" x14ac:dyDescent="0.25">
      <c r="C423" s="806"/>
      <c r="D423" s="17" t="s">
        <v>391</v>
      </c>
      <c r="E423" s="66">
        <f>'[48]PP Cost'!K113</f>
        <v>46.145204999999997</v>
      </c>
      <c r="F423" s="109">
        <f>'F13-Year(n-1)'!Q423</f>
        <v>0</v>
      </c>
      <c r="G423" s="66"/>
      <c r="H423" s="66">
        <f>'[49]PP Cost'!K117</f>
        <v>47.435114999999996</v>
      </c>
      <c r="I423" s="66">
        <f>SUM('F13-Year(n)'!E420:J420)+SUM('F13-Year(n)'!E590:J590)</f>
        <v>0</v>
      </c>
      <c r="J423" s="66">
        <f>SUM('F13-Year(n)'!K420:P420)+SUM('F13-Year(n)'!K590:P590)</f>
        <v>0</v>
      </c>
      <c r="K423" s="66">
        <f t="shared" si="21"/>
        <v>0</v>
      </c>
      <c r="L423" s="66">
        <f>'F13-Year(n+2)'!Q429</f>
        <v>49.273567208434862</v>
      </c>
      <c r="M423" s="66" t="e">
        <f>#REF!</f>
        <v>#REF!</v>
      </c>
      <c r="N423" s="66">
        <f>'F13-Year(n+3)'!Q432</f>
        <v>60.608236636635311</v>
      </c>
      <c r="O423" s="66">
        <f>'F13-Year(n+4)'!Q432</f>
        <v>61.65863335715941</v>
      </c>
      <c r="P423" s="66">
        <f>'F13-Year(n+5)'!Q432</f>
        <v>62.815447623292762</v>
      </c>
    </row>
    <row r="424" spans="3:16" x14ac:dyDescent="0.25">
      <c r="C424" s="807"/>
      <c r="D424" s="17" t="s">
        <v>392</v>
      </c>
      <c r="E424" s="66">
        <f>'[48]PP Cost'!K114</f>
        <v>33.193095</v>
      </c>
      <c r="F424" s="109">
        <f>'F13-Year(n-1)'!Q424</f>
        <v>45.760736634149985</v>
      </c>
      <c r="G424" s="66"/>
      <c r="H424" s="66">
        <f>'[49]PP Cost'!K118</f>
        <v>41.00029</v>
      </c>
      <c r="I424" s="66">
        <f>SUM('F13-Year(n)'!E421:J421)+SUM('F13-Year(n)'!E591:J591)</f>
        <v>15.770495909499999</v>
      </c>
      <c r="J424" s="66">
        <f>SUM('F13-Year(n)'!K421:P421)+SUM('F13-Year(n)'!K591:P591)</f>
        <v>26.394929181949998</v>
      </c>
      <c r="K424" s="66">
        <f t="shared" si="21"/>
        <v>42.165425091449997</v>
      </c>
      <c r="L424" s="66">
        <f>'F13-Year(n+2)'!Q430</f>
        <v>62.514819704419637</v>
      </c>
      <c r="M424" s="66" t="e">
        <f>#REF!</f>
        <v>#REF!</v>
      </c>
      <c r="N424" s="66">
        <f>'F13-Year(n+3)'!Q433</f>
        <v>56.827424350046527</v>
      </c>
      <c r="O424" s="66">
        <f>'F13-Year(n+4)'!Q433</f>
        <v>57.812296101570773</v>
      </c>
      <c r="P424" s="66">
        <f>'F13-Year(n+5)'!Q433</f>
        <v>58.89694694844944</v>
      </c>
    </row>
    <row r="425" spans="3:16" hidden="1" x14ac:dyDescent="0.25">
      <c r="C425" s="17"/>
      <c r="D425" s="17"/>
      <c r="E425" s="66"/>
      <c r="F425" s="109">
        <f>'F13-Year(n-1)'!Q399</f>
        <v>185.63708694410673</v>
      </c>
      <c r="G425" s="66"/>
      <c r="H425" s="66"/>
      <c r="I425" s="66">
        <f>SUM('F13-Year(n)'!E422:J422)+SUM('F13-Year(n)'!E592:J592)</f>
        <v>0</v>
      </c>
      <c r="J425" s="66">
        <f>SUM('F13-Year(n)'!K422:P422)+SUM('F13-Year(n)'!K592:P592)</f>
        <v>0</v>
      </c>
      <c r="K425" s="66">
        <f t="shared" si="21"/>
        <v>0</v>
      </c>
      <c r="L425" s="66">
        <f>'F13-Year(n+2)'!Q431</f>
        <v>0</v>
      </c>
      <c r="M425" s="66" t="e">
        <f>#REF!</f>
        <v>#REF!</v>
      </c>
      <c r="N425" s="66">
        <f>'F13-Year(n+3)'!Q434</f>
        <v>0</v>
      </c>
      <c r="O425" s="66">
        <f>'F13-Year(n+4)'!Q434</f>
        <v>0</v>
      </c>
      <c r="P425" s="66">
        <f>'F13-Year(n+5)'!Q434</f>
        <v>0</v>
      </c>
    </row>
    <row r="426" spans="3:16" hidden="1" x14ac:dyDescent="0.25">
      <c r="C426" s="17"/>
      <c r="D426" s="17"/>
      <c r="E426" s="66"/>
      <c r="F426" s="109">
        <f>'F13-Year(n-1)'!Q400</f>
        <v>215.59386030251994</v>
      </c>
      <c r="G426" s="66"/>
      <c r="H426" s="66"/>
      <c r="I426" s="66">
        <f>SUM('F13-Year(n)'!E423:J423)+SUM('F13-Year(n)'!E593:J593)</f>
        <v>0</v>
      </c>
      <c r="J426" s="66">
        <f>SUM('F13-Year(n)'!K423:P423)+SUM('F13-Year(n)'!K593:P593)</f>
        <v>0</v>
      </c>
      <c r="K426" s="66">
        <f t="shared" si="21"/>
        <v>0</v>
      </c>
      <c r="L426" s="66">
        <f>'F13-Year(n+2)'!Q432</f>
        <v>0</v>
      </c>
      <c r="M426" s="66" t="e">
        <f>#REF!</f>
        <v>#REF!</v>
      </c>
      <c r="N426" s="66">
        <f>'F13-Year(n+3)'!Q435</f>
        <v>0</v>
      </c>
      <c r="O426" s="66">
        <f>'F13-Year(n+4)'!Q435</f>
        <v>0</v>
      </c>
      <c r="P426" s="66">
        <f>'F13-Year(n+5)'!Q435</f>
        <v>0</v>
      </c>
    </row>
    <row r="427" spans="3:16" hidden="1" x14ac:dyDescent="0.25">
      <c r="C427" s="17"/>
      <c r="D427" s="17"/>
      <c r="E427" s="66"/>
      <c r="F427" s="109">
        <f>'F13-Year(n-1)'!Q401</f>
        <v>59.216796275909232</v>
      </c>
      <c r="G427" s="66"/>
      <c r="H427" s="66"/>
      <c r="I427" s="66">
        <f>SUM('F13-Year(n)'!E424:J424)+SUM('F13-Year(n)'!E594:J594)</f>
        <v>0</v>
      </c>
      <c r="J427" s="66">
        <f>SUM('F13-Year(n)'!K424:P424)+SUM('F13-Year(n)'!K594:P594)</f>
        <v>0</v>
      </c>
      <c r="K427" s="66">
        <f t="shared" si="21"/>
        <v>0</v>
      </c>
      <c r="L427" s="66">
        <f>'F13-Year(n+2)'!Q433</f>
        <v>0</v>
      </c>
      <c r="M427" s="66" t="e">
        <f>#REF!</f>
        <v>#REF!</v>
      </c>
      <c r="N427" s="66">
        <f>'F13-Year(n+3)'!Q436</f>
        <v>0</v>
      </c>
      <c r="O427" s="66">
        <f>'F13-Year(n+4)'!Q436</f>
        <v>0</v>
      </c>
      <c r="P427" s="66">
        <f>'F13-Year(n+5)'!Q436</f>
        <v>0</v>
      </c>
    </row>
    <row r="428" spans="3:16" hidden="1" x14ac:dyDescent="0.25">
      <c r="C428" s="17"/>
      <c r="D428" s="17"/>
      <c r="E428" s="66"/>
      <c r="F428" s="109">
        <f>'F13-Year(n-1)'!Q402</f>
        <v>0</v>
      </c>
      <c r="G428" s="66"/>
      <c r="H428" s="66"/>
      <c r="I428" s="66">
        <f>SUM('F13-Year(n)'!E425:J425)+SUM('F13-Year(n)'!E595:J595)</f>
        <v>0</v>
      </c>
      <c r="J428" s="66">
        <f>SUM('F13-Year(n)'!K425:P425)+SUM('F13-Year(n)'!K595:P595)</f>
        <v>0</v>
      </c>
      <c r="K428" s="66">
        <f t="shared" si="21"/>
        <v>0</v>
      </c>
      <c r="L428" s="66">
        <f>'F13-Year(n+2)'!Q434</f>
        <v>0</v>
      </c>
      <c r="M428" s="66" t="e">
        <f>#REF!</f>
        <v>#REF!</v>
      </c>
      <c r="N428" s="66">
        <f>'F13-Year(n+3)'!Q437</f>
        <v>0</v>
      </c>
      <c r="O428" s="66">
        <f>'F13-Year(n+4)'!Q437</f>
        <v>0</v>
      </c>
      <c r="P428" s="66">
        <f>'F13-Year(n+5)'!Q437</f>
        <v>0</v>
      </c>
    </row>
    <row r="429" spans="3:16" hidden="1" x14ac:dyDescent="0.25">
      <c r="C429" s="17"/>
      <c r="D429" s="17"/>
      <c r="E429" s="66"/>
      <c r="F429" s="109">
        <f>'F13-Year(n-1)'!Q403</f>
        <v>30.256200607772563</v>
      </c>
      <c r="G429" s="66"/>
      <c r="H429" s="66"/>
      <c r="I429" s="66">
        <f>SUM('F13-Year(n)'!E426:J426)+SUM('F13-Year(n)'!E596:J596)</f>
        <v>0</v>
      </c>
      <c r="J429" s="66">
        <f>SUM('F13-Year(n)'!K426:P426)+SUM('F13-Year(n)'!K596:P596)</f>
        <v>0</v>
      </c>
      <c r="K429" s="66">
        <f t="shared" si="21"/>
        <v>0</v>
      </c>
      <c r="L429" s="66">
        <f>'F13-Year(n+2)'!Q435</f>
        <v>0</v>
      </c>
      <c r="M429" s="66" t="e">
        <f>#REF!</f>
        <v>#REF!</v>
      </c>
      <c r="N429" s="66">
        <f>'F13-Year(n+3)'!Q438</f>
        <v>0</v>
      </c>
      <c r="O429" s="66">
        <f>'F13-Year(n+4)'!Q438</f>
        <v>0</v>
      </c>
      <c r="P429" s="66">
        <f>'F13-Year(n+5)'!Q438</f>
        <v>0</v>
      </c>
    </row>
    <row r="430" spans="3:16" hidden="1" x14ac:dyDescent="0.25">
      <c r="C430" s="17"/>
      <c r="D430" s="17"/>
      <c r="E430" s="66"/>
      <c r="F430" s="109">
        <f>'F13-Year(n-1)'!Q404</f>
        <v>8.0469992448046508</v>
      </c>
      <c r="G430" s="66"/>
      <c r="H430" s="66"/>
      <c r="I430" s="66">
        <f>SUM('F13-Year(n)'!E427:J427)+SUM('F13-Year(n)'!E597:J597)</f>
        <v>0</v>
      </c>
      <c r="J430" s="66">
        <f>SUM('F13-Year(n)'!K427:P427)+SUM('F13-Year(n)'!K597:P597)</f>
        <v>0</v>
      </c>
      <c r="K430" s="66">
        <f t="shared" si="21"/>
        <v>0</v>
      </c>
      <c r="L430" s="66">
        <f>'F13-Year(n+2)'!Q436</f>
        <v>0</v>
      </c>
      <c r="M430" s="66" t="e">
        <f>#REF!</f>
        <v>#REF!</v>
      </c>
      <c r="N430" s="66">
        <f>'F13-Year(n+3)'!Q439</f>
        <v>0</v>
      </c>
      <c r="O430" s="66">
        <f>'F13-Year(n+4)'!Q439</f>
        <v>0</v>
      </c>
      <c r="P430" s="66">
        <f>'F13-Year(n+5)'!Q439</f>
        <v>0</v>
      </c>
    </row>
    <row r="431" spans="3:16" hidden="1" x14ac:dyDescent="0.25">
      <c r="C431" s="17"/>
      <c r="D431" s="17"/>
      <c r="E431" s="66"/>
      <c r="F431" s="109">
        <f>'F13-Year(n-1)'!Q405</f>
        <v>28.732562827629398</v>
      </c>
      <c r="G431" s="66"/>
      <c r="H431" s="66"/>
      <c r="I431" s="66">
        <f>SUM('F13-Year(n)'!E428:J428)+SUM('F13-Year(n)'!E598:J598)</f>
        <v>0</v>
      </c>
      <c r="J431" s="66">
        <f>SUM('F13-Year(n)'!K428:P428)+SUM('F13-Year(n)'!K598:P598)</f>
        <v>0</v>
      </c>
      <c r="K431" s="66">
        <f t="shared" si="21"/>
        <v>0</v>
      </c>
      <c r="L431" s="66">
        <f>'F13-Year(n+2)'!Q437</f>
        <v>0</v>
      </c>
      <c r="M431" s="66" t="e">
        <f>#REF!</f>
        <v>#REF!</v>
      </c>
      <c r="N431" s="66">
        <f>'F13-Year(n+3)'!Q440</f>
        <v>0</v>
      </c>
      <c r="O431" s="66">
        <f>'F13-Year(n+4)'!Q440</f>
        <v>0</v>
      </c>
      <c r="P431" s="66">
        <f>'F13-Year(n+5)'!Q440</f>
        <v>0</v>
      </c>
    </row>
    <row r="432" spans="3:16" hidden="1" x14ac:dyDescent="0.25">
      <c r="C432" s="17"/>
      <c r="D432" s="17"/>
      <c r="E432" s="66"/>
      <c r="F432" s="109">
        <f>'F13-Year(n-1)'!Q406</f>
        <v>1.7617461776041998</v>
      </c>
      <c r="G432" s="66"/>
      <c r="H432" s="66"/>
      <c r="I432" s="66">
        <f>SUM('F13-Year(n)'!E429:J429)+SUM('F13-Year(n)'!E599:J599)</f>
        <v>0</v>
      </c>
      <c r="J432" s="66">
        <f>SUM('F13-Year(n)'!K429:P429)+SUM('F13-Year(n)'!K599:P599)</f>
        <v>0</v>
      </c>
      <c r="K432" s="66">
        <f t="shared" si="21"/>
        <v>0</v>
      </c>
      <c r="L432" s="66">
        <f>'F13-Year(n+2)'!Q438</f>
        <v>0</v>
      </c>
      <c r="M432" s="66" t="e">
        <f>#REF!</f>
        <v>#REF!</v>
      </c>
      <c r="N432" s="66">
        <f>'F13-Year(n+3)'!Q441</f>
        <v>0</v>
      </c>
      <c r="O432" s="66">
        <f>'F13-Year(n+4)'!Q441</f>
        <v>0</v>
      </c>
      <c r="P432" s="66">
        <f>'F13-Year(n+5)'!Q441</f>
        <v>0</v>
      </c>
    </row>
    <row r="433" spans="3:16" hidden="1" x14ac:dyDescent="0.25">
      <c r="C433" s="17"/>
      <c r="D433" s="17"/>
      <c r="E433" s="66"/>
      <c r="F433" s="109">
        <f>'F13-Year(n-1)'!Q407</f>
        <v>0.79298574894999996</v>
      </c>
      <c r="G433" s="66"/>
      <c r="H433" s="66"/>
      <c r="I433" s="66">
        <f>SUM('F13-Year(n)'!E430:J430)+SUM('F13-Year(n)'!E600:J600)</f>
        <v>0</v>
      </c>
      <c r="J433" s="66">
        <f>SUM('F13-Year(n)'!K430:P430)+SUM('F13-Year(n)'!K600:P600)</f>
        <v>0</v>
      </c>
      <c r="K433" s="66">
        <f t="shared" si="21"/>
        <v>0</v>
      </c>
      <c r="L433" s="66">
        <f>'F13-Year(n+2)'!Q439</f>
        <v>0</v>
      </c>
      <c r="M433" s="66" t="e">
        <f>#REF!</f>
        <v>#REF!</v>
      </c>
      <c r="N433" s="66">
        <f>'F13-Year(n+3)'!Q442</f>
        <v>0</v>
      </c>
      <c r="O433" s="66">
        <f>'F13-Year(n+4)'!Q442</f>
        <v>0</v>
      </c>
      <c r="P433" s="66">
        <f>'F13-Year(n+5)'!Q442</f>
        <v>0</v>
      </c>
    </row>
    <row r="434" spans="3:16" hidden="1" x14ac:dyDescent="0.25">
      <c r="C434" s="17"/>
      <c r="D434" s="17"/>
      <c r="E434" s="66"/>
      <c r="F434" s="109">
        <f>'F13-Year(n-1)'!Q408</f>
        <v>73.955913956536747</v>
      </c>
      <c r="G434" s="66"/>
      <c r="H434" s="66"/>
      <c r="I434" s="66">
        <f>SUM('F13-Year(n)'!E431:J431)+SUM('F13-Year(n)'!E601:J601)</f>
        <v>0</v>
      </c>
      <c r="J434" s="66">
        <f>SUM('F13-Year(n)'!K431:P431)+SUM('F13-Year(n)'!K601:P601)</f>
        <v>0</v>
      </c>
      <c r="K434" s="66">
        <f t="shared" si="21"/>
        <v>0</v>
      </c>
      <c r="L434" s="66">
        <f>'F13-Year(n+2)'!Q440</f>
        <v>0</v>
      </c>
      <c r="M434" s="66" t="e">
        <f>#REF!</f>
        <v>#REF!</v>
      </c>
      <c r="N434" s="66">
        <f>'F13-Year(n+3)'!Q443</f>
        <v>0</v>
      </c>
      <c r="O434" s="66">
        <f>'F13-Year(n+4)'!Q443</f>
        <v>0</v>
      </c>
      <c r="P434" s="66">
        <f>'F13-Year(n+5)'!Q443</f>
        <v>0</v>
      </c>
    </row>
    <row r="435" spans="3:16" x14ac:dyDescent="0.25">
      <c r="C435" s="751" t="s">
        <v>212</v>
      </c>
      <c r="D435" s="752"/>
      <c r="E435" s="86">
        <f>SUM(E421:E434)</f>
        <v>129.46514500000001</v>
      </c>
      <c r="F435" s="86">
        <f>SUM(F421:F434)</f>
        <v>778.03773808408346</v>
      </c>
      <c r="G435" s="86">
        <f>F435-E435</f>
        <v>648.57259308408345</v>
      </c>
      <c r="H435" s="86">
        <f>SUM(H421:H434)</f>
        <v>136.43301499999998</v>
      </c>
      <c r="I435" s="86">
        <f>SUM(I421:I434)</f>
        <v>73.699549582749995</v>
      </c>
      <c r="J435" s="86">
        <f>SUM(J421:J434)</f>
        <v>85.892103471200002</v>
      </c>
      <c r="K435" s="86">
        <f t="shared" si="21"/>
        <v>159.59165305394998</v>
      </c>
      <c r="L435" s="86">
        <f>'F13-Year(n+2)'!Q441</f>
        <v>191.91798955293396</v>
      </c>
      <c r="M435" s="86" t="e">
        <f>#REF!</f>
        <v>#REF!</v>
      </c>
      <c r="N435" s="86">
        <f>'F13-Year(n+3)'!Q444</f>
        <v>192.18776276880749</v>
      </c>
      <c r="O435" s="86">
        <f>'F13-Year(n+4)'!Q444</f>
        <v>195.51855420805538</v>
      </c>
      <c r="P435" s="86">
        <f>'F13-Year(n+5)'!Q444</f>
        <v>199.18679400655211</v>
      </c>
    </row>
    <row r="436" spans="3:16" x14ac:dyDescent="0.25">
      <c r="C436" s="753" t="s">
        <v>394</v>
      </c>
      <c r="D436" s="754"/>
      <c r="E436" s="86" t="e">
        <f>E419+E435</f>
        <v>#REF!</v>
      </c>
      <c r="F436" s="86">
        <f>F419+F435</f>
        <v>2523.160015530304</v>
      </c>
      <c r="G436" s="86" t="e">
        <f>F436-E436</f>
        <v>#REF!</v>
      </c>
      <c r="H436" s="86">
        <f>H419+H435</f>
        <v>1773.6439200000002</v>
      </c>
      <c r="I436" s="86">
        <f>I419+I435</f>
        <v>859.81497918266484</v>
      </c>
      <c r="J436" s="86">
        <f>J419+J435</f>
        <v>1121.5582891688521</v>
      </c>
      <c r="K436" s="86">
        <f t="shared" si="21"/>
        <v>1981.3732683515168</v>
      </c>
      <c r="L436" s="86">
        <f>'F13-Year(n+2)'!Q442</f>
        <v>2324.2102139106942</v>
      </c>
      <c r="M436" s="86" t="e">
        <f>#REF!</f>
        <v>#REF!</v>
      </c>
      <c r="N436" s="86">
        <f>'F13-Year(n+3)'!Q445</f>
        <v>2346.0109927606973</v>
      </c>
      <c r="O436" s="86">
        <f>'F13-Year(n+4)'!Q445</f>
        <v>2513.9439770642052</v>
      </c>
      <c r="P436" s="86">
        <f>'F13-Year(n+5)'!Q445</f>
        <v>2772.7722238580914</v>
      </c>
    </row>
    <row r="437" spans="3:16" x14ac:dyDescent="0.25">
      <c r="C437" s="800" t="s">
        <v>395</v>
      </c>
      <c r="D437" s="801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</row>
    <row r="438" spans="3:16" x14ac:dyDescent="0.25">
      <c r="C438" s="17" t="s">
        <v>396</v>
      </c>
      <c r="D438" s="17" t="s">
        <v>396</v>
      </c>
      <c r="E438" s="66">
        <f>'[48]PP Cost'!K131</f>
        <v>157.12163999999999</v>
      </c>
      <c r="F438" s="109">
        <f>'F13-Year(n-1)'!Q438</f>
        <v>388.23174924950001</v>
      </c>
      <c r="G438" s="66"/>
      <c r="H438" s="66">
        <f>'[49]PP Cost'!K137</f>
        <v>150.30979764999998</v>
      </c>
      <c r="I438" s="66">
        <f>SUM('F13-Year(n)'!E435:J435)+SUM('F13-Year(n)'!E605:J605)</f>
        <v>194.8089130226</v>
      </c>
      <c r="J438" s="66">
        <f>SUM('F13-Year(n)'!K435:P435)+SUM('F13-Year(n)'!K605:P605)</f>
        <v>158.98144758145</v>
      </c>
      <c r="K438" s="66">
        <f t="shared" ref="K438:K445" si="22">I438+J438</f>
        <v>353.79036060404997</v>
      </c>
      <c r="L438" s="66">
        <f>'F13-Year(n+2)'!Q444</f>
        <v>149.20321346653475</v>
      </c>
      <c r="M438" s="66" t="e">
        <f>#REF!</f>
        <v>#REF!</v>
      </c>
      <c r="N438" s="66">
        <f>'F13-Year(n+3)'!Q447</f>
        <v>143.57024259549496</v>
      </c>
      <c r="O438" s="66">
        <f>'F13-Year(n+4)'!Q447</f>
        <v>154.13857611734454</v>
      </c>
      <c r="P438" s="66">
        <f>'F13-Year(n+5)'!Q447</f>
        <v>173.45228407161775</v>
      </c>
    </row>
    <row r="439" spans="3:16" x14ac:dyDescent="0.25">
      <c r="C439" s="17" t="s">
        <v>397</v>
      </c>
      <c r="D439" s="17" t="s">
        <v>397</v>
      </c>
      <c r="E439" s="66">
        <f>'[48]PP Cost'!K132</f>
        <v>342.77149500000002</v>
      </c>
      <c r="F439" s="109">
        <f>'F13-Year(n-1)'!Q439</f>
        <v>123.87034398308649</v>
      </c>
      <c r="G439" s="66"/>
      <c r="H439" s="66">
        <f>'[49]PP Cost'!K138</f>
        <v>509.83747405999998</v>
      </c>
      <c r="I439" s="66">
        <f>SUM('F13-Year(n)'!E436:J436)+SUM('F13-Year(n)'!E606:J606)</f>
        <v>89.548096695520144</v>
      </c>
      <c r="J439" s="66">
        <f>SUM('F13-Year(n)'!K436:P436)+SUM('F13-Year(n)'!K606:P606)</f>
        <v>83.586959965553902</v>
      </c>
      <c r="K439" s="66">
        <f t="shared" si="22"/>
        <v>173.13505666107403</v>
      </c>
      <c r="L439" s="66">
        <f>'F13-Year(n+2)'!Q445</f>
        <v>0</v>
      </c>
      <c r="M439" s="66" t="e">
        <f>#REF!</f>
        <v>#REF!</v>
      </c>
      <c r="N439" s="66">
        <f>'F13-Year(n+3)'!Q448</f>
        <v>0</v>
      </c>
      <c r="O439" s="66">
        <f>'F13-Year(n+4)'!Q448</f>
        <v>0</v>
      </c>
      <c r="P439" s="66">
        <f>'F13-Year(n+5)'!Q448</f>
        <v>0</v>
      </c>
    </row>
    <row r="440" spans="3:16" hidden="1" x14ac:dyDescent="0.25">
      <c r="C440" s="17"/>
      <c r="D440" s="17"/>
      <c r="E440" s="66"/>
      <c r="F440" s="109">
        <f>'F13-Year(n-1)'!Q440</f>
        <v>0</v>
      </c>
      <c r="G440" s="66"/>
      <c r="H440" s="66"/>
      <c r="I440" s="66">
        <f>SUM('F13-Year(n)'!E437:J437)+SUM('F13-Year(n)'!E607:J607)</f>
        <v>0</v>
      </c>
      <c r="J440" s="66">
        <f>SUM('F13-Year(n)'!K437:P437)+SUM('F13-Year(n)'!K607:P607)</f>
        <v>0</v>
      </c>
      <c r="K440" s="66">
        <f t="shared" si="22"/>
        <v>0</v>
      </c>
      <c r="L440" s="66">
        <f>'F13-Year(n+2)'!Q446</f>
        <v>0</v>
      </c>
      <c r="M440" s="66" t="e">
        <f>#REF!</f>
        <v>#REF!</v>
      </c>
      <c r="N440" s="66">
        <f>'F13-Year(n+3)'!Q449</f>
        <v>0</v>
      </c>
      <c r="O440" s="66">
        <f>'F13-Year(n+4)'!Q449</f>
        <v>0</v>
      </c>
      <c r="P440" s="66">
        <f>'F13-Year(n+5)'!Q449</f>
        <v>0</v>
      </c>
    </row>
    <row r="441" spans="3:16" hidden="1" x14ac:dyDescent="0.25">
      <c r="C441" s="17"/>
      <c r="D441" s="17"/>
      <c r="E441" s="66"/>
      <c r="F441" s="109">
        <f>'F13-Year(n-1)'!Q441</f>
        <v>0</v>
      </c>
      <c r="G441" s="66"/>
      <c r="H441" s="66"/>
      <c r="I441" s="66">
        <f>SUM('F13-Year(n)'!E438:J438)+SUM('F13-Year(n)'!E608:J608)</f>
        <v>0</v>
      </c>
      <c r="J441" s="66">
        <f>SUM('F13-Year(n)'!K438:P438)+SUM('F13-Year(n)'!K608:P608)</f>
        <v>0</v>
      </c>
      <c r="K441" s="66">
        <f t="shared" si="22"/>
        <v>0</v>
      </c>
      <c r="L441" s="66">
        <f>'F13-Year(n+2)'!Q447</f>
        <v>0</v>
      </c>
      <c r="M441" s="66" t="e">
        <f>#REF!</f>
        <v>#REF!</v>
      </c>
      <c r="N441" s="66">
        <f>'F13-Year(n+3)'!Q450</f>
        <v>0</v>
      </c>
      <c r="O441" s="66">
        <f>'F13-Year(n+4)'!Q450</f>
        <v>0</v>
      </c>
      <c r="P441" s="66">
        <f>'F13-Year(n+5)'!Q450</f>
        <v>0</v>
      </c>
    </row>
    <row r="442" spans="3:16" hidden="1" x14ac:dyDescent="0.25">
      <c r="C442" s="17"/>
      <c r="D442" s="17"/>
      <c r="E442" s="66"/>
      <c r="F442" s="109">
        <f>'F13-Year(n-1)'!Q442</f>
        <v>0</v>
      </c>
      <c r="G442" s="66"/>
      <c r="H442" s="66"/>
      <c r="I442" s="66">
        <f>SUM('F13-Year(n)'!E439:J439)+SUM('F13-Year(n)'!E609:J609)</f>
        <v>0</v>
      </c>
      <c r="J442" s="66">
        <f>SUM('F13-Year(n)'!K439:P439)+SUM('F13-Year(n)'!K609:P609)</f>
        <v>0</v>
      </c>
      <c r="K442" s="66">
        <f t="shared" si="22"/>
        <v>0</v>
      </c>
      <c r="L442" s="66">
        <f>'F13-Year(n+2)'!Q448</f>
        <v>0</v>
      </c>
      <c r="M442" s="66" t="e">
        <f>#REF!</f>
        <v>#REF!</v>
      </c>
      <c r="N442" s="66">
        <f>'F13-Year(n+3)'!Q451</f>
        <v>0</v>
      </c>
      <c r="O442" s="66">
        <f>'F13-Year(n+4)'!Q451</f>
        <v>0</v>
      </c>
      <c r="P442" s="66">
        <f>'F13-Year(n+5)'!Q451</f>
        <v>0</v>
      </c>
    </row>
    <row r="443" spans="3:16" hidden="1" x14ac:dyDescent="0.25">
      <c r="C443" s="17"/>
      <c r="D443" s="17"/>
      <c r="E443" s="66"/>
      <c r="F443" s="109">
        <f>'F13-Year(n-1)'!Q443</f>
        <v>0</v>
      </c>
      <c r="G443" s="66"/>
      <c r="H443" s="66"/>
      <c r="I443" s="66">
        <f>SUM('F13-Year(n)'!E440:J440)+SUM('F13-Year(n)'!E610:J610)</f>
        <v>0</v>
      </c>
      <c r="J443" s="66">
        <f>SUM('F13-Year(n)'!K440:P440)+SUM('F13-Year(n)'!K610:P610)</f>
        <v>0</v>
      </c>
      <c r="K443" s="66">
        <f t="shared" si="22"/>
        <v>0</v>
      </c>
      <c r="L443" s="66">
        <f>'F13-Year(n+2)'!Q449</f>
        <v>0</v>
      </c>
      <c r="M443" s="66" t="e">
        <f>#REF!</f>
        <v>#REF!</v>
      </c>
      <c r="N443" s="66">
        <f>'F13-Year(n+3)'!Q452</f>
        <v>0</v>
      </c>
      <c r="O443" s="66">
        <f>'F13-Year(n+4)'!Q452</f>
        <v>0</v>
      </c>
      <c r="P443" s="66">
        <f>'F13-Year(n+5)'!Q452</f>
        <v>0</v>
      </c>
    </row>
    <row r="444" spans="3:16" hidden="1" x14ac:dyDescent="0.25">
      <c r="C444" s="17"/>
      <c r="D444" s="17"/>
      <c r="E444" s="66"/>
      <c r="F444" s="109">
        <f>'F13-Year(n-1)'!Q444</f>
        <v>0</v>
      </c>
      <c r="G444" s="66"/>
      <c r="H444" s="66"/>
      <c r="I444" s="66">
        <f>SUM('F13-Year(n)'!E441:J441)+SUM('F13-Year(n)'!E611:J611)</f>
        <v>0</v>
      </c>
      <c r="J444" s="66">
        <f>SUM('F13-Year(n)'!K441:P441)+SUM('F13-Year(n)'!K611:P611)</f>
        <v>0</v>
      </c>
      <c r="K444" s="66">
        <f t="shared" si="22"/>
        <v>0</v>
      </c>
      <c r="L444" s="66">
        <f>'F13-Year(n+2)'!Q450</f>
        <v>0</v>
      </c>
      <c r="M444" s="66" t="e">
        <f>#REF!</f>
        <v>#REF!</v>
      </c>
      <c r="N444" s="66">
        <f>'F13-Year(n+3)'!Q453</f>
        <v>0</v>
      </c>
      <c r="O444" s="66">
        <f>'F13-Year(n+4)'!Q453</f>
        <v>0</v>
      </c>
      <c r="P444" s="66">
        <f>'F13-Year(n+5)'!Q453</f>
        <v>0</v>
      </c>
    </row>
    <row r="445" spans="3:16" x14ac:dyDescent="0.25">
      <c r="C445" s="753" t="s">
        <v>398</v>
      </c>
      <c r="D445" s="754"/>
      <c r="E445" s="86">
        <f>SUM(E438:E444)</f>
        <v>499.89313500000003</v>
      </c>
      <c r="F445" s="86">
        <f>SUM(F438:F444)</f>
        <v>512.10209323258653</v>
      </c>
      <c r="G445" s="86">
        <f>F445-E445</f>
        <v>12.208958232586497</v>
      </c>
      <c r="H445" s="86">
        <f>SUM(H438:H444)</f>
        <v>660.14727170999993</v>
      </c>
      <c r="I445" s="86">
        <f>SUM(I438:I444)</f>
        <v>284.35700971812014</v>
      </c>
      <c r="J445" s="86">
        <f>SUM(J438:J444)</f>
        <v>242.56840754700391</v>
      </c>
      <c r="K445" s="86">
        <f t="shared" si="22"/>
        <v>526.925417265124</v>
      </c>
      <c r="L445" s="86">
        <f>'F13-Year(n+2)'!Q451</f>
        <v>149.20321346653475</v>
      </c>
      <c r="M445" s="86" t="e">
        <f>#REF!</f>
        <v>#REF!</v>
      </c>
      <c r="N445" s="86">
        <f>'F13-Year(n+3)'!Q454</f>
        <v>143.57024259549496</v>
      </c>
      <c r="O445" s="86">
        <f>'F13-Year(n+4)'!Q454</f>
        <v>154.13857611734454</v>
      </c>
      <c r="P445" s="86">
        <f>'F13-Year(n+5)'!Q454</f>
        <v>173.45228407161775</v>
      </c>
    </row>
    <row r="446" spans="3:16" x14ac:dyDescent="0.25">
      <c r="C446" s="800" t="s">
        <v>399</v>
      </c>
      <c r="D446" s="801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</row>
    <row r="447" spans="3:16" x14ac:dyDescent="0.25">
      <c r="C447" s="17" t="s">
        <v>400</v>
      </c>
      <c r="D447" s="17" t="s">
        <v>400</v>
      </c>
      <c r="E447" s="66">
        <f>'[48]PP Cost'!K133</f>
        <v>624.60799499999996</v>
      </c>
      <c r="F447" s="109">
        <f>'F13-Year(n-1)'!Q447</f>
        <v>891.71195273719991</v>
      </c>
      <c r="G447" s="66"/>
      <c r="H447" s="66">
        <f>'[49]PP Cost'!K139</f>
        <v>734.1317434</v>
      </c>
      <c r="I447" s="66">
        <f>SUM('F13-Year(n)'!E444:J444)+SUM('F13-Year(n)'!E614:J614)</f>
        <v>446.57753320404998</v>
      </c>
      <c r="J447" s="66">
        <f>SUM('F13-Year(n)'!K444:P444)+SUM('F13-Year(n)'!K614:P614)</f>
        <v>470.47277241979998</v>
      </c>
      <c r="K447" s="66">
        <f t="shared" ref="K447:K455" si="23">I447+J447</f>
        <v>917.05030562384991</v>
      </c>
      <c r="L447" s="66">
        <f>'F13-Year(n+2)'!Q453</f>
        <v>599.47271274484581</v>
      </c>
      <c r="M447" s="66" t="e">
        <f>#REF!</f>
        <v>#REF!</v>
      </c>
      <c r="N447" s="66">
        <f>'F13-Year(n+3)'!Q456</f>
        <v>711.99394242530002</v>
      </c>
      <c r="O447" s="66">
        <f>'F13-Year(n+4)'!Q456</f>
        <v>1114.4150054368815</v>
      </c>
      <c r="P447" s="66">
        <f>'F13-Year(n+5)'!Q456</f>
        <v>1292.592238471058</v>
      </c>
    </row>
    <row r="448" spans="3:16" x14ac:dyDescent="0.25">
      <c r="C448" s="17" t="s">
        <v>401</v>
      </c>
      <c r="D448" s="17" t="s">
        <v>401</v>
      </c>
      <c r="E448" s="66">
        <f>'[48]PP Cost'!K134</f>
        <v>224.39427499999999</v>
      </c>
      <c r="F448" s="109">
        <f>'F13-Year(n-1)'!Q448</f>
        <v>216.51180191259999</v>
      </c>
      <c r="G448" s="66"/>
      <c r="H448" s="66">
        <f>'[49]PP Cost'!K140</f>
        <v>239.93609781000001</v>
      </c>
      <c r="I448" s="66">
        <f>SUM('F13-Year(n)'!E445:J445)+SUM('F13-Year(n)'!E615:J615)</f>
        <v>0</v>
      </c>
      <c r="J448" s="66">
        <f>SUM('F13-Year(n)'!K445:P445)+SUM('F13-Year(n)'!K615:P615)</f>
        <v>0</v>
      </c>
      <c r="K448" s="66">
        <f t="shared" si="23"/>
        <v>0</v>
      </c>
      <c r="L448" s="66">
        <f>'F13-Year(n+2)'!Q454</f>
        <v>0</v>
      </c>
      <c r="M448" s="66" t="e">
        <f>#REF!</f>
        <v>#REF!</v>
      </c>
      <c r="N448" s="66">
        <f>'F13-Year(n+3)'!Q457</f>
        <v>0</v>
      </c>
      <c r="O448" s="66">
        <f>'F13-Year(n+4)'!Q457</f>
        <v>0</v>
      </c>
      <c r="P448" s="66">
        <f>'F13-Year(n+5)'!Q457</f>
        <v>0</v>
      </c>
    </row>
    <row r="449" spans="3:16" x14ac:dyDescent="0.25">
      <c r="C449" s="17" t="s">
        <v>402</v>
      </c>
      <c r="D449" s="17" t="s">
        <v>402</v>
      </c>
      <c r="E449" s="66">
        <f>'[48]PP Cost'!K135</f>
        <v>0</v>
      </c>
      <c r="F449" s="109">
        <f>'F13-Year(n-1)'!Q449</f>
        <v>0</v>
      </c>
      <c r="G449" s="66"/>
      <c r="H449" s="66"/>
      <c r="I449" s="66">
        <f>SUM('F13-Year(n)'!E446:J446)+SUM('F13-Year(n)'!E616:J616)</f>
        <v>0</v>
      </c>
      <c r="J449" s="66">
        <f>SUM('F13-Year(n)'!K446:P446)+SUM('F13-Year(n)'!K616:P616)</f>
        <v>0</v>
      </c>
      <c r="K449" s="66">
        <f t="shared" si="23"/>
        <v>0</v>
      </c>
      <c r="L449" s="66">
        <f>'F13-Year(n+2)'!Q455</f>
        <v>0</v>
      </c>
      <c r="M449" s="66" t="e">
        <f>#REF!</f>
        <v>#REF!</v>
      </c>
      <c r="N449" s="66">
        <f>'F13-Year(n+3)'!Q458</f>
        <v>0</v>
      </c>
      <c r="O449" s="66">
        <f>'F13-Year(n+4)'!Q458</f>
        <v>0</v>
      </c>
      <c r="P449" s="66">
        <f>'F13-Year(n+5)'!Q458</f>
        <v>0</v>
      </c>
    </row>
    <row r="450" spans="3:16" hidden="1" x14ac:dyDescent="0.25">
      <c r="C450" s="17"/>
      <c r="D450" s="17"/>
      <c r="E450" s="66"/>
      <c r="F450" s="109">
        <f>'F13-Year(n-1)'!Q450</f>
        <v>0</v>
      </c>
      <c r="G450" s="66"/>
      <c r="H450" s="66"/>
      <c r="I450" s="66">
        <f>SUM('F13-Year(n)'!E447:J447)+SUM('F13-Year(n)'!E617:J617)</f>
        <v>0</v>
      </c>
      <c r="J450" s="66">
        <f>SUM('F13-Year(n)'!K447:P447)+SUM('F13-Year(n)'!K617:P617)</f>
        <v>0</v>
      </c>
      <c r="K450" s="66">
        <f t="shared" si="23"/>
        <v>0</v>
      </c>
      <c r="L450" s="66">
        <f>'F13-Year(n+2)'!Q456</f>
        <v>0</v>
      </c>
      <c r="M450" s="66" t="e">
        <f>#REF!</f>
        <v>#REF!</v>
      </c>
      <c r="N450" s="66">
        <f>'F13-Year(n+3)'!Q459</f>
        <v>0</v>
      </c>
      <c r="O450" s="66">
        <f>'F13-Year(n+4)'!Q459</f>
        <v>0</v>
      </c>
      <c r="P450" s="66">
        <f>'F13-Year(n+5)'!Q459</f>
        <v>0</v>
      </c>
    </row>
    <row r="451" spans="3:16" hidden="1" x14ac:dyDescent="0.25">
      <c r="C451" s="17"/>
      <c r="D451" s="17"/>
      <c r="E451" s="66"/>
      <c r="F451" s="109">
        <f>'F13-Year(n-1)'!Q451</f>
        <v>0</v>
      </c>
      <c r="G451" s="66"/>
      <c r="H451" s="66"/>
      <c r="I451" s="66">
        <f>SUM('F13-Year(n)'!E448:J448)+SUM('F13-Year(n)'!E618:J618)</f>
        <v>0</v>
      </c>
      <c r="J451" s="66">
        <f>SUM('F13-Year(n)'!K448:P448)+SUM('F13-Year(n)'!K618:P618)</f>
        <v>0</v>
      </c>
      <c r="K451" s="66">
        <f t="shared" si="23"/>
        <v>0</v>
      </c>
      <c r="L451" s="66">
        <f>'F13-Year(n+2)'!Q457</f>
        <v>0</v>
      </c>
      <c r="M451" s="66" t="e">
        <f>#REF!</f>
        <v>#REF!</v>
      </c>
      <c r="N451" s="66">
        <f>'F13-Year(n+3)'!Q460</f>
        <v>0</v>
      </c>
      <c r="O451" s="66">
        <f>'F13-Year(n+4)'!Q460</f>
        <v>0</v>
      </c>
      <c r="P451" s="66">
        <f>'F13-Year(n+5)'!Q460</f>
        <v>0</v>
      </c>
    </row>
    <row r="452" spans="3:16" hidden="1" x14ac:dyDescent="0.25">
      <c r="C452" s="17"/>
      <c r="D452" s="17"/>
      <c r="E452" s="66"/>
      <c r="F452" s="109">
        <f>'F13-Year(n-1)'!Q452</f>
        <v>0</v>
      </c>
      <c r="G452" s="66"/>
      <c r="H452" s="66"/>
      <c r="I452" s="66">
        <f>SUM('F13-Year(n)'!E449:J449)+SUM('F13-Year(n)'!E619:J619)</f>
        <v>0</v>
      </c>
      <c r="J452" s="66">
        <f>SUM('F13-Year(n)'!K449:P449)+SUM('F13-Year(n)'!K619:P619)</f>
        <v>0</v>
      </c>
      <c r="K452" s="66">
        <f t="shared" si="23"/>
        <v>0</v>
      </c>
      <c r="L452" s="66">
        <f>'F13-Year(n+2)'!Q458</f>
        <v>0</v>
      </c>
      <c r="M452" s="66" t="e">
        <f>#REF!</f>
        <v>#REF!</v>
      </c>
      <c r="N452" s="66">
        <f>'F13-Year(n+3)'!Q461</f>
        <v>0</v>
      </c>
      <c r="O452" s="66">
        <f>'F13-Year(n+4)'!Q461</f>
        <v>0</v>
      </c>
      <c r="P452" s="66">
        <f>'F13-Year(n+5)'!Q461</f>
        <v>0</v>
      </c>
    </row>
    <row r="453" spans="3:16" hidden="1" x14ac:dyDescent="0.25">
      <c r="C453" s="17"/>
      <c r="D453" s="17"/>
      <c r="E453" s="66"/>
      <c r="F453" s="109">
        <f>'F13-Year(n-1)'!Q453</f>
        <v>0</v>
      </c>
      <c r="G453" s="66"/>
      <c r="H453" s="66"/>
      <c r="I453" s="66">
        <f>SUM('F13-Year(n)'!E450:J450)+SUM('F13-Year(n)'!E620:J620)</f>
        <v>0</v>
      </c>
      <c r="J453" s="66">
        <f>SUM('F13-Year(n)'!K450:P450)+SUM('F13-Year(n)'!K620:P620)</f>
        <v>0</v>
      </c>
      <c r="K453" s="66">
        <f t="shared" si="23"/>
        <v>0</v>
      </c>
      <c r="L453" s="66">
        <f>'F13-Year(n+2)'!Q459</f>
        <v>0</v>
      </c>
      <c r="M453" s="66" t="e">
        <f>#REF!</f>
        <v>#REF!</v>
      </c>
      <c r="N453" s="66">
        <f>'F13-Year(n+3)'!Q462</f>
        <v>0</v>
      </c>
      <c r="O453" s="66">
        <f>'F13-Year(n+4)'!Q462</f>
        <v>0</v>
      </c>
      <c r="P453" s="66">
        <f>'F13-Year(n+5)'!Q462</f>
        <v>0</v>
      </c>
    </row>
    <row r="454" spans="3:16" hidden="1" x14ac:dyDescent="0.25">
      <c r="C454" s="17"/>
      <c r="D454" s="17"/>
      <c r="E454" s="66"/>
      <c r="F454" s="109">
        <f>'F13-Year(n-1)'!Q454</f>
        <v>0</v>
      </c>
      <c r="G454" s="66"/>
      <c r="H454" s="66"/>
      <c r="I454" s="66">
        <f>SUM('F13-Year(n)'!E451:J451)+SUM('F13-Year(n)'!E621:J621)</f>
        <v>0</v>
      </c>
      <c r="J454" s="66">
        <f>SUM('F13-Year(n)'!K451:P451)+SUM('F13-Year(n)'!K621:P621)</f>
        <v>0</v>
      </c>
      <c r="K454" s="66">
        <f t="shared" si="23"/>
        <v>0</v>
      </c>
      <c r="L454" s="66">
        <f>'F13-Year(n+2)'!Q460</f>
        <v>0</v>
      </c>
      <c r="M454" s="66" t="e">
        <f>#REF!</f>
        <v>#REF!</v>
      </c>
      <c r="N454" s="66">
        <f>'F13-Year(n+3)'!Q463</f>
        <v>0</v>
      </c>
      <c r="O454" s="66">
        <f>'F13-Year(n+4)'!Q463</f>
        <v>0</v>
      </c>
      <c r="P454" s="66">
        <f>'F13-Year(n+5)'!Q463</f>
        <v>0</v>
      </c>
    </row>
    <row r="455" spans="3:16" x14ac:dyDescent="0.25">
      <c r="C455" s="753" t="s">
        <v>403</v>
      </c>
      <c r="D455" s="754"/>
      <c r="E455" s="86">
        <f>SUM(E447:E454)</f>
        <v>849.00226999999995</v>
      </c>
      <c r="F455" s="86">
        <f>SUM(F447:F454)</f>
        <v>1108.2237546498</v>
      </c>
      <c r="G455" s="86">
        <f>F455-E455</f>
        <v>259.2214846498</v>
      </c>
      <c r="H455" s="86">
        <f>SUM(H447:H454)</f>
        <v>974.06784120999998</v>
      </c>
      <c r="I455" s="86">
        <f>SUM(I447:I454)</f>
        <v>446.57753320404998</v>
      </c>
      <c r="J455" s="86">
        <f>SUM(J447:J454)</f>
        <v>470.47277241979998</v>
      </c>
      <c r="K455" s="86">
        <f t="shared" si="23"/>
        <v>917.05030562384991</v>
      </c>
      <c r="L455" s="86">
        <f>'F13-Year(n+2)'!Q461</f>
        <v>599.47271274484581</v>
      </c>
      <c r="M455" s="86" t="e">
        <f>#REF!</f>
        <v>#REF!</v>
      </c>
      <c r="N455" s="86">
        <f>'F13-Year(n+3)'!Q464</f>
        <v>711.99394242530002</v>
      </c>
      <c r="O455" s="86">
        <f>'F13-Year(n+4)'!Q464</f>
        <v>1114.4150054368815</v>
      </c>
      <c r="P455" s="86">
        <f>'F13-Year(n+5)'!Q464</f>
        <v>1292.592238471058</v>
      </c>
    </row>
    <row r="456" spans="3:16" x14ac:dyDescent="0.25">
      <c r="C456" s="800" t="s">
        <v>404</v>
      </c>
      <c r="D456" s="801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</row>
    <row r="457" spans="3:16" x14ac:dyDescent="0.25">
      <c r="C457" s="17"/>
      <c r="D457" s="17" t="s">
        <v>405</v>
      </c>
      <c r="E457" s="66">
        <f>'[48]PP Cost'!K119</f>
        <v>46.36</v>
      </c>
      <c r="F457" s="109">
        <f>'F13-Year(n-1)'!Q457</f>
        <v>13.165205458144777</v>
      </c>
      <c r="G457" s="66"/>
      <c r="H457" s="66">
        <f>'[49]PP Cost'!K123</f>
        <v>0</v>
      </c>
      <c r="I457" s="66">
        <f>SUM('F13-Year(n)'!E454:J454)+SUM('F13-Year(n)'!E624:J624)</f>
        <v>0</v>
      </c>
      <c r="J457" s="66">
        <f>SUM('F13-Year(n)'!K454:P454)+SUM('F13-Year(n)'!K624:P624)</f>
        <v>0</v>
      </c>
      <c r="K457" s="66">
        <f t="shared" ref="K457:K481" si="24">I457+J457</f>
        <v>0</v>
      </c>
      <c r="L457" s="66">
        <f>'F13-Year(n+2)'!Q463</f>
        <v>0.50648000000000004</v>
      </c>
      <c r="M457" s="66" t="e">
        <f>#REF!</f>
        <v>#REF!</v>
      </c>
      <c r="N457" s="66">
        <f>'F13-Year(n+3)'!Q466</f>
        <v>0.37550000000000006</v>
      </c>
      <c r="O457" s="66">
        <f>'F13-Year(n+4)'!Q466</f>
        <v>0.37550000000000006</v>
      </c>
      <c r="P457" s="66">
        <f>'F13-Year(n+5)'!Q466</f>
        <v>0.37550000000000006</v>
      </c>
    </row>
    <row r="458" spans="3:16" x14ac:dyDescent="0.25">
      <c r="C458" s="17"/>
      <c r="D458" s="17" t="s">
        <v>406</v>
      </c>
      <c r="E458" s="66">
        <f>'[48]PP Cost'!K120</f>
        <v>6.87</v>
      </c>
      <c r="F458" s="109">
        <f>'F13-Year(n-1)'!Q458</f>
        <v>49.537864717669997</v>
      </c>
      <c r="G458" s="66"/>
      <c r="H458" s="66">
        <f>'[49]PP Cost'!K124</f>
        <v>24.05</v>
      </c>
      <c r="I458" s="66">
        <f>SUM('F13-Year(n)'!E455:J455)+SUM('F13-Year(n)'!E625:J625)</f>
        <v>0</v>
      </c>
      <c r="J458" s="66">
        <f>SUM('F13-Year(n)'!K455:P455)+SUM('F13-Year(n)'!K625:P625)</f>
        <v>0</v>
      </c>
      <c r="K458" s="66">
        <f t="shared" si="24"/>
        <v>0</v>
      </c>
      <c r="L458" s="66">
        <f>'F13-Year(n+2)'!Q464</f>
        <v>0</v>
      </c>
      <c r="M458" s="66" t="e">
        <f>#REF!</f>
        <v>#REF!</v>
      </c>
      <c r="N458" s="66">
        <f>'F13-Year(n+3)'!Q467</f>
        <v>0</v>
      </c>
      <c r="O458" s="66">
        <f>'F13-Year(n+4)'!Q467</f>
        <v>0</v>
      </c>
      <c r="P458" s="66">
        <f>'F13-Year(n+5)'!Q467</f>
        <v>0</v>
      </c>
    </row>
    <row r="459" spans="3:16" x14ac:dyDescent="0.25">
      <c r="C459" s="17"/>
      <c r="D459" s="17" t="s">
        <v>407</v>
      </c>
      <c r="E459" s="66">
        <f>'[48]PP Cost'!K121</f>
        <v>0</v>
      </c>
      <c r="F459" s="109">
        <f>'F13-Year(n-1)'!Q459</f>
        <v>0</v>
      </c>
      <c r="G459" s="66"/>
      <c r="H459" s="66">
        <f>'[49]PP Cost'!K125</f>
        <v>0</v>
      </c>
      <c r="I459" s="66">
        <f>SUM('F13-Year(n)'!E456:J456)+SUM('F13-Year(n)'!E626:J626)</f>
        <v>0</v>
      </c>
      <c r="J459" s="66">
        <f>SUM('F13-Year(n)'!K456:P456)+SUM('F13-Year(n)'!K626:P626)</f>
        <v>0</v>
      </c>
      <c r="K459" s="66">
        <f t="shared" si="24"/>
        <v>0</v>
      </c>
      <c r="L459" s="66">
        <f>'F13-Year(n+2)'!Q465</f>
        <v>0</v>
      </c>
      <c r="M459" s="66" t="e">
        <f>#REF!</f>
        <v>#REF!</v>
      </c>
      <c r="N459" s="66">
        <f>'F13-Year(n+3)'!Q468</f>
        <v>0</v>
      </c>
      <c r="O459" s="66">
        <f>'F13-Year(n+4)'!Q468</f>
        <v>0</v>
      </c>
      <c r="P459" s="66">
        <f>'F13-Year(n+5)'!Q468</f>
        <v>0</v>
      </c>
    </row>
    <row r="460" spans="3:16" x14ac:dyDescent="0.25">
      <c r="C460" s="17"/>
      <c r="D460" s="17" t="s">
        <v>408</v>
      </c>
      <c r="E460" s="66">
        <f>'[48]PP Cost'!K122</f>
        <v>24.82</v>
      </c>
      <c r="F460" s="109">
        <f>'F13-Year(n-1)'!Q460</f>
        <v>-0.22285489999999999</v>
      </c>
      <c r="G460" s="66"/>
      <c r="H460" s="66">
        <f>'[49]PP Cost'!K126</f>
        <v>19.95</v>
      </c>
      <c r="I460" s="66">
        <f>SUM('F13-Year(n)'!E457:J457)+SUM('F13-Year(n)'!E627:J627)</f>
        <v>0</v>
      </c>
      <c r="J460" s="66">
        <f>SUM('F13-Year(n)'!K457:P457)+SUM('F13-Year(n)'!K627:P627)</f>
        <v>0</v>
      </c>
      <c r="K460" s="66">
        <f t="shared" si="24"/>
        <v>0</v>
      </c>
      <c r="L460" s="66">
        <f>'F13-Year(n+2)'!Q466</f>
        <v>23.087731164201493</v>
      </c>
      <c r="M460" s="66" t="e">
        <f>#REF!</f>
        <v>#REF!</v>
      </c>
      <c r="N460" s="66">
        <f>'F13-Year(n+3)'!Q469</f>
        <v>0</v>
      </c>
      <c r="O460" s="66">
        <f>'F13-Year(n+4)'!Q469</f>
        <v>24.213463573361501</v>
      </c>
      <c r="P460" s="66">
        <f>'F13-Year(n+5)'!Q469</f>
        <v>25.369515831286456</v>
      </c>
    </row>
    <row r="461" spans="3:16" x14ac:dyDescent="0.25">
      <c r="C461" s="17"/>
      <c r="D461" s="17" t="s">
        <v>409</v>
      </c>
      <c r="E461" s="66">
        <f>'[48]PP Cost'!K123</f>
        <v>0</v>
      </c>
      <c r="F461" s="109">
        <f>'F13-Year(n-1)'!Q461</f>
        <v>0</v>
      </c>
      <c r="G461" s="66"/>
      <c r="H461" s="66">
        <f>'[49]PP Cost'!K127</f>
        <v>0</v>
      </c>
      <c r="I461" s="66">
        <f>SUM('F13-Year(n)'!E458:J458)+SUM('F13-Year(n)'!E628:J628)</f>
        <v>0</v>
      </c>
      <c r="J461" s="66">
        <f>SUM('F13-Year(n)'!K458:P458)+SUM('F13-Year(n)'!K628:P628)</f>
        <v>0</v>
      </c>
      <c r="K461" s="66">
        <f t="shared" si="24"/>
        <v>0</v>
      </c>
      <c r="L461" s="66">
        <f>'F13-Year(n+2)'!Q467</f>
        <v>0</v>
      </c>
      <c r="M461" s="66" t="e">
        <f>#REF!</f>
        <v>#REF!</v>
      </c>
      <c r="N461" s="66">
        <f>'F13-Year(n+3)'!Q470</f>
        <v>0</v>
      </c>
      <c r="O461" s="66">
        <f>'F13-Year(n+4)'!Q470</f>
        <v>0</v>
      </c>
      <c r="P461" s="66">
        <f>'F13-Year(n+5)'!Q470</f>
        <v>0</v>
      </c>
    </row>
    <row r="462" spans="3:16" x14ac:dyDescent="0.25">
      <c r="C462" s="17"/>
      <c r="D462" s="17" t="s">
        <v>367</v>
      </c>
      <c r="E462" s="66">
        <f>'[48]PP Cost'!K124</f>
        <v>0</v>
      </c>
      <c r="F462" s="109">
        <f>'F13-Year(n-1)'!Q462</f>
        <v>0.2080722670188957</v>
      </c>
      <c r="G462" s="66"/>
      <c r="H462" s="66">
        <f>'[49]PP Cost'!K128</f>
        <v>0.31</v>
      </c>
      <c r="I462" s="66">
        <f>SUM('F13-Year(n)'!E459:J459)+SUM('F13-Year(n)'!E629:J629)</f>
        <v>0</v>
      </c>
      <c r="J462" s="66">
        <f>SUM('F13-Year(n)'!K459:P459)+SUM('F13-Year(n)'!K629:P629)</f>
        <v>0</v>
      </c>
      <c r="K462" s="66">
        <f t="shared" si="24"/>
        <v>0</v>
      </c>
      <c r="L462" s="66">
        <f>'F13-Year(n+2)'!Q468</f>
        <v>0.15250614084507039</v>
      </c>
      <c r="M462" s="66" t="e">
        <f>#REF!</f>
        <v>#REF!</v>
      </c>
      <c r="N462" s="66">
        <f>'F13-Year(n+3)'!Q471</f>
        <v>6.2574084507042216E-2</v>
      </c>
      <c r="O462" s="66">
        <f>'F13-Year(n+4)'!Q471</f>
        <v>6.2574084507042216E-2</v>
      </c>
      <c r="P462" s="66">
        <f>'F13-Year(n+5)'!Q471</f>
        <v>6.257408450704223E-2</v>
      </c>
    </row>
    <row r="463" spans="3:16" x14ac:dyDescent="0.25">
      <c r="C463" s="17"/>
      <c r="D463" s="17" t="s">
        <v>410</v>
      </c>
      <c r="E463" s="66">
        <f>'[48]PP Cost'!K125</f>
        <v>1017.83</v>
      </c>
      <c r="F463" s="109">
        <f>'F13-Year(n-1)'!Q463</f>
        <v>927.31116232146337</v>
      </c>
      <c r="G463" s="66"/>
      <c r="H463" s="66">
        <f>'[49]PP Cost'!K129</f>
        <v>907.35</v>
      </c>
      <c r="I463" s="66">
        <f>SUM('F13-Year(n)'!E460:J460)+SUM('F13-Year(n)'!E630:J630)</f>
        <v>0</v>
      </c>
      <c r="J463" s="66">
        <f>SUM('F13-Year(n)'!K460:P460)+SUM('F13-Year(n)'!K630:P630)</f>
        <v>0</v>
      </c>
      <c r="K463" s="66">
        <f t="shared" si="24"/>
        <v>0</v>
      </c>
      <c r="L463" s="66">
        <f>'F13-Year(n+2)'!Q469</f>
        <v>1199.9000052956671</v>
      </c>
      <c r="M463" s="66" t="e">
        <f>#REF!</f>
        <v>#REF!</v>
      </c>
      <c r="N463" s="66">
        <f>'F13-Year(n+3)'!Q472</f>
        <v>1409.6469483884343</v>
      </c>
      <c r="O463" s="66">
        <f>'F13-Year(n+4)'!Q472</f>
        <v>1434.4899560122053</v>
      </c>
      <c r="P463" s="66">
        <f>'F13-Year(n+5)'!Q472</f>
        <v>1460.9830110170974</v>
      </c>
    </row>
    <row r="464" spans="3:16" x14ac:dyDescent="0.25">
      <c r="C464" s="17"/>
      <c r="D464" s="17" t="s">
        <v>411</v>
      </c>
      <c r="E464" s="66">
        <f>'[48]PP Cost'!K126</f>
        <v>26.69</v>
      </c>
      <c r="F464" s="109">
        <f>'F13-Year(n-1)'!Q464</f>
        <v>115.84117681833</v>
      </c>
      <c r="G464" s="66"/>
      <c r="H464" s="66">
        <f>'[49]PP Cost'!K130</f>
        <v>11.72</v>
      </c>
      <c r="I464" s="66">
        <f>SUM('F13-Year(n)'!E461:J461)+SUM('F13-Year(n)'!E631:J631)</f>
        <v>0</v>
      </c>
      <c r="J464" s="66">
        <f>SUM('F13-Year(n)'!K461:P461)+SUM('F13-Year(n)'!K631:P631)</f>
        <v>0</v>
      </c>
      <c r="K464" s="66">
        <f t="shared" si="24"/>
        <v>0</v>
      </c>
      <c r="L464" s="66">
        <f>'F13-Year(n+2)'!Q470</f>
        <v>56.499073958091685</v>
      </c>
      <c r="M464" s="66" t="e">
        <f>#REF!</f>
        <v>#REF!</v>
      </c>
      <c r="N464" s="66">
        <f>'F13-Year(n+3)'!Q473</f>
        <v>67.136021007743182</v>
      </c>
      <c r="O464" s="66">
        <f>'F13-Year(n+4)'!Q473</f>
        <v>68.319197180778389</v>
      </c>
      <c r="P464" s="66">
        <f>'F13-Year(n+5)'!Q473</f>
        <v>69.580958715750782</v>
      </c>
    </row>
    <row r="465" spans="3:16" x14ac:dyDescent="0.25">
      <c r="C465" s="17"/>
      <c r="D465" s="17" t="s">
        <v>412</v>
      </c>
      <c r="E465" s="66">
        <f>'[48]PP Cost'!K127</f>
        <v>114.46</v>
      </c>
      <c r="F465" s="109">
        <f>'F13-Year(n-1)'!Q465</f>
        <v>109.30060364330249</v>
      </c>
      <c r="G465" s="66"/>
      <c r="H465" s="66">
        <f>'[49]PP Cost'!K131</f>
        <v>111.64</v>
      </c>
      <c r="I465" s="66">
        <f>SUM('F13-Year(n)'!E462:J462)+SUM('F13-Year(n)'!E632:J632)</f>
        <v>0</v>
      </c>
      <c r="J465" s="66">
        <f>SUM('F13-Year(n)'!K462:P462)+SUM('F13-Year(n)'!K632:P632)</f>
        <v>0</v>
      </c>
      <c r="K465" s="66">
        <f t="shared" si="24"/>
        <v>0</v>
      </c>
      <c r="L465" s="66">
        <f>'F13-Year(n+2)'!Q471</f>
        <v>129.11139989137004</v>
      </c>
      <c r="M465" s="66" t="e">
        <f>#REF!</f>
        <v>#REF!</v>
      </c>
      <c r="N465" s="66">
        <f>'F13-Year(n+3)'!Q474</f>
        <v>153.42099180149157</v>
      </c>
      <c r="O465" s="66">
        <f>'F13-Year(n+4)'!Q474</f>
        <v>156.12481694957441</v>
      </c>
      <c r="P465" s="66">
        <f>'F13-Year(n+5)'!Q474</f>
        <v>159.00822742291939</v>
      </c>
    </row>
    <row r="466" spans="3:16" x14ac:dyDescent="0.25">
      <c r="C466" s="17"/>
      <c r="D466" s="17" t="s">
        <v>413</v>
      </c>
      <c r="E466" s="66">
        <f>'[48]PP Cost'!K128</f>
        <v>58.03</v>
      </c>
      <c r="F466" s="109">
        <f>'F13-Year(n-1)'!Q466</f>
        <v>49.858282804779996</v>
      </c>
      <c r="G466" s="66"/>
      <c r="H466" s="66">
        <f>'[49]PP Cost'!K132</f>
        <v>66.819999999999993</v>
      </c>
      <c r="I466" s="66">
        <f>SUM('F13-Year(n)'!E463:J463)+SUM('F13-Year(n)'!E633:J633)</f>
        <v>0</v>
      </c>
      <c r="J466" s="66">
        <f>SUM('F13-Year(n)'!K463:P463)+SUM('F13-Year(n)'!K633:P633)</f>
        <v>0</v>
      </c>
      <c r="K466" s="66">
        <f t="shared" si="24"/>
        <v>0</v>
      </c>
      <c r="L466" s="66">
        <f>'F13-Year(n+2)'!Q472</f>
        <v>111.8832172242289</v>
      </c>
      <c r="M466" s="66" t="e">
        <f>#REF!</f>
        <v>#REF!</v>
      </c>
      <c r="N466" s="66">
        <f>'F13-Year(n+3)'!Q475</f>
        <v>132.9464453213092</v>
      </c>
      <c r="O466" s="66">
        <f>'F13-Year(n+4)'!Q475</f>
        <v>135.28943592505317</v>
      </c>
      <c r="P466" s="66">
        <f>'F13-Year(n+5)'!Q475</f>
        <v>137.78804558942977</v>
      </c>
    </row>
    <row r="467" spans="3:16" x14ac:dyDescent="0.25">
      <c r="C467" s="17"/>
      <c r="D467" s="17" t="s">
        <v>414</v>
      </c>
      <c r="E467" s="66"/>
      <c r="F467" s="109">
        <f>'F13-Year(n-1)'!Q467</f>
        <v>0</v>
      </c>
      <c r="G467" s="66"/>
      <c r="H467" s="66">
        <f>'[49]PP Cost'!K133</f>
        <v>88.18</v>
      </c>
      <c r="I467" s="66">
        <f>SUM('F13-Year(n)'!E464:J464)+SUM('F13-Year(n)'!E634:J634)</f>
        <v>0</v>
      </c>
      <c r="J467" s="66">
        <f>SUM('F13-Year(n)'!K464:P464)+SUM('F13-Year(n)'!K634:P634)</f>
        <v>0</v>
      </c>
      <c r="K467" s="66">
        <f t="shared" si="24"/>
        <v>0</v>
      </c>
      <c r="L467" s="66">
        <f>'F13-Year(n+2)'!Q473</f>
        <v>266.26082510652827</v>
      </c>
      <c r="M467" s="66" t="e">
        <f>#REF!</f>
        <v>#REF!</v>
      </c>
      <c r="N467" s="66">
        <f>'F13-Year(n+3)'!Q476</f>
        <v>316.39195802362525</v>
      </c>
      <c r="O467" s="66">
        <f>'F13-Year(n+4)'!Q476</f>
        <v>321.96791293507783</v>
      </c>
      <c r="P467" s="66">
        <f>'F13-Year(n+5)'!Q476</f>
        <v>327.91421711897885</v>
      </c>
    </row>
    <row r="468" spans="3:16" x14ac:dyDescent="0.25">
      <c r="C468" s="17"/>
      <c r="D468" s="17" t="s">
        <v>415</v>
      </c>
      <c r="E468" s="66"/>
      <c r="F468" s="109">
        <f>'F13-Year(n-1)'!Q468</f>
        <v>0</v>
      </c>
      <c r="G468" s="66"/>
      <c r="H468" s="66"/>
      <c r="I468" s="66">
        <f>SUM('F13-Year(n)'!E465:J465)+SUM('F13-Year(n)'!E635:J635)</f>
        <v>0</v>
      </c>
      <c r="J468" s="66">
        <f>SUM('F13-Year(n)'!K465:P465)+SUM('F13-Year(n)'!K635:P635)</f>
        <v>0</v>
      </c>
      <c r="K468" s="66">
        <f t="shared" si="24"/>
        <v>0</v>
      </c>
      <c r="L468" s="66">
        <f>'F13-Year(n+2)'!Q474</f>
        <v>0</v>
      </c>
      <c r="M468" s="66" t="e">
        <f>#REF!</f>
        <v>#REF!</v>
      </c>
      <c r="N468" s="66">
        <f>'F13-Year(n+3)'!Q477</f>
        <v>0</v>
      </c>
      <c r="O468" s="66">
        <f>'F13-Year(n+4)'!Q477</f>
        <v>0</v>
      </c>
      <c r="P468" s="66">
        <f>'F13-Year(n+5)'!Q477</f>
        <v>0</v>
      </c>
    </row>
    <row r="469" spans="3:16" x14ac:dyDescent="0.25">
      <c r="C469" s="17"/>
      <c r="D469" s="17" t="s">
        <v>416</v>
      </c>
      <c r="E469" s="66">
        <f>'[48]PP Cost'!$K$129</f>
        <v>0</v>
      </c>
      <c r="F469" s="109">
        <f>'F13-Year(n-1)'!Q469</f>
        <v>0</v>
      </c>
      <c r="G469" s="66"/>
      <c r="H469" s="66">
        <f>'[49]PP Cost'!$K$134</f>
        <v>208.79</v>
      </c>
      <c r="I469" s="66">
        <f>SUM('F13-Year(n)'!E466:J466)+SUM('F13-Year(n)'!E636:J636)</f>
        <v>0</v>
      </c>
      <c r="J469" s="66">
        <f>SUM('F13-Year(n)'!K466:P466)+SUM('F13-Year(n)'!K636:P636)</f>
        <v>0</v>
      </c>
      <c r="K469" s="66">
        <f t="shared" si="24"/>
        <v>0</v>
      </c>
      <c r="L469" s="66">
        <f>'F13-Year(n+2)'!Q475</f>
        <v>325.45430233170674</v>
      </c>
      <c r="M469" s="66" t="e">
        <f>#REF!</f>
        <v>#REF!</v>
      </c>
      <c r="N469" s="66">
        <f>'F13-Year(n+3)'!Q478</f>
        <v>386.73336372738652</v>
      </c>
      <c r="O469" s="66">
        <f>'F13-Year(n+4)'!Q478</f>
        <v>393.54898512424023</v>
      </c>
      <c r="P469" s="66">
        <f>'F13-Year(n+5)'!Q478</f>
        <v>400.81729318475851</v>
      </c>
    </row>
    <row r="470" spans="3:16" x14ac:dyDescent="0.25">
      <c r="C470" s="17"/>
      <c r="D470" s="17" t="s">
        <v>417</v>
      </c>
      <c r="E470" s="66"/>
      <c r="F470" s="109">
        <f>'F13-Year(n-1)'!Q470</f>
        <v>0</v>
      </c>
      <c r="G470" s="66"/>
      <c r="H470" s="66">
        <f>'[49]PP Cost'!$K$135</f>
        <v>148.44</v>
      </c>
      <c r="I470" s="66">
        <f>SUM('F13-Year(n)'!E467:J467)+SUM('F13-Year(n)'!E637:J637)</f>
        <v>0</v>
      </c>
      <c r="J470" s="66">
        <f>SUM('F13-Year(n)'!K467:P467)+SUM('F13-Year(n)'!K637:P637)</f>
        <v>0</v>
      </c>
      <c r="K470" s="66">
        <f t="shared" si="24"/>
        <v>0</v>
      </c>
      <c r="L470" s="66">
        <f>'F13-Year(n+2)'!Q476</f>
        <v>166.55751957752199</v>
      </c>
      <c r="M470" s="66" t="e">
        <f>#REF!</f>
        <v>#REF!</v>
      </c>
      <c r="N470" s="66">
        <f>'F13-Year(n+3)'!Q479</f>
        <v>197.91257474587229</v>
      </c>
      <c r="O470" s="66">
        <f>'F13-Year(n+4)'!Q479</f>
        <v>201.40050029267161</v>
      </c>
      <c r="P470" s="66">
        <f>'F13-Year(n+5)'!Q479</f>
        <v>205.12009031831354</v>
      </c>
    </row>
    <row r="471" spans="3:16" x14ac:dyDescent="0.25">
      <c r="C471" s="17"/>
      <c r="D471" s="327" t="s">
        <v>418</v>
      </c>
      <c r="E471" s="66"/>
      <c r="F471" s="109">
        <f>'F13-Year(n-1)'!Q471</f>
        <v>13.08973190664075</v>
      </c>
      <c r="G471" s="66"/>
      <c r="H471" s="66"/>
      <c r="I471" s="66">
        <f>SUM('F13-Year(n)'!E468:J468)+SUM('F13-Year(n)'!E638:J638)</f>
        <v>0</v>
      </c>
      <c r="J471" s="66">
        <f>SUM('F13-Year(n)'!K468:P468)+SUM('F13-Year(n)'!K638:P638)</f>
        <v>0</v>
      </c>
      <c r="K471" s="66">
        <f t="shared" si="24"/>
        <v>0</v>
      </c>
      <c r="L471" s="66">
        <f>'F13-Year(n+2)'!Q477</f>
        <v>0</v>
      </c>
      <c r="M471" s="66" t="e">
        <f>#REF!</f>
        <v>#REF!</v>
      </c>
      <c r="N471" s="66">
        <f>'F13-Year(n+3)'!Q480</f>
        <v>0</v>
      </c>
      <c r="O471" s="66">
        <f>'F13-Year(n+4)'!Q480</f>
        <v>0</v>
      </c>
      <c r="P471" s="66">
        <f>'F13-Year(n+5)'!Q480</f>
        <v>0</v>
      </c>
    </row>
    <row r="472" spans="3:16" x14ac:dyDescent="0.25">
      <c r="C472" s="17"/>
      <c r="D472" s="327" t="s">
        <v>419</v>
      </c>
      <c r="E472" s="66"/>
      <c r="F472" s="109">
        <f>'F13-Year(n-1)'!Q472</f>
        <v>23.1371561343</v>
      </c>
      <c r="G472" s="66"/>
      <c r="H472" s="66"/>
      <c r="I472" s="66">
        <f>SUM('F13-Year(n)'!E469:J469)+SUM('F13-Year(n)'!E639:J639)</f>
        <v>0</v>
      </c>
      <c r="J472" s="66">
        <f>SUM('F13-Year(n)'!K469:P469)+SUM('F13-Year(n)'!K639:P639)</f>
        <v>0</v>
      </c>
      <c r="K472" s="66">
        <f t="shared" si="24"/>
        <v>0</v>
      </c>
      <c r="L472" s="66">
        <f>'F13-Year(n+2)'!Q478</f>
        <v>0</v>
      </c>
      <c r="M472" s="66" t="e">
        <f>#REF!</f>
        <v>#REF!</v>
      </c>
      <c r="N472" s="66">
        <f>'F13-Year(n+3)'!Q481</f>
        <v>0</v>
      </c>
      <c r="O472" s="66">
        <f>'F13-Year(n+4)'!Q481</f>
        <v>0</v>
      </c>
      <c r="P472" s="66">
        <f>'F13-Year(n+5)'!Q481</f>
        <v>0</v>
      </c>
    </row>
    <row r="473" spans="3:16" x14ac:dyDescent="0.25">
      <c r="C473" s="17"/>
      <c r="D473" s="17" t="s">
        <v>646</v>
      </c>
      <c r="E473" s="66"/>
      <c r="F473" s="109">
        <f>'F13-Year(n-1)'!Q473</f>
        <v>0</v>
      </c>
      <c r="G473" s="66"/>
      <c r="H473" s="66"/>
      <c r="I473" s="66">
        <f>SUM('F13-Year(n)'!E470:J470)+SUM('F13-Year(n)'!E640:J640)</f>
        <v>766.51851227576594</v>
      </c>
      <c r="J473" s="66">
        <f>SUM('F13-Year(n)'!K470:P470)+SUM('F13-Year(n)'!K640:P640)</f>
        <v>749.94609617841115</v>
      </c>
      <c r="K473" s="66">
        <f t="shared" si="24"/>
        <v>1516.4646084541771</v>
      </c>
      <c r="L473" s="66">
        <f>'F13-Year(n+2)'!Q479</f>
        <v>0</v>
      </c>
      <c r="M473" s="66" t="e">
        <f>#REF!</f>
        <v>#REF!</v>
      </c>
      <c r="N473" s="66">
        <f>'F13-Year(n+3)'!Q482</f>
        <v>0</v>
      </c>
      <c r="O473" s="66">
        <f>'F13-Year(n+4)'!Q482</f>
        <v>0</v>
      </c>
      <c r="P473" s="66">
        <f>'F13-Year(n+5)'!Q482</f>
        <v>0</v>
      </c>
    </row>
    <row r="474" spans="3:16" hidden="1" x14ac:dyDescent="0.25">
      <c r="C474" s="17"/>
      <c r="D474" s="17"/>
      <c r="E474" s="66"/>
      <c r="F474" s="109">
        <f>'F13-Year(n-1)'!Q474</f>
        <v>0</v>
      </c>
      <c r="G474" s="66"/>
      <c r="H474" s="66"/>
      <c r="I474" s="66">
        <f>SUM('F13-Year(n)'!E471:J471)+SUM('F13-Year(n)'!E641:J641)</f>
        <v>0</v>
      </c>
      <c r="J474" s="66">
        <f>SUM('F13-Year(n)'!K471:P471)+SUM('F13-Year(n)'!K641:P641)</f>
        <v>0</v>
      </c>
      <c r="K474" s="66">
        <f t="shared" si="24"/>
        <v>0</v>
      </c>
      <c r="L474" s="66">
        <f>'F13-Year(n+2)'!Q480</f>
        <v>0</v>
      </c>
      <c r="M474" s="66" t="e">
        <f>#REF!</f>
        <v>#REF!</v>
      </c>
      <c r="N474" s="66">
        <f>'F13-Year(n+3)'!Q483</f>
        <v>0</v>
      </c>
      <c r="O474" s="66">
        <f>'F13-Year(n+4)'!Q483</f>
        <v>0</v>
      </c>
      <c r="P474" s="66">
        <f>'F13-Year(n+5)'!Q483</f>
        <v>0</v>
      </c>
    </row>
    <row r="475" spans="3:16" hidden="1" x14ac:dyDescent="0.25">
      <c r="C475" s="17"/>
      <c r="D475" s="17"/>
      <c r="E475" s="66"/>
      <c r="F475" s="109">
        <f>'F13-Year(n-1)'!Q475</f>
        <v>0</v>
      </c>
      <c r="G475" s="66"/>
      <c r="H475" s="66"/>
      <c r="I475" s="66">
        <f>SUM('F13-Year(n)'!E472:J472)+SUM('F13-Year(n)'!E642:J642)</f>
        <v>0</v>
      </c>
      <c r="J475" s="66">
        <f>SUM('F13-Year(n)'!K472:P472)+SUM('F13-Year(n)'!K642:P642)</f>
        <v>0</v>
      </c>
      <c r="K475" s="66">
        <f t="shared" si="24"/>
        <v>0</v>
      </c>
      <c r="L475" s="66">
        <f>'F13-Year(n+2)'!Q481</f>
        <v>0</v>
      </c>
      <c r="M475" s="66" t="e">
        <f>#REF!</f>
        <v>#REF!</v>
      </c>
      <c r="N475" s="66">
        <f>'F13-Year(n+3)'!Q484</f>
        <v>0</v>
      </c>
      <c r="O475" s="66">
        <f>'F13-Year(n+4)'!Q484</f>
        <v>0</v>
      </c>
      <c r="P475" s="66">
        <f>'F13-Year(n+5)'!Q484</f>
        <v>0</v>
      </c>
    </row>
    <row r="476" spans="3:16" hidden="1" x14ac:dyDescent="0.25">
      <c r="C476" s="17"/>
      <c r="D476" s="17"/>
      <c r="E476" s="66"/>
      <c r="F476" s="109">
        <f>'F13-Year(n-1)'!Q476</f>
        <v>0</v>
      </c>
      <c r="G476" s="66"/>
      <c r="H476" s="66"/>
      <c r="I476" s="66">
        <f>SUM('F13-Year(n)'!E473:J473)+SUM('F13-Year(n)'!E643:J643)</f>
        <v>0</v>
      </c>
      <c r="J476" s="66">
        <f>SUM('F13-Year(n)'!K473:P473)+SUM('F13-Year(n)'!K643:P643)</f>
        <v>0</v>
      </c>
      <c r="K476" s="66">
        <f t="shared" si="24"/>
        <v>0</v>
      </c>
      <c r="L476" s="66">
        <f>'F13-Year(n+2)'!Q482</f>
        <v>0</v>
      </c>
      <c r="M476" s="66" t="e">
        <f>#REF!</f>
        <v>#REF!</v>
      </c>
      <c r="N476" s="66">
        <f>'F13-Year(n+3)'!Q485</f>
        <v>0</v>
      </c>
      <c r="O476" s="66">
        <f>'F13-Year(n+4)'!Q485</f>
        <v>0</v>
      </c>
      <c r="P476" s="66">
        <f>'F13-Year(n+5)'!Q485</f>
        <v>0</v>
      </c>
    </row>
    <row r="477" spans="3:16" hidden="1" x14ac:dyDescent="0.25">
      <c r="C477" s="17"/>
      <c r="D477" s="17"/>
      <c r="E477" s="66"/>
      <c r="F477" s="109">
        <f>'F13-Year(n-1)'!Q477</f>
        <v>0</v>
      </c>
      <c r="G477" s="66"/>
      <c r="H477" s="66"/>
      <c r="I477" s="66">
        <f>SUM('F13-Year(n)'!E474:J474)+SUM('F13-Year(n)'!E644:J644)</f>
        <v>0</v>
      </c>
      <c r="J477" s="66">
        <f>SUM('F13-Year(n)'!K474:P474)+SUM('F13-Year(n)'!K644:P644)</f>
        <v>0</v>
      </c>
      <c r="K477" s="66">
        <f t="shared" si="24"/>
        <v>0</v>
      </c>
      <c r="L477" s="66">
        <f>'F13-Year(n+2)'!Q483</f>
        <v>0</v>
      </c>
      <c r="M477" s="66" t="e">
        <f>#REF!</f>
        <v>#REF!</v>
      </c>
      <c r="N477" s="66">
        <f>'F13-Year(n+3)'!Q486</f>
        <v>0</v>
      </c>
      <c r="O477" s="66">
        <f>'F13-Year(n+4)'!Q486</f>
        <v>0</v>
      </c>
      <c r="P477" s="66">
        <f>'F13-Year(n+5)'!Q486</f>
        <v>0</v>
      </c>
    </row>
    <row r="478" spans="3:16" hidden="1" x14ac:dyDescent="0.25">
      <c r="C478" s="17"/>
      <c r="D478" s="17"/>
      <c r="E478" s="66"/>
      <c r="F478" s="109">
        <f>'F13-Year(n-1)'!Q478</f>
        <v>0</v>
      </c>
      <c r="G478" s="66"/>
      <c r="H478" s="66"/>
      <c r="I478" s="66">
        <f>SUM('F13-Year(n)'!E475:J475)+SUM('F13-Year(n)'!E645:J645)</f>
        <v>0</v>
      </c>
      <c r="J478" s="66">
        <f>SUM('F13-Year(n)'!K475:P475)+SUM('F13-Year(n)'!K645:P645)</f>
        <v>0</v>
      </c>
      <c r="K478" s="66">
        <f t="shared" si="24"/>
        <v>0</v>
      </c>
      <c r="L478" s="66">
        <f>'F13-Year(n+2)'!Q484</f>
        <v>0</v>
      </c>
      <c r="M478" s="66" t="e">
        <f>#REF!</f>
        <v>#REF!</v>
      </c>
      <c r="N478" s="66">
        <f>'F13-Year(n+3)'!Q487</f>
        <v>0</v>
      </c>
      <c r="O478" s="66">
        <f>'F13-Year(n+4)'!Q487</f>
        <v>0</v>
      </c>
      <c r="P478" s="66">
        <f>'F13-Year(n+5)'!Q487</f>
        <v>0</v>
      </c>
    </row>
    <row r="479" spans="3:16" hidden="1" x14ac:dyDescent="0.25">
      <c r="C479" s="17"/>
      <c r="D479" s="17"/>
      <c r="E479" s="66"/>
      <c r="F479" s="109">
        <f>'F13-Year(n-1)'!Q479</f>
        <v>0</v>
      </c>
      <c r="G479" s="66"/>
      <c r="H479" s="66"/>
      <c r="I479" s="66">
        <f>SUM('F13-Year(n)'!E476:J476)+SUM('F13-Year(n)'!E646:J646)</f>
        <v>0</v>
      </c>
      <c r="J479" s="66">
        <f>SUM('F13-Year(n)'!K476:P476)+SUM('F13-Year(n)'!K646:P646)</f>
        <v>0</v>
      </c>
      <c r="K479" s="66">
        <f t="shared" si="24"/>
        <v>0</v>
      </c>
      <c r="L479" s="66">
        <f>'F13-Year(n+2)'!Q485</f>
        <v>0</v>
      </c>
      <c r="M479" s="66" t="e">
        <f>#REF!</f>
        <v>#REF!</v>
      </c>
      <c r="N479" s="66">
        <f>'F13-Year(n+3)'!Q488</f>
        <v>0</v>
      </c>
      <c r="O479" s="66">
        <f>'F13-Year(n+4)'!Q488</f>
        <v>0</v>
      </c>
      <c r="P479" s="66">
        <f>'F13-Year(n+5)'!Q488</f>
        <v>0</v>
      </c>
    </row>
    <row r="480" spans="3:16" hidden="1" x14ac:dyDescent="0.25">
      <c r="C480" s="17"/>
      <c r="D480" s="17"/>
      <c r="E480" s="66"/>
      <c r="F480" s="109">
        <f>'F13-Year(n-1)'!Q480</f>
        <v>0</v>
      </c>
      <c r="G480" s="66"/>
      <c r="H480" s="66"/>
      <c r="I480" s="66">
        <f>SUM('F13-Year(n)'!E477:J477)+SUM('F13-Year(n)'!E647:J647)</f>
        <v>0</v>
      </c>
      <c r="J480" s="66">
        <f>SUM('F13-Year(n)'!K477:P477)+SUM('F13-Year(n)'!K647:P647)</f>
        <v>0</v>
      </c>
      <c r="K480" s="66">
        <f t="shared" si="24"/>
        <v>0</v>
      </c>
      <c r="L480" s="66">
        <f>'F13-Year(n+2)'!Q486</f>
        <v>0</v>
      </c>
      <c r="M480" s="66" t="e">
        <f>#REF!</f>
        <v>#REF!</v>
      </c>
      <c r="N480" s="66">
        <f>'F13-Year(n+3)'!Q489</f>
        <v>0</v>
      </c>
      <c r="O480" s="66">
        <f>'F13-Year(n+4)'!Q489</f>
        <v>0</v>
      </c>
      <c r="P480" s="66">
        <f>'F13-Year(n+5)'!Q489</f>
        <v>0</v>
      </c>
    </row>
    <row r="481" spans="3:16" x14ac:dyDescent="0.25">
      <c r="C481" s="753" t="s">
        <v>420</v>
      </c>
      <c r="D481" s="754"/>
      <c r="E481" s="86">
        <f>SUM(E457:E480)</f>
        <v>1295.0600000000002</v>
      </c>
      <c r="F481" s="86">
        <f>SUM(F457:F480)</f>
        <v>1301.2264011716504</v>
      </c>
      <c r="G481" s="86">
        <f>F481-E481</f>
        <v>6.16640117165025</v>
      </c>
      <c r="H481" s="86">
        <f>SUM(H457:H480)</f>
        <v>1587.2500000000002</v>
      </c>
      <c r="I481" s="86">
        <f>SUM(I457:I480)</f>
        <v>766.51851227576594</v>
      </c>
      <c r="J481" s="86">
        <f>SUM(J457:J480)</f>
        <v>749.94609617841115</v>
      </c>
      <c r="K481" s="86">
        <f t="shared" si="24"/>
        <v>1516.4646084541771</v>
      </c>
      <c r="L481" s="86">
        <f>'F13-Year(n+2)'!Q487</f>
        <v>2279.4130606901617</v>
      </c>
      <c r="M481" s="86" t="e">
        <f>#REF!</f>
        <v>#REF!</v>
      </c>
      <c r="N481" s="86">
        <f>'F13-Year(n+3)'!Q490</f>
        <v>2664.6263771003696</v>
      </c>
      <c r="O481" s="86">
        <f>'F13-Year(n+4)'!Q490</f>
        <v>2735.7923420774691</v>
      </c>
      <c r="P481" s="86">
        <f>'F13-Year(n+5)'!Q490</f>
        <v>2787.019433283042</v>
      </c>
    </row>
    <row r="482" spans="3:16" x14ac:dyDescent="0.25">
      <c r="C482" s="800" t="s">
        <v>421</v>
      </c>
      <c r="D482" s="801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</row>
    <row r="483" spans="3:16" x14ac:dyDescent="0.25">
      <c r="C483" s="17"/>
      <c r="D483" s="17"/>
      <c r="E483" s="66">
        <f>'[48]PP Cost'!$K$136</f>
        <v>210.83549499999998</v>
      </c>
      <c r="F483" s="109">
        <f>'F13-Year(n-1)'!Q483</f>
        <v>1809.2004322691537</v>
      </c>
      <c r="G483" s="66"/>
      <c r="H483" s="66">
        <f>'[49]PP Cost'!$K$141</f>
        <v>154.36747369999998</v>
      </c>
      <c r="I483" s="66">
        <f>SUM('F13-Year(n)'!E480:J480)+SUM('F13-Year(n)'!E650:J650)</f>
        <v>0</v>
      </c>
      <c r="J483" s="66">
        <f>SUM('F13-Year(n)'!K480:P480)+SUM('F13-Year(n)'!K650:P650)</f>
        <v>0</v>
      </c>
      <c r="K483" s="66">
        <f t="shared" ref="K483:K507" si="25">I483+J483</f>
        <v>0</v>
      </c>
      <c r="L483" s="66">
        <v>0</v>
      </c>
      <c r="M483" s="66">
        <v>0</v>
      </c>
      <c r="N483" s="66">
        <v>0</v>
      </c>
      <c r="O483" s="66">
        <v>0</v>
      </c>
      <c r="P483" s="66">
        <v>0</v>
      </c>
    </row>
    <row r="484" spans="3:16" x14ac:dyDescent="0.25">
      <c r="C484" s="17"/>
      <c r="D484" s="17"/>
      <c r="E484" s="66"/>
      <c r="F484" s="109">
        <f>'F13-Year(n-1)'!Q484</f>
        <v>0</v>
      </c>
      <c r="G484" s="66"/>
      <c r="H484" s="66"/>
      <c r="I484" s="66">
        <f>SUM('F13-Year(n)'!E481:J481)+SUM('F13-Year(n)'!E651:J651)</f>
        <v>0</v>
      </c>
      <c r="J484" s="66">
        <f>SUM('F13-Year(n)'!K481:P481)+SUM('F13-Year(n)'!K651:P651)</f>
        <v>0</v>
      </c>
      <c r="K484" s="66">
        <f t="shared" si="25"/>
        <v>0</v>
      </c>
      <c r="L484" s="66">
        <v>0</v>
      </c>
      <c r="M484" s="66">
        <v>0</v>
      </c>
      <c r="N484" s="66">
        <v>0</v>
      </c>
      <c r="O484" s="66">
        <v>0</v>
      </c>
      <c r="P484" s="66">
        <v>0</v>
      </c>
    </row>
    <row r="485" spans="3:16" x14ac:dyDescent="0.25">
      <c r="C485" s="17"/>
      <c r="D485" s="17"/>
      <c r="E485" s="66"/>
      <c r="F485" s="109">
        <f>'F13-Year(n-1)'!Q485</f>
        <v>0</v>
      </c>
      <c r="G485" s="66"/>
      <c r="H485" s="66"/>
      <c r="I485" s="66">
        <f>SUM('F13-Year(n)'!E482:J482)+SUM('F13-Year(n)'!E652:J652)</f>
        <v>0</v>
      </c>
      <c r="J485" s="66">
        <f>SUM('F13-Year(n)'!K482:P482)+SUM('F13-Year(n)'!K652:P652)</f>
        <v>0</v>
      </c>
      <c r="K485" s="66">
        <f t="shared" si="25"/>
        <v>0</v>
      </c>
      <c r="L485" s="66">
        <v>0</v>
      </c>
      <c r="M485" s="66">
        <v>0</v>
      </c>
      <c r="N485" s="66">
        <v>0</v>
      </c>
      <c r="O485" s="66">
        <v>0</v>
      </c>
      <c r="P485" s="66">
        <v>0</v>
      </c>
    </row>
    <row r="486" spans="3:16" x14ac:dyDescent="0.25">
      <c r="C486" s="17"/>
      <c r="D486" s="17"/>
      <c r="E486" s="66"/>
      <c r="F486" s="109">
        <f>'F13-Year(n-1)'!Q486</f>
        <v>0</v>
      </c>
      <c r="G486" s="66"/>
      <c r="H486" s="66"/>
      <c r="I486" s="66">
        <f>SUM('F13-Year(n)'!E483:J483)+SUM('F13-Year(n)'!E653:J653)</f>
        <v>0</v>
      </c>
      <c r="J486" s="66">
        <f>SUM('F13-Year(n)'!K483:P483)+SUM('F13-Year(n)'!K653:P653)</f>
        <v>0</v>
      </c>
      <c r="K486" s="66">
        <f t="shared" si="25"/>
        <v>0</v>
      </c>
      <c r="L486" s="66">
        <v>0</v>
      </c>
      <c r="M486" s="66">
        <v>0</v>
      </c>
      <c r="N486" s="66">
        <v>0</v>
      </c>
      <c r="O486" s="66">
        <v>0</v>
      </c>
      <c r="P486" s="66">
        <v>0</v>
      </c>
    </row>
    <row r="487" spans="3:16" x14ac:dyDescent="0.25">
      <c r="C487" s="17"/>
      <c r="D487" s="17"/>
      <c r="E487" s="66"/>
      <c r="F487" s="109">
        <f>'F13-Year(n-1)'!Q487</f>
        <v>0</v>
      </c>
      <c r="G487" s="66"/>
      <c r="H487" s="66"/>
      <c r="I487" s="66">
        <f>SUM('F13-Year(n)'!E484:J484)+SUM('F13-Year(n)'!E654:J654)</f>
        <v>0</v>
      </c>
      <c r="J487" s="66">
        <f>SUM('F13-Year(n)'!K484:P484)+SUM('F13-Year(n)'!K654:P654)</f>
        <v>0</v>
      </c>
      <c r="K487" s="66">
        <f t="shared" si="25"/>
        <v>0</v>
      </c>
      <c r="L487" s="66">
        <v>0</v>
      </c>
      <c r="M487" s="66">
        <v>0</v>
      </c>
      <c r="N487" s="66">
        <v>0</v>
      </c>
      <c r="O487" s="66">
        <v>0</v>
      </c>
      <c r="P487" s="66">
        <v>0</v>
      </c>
    </row>
    <row r="488" spans="3:16" x14ac:dyDescent="0.25">
      <c r="C488" s="17"/>
      <c r="D488" s="325" t="s">
        <v>629</v>
      </c>
      <c r="E488" s="66"/>
      <c r="F488" s="109">
        <f>'F13-Year(n-1)'!Q488</f>
        <v>1.9483549258999999</v>
      </c>
      <c r="G488" s="66"/>
      <c r="H488" s="66"/>
      <c r="I488" s="66">
        <f>SUM('F13-Year(n)'!E485:J485)+SUM('F13-Year(n)'!E655:J655)</f>
        <v>0</v>
      </c>
      <c r="J488" s="66">
        <f>SUM('F13-Year(n)'!K485:P485)+SUM('F13-Year(n)'!K655:P655)</f>
        <v>0</v>
      </c>
      <c r="K488" s="66">
        <f t="shared" si="25"/>
        <v>0</v>
      </c>
      <c r="L488" s="66"/>
      <c r="M488" s="66"/>
      <c r="N488" s="66"/>
      <c r="O488" s="66"/>
      <c r="P488" s="66"/>
    </row>
    <row r="489" spans="3:16" x14ac:dyDescent="0.25">
      <c r="C489" s="17"/>
      <c r="D489" s="325" t="s">
        <v>630</v>
      </c>
      <c r="E489" s="66"/>
      <c r="F489" s="109">
        <f>'F13-Year(n-1)'!Q489</f>
        <v>0</v>
      </c>
      <c r="G489" s="66"/>
      <c r="H489" s="66"/>
      <c r="I489" s="66">
        <f>SUM('F13-Year(n)'!E486:J486)+SUM('F13-Year(n)'!E656:J656)</f>
        <v>0</v>
      </c>
      <c r="J489" s="66">
        <f>SUM('F13-Year(n)'!K486:P486)+SUM('F13-Year(n)'!K656:P656)</f>
        <v>0</v>
      </c>
      <c r="K489" s="66">
        <f t="shared" si="25"/>
        <v>0</v>
      </c>
      <c r="L489" s="66"/>
      <c r="M489" s="66"/>
      <c r="N489" s="66"/>
      <c r="O489" s="66"/>
      <c r="P489" s="66"/>
    </row>
    <row r="490" spans="3:16" x14ac:dyDescent="0.25">
      <c r="C490" s="17"/>
      <c r="D490" s="326" t="s">
        <v>631</v>
      </c>
      <c r="E490" s="66"/>
      <c r="F490" s="109">
        <f>'F13-Year(n-1)'!Q490</f>
        <v>32.210907755500003</v>
      </c>
      <c r="G490" s="66"/>
      <c r="H490" s="66"/>
      <c r="I490" s="66">
        <f>SUM('F13-Year(n)'!E487:J487)+SUM('F13-Year(n)'!E657:J657)</f>
        <v>29.227101549399997</v>
      </c>
      <c r="J490" s="66">
        <f>SUM('F13-Year(n)'!K487:P487)+SUM('F13-Year(n)'!K657:P657)</f>
        <v>-9.7469960555999986</v>
      </c>
      <c r="K490" s="66">
        <f t="shared" si="25"/>
        <v>19.480105493799996</v>
      </c>
      <c r="L490" s="66"/>
      <c r="M490" s="66"/>
      <c r="N490" s="66"/>
      <c r="O490" s="66"/>
      <c r="P490" s="66"/>
    </row>
    <row r="491" spans="3:16" x14ac:dyDescent="0.25">
      <c r="C491" s="17"/>
      <c r="D491" s="325" t="s">
        <v>632</v>
      </c>
      <c r="E491" s="66"/>
      <c r="F491" s="109">
        <f>'F13-Year(n-1)'!Q491</f>
        <v>0</v>
      </c>
      <c r="G491" s="66"/>
      <c r="H491" s="66"/>
      <c r="I491" s="66">
        <f>SUM('F13-Year(n)'!E488:J488)+SUM('F13-Year(n)'!E658:J658)</f>
        <v>4.0459576766928569</v>
      </c>
      <c r="J491" s="66">
        <f>SUM('F13-Year(n)'!K488:P488)+SUM('F13-Year(n)'!K658:P658)</f>
        <v>0.93772449275714287</v>
      </c>
      <c r="K491" s="66">
        <f t="shared" si="25"/>
        <v>4.9836821694499998</v>
      </c>
      <c r="L491" s="66"/>
      <c r="M491" s="66"/>
      <c r="N491" s="66"/>
      <c r="O491" s="66"/>
      <c r="P491" s="66"/>
    </row>
    <row r="492" spans="3:16" x14ac:dyDescent="0.25">
      <c r="C492" s="17"/>
      <c r="D492" s="325" t="s">
        <v>633</v>
      </c>
      <c r="E492" s="66"/>
      <c r="F492" s="109">
        <f>'F13-Year(n-1)'!Q492</f>
        <v>-2.86428199695</v>
      </c>
      <c r="G492" s="66"/>
      <c r="H492" s="66"/>
      <c r="I492" s="66">
        <f>SUM('F13-Year(n)'!E489:J489)+SUM('F13-Year(n)'!E659:J659)</f>
        <v>0</v>
      </c>
      <c r="J492" s="66">
        <f>SUM('F13-Year(n)'!K489:P489)+SUM('F13-Year(n)'!K659:P659)</f>
        <v>0</v>
      </c>
      <c r="K492" s="66">
        <f t="shared" si="25"/>
        <v>0</v>
      </c>
      <c r="L492" s="66"/>
      <c r="M492" s="66"/>
      <c r="N492" s="66"/>
      <c r="O492" s="66"/>
      <c r="P492" s="66"/>
    </row>
    <row r="493" spans="3:16" x14ac:dyDescent="0.25">
      <c r="C493" s="17"/>
      <c r="D493" s="325" t="s">
        <v>634</v>
      </c>
      <c r="E493" s="66"/>
      <c r="F493" s="109">
        <f>'F13-Year(n-1)'!Q493</f>
        <v>0</v>
      </c>
      <c r="G493" s="66"/>
      <c r="H493" s="66"/>
      <c r="I493" s="66">
        <f>SUM('F13-Year(n)'!E490:J490)+SUM('F13-Year(n)'!E660:J660)</f>
        <v>0</v>
      </c>
      <c r="J493" s="66">
        <f>SUM('F13-Year(n)'!K490:P490)+SUM('F13-Year(n)'!K660:P660)</f>
        <v>0</v>
      </c>
      <c r="K493" s="66">
        <f t="shared" si="25"/>
        <v>0</v>
      </c>
      <c r="L493" s="66"/>
      <c r="M493" s="66"/>
      <c r="N493" s="66"/>
      <c r="O493" s="66"/>
      <c r="P493" s="66"/>
    </row>
    <row r="494" spans="3:16" x14ac:dyDescent="0.25">
      <c r="C494" s="17"/>
      <c r="D494" s="325" t="s">
        <v>635</v>
      </c>
      <c r="E494" s="66"/>
      <c r="F494" s="109">
        <f>'F13-Year(n-1)'!Q494</f>
        <v>0.51673349999999996</v>
      </c>
      <c r="G494" s="66"/>
      <c r="H494" s="66"/>
      <c r="I494" s="66">
        <f>SUM('F13-Year(n)'!E491:J491)+SUM('F13-Year(n)'!E661:J661)</f>
        <v>0</v>
      </c>
      <c r="J494" s="66">
        <f>SUM('F13-Year(n)'!K491:P491)+SUM('F13-Year(n)'!K661:P661)</f>
        <v>0</v>
      </c>
      <c r="K494" s="66">
        <f t="shared" si="25"/>
        <v>0</v>
      </c>
      <c r="L494" s="66"/>
      <c r="M494" s="66"/>
      <c r="N494" s="66"/>
      <c r="O494" s="66"/>
      <c r="P494" s="66"/>
    </row>
    <row r="495" spans="3:16" x14ac:dyDescent="0.25">
      <c r="C495" s="17"/>
      <c r="D495" s="325" t="s">
        <v>636</v>
      </c>
      <c r="E495" s="66"/>
      <c r="F495" s="109">
        <f>'F13-Year(n-1)'!Q495</f>
        <v>0</v>
      </c>
      <c r="G495" s="66"/>
      <c r="H495" s="66"/>
      <c r="I495" s="66">
        <f>SUM('F13-Year(n)'!E492:J492)+SUM('F13-Year(n)'!E662:J662)</f>
        <v>0</v>
      </c>
      <c r="J495" s="66">
        <f>SUM('F13-Year(n)'!K492:P492)+SUM('F13-Year(n)'!K662:P662)</f>
        <v>0</v>
      </c>
      <c r="K495" s="66">
        <f t="shared" si="25"/>
        <v>0</v>
      </c>
      <c r="L495" s="66"/>
      <c r="M495" s="66"/>
      <c r="N495" s="66"/>
      <c r="O495" s="66"/>
      <c r="P495" s="66"/>
    </row>
    <row r="496" spans="3:16" x14ac:dyDescent="0.25">
      <c r="C496" s="17"/>
      <c r="D496" s="325" t="s">
        <v>637</v>
      </c>
      <c r="E496" s="66"/>
      <c r="F496" s="109">
        <f>'F13-Year(n-1)'!Q496</f>
        <v>0</v>
      </c>
      <c r="G496" s="66"/>
      <c r="H496" s="66"/>
      <c r="I496" s="66">
        <f>SUM('F13-Year(n)'!E493:J493)+SUM('F13-Year(n)'!E663:J663)</f>
        <v>0</v>
      </c>
      <c r="J496" s="66">
        <f>SUM('F13-Year(n)'!K493:P493)+SUM('F13-Year(n)'!K663:P663)</f>
        <v>0</v>
      </c>
      <c r="K496" s="66">
        <f t="shared" si="25"/>
        <v>0</v>
      </c>
      <c r="L496" s="66"/>
      <c r="M496" s="66"/>
      <c r="N496" s="66"/>
      <c r="O496" s="66"/>
      <c r="P496" s="66"/>
    </row>
    <row r="497" spans="3:16" x14ac:dyDescent="0.25">
      <c r="C497" s="17"/>
      <c r="D497" s="325" t="s">
        <v>638</v>
      </c>
      <c r="E497" s="66"/>
      <c r="F497" s="109">
        <f>'F13-Year(n-1)'!Q497</f>
        <v>0</v>
      </c>
      <c r="G497" s="66"/>
      <c r="H497" s="66"/>
      <c r="I497" s="66">
        <f>SUM('F13-Year(n)'!E494:J494)+SUM('F13-Year(n)'!E664:J664)</f>
        <v>0</v>
      </c>
      <c r="J497" s="66">
        <f>SUM('F13-Year(n)'!K494:P494)+SUM('F13-Year(n)'!K664:P664)</f>
        <v>0</v>
      </c>
      <c r="K497" s="66">
        <f t="shared" si="25"/>
        <v>0</v>
      </c>
      <c r="L497" s="66"/>
      <c r="M497" s="66"/>
      <c r="N497" s="66"/>
      <c r="O497" s="66"/>
      <c r="P497" s="66"/>
    </row>
    <row r="498" spans="3:16" x14ac:dyDescent="0.25">
      <c r="C498" s="17"/>
      <c r="D498" s="325" t="s">
        <v>639</v>
      </c>
      <c r="E498" s="66"/>
      <c r="F498" s="109">
        <f>'F13-Year(n-1)'!Q498</f>
        <v>0</v>
      </c>
      <c r="G498" s="66"/>
      <c r="H498" s="66"/>
      <c r="I498" s="66">
        <f>SUM('F13-Year(n)'!E495:J495)+SUM('F13-Year(n)'!E665:J665)</f>
        <v>0</v>
      </c>
      <c r="J498" s="66">
        <f>SUM('F13-Year(n)'!K495:P495)+SUM('F13-Year(n)'!K665:P665)</f>
        <v>0</v>
      </c>
      <c r="K498" s="66">
        <f t="shared" si="25"/>
        <v>0</v>
      </c>
      <c r="L498" s="66"/>
      <c r="M498" s="66"/>
      <c r="N498" s="66"/>
      <c r="O498" s="66"/>
      <c r="P498" s="66"/>
    </row>
    <row r="499" spans="3:16" x14ac:dyDescent="0.25">
      <c r="C499" s="17"/>
      <c r="D499" s="17" t="s">
        <v>462</v>
      </c>
      <c r="E499" s="66"/>
      <c r="F499" s="109">
        <f>'F13-Year(n-1)'!Q499</f>
        <v>0</v>
      </c>
      <c r="G499" s="66"/>
      <c r="H499" s="66"/>
      <c r="I499" s="66">
        <f>SUM('F13-Year(n)'!E496:J496)+SUM('F13-Year(n)'!E666:J666)</f>
        <v>1027.3405788637247</v>
      </c>
      <c r="J499" s="66">
        <f>SUM('F13-Year(n)'!K496:P496)+SUM('F13-Year(n)'!K666:P666)</f>
        <v>1495.2690622869936</v>
      </c>
      <c r="K499" s="66">
        <f t="shared" si="25"/>
        <v>2522.6096411507183</v>
      </c>
      <c r="L499" s="66">
        <f>'F13-Year(n+2)'!Q490</f>
        <v>-422.05430168099122</v>
      </c>
      <c r="M499" s="66" t="e">
        <f>#REF!</f>
        <v>#REF!</v>
      </c>
      <c r="N499" s="66">
        <f>'F13-Year(n+3)'!Q493</f>
        <v>23.74561359087761</v>
      </c>
      <c r="O499" s="66">
        <f>'F13-Year(n+4)'!Q493</f>
        <v>-172.59028516886247</v>
      </c>
      <c r="P499" s="66">
        <f>'F13-Year(n+5)'!Q493</f>
        <v>-56.704202581571302</v>
      </c>
    </row>
    <row r="500" spans="3:16" x14ac:dyDescent="0.25">
      <c r="C500" s="17"/>
      <c r="D500" s="17" t="s">
        <v>628</v>
      </c>
      <c r="E500" s="66"/>
      <c r="F500" s="109">
        <f>'F13-Year(n-1)'!Q500</f>
        <v>0</v>
      </c>
      <c r="G500" s="66"/>
      <c r="H500" s="66"/>
      <c r="I500" s="66">
        <f>SUM('F13-Year(n)'!E497:J497)+SUM('F13-Year(n)'!E667:J667)</f>
        <v>0</v>
      </c>
      <c r="J500" s="66">
        <f>SUM('F13-Year(n)'!K497:P497)+SUM('F13-Year(n)'!K667:P667)</f>
        <v>0</v>
      </c>
      <c r="K500" s="66">
        <f t="shared" si="25"/>
        <v>0</v>
      </c>
      <c r="L500" s="66">
        <f>'F13-Year(n+2)'!Q489</f>
        <v>243.75784012263694</v>
      </c>
      <c r="M500" s="66" t="e">
        <f>#REF!</f>
        <v>#REF!</v>
      </c>
      <c r="N500" s="66">
        <f>'F13-Year(n+3)'!Q492</f>
        <v>-315.38030793578076</v>
      </c>
      <c r="O500" s="66">
        <f>'F13-Year(n+4)'!Q492</f>
        <v>0</v>
      </c>
      <c r="P500" s="66">
        <f>'F13-Year(n+5)'!Q492</f>
        <v>0</v>
      </c>
    </row>
    <row r="501" spans="3:16" hidden="1" x14ac:dyDescent="0.25">
      <c r="C501" s="17"/>
      <c r="D501" s="17"/>
      <c r="E501" s="66"/>
      <c r="F501" s="109">
        <f>'F13-Year(n-1)'!Q501</f>
        <v>0</v>
      </c>
      <c r="G501" s="66"/>
      <c r="H501" s="66"/>
      <c r="I501" s="66">
        <f>SUM('F13-Year(n)'!E498:J498)+SUM('F13-Year(n)'!E668:J668)</f>
        <v>0</v>
      </c>
      <c r="J501" s="66">
        <f>SUM('F13-Year(n)'!K498:P498)+SUM('F13-Year(n)'!K668:P668)</f>
        <v>0</v>
      </c>
      <c r="K501" s="66">
        <f t="shared" si="25"/>
        <v>0</v>
      </c>
      <c r="L501" s="66">
        <f>'F13-Year(n+2)'!Q492</f>
        <v>0</v>
      </c>
      <c r="M501" s="66" t="e">
        <f>#REF!</f>
        <v>#REF!</v>
      </c>
      <c r="N501" s="66">
        <f>'F13-Year(n+3)'!Q495</f>
        <v>0</v>
      </c>
      <c r="O501" s="66">
        <f>'F13-Year(n+4)'!Q495</f>
        <v>0</v>
      </c>
      <c r="P501" s="66">
        <f>'F13-Year(n+5)'!Q495</f>
        <v>0</v>
      </c>
    </row>
    <row r="502" spans="3:16" hidden="1" x14ac:dyDescent="0.25">
      <c r="C502" s="17"/>
      <c r="D502" s="17"/>
      <c r="E502" s="66"/>
      <c r="F502" s="109">
        <f>'F13-Year(n-1)'!Q502</f>
        <v>0</v>
      </c>
      <c r="G502" s="66"/>
      <c r="H502" s="66"/>
      <c r="I502" s="66">
        <f>SUM('F13-Year(n)'!E499:J499)+SUM('F13-Year(n)'!E669:J669)</f>
        <v>0</v>
      </c>
      <c r="J502" s="66">
        <f>SUM('F13-Year(n)'!K499:P499)+SUM('F13-Year(n)'!K669:P669)</f>
        <v>0</v>
      </c>
      <c r="K502" s="66">
        <f t="shared" si="25"/>
        <v>0</v>
      </c>
      <c r="L502" s="66">
        <f>'F13-Year(n+2)'!Q493</f>
        <v>0</v>
      </c>
      <c r="M502" s="66" t="e">
        <f>#REF!</f>
        <v>#REF!</v>
      </c>
      <c r="N502" s="66">
        <f>'F13-Year(n+3)'!Q496</f>
        <v>0</v>
      </c>
      <c r="O502" s="66">
        <f>'F13-Year(n+4)'!Q496</f>
        <v>0</v>
      </c>
      <c r="P502" s="66">
        <f>'F13-Year(n+5)'!Q496</f>
        <v>0</v>
      </c>
    </row>
    <row r="503" spans="3:16" hidden="1" x14ac:dyDescent="0.25">
      <c r="C503" s="17"/>
      <c r="D503" s="17"/>
      <c r="E503" s="66"/>
      <c r="F503" s="109">
        <f>'F13-Year(n-1)'!Q503</f>
        <v>0</v>
      </c>
      <c r="G503" s="66"/>
      <c r="H503" s="66"/>
      <c r="I503" s="66">
        <f>SUM('F13-Year(n)'!E500:J500)+SUM('F13-Year(n)'!E670:J670)</f>
        <v>0</v>
      </c>
      <c r="J503" s="66">
        <f>SUM('F13-Year(n)'!K500:P500)+SUM('F13-Year(n)'!K670:P670)</f>
        <v>0</v>
      </c>
      <c r="K503" s="66">
        <f t="shared" si="25"/>
        <v>0</v>
      </c>
      <c r="L503" s="66">
        <f>'F13-Year(n+2)'!Q494</f>
        <v>0</v>
      </c>
      <c r="M503" s="66" t="e">
        <f>#REF!</f>
        <v>#REF!</v>
      </c>
      <c r="N503" s="66">
        <f>'F13-Year(n+3)'!Q497</f>
        <v>0</v>
      </c>
      <c r="O503" s="66">
        <f>'F13-Year(n+4)'!Q497</f>
        <v>0</v>
      </c>
      <c r="P503" s="66">
        <f>'F13-Year(n+5)'!Q497</f>
        <v>0</v>
      </c>
    </row>
    <row r="504" spans="3:16" hidden="1" x14ac:dyDescent="0.25">
      <c r="C504" s="17"/>
      <c r="D504" s="17"/>
      <c r="E504" s="66"/>
      <c r="F504" s="109">
        <f>'F13-Year(n-1)'!Q504</f>
        <v>0</v>
      </c>
      <c r="G504" s="66"/>
      <c r="H504" s="66"/>
      <c r="I504" s="66">
        <f>SUM('F13-Year(n)'!E501:J501)+SUM('F13-Year(n)'!E671:J671)</f>
        <v>0</v>
      </c>
      <c r="J504" s="66">
        <f>SUM('F13-Year(n)'!K501:P501)+SUM('F13-Year(n)'!K671:P671)</f>
        <v>0</v>
      </c>
      <c r="K504" s="66">
        <f t="shared" si="25"/>
        <v>0</v>
      </c>
      <c r="L504" s="66">
        <f>'F13-Year(n+2)'!Q495</f>
        <v>0</v>
      </c>
      <c r="M504" s="66" t="e">
        <f>#REF!</f>
        <v>#REF!</v>
      </c>
      <c r="N504" s="66">
        <f>'F13-Year(n+3)'!Q498</f>
        <v>0</v>
      </c>
      <c r="O504" s="66">
        <f>'F13-Year(n+4)'!Q498</f>
        <v>0</v>
      </c>
      <c r="P504" s="66">
        <f>'F13-Year(n+5)'!Q498</f>
        <v>0</v>
      </c>
    </row>
    <row r="505" spans="3:16" hidden="1" x14ac:dyDescent="0.25">
      <c r="C505" s="17"/>
      <c r="D505" s="17"/>
      <c r="E505" s="66"/>
      <c r="F505" s="109">
        <f>'F13-Year(n-1)'!Q505</f>
        <v>0</v>
      </c>
      <c r="G505" s="66"/>
      <c r="H505" s="66"/>
      <c r="I505" s="66">
        <f>SUM('F13-Year(n)'!E502:J502)+SUM('F13-Year(n)'!E672:J672)</f>
        <v>0</v>
      </c>
      <c r="J505" s="66">
        <f>SUM('F13-Year(n)'!K502:P502)+SUM('F13-Year(n)'!K672:P672)</f>
        <v>0</v>
      </c>
      <c r="K505" s="66">
        <f t="shared" si="25"/>
        <v>0</v>
      </c>
      <c r="L505" s="66">
        <f>'F13-Year(n+2)'!Q496</f>
        <v>0</v>
      </c>
      <c r="M505" s="66" t="e">
        <f>#REF!</f>
        <v>#REF!</v>
      </c>
      <c r="N505" s="66">
        <f>'F13-Year(n+3)'!Q499</f>
        <v>0</v>
      </c>
      <c r="O505" s="66">
        <f>'F13-Year(n+4)'!Q499</f>
        <v>0</v>
      </c>
      <c r="P505" s="66">
        <f>'F13-Year(n+5)'!Q499</f>
        <v>0</v>
      </c>
    </row>
    <row r="506" spans="3:16" hidden="1" x14ac:dyDescent="0.25">
      <c r="C506" s="17"/>
      <c r="D506" s="17"/>
      <c r="E506" s="66"/>
      <c r="F506" s="109">
        <f>'F13-Year(n-1)'!Q506</f>
        <v>0</v>
      </c>
      <c r="G506" s="66"/>
      <c r="H506" s="66"/>
      <c r="I506" s="66">
        <f>SUM('F13-Year(n)'!E503:J503)+SUM('F13-Year(n)'!E673:J673)</f>
        <v>0</v>
      </c>
      <c r="J506" s="66">
        <f>SUM('F13-Year(n)'!K503:P503)+SUM('F13-Year(n)'!K673:P673)</f>
        <v>0</v>
      </c>
      <c r="K506" s="66">
        <f t="shared" si="25"/>
        <v>0</v>
      </c>
      <c r="L506" s="66">
        <f>'F13-Year(n+2)'!Q497</f>
        <v>0</v>
      </c>
      <c r="M506" s="66" t="e">
        <f>#REF!</f>
        <v>#REF!</v>
      </c>
      <c r="N506" s="66">
        <f>'F13-Year(n+3)'!Q500</f>
        <v>0</v>
      </c>
      <c r="O506" s="66">
        <f>'F13-Year(n+4)'!Q500</f>
        <v>0</v>
      </c>
      <c r="P506" s="66">
        <f>'F13-Year(n+5)'!Q500</f>
        <v>0</v>
      </c>
    </row>
    <row r="507" spans="3:16" x14ac:dyDescent="0.25">
      <c r="C507" s="753" t="s">
        <v>423</v>
      </c>
      <c r="D507" s="754"/>
      <c r="E507" s="86">
        <f>SUM(E483:E506)</f>
        <v>210.83549499999998</v>
      </c>
      <c r="F507" s="86">
        <f>SUM(F483:F506)</f>
        <v>1841.0121464536039</v>
      </c>
      <c r="G507" s="86">
        <f>F507-E507</f>
        <v>1630.1766514536039</v>
      </c>
      <c r="H507" s="86">
        <f>SUM(H483:H506)</f>
        <v>154.36747369999998</v>
      </c>
      <c r="I507" s="86">
        <f>SUM(I483:I506)</f>
        <v>1060.6136380898174</v>
      </c>
      <c r="J507" s="86">
        <f>SUM(J483:J506)</f>
        <v>1486.4597907241507</v>
      </c>
      <c r="K507" s="86">
        <f t="shared" si="25"/>
        <v>2547.0734288139683</v>
      </c>
      <c r="L507" s="86">
        <f>'F13-Year(n+2)'!Q517</f>
        <v>-1333.5800857946226</v>
      </c>
      <c r="M507" s="86" t="e">
        <f>#REF!</f>
        <v>#REF!</v>
      </c>
      <c r="N507" s="86">
        <f>'F13-Year(n+3)'!Q520</f>
        <v>-291.63469434490315</v>
      </c>
      <c r="O507" s="86">
        <f>'F13-Year(n+4)'!Q520</f>
        <v>-172.59028516886247</v>
      </c>
      <c r="P507" s="86">
        <f>'F13-Year(n+5)'!Q520</f>
        <v>-56.704202581571302</v>
      </c>
    </row>
    <row r="508" spans="3:16" x14ac:dyDescent="0.25">
      <c r="C508" s="800" t="s">
        <v>424</v>
      </c>
      <c r="D508" s="801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</row>
    <row r="509" spans="3:16" x14ac:dyDescent="0.25">
      <c r="C509" s="17" t="s">
        <v>425</v>
      </c>
      <c r="D509" s="17" t="s">
        <v>426</v>
      </c>
      <c r="E509" s="66">
        <f>'[48]PP Cost'!K138</f>
        <v>152.52000000000001</v>
      </c>
      <c r="F509" s="109">
        <f>'F13-Year(n-1)'!Q509</f>
        <v>0</v>
      </c>
      <c r="G509" s="66"/>
      <c r="H509" s="66">
        <f>'[49]PP Cost'!K142</f>
        <v>25.39</v>
      </c>
      <c r="I509" s="66">
        <f>SUM('F13-Year(n)'!E506:J506)+SUM('F13-Year(n)'!E676:J676)</f>
        <v>0</v>
      </c>
      <c r="J509" s="66">
        <f>SUM('F13-Year(n)'!K506:P506)+SUM('F13-Year(n)'!K676:P676)</f>
        <v>0</v>
      </c>
      <c r="K509" s="66">
        <f>I509+J509</f>
        <v>0</v>
      </c>
      <c r="L509" s="66">
        <f>'F13-Year(n+2)'!Q519</f>
        <v>0</v>
      </c>
      <c r="M509" s="66" t="e">
        <f>#REF!</f>
        <v>#REF!</v>
      </c>
      <c r="N509" s="66">
        <f>'F13-Year(n+3)'!Q522</f>
        <v>0</v>
      </c>
      <c r="O509" s="66">
        <f>'F13-Year(n+4)'!Q522</f>
        <v>0</v>
      </c>
      <c r="P509" s="66">
        <f>'F13-Year(n+5)'!Q522</f>
        <v>-2416.4670161010145</v>
      </c>
    </row>
    <row r="510" spans="3:16" x14ac:dyDescent="0.25">
      <c r="C510" s="17" t="s">
        <v>425</v>
      </c>
      <c r="D510" s="17" t="s">
        <v>427</v>
      </c>
      <c r="E510" s="66">
        <f>'[48]PP Cost'!K139</f>
        <v>-212.64</v>
      </c>
      <c r="F510" s="109">
        <f>'F13-Year(n-1)'!Q511</f>
        <v>0</v>
      </c>
      <c r="G510" s="66"/>
      <c r="H510" s="66">
        <f>'[49]PP Cost'!K143</f>
        <v>-235.3</v>
      </c>
      <c r="I510" s="66">
        <f>SUM('F13-Year(n)'!E507:J507)+SUM('F13-Year(n)'!E677:J677)</f>
        <v>0</v>
      </c>
      <c r="J510" s="66">
        <f>SUM('F13-Year(n)'!K507:P507)+SUM('F13-Year(n)'!K677:P677)</f>
        <v>0</v>
      </c>
      <c r="K510" s="66">
        <f>I510+J510</f>
        <v>0</v>
      </c>
      <c r="L510" s="66">
        <f>'F13-Year(n+2)'!Q520</f>
        <v>-655.55282535454887</v>
      </c>
      <c r="M510" s="66" t="e">
        <f>#REF!</f>
        <v>#REF!</v>
      </c>
      <c r="N510" s="66">
        <f>'F13-Year(n+3)'!Q523</f>
        <v>-1403.5521992963775</v>
      </c>
      <c r="O510" s="66">
        <f>'F13-Year(n+4)'!Q523</f>
        <v>-1905.122163920206</v>
      </c>
      <c r="P510" s="66">
        <f>'F13-Year(n+5)'!Q523</f>
        <v>0</v>
      </c>
    </row>
    <row r="511" spans="3:16" x14ac:dyDescent="0.25">
      <c r="C511" s="116"/>
      <c r="D511" s="324" t="s">
        <v>463</v>
      </c>
      <c r="E511" s="66">
        <f>'[48]PP Cost'!$K$140</f>
        <v>-476.84</v>
      </c>
      <c r="F511" s="109"/>
      <c r="G511" s="66"/>
      <c r="H511" s="66">
        <f>'[49]PP Cost'!K144</f>
        <v>-548.83000000000004</v>
      </c>
      <c r="I511" s="66">
        <f>SUM('F13-Year(n)'!E508:J508)+SUM('F13-Year(n)'!E678:J678)</f>
        <v>-109.56312797406004</v>
      </c>
      <c r="J511" s="66">
        <f>SUM('F13-Year(n)'!K508:P508)+SUM('F13-Year(n)'!K678:P678)</f>
        <v>-106.96865689389574</v>
      </c>
      <c r="K511" s="66">
        <f>I511+J511</f>
        <v>-216.53178486795576</v>
      </c>
      <c r="L511" s="66"/>
      <c r="M511" s="66"/>
      <c r="N511" s="66"/>
      <c r="O511" s="66"/>
      <c r="P511" s="66"/>
    </row>
    <row r="512" spans="3:16" x14ac:dyDescent="0.25">
      <c r="C512" s="753" t="s">
        <v>428</v>
      </c>
      <c r="D512" s="754"/>
      <c r="E512" s="86">
        <f>E509+E510+E511</f>
        <v>-536.95999999999992</v>
      </c>
      <c r="F512" s="86">
        <f>F509+F510+F511</f>
        <v>0</v>
      </c>
      <c r="G512" s="86">
        <f>F512-E512</f>
        <v>536.95999999999992</v>
      </c>
      <c r="H512" s="86">
        <f>H509+H510+H511</f>
        <v>-758.74</v>
      </c>
      <c r="I512" s="86">
        <f>I509+I510+I511</f>
        <v>-109.56312797406004</v>
      </c>
      <c r="J512" s="86">
        <f>J509+J510+J511</f>
        <v>-106.96865689389574</v>
      </c>
      <c r="K512" s="86">
        <f>I512+J512</f>
        <v>-216.53178486795576</v>
      </c>
      <c r="L512" s="86">
        <f>'F13-Year(n+2)'!Q521</f>
        <v>-655.55282535454887</v>
      </c>
      <c r="M512" s="86" t="e">
        <f>#REF!</f>
        <v>#REF!</v>
      </c>
      <c r="N512" s="86">
        <f>'F13-Year(n+3)'!Q524</f>
        <v>-1403.5521992963775</v>
      </c>
      <c r="O512" s="86">
        <f>'F13-Year(n+4)'!Q524</f>
        <v>-1905.122163920206</v>
      </c>
      <c r="P512" s="86">
        <f>'F13-Year(n+5)'!Q524</f>
        <v>-2416.4670161010145</v>
      </c>
    </row>
    <row r="513" spans="3:16" x14ac:dyDescent="0.25">
      <c r="C513" s="753" t="s">
        <v>220</v>
      </c>
      <c r="D513" s="754"/>
      <c r="E513" s="86" t="e">
        <f>E391+E436+E445+E455+E481+E507+E512</f>
        <v>#REF!</v>
      </c>
      <c r="F513" s="86">
        <f>F391+F436+F445+F455+F481+F507+F512</f>
        <v>9577.0002034794506</v>
      </c>
      <c r="G513" s="86" t="e">
        <f>F513-E513</f>
        <v>#REF!</v>
      </c>
      <c r="H513" s="86">
        <f>H391+H436+H445+H455+H481+H507+H512</f>
        <v>6405.6878366199999</v>
      </c>
      <c r="I513" s="86">
        <f>I391+I436+I445+I455+I481+I507+I512</f>
        <v>4857.4163913814091</v>
      </c>
      <c r="J513" s="86">
        <f>J391+J436+J445+J455+J481+J507+J512</f>
        <v>5559.6301037717431</v>
      </c>
      <c r="K513" s="86">
        <f>I513+J513</f>
        <v>10417.046495153152</v>
      </c>
      <c r="L513" s="86">
        <f>'F13-Year(n+2)'!Q522</f>
        <v>8272.9427850065094</v>
      </c>
      <c r="M513" s="86" t="e">
        <f>#REF!</f>
        <v>#REF!</v>
      </c>
      <c r="N513" s="86">
        <f>'F13-Year(n+3)'!Q525</f>
        <v>8180.9270250035361</v>
      </c>
      <c r="O513" s="86">
        <f>'F13-Year(n+4)'!Q525</f>
        <v>8780.1323879643605</v>
      </c>
      <c r="P513" s="86">
        <f>'F13-Year(n+5)'!Q525</f>
        <v>9374.9125785579818</v>
      </c>
    </row>
    <row r="515" spans="3:16" x14ac:dyDescent="0.25">
      <c r="D515" s="22"/>
      <c r="E515" s="22"/>
      <c r="F515" s="22"/>
      <c r="G515" s="22"/>
      <c r="H515" s="22"/>
      <c r="I515" s="22"/>
    </row>
    <row r="516" spans="3:16" x14ac:dyDescent="0.25">
      <c r="D516" s="24"/>
      <c r="E516" s="24"/>
      <c r="F516" s="24"/>
      <c r="G516" s="24"/>
      <c r="H516" s="24"/>
      <c r="I516" s="24"/>
    </row>
    <row r="517" spans="3:16" x14ac:dyDescent="0.25">
      <c r="E517" s="24"/>
      <c r="F517" s="24"/>
      <c r="G517" s="24"/>
      <c r="H517" s="24"/>
      <c r="I517" s="24"/>
    </row>
    <row r="518" spans="3:16" x14ac:dyDescent="0.25">
      <c r="E518" s="24"/>
      <c r="F518" s="24"/>
      <c r="G518" s="24"/>
      <c r="H518" s="24"/>
      <c r="I518" s="24"/>
    </row>
  </sheetData>
  <mergeCells count="98">
    <mergeCell ref="C53:C61"/>
    <mergeCell ref="C49:D49"/>
    <mergeCell ref="C11:C28"/>
    <mergeCell ref="C30:D30"/>
    <mergeCell ref="L6:P6"/>
    <mergeCell ref="C9:D9"/>
    <mergeCell ref="C6:C8"/>
    <mergeCell ref="D6:D8"/>
    <mergeCell ref="E6:G6"/>
    <mergeCell ref="H6:K6"/>
    <mergeCell ref="C10:D10"/>
    <mergeCell ref="C31:C48"/>
    <mergeCell ref="C50:D50"/>
    <mergeCell ref="C51:D51"/>
    <mergeCell ref="C52:D52"/>
    <mergeCell ref="C29:D29"/>
    <mergeCell ref="C79:D79"/>
    <mergeCell ref="C78:D78"/>
    <mergeCell ref="C140:D140"/>
    <mergeCell ref="C104:D104"/>
    <mergeCell ref="C114:D114"/>
    <mergeCell ref="C95:D95"/>
    <mergeCell ref="C96:D96"/>
    <mergeCell ref="C80:C83"/>
    <mergeCell ref="C115:D115"/>
    <mergeCell ref="C94:D94"/>
    <mergeCell ref="C105:D105"/>
    <mergeCell ref="C166:D166"/>
    <mergeCell ref="C167:D167"/>
    <mergeCell ref="C171:D171"/>
    <mergeCell ref="C172:D172"/>
    <mergeCell ref="C141:D141"/>
    <mergeCell ref="C176:C178"/>
    <mergeCell ref="D176:D178"/>
    <mergeCell ref="E176:G176"/>
    <mergeCell ref="H176:K176"/>
    <mergeCell ref="L176:P176"/>
    <mergeCell ref="C179:D179"/>
    <mergeCell ref="C180:D180"/>
    <mergeCell ref="C181:C198"/>
    <mergeCell ref="C267:D267"/>
    <mergeCell ref="C275:D275"/>
    <mergeCell ref="C199:D199"/>
    <mergeCell ref="C200:D200"/>
    <mergeCell ref="C219:D219"/>
    <mergeCell ref="C220:D220"/>
    <mergeCell ref="C201:C218"/>
    <mergeCell ref="C2:P2"/>
    <mergeCell ref="C3:P3"/>
    <mergeCell ref="E347:G347"/>
    <mergeCell ref="H347:K347"/>
    <mergeCell ref="L347:P347"/>
    <mergeCell ref="C276:D276"/>
    <mergeCell ref="C342:D342"/>
    <mergeCell ref="C221:D221"/>
    <mergeCell ref="C285:D285"/>
    <mergeCell ref="C222:D222"/>
    <mergeCell ref="C223:C231"/>
    <mergeCell ref="C249:D249"/>
    <mergeCell ref="C250:D250"/>
    <mergeCell ref="C265:D265"/>
    <mergeCell ref="C266:D266"/>
    <mergeCell ref="C337:D337"/>
    <mergeCell ref="C351:D351"/>
    <mergeCell ref="C251:C254"/>
    <mergeCell ref="C350:D350"/>
    <mergeCell ref="C311:D311"/>
    <mergeCell ref="C312:D312"/>
    <mergeCell ref="C343:D343"/>
    <mergeCell ref="C347:C349"/>
    <mergeCell ref="D347:D349"/>
    <mergeCell ref="C286:D286"/>
    <mergeCell ref="C338:D338"/>
    <mergeCell ref="C352:C369"/>
    <mergeCell ref="C370:D370"/>
    <mergeCell ref="C371:D371"/>
    <mergeCell ref="C420:D420"/>
    <mergeCell ref="C372:C389"/>
    <mergeCell ref="C390:D390"/>
    <mergeCell ref="C391:D391"/>
    <mergeCell ref="C392:D392"/>
    <mergeCell ref="C393:D393"/>
    <mergeCell ref="C394:C402"/>
    <mergeCell ref="C419:D419"/>
    <mergeCell ref="C421:C424"/>
    <mergeCell ref="C436:D436"/>
    <mergeCell ref="C435:D435"/>
    <mergeCell ref="C437:D437"/>
    <mergeCell ref="C513:D513"/>
    <mergeCell ref="C456:D456"/>
    <mergeCell ref="C481:D481"/>
    <mergeCell ref="C482:D482"/>
    <mergeCell ref="C507:D507"/>
    <mergeCell ref="C508:D508"/>
    <mergeCell ref="C512:D512"/>
    <mergeCell ref="C445:D445"/>
    <mergeCell ref="C446:D446"/>
    <mergeCell ref="C455:D455"/>
  </mergeCells>
  <pageMargins left="0.7" right="0.7" top="0.75" bottom="0.75" header="0.3" footer="0.3"/>
  <pageSetup paperSize="9" scale="5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T517"/>
  <sheetViews>
    <sheetView showGridLines="0" zoomScale="66" workbookViewId="0">
      <selection activeCell="L1" sqref="L1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39.88671875" style="4" customWidth="1"/>
    <col min="5" max="5" width="13.88671875" style="4" bestFit="1" customWidth="1"/>
    <col min="6" max="6" width="12.5546875" style="4" bestFit="1" customWidth="1"/>
    <col min="7" max="7" width="13.44140625" style="4" bestFit="1" customWidth="1"/>
    <col min="8" max="8" width="15" style="4" customWidth="1"/>
    <col min="9" max="9" width="12.5546875" style="4" bestFit="1" customWidth="1"/>
    <col min="10" max="10" width="14.88671875" style="4" customWidth="1"/>
    <col min="11" max="11" width="12.5546875" style="4" customWidth="1"/>
    <col min="12" max="12" width="11.88671875" style="4" bestFit="1" customWidth="1"/>
    <col min="13" max="13" width="13.88671875" style="4" bestFit="1" customWidth="1"/>
    <col min="14" max="16" width="11.88671875" style="4" bestFit="1" customWidth="1"/>
    <col min="17" max="17" width="11.44140625" style="4" bestFit="1" customWidth="1"/>
    <col min="18" max="18" width="12.44140625" style="4" customWidth="1"/>
    <col min="19" max="19" width="12.88671875" style="4" customWidth="1"/>
    <col min="20" max="20" width="11.109375" style="4" bestFit="1" customWidth="1"/>
    <col min="21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</row>
    <row r="3" spans="2:17" x14ac:dyDescent="0.25">
      <c r="J3" s="25" t="s">
        <v>647</v>
      </c>
    </row>
    <row r="4" spans="2:17" x14ac:dyDescent="0.25">
      <c r="C4" s="22" t="s">
        <v>648</v>
      </c>
      <c r="J4" s="25"/>
    </row>
    <row r="5" spans="2:17" x14ac:dyDescent="0.25">
      <c r="C5" s="22"/>
      <c r="J5" s="25"/>
    </row>
    <row r="6" spans="2:17" x14ac:dyDescent="0.25">
      <c r="C6" s="47"/>
      <c r="Q6" s="25" t="s">
        <v>3</v>
      </c>
    </row>
    <row r="7" spans="2:17" x14ac:dyDescent="0.25">
      <c r="C7" s="827" t="s">
        <v>346</v>
      </c>
      <c r="D7" s="762" t="s">
        <v>347</v>
      </c>
      <c r="E7" s="768" t="s">
        <v>255</v>
      </c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768"/>
      <c r="Q7" s="768"/>
    </row>
    <row r="8" spans="2:17" x14ac:dyDescent="0.25">
      <c r="C8" s="828"/>
      <c r="D8" s="764"/>
      <c r="E8" s="13" t="s">
        <v>239</v>
      </c>
      <c r="F8" s="13" t="s">
        <v>240</v>
      </c>
      <c r="G8" s="13" t="s">
        <v>241</v>
      </c>
      <c r="H8" s="13" t="s">
        <v>242</v>
      </c>
      <c r="I8" s="13" t="s">
        <v>243</v>
      </c>
      <c r="J8" s="13" t="s">
        <v>244</v>
      </c>
      <c r="K8" s="13" t="s">
        <v>245</v>
      </c>
      <c r="L8" s="13" t="s">
        <v>246</v>
      </c>
      <c r="M8" s="13" t="s">
        <v>247</v>
      </c>
      <c r="N8" s="13" t="s">
        <v>248</v>
      </c>
      <c r="O8" s="13" t="s">
        <v>249</v>
      </c>
      <c r="P8" s="13" t="s">
        <v>250</v>
      </c>
      <c r="Q8" s="13" t="s">
        <v>251</v>
      </c>
    </row>
    <row r="9" spans="2:17" x14ac:dyDescent="0.25">
      <c r="B9" s="60"/>
      <c r="C9" s="800" t="s">
        <v>348</v>
      </c>
      <c r="D9" s="801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ht="14.25" customHeight="1" x14ac:dyDescent="0.25">
      <c r="C10" s="753" t="s">
        <v>349</v>
      </c>
      <c r="D10" s="75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2:17" x14ac:dyDescent="0.25">
      <c r="B11" s="60"/>
      <c r="C11" s="802" t="s">
        <v>350</v>
      </c>
      <c r="D11" s="59" t="s">
        <v>351</v>
      </c>
      <c r="E11" s="17">
        <f t="shared" ref="E11:P11" si="0">E181+E352</f>
        <v>37.182425099747981</v>
      </c>
      <c r="F11" s="17">
        <f t="shared" si="0"/>
        <v>38.23007369574038</v>
      </c>
      <c r="G11" s="17">
        <f t="shared" si="0"/>
        <v>36.036496554232905</v>
      </c>
      <c r="H11" s="17">
        <f t="shared" si="0"/>
        <v>22.279803799938794</v>
      </c>
      <c r="I11" s="17">
        <f t="shared" si="0"/>
        <v>32.651651153769691</v>
      </c>
      <c r="J11" s="17">
        <f t="shared" si="0"/>
        <v>38.800014140827649</v>
      </c>
      <c r="K11" s="17">
        <f t="shared" si="0"/>
        <v>38.648156594596898</v>
      </c>
      <c r="L11" s="17">
        <f t="shared" si="0"/>
        <v>37.597349843546752</v>
      </c>
      <c r="M11" s="17">
        <f t="shared" si="0"/>
        <v>42.040112829630701</v>
      </c>
      <c r="N11" s="17">
        <f t="shared" si="0"/>
        <v>32.792516924599994</v>
      </c>
      <c r="O11" s="17">
        <f t="shared" si="0"/>
        <v>30.571480178449995</v>
      </c>
      <c r="P11" s="17">
        <f t="shared" si="0"/>
        <v>32.247626251100002</v>
      </c>
      <c r="Q11" s="17">
        <f t="shared" ref="Q11:Q29" si="1">SUM(E11:P11)</f>
        <v>419.07770706618169</v>
      </c>
    </row>
    <row r="12" spans="2:17" x14ac:dyDescent="0.25">
      <c r="B12" s="60"/>
      <c r="C12" s="803"/>
      <c r="D12" s="59" t="s">
        <v>352</v>
      </c>
      <c r="E12" s="17">
        <f t="shared" ref="E12:P12" si="2">E182+E353</f>
        <v>43.25628746532459</v>
      </c>
      <c r="F12" s="17">
        <f t="shared" si="2"/>
        <v>40.663179857864492</v>
      </c>
      <c r="G12" s="17">
        <f t="shared" si="2"/>
        <v>41.193275452975662</v>
      </c>
      <c r="H12" s="17">
        <f t="shared" si="2"/>
        <v>45.67757780184661</v>
      </c>
      <c r="I12" s="17">
        <f t="shared" si="2"/>
        <v>45.025511190010185</v>
      </c>
      <c r="J12" s="17">
        <f t="shared" si="2"/>
        <v>45.103998754535596</v>
      </c>
      <c r="K12" s="17">
        <f t="shared" si="2"/>
        <v>40.471119848192345</v>
      </c>
      <c r="L12" s="17">
        <f t="shared" si="2"/>
        <v>45.046598097896002</v>
      </c>
      <c r="M12" s="17">
        <f t="shared" si="2"/>
        <v>45.150444057017879</v>
      </c>
      <c r="N12" s="17">
        <f t="shared" si="2"/>
        <v>35.845890715850004</v>
      </c>
      <c r="O12" s="17">
        <f t="shared" si="2"/>
        <v>34.915792717099997</v>
      </c>
      <c r="P12" s="17">
        <f t="shared" si="2"/>
        <v>38.327171516500002</v>
      </c>
      <c r="Q12" s="17">
        <f t="shared" si="1"/>
        <v>500.67684747511328</v>
      </c>
    </row>
    <row r="13" spans="2:17" x14ac:dyDescent="0.25">
      <c r="B13" s="60"/>
      <c r="C13" s="803"/>
      <c r="D13" s="59" t="s">
        <v>353</v>
      </c>
      <c r="E13" s="17">
        <f t="shared" ref="E13:P13" si="3">E183+E354</f>
        <v>59.96772814783742</v>
      </c>
      <c r="F13" s="17">
        <f t="shared" si="3"/>
        <v>70.122952575669458</v>
      </c>
      <c r="G13" s="17">
        <f t="shared" si="3"/>
        <v>67.538871871683</v>
      </c>
      <c r="H13" s="17">
        <f t="shared" si="3"/>
        <v>3.3761997996049264</v>
      </c>
      <c r="I13" s="17">
        <f t="shared" si="3"/>
        <v>-0.38890822289908988</v>
      </c>
      <c r="J13" s="17">
        <f t="shared" si="3"/>
        <v>4.2170839484725242</v>
      </c>
      <c r="K13" s="17">
        <f t="shared" si="3"/>
        <v>56.633009120896425</v>
      </c>
      <c r="L13" s="17">
        <f t="shared" si="3"/>
        <v>50.243917205937557</v>
      </c>
      <c r="M13" s="17">
        <f t="shared" si="3"/>
        <v>67.28056210180101</v>
      </c>
      <c r="N13" s="17">
        <f t="shared" si="3"/>
        <v>58.500107491149997</v>
      </c>
      <c r="O13" s="17">
        <f t="shared" si="3"/>
        <v>57.710379589550001</v>
      </c>
      <c r="P13" s="17">
        <f t="shared" si="3"/>
        <v>58.699593044499991</v>
      </c>
      <c r="Q13" s="17">
        <f t="shared" si="1"/>
        <v>553.90149667420326</v>
      </c>
    </row>
    <row r="14" spans="2:17" x14ac:dyDescent="0.25">
      <c r="B14" s="60"/>
      <c r="C14" s="803"/>
      <c r="D14" s="59" t="s">
        <v>354</v>
      </c>
      <c r="E14" s="17">
        <f t="shared" ref="E14:P14" si="4">E184+E355</f>
        <v>2.42296025999826</v>
      </c>
      <c r="F14" s="17">
        <f t="shared" si="4"/>
        <v>6.2473367207766604</v>
      </c>
      <c r="G14" s="17">
        <f t="shared" si="4"/>
        <v>5.835311905174402</v>
      </c>
      <c r="H14" s="17">
        <f t="shared" si="4"/>
        <v>4.7591170894787878</v>
      </c>
      <c r="I14" s="17">
        <f t="shared" si="4"/>
        <v>6.084644614124068</v>
      </c>
      <c r="J14" s="17">
        <f t="shared" si="4"/>
        <v>5.572715254199113</v>
      </c>
      <c r="K14" s="17">
        <f t="shared" si="4"/>
        <v>3.9023893536037768</v>
      </c>
      <c r="L14" s="17">
        <f t="shared" si="4"/>
        <v>4.7510950621984556</v>
      </c>
      <c r="M14" s="17">
        <f t="shared" si="4"/>
        <v>2.2951557992860234</v>
      </c>
      <c r="N14" s="17">
        <f t="shared" si="4"/>
        <v>3.29170474865</v>
      </c>
      <c r="O14" s="17">
        <f t="shared" si="4"/>
        <v>3.7261230239000001</v>
      </c>
      <c r="P14" s="17">
        <f t="shared" si="4"/>
        <v>3.8378246356999997</v>
      </c>
      <c r="Q14" s="17">
        <f t="shared" si="1"/>
        <v>52.726378467089553</v>
      </c>
    </row>
    <row r="15" spans="2:17" x14ac:dyDescent="0.25">
      <c r="B15" s="60"/>
      <c r="C15" s="803"/>
      <c r="D15" s="59" t="s">
        <v>355</v>
      </c>
      <c r="E15" s="17">
        <f t="shared" ref="E15:P15" si="5">E185+E356</f>
        <v>39.831857085398731</v>
      </c>
      <c r="F15" s="17">
        <f t="shared" si="5"/>
        <v>34.968280475803979</v>
      </c>
      <c r="G15" s="17">
        <f t="shared" si="5"/>
        <v>-0.21404572625693788</v>
      </c>
      <c r="H15" s="17">
        <f t="shared" si="5"/>
        <v>9.0848772624915455</v>
      </c>
      <c r="I15" s="17">
        <f t="shared" si="5"/>
        <v>42.330506073429916</v>
      </c>
      <c r="J15" s="17">
        <f t="shared" si="5"/>
        <v>42.773397045063085</v>
      </c>
      <c r="K15" s="17">
        <f t="shared" si="5"/>
        <v>41.76739227827278</v>
      </c>
      <c r="L15" s="17">
        <f t="shared" si="5"/>
        <v>46.250943180555254</v>
      </c>
      <c r="M15" s="17">
        <f t="shared" si="5"/>
        <v>49.462674850689112</v>
      </c>
      <c r="N15" s="17">
        <f t="shared" si="5"/>
        <v>44.237556335299992</v>
      </c>
      <c r="O15" s="17">
        <f t="shared" si="5"/>
        <v>38.2778493044</v>
      </c>
      <c r="P15" s="17">
        <f t="shared" si="5"/>
        <v>45.253430580749992</v>
      </c>
      <c r="Q15" s="17">
        <f t="shared" si="1"/>
        <v>434.02471874589742</v>
      </c>
    </row>
    <row r="16" spans="2:17" x14ac:dyDescent="0.25">
      <c r="B16" s="60"/>
      <c r="C16" s="803"/>
      <c r="D16" s="59" t="s">
        <v>356</v>
      </c>
      <c r="E16" s="17">
        <f t="shared" ref="E16:P16" si="6">E186+E357</f>
        <v>48.973355884102219</v>
      </c>
      <c r="F16" s="17">
        <f t="shared" si="6"/>
        <v>55.035672388841192</v>
      </c>
      <c r="G16" s="17">
        <f t="shared" si="6"/>
        <v>54.139522352954366</v>
      </c>
      <c r="H16" s="17">
        <f t="shared" si="6"/>
        <v>53.977020701733188</v>
      </c>
      <c r="I16" s="17">
        <f t="shared" si="6"/>
        <v>48.185114945819521</v>
      </c>
      <c r="J16" s="17">
        <f t="shared" si="6"/>
        <v>53.194658775627829</v>
      </c>
      <c r="K16" s="17">
        <f t="shared" si="6"/>
        <v>53.908426926113208</v>
      </c>
      <c r="L16" s="17">
        <f t="shared" si="6"/>
        <v>41.540777867486895</v>
      </c>
      <c r="M16" s="17">
        <f t="shared" si="6"/>
        <v>57.147924121213578</v>
      </c>
      <c r="N16" s="17">
        <f t="shared" si="6"/>
        <v>47.857492053750001</v>
      </c>
      <c r="O16" s="17">
        <f t="shared" si="6"/>
        <v>48.716101002100004</v>
      </c>
      <c r="P16" s="17">
        <f t="shared" si="6"/>
        <v>50.590606960750002</v>
      </c>
      <c r="Q16" s="17">
        <f t="shared" si="1"/>
        <v>613.26667398049199</v>
      </c>
    </row>
    <row r="17" spans="2:17" x14ac:dyDescent="0.25">
      <c r="B17" s="60"/>
      <c r="C17" s="803"/>
      <c r="D17" s="59" t="s">
        <v>357</v>
      </c>
      <c r="E17" s="17">
        <f t="shared" ref="E17:P17" si="7">E187+E358</f>
        <v>79.501429424183812</v>
      </c>
      <c r="F17" s="17">
        <f t="shared" si="7"/>
        <v>72.85090956128326</v>
      </c>
      <c r="G17" s="17">
        <f t="shared" si="7"/>
        <v>64.455563814511535</v>
      </c>
      <c r="H17" s="17">
        <f t="shared" si="7"/>
        <v>47.911760986240232</v>
      </c>
      <c r="I17" s="17">
        <f t="shared" si="7"/>
        <v>67.575680794527401</v>
      </c>
      <c r="J17" s="17">
        <f t="shared" si="7"/>
        <v>75.886402617779481</v>
      </c>
      <c r="K17" s="17">
        <f t="shared" si="7"/>
        <v>84.814535718670314</v>
      </c>
      <c r="L17" s="17">
        <f t="shared" si="7"/>
        <v>75.58518290657716</v>
      </c>
      <c r="M17" s="17">
        <f t="shared" si="7"/>
        <v>80.027874342005404</v>
      </c>
      <c r="N17" s="17">
        <f t="shared" si="7"/>
        <v>93.658424933999996</v>
      </c>
      <c r="O17" s="17">
        <f t="shared" si="7"/>
        <v>85.501608457349988</v>
      </c>
      <c r="P17" s="17">
        <f t="shared" si="7"/>
        <v>76.57193242065</v>
      </c>
      <c r="Q17" s="17">
        <f t="shared" si="1"/>
        <v>904.34130597777846</v>
      </c>
    </row>
    <row r="18" spans="2:17" x14ac:dyDescent="0.25">
      <c r="B18" s="60"/>
      <c r="C18" s="803"/>
      <c r="D18" s="59" t="s">
        <v>358</v>
      </c>
      <c r="E18" s="17">
        <f t="shared" ref="E18:P18" si="8">E188+E359</f>
        <v>0</v>
      </c>
      <c r="F18" s="17">
        <f t="shared" si="8"/>
        <v>0</v>
      </c>
      <c r="G18" s="17">
        <f t="shared" si="8"/>
        <v>0</v>
      </c>
      <c r="H18" s="17">
        <f t="shared" si="8"/>
        <v>0</v>
      </c>
      <c r="I18" s="17">
        <f t="shared" si="8"/>
        <v>0</v>
      </c>
      <c r="J18" s="17">
        <f t="shared" si="8"/>
        <v>0</v>
      </c>
      <c r="K18" s="17">
        <f t="shared" si="8"/>
        <v>0</v>
      </c>
      <c r="L18" s="17">
        <f t="shared" si="8"/>
        <v>0</v>
      </c>
      <c r="M18" s="17">
        <f t="shared" si="8"/>
        <v>0</v>
      </c>
      <c r="N18" s="17">
        <f t="shared" si="8"/>
        <v>0</v>
      </c>
      <c r="O18" s="17">
        <f t="shared" si="8"/>
        <v>0</v>
      </c>
      <c r="P18" s="17">
        <f t="shared" si="8"/>
        <v>0</v>
      </c>
      <c r="Q18" s="17">
        <f t="shared" si="1"/>
        <v>0</v>
      </c>
    </row>
    <row r="19" spans="2:17" x14ac:dyDescent="0.25">
      <c r="B19" s="60"/>
      <c r="C19" s="803"/>
      <c r="D19" s="325" t="s">
        <v>620</v>
      </c>
      <c r="E19" s="17">
        <f t="shared" ref="E19:P19" si="9">E189+E360</f>
        <v>0</v>
      </c>
      <c r="F19" s="17">
        <f t="shared" si="9"/>
        <v>0</v>
      </c>
      <c r="G19" s="17">
        <f t="shared" si="9"/>
        <v>0</v>
      </c>
      <c r="H19" s="17">
        <f t="shared" si="9"/>
        <v>0</v>
      </c>
      <c r="I19" s="17">
        <f t="shared" si="9"/>
        <v>0</v>
      </c>
      <c r="J19" s="17">
        <f t="shared" si="9"/>
        <v>0</v>
      </c>
      <c r="K19" s="17">
        <f t="shared" si="9"/>
        <v>0</v>
      </c>
      <c r="L19" s="17">
        <f t="shared" si="9"/>
        <v>0</v>
      </c>
      <c r="M19" s="17">
        <f t="shared" si="9"/>
        <v>0</v>
      </c>
      <c r="N19" s="17">
        <f t="shared" si="9"/>
        <v>0</v>
      </c>
      <c r="O19" s="17">
        <f t="shared" si="9"/>
        <v>0</v>
      </c>
      <c r="P19" s="17">
        <f t="shared" si="9"/>
        <v>7.023151036749999</v>
      </c>
      <c r="Q19" s="17">
        <f t="shared" si="1"/>
        <v>7.023151036749999</v>
      </c>
    </row>
    <row r="20" spans="2:17" x14ac:dyDescent="0.25">
      <c r="B20" s="60"/>
      <c r="C20" s="803"/>
      <c r="D20" s="59"/>
      <c r="E20" s="17">
        <f t="shared" ref="E20:P20" si="10">E190+E361</f>
        <v>0</v>
      </c>
      <c r="F20" s="17">
        <f t="shared" si="10"/>
        <v>0</v>
      </c>
      <c r="G20" s="17">
        <f t="shared" si="10"/>
        <v>0</v>
      </c>
      <c r="H20" s="17">
        <f t="shared" si="10"/>
        <v>0</v>
      </c>
      <c r="I20" s="17">
        <f t="shared" si="10"/>
        <v>0</v>
      </c>
      <c r="J20" s="17">
        <f t="shared" si="10"/>
        <v>0</v>
      </c>
      <c r="K20" s="17">
        <f t="shared" si="10"/>
        <v>0</v>
      </c>
      <c r="L20" s="17">
        <f t="shared" si="10"/>
        <v>0</v>
      </c>
      <c r="M20" s="17">
        <f t="shared" si="10"/>
        <v>0</v>
      </c>
      <c r="N20" s="17">
        <f t="shared" si="10"/>
        <v>0</v>
      </c>
      <c r="O20" s="17">
        <f t="shared" si="10"/>
        <v>0</v>
      </c>
      <c r="P20" s="17">
        <f t="shared" si="10"/>
        <v>0</v>
      </c>
      <c r="Q20" s="17">
        <f t="shared" si="1"/>
        <v>0</v>
      </c>
    </row>
    <row r="21" spans="2:17" x14ac:dyDescent="0.25">
      <c r="B21" s="60"/>
      <c r="C21" s="803"/>
      <c r="D21" s="59"/>
      <c r="E21" s="17">
        <f t="shared" ref="E21:P21" si="11">E191+E362</f>
        <v>0</v>
      </c>
      <c r="F21" s="17">
        <f t="shared" si="11"/>
        <v>0</v>
      </c>
      <c r="G21" s="17">
        <f t="shared" si="11"/>
        <v>0</v>
      </c>
      <c r="H21" s="17">
        <f t="shared" si="11"/>
        <v>0</v>
      </c>
      <c r="I21" s="17">
        <f t="shared" si="11"/>
        <v>0</v>
      </c>
      <c r="J21" s="17">
        <f t="shared" si="11"/>
        <v>0</v>
      </c>
      <c r="K21" s="17">
        <f t="shared" si="11"/>
        <v>0</v>
      </c>
      <c r="L21" s="17">
        <f t="shared" si="11"/>
        <v>0</v>
      </c>
      <c r="M21" s="17">
        <f t="shared" si="11"/>
        <v>0</v>
      </c>
      <c r="N21" s="17">
        <f t="shared" si="11"/>
        <v>0</v>
      </c>
      <c r="O21" s="17">
        <f t="shared" si="11"/>
        <v>0</v>
      </c>
      <c r="P21" s="17">
        <f t="shared" si="11"/>
        <v>0</v>
      </c>
      <c r="Q21" s="17">
        <f t="shared" si="1"/>
        <v>0</v>
      </c>
    </row>
    <row r="22" spans="2:17" x14ac:dyDescent="0.25">
      <c r="B22" s="60"/>
      <c r="C22" s="803"/>
      <c r="D22" s="59"/>
      <c r="E22" s="17">
        <f t="shared" ref="E22:P22" si="12">E192+E363</f>
        <v>0</v>
      </c>
      <c r="F22" s="17">
        <f t="shared" si="12"/>
        <v>0</v>
      </c>
      <c r="G22" s="17">
        <f t="shared" si="12"/>
        <v>0</v>
      </c>
      <c r="H22" s="17">
        <f t="shared" si="12"/>
        <v>0</v>
      </c>
      <c r="I22" s="17">
        <f t="shared" si="12"/>
        <v>0</v>
      </c>
      <c r="J22" s="17">
        <f t="shared" si="12"/>
        <v>0</v>
      </c>
      <c r="K22" s="17">
        <f t="shared" si="12"/>
        <v>0</v>
      </c>
      <c r="L22" s="17">
        <f t="shared" si="12"/>
        <v>0</v>
      </c>
      <c r="M22" s="17">
        <f t="shared" si="12"/>
        <v>0</v>
      </c>
      <c r="N22" s="17">
        <f t="shared" si="12"/>
        <v>0</v>
      </c>
      <c r="O22" s="17">
        <f t="shared" si="12"/>
        <v>0</v>
      </c>
      <c r="P22" s="17">
        <f t="shared" si="12"/>
        <v>0</v>
      </c>
      <c r="Q22" s="17">
        <f t="shared" si="1"/>
        <v>0</v>
      </c>
    </row>
    <row r="23" spans="2:17" x14ac:dyDescent="0.25">
      <c r="B23" s="60"/>
      <c r="C23" s="803"/>
      <c r="D23" s="59"/>
      <c r="E23" s="17">
        <f t="shared" ref="E23:P23" si="13">E193+E364</f>
        <v>0</v>
      </c>
      <c r="F23" s="17">
        <f t="shared" si="13"/>
        <v>0</v>
      </c>
      <c r="G23" s="17">
        <f t="shared" si="13"/>
        <v>0</v>
      </c>
      <c r="H23" s="17">
        <f t="shared" si="13"/>
        <v>0</v>
      </c>
      <c r="I23" s="17">
        <f t="shared" si="13"/>
        <v>0</v>
      </c>
      <c r="J23" s="17">
        <f t="shared" si="13"/>
        <v>0</v>
      </c>
      <c r="K23" s="17">
        <f t="shared" si="13"/>
        <v>0</v>
      </c>
      <c r="L23" s="17">
        <f t="shared" si="13"/>
        <v>0</v>
      </c>
      <c r="M23" s="17">
        <f t="shared" si="13"/>
        <v>0</v>
      </c>
      <c r="N23" s="17">
        <f t="shared" si="13"/>
        <v>0</v>
      </c>
      <c r="O23" s="17">
        <f t="shared" si="13"/>
        <v>0</v>
      </c>
      <c r="P23" s="17">
        <f t="shared" si="13"/>
        <v>0</v>
      </c>
      <c r="Q23" s="17">
        <f t="shared" si="1"/>
        <v>0</v>
      </c>
    </row>
    <row r="24" spans="2:17" x14ac:dyDescent="0.25">
      <c r="B24" s="60"/>
      <c r="C24" s="803"/>
      <c r="D24" s="59"/>
      <c r="E24" s="17">
        <f t="shared" ref="E24:P24" si="14">E194+E365</f>
        <v>0</v>
      </c>
      <c r="F24" s="17">
        <f t="shared" si="14"/>
        <v>0</v>
      </c>
      <c r="G24" s="17">
        <f t="shared" si="14"/>
        <v>0</v>
      </c>
      <c r="H24" s="17">
        <f t="shared" si="14"/>
        <v>0</v>
      </c>
      <c r="I24" s="17">
        <f t="shared" si="14"/>
        <v>0</v>
      </c>
      <c r="J24" s="17">
        <f t="shared" si="14"/>
        <v>0</v>
      </c>
      <c r="K24" s="17">
        <f t="shared" si="14"/>
        <v>0</v>
      </c>
      <c r="L24" s="17">
        <f t="shared" si="14"/>
        <v>0</v>
      </c>
      <c r="M24" s="17">
        <f t="shared" si="14"/>
        <v>0</v>
      </c>
      <c r="N24" s="17">
        <f t="shared" si="14"/>
        <v>0</v>
      </c>
      <c r="O24" s="17">
        <f t="shared" si="14"/>
        <v>0</v>
      </c>
      <c r="P24" s="17">
        <f t="shared" si="14"/>
        <v>0</v>
      </c>
      <c r="Q24" s="17">
        <f t="shared" si="1"/>
        <v>0</v>
      </c>
    </row>
    <row r="25" spans="2:17" x14ac:dyDescent="0.25">
      <c r="B25" s="60"/>
      <c r="C25" s="803"/>
      <c r="D25" s="59"/>
      <c r="E25" s="17">
        <f t="shared" ref="E25:P25" si="15">E195+E366</f>
        <v>0</v>
      </c>
      <c r="F25" s="17">
        <f t="shared" si="15"/>
        <v>0</v>
      </c>
      <c r="G25" s="17">
        <f t="shared" si="15"/>
        <v>0</v>
      </c>
      <c r="H25" s="17">
        <f t="shared" si="15"/>
        <v>0</v>
      </c>
      <c r="I25" s="17">
        <f t="shared" si="15"/>
        <v>0</v>
      </c>
      <c r="J25" s="17">
        <f t="shared" si="15"/>
        <v>0</v>
      </c>
      <c r="K25" s="17">
        <f t="shared" si="15"/>
        <v>0</v>
      </c>
      <c r="L25" s="17">
        <f t="shared" si="15"/>
        <v>0</v>
      </c>
      <c r="M25" s="17">
        <f t="shared" si="15"/>
        <v>0</v>
      </c>
      <c r="N25" s="17">
        <f t="shared" si="15"/>
        <v>0</v>
      </c>
      <c r="O25" s="17">
        <f t="shared" si="15"/>
        <v>0</v>
      </c>
      <c r="P25" s="17">
        <f t="shared" si="15"/>
        <v>0</v>
      </c>
      <c r="Q25" s="17">
        <f t="shared" si="1"/>
        <v>0</v>
      </c>
    </row>
    <row r="26" spans="2:17" x14ac:dyDescent="0.25">
      <c r="B26" s="60"/>
      <c r="C26" s="803"/>
      <c r="D26" s="59"/>
      <c r="E26" s="17">
        <f t="shared" ref="E26:P26" si="16">E196+E367</f>
        <v>0</v>
      </c>
      <c r="F26" s="17">
        <f t="shared" si="16"/>
        <v>0</v>
      </c>
      <c r="G26" s="17">
        <f t="shared" si="16"/>
        <v>0</v>
      </c>
      <c r="H26" s="17">
        <f t="shared" si="16"/>
        <v>0</v>
      </c>
      <c r="I26" s="17">
        <f t="shared" si="16"/>
        <v>0</v>
      </c>
      <c r="J26" s="17">
        <f t="shared" si="16"/>
        <v>0</v>
      </c>
      <c r="K26" s="17">
        <f t="shared" si="16"/>
        <v>0</v>
      </c>
      <c r="L26" s="17">
        <f t="shared" si="16"/>
        <v>0</v>
      </c>
      <c r="M26" s="17">
        <f t="shared" si="16"/>
        <v>0</v>
      </c>
      <c r="N26" s="17">
        <f t="shared" si="16"/>
        <v>0</v>
      </c>
      <c r="O26" s="17">
        <f t="shared" si="16"/>
        <v>0</v>
      </c>
      <c r="P26" s="17">
        <f t="shared" si="16"/>
        <v>0</v>
      </c>
      <c r="Q26" s="17">
        <f t="shared" si="1"/>
        <v>0</v>
      </c>
    </row>
    <row r="27" spans="2:17" x14ac:dyDescent="0.25">
      <c r="B27" s="60"/>
      <c r="C27" s="803"/>
      <c r="D27" s="59"/>
      <c r="E27" s="17">
        <f t="shared" ref="E27:P27" si="17">E197+E368</f>
        <v>0</v>
      </c>
      <c r="F27" s="17">
        <f t="shared" si="17"/>
        <v>0</v>
      </c>
      <c r="G27" s="17">
        <f t="shared" si="17"/>
        <v>0</v>
      </c>
      <c r="H27" s="17">
        <f t="shared" si="17"/>
        <v>0</v>
      </c>
      <c r="I27" s="17">
        <f t="shared" si="17"/>
        <v>0</v>
      </c>
      <c r="J27" s="17">
        <f t="shared" si="17"/>
        <v>0</v>
      </c>
      <c r="K27" s="17">
        <f t="shared" si="17"/>
        <v>0</v>
      </c>
      <c r="L27" s="17">
        <f t="shared" si="17"/>
        <v>0</v>
      </c>
      <c r="M27" s="17">
        <f t="shared" si="17"/>
        <v>0</v>
      </c>
      <c r="N27" s="17">
        <f t="shared" si="17"/>
        <v>0</v>
      </c>
      <c r="O27" s="17">
        <f t="shared" si="17"/>
        <v>0</v>
      </c>
      <c r="P27" s="17">
        <f t="shared" si="17"/>
        <v>0</v>
      </c>
      <c r="Q27" s="17">
        <f t="shared" si="1"/>
        <v>0</v>
      </c>
    </row>
    <row r="28" spans="2:17" x14ac:dyDescent="0.25">
      <c r="B28" s="60"/>
      <c r="C28" s="804"/>
      <c r="D28" s="59"/>
      <c r="E28" s="17">
        <f t="shared" ref="E28:P28" si="18">E198+E369</f>
        <v>0</v>
      </c>
      <c r="F28" s="17">
        <f t="shared" si="18"/>
        <v>0</v>
      </c>
      <c r="G28" s="17">
        <f t="shared" si="18"/>
        <v>0</v>
      </c>
      <c r="H28" s="17">
        <f t="shared" si="18"/>
        <v>0</v>
      </c>
      <c r="I28" s="17">
        <f t="shared" si="18"/>
        <v>0</v>
      </c>
      <c r="J28" s="17">
        <f t="shared" si="18"/>
        <v>0</v>
      </c>
      <c r="K28" s="17">
        <f t="shared" si="18"/>
        <v>0</v>
      </c>
      <c r="L28" s="17">
        <f t="shared" si="18"/>
        <v>0</v>
      </c>
      <c r="M28" s="17">
        <f t="shared" si="18"/>
        <v>0</v>
      </c>
      <c r="N28" s="17">
        <f t="shared" si="18"/>
        <v>0</v>
      </c>
      <c r="O28" s="17">
        <f t="shared" si="18"/>
        <v>0</v>
      </c>
      <c r="P28" s="17">
        <f t="shared" si="18"/>
        <v>0</v>
      </c>
      <c r="Q28" s="17">
        <f t="shared" si="1"/>
        <v>0</v>
      </c>
    </row>
    <row r="29" spans="2:17" x14ac:dyDescent="0.25">
      <c r="C29" s="751" t="s">
        <v>212</v>
      </c>
      <c r="D29" s="752"/>
      <c r="E29" s="28">
        <f t="shared" ref="E29:P29" si="19">SUM(E11:E28)</f>
        <v>311.13604336659301</v>
      </c>
      <c r="F29" s="28">
        <f t="shared" si="19"/>
        <v>318.1184052759794</v>
      </c>
      <c r="G29" s="28">
        <f t="shared" si="19"/>
        <v>268.98499622527493</v>
      </c>
      <c r="H29" s="28">
        <f t="shared" si="19"/>
        <v>187.06635744133411</v>
      </c>
      <c r="I29" s="28">
        <f t="shared" si="19"/>
        <v>241.46420054878172</v>
      </c>
      <c r="J29" s="28">
        <f t="shared" si="19"/>
        <v>265.54827053650524</v>
      </c>
      <c r="K29" s="28">
        <f t="shared" si="19"/>
        <v>320.14502984034573</v>
      </c>
      <c r="L29" s="28">
        <f t="shared" si="19"/>
        <v>301.01586416419809</v>
      </c>
      <c r="M29" s="28">
        <f t="shared" si="19"/>
        <v>343.40474810164369</v>
      </c>
      <c r="N29" s="28">
        <f t="shared" si="19"/>
        <v>316.18369320329998</v>
      </c>
      <c r="O29" s="28">
        <f t="shared" si="19"/>
        <v>299.41933427284999</v>
      </c>
      <c r="P29" s="28">
        <f t="shared" si="19"/>
        <v>312.55133644669996</v>
      </c>
      <c r="Q29" s="28">
        <f t="shared" si="1"/>
        <v>3485.0382794235056</v>
      </c>
    </row>
    <row r="30" spans="2:17" x14ac:dyDescent="0.25">
      <c r="C30" s="753" t="s">
        <v>359</v>
      </c>
      <c r="D30" s="754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</row>
    <row r="31" spans="2:17" x14ac:dyDescent="0.25">
      <c r="C31" s="805" t="s">
        <v>350</v>
      </c>
      <c r="D31" s="17" t="s">
        <v>360</v>
      </c>
      <c r="E31" s="17">
        <f t="shared" ref="E31:P31" si="20">E201+E372</f>
        <v>0</v>
      </c>
      <c r="F31" s="17">
        <f t="shared" si="20"/>
        <v>0</v>
      </c>
      <c r="G31" s="17">
        <f t="shared" si="20"/>
        <v>0</v>
      </c>
      <c r="H31" s="17">
        <f t="shared" si="20"/>
        <v>0</v>
      </c>
      <c r="I31" s="17">
        <f t="shared" si="20"/>
        <v>0</v>
      </c>
      <c r="J31" s="17">
        <f t="shared" si="20"/>
        <v>0</v>
      </c>
      <c r="K31" s="17">
        <f t="shared" si="20"/>
        <v>0</v>
      </c>
      <c r="L31" s="17">
        <f t="shared" si="20"/>
        <v>0</v>
      </c>
      <c r="M31" s="17">
        <f t="shared" si="20"/>
        <v>0</v>
      </c>
      <c r="N31" s="17">
        <f t="shared" si="20"/>
        <v>0</v>
      </c>
      <c r="O31" s="17">
        <f t="shared" si="20"/>
        <v>0</v>
      </c>
      <c r="P31" s="17">
        <f t="shared" si="20"/>
        <v>0</v>
      </c>
      <c r="Q31" s="17">
        <f t="shared" ref="Q31:Q50" si="21">SUM(E31:P31)</f>
        <v>0</v>
      </c>
    </row>
    <row r="32" spans="2:17" x14ac:dyDescent="0.25">
      <c r="C32" s="806"/>
      <c r="D32" s="17" t="s">
        <v>361</v>
      </c>
      <c r="E32" s="17">
        <f t="shared" ref="E32:P32" si="22">E202+E373</f>
        <v>0</v>
      </c>
      <c r="F32" s="17">
        <f t="shared" si="22"/>
        <v>0</v>
      </c>
      <c r="G32" s="17">
        <f t="shared" si="22"/>
        <v>0</v>
      </c>
      <c r="H32" s="17">
        <f t="shared" si="22"/>
        <v>0</v>
      </c>
      <c r="I32" s="17">
        <f t="shared" si="22"/>
        <v>0</v>
      </c>
      <c r="J32" s="17">
        <f t="shared" si="22"/>
        <v>0</v>
      </c>
      <c r="K32" s="17">
        <f t="shared" si="22"/>
        <v>0</v>
      </c>
      <c r="L32" s="17">
        <f t="shared" si="22"/>
        <v>0</v>
      </c>
      <c r="M32" s="17">
        <f t="shared" si="22"/>
        <v>0</v>
      </c>
      <c r="N32" s="17">
        <f t="shared" si="22"/>
        <v>0</v>
      </c>
      <c r="O32" s="17">
        <f t="shared" si="22"/>
        <v>0</v>
      </c>
      <c r="P32" s="17">
        <f t="shared" si="22"/>
        <v>0</v>
      </c>
      <c r="Q32" s="17">
        <f t="shared" si="21"/>
        <v>0</v>
      </c>
    </row>
    <row r="33" spans="3:17" x14ac:dyDescent="0.25">
      <c r="C33" s="806"/>
      <c r="D33" s="17" t="s">
        <v>362</v>
      </c>
      <c r="E33" s="17">
        <f t="shared" ref="E33:P33" si="23">E203+E374</f>
        <v>0</v>
      </c>
      <c r="F33" s="17">
        <f t="shared" si="23"/>
        <v>0</v>
      </c>
      <c r="G33" s="17">
        <f t="shared" si="23"/>
        <v>0</v>
      </c>
      <c r="H33" s="17">
        <f t="shared" si="23"/>
        <v>0</v>
      </c>
      <c r="I33" s="17">
        <f t="shared" si="23"/>
        <v>0</v>
      </c>
      <c r="J33" s="17">
        <f t="shared" si="23"/>
        <v>0</v>
      </c>
      <c r="K33" s="17">
        <f t="shared" si="23"/>
        <v>0</v>
      </c>
      <c r="L33" s="17">
        <f t="shared" si="23"/>
        <v>0</v>
      </c>
      <c r="M33" s="17">
        <f t="shared" si="23"/>
        <v>0</v>
      </c>
      <c r="N33" s="17">
        <f t="shared" si="23"/>
        <v>0</v>
      </c>
      <c r="O33" s="17">
        <f t="shared" si="23"/>
        <v>0</v>
      </c>
      <c r="P33" s="17">
        <f t="shared" si="23"/>
        <v>0</v>
      </c>
      <c r="Q33" s="17">
        <f t="shared" si="21"/>
        <v>0</v>
      </c>
    </row>
    <row r="34" spans="3:17" x14ac:dyDescent="0.25">
      <c r="C34" s="806"/>
      <c r="D34" s="17" t="s">
        <v>363</v>
      </c>
      <c r="E34" s="17">
        <f t="shared" ref="E34:P34" si="24">E204+E375</f>
        <v>0</v>
      </c>
      <c r="F34" s="17">
        <f t="shared" si="24"/>
        <v>0</v>
      </c>
      <c r="G34" s="17">
        <f t="shared" si="24"/>
        <v>0</v>
      </c>
      <c r="H34" s="17">
        <f t="shared" si="24"/>
        <v>0</v>
      </c>
      <c r="I34" s="17">
        <f t="shared" si="24"/>
        <v>0</v>
      </c>
      <c r="J34" s="17">
        <f t="shared" si="24"/>
        <v>0</v>
      </c>
      <c r="K34" s="17">
        <f t="shared" si="24"/>
        <v>0</v>
      </c>
      <c r="L34" s="17">
        <f t="shared" si="24"/>
        <v>0</v>
      </c>
      <c r="M34" s="17">
        <f t="shared" si="24"/>
        <v>0</v>
      </c>
      <c r="N34" s="17">
        <f t="shared" si="24"/>
        <v>0</v>
      </c>
      <c r="O34" s="17">
        <f t="shared" si="24"/>
        <v>0</v>
      </c>
      <c r="P34" s="17">
        <f t="shared" si="24"/>
        <v>0</v>
      </c>
      <c r="Q34" s="17">
        <f t="shared" si="21"/>
        <v>0</v>
      </c>
    </row>
    <row r="35" spans="3:17" x14ac:dyDescent="0.25">
      <c r="C35" s="806"/>
      <c r="D35" s="17" t="s">
        <v>364</v>
      </c>
      <c r="E35" s="17">
        <f t="shared" ref="E35:P35" si="25">E205+E376</f>
        <v>0</v>
      </c>
      <c r="F35" s="17">
        <f t="shared" si="25"/>
        <v>0</v>
      </c>
      <c r="G35" s="17">
        <f t="shared" si="25"/>
        <v>0</v>
      </c>
      <c r="H35" s="17">
        <f t="shared" si="25"/>
        <v>0</v>
      </c>
      <c r="I35" s="17">
        <f t="shared" si="25"/>
        <v>0</v>
      </c>
      <c r="J35" s="17">
        <f t="shared" si="25"/>
        <v>0</v>
      </c>
      <c r="K35" s="17">
        <f t="shared" si="25"/>
        <v>0</v>
      </c>
      <c r="L35" s="17">
        <f t="shared" si="25"/>
        <v>0</v>
      </c>
      <c r="M35" s="17">
        <f t="shared" si="25"/>
        <v>0</v>
      </c>
      <c r="N35" s="17">
        <f t="shared" si="25"/>
        <v>0</v>
      </c>
      <c r="O35" s="17">
        <f t="shared" si="25"/>
        <v>0</v>
      </c>
      <c r="P35" s="17">
        <f t="shared" si="25"/>
        <v>0</v>
      </c>
      <c r="Q35" s="17">
        <f t="shared" si="21"/>
        <v>0</v>
      </c>
    </row>
    <row r="36" spans="3:17" x14ac:dyDescent="0.25">
      <c r="C36" s="806"/>
      <c r="D36" s="17" t="s">
        <v>365</v>
      </c>
      <c r="E36" s="17">
        <f t="shared" ref="E36:P36" si="26">E206+E377</f>
        <v>0</v>
      </c>
      <c r="F36" s="17">
        <f t="shared" si="26"/>
        <v>0</v>
      </c>
      <c r="G36" s="17">
        <f t="shared" si="26"/>
        <v>0</v>
      </c>
      <c r="H36" s="17">
        <f t="shared" si="26"/>
        <v>0</v>
      </c>
      <c r="I36" s="17">
        <f t="shared" si="26"/>
        <v>0</v>
      </c>
      <c r="J36" s="17">
        <f t="shared" si="26"/>
        <v>0</v>
      </c>
      <c r="K36" s="17">
        <f t="shared" si="26"/>
        <v>0</v>
      </c>
      <c r="L36" s="17">
        <f t="shared" si="26"/>
        <v>0</v>
      </c>
      <c r="M36" s="17">
        <f t="shared" si="26"/>
        <v>0</v>
      </c>
      <c r="N36" s="17">
        <f t="shared" si="26"/>
        <v>0</v>
      </c>
      <c r="O36" s="17">
        <f t="shared" si="26"/>
        <v>0</v>
      </c>
      <c r="P36" s="17">
        <f t="shared" si="26"/>
        <v>0</v>
      </c>
      <c r="Q36" s="17">
        <f t="shared" si="21"/>
        <v>0</v>
      </c>
    </row>
    <row r="37" spans="3:17" x14ac:dyDescent="0.25">
      <c r="C37" s="806"/>
      <c r="D37" s="17" t="s">
        <v>366</v>
      </c>
      <c r="E37" s="17">
        <f t="shared" ref="E37:P37" si="27">E207+E378</f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>
        <f t="shared" si="27"/>
        <v>0</v>
      </c>
      <c r="K37" s="17">
        <f t="shared" si="27"/>
        <v>0</v>
      </c>
      <c r="L37" s="17">
        <f t="shared" si="27"/>
        <v>0</v>
      </c>
      <c r="M37" s="17">
        <f t="shared" si="27"/>
        <v>0</v>
      </c>
      <c r="N37" s="17">
        <f t="shared" si="27"/>
        <v>0</v>
      </c>
      <c r="O37" s="17">
        <f t="shared" si="27"/>
        <v>0</v>
      </c>
      <c r="P37" s="17">
        <f t="shared" si="27"/>
        <v>0</v>
      </c>
      <c r="Q37" s="17">
        <f t="shared" si="21"/>
        <v>0</v>
      </c>
    </row>
    <row r="38" spans="3:17" x14ac:dyDescent="0.25">
      <c r="C38" s="806"/>
      <c r="D38" s="17" t="s">
        <v>367</v>
      </c>
      <c r="E38" s="17">
        <f t="shared" ref="E38:P38" si="28">E208+E379</f>
        <v>0</v>
      </c>
      <c r="F38" s="17">
        <f t="shared" si="28"/>
        <v>0</v>
      </c>
      <c r="G38" s="17">
        <f t="shared" si="28"/>
        <v>0</v>
      </c>
      <c r="H38" s="17">
        <f t="shared" si="28"/>
        <v>0</v>
      </c>
      <c r="I38" s="17">
        <f t="shared" si="28"/>
        <v>0</v>
      </c>
      <c r="J38" s="17">
        <f t="shared" si="28"/>
        <v>0</v>
      </c>
      <c r="K38" s="17">
        <f t="shared" si="28"/>
        <v>0</v>
      </c>
      <c r="L38" s="17">
        <f t="shared" si="28"/>
        <v>0</v>
      </c>
      <c r="M38" s="17">
        <f t="shared" si="28"/>
        <v>0</v>
      </c>
      <c r="N38" s="17">
        <f t="shared" si="28"/>
        <v>0</v>
      </c>
      <c r="O38" s="17">
        <f t="shared" si="28"/>
        <v>0</v>
      </c>
      <c r="P38" s="17">
        <f t="shared" si="28"/>
        <v>0</v>
      </c>
      <c r="Q38" s="17">
        <f t="shared" si="21"/>
        <v>0</v>
      </c>
    </row>
    <row r="39" spans="3:17" x14ac:dyDescent="0.25">
      <c r="C39" s="806"/>
      <c r="D39" s="17"/>
      <c r="E39" s="17">
        <f t="shared" ref="E39:P39" si="29">E209+E380</f>
        <v>32.659804593149993</v>
      </c>
      <c r="F39" s="17">
        <f t="shared" si="29"/>
        <v>32.659804593149993</v>
      </c>
      <c r="G39" s="17">
        <f t="shared" si="29"/>
        <v>32.659804593149993</v>
      </c>
      <c r="H39" s="17">
        <f t="shared" si="29"/>
        <v>32.659804593149993</v>
      </c>
      <c r="I39" s="17">
        <f t="shared" si="29"/>
        <v>32.659804593149993</v>
      </c>
      <c r="J39" s="17">
        <f t="shared" si="29"/>
        <v>32.659804583333333</v>
      </c>
      <c r="K39" s="17">
        <f t="shared" si="29"/>
        <v>32.659804583333333</v>
      </c>
      <c r="L39" s="17">
        <f t="shared" si="29"/>
        <v>32.659804583333333</v>
      </c>
      <c r="M39" s="17">
        <f t="shared" si="29"/>
        <v>32.659804583333333</v>
      </c>
      <c r="N39" s="17">
        <f t="shared" si="29"/>
        <v>32.659804583333333</v>
      </c>
      <c r="O39" s="17">
        <f t="shared" si="29"/>
        <v>32.659804583333333</v>
      </c>
      <c r="P39" s="17">
        <f t="shared" si="29"/>
        <v>32.659804583333333</v>
      </c>
      <c r="Q39" s="17">
        <f t="shared" si="21"/>
        <v>391.91765504908324</v>
      </c>
    </row>
    <row r="40" spans="3:17" x14ac:dyDescent="0.25">
      <c r="C40" s="806"/>
      <c r="D40" s="325" t="s">
        <v>621</v>
      </c>
      <c r="E40" s="17">
        <f t="shared" ref="E40:P40" si="30">E210+E381</f>
        <v>32.086756686299999</v>
      </c>
      <c r="F40" s="17">
        <f t="shared" si="30"/>
        <v>32.086756686299999</v>
      </c>
      <c r="G40" s="17">
        <f t="shared" si="30"/>
        <v>32.086756686299999</v>
      </c>
      <c r="H40" s="17">
        <f t="shared" si="30"/>
        <v>32.086756686299999</v>
      </c>
      <c r="I40" s="17">
        <f t="shared" si="30"/>
        <v>32.086756686299999</v>
      </c>
      <c r="J40" s="17">
        <f t="shared" si="30"/>
        <v>32.086756686299999</v>
      </c>
      <c r="K40" s="17">
        <f t="shared" si="30"/>
        <v>32.086756686299999</v>
      </c>
      <c r="L40" s="17">
        <f t="shared" si="30"/>
        <v>32.086756686299999</v>
      </c>
      <c r="M40" s="17">
        <f t="shared" si="30"/>
        <v>32.086756686299999</v>
      </c>
      <c r="N40" s="17">
        <f t="shared" si="30"/>
        <v>32.086756686299999</v>
      </c>
      <c r="O40" s="17">
        <f t="shared" si="30"/>
        <v>32.086756686299999</v>
      </c>
      <c r="P40" s="17">
        <f t="shared" si="30"/>
        <v>32.086756686299999</v>
      </c>
      <c r="Q40" s="17">
        <f t="shared" si="21"/>
        <v>385.04108023560008</v>
      </c>
    </row>
    <row r="41" spans="3:17" x14ac:dyDescent="0.25">
      <c r="C41" s="806"/>
      <c r="D41" s="325" t="s">
        <v>622</v>
      </c>
      <c r="E41" s="17">
        <f t="shared" ref="E41:P41" si="31">E211+E382</f>
        <v>0</v>
      </c>
      <c r="F41" s="17">
        <f t="shared" si="31"/>
        <v>0</v>
      </c>
      <c r="G41" s="17">
        <f t="shared" si="31"/>
        <v>0</v>
      </c>
      <c r="H41" s="17">
        <f t="shared" si="31"/>
        <v>0</v>
      </c>
      <c r="I41" s="17">
        <f t="shared" si="31"/>
        <v>0</v>
      </c>
      <c r="J41" s="17">
        <f t="shared" si="31"/>
        <v>0</v>
      </c>
      <c r="K41" s="17">
        <f t="shared" si="31"/>
        <v>0</v>
      </c>
      <c r="L41" s="17">
        <f t="shared" si="31"/>
        <v>0</v>
      </c>
      <c r="M41" s="17">
        <f t="shared" si="31"/>
        <v>0</v>
      </c>
      <c r="N41" s="17">
        <f t="shared" si="31"/>
        <v>0</v>
      </c>
      <c r="O41" s="17">
        <f t="shared" si="31"/>
        <v>0</v>
      </c>
      <c r="P41" s="17">
        <f t="shared" si="31"/>
        <v>336.51038957164997</v>
      </c>
      <c r="Q41" s="17">
        <f t="shared" si="21"/>
        <v>336.51038957164997</v>
      </c>
    </row>
    <row r="42" spans="3:17" x14ac:dyDescent="0.25">
      <c r="C42" s="806"/>
      <c r="D42" s="325"/>
      <c r="E42" s="17">
        <f t="shared" ref="E42:P42" si="32">E212+E383</f>
        <v>0</v>
      </c>
      <c r="F42" s="17">
        <f t="shared" si="32"/>
        <v>0</v>
      </c>
      <c r="G42" s="17">
        <f t="shared" si="32"/>
        <v>0</v>
      </c>
      <c r="H42" s="17">
        <f t="shared" si="32"/>
        <v>0</v>
      </c>
      <c r="I42" s="17">
        <f t="shared" si="32"/>
        <v>0</v>
      </c>
      <c r="J42" s="17">
        <f t="shared" si="32"/>
        <v>0</v>
      </c>
      <c r="K42" s="17">
        <f t="shared" si="32"/>
        <v>0</v>
      </c>
      <c r="L42" s="17">
        <f t="shared" si="32"/>
        <v>0</v>
      </c>
      <c r="M42" s="17">
        <f t="shared" si="32"/>
        <v>0</v>
      </c>
      <c r="N42" s="17">
        <f t="shared" si="32"/>
        <v>0</v>
      </c>
      <c r="O42" s="17">
        <f t="shared" si="32"/>
        <v>0</v>
      </c>
      <c r="P42" s="17">
        <f t="shared" si="32"/>
        <v>0</v>
      </c>
      <c r="Q42" s="17">
        <f t="shared" si="21"/>
        <v>0</v>
      </c>
    </row>
    <row r="43" spans="3:17" x14ac:dyDescent="0.25">
      <c r="C43" s="806"/>
      <c r="D43" s="17"/>
      <c r="E43" s="17">
        <f t="shared" ref="E43:P43" si="33">E213+E384</f>
        <v>0</v>
      </c>
      <c r="F43" s="17">
        <f t="shared" si="33"/>
        <v>0</v>
      </c>
      <c r="G43" s="17">
        <f t="shared" si="33"/>
        <v>0</v>
      </c>
      <c r="H43" s="17">
        <f t="shared" si="33"/>
        <v>0</v>
      </c>
      <c r="I43" s="17">
        <f t="shared" si="33"/>
        <v>0</v>
      </c>
      <c r="J43" s="17">
        <f t="shared" si="33"/>
        <v>0</v>
      </c>
      <c r="K43" s="17">
        <f t="shared" si="33"/>
        <v>0</v>
      </c>
      <c r="L43" s="17">
        <f t="shared" si="33"/>
        <v>0</v>
      </c>
      <c r="M43" s="17">
        <f t="shared" si="33"/>
        <v>0</v>
      </c>
      <c r="N43" s="17">
        <f t="shared" si="33"/>
        <v>0</v>
      </c>
      <c r="O43" s="17">
        <f t="shared" si="33"/>
        <v>0</v>
      </c>
      <c r="P43" s="17">
        <f t="shared" si="33"/>
        <v>0</v>
      </c>
      <c r="Q43" s="17">
        <f t="shared" si="21"/>
        <v>0</v>
      </c>
    </row>
    <row r="44" spans="3:17" x14ac:dyDescent="0.25">
      <c r="C44" s="806"/>
      <c r="D44" s="17"/>
      <c r="E44" s="17">
        <f t="shared" ref="E44:P44" si="34">E214+E385</f>
        <v>0</v>
      </c>
      <c r="F44" s="17">
        <f t="shared" si="34"/>
        <v>0</v>
      </c>
      <c r="G44" s="17">
        <f t="shared" si="34"/>
        <v>0</v>
      </c>
      <c r="H44" s="17">
        <f t="shared" si="34"/>
        <v>0</v>
      </c>
      <c r="I44" s="17">
        <f t="shared" si="34"/>
        <v>0</v>
      </c>
      <c r="J44" s="17">
        <f t="shared" si="34"/>
        <v>0</v>
      </c>
      <c r="K44" s="17">
        <f t="shared" si="34"/>
        <v>0</v>
      </c>
      <c r="L44" s="17">
        <f t="shared" si="34"/>
        <v>0</v>
      </c>
      <c r="M44" s="17">
        <f t="shared" si="34"/>
        <v>0</v>
      </c>
      <c r="N44" s="17">
        <f t="shared" si="34"/>
        <v>0</v>
      </c>
      <c r="O44" s="17">
        <f t="shared" si="34"/>
        <v>0</v>
      </c>
      <c r="P44" s="17">
        <f t="shared" si="34"/>
        <v>0</v>
      </c>
      <c r="Q44" s="17">
        <f t="shared" si="21"/>
        <v>0</v>
      </c>
    </row>
    <row r="45" spans="3:17" x14ac:dyDescent="0.25">
      <c r="C45" s="806"/>
      <c r="D45" s="17"/>
      <c r="E45" s="17">
        <f t="shared" ref="E45:P45" si="35">E215+E386</f>
        <v>0</v>
      </c>
      <c r="F45" s="17">
        <f t="shared" si="35"/>
        <v>0</v>
      </c>
      <c r="G45" s="17">
        <f t="shared" si="35"/>
        <v>0</v>
      </c>
      <c r="H45" s="17">
        <f t="shared" si="35"/>
        <v>0</v>
      </c>
      <c r="I45" s="17">
        <f t="shared" si="35"/>
        <v>0</v>
      </c>
      <c r="J45" s="17">
        <f t="shared" si="35"/>
        <v>0</v>
      </c>
      <c r="K45" s="17">
        <f t="shared" si="35"/>
        <v>0</v>
      </c>
      <c r="L45" s="17">
        <f t="shared" si="35"/>
        <v>0</v>
      </c>
      <c r="M45" s="17">
        <f t="shared" si="35"/>
        <v>0</v>
      </c>
      <c r="N45" s="17">
        <f t="shared" si="35"/>
        <v>0</v>
      </c>
      <c r="O45" s="17">
        <f t="shared" si="35"/>
        <v>0</v>
      </c>
      <c r="P45" s="17">
        <f t="shared" si="35"/>
        <v>0</v>
      </c>
      <c r="Q45" s="17">
        <f t="shared" si="21"/>
        <v>0</v>
      </c>
    </row>
    <row r="46" spans="3:17" x14ac:dyDescent="0.25">
      <c r="C46" s="806"/>
      <c r="D46" s="17"/>
      <c r="E46" s="17">
        <f t="shared" ref="E46:P46" si="36">E216+E387</f>
        <v>0</v>
      </c>
      <c r="F46" s="17">
        <f t="shared" si="36"/>
        <v>0</v>
      </c>
      <c r="G46" s="17">
        <f t="shared" si="36"/>
        <v>0</v>
      </c>
      <c r="H46" s="17">
        <f t="shared" si="36"/>
        <v>0</v>
      </c>
      <c r="I46" s="17">
        <f t="shared" si="36"/>
        <v>0</v>
      </c>
      <c r="J46" s="17">
        <f t="shared" si="36"/>
        <v>0</v>
      </c>
      <c r="K46" s="17">
        <f t="shared" si="36"/>
        <v>0</v>
      </c>
      <c r="L46" s="17">
        <f t="shared" si="36"/>
        <v>0</v>
      </c>
      <c r="M46" s="17">
        <f t="shared" si="36"/>
        <v>0</v>
      </c>
      <c r="N46" s="17">
        <f t="shared" si="36"/>
        <v>0</v>
      </c>
      <c r="O46" s="17">
        <f t="shared" si="36"/>
        <v>0</v>
      </c>
      <c r="P46" s="17">
        <f t="shared" si="36"/>
        <v>0</v>
      </c>
      <c r="Q46" s="17">
        <f t="shared" si="21"/>
        <v>0</v>
      </c>
    </row>
    <row r="47" spans="3:17" x14ac:dyDescent="0.25">
      <c r="C47" s="806"/>
      <c r="D47" s="17"/>
      <c r="E47" s="17">
        <f t="shared" ref="E47:P47" si="37">E217+E388</f>
        <v>0</v>
      </c>
      <c r="F47" s="17">
        <f t="shared" si="37"/>
        <v>0</v>
      </c>
      <c r="G47" s="17">
        <f t="shared" si="37"/>
        <v>0</v>
      </c>
      <c r="H47" s="17">
        <f t="shared" si="37"/>
        <v>0</v>
      </c>
      <c r="I47" s="17">
        <f t="shared" si="37"/>
        <v>0</v>
      </c>
      <c r="J47" s="17">
        <f t="shared" si="37"/>
        <v>0</v>
      </c>
      <c r="K47" s="17">
        <f t="shared" si="37"/>
        <v>0</v>
      </c>
      <c r="L47" s="17">
        <f t="shared" si="37"/>
        <v>0</v>
      </c>
      <c r="M47" s="17">
        <f t="shared" si="37"/>
        <v>0</v>
      </c>
      <c r="N47" s="17">
        <f t="shared" si="37"/>
        <v>0</v>
      </c>
      <c r="O47" s="17">
        <f t="shared" si="37"/>
        <v>0</v>
      </c>
      <c r="P47" s="17">
        <f t="shared" si="37"/>
        <v>0</v>
      </c>
      <c r="Q47" s="17">
        <f t="shared" si="21"/>
        <v>0</v>
      </c>
    </row>
    <row r="48" spans="3:17" x14ac:dyDescent="0.25">
      <c r="C48" s="807"/>
      <c r="D48" s="107"/>
      <c r="E48" s="17">
        <f t="shared" ref="E48:P48" si="38">E218+E389</f>
        <v>0</v>
      </c>
      <c r="F48" s="17">
        <f t="shared" si="38"/>
        <v>0</v>
      </c>
      <c r="G48" s="17">
        <f t="shared" si="38"/>
        <v>0</v>
      </c>
      <c r="H48" s="17">
        <f t="shared" si="38"/>
        <v>0</v>
      </c>
      <c r="I48" s="17">
        <f t="shared" si="38"/>
        <v>0</v>
      </c>
      <c r="J48" s="17">
        <f t="shared" si="38"/>
        <v>0</v>
      </c>
      <c r="K48" s="17">
        <f t="shared" si="38"/>
        <v>0</v>
      </c>
      <c r="L48" s="17">
        <f t="shared" si="38"/>
        <v>0</v>
      </c>
      <c r="M48" s="17">
        <f t="shared" si="38"/>
        <v>0</v>
      </c>
      <c r="N48" s="17">
        <f t="shared" si="38"/>
        <v>0</v>
      </c>
      <c r="O48" s="17">
        <f t="shared" si="38"/>
        <v>0</v>
      </c>
      <c r="P48" s="17">
        <f t="shared" si="38"/>
        <v>0</v>
      </c>
      <c r="Q48" s="17">
        <f t="shared" si="21"/>
        <v>0</v>
      </c>
    </row>
    <row r="49" spans="3:17" x14ac:dyDescent="0.25">
      <c r="C49" s="751" t="s">
        <v>212</v>
      </c>
      <c r="D49" s="752"/>
      <c r="E49" s="28">
        <f t="shared" ref="E49:P49" si="39">SUM(E31:E48)</f>
        <v>64.746561279449992</v>
      </c>
      <c r="F49" s="28">
        <f t="shared" si="39"/>
        <v>64.746561279449992</v>
      </c>
      <c r="G49" s="28">
        <f t="shared" si="39"/>
        <v>64.746561279449992</v>
      </c>
      <c r="H49" s="28">
        <f t="shared" si="39"/>
        <v>64.746561279449992</v>
      </c>
      <c r="I49" s="28">
        <f t="shared" si="39"/>
        <v>64.746561279449992</v>
      </c>
      <c r="J49" s="28">
        <f t="shared" si="39"/>
        <v>64.746561269633332</v>
      </c>
      <c r="K49" s="28">
        <f t="shared" si="39"/>
        <v>64.746561269633332</v>
      </c>
      <c r="L49" s="28">
        <f t="shared" si="39"/>
        <v>64.746561269633332</v>
      </c>
      <c r="M49" s="28">
        <f t="shared" si="39"/>
        <v>64.746561269633332</v>
      </c>
      <c r="N49" s="28">
        <f t="shared" si="39"/>
        <v>64.746561269633332</v>
      </c>
      <c r="O49" s="28">
        <f t="shared" si="39"/>
        <v>64.746561269633332</v>
      </c>
      <c r="P49" s="28">
        <f t="shared" si="39"/>
        <v>401.2569508412833</v>
      </c>
      <c r="Q49" s="28">
        <f t="shared" si="21"/>
        <v>1113.4691248563331</v>
      </c>
    </row>
    <row r="50" spans="3:17" x14ac:dyDescent="0.25">
      <c r="C50" s="753" t="s">
        <v>368</v>
      </c>
      <c r="D50" s="754"/>
      <c r="E50" s="28">
        <f t="shared" ref="E50:P50" si="40">E29+E49</f>
        <v>375.88260464604298</v>
      </c>
      <c r="F50" s="28">
        <f t="shared" si="40"/>
        <v>382.86496655542942</v>
      </c>
      <c r="G50" s="28">
        <f t="shared" si="40"/>
        <v>333.73155750472495</v>
      </c>
      <c r="H50" s="28">
        <f t="shared" si="40"/>
        <v>251.8129187207841</v>
      </c>
      <c r="I50" s="28">
        <f t="shared" si="40"/>
        <v>306.21076182823174</v>
      </c>
      <c r="J50" s="28">
        <f t="shared" si="40"/>
        <v>330.29483180613857</v>
      </c>
      <c r="K50" s="28">
        <f t="shared" si="40"/>
        <v>384.89159110997906</v>
      </c>
      <c r="L50" s="28">
        <f t="shared" si="40"/>
        <v>365.76242543383142</v>
      </c>
      <c r="M50" s="28">
        <f t="shared" si="40"/>
        <v>408.15130937127702</v>
      </c>
      <c r="N50" s="28">
        <f t="shared" si="40"/>
        <v>380.93025447293331</v>
      </c>
      <c r="O50" s="28">
        <f t="shared" si="40"/>
        <v>364.16589554248333</v>
      </c>
      <c r="P50" s="28">
        <f t="shared" si="40"/>
        <v>713.80828728798326</v>
      </c>
      <c r="Q50" s="28">
        <f t="shared" si="21"/>
        <v>4598.5074042798396</v>
      </c>
    </row>
    <row r="51" spans="3:17" x14ac:dyDescent="0.25">
      <c r="C51" s="800" t="s">
        <v>369</v>
      </c>
      <c r="D51" s="801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</row>
    <row r="52" spans="3:17" x14ac:dyDescent="0.25">
      <c r="C52" s="753" t="s">
        <v>349</v>
      </c>
      <c r="D52" s="754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</row>
    <row r="53" spans="3:17" x14ac:dyDescent="0.25">
      <c r="C53" s="805" t="s">
        <v>370</v>
      </c>
      <c r="D53" s="17" t="s">
        <v>371</v>
      </c>
      <c r="E53" s="17">
        <f t="shared" ref="E53:P53" si="41">E223+E394</f>
        <v>21.479859191145849</v>
      </c>
      <c r="F53" s="17">
        <f t="shared" si="41"/>
        <v>25.327781283526399</v>
      </c>
      <c r="G53" s="17">
        <f t="shared" si="41"/>
        <v>36.904629555749196</v>
      </c>
      <c r="H53" s="17">
        <f t="shared" si="41"/>
        <v>31.645912626375395</v>
      </c>
      <c r="I53" s="17">
        <f t="shared" si="41"/>
        <v>21.824980856783402</v>
      </c>
      <c r="J53" s="17">
        <f t="shared" si="41"/>
        <v>20.532850738729998</v>
      </c>
      <c r="K53" s="17">
        <f t="shared" si="41"/>
        <v>14.03886512657995</v>
      </c>
      <c r="L53" s="17">
        <f t="shared" si="41"/>
        <v>12.9257076319542</v>
      </c>
      <c r="M53" s="17">
        <f t="shared" si="41"/>
        <v>16.06262798225</v>
      </c>
      <c r="N53" s="17">
        <f t="shared" si="41"/>
        <v>20.547229172366901</v>
      </c>
      <c r="O53" s="17">
        <f t="shared" si="41"/>
        <v>29.131047602772149</v>
      </c>
      <c r="P53" s="17">
        <f t="shared" si="41"/>
        <v>37.144760849135579</v>
      </c>
      <c r="Q53" s="17">
        <f t="shared" ref="Q53:Q78" si="42">SUM(E53:P53)</f>
        <v>287.566252617369</v>
      </c>
    </row>
    <row r="54" spans="3:17" x14ac:dyDescent="0.25">
      <c r="C54" s="806"/>
      <c r="D54" s="17" t="s">
        <v>372</v>
      </c>
      <c r="E54" s="17">
        <f t="shared" ref="E54:P54" si="43">E224+E395</f>
        <v>6.2135474783718507</v>
      </c>
      <c r="F54" s="17">
        <f t="shared" si="43"/>
        <v>6.9870810678459998</v>
      </c>
      <c r="G54" s="17">
        <f t="shared" si="43"/>
        <v>3.0404120123438001</v>
      </c>
      <c r="H54" s="17">
        <f t="shared" si="43"/>
        <v>-9.3838302000000002E-3</v>
      </c>
      <c r="I54" s="17">
        <f t="shared" si="43"/>
        <v>4.3229187501275996</v>
      </c>
      <c r="J54" s="17">
        <f t="shared" si="43"/>
        <v>7.1871890681500012</v>
      </c>
      <c r="K54" s="17">
        <f t="shared" si="43"/>
        <v>5.1247834851263994</v>
      </c>
      <c r="L54" s="17">
        <f t="shared" si="43"/>
        <v>4.5973422725330995</v>
      </c>
      <c r="M54" s="17">
        <f t="shared" si="43"/>
        <v>5.8224459214807993</v>
      </c>
      <c r="N54" s="17">
        <f t="shared" si="43"/>
        <v>6.5604857655807489</v>
      </c>
      <c r="O54" s="17">
        <f t="shared" si="43"/>
        <v>7.7839655215907992</v>
      </c>
      <c r="P54" s="17">
        <f t="shared" si="43"/>
        <v>8.0503557232085505</v>
      </c>
      <c r="Q54" s="17">
        <f t="shared" si="42"/>
        <v>65.681143236159642</v>
      </c>
    </row>
    <row r="55" spans="3:17" x14ac:dyDescent="0.25">
      <c r="C55" s="806"/>
      <c r="D55" s="17" t="s">
        <v>373</v>
      </c>
      <c r="E55" s="17">
        <f t="shared" ref="E55:P55" si="44">E225+E396</f>
        <v>10.651268129943299</v>
      </c>
      <c r="F55" s="17">
        <f t="shared" si="44"/>
        <v>11.734208608684149</v>
      </c>
      <c r="G55" s="17">
        <f t="shared" si="44"/>
        <v>12.0000753695948</v>
      </c>
      <c r="H55" s="17">
        <f t="shared" si="44"/>
        <v>16.62407700115175</v>
      </c>
      <c r="I55" s="17">
        <f t="shared" si="44"/>
        <v>14.1743086299143</v>
      </c>
      <c r="J55" s="17">
        <f t="shared" si="44"/>
        <v>12.905758966682349</v>
      </c>
      <c r="K55" s="17">
        <f t="shared" si="44"/>
        <v>23.082297858160548</v>
      </c>
      <c r="L55" s="17">
        <f t="shared" si="44"/>
        <v>7.0229430582583987</v>
      </c>
      <c r="M55" s="17">
        <f t="shared" si="44"/>
        <v>9.1038778287755981</v>
      </c>
      <c r="N55" s="17">
        <f t="shared" si="44"/>
        <v>9.0551754692612985</v>
      </c>
      <c r="O55" s="17">
        <f t="shared" si="44"/>
        <v>9.4818520824169994</v>
      </c>
      <c r="P55" s="17">
        <f t="shared" si="44"/>
        <v>14.365019623911596</v>
      </c>
      <c r="Q55" s="17">
        <f t="shared" si="42"/>
        <v>150.20086262675508</v>
      </c>
    </row>
    <row r="56" spans="3:17" ht="14.25" customHeight="1" x14ac:dyDescent="0.25">
      <c r="C56" s="806"/>
      <c r="D56" s="17" t="s">
        <v>374</v>
      </c>
      <c r="E56" s="17">
        <f t="shared" ref="E56:P56" si="45">E226+E397</f>
        <v>50.22816763986004</v>
      </c>
      <c r="F56" s="17">
        <f t="shared" si="45"/>
        <v>61.630733895321143</v>
      </c>
      <c r="G56" s="17">
        <f t="shared" si="45"/>
        <v>48.585537689453204</v>
      </c>
      <c r="H56" s="17">
        <f t="shared" si="45"/>
        <v>47.570959501543442</v>
      </c>
      <c r="I56" s="17">
        <f t="shared" si="45"/>
        <v>42.045193973924007</v>
      </c>
      <c r="J56" s="17">
        <f t="shared" si="45"/>
        <v>43.965771255180996</v>
      </c>
      <c r="K56" s="17">
        <f t="shared" si="45"/>
        <v>49.557789675974846</v>
      </c>
      <c r="L56" s="17">
        <f t="shared" si="45"/>
        <v>15.672209410586998</v>
      </c>
      <c r="M56" s="17">
        <f t="shared" si="45"/>
        <v>44.402048191199995</v>
      </c>
      <c r="N56" s="17">
        <f t="shared" si="45"/>
        <v>57.004517124439445</v>
      </c>
      <c r="O56" s="17">
        <f t="shared" si="45"/>
        <v>90.547205173681789</v>
      </c>
      <c r="P56" s="17">
        <f t="shared" si="45"/>
        <v>74.185810692654997</v>
      </c>
      <c r="Q56" s="17">
        <f t="shared" si="42"/>
        <v>625.39594422382083</v>
      </c>
    </row>
    <row r="57" spans="3:17" x14ac:dyDescent="0.25">
      <c r="C57" s="806"/>
      <c r="D57" s="17" t="s">
        <v>375</v>
      </c>
      <c r="E57" s="17">
        <f t="shared" ref="E57:P57" si="46">E227+E398</f>
        <v>24.887706579848746</v>
      </c>
      <c r="F57" s="17">
        <f t="shared" si="46"/>
        <v>32.129653924866744</v>
      </c>
      <c r="G57" s="17">
        <f t="shared" si="46"/>
        <v>12.7929833115859</v>
      </c>
      <c r="H57" s="17">
        <f t="shared" si="46"/>
        <v>20.984586880329999</v>
      </c>
      <c r="I57" s="17">
        <f t="shared" si="46"/>
        <v>23.646852985819997</v>
      </c>
      <c r="J57" s="17">
        <f t="shared" si="46"/>
        <v>19.932714755806398</v>
      </c>
      <c r="K57" s="17">
        <f t="shared" si="46"/>
        <v>33.417923127717444</v>
      </c>
      <c r="L57" s="17">
        <f t="shared" si="46"/>
        <v>20.488291086389999</v>
      </c>
      <c r="M57" s="17">
        <f t="shared" si="46"/>
        <v>23.721404823527045</v>
      </c>
      <c r="N57" s="17">
        <f t="shared" si="46"/>
        <v>27.801855573404996</v>
      </c>
      <c r="O57" s="17">
        <f t="shared" si="46"/>
        <v>30.187201023431196</v>
      </c>
      <c r="P57" s="17">
        <f t="shared" si="46"/>
        <v>34.7406084600075</v>
      </c>
      <c r="Q57" s="17">
        <f t="shared" si="42"/>
        <v>304.73178253273596</v>
      </c>
    </row>
    <row r="58" spans="3:17" x14ac:dyDescent="0.25">
      <c r="C58" s="806"/>
      <c r="D58" s="17" t="s">
        <v>376</v>
      </c>
      <c r="E58" s="17">
        <f t="shared" ref="E58:P58" si="47">E228+E399</f>
        <v>26.442813413190148</v>
      </c>
      <c r="F58" s="17">
        <f t="shared" si="47"/>
        <v>26.456289345569246</v>
      </c>
      <c r="G58" s="17">
        <f t="shared" si="47"/>
        <v>32.333190594212397</v>
      </c>
      <c r="H58" s="17">
        <f t="shared" si="47"/>
        <v>27.899741469386797</v>
      </c>
      <c r="I58" s="17">
        <f t="shared" si="47"/>
        <v>26.479014271382248</v>
      </c>
      <c r="J58" s="17">
        <f t="shared" si="47"/>
        <v>29.396506533927749</v>
      </c>
      <c r="K58" s="17">
        <f t="shared" si="47"/>
        <v>15.929228178157649</v>
      </c>
      <c r="L58" s="17">
        <f t="shared" si="47"/>
        <v>7.099828499800001</v>
      </c>
      <c r="M58" s="17">
        <f t="shared" si="47"/>
        <v>16.635136844545997</v>
      </c>
      <c r="N58" s="17">
        <f t="shared" si="47"/>
        <v>23.079360129100497</v>
      </c>
      <c r="O58" s="17">
        <f t="shared" si="47"/>
        <v>32.111720242082995</v>
      </c>
      <c r="P58" s="17">
        <f t="shared" si="47"/>
        <v>23.972987044350997</v>
      </c>
      <c r="Q58" s="17">
        <f t="shared" si="42"/>
        <v>287.83581656570669</v>
      </c>
    </row>
    <row r="59" spans="3:17" x14ac:dyDescent="0.25">
      <c r="C59" s="806"/>
      <c r="D59" s="17" t="s">
        <v>377</v>
      </c>
      <c r="E59" s="17">
        <f t="shared" ref="E59:P59" si="48">E229+E400</f>
        <v>13.019760213450001</v>
      </c>
      <c r="F59" s="17">
        <f t="shared" si="48"/>
        <v>16.5344744392</v>
      </c>
      <c r="G59" s="17">
        <f t="shared" si="48"/>
        <v>22.57737303755</v>
      </c>
      <c r="H59" s="17">
        <f t="shared" si="48"/>
        <v>13.018228751905802</v>
      </c>
      <c r="I59" s="17">
        <f t="shared" si="48"/>
        <v>17.57872470205</v>
      </c>
      <c r="J59" s="17">
        <f t="shared" si="48"/>
        <v>13.056403246104949</v>
      </c>
      <c r="K59" s="17">
        <f t="shared" si="48"/>
        <v>12.053643598349998</v>
      </c>
      <c r="L59" s="17">
        <f t="shared" si="48"/>
        <v>17.403284484699999</v>
      </c>
      <c r="M59" s="17">
        <f t="shared" si="48"/>
        <v>13.537166026549999</v>
      </c>
      <c r="N59" s="17">
        <f t="shared" si="48"/>
        <v>14.722139374249998</v>
      </c>
      <c r="O59" s="17">
        <f t="shared" si="48"/>
        <v>24.779702937549999</v>
      </c>
      <c r="P59" s="17">
        <f t="shared" si="48"/>
        <v>52.686629873409224</v>
      </c>
      <c r="Q59" s="17">
        <f t="shared" si="42"/>
        <v>230.96753068506996</v>
      </c>
    </row>
    <row r="60" spans="3:17" x14ac:dyDescent="0.25">
      <c r="C60" s="806"/>
      <c r="D60" s="17" t="s">
        <v>378</v>
      </c>
      <c r="E60" s="17">
        <f t="shared" ref="E60:P60" si="49">E230+E401</f>
        <v>3.9890412326399995</v>
      </c>
      <c r="F60" s="17">
        <f t="shared" si="49"/>
        <v>3.4667308536469994</v>
      </c>
      <c r="G60" s="17">
        <f t="shared" si="49"/>
        <v>4.2742501325384996</v>
      </c>
      <c r="H60" s="17">
        <f t="shared" si="49"/>
        <v>3.8406337212995001</v>
      </c>
      <c r="I60" s="17">
        <f t="shared" si="49"/>
        <v>3.5963048496754997</v>
      </c>
      <c r="J60" s="17">
        <f t="shared" si="49"/>
        <v>4.0031664268459997</v>
      </c>
      <c r="K60" s="17">
        <f t="shared" si="49"/>
        <v>3.1299128189794998</v>
      </c>
      <c r="L60" s="17">
        <f t="shared" si="49"/>
        <v>4.1655440534044992</v>
      </c>
      <c r="M60" s="17">
        <f t="shared" si="49"/>
        <v>2.4476279823149998</v>
      </c>
      <c r="N60" s="17">
        <f t="shared" si="49"/>
        <v>4.3278493593034995</v>
      </c>
      <c r="O60" s="17">
        <f t="shared" si="49"/>
        <v>2.9511088715164995</v>
      </c>
      <c r="P60" s="17">
        <f t="shared" si="49"/>
        <v>19.024625973743738</v>
      </c>
      <c r="Q60" s="17">
        <f t="shared" si="42"/>
        <v>59.216796275909232</v>
      </c>
    </row>
    <row r="61" spans="3:17" x14ac:dyDescent="0.25">
      <c r="C61" s="807"/>
      <c r="D61" s="17" t="s">
        <v>379</v>
      </c>
      <c r="E61" s="17">
        <f t="shared" ref="E61:P61" si="50">E231+E402</f>
        <v>0</v>
      </c>
      <c r="F61" s="17">
        <f t="shared" si="50"/>
        <v>0</v>
      </c>
      <c r="G61" s="17">
        <f t="shared" si="50"/>
        <v>0</v>
      </c>
      <c r="H61" s="17">
        <f t="shared" si="50"/>
        <v>0</v>
      </c>
      <c r="I61" s="17">
        <f t="shared" si="50"/>
        <v>0</v>
      </c>
      <c r="J61" s="17">
        <f t="shared" si="50"/>
        <v>0</v>
      </c>
      <c r="K61" s="17">
        <f t="shared" si="50"/>
        <v>0</v>
      </c>
      <c r="L61" s="17">
        <f t="shared" si="50"/>
        <v>0</v>
      </c>
      <c r="M61" s="17">
        <f t="shared" si="50"/>
        <v>0</v>
      </c>
      <c r="N61" s="17">
        <f t="shared" si="50"/>
        <v>0</v>
      </c>
      <c r="O61" s="17">
        <f t="shared" si="50"/>
        <v>0</v>
      </c>
      <c r="P61" s="17">
        <f t="shared" si="50"/>
        <v>0</v>
      </c>
      <c r="Q61" s="17">
        <f t="shared" si="42"/>
        <v>0</v>
      </c>
    </row>
    <row r="62" spans="3:17" x14ac:dyDescent="0.25">
      <c r="C62" s="17"/>
      <c r="D62" s="17" t="s">
        <v>380</v>
      </c>
      <c r="E62" s="17">
        <f t="shared" ref="E62:P62" si="51">E232+E403</f>
        <v>0.69096536100883321</v>
      </c>
      <c r="F62" s="17">
        <f t="shared" si="51"/>
        <v>0.96881918269999989</v>
      </c>
      <c r="G62" s="17">
        <f t="shared" si="51"/>
        <v>0.67302361792327103</v>
      </c>
      <c r="H62" s="17">
        <f t="shared" si="51"/>
        <v>0.69702283559999989</v>
      </c>
      <c r="I62" s="17">
        <f t="shared" si="51"/>
        <v>0.42904191269999997</v>
      </c>
      <c r="J62" s="17">
        <f t="shared" si="51"/>
        <v>0.27335089479999997</v>
      </c>
      <c r="K62" s="17">
        <f t="shared" si="51"/>
        <v>0.22104233990857886</v>
      </c>
      <c r="L62" s="17">
        <f t="shared" si="51"/>
        <v>0.39475020753750001</v>
      </c>
      <c r="M62" s="17">
        <f t="shared" si="51"/>
        <v>0.45362379824999999</v>
      </c>
      <c r="N62" s="17">
        <f t="shared" si="51"/>
        <v>0.64863791672274995</v>
      </c>
      <c r="O62" s="17">
        <f t="shared" si="51"/>
        <v>0.55467194175750012</v>
      </c>
      <c r="P62" s="17">
        <f t="shared" si="51"/>
        <v>33.940752660986163</v>
      </c>
      <c r="Q62" s="17">
        <f t="shared" si="42"/>
        <v>39.945702669894594</v>
      </c>
    </row>
    <row r="63" spans="3:17" x14ac:dyDescent="0.25">
      <c r="C63" s="17"/>
      <c r="D63" s="17" t="s">
        <v>381</v>
      </c>
      <c r="E63" s="17">
        <f t="shared" ref="E63:P63" si="52">E233+E404</f>
        <v>0.86799943136390034</v>
      </c>
      <c r="F63" s="17">
        <f t="shared" si="52"/>
        <v>1.7656319296999998</v>
      </c>
      <c r="G63" s="17">
        <f t="shared" si="52"/>
        <v>0.82253749870000004</v>
      </c>
      <c r="H63" s="17">
        <f t="shared" si="52"/>
        <v>1.4392812540499997</v>
      </c>
      <c r="I63" s="17">
        <f t="shared" si="52"/>
        <v>1.1852448766999999</v>
      </c>
      <c r="J63" s="17">
        <f t="shared" si="52"/>
        <v>0.90699244169999993</v>
      </c>
      <c r="K63" s="17">
        <f t="shared" si="52"/>
        <v>0.35532200417714666</v>
      </c>
      <c r="L63" s="17">
        <f t="shared" si="52"/>
        <v>0.35319080458924329</v>
      </c>
      <c r="M63" s="17">
        <f t="shared" si="52"/>
        <v>0.32450180464999995</v>
      </c>
      <c r="N63" s="17">
        <f t="shared" si="52"/>
        <v>0.25932836903674999</v>
      </c>
      <c r="O63" s="17">
        <f t="shared" si="52"/>
        <v>0.61235858676784272</v>
      </c>
      <c r="P63" s="17">
        <f t="shared" si="52"/>
        <v>1.1084821943966472</v>
      </c>
      <c r="Q63" s="17">
        <f t="shared" si="42"/>
        <v>10.000871195831529</v>
      </c>
    </row>
    <row r="64" spans="3:17" x14ac:dyDescent="0.25">
      <c r="C64" s="17"/>
      <c r="D64" s="17" t="s">
        <v>382</v>
      </c>
      <c r="E64" s="17">
        <f t="shared" ref="E64:P64" si="53">E234+E405</f>
        <v>4.1798857784704504</v>
      </c>
      <c r="F64" s="17">
        <f t="shared" si="53"/>
        <v>4.9514208429999993</v>
      </c>
      <c r="G64" s="17">
        <f t="shared" si="53"/>
        <v>4.2931715700499833</v>
      </c>
      <c r="H64" s="17">
        <f t="shared" si="53"/>
        <v>5.0724576336</v>
      </c>
      <c r="I64" s="17">
        <f t="shared" si="53"/>
        <v>4.5722161639999994</v>
      </c>
      <c r="J64" s="17">
        <f t="shared" si="53"/>
        <v>4.3058715419999993</v>
      </c>
      <c r="K64" s="17">
        <f t="shared" si="53"/>
        <v>4.226402715771501</v>
      </c>
      <c r="L64" s="17">
        <f t="shared" si="53"/>
        <v>4.1850025681707166</v>
      </c>
      <c r="M64" s="17">
        <f t="shared" si="53"/>
        <v>2.6988731563999999</v>
      </c>
      <c r="N64" s="17">
        <f t="shared" si="53"/>
        <v>4.3785681271878207</v>
      </c>
      <c r="O64" s="17">
        <f t="shared" si="53"/>
        <v>4.4922545741481077</v>
      </c>
      <c r="P64" s="17">
        <f t="shared" si="53"/>
        <v>5.0458646411475421</v>
      </c>
      <c r="Q64" s="17">
        <f t="shared" si="42"/>
        <v>52.401989313946117</v>
      </c>
    </row>
    <row r="65" spans="3:20" x14ac:dyDescent="0.25">
      <c r="C65" s="17"/>
      <c r="D65" s="17" t="s">
        <v>383</v>
      </c>
      <c r="E65" s="17">
        <f t="shared" ref="E65:P65" si="54">E235+E406</f>
        <v>0</v>
      </c>
      <c r="F65" s="17">
        <f t="shared" si="54"/>
        <v>0</v>
      </c>
      <c r="G65" s="17">
        <f t="shared" si="54"/>
        <v>0</v>
      </c>
      <c r="H65" s="17">
        <f t="shared" si="54"/>
        <v>0</v>
      </c>
      <c r="I65" s="17">
        <f t="shared" si="54"/>
        <v>0</v>
      </c>
      <c r="J65" s="17">
        <f t="shared" si="54"/>
        <v>0</v>
      </c>
      <c r="K65" s="17">
        <f t="shared" si="54"/>
        <v>0.32870951369118601</v>
      </c>
      <c r="L65" s="17">
        <f t="shared" si="54"/>
        <v>0.46277909515420002</v>
      </c>
      <c r="M65" s="17">
        <f t="shared" si="54"/>
        <v>0.43610405214999998</v>
      </c>
      <c r="N65" s="17">
        <f t="shared" si="54"/>
        <v>0.41032104834999999</v>
      </c>
      <c r="O65" s="17">
        <f t="shared" si="54"/>
        <v>0.48828258382099998</v>
      </c>
      <c r="P65" s="17">
        <f t="shared" si="54"/>
        <v>0.36541227200275</v>
      </c>
      <c r="Q65" s="17">
        <f t="shared" si="42"/>
        <v>2.4916085651691362</v>
      </c>
    </row>
    <row r="66" spans="3:20" x14ac:dyDescent="0.25">
      <c r="C66" s="17"/>
      <c r="D66" s="17" t="s">
        <v>384</v>
      </c>
      <c r="E66" s="17">
        <f t="shared" ref="E66:P66" si="55">E236+E407</f>
        <v>0</v>
      </c>
      <c r="F66" s="17">
        <f t="shared" si="55"/>
        <v>0</v>
      </c>
      <c r="G66" s="17">
        <f t="shared" si="55"/>
        <v>0</v>
      </c>
      <c r="H66" s="17">
        <f t="shared" si="55"/>
        <v>0</v>
      </c>
      <c r="I66" s="17">
        <f t="shared" si="55"/>
        <v>0</v>
      </c>
      <c r="J66" s="17">
        <f t="shared" si="55"/>
        <v>0</v>
      </c>
      <c r="K66" s="17">
        <f t="shared" si="55"/>
        <v>0.35907424473931404</v>
      </c>
      <c r="L66" s="17">
        <f t="shared" si="55"/>
        <v>0.16791902676488413</v>
      </c>
      <c r="M66" s="17">
        <f t="shared" si="55"/>
        <v>0.30616661749999996</v>
      </c>
      <c r="N66" s="17">
        <f t="shared" si="55"/>
        <v>0.13320628879024998</v>
      </c>
      <c r="O66" s="17">
        <f t="shared" si="55"/>
        <v>0.35417253240000002</v>
      </c>
      <c r="P66" s="17">
        <f t="shared" si="55"/>
        <v>0.14316641930115348</v>
      </c>
      <c r="Q66" s="17">
        <f t="shared" si="42"/>
        <v>1.4637051294956016</v>
      </c>
    </row>
    <row r="67" spans="3:20" x14ac:dyDescent="0.25">
      <c r="C67" s="17"/>
      <c r="D67" s="17" t="s">
        <v>385</v>
      </c>
      <c r="E67" s="17">
        <f t="shared" ref="E67:P67" si="56">E238+E408</f>
        <v>11.823068548775</v>
      </c>
      <c r="F67" s="17">
        <f t="shared" si="56"/>
        <v>14.215638896150001</v>
      </c>
      <c r="G67" s="17">
        <f t="shared" si="56"/>
        <v>12.573293354199999</v>
      </c>
      <c r="H67" s="17">
        <f t="shared" si="56"/>
        <v>8.5171801058499987</v>
      </c>
      <c r="I67" s="17">
        <f t="shared" si="56"/>
        <v>8.3979149978000009</v>
      </c>
      <c r="J67" s="17">
        <f t="shared" si="56"/>
        <v>9.8729026392999994</v>
      </c>
      <c r="K67" s="17">
        <f t="shared" si="56"/>
        <v>6.7248625003999996</v>
      </c>
      <c r="L67" s="17">
        <f t="shared" si="56"/>
        <v>7.6261909413999991</v>
      </c>
      <c r="M67" s="17">
        <f t="shared" si="56"/>
        <v>7.7812510381085005</v>
      </c>
      <c r="N67" s="17">
        <f t="shared" si="56"/>
        <v>7.3565816985500003</v>
      </c>
      <c r="O67" s="17">
        <f t="shared" si="56"/>
        <v>9.8202690407807509</v>
      </c>
      <c r="P67" s="17">
        <f t="shared" si="56"/>
        <v>33.656502559449997</v>
      </c>
      <c r="Q67" s="17">
        <f t="shared" si="42"/>
        <v>138.36565632076423</v>
      </c>
    </row>
    <row r="68" spans="3:20" x14ac:dyDescent="0.25">
      <c r="C68" s="17"/>
      <c r="D68" s="17" t="s">
        <v>386</v>
      </c>
      <c r="E68" s="17">
        <f t="shared" ref="E68:P68" si="57">E239+E409</f>
        <v>8.9959009290499985</v>
      </c>
      <c r="F68" s="17">
        <f t="shared" si="57"/>
        <v>23.559525863070181</v>
      </c>
      <c r="G68" s="17">
        <f t="shared" si="57"/>
        <v>15.040729533149999</v>
      </c>
      <c r="H68" s="17">
        <f t="shared" si="57"/>
        <v>13.09906570615</v>
      </c>
      <c r="I68" s="17">
        <f t="shared" si="57"/>
        <v>14.57640510685</v>
      </c>
      <c r="J68" s="17">
        <f t="shared" si="57"/>
        <v>10.542429011199999</v>
      </c>
      <c r="K68" s="17">
        <f t="shared" si="57"/>
        <v>9.8004110909882662</v>
      </c>
      <c r="L68" s="17">
        <f t="shared" si="57"/>
        <v>8.9462976461500006</v>
      </c>
      <c r="M68" s="17">
        <f t="shared" si="57"/>
        <v>13.9291678791</v>
      </c>
      <c r="N68" s="17">
        <f t="shared" si="57"/>
        <v>13.958255644099999</v>
      </c>
      <c r="O68" s="17">
        <f t="shared" si="57"/>
        <v>17.921439181849998</v>
      </c>
      <c r="P68" s="17">
        <f t="shared" si="57"/>
        <v>32.914711218000001</v>
      </c>
      <c r="Q68" s="17">
        <f t="shared" si="42"/>
        <v>183.28433880965844</v>
      </c>
    </row>
    <row r="69" spans="3:20" x14ac:dyDescent="0.25">
      <c r="C69" s="17"/>
      <c r="D69" s="328" t="s">
        <v>438</v>
      </c>
      <c r="E69" s="17">
        <f t="shared" ref="E69:P69" si="58">E240+E410</f>
        <v>0</v>
      </c>
      <c r="F69" s="17">
        <f t="shared" si="58"/>
        <v>0</v>
      </c>
      <c r="G69" s="17">
        <f t="shared" si="58"/>
        <v>0</v>
      </c>
      <c r="H69" s="17">
        <f t="shared" si="58"/>
        <v>0</v>
      </c>
      <c r="I69" s="17">
        <f t="shared" si="58"/>
        <v>0</v>
      </c>
      <c r="J69" s="17">
        <f t="shared" si="58"/>
        <v>0</v>
      </c>
      <c r="K69" s="17">
        <f t="shared" si="58"/>
        <v>0</v>
      </c>
      <c r="L69" s="17">
        <f t="shared" si="58"/>
        <v>0</v>
      </c>
      <c r="M69" s="17">
        <f t="shared" si="58"/>
        <v>0</v>
      </c>
      <c r="N69" s="17">
        <f t="shared" si="58"/>
        <v>0</v>
      </c>
      <c r="O69" s="17">
        <f t="shared" si="58"/>
        <v>0</v>
      </c>
      <c r="P69" s="17">
        <f t="shared" si="58"/>
        <v>0</v>
      </c>
      <c r="Q69" s="17">
        <f t="shared" si="42"/>
        <v>0</v>
      </c>
    </row>
    <row r="70" spans="3:20" x14ac:dyDescent="0.25">
      <c r="C70" s="17"/>
      <c r="D70" s="328" t="s">
        <v>439</v>
      </c>
      <c r="E70" s="17">
        <f t="shared" ref="E70:P70" si="59">E241+E411</f>
        <v>0</v>
      </c>
      <c r="F70" s="17">
        <f t="shared" si="59"/>
        <v>0</v>
      </c>
      <c r="G70" s="17">
        <f t="shared" si="59"/>
        <v>0</v>
      </c>
      <c r="H70" s="17">
        <f t="shared" si="59"/>
        <v>0</v>
      </c>
      <c r="I70" s="17">
        <f t="shared" si="59"/>
        <v>0</v>
      </c>
      <c r="J70" s="17">
        <f t="shared" si="59"/>
        <v>0</v>
      </c>
      <c r="K70" s="17">
        <f t="shared" si="59"/>
        <v>0</v>
      </c>
      <c r="L70" s="17">
        <f t="shared" si="59"/>
        <v>0</v>
      </c>
      <c r="M70" s="17">
        <f t="shared" si="59"/>
        <v>0</v>
      </c>
      <c r="N70" s="17">
        <f t="shared" si="59"/>
        <v>0</v>
      </c>
      <c r="O70" s="17">
        <f t="shared" si="59"/>
        <v>0</v>
      </c>
      <c r="P70" s="17">
        <f t="shared" si="59"/>
        <v>0</v>
      </c>
      <c r="Q70" s="17">
        <f t="shared" si="42"/>
        <v>0</v>
      </c>
    </row>
    <row r="71" spans="3:20" x14ac:dyDescent="0.25">
      <c r="C71" s="17"/>
      <c r="D71" s="327" t="s">
        <v>441</v>
      </c>
      <c r="E71" s="17">
        <f t="shared" ref="E71:P71" si="60">E242+E412</f>
        <v>0</v>
      </c>
      <c r="F71" s="17">
        <f t="shared" si="60"/>
        <v>0</v>
      </c>
      <c r="G71" s="17">
        <f t="shared" si="60"/>
        <v>0</v>
      </c>
      <c r="H71" s="17">
        <f t="shared" si="60"/>
        <v>0</v>
      </c>
      <c r="I71" s="17">
        <f t="shared" si="60"/>
        <v>0</v>
      </c>
      <c r="J71" s="17">
        <f t="shared" si="60"/>
        <v>0</v>
      </c>
      <c r="K71" s="17">
        <f t="shared" si="60"/>
        <v>0</v>
      </c>
      <c r="L71" s="17">
        <f t="shared" si="60"/>
        <v>0</v>
      </c>
      <c r="M71" s="17">
        <f t="shared" si="60"/>
        <v>0</v>
      </c>
      <c r="N71" s="17">
        <f t="shared" si="60"/>
        <v>0</v>
      </c>
      <c r="O71" s="17">
        <f t="shared" si="60"/>
        <v>0</v>
      </c>
      <c r="P71" s="17">
        <f t="shared" si="60"/>
        <v>0</v>
      </c>
      <c r="Q71" s="17">
        <f t="shared" si="42"/>
        <v>0</v>
      </c>
    </row>
    <row r="72" spans="3:20" x14ac:dyDescent="0.25">
      <c r="C72" s="17"/>
      <c r="D72" s="327" t="s">
        <v>442</v>
      </c>
      <c r="E72" s="17">
        <f t="shared" ref="E72:P72" si="61">E243+E413</f>
        <v>0</v>
      </c>
      <c r="F72" s="17">
        <f t="shared" si="61"/>
        <v>0</v>
      </c>
      <c r="G72" s="17">
        <f t="shared" si="61"/>
        <v>0</v>
      </c>
      <c r="H72" s="17">
        <f t="shared" si="61"/>
        <v>0</v>
      </c>
      <c r="I72" s="17">
        <f t="shared" si="61"/>
        <v>0</v>
      </c>
      <c r="J72" s="17">
        <f t="shared" si="61"/>
        <v>0</v>
      </c>
      <c r="K72" s="17">
        <f t="shared" si="61"/>
        <v>0</v>
      </c>
      <c r="L72" s="17">
        <f t="shared" si="61"/>
        <v>0</v>
      </c>
      <c r="M72" s="17">
        <f t="shared" si="61"/>
        <v>0</v>
      </c>
      <c r="N72" s="17">
        <f t="shared" si="61"/>
        <v>0</v>
      </c>
      <c r="O72" s="17">
        <f t="shared" si="61"/>
        <v>0</v>
      </c>
      <c r="P72" s="17">
        <f t="shared" si="61"/>
        <v>0</v>
      </c>
      <c r="Q72" s="17">
        <f t="shared" si="42"/>
        <v>0</v>
      </c>
    </row>
    <row r="73" spans="3:20" x14ac:dyDescent="0.25">
      <c r="C73" s="17"/>
      <c r="D73" s="328" t="s">
        <v>443</v>
      </c>
      <c r="E73" s="17">
        <f t="shared" ref="E73:P73" si="62">E244+E414</f>
        <v>0</v>
      </c>
      <c r="F73" s="17">
        <f t="shared" si="62"/>
        <v>0</v>
      </c>
      <c r="G73" s="17">
        <f t="shared" si="62"/>
        <v>0</v>
      </c>
      <c r="H73" s="17">
        <f t="shared" si="62"/>
        <v>0</v>
      </c>
      <c r="I73" s="17">
        <f t="shared" si="62"/>
        <v>0</v>
      </c>
      <c r="J73" s="17">
        <f t="shared" si="62"/>
        <v>0</v>
      </c>
      <c r="K73" s="17">
        <f t="shared" si="62"/>
        <v>0</v>
      </c>
      <c r="L73" s="17">
        <f t="shared" si="62"/>
        <v>0</v>
      </c>
      <c r="M73" s="17">
        <f t="shared" si="62"/>
        <v>0</v>
      </c>
      <c r="N73" s="17">
        <f t="shared" si="62"/>
        <v>0</v>
      </c>
      <c r="O73" s="17">
        <f t="shared" si="62"/>
        <v>0</v>
      </c>
      <c r="P73" s="17">
        <f t="shared" si="62"/>
        <v>0</v>
      </c>
      <c r="Q73" s="17">
        <f t="shared" si="42"/>
        <v>0</v>
      </c>
    </row>
    <row r="74" spans="3:20" x14ac:dyDescent="0.25">
      <c r="C74" s="17"/>
      <c r="D74" s="328" t="s">
        <v>444</v>
      </c>
      <c r="E74" s="17">
        <f t="shared" ref="E74:P74" si="63">E245+E415</f>
        <v>0</v>
      </c>
      <c r="F74" s="17">
        <f t="shared" si="63"/>
        <v>0</v>
      </c>
      <c r="G74" s="17">
        <f t="shared" si="63"/>
        <v>0</v>
      </c>
      <c r="H74" s="17">
        <f t="shared" si="63"/>
        <v>0</v>
      </c>
      <c r="I74" s="17">
        <f t="shared" si="63"/>
        <v>0</v>
      </c>
      <c r="J74" s="17">
        <f t="shared" si="63"/>
        <v>0</v>
      </c>
      <c r="K74" s="17">
        <f t="shared" si="63"/>
        <v>0</v>
      </c>
      <c r="L74" s="17">
        <f t="shared" si="63"/>
        <v>0</v>
      </c>
      <c r="M74" s="17">
        <f t="shared" si="63"/>
        <v>0</v>
      </c>
      <c r="N74" s="17">
        <f t="shared" si="63"/>
        <v>0</v>
      </c>
      <c r="O74" s="17">
        <f t="shared" si="63"/>
        <v>0</v>
      </c>
      <c r="P74" s="17">
        <f t="shared" si="63"/>
        <v>0</v>
      </c>
      <c r="Q74" s="17">
        <f t="shared" si="42"/>
        <v>0</v>
      </c>
    </row>
    <row r="75" spans="3:20" x14ac:dyDescent="0.25">
      <c r="C75" s="17"/>
      <c r="D75" s="325" t="s">
        <v>625</v>
      </c>
      <c r="E75" s="17">
        <f t="shared" ref="E75:P75" si="64">E246+E416</f>
        <v>0</v>
      </c>
      <c r="F75" s="17">
        <f t="shared" si="64"/>
        <v>0</v>
      </c>
      <c r="G75" s="17">
        <f t="shared" si="64"/>
        <v>0</v>
      </c>
      <c r="H75" s="17">
        <f t="shared" si="64"/>
        <v>0</v>
      </c>
      <c r="I75" s="17">
        <f t="shared" si="64"/>
        <v>0</v>
      </c>
      <c r="J75" s="17">
        <f t="shared" si="64"/>
        <v>0</v>
      </c>
      <c r="K75" s="17">
        <f t="shared" si="64"/>
        <v>0</v>
      </c>
      <c r="L75" s="17">
        <f t="shared" si="64"/>
        <v>0</v>
      </c>
      <c r="M75" s="17">
        <f t="shared" si="64"/>
        <v>0</v>
      </c>
      <c r="N75" s="17">
        <f t="shared" si="64"/>
        <v>0</v>
      </c>
      <c r="O75" s="17">
        <f t="shared" si="64"/>
        <v>0</v>
      </c>
      <c r="P75" s="17">
        <f t="shared" si="64"/>
        <v>0.52445293305000007</v>
      </c>
      <c r="Q75" s="17">
        <f t="shared" si="42"/>
        <v>0.52445293305000007</v>
      </c>
    </row>
    <row r="76" spans="3:20" x14ac:dyDescent="0.25">
      <c r="C76" s="17"/>
      <c r="D76" s="17"/>
      <c r="E76" s="17">
        <f t="shared" ref="E76:P76" si="65">E247+E417</f>
        <v>0</v>
      </c>
      <c r="F76" s="17">
        <f t="shared" si="65"/>
        <v>0</v>
      </c>
      <c r="G76" s="17">
        <f t="shared" si="65"/>
        <v>0</v>
      </c>
      <c r="H76" s="17">
        <f t="shared" si="65"/>
        <v>0</v>
      </c>
      <c r="I76" s="17">
        <f t="shared" si="65"/>
        <v>0</v>
      </c>
      <c r="J76" s="17">
        <f t="shared" si="65"/>
        <v>0</v>
      </c>
      <c r="K76" s="17">
        <f t="shared" si="65"/>
        <v>0</v>
      </c>
      <c r="L76" s="17">
        <f t="shared" si="65"/>
        <v>0</v>
      </c>
      <c r="M76" s="17">
        <f t="shared" si="65"/>
        <v>0</v>
      </c>
      <c r="N76" s="17">
        <f t="shared" si="65"/>
        <v>0</v>
      </c>
      <c r="O76" s="17">
        <f t="shared" si="65"/>
        <v>0</v>
      </c>
      <c r="P76" s="17">
        <f t="shared" si="65"/>
        <v>0</v>
      </c>
      <c r="Q76" s="17">
        <f t="shared" si="42"/>
        <v>0</v>
      </c>
    </row>
    <row r="77" spans="3:20" x14ac:dyDescent="0.25">
      <c r="C77" s="17"/>
      <c r="D77" s="17"/>
      <c r="E77" s="17">
        <f t="shared" ref="E77:P77" si="66">E248+E418</f>
        <v>0</v>
      </c>
      <c r="F77" s="17">
        <f t="shared" si="66"/>
        <v>0</v>
      </c>
      <c r="G77" s="17">
        <f t="shared" si="66"/>
        <v>0</v>
      </c>
      <c r="H77" s="17">
        <f t="shared" si="66"/>
        <v>0</v>
      </c>
      <c r="I77" s="17">
        <f t="shared" si="66"/>
        <v>0</v>
      </c>
      <c r="J77" s="17">
        <f t="shared" si="66"/>
        <v>0</v>
      </c>
      <c r="K77" s="17">
        <f t="shared" si="66"/>
        <v>0</v>
      </c>
      <c r="L77" s="17">
        <f t="shared" si="66"/>
        <v>0</v>
      </c>
      <c r="M77" s="17">
        <f t="shared" si="66"/>
        <v>0</v>
      </c>
      <c r="N77" s="17">
        <f t="shared" si="66"/>
        <v>0</v>
      </c>
      <c r="O77" s="17">
        <f t="shared" si="66"/>
        <v>0</v>
      </c>
      <c r="P77" s="17">
        <f t="shared" si="66"/>
        <v>0</v>
      </c>
      <c r="Q77" s="17">
        <f t="shared" si="42"/>
        <v>0</v>
      </c>
    </row>
    <row r="78" spans="3:20" x14ac:dyDescent="0.25">
      <c r="C78" s="751" t="s">
        <v>212</v>
      </c>
      <c r="D78" s="752"/>
      <c r="E78" s="28">
        <f t="shared" ref="E78:P78" si="67">SUM(E53:E77)</f>
        <v>183.46998392711816</v>
      </c>
      <c r="F78" s="28">
        <f t="shared" si="67"/>
        <v>229.72799013328085</v>
      </c>
      <c r="G78" s="28">
        <f t="shared" si="67"/>
        <v>205.91120727705103</v>
      </c>
      <c r="H78" s="28">
        <f t="shared" si="67"/>
        <v>190.39976365704268</v>
      </c>
      <c r="I78" s="28">
        <f t="shared" si="67"/>
        <v>182.82912207772708</v>
      </c>
      <c r="J78" s="28">
        <f t="shared" si="67"/>
        <v>176.88190752042843</v>
      </c>
      <c r="K78" s="28">
        <f t="shared" si="67"/>
        <v>178.35026827872235</v>
      </c>
      <c r="L78" s="28">
        <f t="shared" si="67"/>
        <v>111.51128078739374</v>
      </c>
      <c r="M78" s="28">
        <f t="shared" si="67"/>
        <v>157.66202394680292</v>
      </c>
      <c r="N78" s="28">
        <f t="shared" si="67"/>
        <v>190.24351106044497</v>
      </c>
      <c r="O78" s="28">
        <f t="shared" si="67"/>
        <v>261.21725189656763</v>
      </c>
      <c r="P78" s="28">
        <f t="shared" si="67"/>
        <v>371.87014313875642</v>
      </c>
      <c r="Q78" s="28">
        <f t="shared" si="42"/>
        <v>2440.0744537013361</v>
      </c>
    </row>
    <row r="79" spans="3:20" x14ac:dyDescent="0.25">
      <c r="C79" s="753" t="s">
        <v>387</v>
      </c>
      <c r="D79" s="754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</row>
    <row r="80" spans="3:20" x14ac:dyDescent="0.25">
      <c r="C80" s="805" t="s">
        <v>388</v>
      </c>
      <c r="D80" s="17" t="s">
        <v>389</v>
      </c>
      <c r="E80" s="17">
        <f t="shared" ref="E80:P80" si="68">E251+E421</f>
        <v>0.43599473374999992</v>
      </c>
      <c r="F80" s="17">
        <f t="shared" si="68"/>
        <v>0.33468926645000002</v>
      </c>
      <c r="G80" s="17">
        <f t="shared" si="68"/>
        <v>0.39832379569999998</v>
      </c>
      <c r="H80" s="17">
        <f t="shared" si="68"/>
        <v>0.55339268234999994</v>
      </c>
      <c r="I80" s="17">
        <f t="shared" si="68"/>
        <v>0.40008057654999996</v>
      </c>
      <c r="J80" s="17">
        <f t="shared" si="68"/>
        <v>0.49196010014999991</v>
      </c>
      <c r="K80" s="17">
        <f t="shared" si="68"/>
        <v>0.47217208559999996</v>
      </c>
      <c r="L80" s="17">
        <f t="shared" si="68"/>
        <v>0.52259269435</v>
      </c>
      <c r="M80" s="17">
        <f t="shared" si="68"/>
        <v>0.54476769029999994</v>
      </c>
      <c r="N80" s="17">
        <f t="shared" si="68"/>
        <v>0.54236427579999991</v>
      </c>
      <c r="O80" s="17">
        <f t="shared" si="68"/>
        <v>0.37111818019999998</v>
      </c>
      <c r="P80" s="17">
        <f t="shared" si="68"/>
        <v>0.50965224654999997</v>
      </c>
      <c r="Q80" s="17">
        <f t="shared" ref="Q80:Q95" si="69">SUM(E80:P80)</f>
        <v>5.5771083277499995</v>
      </c>
      <c r="T80" s="4">
        <v>10000000</v>
      </c>
    </row>
    <row r="81" spans="3:17" x14ac:dyDescent="0.25">
      <c r="C81" s="806"/>
      <c r="D81" s="17" t="s">
        <v>390</v>
      </c>
      <c r="E81" s="17">
        <f t="shared" ref="E81:P81" si="70">E252+E422</f>
        <v>9.75065825145</v>
      </c>
      <c r="F81" s="17">
        <f t="shared" si="70"/>
        <v>10.1228503848</v>
      </c>
      <c r="G81" s="17">
        <f t="shared" si="70"/>
        <v>10.8331156485</v>
      </c>
      <c r="H81" s="17">
        <f t="shared" si="70"/>
        <v>10.22600369235</v>
      </c>
      <c r="I81" s="17">
        <f t="shared" si="70"/>
        <v>9.9853850294999997</v>
      </c>
      <c r="J81" s="17">
        <f t="shared" si="70"/>
        <v>7.8640911630999994</v>
      </c>
      <c r="K81" s="17">
        <f t="shared" si="70"/>
        <v>9.4946059921499995</v>
      </c>
      <c r="L81" s="17">
        <f t="shared" si="70"/>
        <v>8.9659198866499992</v>
      </c>
      <c r="M81" s="17">
        <f t="shared" si="70"/>
        <v>7.2268164874999998</v>
      </c>
      <c r="N81" s="17">
        <f t="shared" si="70"/>
        <v>9.9749819053499991</v>
      </c>
      <c r="O81" s="17">
        <f t="shared" si="70"/>
        <v>8.8339257229000001</v>
      </c>
      <c r="P81" s="17">
        <f t="shared" si="70"/>
        <v>19.427386872099998</v>
      </c>
      <c r="Q81" s="17">
        <f t="shared" si="69"/>
        <v>122.70574103635001</v>
      </c>
    </row>
    <row r="82" spans="3:17" x14ac:dyDescent="0.25">
      <c r="C82" s="806"/>
      <c r="D82" s="17" t="s">
        <v>391</v>
      </c>
      <c r="E82" s="17">
        <f t="shared" ref="E82:P82" si="71">E253+E423</f>
        <v>0</v>
      </c>
      <c r="F82" s="17">
        <f t="shared" si="71"/>
        <v>0</v>
      </c>
      <c r="G82" s="17">
        <f t="shared" si="71"/>
        <v>0</v>
      </c>
      <c r="H82" s="17">
        <f t="shared" si="71"/>
        <v>0</v>
      </c>
      <c r="I82" s="17">
        <f t="shared" si="71"/>
        <v>0</v>
      </c>
      <c r="J82" s="17">
        <f t="shared" si="71"/>
        <v>0</v>
      </c>
      <c r="K82" s="17">
        <f t="shared" si="71"/>
        <v>0</v>
      </c>
      <c r="L82" s="17">
        <f t="shared" si="71"/>
        <v>0</v>
      </c>
      <c r="M82" s="17">
        <f t="shared" si="71"/>
        <v>0</v>
      </c>
      <c r="N82" s="17">
        <f t="shared" si="71"/>
        <v>0</v>
      </c>
      <c r="O82" s="17">
        <f t="shared" si="71"/>
        <v>0</v>
      </c>
      <c r="P82" s="17">
        <f t="shared" si="71"/>
        <v>0</v>
      </c>
      <c r="Q82" s="17">
        <f t="shared" si="69"/>
        <v>0</v>
      </c>
    </row>
    <row r="83" spans="3:17" x14ac:dyDescent="0.25">
      <c r="C83" s="807"/>
      <c r="D83" s="17" t="s">
        <v>392</v>
      </c>
      <c r="E83" s="17">
        <f t="shared" ref="E83:P83" si="72">E254+E424</f>
        <v>0</v>
      </c>
      <c r="F83" s="17">
        <f t="shared" si="72"/>
        <v>0</v>
      </c>
      <c r="G83" s="17">
        <f t="shared" si="72"/>
        <v>5.1638116219499999</v>
      </c>
      <c r="H83" s="17">
        <f t="shared" si="72"/>
        <v>4.1079317897000003</v>
      </c>
      <c r="I83" s="17">
        <f t="shared" si="72"/>
        <v>4.3119319102500002</v>
      </c>
      <c r="J83" s="17">
        <f t="shared" si="72"/>
        <v>4.4465164370999997</v>
      </c>
      <c r="K83" s="17">
        <f t="shared" si="72"/>
        <v>4.6102113759999996</v>
      </c>
      <c r="L83" s="17">
        <f t="shared" si="72"/>
        <v>4.6278845565999998</v>
      </c>
      <c r="M83" s="17">
        <f t="shared" si="72"/>
        <v>4.8184349799499993</v>
      </c>
      <c r="N83" s="17">
        <f t="shared" si="72"/>
        <v>4.2125454344</v>
      </c>
      <c r="O83" s="17">
        <f t="shared" si="72"/>
        <v>4.4789516658000004</v>
      </c>
      <c r="P83" s="17">
        <f t="shared" si="72"/>
        <v>4.9825168623999998</v>
      </c>
      <c r="Q83" s="17">
        <f t="shared" si="69"/>
        <v>45.760736634149985</v>
      </c>
    </row>
    <row r="84" spans="3:17" x14ac:dyDescent="0.25">
      <c r="C84" s="17"/>
      <c r="D84" s="17"/>
      <c r="E84" s="17">
        <f t="shared" ref="E84:P84" si="73">E255+E425</f>
        <v>0</v>
      </c>
      <c r="F84" s="17">
        <f t="shared" si="73"/>
        <v>0</v>
      </c>
      <c r="G84" s="17">
        <f t="shared" si="73"/>
        <v>0</v>
      </c>
      <c r="H84" s="17">
        <f t="shared" si="73"/>
        <v>0</v>
      </c>
      <c r="I84" s="17">
        <f t="shared" si="73"/>
        <v>0</v>
      </c>
      <c r="J84" s="17">
        <f t="shared" si="73"/>
        <v>0</v>
      </c>
      <c r="K84" s="17">
        <f t="shared" si="73"/>
        <v>0</v>
      </c>
      <c r="L84" s="17">
        <f t="shared" si="73"/>
        <v>0</v>
      </c>
      <c r="M84" s="17">
        <f t="shared" si="73"/>
        <v>0</v>
      </c>
      <c r="N84" s="17">
        <f t="shared" si="73"/>
        <v>0</v>
      </c>
      <c r="O84" s="17">
        <f t="shared" si="73"/>
        <v>0</v>
      </c>
      <c r="P84" s="17">
        <f t="shared" si="73"/>
        <v>0</v>
      </c>
      <c r="Q84" s="17">
        <f t="shared" si="69"/>
        <v>0</v>
      </c>
    </row>
    <row r="85" spans="3:17" x14ac:dyDescent="0.25">
      <c r="C85" s="17"/>
      <c r="D85" s="17"/>
      <c r="E85" s="17">
        <f t="shared" ref="E85:P85" si="74">E256+E426</f>
        <v>0</v>
      </c>
      <c r="F85" s="17">
        <f t="shared" si="74"/>
        <v>0</v>
      </c>
      <c r="G85" s="17">
        <f t="shared" si="74"/>
        <v>0</v>
      </c>
      <c r="H85" s="17">
        <f t="shared" si="74"/>
        <v>0</v>
      </c>
      <c r="I85" s="17">
        <f t="shared" si="74"/>
        <v>0</v>
      </c>
      <c r="J85" s="17">
        <f t="shared" si="74"/>
        <v>0</v>
      </c>
      <c r="K85" s="17">
        <f t="shared" si="74"/>
        <v>0</v>
      </c>
      <c r="L85" s="17">
        <f t="shared" si="74"/>
        <v>0</v>
      </c>
      <c r="M85" s="17">
        <f t="shared" si="74"/>
        <v>0</v>
      </c>
      <c r="N85" s="17">
        <f t="shared" si="74"/>
        <v>0</v>
      </c>
      <c r="O85" s="17">
        <f t="shared" si="74"/>
        <v>0</v>
      </c>
      <c r="P85" s="17">
        <f t="shared" si="74"/>
        <v>0</v>
      </c>
      <c r="Q85" s="17">
        <f t="shared" si="69"/>
        <v>0</v>
      </c>
    </row>
    <row r="86" spans="3:17" x14ac:dyDescent="0.25">
      <c r="C86" s="17"/>
      <c r="D86" s="17"/>
      <c r="E86" s="17">
        <f t="shared" ref="E86:P86" si="75">E257+E427</f>
        <v>0</v>
      </c>
      <c r="F86" s="17">
        <f t="shared" si="75"/>
        <v>0</v>
      </c>
      <c r="G86" s="17">
        <f t="shared" si="75"/>
        <v>0</v>
      </c>
      <c r="H86" s="17">
        <f t="shared" si="75"/>
        <v>0</v>
      </c>
      <c r="I86" s="17">
        <f t="shared" si="75"/>
        <v>0</v>
      </c>
      <c r="J86" s="17">
        <f t="shared" si="75"/>
        <v>0</v>
      </c>
      <c r="K86" s="17">
        <f t="shared" si="75"/>
        <v>0</v>
      </c>
      <c r="L86" s="17">
        <f t="shared" si="75"/>
        <v>0</v>
      </c>
      <c r="M86" s="17">
        <f t="shared" si="75"/>
        <v>0</v>
      </c>
      <c r="N86" s="17">
        <f t="shared" si="75"/>
        <v>0</v>
      </c>
      <c r="O86" s="17">
        <f t="shared" si="75"/>
        <v>0</v>
      </c>
      <c r="P86" s="17">
        <f t="shared" si="75"/>
        <v>0</v>
      </c>
      <c r="Q86" s="17">
        <f t="shared" si="69"/>
        <v>0</v>
      </c>
    </row>
    <row r="87" spans="3:17" x14ac:dyDescent="0.25">
      <c r="C87" s="17"/>
      <c r="D87" s="17"/>
      <c r="E87" s="17">
        <f t="shared" ref="E87:P87" si="76">E258+E428</f>
        <v>0</v>
      </c>
      <c r="F87" s="17">
        <f t="shared" si="76"/>
        <v>0</v>
      </c>
      <c r="G87" s="17">
        <f t="shared" si="76"/>
        <v>0</v>
      </c>
      <c r="H87" s="17">
        <f t="shared" si="76"/>
        <v>0</v>
      </c>
      <c r="I87" s="17">
        <f t="shared" si="76"/>
        <v>0</v>
      </c>
      <c r="J87" s="17">
        <f t="shared" si="76"/>
        <v>0</v>
      </c>
      <c r="K87" s="17">
        <f t="shared" si="76"/>
        <v>0</v>
      </c>
      <c r="L87" s="17">
        <f t="shared" si="76"/>
        <v>0</v>
      </c>
      <c r="M87" s="17">
        <f t="shared" si="76"/>
        <v>0</v>
      </c>
      <c r="N87" s="17">
        <f t="shared" si="76"/>
        <v>0</v>
      </c>
      <c r="O87" s="17">
        <f t="shared" si="76"/>
        <v>0</v>
      </c>
      <c r="P87" s="17">
        <f t="shared" si="76"/>
        <v>0</v>
      </c>
      <c r="Q87" s="17">
        <f t="shared" si="69"/>
        <v>0</v>
      </c>
    </row>
    <row r="88" spans="3:17" x14ac:dyDescent="0.25">
      <c r="C88" s="17"/>
      <c r="D88" s="17"/>
      <c r="E88" s="17">
        <f t="shared" ref="E88:P88" si="77">E259+E429</f>
        <v>0</v>
      </c>
      <c r="F88" s="17">
        <f t="shared" si="77"/>
        <v>0</v>
      </c>
      <c r="G88" s="17">
        <f t="shared" si="77"/>
        <v>0</v>
      </c>
      <c r="H88" s="17">
        <f t="shared" si="77"/>
        <v>0</v>
      </c>
      <c r="I88" s="17">
        <f t="shared" si="77"/>
        <v>0</v>
      </c>
      <c r="J88" s="17">
        <f t="shared" si="77"/>
        <v>0</v>
      </c>
      <c r="K88" s="17">
        <f t="shared" si="77"/>
        <v>0</v>
      </c>
      <c r="L88" s="17">
        <f t="shared" si="77"/>
        <v>0</v>
      </c>
      <c r="M88" s="17">
        <f t="shared" si="77"/>
        <v>0</v>
      </c>
      <c r="N88" s="17">
        <f t="shared" si="77"/>
        <v>0</v>
      </c>
      <c r="O88" s="17">
        <f t="shared" si="77"/>
        <v>0</v>
      </c>
      <c r="P88" s="17">
        <f t="shared" si="77"/>
        <v>0</v>
      </c>
      <c r="Q88" s="17">
        <f t="shared" si="69"/>
        <v>0</v>
      </c>
    </row>
    <row r="89" spans="3:17" x14ac:dyDescent="0.25">
      <c r="C89" s="17"/>
      <c r="D89" s="17"/>
      <c r="E89" s="17">
        <f t="shared" ref="E89:P89" si="78">E260+E430</f>
        <v>0</v>
      </c>
      <c r="F89" s="17">
        <f t="shared" si="78"/>
        <v>0</v>
      </c>
      <c r="G89" s="17">
        <f t="shared" si="78"/>
        <v>0</v>
      </c>
      <c r="H89" s="17">
        <f t="shared" si="78"/>
        <v>0</v>
      </c>
      <c r="I89" s="17">
        <f t="shared" si="78"/>
        <v>0</v>
      </c>
      <c r="J89" s="17">
        <f t="shared" si="78"/>
        <v>0</v>
      </c>
      <c r="K89" s="17">
        <f t="shared" si="78"/>
        <v>0</v>
      </c>
      <c r="L89" s="17">
        <f t="shared" si="78"/>
        <v>0</v>
      </c>
      <c r="M89" s="17">
        <f t="shared" si="78"/>
        <v>0</v>
      </c>
      <c r="N89" s="17">
        <f t="shared" si="78"/>
        <v>0</v>
      </c>
      <c r="O89" s="17">
        <f t="shared" si="78"/>
        <v>0</v>
      </c>
      <c r="P89" s="17">
        <f t="shared" si="78"/>
        <v>0</v>
      </c>
      <c r="Q89" s="17">
        <f t="shared" si="69"/>
        <v>0</v>
      </c>
    </row>
    <row r="90" spans="3:17" x14ac:dyDescent="0.25">
      <c r="C90" s="17"/>
      <c r="D90" s="17"/>
      <c r="E90" s="17">
        <f t="shared" ref="E90:P90" si="79">E261+E431</f>
        <v>0</v>
      </c>
      <c r="F90" s="17">
        <f t="shared" si="79"/>
        <v>0</v>
      </c>
      <c r="G90" s="17">
        <f t="shared" si="79"/>
        <v>0</v>
      </c>
      <c r="H90" s="17">
        <f t="shared" si="79"/>
        <v>0</v>
      </c>
      <c r="I90" s="17">
        <f t="shared" si="79"/>
        <v>0</v>
      </c>
      <c r="J90" s="17">
        <f t="shared" si="79"/>
        <v>0</v>
      </c>
      <c r="K90" s="17">
        <f t="shared" si="79"/>
        <v>0</v>
      </c>
      <c r="L90" s="17">
        <f t="shared" si="79"/>
        <v>0</v>
      </c>
      <c r="M90" s="17">
        <f t="shared" si="79"/>
        <v>0</v>
      </c>
      <c r="N90" s="17">
        <f t="shared" si="79"/>
        <v>0</v>
      </c>
      <c r="O90" s="17">
        <f t="shared" si="79"/>
        <v>0</v>
      </c>
      <c r="P90" s="17">
        <f t="shared" si="79"/>
        <v>0</v>
      </c>
      <c r="Q90" s="17">
        <f t="shared" si="69"/>
        <v>0</v>
      </c>
    </row>
    <row r="91" spans="3:17" x14ac:dyDescent="0.25">
      <c r="C91" s="17"/>
      <c r="D91" s="17"/>
      <c r="E91" s="17">
        <f t="shared" ref="E91:P91" si="80">E262+E432</f>
        <v>0</v>
      </c>
      <c r="F91" s="17">
        <f t="shared" si="80"/>
        <v>0</v>
      </c>
      <c r="G91" s="17">
        <f t="shared" si="80"/>
        <v>0</v>
      </c>
      <c r="H91" s="17">
        <f t="shared" si="80"/>
        <v>0</v>
      </c>
      <c r="I91" s="17">
        <f t="shared" si="80"/>
        <v>0</v>
      </c>
      <c r="J91" s="17">
        <f t="shared" si="80"/>
        <v>0</v>
      </c>
      <c r="K91" s="17">
        <f t="shared" si="80"/>
        <v>0</v>
      </c>
      <c r="L91" s="17">
        <f t="shared" si="80"/>
        <v>0</v>
      </c>
      <c r="M91" s="17">
        <f t="shared" si="80"/>
        <v>0</v>
      </c>
      <c r="N91" s="17">
        <f t="shared" si="80"/>
        <v>0</v>
      </c>
      <c r="O91" s="17">
        <f t="shared" si="80"/>
        <v>0</v>
      </c>
      <c r="P91" s="17">
        <f t="shared" si="80"/>
        <v>0</v>
      </c>
      <c r="Q91" s="17">
        <f t="shared" si="69"/>
        <v>0</v>
      </c>
    </row>
    <row r="92" spans="3:17" x14ac:dyDescent="0.25">
      <c r="C92" s="17"/>
      <c r="D92" s="17"/>
      <c r="E92" s="17">
        <f t="shared" ref="E92:P92" si="81">E263+E433</f>
        <v>0</v>
      </c>
      <c r="F92" s="17">
        <f t="shared" si="81"/>
        <v>0</v>
      </c>
      <c r="G92" s="17">
        <f t="shared" si="81"/>
        <v>0</v>
      </c>
      <c r="H92" s="17">
        <f t="shared" si="81"/>
        <v>0</v>
      </c>
      <c r="I92" s="17">
        <f t="shared" si="81"/>
        <v>0</v>
      </c>
      <c r="J92" s="17">
        <f t="shared" si="81"/>
        <v>0</v>
      </c>
      <c r="K92" s="17">
        <f t="shared" si="81"/>
        <v>0</v>
      </c>
      <c r="L92" s="17">
        <f t="shared" si="81"/>
        <v>0</v>
      </c>
      <c r="M92" s="17">
        <f t="shared" si="81"/>
        <v>0</v>
      </c>
      <c r="N92" s="17">
        <f t="shared" si="81"/>
        <v>0</v>
      </c>
      <c r="O92" s="17">
        <f t="shared" si="81"/>
        <v>0</v>
      </c>
      <c r="P92" s="17">
        <f t="shared" si="81"/>
        <v>0</v>
      </c>
      <c r="Q92" s="17">
        <f t="shared" si="69"/>
        <v>0</v>
      </c>
    </row>
    <row r="93" spans="3:17" x14ac:dyDescent="0.25">
      <c r="C93" s="17"/>
      <c r="D93" s="17"/>
      <c r="E93" s="17">
        <f t="shared" ref="E93:P93" si="82">E264+E434</f>
        <v>0</v>
      </c>
      <c r="F93" s="17">
        <f t="shared" si="82"/>
        <v>0</v>
      </c>
      <c r="G93" s="17">
        <f t="shared" si="82"/>
        <v>0</v>
      </c>
      <c r="H93" s="17">
        <f t="shared" si="82"/>
        <v>0</v>
      </c>
      <c r="I93" s="17">
        <f t="shared" si="82"/>
        <v>0</v>
      </c>
      <c r="J93" s="17">
        <f t="shared" si="82"/>
        <v>0</v>
      </c>
      <c r="K93" s="17">
        <f t="shared" si="82"/>
        <v>0</v>
      </c>
      <c r="L93" s="17">
        <f t="shared" si="82"/>
        <v>0</v>
      </c>
      <c r="M93" s="17">
        <f t="shared" si="82"/>
        <v>0</v>
      </c>
      <c r="N93" s="17">
        <f t="shared" si="82"/>
        <v>0</v>
      </c>
      <c r="O93" s="17">
        <f t="shared" si="82"/>
        <v>0</v>
      </c>
      <c r="P93" s="17">
        <f t="shared" si="82"/>
        <v>0</v>
      </c>
      <c r="Q93" s="17">
        <f t="shared" si="69"/>
        <v>0</v>
      </c>
    </row>
    <row r="94" spans="3:17" x14ac:dyDescent="0.25">
      <c r="C94" s="751" t="s">
        <v>212</v>
      </c>
      <c r="D94" s="752"/>
      <c r="E94" s="28">
        <f t="shared" ref="E94:P94" si="83">SUM(E80:E93)</f>
        <v>10.1866529852</v>
      </c>
      <c r="F94" s="28">
        <f t="shared" si="83"/>
        <v>10.45753965125</v>
      </c>
      <c r="G94" s="28">
        <f t="shared" si="83"/>
        <v>16.395251066149999</v>
      </c>
      <c r="H94" s="28">
        <f t="shared" si="83"/>
        <v>14.8873281644</v>
      </c>
      <c r="I94" s="28">
        <f t="shared" si="83"/>
        <v>14.697397516300001</v>
      </c>
      <c r="J94" s="28">
        <f t="shared" si="83"/>
        <v>12.802567700349998</v>
      </c>
      <c r="K94" s="28">
        <f t="shared" si="83"/>
        <v>14.576989453749999</v>
      </c>
      <c r="L94" s="28">
        <f t="shared" si="83"/>
        <v>14.116397137599998</v>
      </c>
      <c r="M94" s="28">
        <f t="shared" si="83"/>
        <v>12.59001915775</v>
      </c>
      <c r="N94" s="28">
        <f t="shared" si="83"/>
        <v>14.729891615549999</v>
      </c>
      <c r="O94" s="28">
        <f t="shared" si="83"/>
        <v>13.6839955689</v>
      </c>
      <c r="P94" s="28">
        <f t="shared" si="83"/>
        <v>24.919555981049999</v>
      </c>
      <c r="Q94" s="28">
        <f t="shared" si="69"/>
        <v>174.04358599824999</v>
      </c>
    </row>
    <row r="95" spans="3:17" x14ac:dyDescent="0.25">
      <c r="C95" s="753" t="s">
        <v>394</v>
      </c>
      <c r="D95" s="754"/>
      <c r="E95" s="28">
        <f t="shared" ref="E95:P95" si="84">E78+E94</f>
        <v>193.65663691231816</v>
      </c>
      <c r="F95" s="28">
        <f t="shared" si="84"/>
        <v>240.18552978453084</v>
      </c>
      <c r="G95" s="28">
        <f t="shared" si="84"/>
        <v>222.30645834320103</v>
      </c>
      <c r="H95" s="28">
        <f t="shared" si="84"/>
        <v>205.28709182144269</v>
      </c>
      <c r="I95" s="28">
        <f t="shared" si="84"/>
        <v>197.52651959402709</v>
      </c>
      <c r="J95" s="28">
        <f t="shared" si="84"/>
        <v>189.68447522077844</v>
      </c>
      <c r="K95" s="28">
        <f t="shared" si="84"/>
        <v>192.92725773247236</v>
      </c>
      <c r="L95" s="28">
        <f t="shared" si="84"/>
        <v>125.62767792499375</v>
      </c>
      <c r="M95" s="28">
        <f t="shared" si="84"/>
        <v>170.25204310455291</v>
      </c>
      <c r="N95" s="28">
        <f t="shared" si="84"/>
        <v>204.97340267599498</v>
      </c>
      <c r="O95" s="28">
        <f t="shared" si="84"/>
        <v>274.90124746546763</v>
      </c>
      <c r="P95" s="28">
        <f t="shared" si="84"/>
        <v>396.78969911980641</v>
      </c>
      <c r="Q95" s="28">
        <f t="shared" si="69"/>
        <v>2614.1180396995865</v>
      </c>
    </row>
    <row r="96" spans="3:17" x14ac:dyDescent="0.25">
      <c r="C96" s="800" t="s">
        <v>395</v>
      </c>
      <c r="D96" s="801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</row>
    <row r="97" spans="3:17" x14ac:dyDescent="0.25">
      <c r="C97" s="17" t="s">
        <v>396</v>
      </c>
      <c r="D97" s="17" t="s">
        <v>396</v>
      </c>
      <c r="E97" s="17">
        <f t="shared" ref="E97:P97" si="85">E268+E438</f>
        <v>55.38982401925</v>
      </c>
      <c r="F97" s="17">
        <f t="shared" si="85"/>
        <v>60.743368179149996</v>
      </c>
      <c r="G97" s="17">
        <f t="shared" si="85"/>
        <v>35.344520692800003</v>
      </c>
      <c r="H97" s="17">
        <f t="shared" si="85"/>
        <v>58.055101293</v>
      </c>
      <c r="I97" s="17">
        <f t="shared" si="85"/>
        <v>59.206686115499998</v>
      </c>
      <c r="J97" s="17">
        <f t="shared" si="85"/>
        <v>48.899168033199999</v>
      </c>
      <c r="K97" s="17">
        <f t="shared" si="85"/>
        <v>45.455923862600002</v>
      </c>
      <c r="L97" s="17">
        <f t="shared" si="85"/>
        <v>53.995726869449996</v>
      </c>
      <c r="M97" s="17">
        <f t="shared" si="85"/>
        <v>54.076832316699999</v>
      </c>
      <c r="N97" s="17">
        <f t="shared" si="85"/>
        <v>56.386369287299999</v>
      </c>
      <c r="O97" s="17">
        <f t="shared" si="85"/>
        <v>59.120717183339991</v>
      </c>
      <c r="P97" s="17">
        <f t="shared" si="85"/>
        <v>131.55718712379999</v>
      </c>
      <c r="Q97" s="17">
        <f t="shared" ref="Q97:Q104" si="86">SUM(E97:P97)</f>
        <v>718.2314249760899</v>
      </c>
    </row>
    <row r="98" spans="3:17" x14ac:dyDescent="0.25">
      <c r="C98" s="17" t="s">
        <v>397</v>
      </c>
      <c r="D98" s="17" t="s">
        <v>397</v>
      </c>
      <c r="E98" s="17">
        <f t="shared" ref="E98:P98" si="87">E269+E439</f>
        <v>19.488908216599999</v>
      </c>
      <c r="F98" s="17">
        <f t="shared" si="87"/>
        <v>20.655961298199998</v>
      </c>
      <c r="G98" s="17">
        <f t="shared" si="87"/>
        <v>14.994767654399999</v>
      </c>
      <c r="H98" s="17">
        <f t="shared" si="87"/>
        <v>21.303949118099997</v>
      </c>
      <c r="I98" s="17">
        <f t="shared" si="87"/>
        <v>21.509164964099998</v>
      </c>
      <c r="J98" s="17">
        <f t="shared" si="87"/>
        <v>19.1848478631</v>
      </c>
      <c r="K98" s="17">
        <f t="shared" si="87"/>
        <v>21.7149922359805</v>
      </c>
      <c r="L98" s="17">
        <f t="shared" si="87"/>
        <v>30.030283153399999</v>
      </c>
      <c r="M98" s="17">
        <f t="shared" si="87"/>
        <v>22.454045596499999</v>
      </c>
      <c r="N98" s="17">
        <f t="shared" si="87"/>
        <v>21.96343006555</v>
      </c>
      <c r="O98" s="17">
        <f t="shared" si="87"/>
        <v>21.9719271857</v>
      </c>
      <c r="P98" s="17">
        <f t="shared" si="87"/>
        <v>-15.176010932994009</v>
      </c>
      <c r="Q98" s="17">
        <f t="shared" si="86"/>
        <v>220.09626641863647</v>
      </c>
    </row>
    <row r="99" spans="3:17" x14ac:dyDescent="0.25">
      <c r="C99" s="17"/>
      <c r="D99" s="17"/>
      <c r="E99" s="17">
        <f t="shared" ref="E99:P99" si="88">E270+E440</f>
        <v>0</v>
      </c>
      <c r="F99" s="17">
        <f t="shared" si="88"/>
        <v>0</v>
      </c>
      <c r="G99" s="17">
        <f t="shared" si="88"/>
        <v>0</v>
      </c>
      <c r="H99" s="17">
        <f t="shared" si="88"/>
        <v>0</v>
      </c>
      <c r="I99" s="17">
        <f t="shared" si="88"/>
        <v>0</v>
      </c>
      <c r="J99" s="17">
        <f t="shared" si="88"/>
        <v>0</v>
      </c>
      <c r="K99" s="17">
        <f t="shared" si="88"/>
        <v>0</v>
      </c>
      <c r="L99" s="17">
        <f t="shared" si="88"/>
        <v>0</v>
      </c>
      <c r="M99" s="17">
        <f t="shared" si="88"/>
        <v>0</v>
      </c>
      <c r="N99" s="17">
        <f t="shared" si="88"/>
        <v>0</v>
      </c>
      <c r="O99" s="17">
        <f t="shared" si="88"/>
        <v>0</v>
      </c>
      <c r="P99" s="17">
        <f t="shared" si="88"/>
        <v>0</v>
      </c>
      <c r="Q99" s="17">
        <f t="shared" si="86"/>
        <v>0</v>
      </c>
    </row>
    <row r="100" spans="3:17" x14ac:dyDescent="0.25">
      <c r="C100" s="17"/>
      <c r="D100" s="17"/>
      <c r="E100" s="17">
        <f t="shared" ref="E100:P100" si="89">E271+E441</f>
        <v>0</v>
      </c>
      <c r="F100" s="17">
        <f t="shared" si="89"/>
        <v>0</v>
      </c>
      <c r="G100" s="17">
        <f t="shared" si="89"/>
        <v>0</v>
      </c>
      <c r="H100" s="17">
        <f t="shared" si="89"/>
        <v>0</v>
      </c>
      <c r="I100" s="17">
        <f t="shared" si="89"/>
        <v>0</v>
      </c>
      <c r="J100" s="17">
        <f t="shared" si="89"/>
        <v>0</v>
      </c>
      <c r="K100" s="17">
        <f t="shared" si="89"/>
        <v>0</v>
      </c>
      <c r="L100" s="17">
        <f t="shared" si="89"/>
        <v>0</v>
      </c>
      <c r="M100" s="17">
        <f t="shared" si="89"/>
        <v>0</v>
      </c>
      <c r="N100" s="17">
        <f t="shared" si="89"/>
        <v>0</v>
      </c>
      <c r="O100" s="17">
        <f t="shared" si="89"/>
        <v>0</v>
      </c>
      <c r="P100" s="17">
        <f t="shared" si="89"/>
        <v>0</v>
      </c>
      <c r="Q100" s="17">
        <f t="shared" si="86"/>
        <v>0</v>
      </c>
    </row>
    <row r="101" spans="3:17" x14ac:dyDescent="0.25">
      <c r="C101" s="17"/>
      <c r="D101" s="17"/>
      <c r="E101" s="17">
        <f t="shared" ref="E101:P101" si="90">E272+E442</f>
        <v>0</v>
      </c>
      <c r="F101" s="17">
        <f t="shared" si="90"/>
        <v>0</v>
      </c>
      <c r="G101" s="17">
        <f t="shared" si="90"/>
        <v>0</v>
      </c>
      <c r="H101" s="17">
        <f t="shared" si="90"/>
        <v>0</v>
      </c>
      <c r="I101" s="17">
        <f t="shared" si="90"/>
        <v>0</v>
      </c>
      <c r="J101" s="17">
        <f t="shared" si="90"/>
        <v>0</v>
      </c>
      <c r="K101" s="17">
        <f t="shared" si="90"/>
        <v>0</v>
      </c>
      <c r="L101" s="17">
        <f t="shared" si="90"/>
        <v>0</v>
      </c>
      <c r="M101" s="17">
        <f t="shared" si="90"/>
        <v>0</v>
      </c>
      <c r="N101" s="17">
        <f t="shared" si="90"/>
        <v>0</v>
      </c>
      <c r="O101" s="17">
        <f t="shared" si="90"/>
        <v>0</v>
      </c>
      <c r="P101" s="17">
        <f t="shared" si="90"/>
        <v>0</v>
      </c>
      <c r="Q101" s="17">
        <f t="shared" si="86"/>
        <v>0</v>
      </c>
    </row>
    <row r="102" spans="3:17" ht="14.25" customHeight="1" x14ac:dyDescent="0.25">
      <c r="C102" s="17"/>
      <c r="D102" s="17"/>
      <c r="E102" s="17">
        <f t="shared" ref="E102:P102" si="91">E273+E443</f>
        <v>0</v>
      </c>
      <c r="F102" s="17">
        <f t="shared" si="91"/>
        <v>0</v>
      </c>
      <c r="G102" s="17">
        <f t="shared" si="91"/>
        <v>0</v>
      </c>
      <c r="H102" s="17">
        <f t="shared" si="91"/>
        <v>0</v>
      </c>
      <c r="I102" s="17">
        <f t="shared" si="91"/>
        <v>0</v>
      </c>
      <c r="J102" s="17">
        <f t="shared" si="91"/>
        <v>0</v>
      </c>
      <c r="K102" s="17">
        <f t="shared" si="91"/>
        <v>0</v>
      </c>
      <c r="L102" s="17">
        <f t="shared" si="91"/>
        <v>0</v>
      </c>
      <c r="M102" s="17">
        <f t="shared" si="91"/>
        <v>0</v>
      </c>
      <c r="N102" s="17">
        <f t="shared" si="91"/>
        <v>0</v>
      </c>
      <c r="O102" s="17">
        <f t="shared" si="91"/>
        <v>0</v>
      </c>
      <c r="P102" s="17">
        <f t="shared" si="91"/>
        <v>0</v>
      </c>
      <c r="Q102" s="17">
        <f t="shared" si="86"/>
        <v>0</v>
      </c>
    </row>
    <row r="103" spans="3:17" x14ac:dyDescent="0.25">
      <c r="C103" s="17"/>
      <c r="D103" s="17"/>
      <c r="E103" s="17">
        <f t="shared" ref="E103:P103" si="92">E274+E444</f>
        <v>0</v>
      </c>
      <c r="F103" s="17">
        <f t="shared" si="92"/>
        <v>0</v>
      </c>
      <c r="G103" s="17">
        <f t="shared" si="92"/>
        <v>0</v>
      </c>
      <c r="H103" s="17">
        <f t="shared" si="92"/>
        <v>0</v>
      </c>
      <c r="I103" s="17">
        <f t="shared" si="92"/>
        <v>0</v>
      </c>
      <c r="J103" s="17">
        <f t="shared" si="92"/>
        <v>0</v>
      </c>
      <c r="K103" s="17">
        <f t="shared" si="92"/>
        <v>0</v>
      </c>
      <c r="L103" s="17">
        <f t="shared" si="92"/>
        <v>0</v>
      </c>
      <c r="M103" s="17">
        <f t="shared" si="92"/>
        <v>0</v>
      </c>
      <c r="N103" s="17">
        <f t="shared" si="92"/>
        <v>0</v>
      </c>
      <c r="O103" s="17">
        <f t="shared" si="92"/>
        <v>0</v>
      </c>
      <c r="P103" s="17">
        <f t="shared" si="92"/>
        <v>0</v>
      </c>
      <c r="Q103" s="17">
        <f t="shared" si="86"/>
        <v>0</v>
      </c>
    </row>
    <row r="104" spans="3:17" x14ac:dyDescent="0.25">
      <c r="C104" s="753" t="s">
        <v>398</v>
      </c>
      <c r="D104" s="754"/>
      <c r="E104" s="28">
        <f t="shared" ref="E104:P104" si="93">SUM(E97:E103)</f>
        <v>74.878732235849995</v>
      </c>
      <c r="F104" s="28">
        <f t="shared" si="93"/>
        <v>81.399329477349994</v>
      </c>
      <c r="G104" s="28">
        <f t="shared" si="93"/>
        <v>50.339288347200004</v>
      </c>
      <c r="H104" s="28">
        <f t="shared" si="93"/>
        <v>79.3590504111</v>
      </c>
      <c r="I104" s="28">
        <f t="shared" si="93"/>
        <v>80.7158510796</v>
      </c>
      <c r="J104" s="28">
        <f t="shared" si="93"/>
        <v>68.084015896300002</v>
      </c>
      <c r="K104" s="28">
        <f t="shared" si="93"/>
        <v>67.170916098580506</v>
      </c>
      <c r="L104" s="28">
        <f t="shared" si="93"/>
        <v>84.026010022849988</v>
      </c>
      <c r="M104" s="28">
        <f t="shared" si="93"/>
        <v>76.530877913200001</v>
      </c>
      <c r="N104" s="28">
        <f t="shared" si="93"/>
        <v>78.349799352849999</v>
      </c>
      <c r="O104" s="28">
        <f t="shared" si="93"/>
        <v>81.092644369039988</v>
      </c>
      <c r="P104" s="28">
        <f t="shared" si="93"/>
        <v>116.38117619080599</v>
      </c>
      <c r="Q104" s="28">
        <f t="shared" si="86"/>
        <v>938.32769139472634</v>
      </c>
    </row>
    <row r="105" spans="3:17" x14ac:dyDescent="0.25">
      <c r="C105" s="800" t="s">
        <v>399</v>
      </c>
      <c r="D105" s="801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3:17" x14ac:dyDescent="0.25">
      <c r="C106" s="17" t="s">
        <v>400</v>
      </c>
      <c r="D106" s="17" t="s">
        <v>400</v>
      </c>
      <c r="E106" s="17">
        <f t="shared" ref="E106:P106" si="94">E277+E447</f>
        <v>102.88170590666665</v>
      </c>
      <c r="F106" s="17">
        <f t="shared" si="94"/>
        <v>96.23816002964999</v>
      </c>
      <c r="G106" s="17">
        <f t="shared" si="94"/>
        <v>102.83167299734998</v>
      </c>
      <c r="H106" s="17">
        <f t="shared" si="94"/>
        <v>107.97938687626666</v>
      </c>
      <c r="I106" s="17">
        <f t="shared" si="94"/>
        <v>103.99214183446666</v>
      </c>
      <c r="J106" s="17">
        <f t="shared" si="94"/>
        <v>110.56683148126665</v>
      </c>
      <c r="K106" s="17">
        <f t="shared" si="94"/>
        <v>111.62830701966666</v>
      </c>
      <c r="L106" s="17">
        <f t="shared" si="94"/>
        <v>114.50860684216666</v>
      </c>
      <c r="M106" s="17">
        <f t="shared" si="94"/>
        <v>113.58564705221666</v>
      </c>
      <c r="N106" s="17">
        <f t="shared" si="94"/>
        <v>117.76398849091666</v>
      </c>
      <c r="O106" s="17">
        <f t="shared" si="94"/>
        <v>70.791123253066658</v>
      </c>
      <c r="P106" s="17">
        <f t="shared" si="94"/>
        <v>151.02712827405</v>
      </c>
      <c r="Q106" s="17">
        <f t="shared" ref="Q106:Q114" si="95">SUM(E106:P106)</f>
        <v>1303.7947000577499</v>
      </c>
    </row>
    <row r="107" spans="3:17" x14ac:dyDescent="0.25">
      <c r="C107" s="17" t="s">
        <v>401</v>
      </c>
      <c r="D107" s="17" t="s">
        <v>401</v>
      </c>
      <c r="E107" s="17">
        <f t="shared" ref="E107:P107" si="96">E278+E448</f>
        <v>0</v>
      </c>
      <c r="F107" s="17">
        <f t="shared" si="96"/>
        <v>0</v>
      </c>
      <c r="G107" s="17">
        <f t="shared" si="96"/>
        <v>0</v>
      </c>
      <c r="H107" s="17">
        <f t="shared" si="96"/>
        <v>0</v>
      </c>
      <c r="I107" s="17">
        <f t="shared" si="96"/>
        <v>0</v>
      </c>
      <c r="J107" s="17">
        <f t="shared" si="96"/>
        <v>0</v>
      </c>
      <c r="K107" s="17">
        <f t="shared" si="96"/>
        <v>0</v>
      </c>
      <c r="L107" s="17">
        <f t="shared" si="96"/>
        <v>0</v>
      </c>
      <c r="M107" s="17">
        <f t="shared" si="96"/>
        <v>0</v>
      </c>
      <c r="N107" s="17">
        <f t="shared" si="96"/>
        <v>0</v>
      </c>
      <c r="O107" s="17">
        <f t="shared" si="96"/>
        <v>0</v>
      </c>
      <c r="P107" s="17">
        <f t="shared" si="96"/>
        <v>216.51180191259999</v>
      </c>
      <c r="Q107" s="17">
        <f t="shared" si="95"/>
        <v>216.51180191259999</v>
      </c>
    </row>
    <row r="108" spans="3:17" x14ac:dyDescent="0.25">
      <c r="C108" s="17" t="s">
        <v>402</v>
      </c>
      <c r="D108" s="17" t="s">
        <v>402</v>
      </c>
      <c r="E108" s="17">
        <f t="shared" ref="E108:P108" si="97">E279+E449</f>
        <v>0</v>
      </c>
      <c r="F108" s="17">
        <f t="shared" si="97"/>
        <v>0</v>
      </c>
      <c r="G108" s="17">
        <f t="shared" si="97"/>
        <v>0</v>
      </c>
      <c r="H108" s="17">
        <f t="shared" si="97"/>
        <v>0</v>
      </c>
      <c r="I108" s="17">
        <f t="shared" si="97"/>
        <v>0</v>
      </c>
      <c r="J108" s="17">
        <f t="shared" si="97"/>
        <v>0</v>
      </c>
      <c r="K108" s="17">
        <f t="shared" si="97"/>
        <v>0</v>
      </c>
      <c r="L108" s="17">
        <f t="shared" si="97"/>
        <v>0</v>
      </c>
      <c r="M108" s="17">
        <f t="shared" si="97"/>
        <v>0</v>
      </c>
      <c r="N108" s="17">
        <f t="shared" si="97"/>
        <v>0</v>
      </c>
      <c r="O108" s="17">
        <f t="shared" si="97"/>
        <v>0</v>
      </c>
      <c r="P108" s="17">
        <f t="shared" si="97"/>
        <v>0</v>
      </c>
      <c r="Q108" s="17">
        <f t="shared" si="95"/>
        <v>0</v>
      </c>
    </row>
    <row r="109" spans="3:17" x14ac:dyDescent="0.25">
      <c r="C109" s="17"/>
      <c r="D109" s="17"/>
      <c r="E109" s="17">
        <f t="shared" ref="E109:P109" si="98">E280+E450</f>
        <v>0</v>
      </c>
      <c r="F109" s="17">
        <f t="shared" si="98"/>
        <v>0</v>
      </c>
      <c r="G109" s="17">
        <f t="shared" si="98"/>
        <v>0</v>
      </c>
      <c r="H109" s="17">
        <f t="shared" si="98"/>
        <v>0</v>
      </c>
      <c r="I109" s="17">
        <f t="shared" si="98"/>
        <v>0</v>
      </c>
      <c r="J109" s="17">
        <f t="shared" si="98"/>
        <v>0</v>
      </c>
      <c r="K109" s="17">
        <f t="shared" si="98"/>
        <v>0</v>
      </c>
      <c r="L109" s="17">
        <f t="shared" si="98"/>
        <v>0</v>
      </c>
      <c r="M109" s="17">
        <f t="shared" si="98"/>
        <v>0</v>
      </c>
      <c r="N109" s="17">
        <f t="shared" si="98"/>
        <v>0</v>
      </c>
      <c r="O109" s="17">
        <f t="shared" si="98"/>
        <v>0</v>
      </c>
      <c r="P109" s="17">
        <f t="shared" si="98"/>
        <v>0</v>
      </c>
      <c r="Q109" s="17">
        <f t="shared" si="95"/>
        <v>0</v>
      </c>
    </row>
    <row r="110" spans="3:17" x14ac:dyDescent="0.25">
      <c r="C110" s="17"/>
      <c r="D110" s="17"/>
      <c r="E110" s="17">
        <f t="shared" ref="E110:P110" si="99">E281+E451</f>
        <v>0</v>
      </c>
      <c r="F110" s="17">
        <f t="shared" si="99"/>
        <v>0</v>
      </c>
      <c r="G110" s="17">
        <f t="shared" si="99"/>
        <v>0</v>
      </c>
      <c r="H110" s="17">
        <f t="shared" si="99"/>
        <v>0</v>
      </c>
      <c r="I110" s="17">
        <f t="shared" si="99"/>
        <v>0</v>
      </c>
      <c r="J110" s="17">
        <f t="shared" si="99"/>
        <v>0</v>
      </c>
      <c r="K110" s="17">
        <f t="shared" si="99"/>
        <v>0</v>
      </c>
      <c r="L110" s="17">
        <f t="shared" si="99"/>
        <v>0</v>
      </c>
      <c r="M110" s="17">
        <f t="shared" si="99"/>
        <v>0</v>
      </c>
      <c r="N110" s="17">
        <f t="shared" si="99"/>
        <v>0</v>
      </c>
      <c r="O110" s="17">
        <f t="shared" si="99"/>
        <v>0</v>
      </c>
      <c r="P110" s="17">
        <f t="shared" si="99"/>
        <v>0</v>
      </c>
      <c r="Q110" s="17">
        <f t="shared" si="95"/>
        <v>0</v>
      </c>
    </row>
    <row r="111" spans="3:17" x14ac:dyDescent="0.25">
      <c r="C111" s="17"/>
      <c r="D111" s="17"/>
      <c r="E111" s="17">
        <f t="shared" ref="E111:P111" si="100">E282+E452</f>
        <v>0</v>
      </c>
      <c r="F111" s="17">
        <f t="shared" si="100"/>
        <v>0</v>
      </c>
      <c r="G111" s="17">
        <f t="shared" si="100"/>
        <v>0</v>
      </c>
      <c r="H111" s="17">
        <f t="shared" si="100"/>
        <v>0</v>
      </c>
      <c r="I111" s="17">
        <f t="shared" si="100"/>
        <v>0</v>
      </c>
      <c r="J111" s="17">
        <f t="shared" si="100"/>
        <v>0</v>
      </c>
      <c r="K111" s="17">
        <f t="shared" si="100"/>
        <v>0</v>
      </c>
      <c r="L111" s="17">
        <f t="shared" si="100"/>
        <v>0</v>
      </c>
      <c r="M111" s="17">
        <f t="shared" si="100"/>
        <v>0</v>
      </c>
      <c r="N111" s="17">
        <f t="shared" si="100"/>
        <v>0</v>
      </c>
      <c r="O111" s="17">
        <f t="shared" si="100"/>
        <v>0</v>
      </c>
      <c r="P111" s="17">
        <f t="shared" si="100"/>
        <v>0</v>
      </c>
      <c r="Q111" s="17">
        <f t="shared" si="95"/>
        <v>0</v>
      </c>
    </row>
    <row r="112" spans="3:17" x14ac:dyDescent="0.25">
      <c r="C112" s="17"/>
      <c r="D112" s="17"/>
      <c r="E112" s="17">
        <f t="shared" ref="E112:P112" si="101">E283+E453</f>
        <v>0</v>
      </c>
      <c r="F112" s="17">
        <f t="shared" si="101"/>
        <v>0</v>
      </c>
      <c r="G112" s="17">
        <f t="shared" si="101"/>
        <v>0</v>
      </c>
      <c r="H112" s="17">
        <f t="shared" si="101"/>
        <v>0</v>
      </c>
      <c r="I112" s="17">
        <f t="shared" si="101"/>
        <v>0</v>
      </c>
      <c r="J112" s="17">
        <f t="shared" si="101"/>
        <v>0</v>
      </c>
      <c r="K112" s="17">
        <f t="shared" si="101"/>
        <v>0</v>
      </c>
      <c r="L112" s="17">
        <f t="shared" si="101"/>
        <v>0</v>
      </c>
      <c r="M112" s="17">
        <f t="shared" si="101"/>
        <v>0</v>
      </c>
      <c r="N112" s="17">
        <f t="shared" si="101"/>
        <v>0</v>
      </c>
      <c r="O112" s="17">
        <f t="shared" si="101"/>
        <v>0</v>
      </c>
      <c r="P112" s="17">
        <f t="shared" si="101"/>
        <v>0</v>
      </c>
      <c r="Q112" s="17">
        <f t="shared" si="95"/>
        <v>0</v>
      </c>
    </row>
    <row r="113" spans="3:17" x14ac:dyDescent="0.25">
      <c r="C113" s="17"/>
      <c r="D113" s="17"/>
      <c r="E113" s="17">
        <f t="shared" ref="E113:P113" si="102">E284+E454</f>
        <v>0</v>
      </c>
      <c r="F113" s="17">
        <f t="shared" si="102"/>
        <v>0</v>
      </c>
      <c r="G113" s="17">
        <f t="shared" si="102"/>
        <v>0</v>
      </c>
      <c r="H113" s="17">
        <f t="shared" si="102"/>
        <v>0</v>
      </c>
      <c r="I113" s="17">
        <f t="shared" si="102"/>
        <v>0</v>
      </c>
      <c r="J113" s="17">
        <f t="shared" si="102"/>
        <v>0</v>
      </c>
      <c r="K113" s="17">
        <f t="shared" si="102"/>
        <v>0</v>
      </c>
      <c r="L113" s="17">
        <f t="shared" si="102"/>
        <v>0</v>
      </c>
      <c r="M113" s="17">
        <f t="shared" si="102"/>
        <v>0</v>
      </c>
      <c r="N113" s="17">
        <f t="shared" si="102"/>
        <v>0</v>
      </c>
      <c r="O113" s="17">
        <f t="shared" si="102"/>
        <v>0</v>
      </c>
      <c r="P113" s="17">
        <f t="shared" si="102"/>
        <v>0</v>
      </c>
      <c r="Q113" s="17">
        <f t="shared" si="95"/>
        <v>0</v>
      </c>
    </row>
    <row r="114" spans="3:17" x14ac:dyDescent="0.25">
      <c r="C114" s="753" t="s">
        <v>403</v>
      </c>
      <c r="D114" s="754"/>
      <c r="E114" s="28">
        <f t="shared" ref="E114:P114" si="103">SUM(E106:E113)</f>
        <v>102.88170590666665</v>
      </c>
      <c r="F114" s="28">
        <f t="shared" si="103"/>
        <v>96.23816002964999</v>
      </c>
      <c r="G114" s="28">
        <f t="shared" si="103"/>
        <v>102.83167299734998</v>
      </c>
      <c r="H114" s="28">
        <f t="shared" si="103"/>
        <v>107.97938687626666</v>
      </c>
      <c r="I114" s="28">
        <f t="shared" si="103"/>
        <v>103.99214183446666</v>
      </c>
      <c r="J114" s="28">
        <f t="shared" si="103"/>
        <v>110.56683148126665</v>
      </c>
      <c r="K114" s="28">
        <f t="shared" si="103"/>
        <v>111.62830701966666</v>
      </c>
      <c r="L114" s="28">
        <f t="shared" si="103"/>
        <v>114.50860684216666</v>
      </c>
      <c r="M114" s="28">
        <f t="shared" si="103"/>
        <v>113.58564705221666</v>
      </c>
      <c r="N114" s="28">
        <f t="shared" si="103"/>
        <v>117.76398849091666</v>
      </c>
      <c r="O114" s="28">
        <f t="shared" si="103"/>
        <v>70.791123253066658</v>
      </c>
      <c r="P114" s="28">
        <f t="shared" si="103"/>
        <v>367.53893018664996</v>
      </c>
      <c r="Q114" s="28">
        <f t="shared" si="95"/>
        <v>1520.3065019703499</v>
      </c>
    </row>
    <row r="115" spans="3:17" x14ac:dyDescent="0.25">
      <c r="C115" s="800" t="s">
        <v>404</v>
      </c>
      <c r="D115" s="801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</row>
    <row r="116" spans="3:17" x14ac:dyDescent="0.25">
      <c r="C116" s="17"/>
      <c r="D116" s="17" t="s">
        <v>405</v>
      </c>
      <c r="E116" s="17">
        <f t="shared" ref="E116:P116" si="104">E287+E457</f>
        <v>4.3913263118210182</v>
      </c>
      <c r="F116" s="17">
        <f t="shared" si="104"/>
        <v>2.4688052658888928</v>
      </c>
      <c r="G116" s="17">
        <f t="shared" si="104"/>
        <v>2.9591051467096787</v>
      </c>
      <c r="H116" s="17">
        <f t="shared" si="104"/>
        <v>1.6528262153333266</v>
      </c>
      <c r="I116" s="17">
        <f t="shared" si="104"/>
        <v>0</v>
      </c>
      <c r="J116" s="17">
        <f t="shared" si="104"/>
        <v>0.94738400700000092</v>
      </c>
      <c r="K116" s="17">
        <f t="shared" si="104"/>
        <v>0.39468567972222734</v>
      </c>
      <c r="L116" s="17">
        <f t="shared" si="104"/>
        <v>0.35107283166963371</v>
      </c>
      <c r="M116" s="17">
        <f t="shared" si="104"/>
        <v>0</v>
      </c>
      <c r="N116" s="17">
        <f t="shared" si="104"/>
        <v>0</v>
      </c>
      <c r="O116" s="17">
        <f t="shared" si="104"/>
        <v>0</v>
      </c>
      <c r="P116" s="17">
        <f t="shared" si="104"/>
        <v>0</v>
      </c>
      <c r="Q116" s="17">
        <f t="shared" ref="Q116:Q140" si="105">SUM(E116:P116)</f>
        <v>13.165205458144777</v>
      </c>
    </row>
    <row r="117" spans="3:17" x14ac:dyDescent="0.25">
      <c r="C117" s="17"/>
      <c r="D117" s="17" t="s">
        <v>406</v>
      </c>
      <c r="E117" s="17">
        <f t="shared" ref="E117:P117" si="106">E288+E458</f>
        <v>12.459997215000001</v>
      </c>
      <c r="F117" s="17">
        <f t="shared" si="106"/>
        <v>0</v>
      </c>
      <c r="G117" s="17">
        <f t="shared" si="106"/>
        <v>-4.5178903500000436E-2</v>
      </c>
      <c r="H117" s="17">
        <f t="shared" si="106"/>
        <v>-4.6489853100000006E-2</v>
      </c>
      <c r="I117" s="17">
        <f t="shared" si="106"/>
        <v>-4.9546597699999875E-2</v>
      </c>
      <c r="J117" s="17">
        <f t="shared" si="106"/>
        <v>-5.2657282499999812E-2</v>
      </c>
      <c r="K117" s="17">
        <f t="shared" si="106"/>
        <v>-5.4717546000000138E-2</v>
      </c>
      <c r="L117" s="17">
        <f t="shared" si="106"/>
        <v>2.2516918322680128</v>
      </c>
      <c r="M117" s="17">
        <f t="shared" si="106"/>
        <v>9.003774993495993</v>
      </c>
      <c r="N117" s="17">
        <f t="shared" si="106"/>
        <v>7.1280089889360054</v>
      </c>
      <c r="O117" s="17">
        <f t="shared" si="106"/>
        <v>8.7229747843119991</v>
      </c>
      <c r="P117" s="17">
        <f t="shared" si="106"/>
        <v>10.220007086457992</v>
      </c>
      <c r="Q117" s="17">
        <f t="shared" si="105"/>
        <v>49.537864717669997</v>
      </c>
    </row>
    <row r="118" spans="3:17" x14ac:dyDescent="0.25">
      <c r="C118" s="17"/>
      <c r="D118" s="17" t="s">
        <v>407</v>
      </c>
      <c r="E118" s="17">
        <f t="shared" ref="E118:P118" si="107">E289+E459</f>
        <v>0</v>
      </c>
      <c r="F118" s="17">
        <f t="shared" si="107"/>
        <v>0</v>
      </c>
      <c r="G118" s="17">
        <f t="shared" si="107"/>
        <v>0</v>
      </c>
      <c r="H118" s="17">
        <f t="shared" si="107"/>
        <v>0</v>
      </c>
      <c r="I118" s="17">
        <f t="shared" si="107"/>
        <v>0</v>
      </c>
      <c r="J118" s="17">
        <f t="shared" si="107"/>
        <v>0</v>
      </c>
      <c r="K118" s="17">
        <f t="shared" si="107"/>
        <v>0</v>
      </c>
      <c r="L118" s="17">
        <f t="shared" si="107"/>
        <v>0</v>
      </c>
      <c r="M118" s="17">
        <f t="shared" si="107"/>
        <v>0</v>
      </c>
      <c r="N118" s="17">
        <f t="shared" si="107"/>
        <v>0</v>
      </c>
      <c r="O118" s="17">
        <f t="shared" si="107"/>
        <v>0</v>
      </c>
      <c r="P118" s="17">
        <f t="shared" si="107"/>
        <v>0</v>
      </c>
      <c r="Q118" s="17">
        <f t="shared" si="105"/>
        <v>0</v>
      </c>
    </row>
    <row r="119" spans="3:17" x14ac:dyDescent="0.25">
      <c r="C119" s="17"/>
      <c r="D119" s="17" t="s">
        <v>408</v>
      </c>
      <c r="E119" s="17">
        <f t="shared" ref="E119:P119" si="108">E290+E460</f>
        <v>0</v>
      </c>
      <c r="F119" s="17">
        <f t="shared" si="108"/>
        <v>0</v>
      </c>
      <c r="G119" s="17">
        <f t="shared" si="108"/>
        <v>0</v>
      </c>
      <c r="H119" s="17">
        <f t="shared" si="108"/>
        <v>0</v>
      </c>
      <c r="I119" s="17">
        <f t="shared" si="108"/>
        <v>0</v>
      </c>
      <c r="J119" s="17">
        <f t="shared" si="108"/>
        <v>0</v>
      </c>
      <c r="K119" s="17">
        <f t="shared" si="108"/>
        <v>0</v>
      </c>
      <c r="L119" s="17">
        <f t="shared" si="108"/>
        <v>0</v>
      </c>
      <c r="M119" s="17">
        <f t="shared" si="108"/>
        <v>0</v>
      </c>
      <c r="N119" s="17">
        <f t="shared" si="108"/>
        <v>0</v>
      </c>
      <c r="O119" s="17">
        <f t="shared" si="108"/>
        <v>0</v>
      </c>
      <c r="P119" s="17">
        <f t="shared" si="108"/>
        <v>-0.22285489999999999</v>
      </c>
      <c r="Q119" s="17">
        <f t="shared" si="105"/>
        <v>-0.22285489999999999</v>
      </c>
    </row>
    <row r="120" spans="3:17" x14ac:dyDescent="0.25">
      <c r="C120" s="17"/>
      <c r="D120" s="17" t="s">
        <v>409</v>
      </c>
      <c r="E120" s="17">
        <f t="shared" ref="E120:P120" si="109">E291+E461</f>
        <v>0</v>
      </c>
      <c r="F120" s="17">
        <f t="shared" si="109"/>
        <v>0</v>
      </c>
      <c r="G120" s="17">
        <f t="shared" si="109"/>
        <v>0</v>
      </c>
      <c r="H120" s="17">
        <f t="shared" si="109"/>
        <v>0</v>
      </c>
      <c r="I120" s="17">
        <f t="shared" si="109"/>
        <v>0</v>
      </c>
      <c r="J120" s="17">
        <f t="shared" si="109"/>
        <v>0</v>
      </c>
      <c r="K120" s="17">
        <f t="shared" si="109"/>
        <v>0</v>
      </c>
      <c r="L120" s="17">
        <f t="shared" si="109"/>
        <v>0</v>
      </c>
      <c r="M120" s="17">
        <f t="shared" si="109"/>
        <v>0</v>
      </c>
      <c r="N120" s="17">
        <f t="shared" si="109"/>
        <v>0</v>
      </c>
      <c r="O120" s="17">
        <f t="shared" si="109"/>
        <v>0</v>
      </c>
      <c r="P120" s="17">
        <f t="shared" si="109"/>
        <v>0</v>
      </c>
      <c r="Q120" s="17">
        <f t="shared" si="105"/>
        <v>0</v>
      </c>
    </row>
    <row r="121" spans="3:17" x14ac:dyDescent="0.25">
      <c r="C121" s="17"/>
      <c r="D121" s="17" t="s">
        <v>367</v>
      </c>
      <c r="E121" s="17">
        <f t="shared" ref="E121:P121" si="110">E292+E462</f>
        <v>0</v>
      </c>
      <c r="F121" s="17">
        <f t="shared" si="110"/>
        <v>0</v>
      </c>
      <c r="G121" s="17">
        <f t="shared" si="110"/>
        <v>0</v>
      </c>
      <c r="H121" s="17">
        <f t="shared" si="110"/>
        <v>1.1702716033232672E-2</v>
      </c>
      <c r="I121" s="17">
        <f t="shared" si="110"/>
        <v>3.0826387634408696E-2</v>
      </c>
      <c r="J121" s="17">
        <f t="shared" si="110"/>
        <v>8.7098669354838718E-2</v>
      </c>
      <c r="K121" s="17">
        <f t="shared" si="110"/>
        <v>6.7487497222222123E-2</v>
      </c>
      <c r="L121" s="17">
        <f t="shared" si="110"/>
        <v>2.9815496774193494E-2</v>
      </c>
      <c r="M121" s="17">
        <f t="shared" si="110"/>
        <v>-7.3727999999999997E-3</v>
      </c>
      <c r="N121" s="17">
        <f t="shared" si="110"/>
        <v>-5.8894000000000004E-3</v>
      </c>
      <c r="O121" s="17">
        <f t="shared" si="110"/>
        <v>-7.1681000000000002E-3</v>
      </c>
      <c r="P121" s="17">
        <f t="shared" si="110"/>
        <v>1.5717999999999999E-3</v>
      </c>
      <c r="Q121" s="17">
        <f t="shared" si="105"/>
        <v>0.2080722670188957</v>
      </c>
    </row>
    <row r="122" spans="3:17" x14ac:dyDescent="0.25">
      <c r="C122" s="17"/>
      <c r="D122" s="17" t="s">
        <v>410</v>
      </c>
      <c r="E122" s="17">
        <f t="shared" ref="E122:P122" si="111">E293+E463</f>
        <v>88.140203225048353</v>
      </c>
      <c r="F122" s="17">
        <f t="shared" si="111"/>
        <v>86.056825714300018</v>
      </c>
      <c r="G122" s="17">
        <f t="shared" si="111"/>
        <v>81.263592312</v>
      </c>
      <c r="H122" s="17">
        <f t="shared" si="111"/>
        <v>47.927135055000015</v>
      </c>
      <c r="I122" s="17">
        <f t="shared" si="111"/>
        <v>65.293328426499968</v>
      </c>
      <c r="J122" s="17">
        <f t="shared" si="111"/>
        <v>66.012552460799981</v>
      </c>
      <c r="K122" s="17">
        <f t="shared" si="111"/>
        <v>69.101561093099974</v>
      </c>
      <c r="L122" s="17">
        <f t="shared" si="111"/>
        <v>81.336067478400025</v>
      </c>
      <c r="M122" s="17">
        <f t="shared" si="111"/>
        <v>71.139122812099941</v>
      </c>
      <c r="N122" s="17">
        <f t="shared" si="111"/>
        <v>78.291633890400036</v>
      </c>
      <c r="O122" s="17">
        <f t="shared" si="111"/>
        <v>96.752610666799981</v>
      </c>
      <c r="P122" s="17">
        <f t="shared" si="111"/>
        <v>95.996529187015028</v>
      </c>
      <c r="Q122" s="17">
        <f t="shared" si="105"/>
        <v>927.31116232146337</v>
      </c>
    </row>
    <row r="123" spans="3:17" x14ac:dyDescent="0.25">
      <c r="C123" s="17"/>
      <c r="D123" s="17" t="s">
        <v>411</v>
      </c>
      <c r="E123" s="17">
        <f t="shared" ref="E123:P123" si="112">E294+E464</f>
        <v>8.78331080305</v>
      </c>
      <c r="F123" s="17">
        <f t="shared" si="112"/>
        <v>11.424755546499998</v>
      </c>
      <c r="G123" s="17">
        <f t="shared" si="112"/>
        <v>9.2051756329499987</v>
      </c>
      <c r="H123" s="17">
        <f t="shared" si="112"/>
        <v>10.138652842499999</v>
      </c>
      <c r="I123" s="17">
        <f t="shared" si="112"/>
        <v>3.7343745015999996</v>
      </c>
      <c r="J123" s="17">
        <f t="shared" si="112"/>
        <v>10.280454091849998</v>
      </c>
      <c r="K123" s="17">
        <f t="shared" si="112"/>
        <v>9.4003275009999996</v>
      </c>
      <c r="L123" s="17">
        <f t="shared" si="112"/>
        <v>8.5910851164499995</v>
      </c>
      <c r="M123" s="17">
        <f t="shared" si="112"/>
        <v>10.821157623249999</v>
      </c>
      <c r="N123" s="17">
        <f t="shared" si="112"/>
        <v>8.4635393280799978</v>
      </c>
      <c r="O123" s="17">
        <f t="shared" si="112"/>
        <v>11.34701652875</v>
      </c>
      <c r="P123" s="17">
        <f t="shared" si="112"/>
        <v>13.651327302349999</v>
      </c>
      <c r="Q123" s="17">
        <f t="shared" si="105"/>
        <v>115.84117681833</v>
      </c>
    </row>
    <row r="124" spans="3:17" x14ac:dyDescent="0.25">
      <c r="C124" s="17"/>
      <c r="D124" s="17" t="s">
        <v>412</v>
      </c>
      <c r="E124" s="17">
        <f t="shared" ref="E124:P124" si="113">E295+E465</f>
        <v>3.6824002286499997</v>
      </c>
      <c r="F124" s="17">
        <f t="shared" si="113"/>
        <v>3.8467078747999994</v>
      </c>
      <c r="G124" s="17">
        <f t="shared" si="113"/>
        <v>4.5788619393499994</v>
      </c>
      <c r="H124" s="17">
        <f t="shared" si="113"/>
        <v>4.5766356371499999</v>
      </c>
      <c r="I124" s="17">
        <f t="shared" si="113"/>
        <v>8.2450281405759984</v>
      </c>
      <c r="J124" s="17">
        <f t="shared" si="113"/>
        <v>10.812680234599998</v>
      </c>
      <c r="K124" s="17">
        <f t="shared" si="113"/>
        <v>12.47922990695</v>
      </c>
      <c r="L124" s="17">
        <f t="shared" si="113"/>
        <v>11.36456937665</v>
      </c>
      <c r="M124" s="17">
        <f t="shared" si="113"/>
        <v>15.8870754426</v>
      </c>
      <c r="N124" s="17">
        <f t="shared" si="113"/>
        <v>21.482880780199999</v>
      </c>
      <c r="O124" s="17">
        <f t="shared" si="113"/>
        <v>22.04734913635</v>
      </c>
      <c r="P124" s="17">
        <f t="shared" si="113"/>
        <v>1.13799544395</v>
      </c>
      <c r="Q124" s="17">
        <f t="shared" si="105"/>
        <v>120.14141414182596</v>
      </c>
    </row>
    <row r="125" spans="3:17" x14ac:dyDescent="0.25">
      <c r="C125" s="17"/>
      <c r="D125" s="17" t="s">
        <v>413</v>
      </c>
      <c r="E125" s="17">
        <f t="shared" ref="E125:P125" si="114">E296+E466</f>
        <v>3.7773540951774991</v>
      </c>
      <c r="F125" s="17">
        <f t="shared" si="114"/>
        <v>4.2998203621500002</v>
      </c>
      <c r="G125" s="17">
        <f t="shared" si="114"/>
        <v>3.8439410767499997</v>
      </c>
      <c r="H125" s="17">
        <f t="shared" si="114"/>
        <v>3.5234281862499999</v>
      </c>
      <c r="I125" s="17">
        <f t="shared" si="114"/>
        <v>3.8573859441500002</v>
      </c>
      <c r="J125" s="17">
        <f t="shared" si="114"/>
        <v>4.6119432539299989</v>
      </c>
      <c r="K125" s="17">
        <f t="shared" si="114"/>
        <v>4.7367033962500003</v>
      </c>
      <c r="L125" s="17">
        <f t="shared" si="114"/>
        <v>3.9600695831000001</v>
      </c>
      <c r="M125" s="17">
        <f t="shared" si="114"/>
        <v>4.0045928882500004</v>
      </c>
      <c r="N125" s="17">
        <f t="shared" si="114"/>
        <v>4.3782768702499997</v>
      </c>
      <c r="O125" s="17">
        <f t="shared" si="114"/>
        <v>4.1590670630725004</v>
      </c>
      <c r="P125" s="17">
        <f t="shared" si="114"/>
        <v>4.7057000854499993</v>
      </c>
      <c r="Q125" s="17">
        <f t="shared" si="105"/>
        <v>49.858282804779996</v>
      </c>
    </row>
    <row r="126" spans="3:17" x14ac:dyDescent="0.25">
      <c r="C126" s="17"/>
      <c r="D126" s="17" t="s">
        <v>414</v>
      </c>
      <c r="E126" s="17">
        <f t="shared" ref="E126:P126" si="115">E297+E467</f>
        <v>0</v>
      </c>
      <c r="F126" s="17">
        <f t="shared" si="115"/>
        <v>0</v>
      </c>
      <c r="G126" s="17">
        <f t="shared" si="115"/>
        <v>0</v>
      </c>
      <c r="H126" s="17">
        <f t="shared" si="115"/>
        <v>0</v>
      </c>
      <c r="I126" s="17">
        <f t="shared" si="115"/>
        <v>0</v>
      </c>
      <c r="J126" s="17">
        <f t="shared" si="115"/>
        <v>0</v>
      </c>
      <c r="K126" s="17">
        <f t="shared" si="115"/>
        <v>0</v>
      </c>
      <c r="L126" s="17">
        <f t="shared" si="115"/>
        <v>0</v>
      </c>
      <c r="M126" s="17">
        <f t="shared" si="115"/>
        <v>0</v>
      </c>
      <c r="N126" s="17">
        <f t="shared" si="115"/>
        <v>0</v>
      </c>
      <c r="O126" s="17">
        <f t="shared" si="115"/>
        <v>0</v>
      </c>
      <c r="P126" s="17">
        <f t="shared" si="115"/>
        <v>0</v>
      </c>
      <c r="Q126" s="17">
        <f t="shared" si="105"/>
        <v>0</v>
      </c>
    </row>
    <row r="127" spans="3:17" x14ac:dyDescent="0.25">
      <c r="C127" s="17"/>
      <c r="D127" s="17" t="s">
        <v>415</v>
      </c>
      <c r="E127" s="17">
        <f t="shared" ref="E127:P127" si="116">E298+E468</f>
        <v>0</v>
      </c>
      <c r="F127" s="17">
        <f t="shared" si="116"/>
        <v>0</v>
      </c>
      <c r="G127" s="17">
        <f t="shared" si="116"/>
        <v>0</v>
      </c>
      <c r="H127" s="17">
        <f t="shared" si="116"/>
        <v>0</v>
      </c>
      <c r="I127" s="17">
        <f t="shared" si="116"/>
        <v>0</v>
      </c>
      <c r="J127" s="17">
        <f t="shared" si="116"/>
        <v>0</v>
      </c>
      <c r="K127" s="17">
        <f t="shared" si="116"/>
        <v>0</v>
      </c>
      <c r="L127" s="17">
        <f t="shared" si="116"/>
        <v>0</v>
      </c>
      <c r="M127" s="17">
        <f t="shared" si="116"/>
        <v>0</v>
      </c>
      <c r="N127" s="17">
        <f t="shared" si="116"/>
        <v>0</v>
      </c>
      <c r="O127" s="17">
        <f t="shared" si="116"/>
        <v>0</v>
      </c>
      <c r="P127" s="17">
        <f t="shared" si="116"/>
        <v>0</v>
      </c>
      <c r="Q127" s="17">
        <f t="shared" si="105"/>
        <v>0</v>
      </c>
    </row>
    <row r="128" spans="3:17" x14ac:dyDescent="0.25">
      <c r="C128" s="17"/>
      <c r="D128" s="17" t="s">
        <v>416</v>
      </c>
      <c r="E128" s="17">
        <f t="shared" ref="E128:P128" si="117">E299+E469</f>
        <v>0</v>
      </c>
      <c r="F128" s="17">
        <f t="shared" si="117"/>
        <v>0</v>
      </c>
      <c r="G128" s="17">
        <f t="shared" si="117"/>
        <v>0</v>
      </c>
      <c r="H128" s="17">
        <f t="shared" si="117"/>
        <v>0</v>
      </c>
      <c r="I128" s="17">
        <f t="shared" si="117"/>
        <v>0</v>
      </c>
      <c r="J128" s="17">
        <f t="shared" si="117"/>
        <v>0</v>
      </c>
      <c r="K128" s="17">
        <f t="shared" si="117"/>
        <v>0</v>
      </c>
      <c r="L128" s="17">
        <f t="shared" si="117"/>
        <v>0</v>
      </c>
      <c r="M128" s="17">
        <f t="shared" si="117"/>
        <v>0</v>
      </c>
      <c r="N128" s="17">
        <f t="shared" si="117"/>
        <v>0</v>
      </c>
      <c r="O128" s="17">
        <f t="shared" si="117"/>
        <v>0</v>
      </c>
      <c r="P128" s="17">
        <f t="shared" si="117"/>
        <v>0</v>
      </c>
      <c r="Q128" s="17">
        <f t="shared" si="105"/>
        <v>0</v>
      </c>
    </row>
    <row r="129" spans="3:20" x14ac:dyDescent="0.25">
      <c r="C129" s="17"/>
      <c r="D129" s="17" t="s">
        <v>417</v>
      </c>
      <c r="E129" s="17">
        <f t="shared" ref="E129:P129" si="118">E300+E470</f>
        <v>0</v>
      </c>
      <c r="F129" s="17">
        <f t="shared" si="118"/>
        <v>0</v>
      </c>
      <c r="G129" s="17">
        <f t="shared" si="118"/>
        <v>0</v>
      </c>
      <c r="H129" s="17">
        <f t="shared" si="118"/>
        <v>0</v>
      </c>
      <c r="I129" s="17">
        <f t="shared" si="118"/>
        <v>0</v>
      </c>
      <c r="J129" s="17">
        <f t="shared" si="118"/>
        <v>0</v>
      </c>
      <c r="K129" s="17">
        <f t="shared" si="118"/>
        <v>0</v>
      </c>
      <c r="L129" s="17">
        <f t="shared" si="118"/>
        <v>0</v>
      </c>
      <c r="M129" s="17">
        <f t="shared" si="118"/>
        <v>0</v>
      </c>
      <c r="N129" s="17">
        <f t="shared" si="118"/>
        <v>0</v>
      </c>
      <c r="O129" s="17">
        <f t="shared" si="118"/>
        <v>0</v>
      </c>
      <c r="P129" s="17">
        <f t="shared" si="118"/>
        <v>0</v>
      </c>
      <c r="Q129" s="17">
        <f t="shared" si="105"/>
        <v>0</v>
      </c>
    </row>
    <row r="130" spans="3:20" x14ac:dyDescent="0.25">
      <c r="C130" s="17"/>
      <c r="D130" s="327" t="s">
        <v>418</v>
      </c>
      <c r="E130" s="17">
        <f t="shared" ref="E130:P130" si="119">E301+E471</f>
        <v>1.2273657171124999</v>
      </c>
      <c r="F130" s="17">
        <f t="shared" si="119"/>
        <v>1.0282043508349998</v>
      </c>
      <c r="G130" s="17">
        <f t="shared" si="119"/>
        <v>1.2366133074894998</v>
      </c>
      <c r="H130" s="17">
        <f t="shared" si="119"/>
        <v>0.45184840176050001</v>
      </c>
      <c r="I130" s="17">
        <f t="shared" si="119"/>
        <v>0.78260728240150002</v>
      </c>
      <c r="J130" s="17">
        <f t="shared" si="119"/>
        <v>0.89486303467825001</v>
      </c>
      <c r="K130" s="17">
        <f t="shared" si="119"/>
        <v>0.73667043777124996</v>
      </c>
      <c r="L130" s="17">
        <f t="shared" si="119"/>
        <v>0.89530146463249993</v>
      </c>
      <c r="M130" s="17">
        <f t="shared" si="119"/>
        <v>0.70605892388125002</v>
      </c>
      <c r="N130" s="17">
        <f t="shared" si="119"/>
        <v>1.7232677059469999</v>
      </c>
      <c r="O130" s="17">
        <f t="shared" si="119"/>
        <v>1.575789807122</v>
      </c>
      <c r="P130" s="17">
        <f t="shared" si="119"/>
        <v>1.8311414730094999</v>
      </c>
      <c r="Q130" s="17">
        <f t="shared" si="105"/>
        <v>13.08973190664075</v>
      </c>
    </row>
    <row r="131" spans="3:20" x14ac:dyDescent="0.25">
      <c r="C131" s="17"/>
      <c r="D131" s="327" t="s">
        <v>419</v>
      </c>
      <c r="E131" s="17">
        <f t="shared" ref="E131:P131" si="120">E302+E472</f>
        <v>0</v>
      </c>
      <c r="F131" s="17">
        <f t="shared" si="120"/>
        <v>0</v>
      </c>
      <c r="G131" s="17">
        <f t="shared" si="120"/>
        <v>0</v>
      </c>
      <c r="H131" s="17">
        <f t="shared" si="120"/>
        <v>0</v>
      </c>
      <c r="I131" s="17">
        <f t="shared" si="120"/>
        <v>0</v>
      </c>
      <c r="J131" s="17">
        <f t="shared" si="120"/>
        <v>0</v>
      </c>
      <c r="K131" s="17">
        <f t="shared" si="120"/>
        <v>0</v>
      </c>
      <c r="L131" s="17">
        <f t="shared" si="120"/>
        <v>0</v>
      </c>
      <c r="M131" s="17">
        <f t="shared" si="120"/>
        <v>0</v>
      </c>
      <c r="N131" s="17">
        <f t="shared" si="120"/>
        <v>0</v>
      </c>
      <c r="O131" s="17">
        <f t="shared" si="120"/>
        <v>0</v>
      </c>
      <c r="P131" s="17">
        <f t="shared" si="120"/>
        <v>23.140718553549998</v>
      </c>
      <c r="Q131" s="17">
        <f t="shared" si="105"/>
        <v>23.140718553549998</v>
      </c>
    </row>
    <row r="132" spans="3:20" x14ac:dyDescent="0.25">
      <c r="C132" s="17"/>
      <c r="D132" s="17"/>
      <c r="E132" s="17">
        <f t="shared" ref="E132:P132" si="121">E303+E473</f>
        <v>0</v>
      </c>
      <c r="F132" s="17">
        <f t="shared" si="121"/>
        <v>0</v>
      </c>
      <c r="G132" s="17">
        <f t="shared" si="121"/>
        <v>0</v>
      </c>
      <c r="H132" s="17">
        <f t="shared" si="121"/>
        <v>0</v>
      </c>
      <c r="I132" s="17">
        <f t="shared" si="121"/>
        <v>0</v>
      </c>
      <c r="J132" s="17">
        <f t="shared" si="121"/>
        <v>0</v>
      </c>
      <c r="K132" s="17">
        <f t="shared" si="121"/>
        <v>0</v>
      </c>
      <c r="L132" s="17">
        <f t="shared" si="121"/>
        <v>0</v>
      </c>
      <c r="M132" s="17">
        <f t="shared" si="121"/>
        <v>0</v>
      </c>
      <c r="N132" s="17">
        <f t="shared" si="121"/>
        <v>0</v>
      </c>
      <c r="O132" s="17">
        <f t="shared" si="121"/>
        <v>0</v>
      </c>
      <c r="P132" s="17">
        <f t="shared" si="121"/>
        <v>0</v>
      </c>
      <c r="Q132" s="17">
        <f t="shared" si="105"/>
        <v>0</v>
      </c>
    </row>
    <row r="133" spans="3:20" x14ac:dyDescent="0.25">
      <c r="C133" s="17"/>
      <c r="D133" s="17"/>
      <c r="E133" s="17">
        <f t="shared" ref="E133:P133" si="122">E304+E474</f>
        <v>0</v>
      </c>
      <c r="F133" s="17">
        <f t="shared" si="122"/>
        <v>0</v>
      </c>
      <c r="G133" s="17">
        <f t="shared" si="122"/>
        <v>0</v>
      </c>
      <c r="H133" s="17">
        <f t="shared" si="122"/>
        <v>0</v>
      </c>
      <c r="I133" s="17">
        <f t="shared" si="122"/>
        <v>0</v>
      </c>
      <c r="J133" s="17">
        <f t="shared" si="122"/>
        <v>0</v>
      </c>
      <c r="K133" s="17">
        <f t="shared" si="122"/>
        <v>0</v>
      </c>
      <c r="L133" s="17">
        <f t="shared" si="122"/>
        <v>0</v>
      </c>
      <c r="M133" s="17">
        <f t="shared" si="122"/>
        <v>0</v>
      </c>
      <c r="N133" s="17">
        <f t="shared" si="122"/>
        <v>0</v>
      </c>
      <c r="O133" s="17">
        <f t="shared" si="122"/>
        <v>0</v>
      </c>
      <c r="P133" s="17">
        <f t="shared" si="122"/>
        <v>0</v>
      </c>
      <c r="Q133" s="17">
        <f t="shared" si="105"/>
        <v>0</v>
      </c>
    </row>
    <row r="134" spans="3:20" x14ac:dyDescent="0.25">
      <c r="C134" s="17"/>
      <c r="D134" s="17"/>
      <c r="E134" s="17">
        <f t="shared" ref="E134:P134" si="123">E305+E475</f>
        <v>0</v>
      </c>
      <c r="F134" s="17">
        <f t="shared" si="123"/>
        <v>0</v>
      </c>
      <c r="G134" s="17">
        <f t="shared" si="123"/>
        <v>0</v>
      </c>
      <c r="H134" s="17">
        <f t="shared" si="123"/>
        <v>0</v>
      </c>
      <c r="I134" s="17">
        <f t="shared" si="123"/>
        <v>0</v>
      </c>
      <c r="J134" s="17">
        <f t="shared" si="123"/>
        <v>0</v>
      </c>
      <c r="K134" s="17">
        <f t="shared" si="123"/>
        <v>0</v>
      </c>
      <c r="L134" s="17">
        <f t="shared" si="123"/>
        <v>0</v>
      </c>
      <c r="M134" s="17">
        <f t="shared" si="123"/>
        <v>0</v>
      </c>
      <c r="N134" s="17">
        <f t="shared" si="123"/>
        <v>0</v>
      </c>
      <c r="O134" s="17">
        <f t="shared" si="123"/>
        <v>0</v>
      </c>
      <c r="P134" s="17">
        <f t="shared" si="123"/>
        <v>0</v>
      </c>
      <c r="Q134" s="17">
        <f t="shared" si="105"/>
        <v>0</v>
      </c>
    </row>
    <row r="135" spans="3:20" x14ac:dyDescent="0.25">
      <c r="C135" s="17"/>
      <c r="D135" s="17"/>
      <c r="E135" s="17">
        <f t="shared" ref="E135:P135" si="124">E306+E476</f>
        <v>0</v>
      </c>
      <c r="F135" s="17">
        <f t="shared" si="124"/>
        <v>0</v>
      </c>
      <c r="G135" s="17">
        <f t="shared" si="124"/>
        <v>0</v>
      </c>
      <c r="H135" s="17">
        <f t="shared" si="124"/>
        <v>0</v>
      </c>
      <c r="I135" s="17">
        <f t="shared" si="124"/>
        <v>0</v>
      </c>
      <c r="J135" s="17">
        <f t="shared" si="124"/>
        <v>0</v>
      </c>
      <c r="K135" s="17">
        <f t="shared" si="124"/>
        <v>0</v>
      </c>
      <c r="L135" s="17">
        <f t="shared" si="124"/>
        <v>0</v>
      </c>
      <c r="M135" s="17">
        <f t="shared" si="124"/>
        <v>0</v>
      </c>
      <c r="N135" s="17">
        <f t="shared" si="124"/>
        <v>0</v>
      </c>
      <c r="O135" s="17">
        <f t="shared" si="124"/>
        <v>0</v>
      </c>
      <c r="P135" s="17">
        <f t="shared" si="124"/>
        <v>0</v>
      </c>
      <c r="Q135" s="17">
        <f t="shared" si="105"/>
        <v>0</v>
      </c>
    </row>
    <row r="136" spans="3:20" x14ac:dyDescent="0.25">
      <c r="C136" s="17"/>
      <c r="D136" s="17"/>
      <c r="E136" s="17">
        <f t="shared" ref="E136:P136" si="125">E307+E477</f>
        <v>0</v>
      </c>
      <c r="F136" s="17">
        <f t="shared" si="125"/>
        <v>0</v>
      </c>
      <c r="G136" s="17">
        <f t="shared" si="125"/>
        <v>0</v>
      </c>
      <c r="H136" s="17">
        <f t="shared" si="125"/>
        <v>0</v>
      </c>
      <c r="I136" s="17">
        <f t="shared" si="125"/>
        <v>0</v>
      </c>
      <c r="J136" s="17">
        <f t="shared" si="125"/>
        <v>0</v>
      </c>
      <c r="K136" s="17">
        <f t="shared" si="125"/>
        <v>0</v>
      </c>
      <c r="L136" s="17">
        <f t="shared" si="125"/>
        <v>0</v>
      </c>
      <c r="M136" s="17">
        <f t="shared" si="125"/>
        <v>0</v>
      </c>
      <c r="N136" s="17">
        <f t="shared" si="125"/>
        <v>0</v>
      </c>
      <c r="O136" s="17">
        <f t="shared" si="125"/>
        <v>0</v>
      </c>
      <c r="P136" s="17">
        <f t="shared" si="125"/>
        <v>0</v>
      </c>
      <c r="Q136" s="17">
        <f t="shared" si="105"/>
        <v>0</v>
      </c>
    </row>
    <row r="137" spans="3:20" x14ac:dyDescent="0.25">
      <c r="C137" s="17"/>
      <c r="D137" s="17"/>
      <c r="E137" s="17">
        <f t="shared" ref="E137:P137" si="126">E308+E478</f>
        <v>0</v>
      </c>
      <c r="F137" s="17">
        <f t="shared" si="126"/>
        <v>0</v>
      </c>
      <c r="G137" s="17">
        <f t="shared" si="126"/>
        <v>0</v>
      </c>
      <c r="H137" s="17">
        <f t="shared" si="126"/>
        <v>0</v>
      </c>
      <c r="I137" s="17">
        <f t="shared" si="126"/>
        <v>0</v>
      </c>
      <c r="J137" s="17">
        <f t="shared" si="126"/>
        <v>0</v>
      </c>
      <c r="K137" s="17">
        <f t="shared" si="126"/>
        <v>0</v>
      </c>
      <c r="L137" s="17">
        <f t="shared" si="126"/>
        <v>0</v>
      </c>
      <c r="M137" s="17">
        <f t="shared" si="126"/>
        <v>0</v>
      </c>
      <c r="N137" s="17">
        <f t="shared" si="126"/>
        <v>0</v>
      </c>
      <c r="O137" s="17">
        <f t="shared" si="126"/>
        <v>0</v>
      </c>
      <c r="P137" s="17">
        <f t="shared" si="126"/>
        <v>0</v>
      </c>
      <c r="Q137" s="17">
        <f t="shared" si="105"/>
        <v>0</v>
      </c>
    </row>
    <row r="138" spans="3:20" x14ac:dyDescent="0.25">
      <c r="C138" s="17"/>
      <c r="D138" s="17"/>
      <c r="E138" s="17">
        <f t="shared" ref="E138:P138" si="127">E309+E479</f>
        <v>0</v>
      </c>
      <c r="F138" s="17">
        <f t="shared" si="127"/>
        <v>0</v>
      </c>
      <c r="G138" s="17">
        <f t="shared" si="127"/>
        <v>0</v>
      </c>
      <c r="H138" s="17">
        <f t="shared" si="127"/>
        <v>0</v>
      </c>
      <c r="I138" s="17">
        <f t="shared" si="127"/>
        <v>0</v>
      </c>
      <c r="J138" s="17">
        <f t="shared" si="127"/>
        <v>0</v>
      </c>
      <c r="K138" s="17">
        <f t="shared" si="127"/>
        <v>0</v>
      </c>
      <c r="L138" s="17">
        <f t="shared" si="127"/>
        <v>0</v>
      </c>
      <c r="M138" s="17">
        <f t="shared" si="127"/>
        <v>0</v>
      </c>
      <c r="N138" s="17">
        <f t="shared" si="127"/>
        <v>0</v>
      </c>
      <c r="O138" s="17">
        <f t="shared" si="127"/>
        <v>0</v>
      </c>
      <c r="P138" s="17">
        <f t="shared" si="127"/>
        <v>0</v>
      </c>
      <c r="Q138" s="17">
        <f t="shared" si="105"/>
        <v>0</v>
      </c>
    </row>
    <row r="139" spans="3:20" x14ac:dyDescent="0.25">
      <c r="C139" s="17"/>
      <c r="D139" s="17"/>
      <c r="E139" s="17">
        <f t="shared" ref="E139:P139" si="128">E310+E480</f>
        <v>0</v>
      </c>
      <c r="F139" s="17">
        <f t="shared" si="128"/>
        <v>0</v>
      </c>
      <c r="G139" s="17">
        <f t="shared" si="128"/>
        <v>0</v>
      </c>
      <c r="H139" s="17">
        <f t="shared" si="128"/>
        <v>0</v>
      </c>
      <c r="I139" s="17">
        <f t="shared" si="128"/>
        <v>0</v>
      </c>
      <c r="J139" s="17">
        <f t="shared" si="128"/>
        <v>0</v>
      </c>
      <c r="K139" s="17">
        <f t="shared" si="128"/>
        <v>0</v>
      </c>
      <c r="L139" s="17">
        <f t="shared" si="128"/>
        <v>0</v>
      </c>
      <c r="M139" s="17">
        <f t="shared" si="128"/>
        <v>0</v>
      </c>
      <c r="N139" s="17">
        <f t="shared" si="128"/>
        <v>0</v>
      </c>
      <c r="O139" s="17">
        <f t="shared" si="128"/>
        <v>0</v>
      </c>
      <c r="P139" s="17">
        <f t="shared" si="128"/>
        <v>0</v>
      </c>
      <c r="Q139" s="17">
        <f t="shared" si="105"/>
        <v>0</v>
      </c>
    </row>
    <row r="140" spans="3:20" x14ac:dyDescent="0.25">
      <c r="C140" s="753" t="s">
        <v>420</v>
      </c>
      <c r="D140" s="754"/>
      <c r="E140" s="28">
        <f t="shared" ref="E140:P140" si="129">SUM(E116:E139)</f>
        <v>122.46195759585937</v>
      </c>
      <c r="F140" s="28">
        <f t="shared" si="129"/>
        <v>109.1251191144739</v>
      </c>
      <c r="G140" s="28">
        <f t="shared" si="129"/>
        <v>103.04211051174919</v>
      </c>
      <c r="H140" s="28">
        <f t="shared" si="129"/>
        <v>68.235739200927085</v>
      </c>
      <c r="I140" s="28">
        <f t="shared" si="129"/>
        <v>81.894004085161868</v>
      </c>
      <c r="J140" s="28">
        <f t="shared" si="129"/>
        <v>93.594318469713059</v>
      </c>
      <c r="K140" s="28">
        <f t="shared" si="129"/>
        <v>96.861947966015677</v>
      </c>
      <c r="L140" s="28">
        <f t="shared" si="129"/>
        <v>108.77967317994435</v>
      </c>
      <c r="M140" s="28">
        <f t="shared" si="129"/>
        <v>111.55440988357718</v>
      </c>
      <c r="N140" s="28">
        <f t="shared" si="129"/>
        <v>121.46171816381303</v>
      </c>
      <c r="O140" s="28">
        <f t="shared" si="129"/>
        <v>144.59763988640648</v>
      </c>
      <c r="P140" s="28">
        <f t="shared" si="129"/>
        <v>150.46213603178251</v>
      </c>
      <c r="Q140" s="28">
        <f t="shared" si="105"/>
        <v>1312.0707740894236</v>
      </c>
    </row>
    <row r="141" spans="3:20" x14ac:dyDescent="0.25">
      <c r="C141" s="800" t="s">
        <v>421</v>
      </c>
      <c r="D141" s="801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</row>
    <row r="142" spans="3:20" x14ac:dyDescent="0.25">
      <c r="C142" s="17"/>
      <c r="D142" s="17" t="s">
        <v>422</v>
      </c>
      <c r="E142" s="17">
        <f t="shared" ref="E142:P142" si="130">E313+E483</f>
        <v>405.21333536217759</v>
      </c>
      <c r="F142" s="17">
        <f t="shared" si="130"/>
        <v>61.248794249015774</v>
      </c>
      <c r="G142" s="17">
        <f t="shared" si="130"/>
        <v>82.528528999537954</v>
      </c>
      <c r="H142" s="17">
        <f t="shared" si="130"/>
        <v>74.765531897010163</v>
      </c>
      <c r="I142" s="17">
        <f t="shared" si="130"/>
        <v>62.804454978485801</v>
      </c>
      <c r="J142" s="17">
        <f t="shared" si="130"/>
        <v>66.248001902326081</v>
      </c>
      <c r="K142" s="17">
        <f t="shared" si="130"/>
        <v>12.306252502050173</v>
      </c>
      <c r="L142" s="17">
        <f t="shared" si="130"/>
        <v>38.033048793944488</v>
      </c>
      <c r="M142" s="17">
        <f t="shared" si="130"/>
        <v>155.57970671796366</v>
      </c>
      <c r="N142" s="17">
        <f t="shared" si="130"/>
        <v>222.42758568916062</v>
      </c>
      <c r="O142" s="17">
        <f t="shared" si="130"/>
        <v>306.39139253281462</v>
      </c>
      <c r="P142" s="17">
        <f t="shared" si="130"/>
        <v>321.65379864466689</v>
      </c>
      <c r="Q142" s="17">
        <f t="shared" ref="Q142:Q163" si="131">SUM(E142:P142)</f>
        <v>1809.2004322691537</v>
      </c>
    </row>
    <row r="143" spans="3:20" x14ac:dyDescent="0.25">
      <c r="C143" s="17"/>
      <c r="D143" s="17"/>
      <c r="E143" s="17">
        <f t="shared" ref="E143:P143" si="132">E314+E499</f>
        <v>0</v>
      </c>
      <c r="F143" s="17">
        <f t="shared" si="132"/>
        <v>0</v>
      </c>
      <c r="G143" s="17">
        <f t="shared" si="132"/>
        <v>0</v>
      </c>
      <c r="H143" s="17">
        <f t="shared" si="132"/>
        <v>0</v>
      </c>
      <c r="I143" s="17">
        <f t="shared" si="132"/>
        <v>0</v>
      </c>
      <c r="J143" s="17">
        <f t="shared" si="132"/>
        <v>0</v>
      </c>
      <c r="K143" s="17">
        <f t="shared" si="132"/>
        <v>0</v>
      </c>
      <c r="L143" s="17">
        <f t="shared" si="132"/>
        <v>0</v>
      </c>
      <c r="M143" s="17">
        <f t="shared" si="132"/>
        <v>0</v>
      </c>
      <c r="N143" s="17">
        <f t="shared" si="132"/>
        <v>0</v>
      </c>
      <c r="O143" s="17">
        <f t="shared" si="132"/>
        <v>0</v>
      </c>
      <c r="P143" s="17">
        <f t="shared" si="132"/>
        <v>0</v>
      </c>
      <c r="Q143" s="17">
        <f t="shared" si="131"/>
        <v>0</v>
      </c>
    </row>
    <row r="144" spans="3:20" x14ac:dyDescent="0.25">
      <c r="C144" s="17"/>
      <c r="D144" s="17"/>
      <c r="E144" s="17">
        <f>E315+E500</f>
        <v>0</v>
      </c>
      <c r="F144" s="17">
        <f t="shared" ref="F144:P144" si="133">F330+F500</f>
        <v>0</v>
      </c>
      <c r="G144" s="17">
        <f t="shared" si="133"/>
        <v>0</v>
      </c>
      <c r="H144" s="17">
        <f t="shared" si="133"/>
        <v>0</v>
      </c>
      <c r="I144" s="17">
        <f t="shared" si="133"/>
        <v>0</v>
      </c>
      <c r="J144" s="17">
        <f t="shared" si="133"/>
        <v>0</v>
      </c>
      <c r="K144" s="17">
        <f t="shared" si="133"/>
        <v>0</v>
      </c>
      <c r="L144" s="17">
        <f t="shared" si="133"/>
        <v>0</v>
      </c>
      <c r="M144" s="17">
        <f t="shared" si="133"/>
        <v>0</v>
      </c>
      <c r="N144" s="17">
        <f t="shared" si="133"/>
        <v>0</v>
      </c>
      <c r="O144" s="17">
        <f t="shared" si="133"/>
        <v>0</v>
      </c>
      <c r="P144" s="17">
        <f t="shared" si="133"/>
        <v>0</v>
      </c>
      <c r="Q144" s="17">
        <f t="shared" si="131"/>
        <v>0</v>
      </c>
      <c r="T144" s="325"/>
    </row>
    <row r="145" spans="3:17" x14ac:dyDescent="0.25">
      <c r="C145" s="17"/>
      <c r="D145" s="17"/>
      <c r="E145" s="17">
        <f>E316+E501</f>
        <v>0</v>
      </c>
      <c r="F145" s="17">
        <f t="shared" ref="F145:P145" si="134">F331+F501</f>
        <v>0</v>
      </c>
      <c r="G145" s="17">
        <f t="shared" si="134"/>
        <v>0</v>
      </c>
      <c r="H145" s="17">
        <f t="shared" si="134"/>
        <v>0</v>
      </c>
      <c r="I145" s="17">
        <f t="shared" si="134"/>
        <v>0</v>
      </c>
      <c r="J145" s="17">
        <f t="shared" si="134"/>
        <v>0</v>
      </c>
      <c r="K145" s="17">
        <f t="shared" si="134"/>
        <v>0</v>
      </c>
      <c r="L145" s="17">
        <f t="shared" si="134"/>
        <v>0</v>
      </c>
      <c r="M145" s="17">
        <f t="shared" si="134"/>
        <v>0</v>
      </c>
      <c r="N145" s="17">
        <f t="shared" si="134"/>
        <v>0</v>
      </c>
      <c r="O145" s="17">
        <f t="shared" si="134"/>
        <v>0</v>
      </c>
      <c r="P145" s="17">
        <f t="shared" si="134"/>
        <v>0</v>
      </c>
      <c r="Q145" s="17">
        <f t="shared" si="131"/>
        <v>0</v>
      </c>
    </row>
    <row r="146" spans="3:17" x14ac:dyDescent="0.25">
      <c r="C146" s="17"/>
      <c r="D146" s="17"/>
      <c r="E146" s="17">
        <f>E317+E502</f>
        <v>0</v>
      </c>
      <c r="F146" s="17">
        <f t="shared" ref="F146:P146" si="135">F332+F502</f>
        <v>0</v>
      </c>
      <c r="G146" s="17">
        <f t="shared" si="135"/>
        <v>0</v>
      </c>
      <c r="H146" s="17">
        <f t="shared" si="135"/>
        <v>0</v>
      </c>
      <c r="I146" s="17">
        <f t="shared" si="135"/>
        <v>0</v>
      </c>
      <c r="J146" s="17">
        <f t="shared" si="135"/>
        <v>0</v>
      </c>
      <c r="K146" s="17">
        <f t="shared" si="135"/>
        <v>0</v>
      </c>
      <c r="L146" s="17">
        <f t="shared" si="135"/>
        <v>0</v>
      </c>
      <c r="M146" s="17">
        <f t="shared" si="135"/>
        <v>0</v>
      </c>
      <c r="N146" s="17">
        <f t="shared" si="135"/>
        <v>0</v>
      </c>
      <c r="O146" s="17">
        <f t="shared" si="135"/>
        <v>0</v>
      </c>
      <c r="P146" s="17">
        <f t="shared" si="135"/>
        <v>0</v>
      </c>
      <c r="Q146" s="17">
        <f t="shared" si="131"/>
        <v>0</v>
      </c>
    </row>
    <row r="147" spans="3:17" x14ac:dyDescent="0.25">
      <c r="C147" s="17"/>
      <c r="D147" s="325" t="s">
        <v>629</v>
      </c>
      <c r="E147" s="17">
        <f t="shared" ref="E147:P147" si="136">E318+E488</f>
        <v>35.043421006699994</v>
      </c>
      <c r="F147" s="17">
        <f t="shared" si="136"/>
        <v>30.179859261649995</v>
      </c>
      <c r="G147" s="17">
        <f t="shared" si="136"/>
        <v>30.331190648799996</v>
      </c>
      <c r="H147" s="17">
        <f t="shared" si="136"/>
        <v>33.71490544345</v>
      </c>
      <c r="I147" s="17">
        <f t="shared" si="136"/>
        <v>30.264954035350002</v>
      </c>
      <c r="J147" s="17">
        <f t="shared" si="136"/>
        <v>31.671886997099996</v>
      </c>
      <c r="K147" s="17">
        <f t="shared" si="136"/>
        <v>30.788079656899999</v>
      </c>
      <c r="L147" s="17">
        <f t="shared" si="136"/>
        <v>35.829503233899999</v>
      </c>
      <c r="M147" s="17">
        <f t="shared" si="136"/>
        <v>31.897822155</v>
      </c>
      <c r="N147" s="17">
        <f t="shared" si="136"/>
        <v>35.983543402599999</v>
      </c>
      <c r="O147" s="17">
        <f t="shared" si="136"/>
        <v>45.92414967765</v>
      </c>
      <c r="P147" s="17">
        <f t="shared" si="136"/>
        <v>343.28332672324996</v>
      </c>
      <c r="Q147" s="17">
        <f t="shared" si="131"/>
        <v>714.91264224234988</v>
      </c>
    </row>
    <row r="148" spans="3:17" x14ac:dyDescent="0.25">
      <c r="C148" s="17"/>
      <c r="D148" s="325" t="s">
        <v>630</v>
      </c>
      <c r="E148" s="17">
        <f t="shared" ref="E148:P148" si="137">E319+E489</f>
        <v>1.7591574649999997E-2</v>
      </c>
      <c r="F148" s="17">
        <f t="shared" si="137"/>
        <v>1.7591574649999997E-2</v>
      </c>
      <c r="G148" s="17">
        <f t="shared" si="137"/>
        <v>1.7591574649999997E-2</v>
      </c>
      <c r="H148" s="17">
        <f t="shared" si="137"/>
        <v>1.7591574649999997E-2</v>
      </c>
      <c r="I148" s="17">
        <f t="shared" si="137"/>
        <v>0.44843833059999999</v>
      </c>
      <c r="J148" s="17">
        <f t="shared" si="137"/>
        <v>1.7591574649999997E-2</v>
      </c>
      <c r="K148" s="17">
        <f t="shared" si="137"/>
        <v>1.7591574649999997E-2</v>
      </c>
      <c r="L148" s="17">
        <f t="shared" si="137"/>
        <v>1.7591574649999997E-2</v>
      </c>
      <c r="M148" s="17">
        <f t="shared" si="137"/>
        <v>1.7591574649999997E-2</v>
      </c>
      <c r="N148" s="17">
        <f t="shared" si="137"/>
        <v>1.7591574649999997E-2</v>
      </c>
      <c r="O148" s="17">
        <f t="shared" si="137"/>
        <v>0.75486340129999996</v>
      </c>
      <c r="P148" s="17">
        <f t="shared" si="137"/>
        <v>1.7591574649999997E-2</v>
      </c>
      <c r="Q148" s="17">
        <f t="shared" si="131"/>
        <v>1.3792174783999995</v>
      </c>
    </row>
    <row r="149" spans="3:17" x14ac:dyDescent="0.25">
      <c r="C149" s="17"/>
      <c r="D149" s="326" t="s">
        <v>631</v>
      </c>
      <c r="E149" s="17">
        <f t="shared" ref="E149:P149" si="138">E320+E490</f>
        <v>0.55678894469999995</v>
      </c>
      <c r="F149" s="17">
        <f t="shared" si="138"/>
        <v>3.2869019038142855</v>
      </c>
      <c r="G149" s="17">
        <f t="shared" si="138"/>
        <v>4.1092839780357142</v>
      </c>
      <c r="H149" s="17">
        <f t="shared" si="138"/>
        <v>1.8297997689999999</v>
      </c>
      <c r="I149" s="17">
        <f t="shared" si="138"/>
        <v>5.2285543420785707</v>
      </c>
      <c r="J149" s="17">
        <f t="shared" si="138"/>
        <v>4.2455663268357142</v>
      </c>
      <c r="K149" s="17">
        <f t="shared" si="138"/>
        <v>2.7620111670642857</v>
      </c>
      <c r="L149" s="17">
        <f t="shared" si="138"/>
        <v>0.68764237532142847</v>
      </c>
      <c r="M149" s="17">
        <f t="shared" si="138"/>
        <v>1.5903471200000002E-2</v>
      </c>
      <c r="N149" s="17">
        <f t="shared" si="138"/>
        <v>2.5386758173000001</v>
      </c>
      <c r="O149" s="17">
        <f t="shared" si="138"/>
        <v>10.775346637885713</v>
      </c>
      <c r="P149" s="17">
        <f t="shared" si="138"/>
        <v>-3.825566977735714</v>
      </c>
      <c r="Q149" s="17">
        <f t="shared" si="131"/>
        <v>32.210907755500003</v>
      </c>
    </row>
    <row r="150" spans="3:17" x14ac:dyDescent="0.25">
      <c r="C150" s="17"/>
      <c r="D150" s="325" t="s">
        <v>632</v>
      </c>
      <c r="E150" s="17">
        <f t="shared" ref="E150:P150" si="139">E321+E491</f>
        <v>0.2845437249071428</v>
      </c>
      <c r="F150" s="17">
        <f t="shared" si="139"/>
        <v>1.3713356865499999</v>
      </c>
      <c r="G150" s="17">
        <f t="shared" si="139"/>
        <v>1.3738670402642856</v>
      </c>
      <c r="H150" s="17">
        <f t="shared" si="139"/>
        <v>1.3420171092785713</v>
      </c>
      <c r="I150" s="17">
        <f t="shared" si="139"/>
        <v>0.8755637593071427</v>
      </c>
      <c r="J150" s="17">
        <f t="shared" si="139"/>
        <v>0.55022268014285713</v>
      </c>
      <c r="K150" s="17">
        <f t="shared" si="139"/>
        <v>0.76581621390714283</v>
      </c>
      <c r="L150" s="17">
        <f t="shared" si="139"/>
        <v>0.8263229385928571</v>
      </c>
      <c r="M150" s="17">
        <f t="shared" si="139"/>
        <v>0.65872445688571413</v>
      </c>
      <c r="N150" s="17">
        <f t="shared" si="139"/>
        <v>0.79042974979285696</v>
      </c>
      <c r="O150" s="17">
        <f t="shared" si="139"/>
        <v>0.45710355134999991</v>
      </c>
      <c r="P150" s="17">
        <f t="shared" si="139"/>
        <v>0.28993007942142857</v>
      </c>
      <c r="Q150" s="17">
        <f t="shared" si="131"/>
        <v>9.5858769903999992</v>
      </c>
    </row>
    <row r="151" spans="3:17" x14ac:dyDescent="0.25">
      <c r="C151" s="17"/>
      <c r="D151" s="325" t="s">
        <v>633</v>
      </c>
      <c r="E151" s="17">
        <f t="shared" ref="E151:P151" si="140">E322+E492</f>
        <v>0</v>
      </c>
      <c r="F151" s="17">
        <f t="shared" si="140"/>
        <v>0</v>
      </c>
      <c r="G151" s="17">
        <f t="shared" si="140"/>
        <v>0</v>
      </c>
      <c r="H151" s="17">
        <f t="shared" si="140"/>
        <v>0</v>
      </c>
      <c r="I151" s="17">
        <f t="shared" si="140"/>
        <v>0</v>
      </c>
      <c r="J151" s="17">
        <f t="shared" si="140"/>
        <v>0</v>
      </c>
      <c r="K151" s="17">
        <f t="shared" si="140"/>
        <v>0</v>
      </c>
      <c r="L151" s="17">
        <f t="shared" si="140"/>
        <v>0</v>
      </c>
      <c r="M151" s="17">
        <f t="shared" si="140"/>
        <v>0</v>
      </c>
      <c r="N151" s="17">
        <f t="shared" si="140"/>
        <v>0</v>
      </c>
      <c r="O151" s="17">
        <f t="shared" si="140"/>
        <v>-2.0309847640499998</v>
      </c>
      <c r="P151" s="17">
        <f t="shared" si="140"/>
        <v>-0.83329723290000002</v>
      </c>
      <c r="Q151" s="17">
        <f t="shared" si="131"/>
        <v>-2.86428199695</v>
      </c>
    </row>
    <row r="152" spans="3:17" x14ac:dyDescent="0.25">
      <c r="C152" s="17"/>
      <c r="D152" s="325" t="s">
        <v>634</v>
      </c>
      <c r="E152" s="17">
        <f t="shared" ref="E152:P152" si="141">E323+E493</f>
        <v>7.6048204899999999E-2</v>
      </c>
      <c r="F152" s="17">
        <f t="shared" si="141"/>
        <v>7.6456959450981257E-2</v>
      </c>
      <c r="G152" s="17">
        <f t="shared" si="141"/>
        <v>9.2770415549999999E-2</v>
      </c>
      <c r="H152" s="17">
        <f t="shared" si="141"/>
        <v>8.1072257100000003E-2</v>
      </c>
      <c r="I152" s="17">
        <f t="shared" si="141"/>
        <v>8.2238212049999995E-2</v>
      </c>
      <c r="J152" s="17">
        <f t="shared" si="141"/>
        <v>8.3416535999999999E-2</v>
      </c>
      <c r="K152" s="17">
        <f t="shared" si="141"/>
        <v>8.3493341599999993E-2</v>
      </c>
      <c r="L152" s="17">
        <f t="shared" si="141"/>
        <v>8.3453377949999991E-2</v>
      </c>
      <c r="M152" s="17">
        <f t="shared" si="141"/>
        <v>7.9411742765805121E-2</v>
      </c>
      <c r="N152" s="17">
        <f t="shared" si="141"/>
        <v>8.3836658410605655E-2</v>
      </c>
      <c r="O152" s="17">
        <f t="shared" si="141"/>
        <v>8.3836658410605655E-2</v>
      </c>
      <c r="P152" s="17">
        <f t="shared" si="141"/>
        <v>0.29875723309999996</v>
      </c>
      <c r="Q152" s="17">
        <f t="shared" si="131"/>
        <v>1.2047915972879975</v>
      </c>
    </row>
    <row r="153" spans="3:17" x14ac:dyDescent="0.25">
      <c r="C153" s="17"/>
      <c r="D153" s="325" t="s">
        <v>635</v>
      </c>
      <c r="E153" s="17">
        <f t="shared" ref="E153:P153" si="142">E324+E494</f>
        <v>83.785994700000003</v>
      </c>
      <c r="F153" s="17">
        <f t="shared" si="142"/>
        <v>83.785994700000003</v>
      </c>
      <c r="G153" s="17">
        <f t="shared" si="142"/>
        <v>83.785994700000003</v>
      </c>
      <c r="H153" s="17">
        <f t="shared" si="142"/>
        <v>83.785994700000003</v>
      </c>
      <c r="I153" s="17">
        <f t="shared" si="142"/>
        <v>83.785994700000003</v>
      </c>
      <c r="J153" s="17">
        <f t="shared" si="142"/>
        <v>83.785994700000003</v>
      </c>
      <c r="K153" s="17">
        <f t="shared" si="142"/>
        <v>83.785994700000003</v>
      </c>
      <c r="L153" s="17">
        <f t="shared" si="142"/>
        <v>83.785994700000003</v>
      </c>
      <c r="M153" s="17">
        <f t="shared" si="142"/>
        <v>83.785994700000003</v>
      </c>
      <c r="N153" s="17">
        <f t="shared" si="142"/>
        <v>83.785994700000003</v>
      </c>
      <c r="O153" s="17">
        <f t="shared" si="142"/>
        <v>83.785994700000003</v>
      </c>
      <c r="P153" s="17">
        <f t="shared" si="142"/>
        <v>84.302728200000004</v>
      </c>
      <c r="Q153" s="17">
        <f t="shared" si="131"/>
        <v>1005.9486698999999</v>
      </c>
    </row>
    <row r="154" spans="3:17" x14ac:dyDescent="0.25">
      <c r="C154" s="17"/>
      <c r="D154" s="325" t="s">
        <v>636</v>
      </c>
      <c r="E154" s="17">
        <f t="shared" ref="E154:P154" si="143">E325+E495</f>
        <v>1.9007908</v>
      </c>
      <c r="F154" s="17">
        <f t="shared" si="143"/>
        <v>0.94393260000000001</v>
      </c>
      <c r="G154" s="17">
        <f t="shared" si="143"/>
        <v>0.94393260000000001</v>
      </c>
      <c r="H154" s="17">
        <f t="shared" si="143"/>
        <v>0.94393260000000001</v>
      </c>
      <c r="I154" s="17">
        <f t="shared" si="143"/>
        <v>0.94393260000000001</v>
      </c>
      <c r="J154" s="17">
        <f t="shared" si="143"/>
        <v>1.895562</v>
      </c>
      <c r="K154" s="17">
        <f t="shared" si="143"/>
        <v>0.94393260000000001</v>
      </c>
      <c r="L154" s="17">
        <f t="shared" si="143"/>
        <v>0.94393260000000001</v>
      </c>
      <c r="M154" s="17">
        <f t="shared" si="143"/>
        <v>0.94393260000000001</v>
      </c>
      <c r="N154" s="17">
        <f t="shared" si="143"/>
        <v>0.94393260000000001</v>
      </c>
      <c r="O154" s="17">
        <f t="shared" si="143"/>
        <v>0.94393260000000001</v>
      </c>
      <c r="P154" s="17">
        <f t="shared" si="143"/>
        <v>0.94393260000000001</v>
      </c>
      <c r="Q154" s="17">
        <f t="shared" si="131"/>
        <v>13.235678800000001</v>
      </c>
    </row>
    <row r="155" spans="3:17" x14ac:dyDescent="0.25">
      <c r="C155" s="17"/>
      <c r="D155" s="325" t="s">
        <v>637</v>
      </c>
      <c r="E155" s="17">
        <f t="shared" ref="E155:P155" si="144">E326+E496</f>
        <v>0</v>
      </c>
      <c r="F155" s="17">
        <f t="shared" si="144"/>
        <v>0</v>
      </c>
      <c r="G155" s="17">
        <f t="shared" si="144"/>
        <v>0</v>
      </c>
      <c r="H155" s="17">
        <f t="shared" si="144"/>
        <v>0</v>
      </c>
      <c r="I155" s="17">
        <f t="shared" si="144"/>
        <v>0</v>
      </c>
      <c r="J155" s="17">
        <f t="shared" si="144"/>
        <v>0</v>
      </c>
      <c r="K155" s="17">
        <f t="shared" si="144"/>
        <v>0</v>
      </c>
      <c r="L155" s="17">
        <f t="shared" si="144"/>
        <v>0</v>
      </c>
      <c r="M155" s="17">
        <f t="shared" si="144"/>
        <v>0</v>
      </c>
      <c r="N155" s="17">
        <f t="shared" si="144"/>
        <v>0</v>
      </c>
      <c r="O155" s="17">
        <f t="shared" si="144"/>
        <v>0</v>
      </c>
      <c r="P155" s="17">
        <f t="shared" si="144"/>
        <v>-2.6582839884</v>
      </c>
      <c r="Q155" s="17">
        <f t="shared" si="131"/>
        <v>-2.6582839884</v>
      </c>
    </row>
    <row r="156" spans="3:17" x14ac:dyDescent="0.25">
      <c r="C156" s="17"/>
      <c r="D156" s="325" t="s">
        <v>638</v>
      </c>
      <c r="E156" s="17">
        <f t="shared" ref="E156:P156" si="145">E327+E497</f>
        <v>1.0757496106367932</v>
      </c>
      <c r="F156" s="17">
        <f t="shared" si="145"/>
        <v>0.3747040163455817</v>
      </c>
      <c r="G156" s="17">
        <f t="shared" si="145"/>
        <v>0.36706835560555046</v>
      </c>
      <c r="H156" s="17">
        <f t="shared" si="145"/>
        <v>0.49412513235724947</v>
      </c>
      <c r="I156" s="17">
        <f t="shared" si="145"/>
        <v>0.69495715628696508</v>
      </c>
      <c r="J156" s="17">
        <f t="shared" si="145"/>
        <v>0.83615748740619267</v>
      </c>
      <c r="K156" s="17">
        <f t="shared" si="145"/>
        <v>0.64381424335756232</v>
      </c>
      <c r="L156" s="17">
        <f t="shared" si="145"/>
        <v>0.3446922661321824</v>
      </c>
      <c r="M156" s="17">
        <f t="shared" si="145"/>
        <v>0.65234802726343966</v>
      </c>
      <c r="N156" s="17">
        <f t="shared" si="145"/>
        <v>0.814559318909574</v>
      </c>
      <c r="O156" s="17">
        <f t="shared" si="145"/>
        <v>1.1042024315404997</v>
      </c>
      <c r="P156" s="17">
        <f t="shared" si="145"/>
        <v>14.665182789056196</v>
      </c>
      <c r="Q156" s="17">
        <f t="shared" si="131"/>
        <v>22.067560834897787</v>
      </c>
    </row>
    <row r="157" spans="3:17" x14ac:dyDescent="0.25">
      <c r="C157" s="17"/>
      <c r="D157" s="325" t="s">
        <v>639</v>
      </c>
      <c r="E157" s="17">
        <f t="shared" ref="E157:P157" si="146">E328+E498</f>
        <v>1.29608272E-2</v>
      </c>
      <c r="F157" s="17">
        <f t="shared" si="146"/>
        <v>1.2939269799999998E-2</v>
      </c>
      <c r="G157" s="17">
        <f t="shared" si="146"/>
        <v>1.4724646599999999E-2</v>
      </c>
      <c r="H157" s="17">
        <f t="shared" si="146"/>
        <v>1.2917830199999999E-2</v>
      </c>
      <c r="I157" s="17">
        <f t="shared" si="146"/>
        <v>1.2893121649999999E-2</v>
      </c>
      <c r="J157" s="17">
        <f t="shared" si="146"/>
        <v>1.288681935E-2</v>
      </c>
      <c r="K157" s="17">
        <f t="shared" si="146"/>
        <v>1.2882372399999998E-2</v>
      </c>
      <c r="L157" s="17">
        <f t="shared" si="146"/>
        <v>1.2882372399999998E-2</v>
      </c>
      <c r="M157" s="17">
        <f t="shared" si="146"/>
        <v>1.28698267E-2</v>
      </c>
      <c r="N157" s="17">
        <f t="shared" si="146"/>
        <v>1.2761480149999999E-2</v>
      </c>
      <c r="O157" s="17">
        <f t="shared" si="146"/>
        <v>1.28416725E-2</v>
      </c>
      <c r="P157" s="17">
        <f t="shared" si="146"/>
        <v>4.7506030599999999E-2</v>
      </c>
      <c r="Q157" s="17">
        <f t="shared" si="131"/>
        <v>0.19106626955</v>
      </c>
    </row>
    <row r="158" spans="3:17" x14ac:dyDescent="0.25">
      <c r="C158" s="17"/>
      <c r="D158" s="17"/>
      <c r="E158" s="17">
        <f t="shared" ref="E158:P158" si="147">E329+E499</f>
        <v>0</v>
      </c>
      <c r="F158" s="17">
        <f t="shared" si="147"/>
        <v>0</v>
      </c>
      <c r="G158" s="17">
        <f t="shared" si="147"/>
        <v>0</v>
      </c>
      <c r="H158" s="17">
        <f t="shared" si="147"/>
        <v>0</v>
      </c>
      <c r="I158" s="17">
        <f t="shared" si="147"/>
        <v>0</v>
      </c>
      <c r="J158" s="17">
        <f t="shared" si="147"/>
        <v>0</v>
      </c>
      <c r="K158" s="17">
        <f t="shared" si="147"/>
        <v>0</v>
      </c>
      <c r="L158" s="17">
        <f t="shared" si="147"/>
        <v>0</v>
      </c>
      <c r="M158" s="17">
        <f t="shared" si="147"/>
        <v>0</v>
      </c>
      <c r="N158" s="17">
        <f t="shared" si="147"/>
        <v>0</v>
      </c>
      <c r="O158" s="17">
        <f t="shared" si="147"/>
        <v>0</v>
      </c>
      <c r="P158" s="17">
        <f t="shared" si="147"/>
        <v>0</v>
      </c>
      <c r="Q158" s="17">
        <f t="shared" si="131"/>
        <v>0</v>
      </c>
    </row>
    <row r="159" spans="3:17" x14ac:dyDescent="0.25">
      <c r="C159" s="123"/>
      <c r="D159" s="325"/>
      <c r="E159" s="17">
        <f t="shared" ref="E159:P159" si="148">E330+E500</f>
        <v>0</v>
      </c>
      <c r="F159" s="17">
        <f t="shared" si="148"/>
        <v>0</v>
      </c>
      <c r="G159" s="17">
        <f t="shared" si="148"/>
        <v>0</v>
      </c>
      <c r="H159" s="17">
        <f t="shared" si="148"/>
        <v>0</v>
      </c>
      <c r="I159" s="17">
        <f t="shared" si="148"/>
        <v>0</v>
      </c>
      <c r="J159" s="17">
        <f t="shared" si="148"/>
        <v>0</v>
      </c>
      <c r="K159" s="17">
        <f t="shared" si="148"/>
        <v>0</v>
      </c>
      <c r="L159" s="17">
        <f t="shared" si="148"/>
        <v>0</v>
      </c>
      <c r="M159" s="17">
        <f t="shared" si="148"/>
        <v>0</v>
      </c>
      <c r="N159" s="17">
        <f t="shared" si="148"/>
        <v>0</v>
      </c>
      <c r="O159" s="17">
        <f t="shared" si="148"/>
        <v>0</v>
      </c>
      <c r="P159" s="17">
        <f t="shared" si="148"/>
        <v>0</v>
      </c>
      <c r="Q159" s="17">
        <f t="shared" si="131"/>
        <v>0</v>
      </c>
    </row>
    <row r="160" spans="3:17" x14ac:dyDescent="0.25">
      <c r="C160" s="17"/>
      <c r="D160" s="325"/>
      <c r="E160" s="17">
        <f t="shared" ref="E160:P160" si="149">E331+E501</f>
        <v>0</v>
      </c>
      <c r="F160" s="17">
        <f t="shared" si="149"/>
        <v>0</v>
      </c>
      <c r="G160" s="17">
        <f t="shared" si="149"/>
        <v>0</v>
      </c>
      <c r="H160" s="17">
        <f t="shared" si="149"/>
        <v>0</v>
      </c>
      <c r="I160" s="17">
        <f t="shared" si="149"/>
        <v>0</v>
      </c>
      <c r="J160" s="17">
        <f t="shared" si="149"/>
        <v>0</v>
      </c>
      <c r="K160" s="17">
        <f t="shared" si="149"/>
        <v>0</v>
      </c>
      <c r="L160" s="17">
        <f t="shared" si="149"/>
        <v>0</v>
      </c>
      <c r="M160" s="17">
        <f t="shared" si="149"/>
        <v>0</v>
      </c>
      <c r="N160" s="17">
        <f t="shared" si="149"/>
        <v>0</v>
      </c>
      <c r="O160" s="17">
        <f t="shared" si="149"/>
        <v>0</v>
      </c>
      <c r="P160" s="17">
        <f t="shared" si="149"/>
        <v>0</v>
      </c>
      <c r="Q160" s="17">
        <f t="shared" si="131"/>
        <v>0</v>
      </c>
    </row>
    <row r="161" spans="3:17" x14ac:dyDescent="0.25">
      <c r="C161" s="17"/>
      <c r="D161" s="17"/>
      <c r="E161" s="17">
        <f t="shared" ref="E161:P161" si="150">E332+E502</f>
        <v>0</v>
      </c>
      <c r="F161" s="17">
        <f t="shared" si="150"/>
        <v>0</v>
      </c>
      <c r="G161" s="17">
        <f t="shared" si="150"/>
        <v>0</v>
      </c>
      <c r="H161" s="17">
        <f t="shared" si="150"/>
        <v>0</v>
      </c>
      <c r="I161" s="17">
        <f t="shared" si="150"/>
        <v>0</v>
      </c>
      <c r="J161" s="17">
        <f t="shared" si="150"/>
        <v>0</v>
      </c>
      <c r="K161" s="17">
        <f t="shared" si="150"/>
        <v>0</v>
      </c>
      <c r="L161" s="17">
        <f t="shared" si="150"/>
        <v>0</v>
      </c>
      <c r="M161" s="17">
        <f t="shared" si="150"/>
        <v>0</v>
      </c>
      <c r="N161" s="17">
        <f t="shared" si="150"/>
        <v>0</v>
      </c>
      <c r="O161" s="17">
        <f t="shared" si="150"/>
        <v>0</v>
      </c>
      <c r="P161" s="17">
        <f t="shared" si="150"/>
        <v>0</v>
      </c>
      <c r="Q161" s="17">
        <f t="shared" si="131"/>
        <v>0</v>
      </c>
    </row>
    <row r="162" spans="3:17" x14ac:dyDescent="0.25">
      <c r="C162" s="17"/>
      <c r="D162" s="17"/>
      <c r="E162" s="17">
        <f t="shared" ref="E162:P162" si="151">E333+E503</f>
        <v>0</v>
      </c>
      <c r="F162" s="17">
        <f t="shared" si="151"/>
        <v>0</v>
      </c>
      <c r="G162" s="17">
        <f t="shared" si="151"/>
        <v>0</v>
      </c>
      <c r="H162" s="17">
        <f t="shared" si="151"/>
        <v>0</v>
      </c>
      <c r="I162" s="17">
        <f t="shared" si="151"/>
        <v>0</v>
      </c>
      <c r="J162" s="17">
        <f t="shared" si="151"/>
        <v>0</v>
      </c>
      <c r="K162" s="17">
        <f t="shared" si="151"/>
        <v>0</v>
      </c>
      <c r="L162" s="17">
        <f t="shared" si="151"/>
        <v>0</v>
      </c>
      <c r="M162" s="17">
        <f t="shared" si="151"/>
        <v>0</v>
      </c>
      <c r="N162" s="17">
        <f t="shared" si="151"/>
        <v>0</v>
      </c>
      <c r="O162" s="17">
        <f t="shared" si="151"/>
        <v>0</v>
      </c>
      <c r="P162" s="17">
        <f t="shared" si="151"/>
        <v>0</v>
      </c>
      <c r="Q162" s="17">
        <f t="shared" si="131"/>
        <v>0</v>
      </c>
    </row>
    <row r="163" spans="3:17" x14ac:dyDescent="0.25">
      <c r="C163" s="17"/>
      <c r="D163" s="17"/>
      <c r="E163" s="17">
        <f t="shared" ref="E163:P163" si="152">E334+E504</f>
        <v>0</v>
      </c>
      <c r="F163" s="17">
        <f t="shared" si="152"/>
        <v>0</v>
      </c>
      <c r="G163" s="17">
        <f t="shared" si="152"/>
        <v>0</v>
      </c>
      <c r="H163" s="17">
        <f t="shared" si="152"/>
        <v>0</v>
      </c>
      <c r="I163" s="17">
        <f t="shared" si="152"/>
        <v>0</v>
      </c>
      <c r="J163" s="17">
        <f t="shared" si="152"/>
        <v>0</v>
      </c>
      <c r="K163" s="17">
        <f t="shared" si="152"/>
        <v>0</v>
      </c>
      <c r="L163" s="17">
        <f t="shared" si="152"/>
        <v>0</v>
      </c>
      <c r="M163" s="17">
        <f t="shared" si="152"/>
        <v>0</v>
      </c>
      <c r="N163" s="17">
        <f t="shared" si="152"/>
        <v>0</v>
      </c>
      <c r="O163" s="17">
        <f t="shared" si="152"/>
        <v>0</v>
      </c>
      <c r="P163" s="17">
        <f t="shared" si="152"/>
        <v>0</v>
      </c>
      <c r="Q163" s="17">
        <f t="shared" si="131"/>
        <v>0</v>
      </c>
    </row>
    <row r="164" spans="3:17" x14ac:dyDescent="0.25">
      <c r="C164" s="17"/>
      <c r="D164" s="17"/>
      <c r="E164" s="17">
        <f t="shared" ref="E164:P164" si="153">E335+E505</f>
        <v>0</v>
      </c>
      <c r="F164" s="17">
        <f t="shared" si="153"/>
        <v>0</v>
      </c>
      <c r="G164" s="17">
        <f t="shared" si="153"/>
        <v>0</v>
      </c>
      <c r="H164" s="17">
        <f t="shared" si="153"/>
        <v>0</v>
      </c>
      <c r="I164" s="17">
        <f t="shared" si="153"/>
        <v>0</v>
      </c>
      <c r="J164" s="17">
        <f t="shared" si="153"/>
        <v>0</v>
      </c>
      <c r="K164" s="17">
        <f t="shared" si="153"/>
        <v>0</v>
      </c>
      <c r="L164" s="17">
        <f t="shared" si="153"/>
        <v>0</v>
      </c>
      <c r="M164" s="17">
        <f t="shared" si="153"/>
        <v>0</v>
      </c>
      <c r="N164" s="17">
        <f t="shared" si="153"/>
        <v>0</v>
      </c>
      <c r="O164" s="17">
        <f t="shared" si="153"/>
        <v>0</v>
      </c>
      <c r="P164" s="17">
        <f t="shared" si="153"/>
        <v>0</v>
      </c>
      <c r="Q164" s="17"/>
    </row>
    <row r="165" spans="3:17" x14ac:dyDescent="0.25">
      <c r="C165" s="17"/>
      <c r="D165" s="17"/>
      <c r="E165" s="17">
        <f t="shared" ref="E165:J165" si="154">E336+E506</f>
        <v>0</v>
      </c>
      <c r="F165" s="17">
        <f t="shared" si="154"/>
        <v>0</v>
      </c>
      <c r="G165" s="17">
        <f t="shared" si="154"/>
        <v>0</v>
      </c>
      <c r="H165" s="17">
        <f t="shared" si="154"/>
        <v>0</v>
      </c>
      <c r="I165" s="17">
        <f t="shared" si="154"/>
        <v>0</v>
      </c>
      <c r="J165" s="17">
        <f t="shared" si="154"/>
        <v>0</v>
      </c>
      <c r="K165" s="17">
        <f>K339+K506</f>
        <v>0</v>
      </c>
      <c r="L165" s="17">
        <f>L336+L506</f>
        <v>0</v>
      </c>
      <c r="M165" s="17">
        <f>M336+M506</f>
        <v>0</v>
      </c>
      <c r="N165" s="17">
        <f>N336+N506</f>
        <v>0</v>
      </c>
      <c r="O165" s="17">
        <f>O336+O506</f>
        <v>0</v>
      </c>
      <c r="P165" s="17">
        <f>P336+P506</f>
        <v>0</v>
      </c>
      <c r="Q165" s="17">
        <f>SUM(E165:P165)</f>
        <v>0</v>
      </c>
    </row>
    <row r="166" spans="3:17" x14ac:dyDescent="0.25">
      <c r="C166" s="753" t="s">
        <v>423</v>
      </c>
      <c r="D166" s="754"/>
      <c r="E166" s="28">
        <f t="shared" ref="E166:P166" si="155">SUM(E142:E165)</f>
        <v>527.96722475587148</v>
      </c>
      <c r="F166" s="28">
        <f t="shared" si="155"/>
        <v>181.29851022127664</v>
      </c>
      <c r="G166" s="28">
        <f t="shared" si="155"/>
        <v>203.5649529590435</v>
      </c>
      <c r="H166" s="28">
        <f t="shared" si="155"/>
        <v>196.987888313046</v>
      </c>
      <c r="I166" s="28">
        <f t="shared" si="155"/>
        <v>185.14198123580849</v>
      </c>
      <c r="J166" s="28">
        <f t="shared" si="155"/>
        <v>189.34728702381082</v>
      </c>
      <c r="K166" s="28">
        <f t="shared" si="155"/>
        <v>132.10986837192914</v>
      </c>
      <c r="L166" s="28">
        <f t="shared" si="155"/>
        <v>160.56506423289093</v>
      </c>
      <c r="M166" s="28">
        <f t="shared" si="155"/>
        <v>273.64430527242865</v>
      </c>
      <c r="N166" s="28">
        <f t="shared" si="155"/>
        <v>347.39891099097366</v>
      </c>
      <c r="O166" s="28">
        <f t="shared" si="155"/>
        <v>448.20267909940139</v>
      </c>
      <c r="P166" s="28">
        <f t="shared" si="155"/>
        <v>758.18560567570898</v>
      </c>
      <c r="Q166" s="28">
        <f>SUM(E166:P166)</f>
        <v>3604.4142781521896</v>
      </c>
    </row>
    <row r="167" spans="3:17" x14ac:dyDescent="0.25">
      <c r="C167" s="800" t="s">
        <v>424</v>
      </c>
      <c r="D167" s="801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</row>
    <row r="168" spans="3:17" x14ac:dyDescent="0.25">
      <c r="C168" s="17" t="s">
        <v>425</v>
      </c>
      <c r="D168" s="17" t="s">
        <v>426</v>
      </c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</row>
    <row r="169" spans="3:17" x14ac:dyDescent="0.25">
      <c r="C169" s="17" t="s">
        <v>425</v>
      </c>
      <c r="D169" s="17" t="s">
        <v>427</v>
      </c>
      <c r="E169" s="17">
        <f t="shared" ref="E169:P169" si="156">E339+E509</f>
        <v>0</v>
      </c>
      <c r="F169" s="17">
        <f t="shared" si="156"/>
        <v>0</v>
      </c>
      <c r="G169" s="17">
        <f t="shared" si="156"/>
        <v>0</v>
      </c>
      <c r="H169" s="17">
        <f t="shared" si="156"/>
        <v>0</v>
      </c>
      <c r="I169" s="17">
        <f t="shared" si="156"/>
        <v>0</v>
      </c>
      <c r="J169" s="17">
        <f t="shared" si="156"/>
        <v>0</v>
      </c>
      <c r="K169" s="17">
        <f t="shared" si="156"/>
        <v>0</v>
      </c>
      <c r="L169" s="17">
        <f t="shared" si="156"/>
        <v>0</v>
      </c>
      <c r="M169" s="17">
        <f t="shared" si="156"/>
        <v>0</v>
      </c>
      <c r="N169" s="17">
        <f t="shared" si="156"/>
        <v>0</v>
      </c>
      <c r="O169" s="17">
        <f t="shared" si="156"/>
        <v>0</v>
      </c>
      <c r="P169" s="17">
        <f t="shared" si="156"/>
        <v>0</v>
      </c>
      <c r="Q169" s="17">
        <f>SUM(E169:P169)</f>
        <v>0</v>
      </c>
    </row>
    <row r="170" spans="3:17" x14ac:dyDescent="0.25">
      <c r="C170" s="17"/>
      <c r="D170" s="17" t="s">
        <v>463</v>
      </c>
      <c r="E170" s="17">
        <f t="shared" ref="E170:P170" si="157">E340+E511</f>
        <v>0</v>
      </c>
      <c r="F170" s="17">
        <f t="shared" si="157"/>
        <v>0</v>
      </c>
      <c r="G170" s="17">
        <f t="shared" si="157"/>
        <v>0</v>
      </c>
      <c r="H170" s="17">
        <f t="shared" si="157"/>
        <v>0</v>
      </c>
      <c r="I170" s="17">
        <f t="shared" si="157"/>
        <v>0</v>
      </c>
      <c r="J170" s="17">
        <f t="shared" si="157"/>
        <v>0</v>
      </c>
      <c r="K170" s="17">
        <f t="shared" si="157"/>
        <v>0</v>
      </c>
      <c r="L170" s="17">
        <f t="shared" si="157"/>
        <v>0</v>
      </c>
      <c r="M170" s="17">
        <f t="shared" si="157"/>
        <v>0</v>
      </c>
      <c r="N170" s="17">
        <f t="shared" si="157"/>
        <v>0</v>
      </c>
      <c r="O170" s="17">
        <f t="shared" si="157"/>
        <v>0</v>
      </c>
      <c r="P170" s="17">
        <f t="shared" si="157"/>
        <v>0</v>
      </c>
      <c r="Q170" s="17">
        <f>SUM(E170:P170)</f>
        <v>0</v>
      </c>
    </row>
    <row r="171" spans="3:17" x14ac:dyDescent="0.25">
      <c r="C171" s="753" t="s">
        <v>428</v>
      </c>
      <c r="D171" s="754"/>
      <c r="E171" s="28">
        <f t="shared" ref="E171:P171" si="158">E169+E170</f>
        <v>0</v>
      </c>
      <c r="F171" s="28">
        <f t="shared" si="158"/>
        <v>0</v>
      </c>
      <c r="G171" s="28">
        <f t="shared" si="158"/>
        <v>0</v>
      </c>
      <c r="H171" s="28">
        <f t="shared" si="158"/>
        <v>0</v>
      </c>
      <c r="I171" s="28">
        <f t="shared" si="158"/>
        <v>0</v>
      </c>
      <c r="J171" s="28">
        <f t="shared" si="158"/>
        <v>0</v>
      </c>
      <c r="K171" s="28">
        <f t="shared" si="158"/>
        <v>0</v>
      </c>
      <c r="L171" s="28">
        <f t="shared" si="158"/>
        <v>0</v>
      </c>
      <c r="M171" s="28">
        <f t="shared" si="158"/>
        <v>0</v>
      </c>
      <c r="N171" s="28">
        <f t="shared" si="158"/>
        <v>0</v>
      </c>
      <c r="O171" s="28">
        <f t="shared" si="158"/>
        <v>0</v>
      </c>
      <c r="P171" s="28">
        <f t="shared" si="158"/>
        <v>0</v>
      </c>
      <c r="Q171" s="28">
        <f>SUM(E171:P171)</f>
        <v>0</v>
      </c>
    </row>
    <row r="172" spans="3:17" x14ac:dyDescent="0.25">
      <c r="C172" s="753" t="s">
        <v>220</v>
      </c>
      <c r="D172" s="754"/>
      <c r="E172" s="28">
        <f t="shared" ref="E172:P172" si="159">E50+E95+E104+E114+E140+E166+E171</f>
        <v>1397.7288620526087</v>
      </c>
      <c r="F172" s="28">
        <f t="shared" si="159"/>
        <v>1091.1116151827109</v>
      </c>
      <c r="G172" s="28">
        <f t="shared" si="159"/>
        <v>1015.8160406632686</v>
      </c>
      <c r="H172" s="28">
        <f t="shared" si="159"/>
        <v>909.66207534356658</v>
      </c>
      <c r="I172" s="28">
        <f t="shared" si="159"/>
        <v>955.48125965729582</v>
      </c>
      <c r="J172" s="28">
        <f t="shared" si="159"/>
        <v>981.57175989800749</v>
      </c>
      <c r="K172" s="28">
        <f t="shared" si="159"/>
        <v>985.58988829864336</v>
      </c>
      <c r="L172" s="28">
        <f t="shared" si="159"/>
        <v>959.26945763667698</v>
      </c>
      <c r="M172" s="28">
        <f t="shared" si="159"/>
        <v>1153.7185925972524</v>
      </c>
      <c r="N172" s="28">
        <f t="shared" si="159"/>
        <v>1250.8780741474816</v>
      </c>
      <c r="O172" s="28">
        <f t="shared" si="159"/>
        <v>1383.7512296158657</v>
      </c>
      <c r="P172" s="28">
        <f t="shared" si="159"/>
        <v>2503.1658344927373</v>
      </c>
      <c r="Q172" s="28">
        <f>SUM(E172:P172)</f>
        <v>14587.744689586114</v>
      </c>
    </row>
    <row r="174" spans="3:17" x14ac:dyDescent="0.25">
      <c r="C174" s="22" t="s">
        <v>641</v>
      </c>
      <c r="J174" s="25"/>
    </row>
    <row r="175" spans="3:17" x14ac:dyDescent="0.25">
      <c r="C175" s="22"/>
      <c r="J175" s="25"/>
    </row>
    <row r="176" spans="3:17" x14ac:dyDescent="0.25">
      <c r="C176" s="22"/>
      <c r="J176" s="25"/>
    </row>
    <row r="177" spans="2:17" x14ac:dyDescent="0.25">
      <c r="C177" s="762" t="s">
        <v>346</v>
      </c>
      <c r="D177" s="762" t="s">
        <v>347</v>
      </c>
      <c r="E177" s="768" t="s">
        <v>255</v>
      </c>
      <c r="F177" s="768"/>
      <c r="G177" s="768"/>
      <c r="H177" s="768"/>
      <c r="I177" s="768"/>
      <c r="J177" s="768"/>
      <c r="K177" s="768"/>
      <c r="L177" s="768"/>
      <c r="M177" s="768"/>
      <c r="N177" s="768"/>
      <c r="O177" s="768"/>
      <c r="P177" s="768"/>
      <c r="Q177" s="768"/>
    </row>
    <row r="178" spans="2:17" x14ac:dyDescent="0.25">
      <c r="C178" s="764"/>
      <c r="D178" s="764"/>
      <c r="E178" s="13" t="s">
        <v>239</v>
      </c>
      <c r="F178" s="13" t="s">
        <v>240</v>
      </c>
      <c r="G178" s="13" t="s">
        <v>241</v>
      </c>
      <c r="H178" s="13" t="s">
        <v>242</v>
      </c>
      <c r="I178" s="13" t="s">
        <v>243</v>
      </c>
      <c r="J178" s="13" t="s">
        <v>244</v>
      </c>
      <c r="K178" s="13" t="s">
        <v>245</v>
      </c>
      <c r="L178" s="13" t="s">
        <v>246</v>
      </c>
      <c r="M178" s="13" t="s">
        <v>247</v>
      </c>
      <c r="N178" s="13" t="s">
        <v>248</v>
      </c>
      <c r="O178" s="13" t="s">
        <v>249</v>
      </c>
      <c r="P178" s="13" t="s">
        <v>250</v>
      </c>
      <c r="Q178" s="13" t="s">
        <v>251</v>
      </c>
    </row>
    <row r="179" spans="2:17" x14ac:dyDescent="0.25">
      <c r="B179" s="60"/>
      <c r="C179" s="800" t="s">
        <v>348</v>
      </c>
      <c r="D179" s="801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</row>
    <row r="180" spans="2:17" x14ac:dyDescent="0.25">
      <c r="C180" s="753" t="s">
        <v>349</v>
      </c>
      <c r="D180" s="754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</row>
    <row r="181" spans="2:17" x14ac:dyDescent="0.25">
      <c r="B181" s="60"/>
      <c r="C181" s="802" t="s">
        <v>350</v>
      </c>
      <c r="D181" s="59" t="s">
        <v>351</v>
      </c>
      <c r="E181" s="17">
        <f>'[50]2022-23'!H219/10000000</f>
        <v>9.1395620931499995</v>
      </c>
      <c r="F181" s="17">
        <f>'[50]2022-23'!M219/10000000</f>
        <v>9.1395620931499995</v>
      </c>
      <c r="G181" s="17">
        <f>'[50]2022-23'!R219/10000000</f>
        <v>9.1395620931499995</v>
      </c>
      <c r="H181" s="17">
        <f>'[50]2022-23'!W219/10000000</f>
        <v>7.7594882087499988</v>
      </c>
      <c r="I181" s="17">
        <f>'[50]2022-23'!AB219/10000000</f>
        <v>8.0005441451999992</v>
      </c>
      <c r="J181" s="17">
        <f>'[50]2022-23'!AG219/10000000</f>
        <v>9.8010378952499995</v>
      </c>
      <c r="K181" s="17">
        <f>'[50]2022-23'!AL219/10000000</f>
        <v>9.5017172247499992</v>
      </c>
      <c r="L181" s="17">
        <f>'[50]2022-23'!AQ219/10000000</f>
        <v>9.2366699341499992</v>
      </c>
      <c r="M181" s="17">
        <f>'[50]2022-23'!AV219/10000000</f>
        <v>10.260300897299999</v>
      </c>
      <c r="N181" s="17">
        <f>'[50]2022-23'!BA219/10000000</f>
        <v>9.4171762877499994</v>
      </c>
      <c r="O181" s="17">
        <f>'[50]2022-23'!BF219/10000000</f>
        <v>9.1395620931499995</v>
      </c>
      <c r="P181" s="17">
        <f>('[50]2022-23'!BK219+'[50]2022-23'!BR219+'[50]2022-23'!BU219)/10000000</f>
        <v>9.1395620931499995</v>
      </c>
      <c r="Q181" s="17">
        <f t="shared" ref="Q181:Q199" si="160">SUM(E181:P181)</f>
        <v>109.6747450589</v>
      </c>
    </row>
    <row r="182" spans="2:17" x14ac:dyDescent="0.25">
      <c r="B182" s="60"/>
      <c r="C182" s="803"/>
      <c r="D182" s="59" t="s">
        <v>352</v>
      </c>
      <c r="E182" s="17">
        <f>'[50]2022-23'!H220/10000000</f>
        <v>12.805596250000001</v>
      </c>
      <c r="F182" s="17">
        <f>'[50]2022-23'!M220/10000000</f>
        <v>12.805596250000001</v>
      </c>
      <c r="G182" s="17">
        <f>'[50]2022-23'!R220/10000000</f>
        <v>12.805596250000001</v>
      </c>
      <c r="H182" s="17">
        <f>'[50]2022-23'!W220/10000000</f>
        <v>12.805596250000001</v>
      </c>
      <c r="I182" s="17">
        <f>'[50]2022-23'!AB220/10000000</f>
        <v>12.805596250000001</v>
      </c>
      <c r="J182" s="17">
        <f>'[50]2022-23'!AG220/10000000</f>
        <v>12.805596250000001</v>
      </c>
      <c r="K182" s="17">
        <f>'[50]2022-23'!AL220/10000000</f>
        <v>12.805596250000001</v>
      </c>
      <c r="L182" s="17">
        <f>'[50]2022-23'!AQ220/10000000</f>
        <v>12.805596250000001</v>
      </c>
      <c r="M182" s="17">
        <f>'[50]2022-23'!AV220/10000000</f>
        <v>12.805596250000001</v>
      </c>
      <c r="N182" s="17">
        <f>'[50]2022-23'!BA220/10000000</f>
        <v>12.805596250000001</v>
      </c>
      <c r="O182" s="17">
        <f>'[50]2022-23'!BF220/10000000</f>
        <v>12.805596250000001</v>
      </c>
      <c r="P182" s="17">
        <f>('[50]2022-23'!BK220+'[50]2022-23'!BR220+'[50]2022-23'!BU220)/10000000</f>
        <v>12.805596250000001</v>
      </c>
      <c r="Q182" s="17">
        <f t="shared" si="160"/>
        <v>153.66715500000007</v>
      </c>
    </row>
    <row r="183" spans="2:17" x14ac:dyDescent="0.25">
      <c r="B183" s="60"/>
      <c r="C183" s="803"/>
      <c r="D183" s="59" t="s">
        <v>353</v>
      </c>
      <c r="E183" s="17">
        <f>'[50]2022-23'!H221/10000000</f>
        <v>24.0499010445</v>
      </c>
      <c r="F183" s="17">
        <f>'[50]2022-23'!M221/10000000</f>
        <v>27.406413404249996</v>
      </c>
      <c r="G183" s="17">
        <f>'[50]2022-23'!R221/10000000</f>
        <v>26.637723051249999</v>
      </c>
      <c r="H183" s="17">
        <f>'[50]2022-23'!W221/10000000</f>
        <v>1.6782561651499999</v>
      </c>
      <c r="I183" s="17">
        <f>'[50]2022-23'!AB221/10000000</f>
        <v>-0.2541884277</v>
      </c>
      <c r="J183" s="17">
        <f>'[50]2022-23'!AG221/10000000</f>
        <v>1.7548189498999998</v>
      </c>
      <c r="K183" s="17">
        <f>'[50]2022-23'!AL221/10000000</f>
        <v>21.648892197199999</v>
      </c>
      <c r="L183" s="17">
        <f>'[50]2022-23'!AQ221/10000000</f>
        <v>19.186633122099998</v>
      </c>
      <c r="M183" s="17">
        <f>'[50]2022-23'!AV221/10000000</f>
        <v>24.4970276721</v>
      </c>
      <c r="N183" s="17">
        <f>'[50]2022-23'!BA221/10000000</f>
        <v>25.477031287449996</v>
      </c>
      <c r="O183" s="17">
        <f>'[50]2022-23'!BF221/10000000</f>
        <v>26.068095968049999</v>
      </c>
      <c r="P183" s="17">
        <f>('[50]2022-23'!BK221+'[50]2022-23'!BR221+'[50]2022-23'!BU221)/10000000</f>
        <v>25.584219186099997</v>
      </c>
      <c r="Q183" s="17">
        <f t="shared" si="160"/>
        <v>223.73482362034994</v>
      </c>
    </row>
    <row r="184" spans="2:17" x14ac:dyDescent="0.25">
      <c r="B184" s="60"/>
      <c r="C184" s="803"/>
      <c r="D184" s="59" t="s">
        <v>354</v>
      </c>
      <c r="E184" s="17">
        <f>'[50]2022-23'!H222/10000000</f>
        <v>1.0419766050499999</v>
      </c>
      <c r="F184" s="17">
        <f>'[50]2022-23'!M222/10000000</f>
        <v>2.5701101288500001</v>
      </c>
      <c r="G184" s="17">
        <f>'[50]2022-23'!R222/10000000</f>
        <v>2.4685803998</v>
      </c>
      <c r="H184" s="17">
        <f>'[50]2022-23'!W222/10000000</f>
        <v>1.9320291711499999</v>
      </c>
      <c r="I184" s="17">
        <f>'[50]2022-23'!AB222/10000000</f>
        <v>2.4478298119999997</v>
      </c>
      <c r="J184" s="17">
        <f>'[50]2022-23'!AG222/10000000</f>
        <v>2.2366183288500001</v>
      </c>
      <c r="K184" s="17">
        <f>'[50]2022-23'!AL222/10000000</f>
        <v>3.0525616191499996</v>
      </c>
      <c r="L184" s="17">
        <f>'[50]2022-23'!AQ222/10000000</f>
        <v>2.3211029279999997</v>
      </c>
      <c r="M184" s="17">
        <f>'[50]2022-23'!AV222/10000000</f>
        <v>0.89486967314999999</v>
      </c>
      <c r="N184" s="17">
        <f>'[50]2022-23'!BA222/10000000</f>
        <v>1.6478200318999998</v>
      </c>
      <c r="O184" s="17">
        <f>'[50]2022-23'!BF222/10000000</f>
        <v>1.9676016199999999</v>
      </c>
      <c r="P184" s="17">
        <f>('[50]2022-23'!BK222+'[50]2022-23'!BR222+'[50]2022-23'!BU222)/10000000</f>
        <v>2.2484758117999997</v>
      </c>
      <c r="Q184" s="17">
        <f t="shared" si="160"/>
        <v>24.829576129699998</v>
      </c>
    </row>
    <row r="185" spans="2:17" x14ac:dyDescent="0.25">
      <c r="B185" s="60"/>
      <c r="C185" s="803"/>
      <c r="D185" s="59" t="s">
        <v>355</v>
      </c>
      <c r="E185" s="17">
        <f>'[50]2022-23'!H223/10000000</f>
        <v>12.026152906849999</v>
      </c>
      <c r="F185" s="17">
        <f>'[50]2022-23'!M223/10000000</f>
        <v>11.776610246099999</v>
      </c>
      <c r="G185" s="17">
        <f>'[50]2022-23'!R223/10000000</f>
        <v>0.13078441664999998</v>
      </c>
      <c r="H185" s="17">
        <f>'[50]2022-23'!W223/10000000</f>
        <v>2.7103942025499999</v>
      </c>
      <c r="I185" s="17">
        <f>'[50]2022-23'!AB223/10000000</f>
        <v>12.8394215187</v>
      </c>
      <c r="J185" s="17">
        <f>'[50]2022-23'!AG223/10000000</f>
        <v>13.615108367099999</v>
      </c>
      <c r="K185" s="17">
        <f>'[50]2022-23'!AL223/10000000</f>
        <v>13.532428581749999</v>
      </c>
      <c r="L185" s="17">
        <f>'[50]2022-23'!AQ223/10000000</f>
        <v>13.908245833399999</v>
      </c>
      <c r="M185" s="17">
        <f>'[50]2022-23'!AV223/10000000</f>
        <v>14.856808658199999</v>
      </c>
      <c r="N185" s="17">
        <f>'[50]2022-23'!BA223/10000000</f>
        <v>14.928965575699999</v>
      </c>
      <c r="O185" s="17">
        <f>'[50]2022-23'!BF223/10000000</f>
        <v>13.33099052285</v>
      </c>
      <c r="P185" s="17">
        <f>('[50]2022-23'!BK223+'[50]2022-23'!BR223+'[50]2022-23'!BU223)/10000000</f>
        <v>15.173998440149999</v>
      </c>
      <c r="Q185" s="17">
        <f t="shared" si="160"/>
        <v>138.82990927</v>
      </c>
    </row>
    <row r="186" spans="2:17" x14ac:dyDescent="0.25">
      <c r="B186" s="60"/>
      <c r="C186" s="803"/>
      <c r="D186" s="59" t="s">
        <v>356</v>
      </c>
      <c r="E186" s="17">
        <f>'[50]2022-23'!H224/10000000</f>
        <v>17.67269959315</v>
      </c>
      <c r="F186" s="17">
        <f>'[50]2022-23'!M224/10000000</f>
        <v>17.67269959315</v>
      </c>
      <c r="G186" s="17">
        <f>'[50]2022-23'!R224/10000000</f>
        <v>17.67269959315</v>
      </c>
      <c r="H186" s="17">
        <f>'[50]2022-23'!W224/10000000</f>
        <v>17.67269959315</v>
      </c>
      <c r="I186" s="17">
        <f>'[50]2022-23'!AB224/10000000</f>
        <v>17.67269959315</v>
      </c>
      <c r="J186" s="17">
        <f>'[50]2022-23'!AG224/10000000</f>
        <v>17.67269959315</v>
      </c>
      <c r="K186" s="17">
        <f>'[50]2022-23'!AL224/10000000</f>
        <v>17.67269959315</v>
      </c>
      <c r="L186" s="17">
        <f>'[50]2022-23'!AQ224/10000000</f>
        <v>17.67269959315</v>
      </c>
      <c r="M186" s="17">
        <f>'[50]2022-23'!AV224/10000000</f>
        <v>17.67269959315</v>
      </c>
      <c r="N186" s="17">
        <f>'[50]2022-23'!BA224/10000000</f>
        <v>17.67269959315</v>
      </c>
      <c r="O186" s="17">
        <f>'[50]2022-23'!BF224/10000000</f>
        <v>17.67269959315</v>
      </c>
      <c r="P186" s="17">
        <f>('[50]2022-23'!BK224+'[50]2022-23'!BR224+'[50]2022-23'!BU224)/10000000</f>
        <v>17.67269959315</v>
      </c>
      <c r="Q186" s="17">
        <f t="shared" si="160"/>
        <v>212.07239511780006</v>
      </c>
    </row>
    <row r="187" spans="2:17" x14ac:dyDescent="0.25">
      <c r="B187" s="60"/>
      <c r="C187" s="803"/>
      <c r="D187" s="59" t="s">
        <v>357</v>
      </c>
      <c r="E187" s="17">
        <f>'[50]2022-23'!H225/10000000</f>
        <v>39.308169216599993</v>
      </c>
      <c r="F187" s="17">
        <f>'[50]2022-23'!M225/10000000</f>
        <v>33.668786979049997</v>
      </c>
      <c r="G187" s="17">
        <f>'[50]2022-23'!R225/10000000</f>
        <v>30.676005914899999</v>
      </c>
      <c r="H187" s="17">
        <f>'[50]2022-23'!W225/10000000</f>
        <v>21.01647002755</v>
      </c>
      <c r="I187" s="17">
        <f>'[50]2022-23'!AB225/10000000</f>
        <v>30.832345245099997</v>
      </c>
      <c r="J187" s="17">
        <f>'[50]2022-23'!AG225/10000000</f>
        <v>34.986504022449999</v>
      </c>
      <c r="K187" s="17">
        <f>'[50]2022-23'!AL225/10000000</f>
        <v>38.939655123199998</v>
      </c>
      <c r="L187" s="17">
        <f>'[50]2022-23'!AQ225/10000000</f>
        <v>35.500190329999995</v>
      </c>
      <c r="M187" s="17">
        <f>'[50]2022-23'!AV225/10000000</f>
        <v>37.236673385949999</v>
      </c>
      <c r="N187" s="17">
        <f>'[50]2022-23'!BA225/10000000</f>
        <v>49.207797642549998</v>
      </c>
      <c r="O187" s="17">
        <f>'[50]2022-23'!BF225/10000000</f>
        <v>46.37693942245</v>
      </c>
      <c r="P187" s="17">
        <f>('[50]2022-23'!BK225+'[50]2022-23'!BR225+'[50]2022-23'!BU225)/10000000</f>
        <v>39.978194824899994</v>
      </c>
      <c r="Q187" s="17">
        <f t="shared" si="160"/>
        <v>437.72773213469998</v>
      </c>
    </row>
    <row r="188" spans="2:17" x14ac:dyDescent="0.25">
      <c r="B188" s="60"/>
      <c r="C188" s="803"/>
      <c r="D188" s="59" t="s">
        <v>358</v>
      </c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>
        <f t="shared" si="160"/>
        <v>0</v>
      </c>
    </row>
    <row r="189" spans="2:17" x14ac:dyDescent="0.25">
      <c r="B189" s="60"/>
      <c r="C189" s="803"/>
      <c r="D189" s="325" t="s">
        <v>620</v>
      </c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>
        <f>'[50]2022-23'!$BK$228/10000000</f>
        <v>7.023151036749999</v>
      </c>
      <c r="Q189" s="17">
        <f t="shared" si="160"/>
        <v>7.023151036749999</v>
      </c>
    </row>
    <row r="190" spans="2:17" x14ac:dyDescent="0.25">
      <c r="B190" s="60"/>
      <c r="C190" s="803"/>
      <c r="D190" s="59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>
        <f t="shared" si="160"/>
        <v>0</v>
      </c>
    </row>
    <row r="191" spans="2:17" x14ac:dyDescent="0.25">
      <c r="B191" s="60"/>
      <c r="C191" s="803"/>
      <c r="D191" s="59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>
        <f t="shared" si="160"/>
        <v>0</v>
      </c>
    </row>
    <row r="192" spans="2:17" x14ac:dyDescent="0.25">
      <c r="B192" s="60"/>
      <c r="C192" s="803"/>
      <c r="D192" s="59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>
        <f t="shared" si="160"/>
        <v>0</v>
      </c>
    </row>
    <row r="193" spans="2:17" x14ac:dyDescent="0.25">
      <c r="B193" s="60"/>
      <c r="C193" s="803"/>
      <c r="D193" s="59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>
        <f t="shared" si="160"/>
        <v>0</v>
      </c>
    </row>
    <row r="194" spans="2:17" x14ac:dyDescent="0.25">
      <c r="B194" s="60"/>
      <c r="C194" s="803"/>
      <c r="D194" s="59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>
        <f t="shared" si="160"/>
        <v>0</v>
      </c>
    </row>
    <row r="195" spans="2:17" x14ac:dyDescent="0.25">
      <c r="B195" s="60"/>
      <c r="C195" s="803"/>
      <c r="D195" s="59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>
        <f t="shared" si="160"/>
        <v>0</v>
      </c>
    </row>
    <row r="196" spans="2:17" x14ac:dyDescent="0.25">
      <c r="B196" s="60"/>
      <c r="C196" s="803"/>
      <c r="D196" s="59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>
        <f t="shared" si="160"/>
        <v>0</v>
      </c>
    </row>
    <row r="197" spans="2:17" x14ac:dyDescent="0.25">
      <c r="B197" s="60"/>
      <c r="C197" s="803"/>
      <c r="D197" s="59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>
        <f t="shared" si="160"/>
        <v>0</v>
      </c>
    </row>
    <row r="198" spans="2:17" x14ac:dyDescent="0.25">
      <c r="B198" s="60"/>
      <c r="C198" s="804"/>
      <c r="D198" s="59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>
        <f t="shared" si="160"/>
        <v>0</v>
      </c>
    </row>
    <row r="199" spans="2:17" x14ac:dyDescent="0.25">
      <c r="C199" s="751" t="s">
        <v>212</v>
      </c>
      <c r="D199" s="752"/>
      <c r="E199" s="17">
        <f t="shared" ref="E199:P199" si="161">SUM(E181:E198)</f>
        <v>116.04405770930001</v>
      </c>
      <c r="F199" s="17">
        <f t="shared" si="161"/>
        <v>115.03977869454999</v>
      </c>
      <c r="G199" s="17">
        <f t="shared" si="161"/>
        <v>99.530951718899999</v>
      </c>
      <c r="H199" s="17">
        <f t="shared" si="161"/>
        <v>65.574933618299994</v>
      </c>
      <c r="I199" s="17">
        <f t="shared" si="161"/>
        <v>84.344248136449991</v>
      </c>
      <c r="J199" s="17">
        <f t="shared" si="161"/>
        <v>92.872383406699996</v>
      </c>
      <c r="K199" s="17">
        <f t="shared" si="161"/>
        <v>117.15355058919999</v>
      </c>
      <c r="L199" s="17">
        <f t="shared" si="161"/>
        <v>110.6311379908</v>
      </c>
      <c r="M199" s="17">
        <f t="shared" si="161"/>
        <v>118.22397612984999</v>
      </c>
      <c r="N199" s="17">
        <f t="shared" si="161"/>
        <v>131.1570866685</v>
      </c>
      <c r="O199" s="17">
        <f t="shared" si="161"/>
        <v>127.36148546965001</v>
      </c>
      <c r="P199" s="17">
        <f t="shared" si="161"/>
        <v>129.62589723599999</v>
      </c>
      <c r="Q199" s="86">
        <f t="shared" si="160"/>
        <v>1307.5594873681998</v>
      </c>
    </row>
    <row r="200" spans="2:17" x14ac:dyDescent="0.25">
      <c r="C200" s="753" t="s">
        <v>359</v>
      </c>
      <c r="D200" s="754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</row>
    <row r="201" spans="2:17" x14ac:dyDescent="0.25">
      <c r="C201" s="805" t="s">
        <v>350</v>
      </c>
      <c r="D201" s="17" t="s">
        <v>360</v>
      </c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>
        <f t="shared" ref="Q201:Q219" si="162">SUM(E201:P201)</f>
        <v>0</v>
      </c>
    </row>
    <row r="202" spans="2:17" x14ac:dyDescent="0.25">
      <c r="C202" s="806"/>
      <c r="D202" s="17" t="s">
        <v>361</v>
      </c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>
        <f t="shared" si="162"/>
        <v>0</v>
      </c>
    </row>
    <row r="203" spans="2:17" x14ac:dyDescent="0.25">
      <c r="C203" s="806"/>
      <c r="D203" s="17" t="s">
        <v>362</v>
      </c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>
        <f t="shared" si="162"/>
        <v>0</v>
      </c>
    </row>
    <row r="204" spans="2:17" x14ac:dyDescent="0.25">
      <c r="C204" s="806"/>
      <c r="D204" s="17" t="s">
        <v>363</v>
      </c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>
        <f t="shared" si="162"/>
        <v>0</v>
      </c>
    </row>
    <row r="205" spans="2:17" x14ac:dyDescent="0.25">
      <c r="C205" s="806"/>
      <c r="D205" s="17" t="s">
        <v>364</v>
      </c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>
        <f t="shared" si="162"/>
        <v>0</v>
      </c>
    </row>
    <row r="206" spans="2:17" x14ac:dyDescent="0.25">
      <c r="C206" s="806"/>
      <c r="D206" s="17" t="s">
        <v>365</v>
      </c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>
        <f t="shared" si="162"/>
        <v>0</v>
      </c>
    </row>
    <row r="207" spans="2:17" x14ac:dyDescent="0.25">
      <c r="C207" s="806"/>
      <c r="D207" s="17" t="s">
        <v>366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>
        <f t="shared" si="162"/>
        <v>0</v>
      </c>
    </row>
    <row r="208" spans="2:17" x14ac:dyDescent="0.25">
      <c r="C208" s="806"/>
      <c r="D208" s="17" t="s">
        <v>367</v>
      </c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>
        <f t="shared" si="162"/>
        <v>0</v>
      </c>
    </row>
    <row r="209" spans="3:17" x14ac:dyDescent="0.25">
      <c r="C209" s="806"/>
      <c r="D209" s="17"/>
      <c r="E209" s="17">
        <f>'[50]2022-23'!$H$227/10000000</f>
        <v>32.659804593149993</v>
      </c>
      <c r="F209" s="17">
        <f>'[50]2022-23'!$M$227/10000000</f>
        <v>32.659804593149993</v>
      </c>
      <c r="G209" s="17">
        <f>'[50]2022-23'!$R$227/10000000</f>
        <v>32.659804593149993</v>
      </c>
      <c r="H209" s="17">
        <f>'[50]2022-23'!$W$227/10000000</f>
        <v>32.659804593149993</v>
      </c>
      <c r="I209" s="17">
        <f>'[50]2022-23'!$AB$227/10000000</f>
        <v>32.659804593149993</v>
      </c>
      <c r="J209" s="17">
        <f>'[50]2022-23'!$AG$227/10000000</f>
        <v>32.659804583333333</v>
      </c>
      <c r="K209" s="17">
        <f>'[50]2022-23'!$AL$227/10000000</f>
        <v>32.659804583333333</v>
      </c>
      <c r="L209" s="17">
        <f>'[50]2022-23'!$AQ$227/10000000</f>
        <v>32.659804583333333</v>
      </c>
      <c r="M209" s="17">
        <f>'[50]2022-23'!$AV$227/10000000</f>
        <v>32.659804583333333</v>
      </c>
      <c r="N209" s="17">
        <f>'[50]2022-23'!$BA$227/10000000</f>
        <v>32.659804583333333</v>
      </c>
      <c r="O209" s="17">
        <f>'[50]2022-23'!$BF$227/10000000</f>
        <v>32.659804583333333</v>
      </c>
      <c r="P209" s="17">
        <f>('[50]2022-23'!$BK$227+'[50]2022-23'!$BP$227+'[50]2022-23'!$BU$227)/10000000</f>
        <v>32.659804583333333</v>
      </c>
      <c r="Q209" s="17">
        <f t="shared" si="162"/>
        <v>391.91765504908324</v>
      </c>
    </row>
    <row r="210" spans="3:17" x14ac:dyDescent="0.25">
      <c r="C210" s="806"/>
      <c r="D210" s="325" t="s">
        <v>621</v>
      </c>
      <c r="E210" s="17">
        <f>'[50]2022-23'!$H$226/10000000</f>
        <v>32.086756686299999</v>
      </c>
      <c r="F210" s="17">
        <f>'[50]2022-23'!$M$226/10000000</f>
        <v>32.086756686299999</v>
      </c>
      <c r="G210" s="17">
        <f>'[50]2022-23'!$R$226/10000000</f>
        <v>32.086756686299999</v>
      </c>
      <c r="H210" s="17">
        <f>'[50]2022-23'!$W$226/10000000</f>
        <v>32.086756686299999</v>
      </c>
      <c r="I210" s="17">
        <f>'[50]2022-23'!$AB$226/10000000</f>
        <v>32.086756686299999</v>
      </c>
      <c r="J210" s="17">
        <f>'[50]2022-23'!$AG$226/10000000</f>
        <v>32.086756686299999</v>
      </c>
      <c r="K210" s="17">
        <f>'[50]2022-23'!$AL$226/10000000</f>
        <v>32.086756686299999</v>
      </c>
      <c r="L210" s="17">
        <f>'[50]2022-23'!$AQ$226/10000000</f>
        <v>32.086756686299999</v>
      </c>
      <c r="M210" s="17">
        <f>'[50]2022-23'!$AV$226/10000000</f>
        <v>32.086756686299999</v>
      </c>
      <c r="N210" s="17">
        <f>'[50]2022-23'!$BA$226/10000000</f>
        <v>32.086756686299999</v>
      </c>
      <c r="O210" s="17">
        <f>'[50]2022-23'!$BF$226/10000000</f>
        <v>32.086756686299999</v>
      </c>
      <c r="P210" s="17">
        <f>('[50]2022-23'!$BK$226+'[50]2022-23'!$BP$226+'[50]2022-23'!$BU$226)/10000000</f>
        <v>32.086756686299999</v>
      </c>
      <c r="Q210" s="17">
        <f t="shared" si="162"/>
        <v>385.04108023560008</v>
      </c>
    </row>
    <row r="211" spans="3:17" x14ac:dyDescent="0.25">
      <c r="C211" s="806"/>
      <c r="D211" s="325" t="s">
        <v>622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>
        <f>'[50]2022-23'!$BU$229/10000000</f>
        <v>222.71338918544998</v>
      </c>
      <c r="Q211" s="17">
        <f t="shared" si="162"/>
        <v>222.71338918544998</v>
      </c>
    </row>
    <row r="212" spans="3:17" x14ac:dyDescent="0.25">
      <c r="C212" s="806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>
        <f t="shared" si="162"/>
        <v>0</v>
      </c>
    </row>
    <row r="213" spans="3:17" x14ac:dyDescent="0.25">
      <c r="C213" s="806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>
        <f t="shared" si="162"/>
        <v>0</v>
      </c>
    </row>
    <row r="214" spans="3:17" x14ac:dyDescent="0.25">
      <c r="C214" s="806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>
        <f t="shared" si="162"/>
        <v>0</v>
      </c>
    </row>
    <row r="215" spans="3:17" x14ac:dyDescent="0.25">
      <c r="C215" s="80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>
        <f t="shared" si="162"/>
        <v>0</v>
      </c>
    </row>
    <row r="216" spans="3:17" x14ac:dyDescent="0.25">
      <c r="C216" s="806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>
        <f t="shared" si="162"/>
        <v>0</v>
      </c>
    </row>
    <row r="217" spans="3:17" x14ac:dyDescent="0.25">
      <c r="C217" s="806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>
        <f t="shared" si="162"/>
        <v>0</v>
      </c>
    </row>
    <row r="218" spans="3:17" x14ac:dyDescent="0.25">
      <c r="C218" s="807"/>
      <c r="D218" s="10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>
        <f t="shared" si="162"/>
        <v>0</v>
      </c>
    </row>
    <row r="219" spans="3:17" x14ac:dyDescent="0.25">
      <c r="C219" s="751" t="s">
        <v>212</v>
      </c>
      <c r="D219" s="752"/>
      <c r="E219" s="17">
        <f t="shared" ref="E219:P219" si="163">SUM(E201:E218)</f>
        <v>64.746561279449992</v>
      </c>
      <c r="F219" s="17">
        <f t="shared" si="163"/>
        <v>64.746561279449992</v>
      </c>
      <c r="G219" s="17">
        <f t="shared" si="163"/>
        <v>64.746561279449992</v>
      </c>
      <c r="H219" s="17">
        <f t="shared" si="163"/>
        <v>64.746561279449992</v>
      </c>
      <c r="I219" s="17">
        <f t="shared" si="163"/>
        <v>64.746561279449992</v>
      </c>
      <c r="J219" s="17">
        <f t="shared" si="163"/>
        <v>64.746561269633332</v>
      </c>
      <c r="K219" s="17">
        <f t="shared" si="163"/>
        <v>64.746561269633332</v>
      </c>
      <c r="L219" s="17">
        <f t="shared" si="163"/>
        <v>64.746561269633332</v>
      </c>
      <c r="M219" s="17">
        <f t="shared" si="163"/>
        <v>64.746561269633332</v>
      </c>
      <c r="N219" s="17">
        <f t="shared" si="163"/>
        <v>64.746561269633332</v>
      </c>
      <c r="O219" s="17">
        <f t="shared" si="163"/>
        <v>64.746561269633332</v>
      </c>
      <c r="P219" s="17">
        <f t="shared" si="163"/>
        <v>287.45995045508334</v>
      </c>
      <c r="Q219" s="86">
        <f t="shared" si="162"/>
        <v>999.67212447013321</v>
      </c>
    </row>
    <row r="220" spans="3:17" x14ac:dyDescent="0.25">
      <c r="C220" s="753" t="s">
        <v>368</v>
      </c>
      <c r="D220" s="754"/>
      <c r="E220" s="17">
        <f t="shared" ref="E220:Q220" si="164">E199+E219</f>
        <v>180.79061898875</v>
      </c>
      <c r="F220" s="17">
        <f t="shared" si="164"/>
        <v>179.78633997399999</v>
      </c>
      <c r="G220" s="17">
        <f t="shared" si="164"/>
        <v>164.27751299835001</v>
      </c>
      <c r="H220" s="17">
        <f t="shared" si="164"/>
        <v>130.32149489774997</v>
      </c>
      <c r="I220" s="17">
        <f t="shared" si="164"/>
        <v>149.09080941589997</v>
      </c>
      <c r="J220" s="17">
        <f t="shared" si="164"/>
        <v>157.61894467633334</v>
      </c>
      <c r="K220" s="17">
        <f t="shared" si="164"/>
        <v>181.90011185883333</v>
      </c>
      <c r="L220" s="17">
        <f t="shared" si="164"/>
        <v>175.37769926043333</v>
      </c>
      <c r="M220" s="17">
        <f t="shared" si="164"/>
        <v>182.97053739948331</v>
      </c>
      <c r="N220" s="17">
        <f t="shared" si="164"/>
        <v>195.90364793813333</v>
      </c>
      <c r="O220" s="17">
        <f t="shared" si="164"/>
        <v>192.10804673928334</v>
      </c>
      <c r="P220" s="17">
        <f t="shared" si="164"/>
        <v>417.08584769108336</v>
      </c>
      <c r="Q220" s="86">
        <f t="shared" si="164"/>
        <v>2307.2316118383333</v>
      </c>
    </row>
    <row r="221" spans="3:17" x14ac:dyDescent="0.25">
      <c r="C221" s="800" t="s">
        <v>369</v>
      </c>
      <c r="D221" s="801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</row>
    <row r="222" spans="3:17" x14ac:dyDescent="0.25">
      <c r="C222" s="753" t="s">
        <v>349</v>
      </c>
      <c r="D222" s="754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</row>
    <row r="223" spans="3:17" x14ac:dyDescent="0.25">
      <c r="C223" s="805" t="s">
        <v>370</v>
      </c>
      <c r="D223" s="17" t="s">
        <v>371</v>
      </c>
      <c r="E223" s="17">
        <f>'[50]2022-23'!H195/10000000</f>
        <v>4.4415494000999995</v>
      </c>
      <c r="F223" s="17">
        <f>'[50]2022-23'!M195/10000000</f>
        <v>4.3409490836</v>
      </c>
      <c r="G223" s="17">
        <f>'[50]2022-23'!R195/10000000</f>
        <v>4.1660821988499999</v>
      </c>
      <c r="H223" s="17">
        <f>'[50]2022-23'!W195/10000000</f>
        <v>4.3185407258499993</v>
      </c>
      <c r="I223" s="17">
        <f>'[50]2022-23'!AB195/10000000</f>
        <v>4.2482606273999997</v>
      </c>
      <c r="J223" s="17">
        <f>'[50]2022-23'!AG195/10000000</f>
        <v>4.2091153339999998</v>
      </c>
      <c r="K223" s="17">
        <f>'[50]2022-23'!AL195/10000000</f>
        <v>4.9430141048999996</v>
      </c>
      <c r="L223" s="17">
        <f>'[50]2022-23'!AQ195/10000000</f>
        <v>4.6856002248499999</v>
      </c>
      <c r="M223" s="17">
        <f>'[50]2022-23'!AV195/10000000</f>
        <v>5.1875958247999998</v>
      </c>
      <c r="N223" s="17">
        <f>'[50]2022-23'!BA195/10000000</f>
        <v>3.3801974339000003</v>
      </c>
      <c r="O223" s="17">
        <f>'[50]2022-23'!BF195/10000000</f>
        <v>5.4201468662999996</v>
      </c>
      <c r="P223" s="17">
        <f>('[50]2022-23'!BK195+'[50]2022-23'!BP195+'[50]2022-23'!BU195)/10000000</f>
        <v>6.9569908460500001</v>
      </c>
      <c r="Q223" s="17">
        <f t="shared" ref="Q223:Q249" si="165">SUM(E223:P223)</f>
        <v>56.298042670599997</v>
      </c>
    </row>
    <row r="224" spans="3:17" x14ac:dyDescent="0.25">
      <c r="C224" s="806"/>
      <c r="D224" s="17" t="s">
        <v>372</v>
      </c>
      <c r="E224" s="17">
        <f>'[50]2022-23'!H196/10000000</f>
        <v>1.3418508177499999</v>
      </c>
      <c r="F224" s="17">
        <f>'[50]2022-23'!M196/10000000</f>
        <v>1.5622139767500001</v>
      </c>
      <c r="G224" s="17">
        <f>'[50]2022-23'!R196/10000000</f>
        <v>0.67147516674999996</v>
      </c>
      <c r="H224" s="17">
        <f>'[50]2022-23'!W196/10000000</f>
        <v>-9.3838302000000002E-3</v>
      </c>
      <c r="I224" s="17">
        <f>'[50]2022-23'!AB196/10000000</f>
        <v>0.77710162639999991</v>
      </c>
      <c r="J224" s="17">
        <f>'[50]2022-23'!AG196/10000000</f>
        <v>1.48302822775</v>
      </c>
      <c r="K224" s="17">
        <f>'[50]2022-23'!AL196/10000000</f>
        <v>1.7232014298999998</v>
      </c>
      <c r="L224" s="17">
        <f>'[50]2022-23'!AQ196/10000000</f>
        <v>1.4701837280499999</v>
      </c>
      <c r="M224" s="17">
        <f>'[50]2022-23'!AV196/10000000</f>
        <v>1.746344948</v>
      </c>
      <c r="N224" s="17">
        <f>'[50]2022-23'!BA196/10000000</f>
        <v>1.2598166942</v>
      </c>
      <c r="O224" s="17">
        <f>'[50]2022-23'!BF196/10000000</f>
        <v>1.7092167439999997</v>
      </c>
      <c r="P224" s="17">
        <f>('[50]2022-23'!BK196+'[50]2022-23'!BP196+'[50]2022-23'!BU196)/10000000</f>
        <v>1.5902107076000001</v>
      </c>
      <c r="Q224" s="17">
        <f t="shared" si="165"/>
        <v>15.325260236949999</v>
      </c>
    </row>
    <row r="225" spans="3:17" x14ac:dyDescent="0.25">
      <c r="C225" s="806"/>
      <c r="D225" s="17" t="s">
        <v>373</v>
      </c>
      <c r="E225" s="17">
        <f>'[50]2022-23'!H199/10000000</f>
        <v>3.0084845109499998</v>
      </c>
      <c r="F225" s="17">
        <f>'[50]2022-23'!M199/10000000</f>
        <v>3.9022885947499999</v>
      </c>
      <c r="G225" s="17">
        <f>'[50]2022-23'!R199/10000000</f>
        <v>3.2337642885499998</v>
      </c>
      <c r="H225" s="17">
        <f>'[50]2022-23'!W199/10000000</f>
        <v>3.6656316342499999</v>
      </c>
      <c r="I225" s="17">
        <f>'[50]2022-23'!AB199/10000000</f>
        <v>3.27203756745</v>
      </c>
      <c r="J225" s="17">
        <f>'[50]2022-23'!AG199/10000000</f>
        <v>3.1740890467499998</v>
      </c>
      <c r="K225" s="17">
        <f>'[50]2022-23'!AL199/10000000</f>
        <v>15.359247775149997</v>
      </c>
      <c r="L225" s="17">
        <f>'[50]2022-23'!AQ199/10000000</f>
        <v>2.1089374709999995</v>
      </c>
      <c r="M225" s="17">
        <f>'[50]2022-23'!AV199/10000000</f>
        <v>3.2176215066499996</v>
      </c>
      <c r="N225" s="17">
        <f>'[50]2022-23'!BA199/10000000</f>
        <v>2.6678085601499997</v>
      </c>
      <c r="O225" s="17">
        <f>'[50]2022-23'!BF199/10000000</f>
        <v>3.1695475327999998</v>
      </c>
      <c r="P225" s="17">
        <f>('[50]2022-23'!BK199+'[50]2022-23'!BP199+'[50]2022-23'!BU199)/10000000</f>
        <v>3.88614445815</v>
      </c>
      <c r="Q225" s="17">
        <f t="shared" si="165"/>
        <v>50.665602946599989</v>
      </c>
    </row>
    <row r="226" spans="3:17" x14ac:dyDescent="0.25">
      <c r="C226" s="806"/>
      <c r="D226" s="17" t="s">
        <v>374</v>
      </c>
      <c r="E226" s="17">
        <f>'[50]2022-23'!H197/10000000</f>
        <v>9.0359144378999989</v>
      </c>
      <c r="F226" s="17">
        <f>'[50]2022-23'!M197/10000000</f>
        <v>23.848845953399998</v>
      </c>
      <c r="G226" s="17">
        <f>'[50]2022-23'!R197/10000000</f>
        <v>8.7926870056999995</v>
      </c>
      <c r="H226" s="17">
        <f>'[50]2022-23'!W197/10000000</f>
        <v>8.5776346535499997</v>
      </c>
      <c r="I226" s="17">
        <f>'[50]2022-23'!AB197/10000000</f>
        <v>8.7113167146000006</v>
      </c>
      <c r="J226" s="17">
        <f>'[50]2022-23'!AG197/10000000</f>
        <v>8.7388581189999996</v>
      </c>
      <c r="K226" s="17">
        <f>'[50]2022-23'!AL197/10000000</f>
        <v>35.487875164599998</v>
      </c>
      <c r="L226" s="17">
        <f>'[50]2022-23'!AQ197/10000000</f>
        <v>9.9805346733999993</v>
      </c>
      <c r="M226" s="17">
        <f>'[50]2022-23'!AV197/10000000</f>
        <v>8.8920428535499987</v>
      </c>
      <c r="N226" s="17">
        <f>'[50]2022-23'!BA197/10000000</f>
        <v>11.997901698549999</v>
      </c>
      <c r="O226" s="17">
        <f>'[50]2022-23'!BF197/10000000</f>
        <v>41.158057066200001</v>
      </c>
      <c r="P226" s="17">
        <f>('[50]2022-23'!BK197+'[50]2022-23'!BP197+'[50]2022-23'!BU197)/10000000</f>
        <v>21.37544832875</v>
      </c>
      <c r="Q226" s="17">
        <f t="shared" si="165"/>
        <v>196.59711666920001</v>
      </c>
    </row>
    <row r="227" spans="3:17" x14ac:dyDescent="0.25">
      <c r="C227" s="806"/>
      <c r="D227" s="17" t="s">
        <v>375</v>
      </c>
      <c r="E227" s="17">
        <f>'[50]2022-23'!H198/10000000</f>
        <v>6.3042554210999997</v>
      </c>
      <c r="F227" s="17">
        <f>'[50]2022-23'!M198/10000000</f>
        <v>17.935469927549999</v>
      </c>
      <c r="G227" s="17">
        <f>'[50]2022-23'!R198/10000000</f>
        <v>3.5812438078</v>
      </c>
      <c r="H227" s="17">
        <f>'[50]2022-23'!W198/10000000</f>
        <v>5.81720239775</v>
      </c>
      <c r="I227" s="17">
        <f>'[50]2022-23'!AB198/10000000</f>
        <v>7.5331393372500006</v>
      </c>
      <c r="J227" s="17">
        <f>'[50]2022-23'!AG198/10000000</f>
        <v>6.5695041791499991</v>
      </c>
      <c r="K227" s="17">
        <f>'[50]2022-23'!AL198/10000000</f>
        <v>20.462989319149997</v>
      </c>
      <c r="L227" s="17">
        <f>'[50]2022-23'!AQ198/10000000</f>
        <v>7.77849576885</v>
      </c>
      <c r="M227" s="17">
        <f>'[50]2022-23'!AV198/10000000</f>
        <v>6.4411298621499995</v>
      </c>
      <c r="N227" s="17">
        <f>'[50]2022-23'!BA198/10000000</f>
        <v>8.2138053778</v>
      </c>
      <c r="O227" s="17">
        <f>'[50]2022-23'!BF198/10000000</f>
        <v>7.8517400097999994</v>
      </c>
      <c r="P227" s="17">
        <f>('[50]2022-23'!BK198+'[50]2022-23'!BP198+'[50]2022-23'!BU198)/10000000</f>
        <v>8.394231067849999</v>
      </c>
      <c r="Q227" s="17">
        <f t="shared" si="165"/>
        <v>106.8832064762</v>
      </c>
    </row>
    <row r="228" spans="3:17" x14ac:dyDescent="0.25">
      <c r="C228" s="806"/>
      <c r="D228" s="17" t="s">
        <v>376</v>
      </c>
      <c r="E228" s="17">
        <f>'[50]2022-23'!$H200/10000000</f>
        <v>6.985758519</v>
      </c>
      <c r="F228" s="17">
        <f>'[50]2022-23'!$M$200/10000000</f>
        <v>7.8007181792999996</v>
      </c>
      <c r="G228" s="17">
        <f>'[50]2022-23'!$R$200/10000000</f>
        <v>7.8077673312999991</v>
      </c>
      <c r="H228" s="17">
        <f>'[50]2022-23'!$W$200/10000000</f>
        <v>7.8424737734499992</v>
      </c>
      <c r="I228" s="17">
        <f>'[50]2022-23'!AB$200/10000000</f>
        <v>7.8396287561999989</v>
      </c>
      <c r="J228" s="17">
        <f>'[50]2022-23'!$AG$200/10000000</f>
        <v>10.070434891949999</v>
      </c>
      <c r="K228" s="17">
        <f>'[50]2022-23'!$AL$200/10000000</f>
        <v>14.6759384204</v>
      </c>
      <c r="L228" s="17">
        <f>'[50]2022-23'!$AQ$200/10000000</f>
        <v>6.9093059656000007</v>
      </c>
      <c r="M228" s="17">
        <f>'[50]2022-23'!$AV$200/10000000</f>
        <v>6.9221004591999993</v>
      </c>
      <c r="N228" s="17">
        <f>'[50]2022-23'!$BA$200/10000000</f>
        <v>7.4048891814499989</v>
      </c>
      <c r="O228" s="17">
        <f>'[50]2022-23'!$BF$200/10000000</f>
        <v>8.9043158759999983</v>
      </c>
      <c r="P228" s="17">
        <f>('[50]2022-23'!$BK$200+'[50]2022-23'!$BP$200+'[50]2022-23'!$BU$200)/10000000</f>
        <v>9.0353982677499989</v>
      </c>
      <c r="Q228" s="17">
        <f t="shared" si="165"/>
        <v>102.19872962159999</v>
      </c>
    </row>
    <row r="229" spans="3:17" x14ac:dyDescent="0.25">
      <c r="C229" s="806"/>
      <c r="D229" s="17" t="s">
        <v>377</v>
      </c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>
        <f>'[50]2022-23'!$BP$215/10000000</f>
        <v>15.373670382549998</v>
      </c>
      <c r="Q229" s="17">
        <f t="shared" si="165"/>
        <v>15.373670382549998</v>
      </c>
    </row>
    <row r="230" spans="3:17" x14ac:dyDescent="0.25">
      <c r="C230" s="806"/>
      <c r="D230" s="17" t="s">
        <v>378</v>
      </c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>
        <f t="shared" si="165"/>
        <v>0</v>
      </c>
    </row>
    <row r="231" spans="3:17" x14ac:dyDescent="0.25">
      <c r="C231" s="807"/>
      <c r="D231" s="17" t="s">
        <v>379</v>
      </c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>
        <f t="shared" si="165"/>
        <v>0</v>
      </c>
    </row>
    <row r="232" spans="3:17" x14ac:dyDescent="0.25">
      <c r="C232" s="17"/>
      <c r="D232" s="17" t="s">
        <v>380</v>
      </c>
      <c r="E232" s="17">
        <f>'[50]2022-23'!H190/10000000</f>
        <v>0.18014087967918324</v>
      </c>
      <c r="F232" s="17">
        <f>'[50]2022-23'!M190/10000000</f>
        <v>0.10296123465</v>
      </c>
      <c r="G232" s="17">
        <f>'[50]2022-23'!R190/10000000</f>
        <v>9.0449666823271019E-2</v>
      </c>
      <c r="H232" s="17">
        <f>'[50]2022-23'!W190/10000000</f>
        <v>6.2603072450000005E-2</v>
      </c>
      <c r="I232" s="17">
        <f>'[50]2022-23'!AB190/10000000</f>
        <v>4.5386072349999994E-2</v>
      </c>
      <c r="J232" s="17">
        <f>'[50]2022-23'!AG190/10000000</f>
        <v>3.944176655E-2</v>
      </c>
      <c r="K232" s="17">
        <f>'[50]2022-23'!AL190/10000000</f>
        <v>2.6640828408578829E-2</v>
      </c>
      <c r="L232" s="17">
        <f>'[50]2022-23'!AQ190/10000000</f>
        <v>0.10147632883749999</v>
      </c>
      <c r="M232" s="17">
        <f>'[50]2022-23'!AV190/10000000</f>
        <v>9.2394103450000001E-2</v>
      </c>
      <c r="N232" s="17">
        <f>'[50]2022-23'!BA190/10000000</f>
        <v>0.13368562096599998</v>
      </c>
      <c r="O232" s="17">
        <f>'[50]2022-23'!BF190/10000000</f>
        <v>0.13417120640750005</v>
      </c>
      <c r="P232" s="17">
        <f>('[50]2022-23'!BK190+'[50]2022-23'!BP190+'[50]2022-23'!BU190)/10000000</f>
        <v>8.6801512815500015</v>
      </c>
      <c r="Q232" s="17">
        <f t="shared" si="165"/>
        <v>9.6895020621220347</v>
      </c>
    </row>
    <row r="233" spans="3:17" x14ac:dyDescent="0.25">
      <c r="C233" s="17"/>
      <c r="D233" s="17" t="s">
        <v>381</v>
      </c>
      <c r="E233" s="17">
        <f>'[50]2022-23'!H191/10000000</f>
        <v>0.23601303948950031</v>
      </c>
      <c r="F233" s="17">
        <f>'[50]2022-23'!M191/10000000</f>
        <v>0.14392382865</v>
      </c>
      <c r="G233" s="17">
        <f>'[50]2022-23'!R191/10000000</f>
        <v>0.10202130845</v>
      </c>
      <c r="H233" s="17">
        <f>'[50]2022-23'!W191/10000000</f>
        <v>0.12624587714999999</v>
      </c>
      <c r="I233" s="17">
        <f>'[50]2022-23'!AB191/10000000</f>
        <v>0.12297560189999998</v>
      </c>
      <c r="J233" s="17">
        <f>'[50]2022-23'!AG191/10000000</f>
        <v>0.11160878540000001</v>
      </c>
      <c r="K233" s="17">
        <f>'[50]2022-23'!AL191/10000000</f>
        <v>5.5331171096896649E-2</v>
      </c>
      <c r="L233" s="17">
        <f>'[50]2022-23'!AQ191/10000000</f>
        <v>0.10760918606749333</v>
      </c>
      <c r="M233" s="17">
        <f>'[50]2022-23'!AV191/10000000</f>
        <v>5.8093452850000005E-2</v>
      </c>
      <c r="N233" s="17">
        <f>'[50]2022-23'!BA191/10000000</f>
        <v>5.4950682258500007E-2</v>
      </c>
      <c r="O233" s="17">
        <f>'[50]2022-23'!BF191/10000000</f>
        <v>0.15263763721784268</v>
      </c>
      <c r="P233" s="17">
        <f>('[50]2022-23'!BK191+'[50]2022-23'!BP191+'[50]2022-23'!BU191)/10000000</f>
        <v>0.68246138049664717</v>
      </c>
      <c r="Q233" s="17">
        <f t="shared" si="165"/>
        <v>1.9538719510268798</v>
      </c>
    </row>
    <row r="234" spans="3:17" x14ac:dyDescent="0.25">
      <c r="C234" s="17"/>
      <c r="D234" s="17" t="s">
        <v>382</v>
      </c>
      <c r="E234" s="17">
        <f>'[50]2022-23'!$H$194/10000000</f>
        <v>1.9002057647275001</v>
      </c>
      <c r="F234" s="17">
        <f>'[50]2022-23'!$M$194/10000000</f>
        <v>2.0585742602999999</v>
      </c>
      <c r="G234" s="17">
        <f>'[50]2022-23'!$R$194/10000000</f>
        <v>1.9351521895283337</v>
      </c>
      <c r="H234" s="17">
        <f>'[50]2022-23'!$W$194/10000000</f>
        <v>2.0915548441</v>
      </c>
      <c r="I234" s="17">
        <f>'[50]2022-23'!$AB$194/10000000</f>
        <v>1.9704899876499999</v>
      </c>
      <c r="J234" s="17">
        <f>'[50]2022-23'!$AG$194/10000000</f>
        <v>1.9225824062999997</v>
      </c>
      <c r="K234" s="17">
        <f>'[50]2022-23'!$AL$194/10000000</f>
        <v>1.8917673384275009</v>
      </c>
      <c r="L234" s="17">
        <f>'[50]2022-23'!$AQ$194/10000000</f>
        <v>1.9207136744654174</v>
      </c>
      <c r="M234" s="17">
        <f>'[50]2022-23'!$AV$194/10000000</f>
        <v>1.7220567673</v>
      </c>
      <c r="N234" s="17">
        <f>'[50]2022-23'!$BA$194/10000000</f>
        <v>1.9631041804500711</v>
      </c>
      <c r="O234" s="17">
        <f>'[50]2022-23'!$BF$194/10000000</f>
        <v>2.0959693006981084</v>
      </c>
      <c r="P234" s="17">
        <f>('[50]2022-23'!$BK$194+'[50]2022-23'!$BP$194+'[50]2022-23'!$BU$194)/10000000</f>
        <v>2.1972557723697919</v>
      </c>
      <c r="Q234" s="17">
        <f t="shared" si="165"/>
        <v>23.669426486316727</v>
      </c>
    </row>
    <row r="235" spans="3:17" x14ac:dyDescent="0.25">
      <c r="C235" s="17"/>
      <c r="D235" s="17" t="s">
        <v>383</v>
      </c>
      <c r="E235" s="17"/>
      <c r="F235" s="17"/>
      <c r="G235" s="17"/>
      <c r="H235" s="17"/>
      <c r="I235" s="17"/>
      <c r="J235" s="17"/>
      <c r="K235" s="17">
        <f>'[50]2022-23'!AL192/10000000</f>
        <v>9.3764484636185988E-2</v>
      </c>
      <c r="L235" s="17">
        <f>'[50]2022-23'!AQ192/10000000</f>
        <v>0.12549928725500001</v>
      </c>
      <c r="M235" s="17">
        <f>'[50]2022-23'!AV192/10000000</f>
        <v>0.11607873584999999</v>
      </c>
      <c r="N235" s="17">
        <f>'[50]2022-23'!BA192/10000000</f>
        <v>0.12283718689999999</v>
      </c>
      <c r="O235" s="17">
        <f>'[50]2022-23'!BF192/10000000</f>
        <v>0.15293210597099996</v>
      </c>
      <c r="P235" s="17">
        <f>('[50]2022-23'!BK192+'[50]2022-23'!BP192+'[50]2022-23'!BU192)/10000000</f>
        <v>0.11875058695275004</v>
      </c>
      <c r="Q235" s="17">
        <f t="shared" si="165"/>
        <v>0.72986238756493593</v>
      </c>
    </row>
    <row r="236" spans="3:17" x14ac:dyDescent="0.25">
      <c r="C236" s="17"/>
      <c r="D236" s="17" t="s">
        <v>384</v>
      </c>
      <c r="E236" s="17"/>
      <c r="F236" s="17"/>
      <c r="G236" s="17"/>
      <c r="H236" s="17"/>
      <c r="I236" s="17"/>
      <c r="J236" s="17"/>
      <c r="K236" s="17">
        <f>'[50]2022-23'!AL193/10000000</f>
        <v>0.16197976633931405</v>
      </c>
      <c r="L236" s="17">
        <f>'[50]2022-23'!AQ193/10000000</f>
        <v>8.5279735164884143E-2</v>
      </c>
      <c r="M236" s="17">
        <f>'[50]2022-23'!AV193/10000000</f>
        <v>0.14225153985</v>
      </c>
      <c r="N236" s="17">
        <f>'[50]2022-23'!BA193/10000000</f>
        <v>6.0585298190250006E-2</v>
      </c>
      <c r="O236" s="17">
        <f>'[50]2022-23'!BF193/10000000</f>
        <v>0.16871121629999999</v>
      </c>
      <c r="P236" s="17">
        <f>('[50]2022-23'!BK193+'[50]2022-23'!BP193+'[50]2022-23'!BU193)/10000000</f>
        <v>5.1911824701153471E-2</v>
      </c>
      <c r="Q236" s="17">
        <f t="shared" si="165"/>
        <v>0.67071938054560165</v>
      </c>
    </row>
    <row r="237" spans="3:17" x14ac:dyDescent="0.25">
      <c r="C237" s="17"/>
      <c r="D237" s="17" t="s">
        <v>379</v>
      </c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>
        <f t="shared" si="165"/>
        <v>0</v>
      </c>
    </row>
    <row r="238" spans="3:17" x14ac:dyDescent="0.25">
      <c r="C238" s="17"/>
      <c r="D238" s="17" t="s">
        <v>385</v>
      </c>
      <c r="E238" s="17">
        <f>'[50]2022-23'!H202/10000000</f>
        <v>4.2460189670249999</v>
      </c>
      <c r="F238" s="17">
        <f>'[50]2022-23'!M202/10000000</f>
        <v>3.5311064491499997</v>
      </c>
      <c r="G238" s="17">
        <f>'[50]2022-23'!R202/10000000</f>
        <v>3.4310075777999995</v>
      </c>
      <c r="H238" s="17">
        <f>'[50]2022-23'!W202/10000000</f>
        <v>3.2820540130999998</v>
      </c>
      <c r="I238" s="17">
        <f>'[50]2022-23'!AB202/10000000</f>
        <v>3.0773154337999999</v>
      </c>
      <c r="J238" s="17">
        <f>'[50]2022-23'!AG202/10000000</f>
        <v>3.5144187538999998</v>
      </c>
      <c r="K238" s="17">
        <f>'[50]2022-23'!AL202/10000000</f>
        <v>3.2066583318499999</v>
      </c>
      <c r="L238" s="17">
        <f>'[50]2022-23'!AQ202/10000000</f>
        <v>3.0797949765499997</v>
      </c>
      <c r="M238" s="17">
        <f>'[50]2022-23'!AV202/10000000</f>
        <v>3.1865427743999999</v>
      </c>
      <c r="N238" s="17">
        <f>'[50]2022-23'!BA202/10000000</f>
        <v>3.2294544577499997</v>
      </c>
      <c r="O238" s="17">
        <f>'[50]2022-23'!BF202/10000000</f>
        <v>3.5626398732024995</v>
      </c>
      <c r="P238" s="17">
        <f>('[50]2022-23'!BK202+'[50]2022-23'!BP202+'[50]2022-23'!BU202)/10000000</f>
        <v>27.062730755699999</v>
      </c>
      <c r="Q238" s="17">
        <f t="shared" si="165"/>
        <v>64.409742364227498</v>
      </c>
    </row>
    <row r="239" spans="3:17" x14ac:dyDescent="0.25">
      <c r="C239" s="17"/>
      <c r="D239" s="17" t="s">
        <v>386</v>
      </c>
      <c r="E239" s="17">
        <f>'[50]2022-23'!H203/10000000</f>
        <v>2.3263164025999998</v>
      </c>
      <c r="F239" s="17">
        <f>'[50]2022-23'!M203/10000000</f>
        <v>4.5124029461236823</v>
      </c>
      <c r="G239" s="17">
        <f>'[50]2022-23'!R203/10000000</f>
        <v>4.1256610136500003</v>
      </c>
      <c r="H239" s="17">
        <f>'[50]2022-23'!W203/10000000</f>
        <v>3.7388921905000001</v>
      </c>
      <c r="I239" s="17">
        <f>'[50]2022-23'!AB203/10000000</f>
        <v>4.0313152881500001</v>
      </c>
      <c r="J239" s="17">
        <f>'[50]2022-23'!AG203/10000000</f>
        <v>4.0538841778499997</v>
      </c>
      <c r="K239" s="17">
        <f>'[50]2022-23'!AL203/10000000</f>
        <v>3.9172333601882667</v>
      </c>
      <c r="L239" s="17">
        <f>'[50]2022-23'!AQ203/10000000</f>
        <v>3.8635692661499998</v>
      </c>
      <c r="M239" s="17">
        <f>'[50]2022-23'!AV203/10000000</f>
        <v>4.1411433203999994</v>
      </c>
      <c r="N239" s="17">
        <f>'[50]2022-23'!BA203/10000000</f>
        <v>4.0377139485500004</v>
      </c>
      <c r="O239" s="17">
        <f>'[50]2022-23'!BF203/10000000</f>
        <v>7.3304581643999995</v>
      </c>
      <c r="P239" s="17">
        <f>('[50]2022-23'!BK203+'[50]2022-23'!BP203+'[50]2022-23'!BU203)/10000000</f>
        <v>4.4088325410499998</v>
      </c>
      <c r="Q239" s="17">
        <f t="shared" si="165"/>
        <v>50.487422619611948</v>
      </c>
    </row>
    <row r="240" spans="3:17" x14ac:dyDescent="0.25">
      <c r="C240" s="17"/>
      <c r="D240" s="328" t="s">
        <v>438</v>
      </c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>
        <f t="shared" si="165"/>
        <v>0</v>
      </c>
    </row>
    <row r="241" spans="3:17" x14ac:dyDescent="0.25">
      <c r="C241" s="17"/>
      <c r="D241" s="328" t="s">
        <v>439</v>
      </c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>
        <f t="shared" si="165"/>
        <v>0</v>
      </c>
    </row>
    <row r="242" spans="3:17" x14ac:dyDescent="0.25">
      <c r="C242" s="17"/>
      <c r="D242" s="327" t="s">
        <v>441</v>
      </c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>
        <f t="shared" si="165"/>
        <v>0</v>
      </c>
    </row>
    <row r="243" spans="3:17" x14ac:dyDescent="0.25">
      <c r="C243" s="17"/>
      <c r="D243" s="327" t="s">
        <v>442</v>
      </c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>
        <f t="shared" si="165"/>
        <v>0</v>
      </c>
    </row>
    <row r="244" spans="3:17" x14ac:dyDescent="0.25">
      <c r="C244" s="17"/>
      <c r="D244" s="328" t="s">
        <v>443</v>
      </c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>
        <f t="shared" si="165"/>
        <v>0</v>
      </c>
    </row>
    <row r="245" spans="3:17" x14ac:dyDescent="0.25">
      <c r="C245" s="17"/>
      <c r="D245" s="328" t="s">
        <v>444</v>
      </c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>
        <f t="shared" si="165"/>
        <v>0</v>
      </c>
    </row>
    <row r="246" spans="3:17" x14ac:dyDescent="0.25">
      <c r="C246" s="17"/>
      <c r="D246" s="325" t="s">
        <v>625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>
        <f t="shared" si="165"/>
        <v>0</v>
      </c>
    </row>
    <row r="247" spans="3:17" x14ac:dyDescent="0.25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>
        <f t="shared" si="165"/>
        <v>0</v>
      </c>
    </row>
    <row r="248" spans="3:17" x14ac:dyDescent="0.25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>
        <f t="shared" si="165"/>
        <v>0</v>
      </c>
    </row>
    <row r="249" spans="3:17" x14ac:dyDescent="0.25">
      <c r="C249" s="751" t="s">
        <v>212</v>
      </c>
      <c r="D249" s="752"/>
      <c r="E249" s="17">
        <f t="shared" ref="E249:P249" si="166">SUM(E223:E248)</f>
        <v>40.006508160321182</v>
      </c>
      <c r="F249" s="17">
        <f t="shared" si="166"/>
        <v>69.739454434223688</v>
      </c>
      <c r="G249" s="17">
        <f t="shared" si="166"/>
        <v>37.93731155520161</v>
      </c>
      <c r="H249" s="17">
        <f t="shared" si="166"/>
        <v>39.513449351950001</v>
      </c>
      <c r="I249" s="17">
        <f t="shared" si="166"/>
        <v>41.628967013149996</v>
      </c>
      <c r="J249" s="17">
        <f t="shared" si="166"/>
        <v>43.8869656886</v>
      </c>
      <c r="K249" s="17">
        <f t="shared" si="166"/>
        <v>102.00564149504672</v>
      </c>
      <c r="L249" s="17">
        <f t="shared" si="166"/>
        <v>42.217000286240292</v>
      </c>
      <c r="M249" s="17">
        <f t="shared" si="166"/>
        <v>41.86539614845001</v>
      </c>
      <c r="N249" s="17">
        <f t="shared" si="166"/>
        <v>44.526750321114818</v>
      </c>
      <c r="O249" s="17">
        <f t="shared" si="166"/>
        <v>81.810543599296949</v>
      </c>
      <c r="P249" s="17">
        <f t="shared" si="166"/>
        <v>109.81418820152034</v>
      </c>
      <c r="Q249" s="86">
        <f t="shared" si="165"/>
        <v>694.95217625511566</v>
      </c>
    </row>
    <row r="250" spans="3:17" x14ac:dyDescent="0.25">
      <c r="C250" s="753" t="s">
        <v>387</v>
      </c>
      <c r="D250" s="754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</row>
    <row r="251" spans="3:17" x14ac:dyDescent="0.25">
      <c r="C251" s="805" t="s">
        <v>388</v>
      </c>
      <c r="D251" s="17" t="s">
        <v>389</v>
      </c>
      <c r="E251" s="17">
        <f>'[50]2022-23'!$H$188/10000000</f>
        <v>0</v>
      </c>
      <c r="F251" s="17">
        <f>'[50]2022-23'!$M$188/10000000</f>
        <v>0</v>
      </c>
      <c r="G251" s="17">
        <f>'[50]2022-23'!$R$188/10000000</f>
        <v>0</v>
      </c>
      <c r="H251" s="17">
        <f>'[50]2022-23'!$W$188/10000000</f>
        <v>0</v>
      </c>
      <c r="I251" s="17">
        <f>'[50]2022-23'!$AB$188/10000000</f>
        <v>0</v>
      </c>
      <c r="J251" s="17">
        <f>'[50]2022-23'!$AG$188/10000000</f>
        <v>0</v>
      </c>
      <c r="K251" s="17">
        <f>'[50]2022-23'!$AL$188/10000000</f>
        <v>0</v>
      </c>
      <c r="L251" s="17">
        <f>'[50]2022-23'!$AQ$188/10000000</f>
        <v>0</v>
      </c>
      <c r="M251" s="17">
        <f>'[50]2022-23'!$AV$188/10000000</f>
        <v>0</v>
      </c>
      <c r="N251" s="17">
        <f>'[50]2022-23'!$BA$188/10000000</f>
        <v>0</v>
      </c>
      <c r="O251" s="17">
        <f>'[50]2022-23'!$BF$188/10000000</f>
        <v>0</v>
      </c>
      <c r="P251" s="17">
        <f>('[50]2022-23'!$BK$188+'[50]2022-23'!$BP$188+'[50]2022-23'!$BU$188)/10000000</f>
        <v>0</v>
      </c>
      <c r="Q251" s="17">
        <f t="shared" ref="Q251:Q265" si="167">SUM(E251:P251)</f>
        <v>0</v>
      </c>
    </row>
    <row r="252" spans="3:17" x14ac:dyDescent="0.25">
      <c r="C252" s="806"/>
      <c r="D252" s="17" t="s">
        <v>390</v>
      </c>
      <c r="E252" s="17">
        <f>'[50]2022-23'!$H$187/10000000</f>
        <v>0</v>
      </c>
      <c r="F252" s="17">
        <f>'[50]2022-23'!$M$187/10000000</f>
        <v>0</v>
      </c>
      <c r="G252" s="17">
        <f>'[50]2022-23'!$R$187/10000000</f>
        <v>0</v>
      </c>
      <c r="H252" s="17">
        <f>'[50]2022-23'!$W$187/10000000</f>
        <v>0</v>
      </c>
      <c r="I252" s="17">
        <f>'[50]2022-23'!$AB$187/10000000</f>
        <v>0</v>
      </c>
      <c r="J252" s="17">
        <f>'[50]2022-23'!$AG$187/10000000</f>
        <v>0</v>
      </c>
      <c r="K252" s="17">
        <f>'[50]2022-23'!$AL$187/10000000</f>
        <v>0</v>
      </c>
      <c r="L252" s="17">
        <f>'[50]2022-23'!$AQ$187/10000000</f>
        <v>0</v>
      </c>
      <c r="M252" s="17">
        <f>'[50]2022-23'!$AV$187/10000000</f>
        <v>0</v>
      </c>
      <c r="N252" s="17">
        <f>'[50]2022-23'!$BA$187/10000000</f>
        <v>0</v>
      </c>
      <c r="O252" s="17">
        <f>'[50]2022-23'!$BF$187/10000000</f>
        <v>0</v>
      </c>
      <c r="P252" s="17">
        <f>('[50]2022-23'!$BK$188+'[50]2022-23'!$BP$187+'[50]2022-23'!$BU$187)/10000000</f>
        <v>0</v>
      </c>
      <c r="Q252" s="17">
        <f t="shared" si="167"/>
        <v>0</v>
      </c>
    </row>
    <row r="253" spans="3:17" x14ac:dyDescent="0.25">
      <c r="C253" s="806"/>
      <c r="D253" s="17" t="s">
        <v>391</v>
      </c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>
        <f t="shared" si="167"/>
        <v>0</v>
      </c>
    </row>
    <row r="254" spans="3:17" x14ac:dyDescent="0.25">
      <c r="C254" s="807"/>
      <c r="D254" s="17" t="s">
        <v>392</v>
      </c>
      <c r="E254" s="17">
        <f>'[50]2022-23'!$H$189/10000000</f>
        <v>0</v>
      </c>
      <c r="F254" s="17">
        <f>'[50]2022-23'!$M$189/10000000</f>
        <v>0</v>
      </c>
      <c r="G254" s="17">
        <f>'[50]2022-23'!$R$189/10000000</f>
        <v>0</v>
      </c>
      <c r="H254" s="17">
        <f>'[50]2022-23'!$W$189/10000000</f>
        <v>0</v>
      </c>
      <c r="I254" s="17">
        <f>'[50]2022-23'!$AB$189/10000000</f>
        <v>0</v>
      </c>
      <c r="J254" s="17">
        <f>'[50]2022-23'!$AG$189/10000000</f>
        <v>0</v>
      </c>
      <c r="K254" s="17">
        <f>'[50]2022-23'!$AL$189/10000000</f>
        <v>0</v>
      </c>
      <c r="L254" s="17">
        <f>'[50]2022-23'!$AQ$189/10000000</f>
        <v>0</v>
      </c>
      <c r="M254" s="17">
        <f>'[50]2022-23'!$AV$189/10000000</f>
        <v>0</v>
      </c>
      <c r="N254" s="17">
        <f>'[50]2022-23'!$BA$189/10000000</f>
        <v>0</v>
      </c>
      <c r="O254" s="17">
        <f>'[50]2022-23'!$BF$189/10000000</f>
        <v>0</v>
      </c>
      <c r="P254" s="17">
        <f>('[50]2022-23'!$BK$189+'[50]2022-23'!$BP$189+'[50]2022-23'!$BU$189)/10000000</f>
        <v>0</v>
      </c>
      <c r="Q254" s="17">
        <f t="shared" si="167"/>
        <v>0</v>
      </c>
    </row>
    <row r="255" spans="3:17" x14ac:dyDescent="0.25"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f t="shared" si="167"/>
        <v>0</v>
      </c>
    </row>
    <row r="256" spans="3:17" x14ac:dyDescent="0.25"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>
        <f t="shared" si="167"/>
        <v>0</v>
      </c>
    </row>
    <row r="257" spans="3:17" x14ac:dyDescent="0.25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>
        <f t="shared" si="167"/>
        <v>0</v>
      </c>
    </row>
    <row r="258" spans="3:17" x14ac:dyDescent="0.25"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>
        <f t="shared" si="167"/>
        <v>0</v>
      </c>
    </row>
    <row r="259" spans="3:17" x14ac:dyDescent="0.25"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>
        <f t="shared" si="167"/>
        <v>0</v>
      </c>
    </row>
    <row r="260" spans="3:17" x14ac:dyDescent="0.25"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>
        <f t="shared" si="167"/>
        <v>0</v>
      </c>
    </row>
    <row r="261" spans="3:17" x14ac:dyDescent="0.25"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>
        <f t="shared" si="167"/>
        <v>0</v>
      </c>
    </row>
    <row r="262" spans="3:17" x14ac:dyDescent="0.25"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>
        <f t="shared" si="167"/>
        <v>0</v>
      </c>
    </row>
    <row r="263" spans="3:17" x14ac:dyDescent="0.25"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>
        <f t="shared" si="167"/>
        <v>0</v>
      </c>
    </row>
    <row r="264" spans="3:17" x14ac:dyDescent="0.25"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>
        <f t="shared" si="167"/>
        <v>0</v>
      </c>
    </row>
    <row r="265" spans="3:17" x14ac:dyDescent="0.25">
      <c r="C265" s="751" t="s">
        <v>212</v>
      </c>
      <c r="D265" s="752"/>
      <c r="E265" s="17">
        <f t="shared" ref="E265:P265" si="168">SUM(E251:E264)</f>
        <v>0</v>
      </c>
      <c r="F265" s="17">
        <f t="shared" si="168"/>
        <v>0</v>
      </c>
      <c r="G265" s="17">
        <f t="shared" si="168"/>
        <v>0</v>
      </c>
      <c r="H265" s="17">
        <f t="shared" si="168"/>
        <v>0</v>
      </c>
      <c r="I265" s="17">
        <f t="shared" si="168"/>
        <v>0</v>
      </c>
      <c r="J265" s="17">
        <f t="shared" si="168"/>
        <v>0</v>
      </c>
      <c r="K265" s="17">
        <f t="shared" si="168"/>
        <v>0</v>
      </c>
      <c r="L265" s="17">
        <f t="shared" si="168"/>
        <v>0</v>
      </c>
      <c r="M265" s="17">
        <f t="shared" si="168"/>
        <v>0</v>
      </c>
      <c r="N265" s="17">
        <f t="shared" si="168"/>
        <v>0</v>
      </c>
      <c r="O265" s="17">
        <f t="shared" si="168"/>
        <v>0</v>
      </c>
      <c r="P265" s="17">
        <f t="shared" si="168"/>
        <v>0</v>
      </c>
      <c r="Q265" s="86">
        <f t="shared" si="167"/>
        <v>0</v>
      </c>
    </row>
    <row r="266" spans="3:17" x14ac:dyDescent="0.25">
      <c r="C266" s="753" t="s">
        <v>394</v>
      </c>
      <c r="D266" s="754"/>
      <c r="E266" s="17">
        <f t="shared" ref="E266:Q266" si="169">E249+E265</f>
        <v>40.006508160321182</v>
      </c>
      <c r="F266" s="17">
        <f t="shared" si="169"/>
        <v>69.739454434223688</v>
      </c>
      <c r="G266" s="17">
        <f t="shared" si="169"/>
        <v>37.93731155520161</v>
      </c>
      <c r="H266" s="17">
        <f t="shared" si="169"/>
        <v>39.513449351950001</v>
      </c>
      <c r="I266" s="17">
        <f t="shared" si="169"/>
        <v>41.628967013149996</v>
      </c>
      <c r="J266" s="17">
        <f t="shared" si="169"/>
        <v>43.8869656886</v>
      </c>
      <c r="K266" s="17">
        <f t="shared" si="169"/>
        <v>102.00564149504672</v>
      </c>
      <c r="L266" s="17">
        <f t="shared" si="169"/>
        <v>42.217000286240292</v>
      </c>
      <c r="M266" s="17">
        <f t="shared" si="169"/>
        <v>41.86539614845001</v>
      </c>
      <c r="N266" s="17">
        <f t="shared" si="169"/>
        <v>44.526750321114818</v>
      </c>
      <c r="O266" s="17">
        <f t="shared" si="169"/>
        <v>81.810543599296949</v>
      </c>
      <c r="P266" s="17">
        <f t="shared" si="169"/>
        <v>109.81418820152034</v>
      </c>
      <c r="Q266" s="86">
        <f t="shared" si="169"/>
        <v>694.95217625511566</v>
      </c>
    </row>
    <row r="267" spans="3:17" x14ac:dyDescent="0.25">
      <c r="C267" s="800" t="s">
        <v>395</v>
      </c>
      <c r="D267" s="801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</row>
    <row r="268" spans="3:17" x14ac:dyDescent="0.25">
      <c r="C268" s="17" t="s">
        <v>396</v>
      </c>
      <c r="D268" s="17" t="s">
        <v>396</v>
      </c>
      <c r="E268" s="17">
        <f>'[50]2022-23'!H206/10000000</f>
        <v>27.453048892849999</v>
      </c>
      <c r="F268" s="17">
        <f>'[50]2022-23'!M206/10000000</f>
        <v>28.063508194899999</v>
      </c>
      <c r="G268" s="17">
        <f>'[50]2022-23'!R206/10000000</f>
        <v>17.180073098400001</v>
      </c>
      <c r="H268" s="17">
        <f>'[50]2022-23'!W206/10000000</f>
        <v>28.063508194899999</v>
      </c>
      <c r="I268" s="17">
        <f>'[50]2022-23'!AB206/10000000</f>
        <v>28.176790594349999</v>
      </c>
      <c r="J268" s="17">
        <f>'[50]2022-23'!AG206/10000000</f>
        <v>26.728247462549998</v>
      </c>
      <c r="K268" s="17">
        <f>'[50]2022-23'!AL206/10000000</f>
        <v>28.0679929587</v>
      </c>
      <c r="L268" s="17">
        <f>'[50]2022-23'!AQ206/10000000</f>
        <v>27.158233748399997</v>
      </c>
      <c r="M268" s="17">
        <f>'[50]2022-23'!AV206/10000000</f>
        <v>28.063508194899999</v>
      </c>
      <c r="N268" s="17">
        <f>'[50]2022-23'!BA206/10000000</f>
        <v>27.795305218999999</v>
      </c>
      <c r="O268" s="17">
        <f>'[50]2022-23'!BF206/10000000</f>
        <v>26.748709151739998</v>
      </c>
      <c r="P268" s="17">
        <f>('[50]2022-23'!BK206+'[50]2022-23'!BP206+'[50]2022-23'!BU206)/10000000</f>
        <v>36.500750015899996</v>
      </c>
      <c r="Q268" s="17">
        <f t="shared" ref="Q268:Q275" si="170">SUM(E268:P268)</f>
        <v>329.99967572659</v>
      </c>
    </row>
    <row r="269" spans="3:17" x14ac:dyDescent="0.25">
      <c r="C269" s="17" t="s">
        <v>397</v>
      </c>
      <c r="D269" s="17" t="s">
        <v>397</v>
      </c>
      <c r="E269" s="17">
        <f>'[50]2022-23'!H207/10000000</f>
        <v>7.6995985120499997</v>
      </c>
      <c r="F269" s="17">
        <f>'[50]2022-23'!M207/10000000</f>
        <v>8.0211001568500002</v>
      </c>
      <c r="G269" s="17">
        <f>'[50]2022-23'!R207/10000000</f>
        <v>7.188232039899999</v>
      </c>
      <c r="H269" s="17">
        <f>'[50]2022-23'!W207/10000000</f>
        <v>8.4260731146499985</v>
      </c>
      <c r="I269" s="17">
        <f>'[50]2022-23'!AB207/10000000</f>
        <v>8.124087896499999</v>
      </c>
      <c r="J269" s="17">
        <f>'[50]2022-23'!AG207/10000000</f>
        <v>7.4646810157999992</v>
      </c>
      <c r="K269" s="17">
        <f>'[50]2022-23'!AL207/10000000</f>
        <v>8.1494737081499995</v>
      </c>
      <c r="L269" s="17">
        <f>'[50]2022-23'!AQ207/10000000</f>
        <v>7.7828222683499995</v>
      </c>
      <c r="M269" s="17">
        <f>'[50]2022-23'!AV207/10000000</f>
        <v>8.0878829205499994</v>
      </c>
      <c r="N269" s="17">
        <f>'[50]2022-23'!BA207/10000000</f>
        <v>8.0251188155000008</v>
      </c>
      <c r="O269" s="17">
        <f>'[50]2022-23'!BF207/10000000</f>
        <v>7.4061897817999993</v>
      </c>
      <c r="P269" s="17">
        <f>('[50]2022-23'!BK207+'[50]2022-23'!BP207+'[50]2022-23'!BU207)/10000000</f>
        <v>9.8506622054499982</v>
      </c>
      <c r="Q269" s="17">
        <f t="shared" si="170"/>
        <v>96.225922435549975</v>
      </c>
    </row>
    <row r="270" spans="3:17" x14ac:dyDescent="0.25"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>
        <f t="shared" si="170"/>
        <v>0</v>
      </c>
    </row>
    <row r="271" spans="3:17" x14ac:dyDescent="0.25"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>
        <f t="shared" si="170"/>
        <v>0</v>
      </c>
    </row>
    <row r="272" spans="3:17" x14ac:dyDescent="0.25"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>
        <f t="shared" si="170"/>
        <v>0</v>
      </c>
    </row>
    <row r="273" spans="3:17" x14ac:dyDescent="0.25"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>
        <f t="shared" si="170"/>
        <v>0</v>
      </c>
    </row>
    <row r="274" spans="3:17" x14ac:dyDescent="0.25"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>
        <f t="shared" si="170"/>
        <v>0</v>
      </c>
    </row>
    <row r="275" spans="3:17" x14ac:dyDescent="0.25">
      <c r="C275" s="753" t="s">
        <v>398</v>
      </c>
      <c r="D275" s="754"/>
      <c r="E275" s="17">
        <f t="shared" ref="E275:P275" si="171">SUM(E268:E274)</f>
        <v>35.152647404900002</v>
      </c>
      <c r="F275" s="17">
        <f t="shared" si="171"/>
        <v>36.084608351749999</v>
      </c>
      <c r="G275" s="17">
        <f t="shared" si="171"/>
        <v>24.368305138300002</v>
      </c>
      <c r="H275" s="17">
        <f t="shared" si="171"/>
        <v>36.489581309549997</v>
      </c>
      <c r="I275" s="17">
        <f t="shared" si="171"/>
        <v>36.300878490849996</v>
      </c>
      <c r="J275" s="17">
        <f t="shared" si="171"/>
        <v>34.192928478349998</v>
      </c>
      <c r="K275" s="17">
        <f t="shared" si="171"/>
        <v>36.217466666850001</v>
      </c>
      <c r="L275" s="17">
        <f t="shared" si="171"/>
        <v>34.941056016749997</v>
      </c>
      <c r="M275" s="17">
        <f t="shared" si="171"/>
        <v>36.151391115449997</v>
      </c>
      <c r="N275" s="17">
        <f t="shared" si="171"/>
        <v>35.8204240345</v>
      </c>
      <c r="O275" s="17">
        <f t="shared" si="171"/>
        <v>34.154898933539997</v>
      </c>
      <c r="P275" s="17">
        <f t="shared" si="171"/>
        <v>46.351412221349996</v>
      </c>
      <c r="Q275" s="86">
        <f t="shared" si="170"/>
        <v>426.22559816213993</v>
      </c>
    </row>
    <row r="276" spans="3:17" x14ac:dyDescent="0.25">
      <c r="C276" s="800" t="s">
        <v>399</v>
      </c>
      <c r="D276" s="801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</row>
    <row r="277" spans="3:17" x14ac:dyDescent="0.25">
      <c r="C277" s="17" t="s">
        <v>400</v>
      </c>
      <c r="D277" s="17" t="s">
        <v>400</v>
      </c>
      <c r="E277" s="17">
        <f>'[50]2022-23'!H231/10000000</f>
        <v>34.754926666666663</v>
      </c>
      <c r="F277" s="17">
        <f>'[50]2022-23'!M231/10000000</f>
        <v>34.754926656849996</v>
      </c>
      <c r="G277" s="17">
        <f>'[50]2022-23'!R231/10000000</f>
        <v>34.754926656849996</v>
      </c>
      <c r="H277" s="17">
        <f>'[50]2022-23'!W231/10000000</f>
        <v>34.754926666666663</v>
      </c>
      <c r="I277" s="17">
        <f>'[50]2022-23'!AB231/10000000</f>
        <v>34.754926666666663</v>
      </c>
      <c r="J277" s="17">
        <f>'[50]2022-23'!AG231/10000000</f>
        <v>34.754926666666663</v>
      </c>
      <c r="K277" s="17">
        <f>'[50]2022-23'!AL231/10000000</f>
        <v>34.754926666666663</v>
      </c>
      <c r="L277" s="17">
        <f>'[50]2022-23'!AQ231/10000000</f>
        <v>34.754926666666663</v>
      </c>
      <c r="M277" s="17">
        <f>'[50]2022-23'!AV231/10000000</f>
        <v>34.754926666666663</v>
      </c>
      <c r="N277" s="17">
        <f>'[50]2022-23'!BA231/10000000</f>
        <v>34.754926666666663</v>
      </c>
      <c r="O277" s="17">
        <f>'[50]2022-23'!BF231/10000000</f>
        <v>34.754926666666663</v>
      </c>
      <c r="P277" s="17">
        <f>('[50]2022-23'!BK231+'[50]2022-23'!BP231+'[50]2022-23'!BU231)/10000000</f>
        <v>29.778554006849998</v>
      </c>
      <c r="Q277" s="17">
        <f t="shared" ref="Q277:Q285" si="172">SUM(E277:P277)</f>
        <v>412.08274732055008</v>
      </c>
    </row>
    <row r="278" spans="3:17" x14ac:dyDescent="0.25">
      <c r="C278" s="17" t="s">
        <v>401</v>
      </c>
      <c r="D278" s="17" t="s">
        <v>401</v>
      </c>
      <c r="E278" s="17">
        <f>'[50]2022-23'!H232/10000000</f>
        <v>0</v>
      </c>
      <c r="F278" s="17">
        <f>'[50]2022-23'!M232/10000000</f>
        <v>0</v>
      </c>
      <c r="G278" s="17">
        <f>'[50]2022-23'!R232/10000000</f>
        <v>0</v>
      </c>
      <c r="H278" s="17">
        <f>'[50]2022-23'!W232/10000000</f>
        <v>0</v>
      </c>
      <c r="I278" s="17">
        <f>'[50]2022-23'!AB232/10000000</f>
        <v>0</v>
      </c>
      <c r="J278" s="17">
        <f>'[50]2022-23'!AG232/10000000</f>
        <v>0</v>
      </c>
      <c r="K278" s="17">
        <f>'[50]2022-23'!AL232/10000000</f>
        <v>0</v>
      </c>
      <c r="L278" s="17">
        <f>'[50]2022-23'!AQ232/10000000</f>
        <v>0</v>
      </c>
      <c r="M278" s="17">
        <f>'[50]2022-23'!AV232/10000000</f>
        <v>0</v>
      </c>
      <c r="N278" s="17">
        <f>'[50]2022-23'!BA232/10000000</f>
        <v>0</v>
      </c>
      <c r="O278" s="17">
        <f>'[50]2022-23'!BF232/10000000</f>
        <v>0</v>
      </c>
      <c r="P278" s="17">
        <f>('[50]2022-23'!BK232+'[50]2022-23'!BP232+'[50]2022-23'!BU232)/10000000</f>
        <v>0</v>
      </c>
      <c r="Q278" s="17">
        <f t="shared" si="172"/>
        <v>0</v>
      </c>
    </row>
    <row r="279" spans="3:17" x14ac:dyDescent="0.25">
      <c r="C279" s="17" t="s">
        <v>402</v>
      </c>
      <c r="D279" s="17" t="s">
        <v>402</v>
      </c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>
        <f t="shared" si="172"/>
        <v>0</v>
      </c>
    </row>
    <row r="280" spans="3:17" x14ac:dyDescent="0.25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>
        <f t="shared" si="172"/>
        <v>0</v>
      </c>
    </row>
    <row r="281" spans="3:17" x14ac:dyDescent="0.25"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>
        <f t="shared" si="172"/>
        <v>0</v>
      </c>
    </row>
    <row r="282" spans="3:17" x14ac:dyDescent="0.25"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>
        <f t="shared" si="172"/>
        <v>0</v>
      </c>
    </row>
    <row r="283" spans="3:17" x14ac:dyDescent="0.25"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>
        <f t="shared" si="172"/>
        <v>0</v>
      </c>
    </row>
    <row r="284" spans="3:17" x14ac:dyDescent="0.25"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>
        <f t="shared" si="172"/>
        <v>0</v>
      </c>
    </row>
    <row r="285" spans="3:17" x14ac:dyDescent="0.25">
      <c r="C285" s="753" t="s">
        <v>403</v>
      </c>
      <c r="D285" s="754"/>
      <c r="E285" s="17">
        <f t="shared" ref="E285:P285" si="173">SUM(E277:E284)</f>
        <v>34.754926666666663</v>
      </c>
      <c r="F285" s="17">
        <f t="shared" si="173"/>
        <v>34.754926656849996</v>
      </c>
      <c r="G285" s="17">
        <f t="shared" si="173"/>
        <v>34.754926656849996</v>
      </c>
      <c r="H285" s="17">
        <f t="shared" si="173"/>
        <v>34.754926666666663</v>
      </c>
      <c r="I285" s="17">
        <f t="shared" si="173"/>
        <v>34.754926666666663</v>
      </c>
      <c r="J285" s="17">
        <f t="shared" si="173"/>
        <v>34.754926666666663</v>
      </c>
      <c r="K285" s="17">
        <f t="shared" si="173"/>
        <v>34.754926666666663</v>
      </c>
      <c r="L285" s="17">
        <f t="shared" si="173"/>
        <v>34.754926666666663</v>
      </c>
      <c r="M285" s="17">
        <f t="shared" si="173"/>
        <v>34.754926666666663</v>
      </c>
      <c r="N285" s="17">
        <f t="shared" si="173"/>
        <v>34.754926666666663</v>
      </c>
      <c r="O285" s="17">
        <f t="shared" si="173"/>
        <v>34.754926666666663</v>
      </c>
      <c r="P285" s="17">
        <f t="shared" si="173"/>
        <v>29.778554006849998</v>
      </c>
      <c r="Q285" s="86">
        <f t="shared" si="172"/>
        <v>412.08274732055008</v>
      </c>
    </row>
    <row r="286" spans="3:17" x14ac:dyDescent="0.25">
      <c r="C286" s="800" t="s">
        <v>404</v>
      </c>
      <c r="D286" s="801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</row>
    <row r="287" spans="3:17" x14ac:dyDescent="0.25">
      <c r="C287" s="17"/>
      <c r="D287" s="17" t="s">
        <v>405</v>
      </c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>
        <f t="shared" ref="Q287:Q311" si="174">SUM(E287:P287)</f>
        <v>0</v>
      </c>
    </row>
    <row r="288" spans="3:17" x14ac:dyDescent="0.25">
      <c r="C288" s="17"/>
      <c r="D288" s="17" t="s">
        <v>406</v>
      </c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>
        <f t="shared" si="174"/>
        <v>0</v>
      </c>
    </row>
    <row r="289" spans="3:17" x14ac:dyDescent="0.25">
      <c r="C289" s="17"/>
      <c r="D289" s="17" t="s">
        <v>407</v>
      </c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>
        <f t="shared" si="174"/>
        <v>0</v>
      </c>
    </row>
    <row r="290" spans="3:17" x14ac:dyDescent="0.25">
      <c r="C290" s="17"/>
      <c r="D290" s="17" t="s">
        <v>408</v>
      </c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>
        <f t="shared" si="174"/>
        <v>0</v>
      </c>
    </row>
    <row r="291" spans="3:17" x14ac:dyDescent="0.25">
      <c r="C291" s="17"/>
      <c r="D291" s="17" t="s">
        <v>409</v>
      </c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>
        <f t="shared" si="174"/>
        <v>0</v>
      </c>
    </row>
    <row r="292" spans="3:17" x14ac:dyDescent="0.25">
      <c r="C292" s="17"/>
      <c r="D292" s="17" t="s">
        <v>367</v>
      </c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>
        <f t="shared" si="174"/>
        <v>0</v>
      </c>
    </row>
    <row r="293" spans="3:17" x14ac:dyDescent="0.25">
      <c r="C293" s="17"/>
      <c r="D293" s="17" t="s">
        <v>410</v>
      </c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>
        <f t="shared" si="174"/>
        <v>0</v>
      </c>
    </row>
    <row r="294" spans="3:17" x14ac:dyDescent="0.25">
      <c r="C294" s="17"/>
      <c r="D294" s="17" t="s">
        <v>411</v>
      </c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>
        <f t="shared" si="174"/>
        <v>0</v>
      </c>
    </row>
    <row r="295" spans="3:17" x14ac:dyDescent="0.25">
      <c r="C295" s="17"/>
      <c r="D295" s="17" t="s">
        <v>412</v>
      </c>
      <c r="E295" s="17">
        <f>'[50]2022-23'!$H$216/10000000</f>
        <v>1.7712996999999999E-3</v>
      </c>
      <c r="F295" s="17">
        <f>'[50]2022-23'!$M$216/10000000</f>
        <v>0</v>
      </c>
      <c r="G295" s="17">
        <f>'[50]2022-23'!$R$216/10000000</f>
        <v>5.7686659999999996E-3</v>
      </c>
      <c r="H295" s="17">
        <f>'[50]2022-23'!$W$216/10000000</f>
        <v>2.97659985E-3</v>
      </c>
      <c r="I295" s="17">
        <f>'[50]2022-23'!$AB$216/10000000</f>
        <v>3.2779095734999995E-3</v>
      </c>
      <c r="J295" s="17">
        <f>'[50]2022-23'!$AG$216/10000000</f>
        <v>10.808328496449999</v>
      </c>
      <c r="K295" s="17">
        <f>'[50]2022-23'!$AL$216/10000000</f>
        <v>4.6097496E-3</v>
      </c>
      <c r="L295" s="17">
        <f>'[50]2022-23'!$AQ$216/10000000</f>
        <v>4.5490826000000005E-3</v>
      </c>
      <c r="M295" s="17">
        <f>'[50]2022-23'!$AV$216/10000000</f>
        <v>0</v>
      </c>
      <c r="N295" s="17"/>
      <c r="O295" s="17"/>
      <c r="P295" s="17">
        <f>('[50]2022-23'!$BK$216+'[50]2022-23'!$BP$216+'[50]2022-23'!$BU$216)/10000000</f>
        <v>9.5286947499999986E-3</v>
      </c>
      <c r="Q295" s="17">
        <f t="shared" si="174"/>
        <v>10.840810498523499</v>
      </c>
    </row>
    <row r="296" spans="3:17" x14ac:dyDescent="0.25">
      <c r="C296" s="17"/>
      <c r="D296" s="17" t="s">
        <v>413</v>
      </c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>
        <f t="shared" si="174"/>
        <v>0</v>
      </c>
    </row>
    <row r="297" spans="3:17" x14ac:dyDescent="0.25">
      <c r="C297" s="17"/>
      <c r="D297" s="17" t="s">
        <v>414</v>
      </c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>
        <f t="shared" si="174"/>
        <v>0</v>
      </c>
    </row>
    <row r="298" spans="3:17" x14ac:dyDescent="0.25">
      <c r="C298" s="17"/>
      <c r="D298" s="17" t="s">
        <v>415</v>
      </c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>
        <f t="shared" si="174"/>
        <v>0</v>
      </c>
    </row>
    <row r="299" spans="3:17" x14ac:dyDescent="0.25">
      <c r="C299" s="17"/>
      <c r="D299" s="17" t="s">
        <v>416</v>
      </c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>
        <f t="shared" si="174"/>
        <v>0</v>
      </c>
    </row>
    <row r="300" spans="3:17" x14ac:dyDescent="0.25">
      <c r="C300" s="17"/>
      <c r="D300" s="17" t="s">
        <v>417</v>
      </c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>
        <f t="shared" si="174"/>
        <v>0</v>
      </c>
    </row>
    <row r="301" spans="3:17" x14ac:dyDescent="0.25">
      <c r="C301" s="17"/>
      <c r="D301" s="327" t="s">
        <v>418</v>
      </c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>
        <f t="shared" si="174"/>
        <v>0</v>
      </c>
    </row>
    <row r="302" spans="3:17" x14ac:dyDescent="0.25">
      <c r="C302" s="17"/>
      <c r="D302" s="327" t="s">
        <v>419</v>
      </c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>
        <f>'[50]2022-23'!$BK$217/10000000</f>
        <v>3.5624192499999997E-3</v>
      </c>
      <c r="Q302" s="17">
        <f t="shared" si="174"/>
        <v>3.5624192499999997E-3</v>
      </c>
    </row>
    <row r="303" spans="3:17" x14ac:dyDescent="0.25"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>
        <f t="shared" si="174"/>
        <v>0</v>
      </c>
    </row>
    <row r="304" spans="3:17" x14ac:dyDescent="0.25"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>
        <f t="shared" si="174"/>
        <v>0</v>
      </c>
    </row>
    <row r="305" spans="3:17" x14ac:dyDescent="0.25"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>
        <f t="shared" si="174"/>
        <v>0</v>
      </c>
    </row>
    <row r="306" spans="3:17" x14ac:dyDescent="0.25"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>
        <f t="shared" si="174"/>
        <v>0</v>
      </c>
    </row>
    <row r="307" spans="3:17" x14ac:dyDescent="0.25"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>
        <f t="shared" si="174"/>
        <v>0</v>
      </c>
    </row>
    <row r="308" spans="3:17" x14ac:dyDescent="0.25"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>
        <f t="shared" si="174"/>
        <v>0</v>
      </c>
    </row>
    <row r="309" spans="3:17" x14ac:dyDescent="0.25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>
        <f t="shared" si="174"/>
        <v>0</v>
      </c>
    </row>
    <row r="310" spans="3:17" x14ac:dyDescent="0.25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>
        <f t="shared" si="174"/>
        <v>0</v>
      </c>
    </row>
    <row r="311" spans="3:17" x14ac:dyDescent="0.25">
      <c r="C311" s="753" t="s">
        <v>420</v>
      </c>
      <c r="D311" s="754"/>
      <c r="E311" s="17">
        <f t="shared" ref="E311:P311" si="175">SUM(E287:E310)</f>
        <v>1.7712996999999999E-3</v>
      </c>
      <c r="F311" s="17">
        <f t="shared" si="175"/>
        <v>0</v>
      </c>
      <c r="G311" s="17">
        <f t="shared" si="175"/>
        <v>5.7686659999999996E-3</v>
      </c>
      <c r="H311" s="17">
        <f t="shared" si="175"/>
        <v>2.97659985E-3</v>
      </c>
      <c r="I311" s="17">
        <f t="shared" si="175"/>
        <v>3.2779095734999995E-3</v>
      </c>
      <c r="J311" s="17">
        <f t="shared" si="175"/>
        <v>10.808328496449999</v>
      </c>
      <c r="K311" s="17">
        <f t="shared" si="175"/>
        <v>4.6097496E-3</v>
      </c>
      <c r="L311" s="17">
        <f t="shared" si="175"/>
        <v>4.5490826000000005E-3</v>
      </c>
      <c r="M311" s="17">
        <f t="shared" si="175"/>
        <v>0</v>
      </c>
      <c r="N311" s="17">
        <f t="shared" si="175"/>
        <v>0</v>
      </c>
      <c r="O311" s="17">
        <f t="shared" si="175"/>
        <v>0</v>
      </c>
      <c r="P311" s="17">
        <f t="shared" si="175"/>
        <v>1.3091113999999997E-2</v>
      </c>
      <c r="Q311" s="86">
        <f t="shared" si="174"/>
        <v>10.8443729177735</v>
      </c>
    </row>
    <row r="312" spans="3:17" x14ac:dyDescent="0.25">
      <c r="C312" s="800" t="s">
        <v>421</v>
      </c>
      <c r="D312" s="801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</row>
    <row r="313" spans="3:17" x14ac:dyDescent="0.25">
      <c r="C313" s="17"/>
      <c r="D313" s="17" t="s">
        <v>422</v>
      </c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>
        <f>SUM(E313:P313)</f>
        <v>0</v>
      </c>
    </row>
    <row r="314" spans="3:17" x14ac:dyDescent="0.25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>
        <f>SUM(E314:P314)</f>
        <v>0</v>
      </c>
    </row>
    <row r="315" spans="3:17" x14ac:dyDescent="0.2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>
        <f>SUM(E315:P315)</f>
        <v>0</v>
      </c>
    </row>
    <row r="316" spans="3:17" x14ac:dyDescent="0.25">
      <c r="C316" s="17"/>
      <c r="D316" s="325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</row>
    <row r="317" spans="3:17" x14ac:dyDescent="0.25">
      <c r="C317" s="17"/>
      <c r="D317" s="325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</row>
    <row r="318" spans="3:17" x14ac:dyDescent="0.25">
      <c r="C318" s="17"/>
      <c r="D318" s="325" t="s">
        <v>629</v>
      </c>
      <c r="E318" s="17">
        <f>'[50]2022-23'!H233/10000000</f>
        <v>35.043421006699994</v>
      </c>
      <c r="F318" s="17">
        <f>'[50]2022-23'!M233/10000000</f>
        <v>30.179859261649995</v>
      </c>
      <c r="G318" s="17">
        <f>'[50]2022-23'!R233/10000000</f>
        <v>30.331190648799996</v>
      </c>
      <c r="H318" s="17">
        <f>'[50]2022-23'!W233/10000000</f>
        <v>33.71490544345</v>
      </c>
      <c r="I318" s="17">
        <f>'[50]2022-23'!AB233/10000000</f>
        <v>30.264954035350002</v>
      </c>
      <c r="J318" s="17">
        <f>'[50]2022-23'!AG233/10000000</f>
        <v>31.671886997099996</v>
      </c>
      <c r="K318" s="17">
        <f>'[50]2022-23'!AL233/10000000</f>
        <v>30.788079656899999</v>
      </c>
      <c r="L318" s="17">
        <f>'[50]2022-23'!AQ233/10000000</f>
        <v>35.829503233899999</v>
      </c>
      <c r="M318" s="17">
        <f>'[50]2022-23'!AV233/10000000</f>
        <v>31.897822155</v>
      </c>
      <c r="N318" s="17">
        <f>'[50]2022-23'!BA233/10000000</f>
        <v>35.983543402599999</v>
      </c>
      <c r="O318" s="17">
        <f>'[50]2022-23'!BF233/10000000</f>
        <v>45.92414967765</v>
      </c>
      <c r="P318" s="17">
        <f>('[50]2022-23'!BK233+'[50]2022-23'!BP233+'[50]2022-23'!BU234)/10000000</f>
        <v>341.33497179734997</v>
      </c>
      <c r="Q318" s="17">
        <f t="shared" ref="Q318:Q337" si="176">SUM(E318:P318)</f>
        <v>712.96428731644994</v>
      </c>
    </row>
    <row r="319" spans="3:17" x14ac:dyDescent="0.25">
      <c r="C319" s="17"/>
      <c r="D319" s="325" t="s">
        <v>630</v>
      </c>
      <c r="E319" s="17">
        <f>'[50]2022-23'!H234/10000000</f>
        <v>1.7591574649999997E-2</v>
      </c>
      <c r="F319" s="17">
        <f>'[50]2022-23'!M234/10000000</f>
        <v>1.7591574649999997E-2</v>
      </c>
      <c r="G319" s="17">
        <f>'[50]2022-23'!R234/10000000</f>
        <v>1.7591574649999997E-2</v>
      </c>
      <c r="H319" s="17">
        <f>'[50]2022-23'!W234/10000000</f>
        <v>1.7591574649999997E-2</v>
      </c>
      <c r="I319" s="17">
        <f>'[50]2022-23'!AB234/10000000</f>
        <v>0.44843833059999999</v>
      </c>
      <c r="J319" s="17">
        <f>'[50]2022-23'!AG234/10000000</f>
        <v>1.7591574649999997E-2</v>
      </c>
      <c r="K319" s="17">
        <f>'[50]2022-23'!AL234/10000000</f>
        <v>1.7591574649999997E-2</v>
      </c>
      <c r="L319" s="17">
        <f>'[50]2022-23'!AQ234/10000000</f>
        <v>1.7591574649999997E-2</v>
      </c>
      <c r="M319" s="17">
        <f>'[50]2022-23'!AV234/10000000</f>
        <v>1.7591574649999997E-2</v>
      </c>
      <c r="N319" s="17">
        <f>'[50]2022-23'!BA234/10000000</f>
        <v>1.7591574649999997E-2</v>
      </c>
      <c r="O319" s="17">
        <f>'[50]2022-23'!BF234/10000000</f>
        <v>0.75486340129999996</v>
      </c>
      <c r="P319" s="17">
        <f>('[50]2022-23'!BK234+'[50]2022-23'!BP234+'[50]2022-23'!BU235)/10000000</f>
        <v>1.7591574649999997E-2</v>
      </c>
      <c r="Q319" s="17">
        <f t="shared" si="176"/>
        <v>1.3792174783999995</v>
      </c>
    </row>
    <row r="320" spans="3:17" x14ac:dyDescent="0.25">
      <c r="C320" s="17"/>
      <c r="D320" s="326" t="s">
        <v>631</v>
      </c>
      <c r="E320" s="17">
        <f>'[50]2022-23'!H235/10000000</f>
        <v>0</v>
      </c>
      <c r="F320" s="17">
        <f>'[50]2022-23'!M235/10000000</f>
        <v>0</v>
      </c>
      <c r="G320" s="17">
        <f>'[50]2022-23'!R235/10000000</f>
        <v>0</v>
      </c>
      <c r="H320" s="17">
        <f>'[50]2022-23'!W235/10000000</f>
        <v>0</v>
      </c>
      <c r="I320" s="17">
        <f>'[50]2022-23'!AB235/10000000</f>
        <v>0</v>
      </c>
      <c r="J320" s="17">
        <f>'[50]2022-23'!AG235/10000000</f>
        <v>0</v>
      </c>
      <c r="K320" s="17">
        <f>'[50]2022-23'!AL235/10000000</f>
        <v>0</v>
      </c>
      <c r="L320" s="17">
        <f>'[50]2022-23'!AQ235/10000000</f>
        <v>0</v>
      </c>
      <c r="M320" s="17">
        <f>'[50]2022-23'!AV235/10000000</f>
        <v>0</v>
      </c>
      <c r="N320" s="17">
        <f>'[50]2022-23'!BA235/10000000</f>
        <v>0</v>
      </c>
      <c r="O320" s="17">
        <f>'[50]2022-23'!BF235/10000000</f>
        <v>0</v>
      </c>
      <c r="P320" s="17">
        <f>('[50]2022-23'!BK235+'[50]2022-23'!BP235+'[50]2022-23'!BU236)/10000000</f>
        <v>0</v>
      </c>
      <c r="Q320" s="17">
        <f t="shared" si="176"/>
        <v>0</v>
      </c>
    </row>
    <row r="321" spans="3:17" x14ac:dyDescent="0.25">
      <c r="C321" s="17"/>
      <c r="D321" s="325" t="s">
        <v>632</v>
      </c>
      <c r="E321" s="17">
        <f>'[50]2022-23'!H236/10000000</f>
        <v>0.2845437249071428</v>
      </c>
      <c r="F321" s="17">
        <f>'[50]2022-23'!M236/10000000</f>
        <v>1.3713356865499999</v>
      </c>
      <c r="G321" s="17">
        <f>'[50]2022-23'!R236/10000000</f>
        <v>1.3738670402642856</v>
      </c>
      <c r="H321" s="17">
        <f>'[50]2022-23'!W236/10000000</f>
        <v>1.3420171092785713</v>
      </c>
      <c r="I321" s="17">
        <f>'[50]2022-23'!AB236/10000000</f>
        <v>0.8755637593071427</v>
      </c>
      <c r="J321" s="17">
        <f>'[50]2022-23'!AG236/10000000</f>
        <v>0.55022268014285713</v>
      </c>
      <c r="K321" s="17">
        <f>'[50]2022-23'!AL236/10000000</f>
        <v>0.76581621390714283</v>
      </c>
      <c r="L321" s="17">
        <f>'[50]2022-23'!AQ236/10000000</f>
        <v>0.8263229385928571</v>
      </c>
      <c r="M321" s="17">
        <f>'[50]2022-23'!AV236/10000000</f>
        <v>0.65872445688571413</v>
      </c>
      <c r="N321" s="17">
        <f>'[50]2022-23'!BA236/10000000</f>
        <v>0.79042974979285696</v>
      </c>
      <c r="O321" s="17">
        <f>'[50]2022-23'!BF236/10000000</f>
        <v>0.45710355134999991</v>
      </c>
      <c r="P321" s="17">
        <f>('[50]2022-23'!BK236+'[50]2022-23'!BP236+'[50]2022-23'!BU237)/10000000</f>
        <v>0.28993007942142857</v>
      </c>
      <c r="Q321" s="17">
        <f t="shared" si="176"/>
        <v>9.5858769903999992</v>
      </c>
    </row>
    <row r="322" spans="3:17" x14ac:dyDescent="0.25">
      <c r="C322" s="17"/>
      <c r="D322" s="325" t="s">
        <v>633</v>
      </c>
      <c r="E322" s="17">
        <f>'[50]2022-23'!H237/10000000</f>
        <v>0</v>
      </c>
      <c r="F322" s="17">
        <f>'[50]2022-23'!M237/10000000</f>
        <v>0</v>
      </c>
      <c r="G322" s="17">
        <f>'[50]2022-23'!R237/10000000</f>
        <v>0</v>
      </c>
      <c r="H322" s="17">
        <f>'[50]2022-23'!W237/10000000</f>
        <v>0</v>
      </c>
      <c r="I322" s="17">
        <f>'[50]2022-23'!AB237/10000000</f>
        <v>0</v>
      </c>
      <c r="J322" s="17">
        <f>'[50]2022-23'!AG237/10000000</f>
        <v>0</v>
      </c>
      <c r="K322" s="17">
        <f>'[50]2022-23'!AL237/10000000</f>
        <v>0</v>
      </c>
      <c r="L322" s="17">
        <f>'[50]2022-23'!AQ237/10000000</f>
        <v>0</v>
      </c>
      <c r="M322" s="17">
        <f>'[50]2022-23'!AV237/10000000</f>
        <v>0</v>
      </c>
      <c r="N322" s="17">
        <f>'[50]2022-23'!BA237/10000000</f>
        <v>0</v>
      </c>
      <c r="O322" s="17">
        <f>'[50]2022-23'!BF237/10000000</f>
        <v>0</v>
      </c>
      <c r="P322" s="17">
        <f>('[50]2022-23'!BK237+'[50]2022-23'!BP237+'[50]2022-23'!BU238)/10000000</f>
        <v>0</v>
      </c>
      <c r="Q322" s="17">
        <f t="shared" si="176"/>
        <v>0</v>
      </c>
    </row>
    <row r="323" spans="3:17" x14ac:dyDescent="0.25">
      <c r="C323" s="17"/>
      <c r="D323" s="325" t="s">
        <v>634</v>
      </c>
      <c r="E323" s="17">
        <f>'[50]2022-23'!H238/10000000</f>
        <v>7.6048204899999999E-2</v>
      </c>
      <c r="F323" s="17">
        <f>'[50]2022-23'!M238/10000000</f>
        <v>7.6456959450981257E-2</v>
      </c>
      <c r="G323" s="17">
        <f>'[50]2022-23'!R238/10000000</f>
        <v>9.2770415549999999E-2</v>
      </c>
      <c r="H323" s="17">
        <f>'[50]2022-23'!W238/10000000</f>
        <v>8.1072257100000003E-2</v>
      </c>
      <c r="I323" s="17">
        <f>'[50]2022-23'!AB238/10000000</f>
        <v>8.2238212049999995E-2</v>
      </c>
      <c r="J323" s="17">
        <f>'[50]2022-23'!AG238/10000000</f>
        <v>8.3416535999999999E-2</v>
      </c>
      <c r="K323" s="17">
        <f>'[50]2022-23'!AL238/10000000</f>
        <v>8.3493341599999993E-2</v>
      </c>
      <c r="L323" s="17">
        <f>'[50]2022-23'!AQ238/10000000</f>
        <v>8.3453377949999991E-2</v>
      </c>
      <c r="M323" s="17">
        <f>'[50]2022-23'!AV238/10000000</f>
        <v>7.9411742765805121E-2</v>
      </c>
      <c r="N323" s="17">
        <f>'[50]2022-23'!BA238/10000000</f>
        <v>8.3836658410605655E-2</v>
      </c>
      <c r="O323" s="17">
        <f>'[50]2022-23'!BF238/10000000</f>
        <v>8.3836658410605655E-2</v>
      </c>
      <c r="P323" s="17">
        <f>('[50]2022-23'!BK238+'[50]2022-23'!BP238+'[50]2022-23'!BU239)/10000000</f>
        <v>0.29875723309999996</v>
      </c>
      <c r="Q323" s="17">
        <f t="shared" si="176"/>
        <v>1.2047915972879975</v>
      </c>
    </row>
    <row r="324" spans="3:17" x14ac:dyDescent="0.25">
      <c r="C324" s="17"/>
      <c r="D324" s="325" t="s">
        <v>635</v>
      </c>
      <c r="E324" s="17">
        <f>'[50]2022-23'!H239/10000000</f>
        <v>83.785994700000003</v>
      </c>
      <c r="F324" s="17">
        <f>'[50]2022-23'!M239/10000000</f>
        <v>83.785994700000003</v>
      </c>
      <c r="G324" s="17">
        <f>'[50]2022-23'!R239/10000000</f>
        <v>83.785994700000003</v>
      </c>
      <c r="H324" s="17">
        <f>'[50]2022-23'!W239/10000000</f>
        <v>83.785994700000003</v>
      </c>
      <c r="I324" s="17">
        <f>'[50]2022-23'!AB239/10000000</f>
        <v>83.785994700000003</v>
      </c>
      <c r="J324" s="17">
        <f>'[50]2022-23'!AG239/10000000</f>
        <v>83.785994700000003</v>
      </c>
      <c r="K324" s="17">
        <f>'[50]2022-23'!AL239/10000000</f>
        <v>83.785994700000003</v>
      </c>
      <c r="L324" s="17">
        <f>'[50]2022-23'!AQ239/10000000</f>
        <v>83.785994700000003</v>
      </c>
      <c r="M324" s="17">
        <f>'[50]2022-23'!AV239/10000000</f>
        <v>83.785994700000003</v>
      </c>
      <c r="N324" s="17">
        <f>'[50]2022-23'!BA239/10000000</f>
        <v>83.785994700000003</v>
      </c>
      <c r="O324" s="17">
        <f>'[50]2022-23'!BF239/10000000</f>
        <v>83.785994700000003</v>
      </c>
      <c r="P324" s="17">
        <f>('[50]2022-23'!BK239+'[50]2022-23'!BP239+'[50]2022-23'!BU240)/10000000</f>
        <v>83.785994700000003</v>
      </c>
      <c r="Q324" s="17">
        <f t="shared" si="176"/>
        <v>1005.4319363999998</v>
      </c>
    </row>
    <row r="325" spans="3:17" x14ac:dyDescent="0.25">
      <c r="C325" s="17"/>
      <c r="D325" s="325" t="s">
        <v>636</v>
      </c>
      <c r="E325" s="17">
        <f>'[50]2022-23'!$H$241/10000000</f>
        <v>1.9007908</v>
      </c>
      <c r="F325" s="17">
        <f>'[50]2022-23'!$M$241/10000000</f>
        <v>0.94393260000000001</v>
      </c>
      <c r="G325" s="17">
        <f>'[50]2022-23'!$R$241/10000000</f>
        <v>0.94393260000000001</v>
      </c>
      <c r="H325" s="17">
        <f>'[50]2022-23'!$W$241/10000000</f>
        <v>0.94393260000000001</v>
      </c>
      <c r="I325" s="17">
        <f>'[50]2022-23'!$AB$241/10000000</f>
        <v>0.94393260000000001</v>
      </c>
      <c r="J325" s="17">
        <f>'[50]2022-23'!$AG$241/10000000</f>
        <v>1.895562</v>
      </c>
      <c r="K325" s="17">
        <f>'[50]2022-23'!$AL$241/10000000</f>
        <v>0.94393260000000001</v>
      </c>
      <c r="L325" s="17">
        <f>'[50]2022-23'!$AQ$241/10000000</f>
        <v>0.94393260000000001</v>
      </c>
      <c r="M325" s="17">
        <f>'[50]2022-23'!$AV$241/10000000</f>
        <v>0.94393260000000001</v>
      </c>
      <c r="N325" s="17">
        <f>'[50]2022-23'!$BA$241/10000000</f>
        <v>0.94393260000000001</v>
      </c>
      <c r="O325" s="17">
        <f>'[50]2022-23'!$BF$241/10000000</f>
        <v>0.94393260000000001</v>
      </c>
      <c r="P325" s="17">
        <f>('[50]2022-23'!$BK$241+'[50]2022-23'!$BP$241+'[50]2022-23'!$BU$241)/10000000</f>
        <v>0.94393260000000001</v>
      </c>
      <c r="Q325" s="17">
        <f t="shared" si="176"/>
        <v>13.235678800000001</v>
      </c>
    </row>
    <row r="326" spans="3:17" x14ac:dyDescent="0.25">
      <c r="C326" s="17"/>
      <c r="D326" s="325" t="s">
        <v>637</v>
      </c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>
        <f>'[50]2022-23'!$BP$243/10000000</f>
        <v>-2.6582839884</v>
      </c>
      <c r="Q326" s="17">
        <f t="shared" si="176"/>
        <v>-2.6582839884</v>
      </c>
    </row>
    <row r="327" spans="3:17" x14ac:dyDescent="0.25">
      <c r="C327" s="17"/>
      <c r="D327" s="325" t="s">
        <v>638</v>
      </c>
      <c r="E327" s="17">
        <f>'[50]2022-23'!H245/10000000</f>
        <v>1.0757496106367932</v>
      </c>
      <c r="F327" s="17">
        <f>'[50]2022-23'!M245/10000000</f>
        <v>0.3747040163455817</v>
      </c>
      <c r="G327" s="17">
        <f>'[50]2022-23'!R245/10000000</f>
        <v>0.36706835560555046</v>
      </c>
      <c r="H327" s="17">
        <f>'[50]2022-23'!W245/10000000</f>
        <v>0.49412513235724947</v>
      </c>
      <c r="I327" s="17">
        <f>'[50]2022-23'!AB245/10000000</f>
        <v>0.69495715628696508</v>
      </c>
      <c r="J327" s="17">
        <f>'[50]2022-23'!AG245/10000000</f>
        <v>0.83615748740619267</v>
      </c>
      <c r="K327" s="17">
        <f>'[50]2022-23'!AL245/10000000</f>
        <v>0.64381424335756232</v>
      </c>
      <c r="L327" s="17">
        <f>'[50]2022-23'!AQ245/10000000</f>
        <v>0.3446922661321824</v>
      </c>
      <c r="M327" s="17">
        <f>'[50]2022-23'!AV245/10000000</f>
        <v>0.65234802726343966</v>
      </c>
      <c r="N327" s="17">
        <f>'[50]2022-23'!BA245/10000000</f>
        <v>0.814559318909574</v>
      </c>
      <c r="O327" s="17">
        <f>'[50]2022-23'!BF245/10000000</f>
        <v>1.1042024315404997</v>
      </c>
      <c r="P327" s="17">
        <f>('[50]2022-23'!BK245+'[50]2022-23'!BP245+'[50]2022-23'!BU245)/10000000</f>
        <v>14.665182789056196</v>
      </c>
      <c r="Q327" s="17">
        <f t="shared" si="176"/>
        <v>22.067560834897787</v>
      </c>
    </row>
    <row r="328" spans="3:17" x14ac:dyDescent="0.25">
      <c r="C328" s="17"/>
      <c r="D328" s="325" t="s">
        <v>639</v>
      </c>
      <c r="E328" s="17">
        <f>'[50]2022-23'!H246/10000000</f>
        <v>1.29608272E-2</v>
      </c>
      <c r="F328" s="17">
        <f>'[50]2022-23'!M246/10000000</f>
        <v>1.2939269799999998E-2</v>
      </c>
      <c r="G328" s="17">
        <f>'[50]2022-23'!R246/10000000</f>
        <v>1.4724646599999999E-2</v>
      </c>
      <c r="H328" s="17">
        <f>'[50]2022-23'!W246/10000000</f>
        <v>1.2917830199999999E-2</v>
      </c>
      <c r="I328" s="17">
        <f>'[50]2022-23'!AB246/10000000</f>
        <v>1.2893121649999999E-2</v>
      </c>
      <c r="J328" s="17">
        <f>'[50]2022-23'!AG246/10000000</f>
        <v>1.288681935E-2</v>
      </c>
      <c r="K328" s="17">
        <f>'[50]2022-23'!AL246/10000000</f>
        <v>1.2882372399999998E-2</v>
      </c>
      <c r="L328" s="17">
        <f>'[50]2022-23'!AQ246/10000000</f>
        <v>1.2882372399999998E-2</v>
      </c>
      <c r="M328" s="17">
        <f>'[50]2022-23'!AV246/10000000</f>
        <v>1.28698267E-2</v>
      </c>
      <c r="N328" s="17">
        <f>'[50]2022-23'!BA246/10000000</f>
        <v>1.2761480149999999E-2</v>
      </c>
      <c r="O328" s="17">
        <f>'[50]2022-23'!BF246/10000000</f>
        <v>1.28416725E-2</v>
      </c>
      <c r="P328" s="17">
        <f>('[50]2022-23'!BK246+'[50]2022-23'!BP246+'[50]2022-23'!BU246)/10000000</f>
        <v>4.7506030599999999E-2</v>
      </c>
      <c r="Q328" s="17">
        <f t="shared" si="176"/>
        <v>0.19106626955</v>
      </c>
    </row>
    <row r="329" spans="3:17" x14ac:dyDescent="0.25"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>
        <f t="shared" si="176"/>
        <v>0</v>
      </c>
    </row>
    <row r="330" spans="3:17" x14ac:dyDescent="0.25"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>
        <f t="shared" si="176"/>
        <v>0</v>
      </c>
    </row>
    <row r="331" spans="3:17" x14ac:dyDescent="0.25"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>
        <f t="shared" si="176"/>
        <v>0</v>
      </c>
    </row>
    <row r="332" spans="3:17" x14ac:dyDescent="0.25"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>
        <f t="shared" si="176"/>
        <v>0</v>
      </c>
    </row>
    <row r="333" spans="3:17" x14ac:dyDescent="0.25"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>
        <f t="shared" si="176"/>
        <v>0</v>
      </c>
    </row>
    <row r="334" spans="3:17" x14ac:dyDescent="0.25"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>
        <f t="shared" si="176"/>
        <v>0</v>
      </c>
    </row>
    <row r="335" spans="3:17" x14ac:dyDescent="0.25"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>
        <f t="shared" si="176"/>
        <v>0</v>
      </c>
    </row>
    <row r="336" spans="3:17" x14ac:dyDescent="0.25"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>
        <f t="shared" si="176"/>
        <v>0</v>
      </c>
    </row>
    <row r="337" spans="2:17" x14ac:dyDescent="0.25">
      <c r="C337" s="753" t="s">
        <v>423</v>
      </c>
      <c r="D337" s="754"/>
      <c r="E337" s="17">
        <f t="shared" ref="E337:P337" si="177">SUM(E313:E336)</f>
        <v>122.19710044899394</v>
      </c>
      <c r="F337" s="17">
        <f t="shared" si="177"/>
        <v>116.76281406844656</v>
      </c>
      <c r="G337" s="17">
        <f t="shared" si="177"/>
        <v>116.92713998146984</v>
      </c>
      <c r="H337" s="17">
        <f t="shared" si="177"/>
        <v>120.39255664703582</v>
      </c>
      <c r="I337" s="17">
        <f t="shared" si="177"/>
        <v>117.1089719152441</v>
      </c>
      <c r="J337" s="17">
        <f t="shared" si="177"/>
        <v>118.85371879464905</v>
      </c>
      <c r="K337" s="17">
        <f t="shared" si="177"/>
        <v>117.04160470281471</v>
      </c>
      <c r="L337" s="17">
        <f t="shared" si="177"/>
        <v>121.84437306362504</v>
      </c>
      <c r="M337" s="17">
        <f t="shared" si="177"/>
        <v>118.04869508326496</v>
      </c>
      <c r="N337" s="17">
        <f t="shared" si="177"/>
        <v>122.43264948451304</v>
      </c>
      <c r="O337" s="17">
        <f t="shared" si="177"/>
        <v>133.06692469275112</v>
      </c>
      <c r="P337" s="17">
        <f t="shared" si="177"/>
        <v>438.72558281577756</v>
      </c>
      <c r="Q337" s="86">
        <f t="shared" si="176"/>
        <v>1763.4021316985859</v>
      </c>
    </row>
    <row r="338" spans="2:17" x14ac:dyDescent="0.25">
      <c r="C338" s="800" t="s">
        <v>424</v>
      </c>
      <c r="D338" s="801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</row>
    <row r="339" spans="2:17" x14ac:dyDescent="0.25">
      <c r="C339" s="17" t="s">
        <v>425</v>
      </c>
      <c r="D339" s="17" t="s">
        <v>426</v>
      </c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>
        <f>SUM(E339:P339)</f>
        <v>0</v>
      </c>
    </row>
    <row r="340" spans="2:17" x14ac:dyDescent="0.25">
      <c r="C340" s="17" t="s">
        <v>425</v>
      </c>
      <c r="D340" s="17" t="s">
        <v>427</v>
      </c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>
        <f>SUM(E340:P340)</f>
        <v>0</v>
      </c>
    </row>
    <row r="341" spans="2:17" x14ac:dyDescent="0.25">
      <c r="C341" s="116"/>
      <c r="D341" s="17" t="s">
        <v>463</v>
      </c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</row>
    <row r="342" spans="2:17" x14ac:dyDescent="0.25">
      <c r="C342" s="753" t="s">
        <v>428</v>
      </c>
      <c r="D342" s="754"/>
      <c r="E342" s="17">
        <f t="shared" ref="E342:Q342" si="178">E339+E340</f>
        <v>0</v>
      </c>
      <c r="F342" s="17">
        <f t="shared" si="178"/>
        <v>0</v>
      </c>
      <c r="G342" s="17">
        <f t="shared" si="178"/>
        <v>0</v>
      </c>
      <c r="H342" s="17">
        <f t="shared" si="178"/>
        <v>0</v>
      </c>
      <c r="I342" s="17">
        <f t="shared" si="178"/>
        <v>0</v>
      </c>
      <c r="J342" s="17">
        <f t="shared" si="178"/>
        <v>0</v>
      </c>
      <c r="K342" s="17">
        <f t="shared" si="178"/>
        <v>0</v>
      </c>
      <c r="L342" s="17">
        <f t="shared" si="178"/>
        <v>0</v>
      </c>
      <c r="M342" s="17">
        <f t="shared" si="178"/>
        <v>0</v>
      </c>
      <c r="N342" s="17">
        <f t="shared" si="178"/>
        <v>0</v>
      </c>
      <c r="O342" s="17">
        <f t="shared" si="178"/>
        <v>0</v>
      </c>
      <c r="P342" s="17">
        <f t="shared" si="178"/>
        <v>0</v>
      </c>
      <c r="Q342" s="17">
        <f t="shared" si="178"/>
        <v>0</v>
      </c>
    </row>
    <row r="343" spans="2:17" x14ac:dyDescent="0.25">
      <c r="C343" s="753" t="s">
        <v>220</v>
      </c>
      <c r="D343" s="754"/>
      <c r="E343" s="17">
        <f t="shared" ref="E343:Q343" si="179">E220+E266+E275+E285+E311+E337+E342</f>
        <v>412.90357296933178</v>
      </c>
      <c r="F343" s="17">
        <f t="shared" si="179"/>
        <v>437.12814348527024</v>
      </c>
      <c r="G343" s="17">
        <f t="shared" si="179"/>
        <v>378.27096499617147</v>
      </c>
      <c r="H343" s="17">
        <f t="shared" si="179"/>
        <v>361.47498547280242</v>
      </c>
      <c r="I343" s="17">
        <f t="shared" si="179"/>
        <v>378.88783141138424</v>
      </c>
      <c r="J343" s="17">
        <f t="shared" si="179"/>
        <v>400.11581280104906</v>
      </c>
      <c r="K343" s="17">
        <f t="shared" si="179"/>
        <v>471.92436113981142</v>
      </c>
      <c r="L343" s="17">
        <f t="shared" si="179"/>
        <v>409.13960437631533</v>
      </c>
      <c r="M343" s="17">
        <f t="shared" si="179"/>
        <v>413.79094641331494</v>
      </c>
      <c r="N343" s="17">
        <f t="shared" si="179"/>
        <v>433.43839844492783</v>
      </c>
      <c r="O343" s="17">
        <f t="shared" si="179"/>
        <v>475.89534063153809</v>
      </c>
      <c r="P343" s="17">
        <f t="shared" si="179"/>
        <v>1041.7686760505812</v>
      </c>
      <c r="Q343" s="86">
        <f t="shared" si="179"/>
        <v>5614.7386381924989</v>
      </c>
    </row>
    <row r="345" spans="2:17" x14ac:dyDescent="0.25">
      <c r="C345" s="22" t="s">
        <v>649</v>
      </c>
      <c r="J345" s="25"/>
    </row>
    <row r="346" spans="2:17" x14ac:dyDescent="0.25">
      <c r="C346" s="22"/>
      <c r="J346" s="25"/>
    </row>
    <row r="347" spans="2:17" x14ac:dyDescent="0.25">
      <c r="C347" s="14"/>
      <c r="Q347" s="25" t="s">
        <v>3</v>
      </c>
    </row>
    <row r="348" spans="2:17" x14ac:dyDescent="0.25">
      <c r="C348" s="762" t="s">
        <v>346</v>
      </c>
      <c r="D348" s="762" t="s">
        <v>347</v>
      </c>
      <c r="E348" s="768" t="s">
        <v>255</v>
      </c>
      <c r="F348" s="768"/>
      <c r="G348" s="768"/>
      <c r="H348" s="768"/>
      <c r="I348" s="768"/>
      <c r="J348" s="768"/>
      <c r="K348" s="768"/>
      <c r="L348" s="768"/>
      <c r="M348" s="768"/>
      <c r="N348" s="768"/>
      <c r="O348" s="768"/>
      <c r="P348" s="768"/>
      <c r="Q348" s="768"/>
    </row>
    <row r="349" spans="2:17" x14ac:dyDescent="0.25">
      <c r="C349" s="764"/>
      <c r="D349" s="764"/>
      <c r="E349" s="13" t="s">
        <v>239</v>
      </c>
      <c r="F349" s="13" t="s">
        <v>240</v>
      </c>
      <c r="G349" s="13" t="s">
        <v>241</v>
      </c>
      <c r="H349" s="13" t="s">
        <v>242</v>
      </c>
      <c r="I349" s="13" t="s">
        <v>243</v>
      </c>
      <c r="J349" s="13" t="s">
        <v>244</v>
      </c>
      <c r="K349" s="13" t="s">
        <v>245</v>
      </c>
      <c r="L349" s="13" t="s">
        <v>246</v>
      </c>
      <c r="M349" s="13" t="s">
        <v>247</v>
      </c>
      <c r="N349" s="13" t="s">
        <v>248</v>
      </c>
      <c r="O349" s="13" t="s">
        <v>249</v>
      </c>
      <c r="P349" s="13" t="s">
        <v>250</v>
      </c>
      <c r="Q349" s="13" t="s">
        <v>251</v>
      </c>
    </row>
    <row r="350" spans="2:17" x14ac:dyDescent="0.25">
      <c r="B350" s="60"/>
      <c r="C350" s="800" t="s">
        <v>348</v>
      </c>
      <c r="D350" s="801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</row>
    <row r="351" spans="2:17" x14ac:dyDescent="0.25">
      <c r="C351" s="753" t="s">
        <v>349</v>
      </c>
      <c r="D351" s="754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</row>
    <row r="352" spans="2:17" x14ac:dyDescent="0.25">
      <c r="B352" s="60"/>
      <c r="C352" s="802" t="s">
        <v>350</v>
      </c>
      <c r="D352" s="59" t="s">
        <v>351</v>
      </c>
      <c r="E352" s="17">
        <f>'[50]2022-23'!I219/10000000</f>
        <v>28.042863006597983</v>
      </c>
      <c r="F352" s="17">
        <f>'[50]2022-23'!N219/10000000</f>
        <v>29.090511602590382</v>
      </c>
      <c r="G352" s="17">
        <f>'[50]2022-23'!S219/10000000</f>
        <v>26.896934461082907</v>
      </c>
      <c r="H352" s="17">
        <f>'[50]2022-23'!X219/10000000</f>
        <v>14.520315591188794</v>
      </c>
      <c r="I352" s="17">
        <f>'[50]2022-23'!AC219/10000000</f>
        <v>24.651107008569696</v>
      </c>
      <c r="J352" s="17">
        <f>'[50]2022-23'!AH219/10000000</f>
        <v>28.998976245577651</v>
      </c>
      <c r="K352" s="17">
        <f>'[50]2022-23'!AM219/10000000</f>
        <v>29.146439369846899</v>
      </c>
      <c r="L352" s="17">
        <f>'[50]2022-23'!AR219/10000000</f>
        <v>28.360679909396755</v>
      </c>
      <c r="M352" s="17">
        <f>'[50]2022-23'!AW219/10000000</f>
        <v>31.779811932330702</v>
      </c>
      <c r="N352" s="17">
        <f>'[50]2022-23'!BB219/10000000</f>
        <v>23.375340636849998</v>
      </c>
      <c r="O352" s="17">
        <f>'[50]2022-23'!BG219/10000000</f>
        <v>21.431918085299998</v>
      </c>
      <c r="P352" s="17">
        <f>('[50]2022-23'!BL219+'[50]2022-23'!BQ219+'[50]2022-23'!BV219)/10000000</f>
        <v>23.10806415795</v>
      </c>
      <c r="Q352" s="17">
        <f t="shared" ref="Q352:Q370" si="180">SUM(E352:P352)</f>
        <v>309.40296200728176</v>
      </c>
    </row>
    <row r="353" spans="2:17" x14ac:dyDescent="0.25">
      <c r="B353" s="60"/>
      <c r="C353" s="803"/>
      <c r="D353" s="59" t="s">
        <v>352</v>
      </c>
      <c r="E353" s="17">
        <f>'[50]2022-23'!I220/10000000</f>
        <v>30.450691215324593</v>
      </c>
      <c r="F353" s="17">
        <f>'[50]2022-23'!N220/10000000</f>
        <v>27.857583607864495</v>
      </c>
      <c r="G353" s="17">
        <f>'[50]2022-23'!S220/10000000</f>
        <v>28.387679202975661</v>
      </c>
      <c r="H353" s="17">
        <f>'[50]2022-23'!X220/10000000</f>
        <v>32.871981551846609</v>
      </c>
      <c r="I353" s="17">
        <f>'[50]2022-23'!AC220/10000000</f>
        <v>32.219914940010185</v>
      </c>
      <c r="J353" s="17">
        <f>'[50]2022-23'!AH220/10000000</f>
        <v>32.298402504535595</v>
      </c>
      <c r="K353" s="17">
        <f>'[50]2022-23'!AM220/10000000</f>
        <v>27.66552359819234</v>
      </c>
      <c r="L353" s="17">
        <f>'[50]2022-23'!AR220/10000000</f>
        <v>32.241001847896001</v>
      </c>
      <c r="M353" s="17">
        <f>'[50]2022-23'!AW220/10000000</f>
        <v>32.344847807017878</v>
      </c>
      <c r="N353" s="17">
        <f>'[50]2022-23'!BB220/10000000</f>
        <v>23.04029446585</v>
      </c>
      <c r="O353" s="17">
        <f>'[50]2022-23'!BG220/10000000</f>
        <v>22.110196467099996</v>
      </c>
      <c r="P353" s="17">
        <f>('[50]2022-23'!BL220+'[50]2022-23'!BQ220+'[50]2022-23'!BV220)/10000000</f>
        <v>25.521575266499998</v>
      </c>
      <c r="Q353" s="17">
        <f t="shared" si="180"/>
        <v>347.00969247511341</v>
      </c>
    </row>
    <row r="354" spans="2:17" x14ac:dyDescent="0.25">
      <c r="B354" s="60"/>
      <c r="C354" s="803"/>
      <c r="D354" s="59" t="s">
        <v>353</v>
      </c>
      <c r="E354" s="17">
        <f>'[50]2022-23'!I221/10000000</f>
        <v>35.917827103337423</v>
      </c>
      <c r="F354" s="17">
        <f>'[50]2022-23'!N221/10000000</f>
        <v>42.716539171419463</v>
      </c>
      <c r="G354" s="17">
        <f>'[50]2022-23'!S221/10000000</f>
        <v>40.901148820433008</v>
      </c>
      <c r="H354" s="17">
        <f>'[50]2022-23'!X221/10000000</f>
        <v>1.6979436344549266</v>
      </c>
      <c r="I354" s="17">
        <f>'[50]2022-23'!AC221/10000000</f>
        <v>-0.13471979519908989</v>
      </c>
      <c r="J354" s="17">
        <f>'[50]2022-23'!AH221/10000000</f>
        <v>2.4622649985725245</v>
      </c>
      <c r="K354" s="17">
        <f>'[50]2022-23'!AM221/10000000</f>
        <v>34.984116923696426</v>
      </c>
      <c r="L354" s="17">
        <f>'[50]2022-23'!AR221/10000000</f>
        <v>31.057284083837558</v>
      </c>
      <c r="M354" s="17">
        <f>'[50]2022-23'!AW221/10000000</f>
        <v>42.783534429701014</v>
      </c>
      <c r="N354" s="17">
        <f>'[50]2022-23'!BB221/10000000</f>
        <v>33.023076203700001</v>
      </c>
      <c r="O354" s="17">
        <f>'[50]2022-23'!BG221/10000000</f>
        <v>31.642283621499999</v>
      </c>
      <c r="P354" s="17">
        <f>('[50]2022-23'!BL221+'[50]2022-23'!BQ221+'[50]2022-23'!BV221)/10000000</f>
        <v>33.115373858399998</v>
      </c>
      <c r="Q354" s="17">
        <f t="shared" si="180"/>
        <v>330.16667305385323</v>
      </c>
    </row>
    <row r="355" spans="2:17" x14ac:dyDescent="0.25">
      <c r="B355" s="60"/>
      <c r="C355" s="803"/>
      <c r="D355" s="59" t="s">
        <v>354</v>
      </c>
      <c r="E355" s="17">
        <f>'[50]2022-23'!I222/10000000</f>
        <v>1.3809836549482604</v>
      </c>
      <c r="F355" s="17">
        <f>'[50]2022-23'!N222/10000000</f>
        <v>3.6772265919266598</v>
      </c>
      <c r="G355" s="17">
        <f>'[50]2022-23'!S222/10000000</f>
        <v>3.3667315053744025</v>
      </c>
      <c r="H355" s="17">
        <f>'[50]2022-23'!X222/10000000</f>
        <v>2.8270879183287878</v>
      </c>
      <c r="I355" s="17">
        <f>'[50]2022-23'!AC222/10000000</f>
        <v>3.6368148021240683</v>
      </c>
      <c r="J355" s="17">
        <f>'[50]2022-23'!AH222/10000000</f>
        <v>3.3360969253491128</v>
      </c>
      <c r="K355" s="17">
        <f>'[50]2022-23'!AM222/10000000</f>
        <v>0.84982773445377724</v>
      </c>
      <c r="L355" s="17">
        <f>'[50]2022-23'!AR222/10000000</f>
        <v>2.4299921341984558</v>
      </c>
      <c r="M355" s="17">
        <f>'[50]2022-23'!AW222/10000000</f>
        <v>1.4002861261360233</v>
      </c>
      <c r="N355" s="17">
        <f>'[50]2022-23'!BB222/10000000</f>
        <v>1.6438847167499999</v>
      </c>
      <c r="O355" s="17">
        <f>'[50]2022-23'!BG222/10000000</f>
        <v>1.7585214039000001</v>
      </c>
      <c r="P355" s="17">
        <f>('[50]2022-23'!BL222+'[50]2022-23'!BQ222+'[50]2022-23'!BV222)/10000000</f>
        <v>1.5893488239</v>
      </c>
      <c r="Q355" s="17">
        <f t="shared" si="180"/>
        <v>27.896802337389552</v>
      </c>
    </row>
    <row r="356" spans="2:17" x14ac:dyDescent="0.25">
      <c r="B356" s="60"/>
      <c r="C356" s="803"/>
      <c r="D356" s="59" t="s">
        <v>355</v>
      </c>
      <c r="E356" s="17">
        <f>'[50]2022-23'!I223/10000000</f>
        <v>27.80570417854873</v>
      </c>
      <c r="F356" s="17">
        <f>'[50]2022-23'!N223/10000000</f>
        <v>23.191670229703981</v>
      </c>
      <c r="G356" s="17">
        <f>'[50]2022-23'!S223/10000000</f>
        <v>-0.34483014290693786</v>
      </c>
      <c r="H356" s="17">
        <f>'[50]2022-23'!X223/10000000</f>
        <v>6.3744830599415447</v>
      </c>
      <c r="I356" s="17">
        <f>'[50]2022-23'!AC223/10000000</f>
        <v>29.491084554729916</v>
      </c>
      <c r="J356" s="17">
        <f>'[50]2022-23'!AH223/10000000</f>
        <v>29.158288677963085</v>
      </c>
      <c r="K356" s="17">
        <f>'[50]2022-23'!AM223/10000000</f>
        <v>28.234963696522783</v>
      </c>
      <c r="L356" s="17">
        <f>'[50]2022-23'!AR223/10000000</f>
        <v>32.342697347155259</v>
      </c>
      <c r="M356" s="17">
        <f>'[50]2022-23'!AW223/10000000</f>
        <v>34.60586619248911</v>
      </c>
      <c r="N356" s="17">
        <f>'[50]2022-23'!BB223/10000000</f>
        <v>29.308590759599994</v>
      </c>
      <c r="O356" s="17">
        <f>'[50]2022-23'!BG223/10000000</f>
        <v>24.946858781549999</v>
      </c>
      <c r="P356" s="17">
        <f>('[50]2022-23'!BL223+'[50]2022-23'!BQ223+'[50]2022-23'!BV223)/10000000</f>
        <v>30.079432140599994</v>
      </c>
      <c r="Q356" s="17">
        <f t="shared" si="180"/>
        <v>295.19480947589744</v>
      </c>
    </row>
    <row r="357" spans="2:17" x14ac:dyDescent="0.25">
      <c r="B357" s="60"/>
      <c r="C357" s="803"/>
      <c r="D357" s="59" t="s">
        <v>356</v>
      </c>
      <c r="E357" s="17">
        <f>'[50]2022-23'!I224/10000000</f>
        <v>31.300656290952222</v>
      </c>
      <c r="F357" s="17">
        <f>'[50]2022-23'!N224/10000000</f>
        <v>37.362972795691192</v>
      </c>
      <c r="G357" s="17">
        <f>'[50]2022-23'!S224/10000000</f>
        <v>36.466822759804366</v>
      </c>
      <c r="H357" s="17">
        <f>'[50]2022-23'!X224/10000000</f>
        <v>36.304321108583189</v>
      </c>
      <c r="I357" s="17">
        <f>'[50]2022-23'!AC224/10000000</f>
        <v>30.512415352669517</v>
      </c>
      <c r="J357" s="17">
        <f>'[50]2022-23'!AH224/10000000</f>
        <v>35.521959182477829</v>
      </c>
      <c r="K357" s="17">
        <f>'[50]2022-23'!AM224/10000000</f>
        <v>36.235727332963208</v>
      </c>
      <c r="L357" s="17">
        <f>'[50]2022-23'!AR224/10000000</f>
        <v>23.868078274336899</v>
      </c>
      <c r="M357" s="17">
        <f>'[50]2022-23'!AW224/10000000</f>
        <v>39.475224528063578</v>
      </c>
      <c r="N357" s="17">
        <f>'[50]2022-23'!BB224/10000000</f>
        <v>30.184792460600001</v>
      </c>
      <c r="O357" s="17">
        <f>'[50]2022-23'!BG224/10000000</f>
        <v>31.04340140895</v>
      </c>
      <c r="P357" s="17">
        <f>('[50]2022-23'!BL224+'[50]2022-23'!BQ224+'[50]2022-23'!BV224)/10000000</f>
        <v>32.917907367600002</v>
      </c>
      <c r="Q357" s="17">
        <f t="shared" si="180"/>
        <v>401.19427886269199</v>
      </c>
    </row>
    <row r="358" spans="2:17" x14ac:dyDescent="0.25">
      <c r="B358" s="60"/>
      <c r="C358" s="803"/>
      <c r="D358" s="59" t="s">
        <v>357</v>
      </c>
      <c r="E358" s="17">
        <f>'[50]2022-23'!I225/10000000</f>
        <v>40.193260207583826</v>
      </c>
      <c r="F358" s="17">
        <f>'[50]2022-23'!N225/10000000</f>
        <v>39.182122582233269</v>
      </c>
      <c r="G358" s="17">
        <f>'[50]2022-23'!S225/10000000</f>
        <v>33.77955789961154</v>
      </c>
      <c r="H358" s="17">
        <f>'[50]2022-23'!X225/10000000</f>
        <v>26.895290958690232</v>
      </c>
      <c r="I358" s="17">
        <f>'[50]2022-23'!AC225/10000000</f>
        <v>36.743335549427407</v>
      </c>
      <c r="J358" s="17">
        <f>'[50]2022-23'!AH225/10000000</f>
        <v>40.899898595329482</v>
      </c>
      <c r="K358" s="17">
        <f>'[50]2022-23'!AM225/10000000</f>
        <v>45.874880595470316</v>
      </c>
      <c r="L358" s="17">
        <f>'[50]2022-23'!AR225/10000000</f>
        <v>40.084992576577157</v>
      </c>
      <c r="M358" s="17">
        <f>'[50]2022-23'!AW225/10000000</f>
        <v>42.791200956055405</v>
      </c>
      <c r="N358" s="17">
        <f>'[50]2022-23'!BB225/10000000</f>
        <v>44.450627291449997</v>
      </c>
      <c r="O358" s="17">
        <f>'[50]2022-23'!BG225/10000000</f>
        <v>39.124669034899995</v>
      </c>
      <c r="P358" s="17">
        <f>('[50]2022-23'!BL225+'[50]2022-23'!BQ225+'[50]2022-23'!BV225)/10000000</f>
        <v>36.59373759575</v>
      </c>
      <c r="Q358" s="17">
        <f t="shared" si="180"/>
        <v>466.6135738430786</v>
      </c>
    </row>
    <row r="359" spans="2:17" x14ac:dyDescent="0.25">
      <c r="B359" s="60"/>
      <c r="C359" s="803"/>
      <c r="D359" s="59" t="s">
        <v>358</v>
      </c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>
        <f t="shared" si="180"/>
        <v>0</v>
      </c>
    </row>
    <row r="360" spans="2:17" x14ac:dyDescent="0.25">
      <c r="B360" s="60"/>
      <c r="C360" s="803"/>
      <c r="D360" s="325" t="s">
        <v>620</v>
      </c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>
        <f t="shared" si="180"/>
        <v>0</v>
      </c>
    </row>
    <row r="361" spans="2:17" x14ac:dyDescent="0.25">
      <c r="B361" s="60"/>
      <c r="C361" s="803"/>
      <c r="D361" s="59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>
        <f t="shared" si="180"/>
        <v>0</v>
      </c>
    </row>
    <row r="362" spans="2:17" x14ac:dyDescent="0.25">
      <c r="B362" s="60"/>
      <c r="C362" s="803"/>
      <c r="D362" s="59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>
        <f t="shared" si="180"/>
        <v>0</v>
      </c>
    </row>
    <row r="363" spans="2:17" x14ac:dyDescent="0.25">
      <c r="B363" s="60"/>
      <c r="C363" s="803"/>
      <c r="D363" s="59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>
        <f t="shared" si="180"/>
        <v>0</v>
      </c>
    </row>
    <row r="364" spans="2:17" x14ac:dyDescent="0.25">
      <c r="B364" s="60"/>
      <c r="C364" s="803"/>
      <c r="D364" s="59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>
        <f t="shared" si="180"/>
        <v>0</v>
      </c>
    </row>
    <row r="365" spans="2:17" x14ac:dyDescent="0.25">
      <c r="B365" s="60"/>
      <c r="C365" s="803"/>
      <c r="D365" s="59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>
        <f t="shared" si="180"/>
        <v>0</v>
      </c>
    </row>
    <row r="366" spans="2:17" x14ac:dyDescent="0.25">
      <c r="B366" s="60"/>
      <c r="C366" s="803"/>
      <c r="D366" s="59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>
        <f t="shared" si="180"/>
        <v>0</v>
      </c>
    </row>
    <row r="367" spans="2:17" x14ac:dyDescent="0.25">
      <c r="B367" s="60"/>
      <c r="C367" s="803"/>
      <c r="D367" s="59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>
        <f t="shared" si="180"/>
        <v>0</v>
      </c>
    </row>
    <row r="368" spans="2:17" x14ac:dyDescent="0.25">
      <c r="B368" s="60"/>
      <c r="C368" s="803"/>
      <c r="D368" s="59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>
        <f t="shared" si="180"/>
        <v>0</v>
      </c>
    </row>
    <row r="369" spans="2:17" x14ac:dyDescent="0.25">
      <c r="B369" s="60"/>
      <c r="C369" s="804"/>
      <c r="D369" s="59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>
        <f t="shared" si="180"/>
        <v>0</v>
      </c>
    </row>
    <row r="370" spans="2:17" x14ac:dyDescent="0.25">
      <c r="C370" s="751" t="s">
        <v>212</v>
      </c>
      <c r="D370" s="752"/>
      <c r="E370" s="17">
        <f t="shared" ref="E370:P370" si="181">SUM(E352:E369)</f>
        <v>195.09198565729304</v>
      </c>
      <c r="F370" s="17">
        <f t="shared" si="181"/>
        <v>203.07862658142943</v>
      </c>
      <c r="G370" s="17">
        <f t="shared" si="181"/>
        <v>169.45404450637494</v>
      </c>
      <c r="H370" s="17">
        <f t="shared" si="181"/>
        <v>121.4914238230341</v>
      </c>
      <c r="I370" s="17">
        <f t="shared" si="181"/>
        <v>157.11995241233171</v>
      </c>
      <c r="J370" s="17">
        <f t="shared" si="181"/>
        <v>172.67588712980529</v>
      </c>
      <c r="K370" s="17">
        <f t="shared" si="181"/>
        <v>202.99147925114573</v>
      </c>
      <c r="L370" s="17">
        <f t="shared" si="181"/>
        <v>190.38472617339809</v>
      </c>
      <c r="M370" s="17">
        <f t="shared" si="181"/>
        <v>225.18077197179369</v>
      </c>
      <c r="N370" s="17">
        <f t="shared" si="181"/>
        <v>185.02660653479998</v>
      </c>
      <c r="O370" s="17">
        <f t="shared" si="181"/>
        <v>172.05784880319999</v>
      </c>
      <c r="P370" s="17">
        <f t="shared" si="181"/>
        <v>182.92543921070001</v>
      </c>
      <c r="Q370" s="86">
        <f t="shared" si="180"/>
        <v>2177.4787920553063</v>
      </c>
    </row>
    <row r="371" spans="2:17" x14ac:dyDescent="0.25">
      <c r="C371" s="753" t="s">
        <v>359</v>
      </c>
      <c r="D371" s="754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</row>
    <row r="372" spans="2:17" x14ac:dyDescent="0.25">
      <c r="C372" s="805" t="s">
        <v>350</v>
      </c>
      <c r="D372" s="17" t="s">
        <v>360</v>
      </c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>
        <f t="shared" ref="Q372:Q390" si="182">SUM(E372:P372)</f>
        <v>0</v>
      </c>
    </row>
    <row r="373" spans="2:17" x14ac:dyDescent="0.25">
      <c r="C373" s="806"/>
      <c r="D373" s="17" t="s">
        <v>361</v>
      </c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>
        <f t="shared" si="182"/>
        <v>0</v>
      </c>
    </row>
    <row r="374" spans="2:17" x14ac:dyDescent="0.25">
      <c r="C374" s="806"/>
      <c r="D374" s="17" t="s">
        <v>362</v>
      </c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>
        <f t="shared" si="182"/>
        <v>0</v>
      </c>
    </row>
    <row r="375" spans="2:17" x14ac:dyDescent="0.25">
      <c r="C375" s="806"/>
      <c r="D375" s="17" t="s">
        <v>363</v>
      </c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>
        <f t="shared" si="182"/>
        <v>0</v>
      </c>
    </row>
    <row r="376" spans="2:17" x14ac:dyDescent="0.25">
      <c r="C376" s="806"/>
      <c r="D376" s="17" t="s">
        <v>364</v>
      </c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>
        <f t="shared" si="182"/>
        <v>0</v>
      </c>
    </row>
    <row r="377" spans="2:17" x14ac:dyDescent="0.25">
      <c r="C377" s="806"/>
      <c r="D377" s="17" t="s">
        <v>365</v>
      </c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>
        <f t="shared" si="182"/>
        <v>0</v>
      </c>
    </row>
    <row r="378" spans="2:17" x14ac:dyDescent="0.25">
      <c r="C378" s="806"/>
      <c r="D378" s="17" t="s">
        <v>366</v>
      </c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>
        <f t="shared" si="182"/>
        <v>0</v>
      </c>
    </row>
    <row r="379" spans="2:17" x14ac:dyDescent="0.25">
      <c r="C379" s="806"/>
      <c r="D379" s="17" t="s">
        <v>367</v>
      </c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>
        <f t="shared" si="182"/>
        <v>0</v>
      </c>
    </row>
    <row r="380" spans="2:17" x14ac:dyDescent="0.25">
      <c r="C380" s="80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>
        <f t="shared" si="182"/>
        <v>0</v>
      </c>
    </row>
    <row r="381" spans="2:17" x14ac:dyDescent="0.25">
      <c r="C381" s="806"/>
      <c r="D381" s="325" t="s">
        <v>621</v>
      </c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>
        <f t="shared" si="182"/>
        <v>0</v>
      </c>
    </row>
    <row r="382" spans="2:17" x14ac:dyDescent="0.25">
      <c r="C382" s="806"/>
      <c r="D382" s="325" t="s">
        <v>622</v>
      </c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>
        <f>'[50]2022-23'!$BV$229/10000000</f>
        <v>113.7970003862</v>
      </c>
      <c r="Q382" s="17">
        <f t="shared" si="182"/>
        <v>113.7970003862</v>
      </c>
    </row>
    <row r="383" spans="2:17" x14ac:dyDescent="0.25">
      <c r="C383" s="80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>
        <f t="shared" si="182"/>
        <v>0</v>
      </c>
    </row>
    <row r="384" spans="2:17" x14ac:dyDescent="0.25">
      <c r="C384" s="80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>
        <f t="shared" si="182"/>
        <v>0</v>
      </c>
    </row>
    <row r="385" spans="3:17" x14ac:dyDescent="0.25">
      <c r="C385" s="80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>
        <f t="shared" si="182"/>
        <v>0</v>
      </c>
    </row>
    <row r="386" spans="3:17" x14ac:dyDescent="0.25">
      <c r="C386" s="80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>
        <f t="shared" si="182"/>
        <v>0</v>
      </c>
    </row>
    <row r="387" spans="3:17" x14ac:dyDescent="0.25">
      <c r="C387" s="80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>
        <f t="shared" si="182"/>
        <v>0</v>
      </c>
    </row>
    <row r="388" spans="3:17" x14ac:dyDescent="0.25">
      <c r="C388" s="80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>
        <f t="shared" si="182"/>
        <v>0</v>
      </c>
    </row>
    <row r="389" spans="3:17" x14ac:dyDescent="0.25">
      <c r="C389" s="80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>
        <f t="shared" si="182"/>
        <v>0</v>
      </c>
    </row>
    <row r="390" spans="3:17" x14ac:dyDescent="0.25">
      <c r="C390" s="751" t="s">
        <v>212</v>
      </c>
      <c r="D390" s="752"/>
      <c r="E390" s="17">
        <f t="shared" ref="E390:P390" si="183">SUM(E372:E389)</f>
        <v>0</v>
      </c>
      <c r="F390" s="17">
        <f t="shared" si="183"/>
        <v>0</v>
      </c>
      <c r="G390" s="17">
        <f t="shared" si="183"/>
        <v>0</v>
      </c>
      <c r="H390" s="17">
        <f t="shared" si="183"/>
        <v>0</v>
      </c>
      <c r="I390" s="17">
        <f t="shared" si="183"/>
        <v>0</v>
      </c>
      <c r="J390" s="17">
        <f t="shared" si="183"/>
        <v>0</v>
      </c>
      <c r="K390" s="17">
        <f t="shared" si="183"/>
        <v>0</v>
      </c>
      <c r="L390" s="17">
        <f t="shared" si="183"/>
        <v>0</v>
      </c>
      <c r="M390" s="17">
        <f t="shared" si="183"/>
        <v>0</v>
      </c>
      <c r="N390" s="17">
        <f t="shared" si="183"/>
        <v>0</v>
      </c>
      <c r="O390" s="17">
        <f t="shared" si="183"/>
        <v>0</v>
      </c>
      <c r="P390" s="17">
        <f t="shared" si="183"/>
        <v>113.7970003862</v>
      </c>
      <c r="Q390" s="86">
        <f t="shared" si="182"/>
        <v>113.7970003862</v>
      </c>
    </row>
    <row r="391" spans="3:17" x14ac:dyDescent="0.25">
      <c r="C391" s="753" t="s">
        <v>368</v>
      </c>
      <c r="D391" s="754"/>
      <c r="E391" s="17">
        <f t="shared" ref="E391:Q391" si="184">E370+E390</f>
        <v>195.09198565729304</v>
      </c>
      <c r="F391" s="17">
        <f t="shared" si="184"/>
        <v>203.07862658142943</v>
      </c>
      <c r="G391" s="17">
        <f t="shared" si="184"/>
        <v>169.45404450637494</v>
      </c>
      <c r="H391" s="17">
        <f t="shared" si="184"/>
        <v>121.4914238230341</v>
      </c>
      <c r="I391" s="17">
        <f t="shared" si="184"/>
        <v>157.11995241233171</v>
      </c>
      <c r="J391" s="17">
        <f t="shared" si="184"/>
        <v>172.67588712980529</v>
      </c>
      <c r="K391" s="17">
        <f t="shared" si="184"/>
        <v>202.99147925114573</v>
      </c>
      <c r="L391" s="17">
        <f t="shared" si="184"/>
        <v>190.38472617339809</v>
      </c>
      <c r="M391" s="17">
        <f t="shared" si="184"/>
        <v>225.18077197179369</v>
      </c>
      <c r="N391" s="17">
        <f t="shared" si="184"/>
        <v>185.02660653479998</v>
      </c>
      <c r="O391" s="17">
        <f t="shared" si="184"/>
        <v>172.05784880319999</v>
      </c>
      <c r="P391" s="17">
        <f t="shared" si="184"/>
        <v>296.72243959690002</v>
      </c>
      <c r="Q391" s="86">
        <f t="shared" si="184"/>
        <v>2291.2757924415064</v>
      </c>
    </row>
    <row r="392" spans="3:17" x14ac:dyDescent="0.25">
      <c r="C392" s="800" t="s">
        <v>369</v>
      </c>
      <c r="D392" s="801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</row>
    <row r="393" spans="3:17" x14ac:dyDescent="0.25">
      <c r="C393" s="753" t="s">
        <v>349</v>
      </c>
      <c r="D393" s="754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</row>
    <row r="394" spans="3:17" x14ac:dyDescent="0.25">
      <c r="C394" s="805" t="s">
        <v>370</v>
      </c>
      <c r="D394" s="17" t="s">
        <v>371</v>
      </c>
      <c r="E394" s="17">
        <f>'[50]2022-23'!I195/10000000</f>
        <v>17.038309791045851</v>
      </c>
      <c r="F394" s="17">
        <f>'[50]2022-23'!N195/10000000</f>
        <v>20.986832199926397</v>
      </c>
      <c r="G394" s="17">
        <f>'[50]2022-23'!S195/10000000</f>
        <v>32.738547356899197</v>
      </c>
      <c r="H394" s="17">
        <f>'[50]2022-23'!X195/10000000</f>
        <v>27.327371900525396</v>
      </c>
      <c r="I394" s="17">
        <f>'[50]2022-23'!AC195/10000000</f>
        <v>17.576720229383401</v>
      </c>
      <c r="J394" s="17">
        <f>'[50]2022-23'!AH195/10000000</f>
        <v>16.323735404729998</v>
      </c>
      <c r="K394" s="17">
        <f>'[50]2022-23'!AM195/10000000</f>
        <v>9.09585102167995</v>
      </c>
      <c r="L394" s="17">
        <f>'[50]2022-23'!AR195/10000000</f>
        <v>8.2401074071041993</v>
      </c>
      <c r="M394" s="17">
        <f>'[50]2022-23'!AW195/10000000</f>
        <v>10.875032157449999</v>
      </c>
      <c r="N394" s="17">
        <f>'[50]2022-23'!BB195/10000000</f>
        <v>17.1670317384669</v>
      </c>
      <c r="O394" s="17">
        <f>'[50]2022-23'!BG195/10000000</f>
        <v>23.710900736472148</v>
      </c>
      <c r="P394" s="17">
        <f>('[50]2022-23'!BL195+'[50]2022-23'!BQ195+'[50]2022-23'!BV195)/10000000</f>
        <v>30.187770003085578</v>
      </c>
      <c r="Q394" s="17">
        <f t="shared" ref="Q394:Q419" si="185">SUM(E394:P394)</f>
        <v>231.26820994676899</v>
      </c>
    </row>
    <row r="395" spans="3:17" x14ac:dyDescent="0.25">
      <c r="C395" s="806"/>
      <c r="D395" s="17" t="s">
        <v>372</v>
      </c>
      <c r="E395" s="17">
        <f>'[50]2022-23'!I196/10000000</f>
        <v>4.8716966606218506</v>
      </c>
      <c r="F395" s="17">
        <f>'[50]2022-23'!N196/10000000</f>
        <v>5.424867091096</v>
      </c>
      <c r="G395" s="17">
        <f>'[50]2022-23'!S196/10000000</f>
        <v>2.3689368455938</v>
      </c>
      <c r="H395" s="17">
        <f>'[50]2022-23'!X196/10000000</f>
        <v>0</v>
      </c>
      <c r="I395" s="17">
        <f>'[50]2022-23'!AC196/10000000</f>
        <v>3.5458171237275997</v>
      </c>
      <c r="J395" s="17">
        <f>'[50]2022-23'!AH196/10000000</f>
        <v>5.704160840400001</v>
      </c>
      <c r="K395" s="17">
        <f>'[50]2022-23'!AM196/10000000</f>
        <v>3.4015820552263998</v>
      </c>
      <c r="L395" s="17">
        <f>'[50]2022-23'!AR196/10000000</f>
        <v>3.1271585444831</v>
      </c>
      <c r="M395" s="17">
        <f>'[50]2022-23'!AW196/10000000</f>
        <v>4.0761009734807994</v>
      </c>
      <c r="N395" s="17">
        <f>'[50]2022-23'!BB196/10000000</f>
        <v>5.3006690713807494</v>
      </c>
      <c r="O395" s="17">
        <f>'[50]2022-23'!BG196/10000000</f>
        <v>6.0747487775907993</v>
      </c>
      <c r="P395" s="17">
        <f>('[50]2022-23'!BL196+'[50]2022-23'!BQ196+'[50]2022-23'!BV196)/10000000</f>
        <v>6.4601450156085498</v>
      </c>
      <c r="Q395" s="17">
        <f t="shared" si="185"/>
        <v>50.355882999209641</v>
      </c>
    </row>
    <row r="396" spans="3:17" x14ac:dyDescent="0.25">
      <c r="C396" s="806"/>
      <c r="D396" s="17" t="s">
        <v>373</v>
      </c>
      <c r="E396" s="17">
        <f>'[50]2022-23'!I199/10000000</f>
        <v>7.6427836189932989</v>
      </c>
      <c r="F396" s="17">
        <f>'[50]2022-23'!N199/10000000</f>
        <v>7.8319200139341492</v>
      </c>
      <c r="G396" s="17">
        <f>'[50]2022-23'!S199/10000000</f>
        <v>8.7663110810447993</v>
      </c>
      <c r="H396" s="17">
        <f>'[50]2022-23'!X199/10000000</f>
        <v>12.958445366901749</v>
      </c>
      <c r="I396" s="17">
        <f>'[50]2022-23'!AC199/10000000</f>
        <v>10.902271062464299</v>
      </c>
      <c r="J396" s="17">
        <f>'[50]2022-23'!AH199/10000000</f>
        <v>9.7316699199323491</v>
      </c>
      <c r="K396" s="17">
        <f>'[50]2022-23'!AM199/10000000</f>
        <v>7.7230500830105502</v>
      </c>
      <c r="L396" s="17">
        <f>'[50]2022-23'!AR199/10000000</f>
        <v>4.9140055872583996</v>
      </c>
      <c r="M396" s="17">
        <f>'[50]2022-23'!AW199/10000000</f>
        <v>5.8862563221255995</v>
      </c>
      <c r="N396" s="17">
        <f>'[50]2022-23'!BB199/10000000</f>
        <v>6.3873669091112992</v>
      </c>
      <c r="O396" s="17">
        <f>'[50]2022-23'!BG199/10000000</f>
        <v>6.312304549617</v>
      </c>
      <c r="P396" s="17">
        <f>('[50]2022-23'!BL199+'[50]2022-23'!BQ199+'[50]2022-23'!BV199)/10000000</f>
        <v>10.478875165761597</v>
      </c>
      <c r="Q396" s="17">
        <f t="shared" si="185"/>
        <v>99.535259680155093</v>
      </c>
    </row>
    <row r="397" spans="3:17" x14ac:dyDescent="0.25">
      <c r="C397" s="806"/>
      <c r="D397" s="17" t="s">
        <v>374</v>
      </c>
      <c r="E397" s="17">
        <f>'[50]2022-23'!I197/10000000</f>
        <v>41.192253201960042</v>
      </c>
      <c r="F397" s="17">
        <f>'[50]2022-23'!N197/10000000</f>
        <v>37.781887941921148</v>
      </c>
      <c r="G397" s="17">
        <f>'[50]2022-23'!S197/10000000</f>
        <v>39.792850683753201</v>
      </c>
      <c r="H397" s="17">
        <f>'[50]2022-23'!X197/10000000</f>
        <v>38.993324847993442</v>
      </c>
      <c r="I397" s="17">
        <f>'[50]2022-23'!AC197/10000000</f>
        <v>33.333877259324005</v>
      </c>
      <c r="J397" s="17">
        <f>'[50]2022-23'!AH197/10000000</f>
        <v>35.226913136180997</v>
      </c>
      <c r="K397" s="17">
        <f>'[50]2022-23'!AM197/10000000</f>
        <v>14.069914511374849</v>
      </c>
      <c r="L397" s="17">
        <f>'[50]2022-23'!AR197/10000000</f>
        <v>5.6916747371869993</v>
      </c>
      <c r="M397" s="17">
        <f>'[50]2022-23'!AW197/10000000</f>
        <v>35.51000533765</v>
      </c>
      <c r="N397" s="17">
        <f>'[50]2022-23'!BB197/10000000</f>
        <v>45.00661542588945</v>
      </c>
      <c r="O397" s="17">
        <f>'[50]2022-23'!BG197/10000000</f>
        <v>49.389148107481795</v>
      </c>
      <c r="P397" s="17">
        <f>('[50]2022-23'!BL197+'[50]2022-23'!BQ197+'[50]2022-23'!BV197)/10000000</f>
        <v>52.810362363905</v>
      </c>
      <c r="Q397" s="17">
        <f t="shared" si="185"/>
        <v>428.79882755462086</v>
      </c>
    </row>
    <row r="398" spans="3:17" x14ac:dyDescent="0.25">
      <c r="C398" s="806"/>
      <c r="D398" s="17" t="s">
        <v>375</v>
      </c>
      <c r="E398" s="17">
        <f>'[50]2022-23'!I198/10000000</f>
        <v>18.583451158748748</v>
      </c>
      <c r="F398" s="17">
        <f>'[50]2022-23'!N198/10000000</f>
        <v>14.194183997316747</v>
      </c>
      <c r="G398" s="17">
        <f>'[50]2022-23'!S198/10000000</f>
        <v>9.2117395037858998</v>
      </c>
      <c r="H398" s="17">
        <f>'[50]2022-23'!X198/10000000</f>
        <v>15.167384482580001</v>
      </c>
      <c r="I398" s="17">
        <f>'[50]2022-23'!AC198/10000000</f>
        <v>16.113713648569995</v>
      </c>
      <c r="J398" s="17">
        <f>'[50]2022-23'!AH198/10000000</f>
        <v>13.363210576656398</v>
      </c>
      <c r="K398" s="17">
        <f>'[50]2022-23'!AM198/10000000</f>
        <v>12.954933808567448</v>
      </c>
      <c r="L398" s="17">
        <f>'[50]2022-23'!AR198/10000000</f>
        <v>12.709795317539999</v>
      </c>
      <c r="M398" s="17">
        <f>'[50]2022-23'!AW198/10000000</f>
        <v>17.280274961377046</v>
      </c>
      <c r="N398" s="17">
        <f>'[50]2022-23'!BB198/10000000</f>
        <v>19.588050195604996</v>
      </c>
      <c r="O398" s="17">
        <f>'[50]2022-23'!BG198/10000000</f>
        <v>22.335461013631196</v>
      </c>
      <c r="P398" s="17">
        <f>('[50]2022-23'!BL198+'[50]2022-23'!BQ198+'[50]2022-23'!BV198)/10000000</f>
        <v>26.3463773921575</v>
      </c>
      <c r="Q398" s="17">
        <f t="shared" si="185"/>
        <v>197.84857605653602</v>
      </c>
    </row>
    <row r="399" spans="3:17" x14ac:dyDescent="0.25">
      <c r="C399" s="806"/>
      <c r="D399" s="17" t="s">
        <v>376</v>
      </c>
      <c r="E399" s="17">
        <f>'[50]2022-23'!$I$200/10000000</f>
        <v>19.457054894190147</v>
      </c>
      <c r="F399" s="17">
        <f>'[50]2022-23'!$N$200/10000000</f>
        <v>18.655571166269247</v>
      </c>
      <c r="G399" s="17">
        <f>'[50]2022-23'!$S$200/10000000</f>
        <v>24.525423262912398</v>
      </c>
      <c r="H399" s="17">
        <f>'[50]2022-23'!$X$200/10000000</f>
        <v>20.057267695936797</v>
      </c>
      <c r="I399" s="17">
        <f>'[50]2022-23'!$AC$200/10000000</f>
        <v>18.639385515182248</v>
      </c>
      <c r="J399" s="17">
        <f>'[50]2022-23'!$AH$200/10000000</f>
        <v>19.326071641977748</v>
      </c>
      <c r="K399" s="17">
        <f>'[50]2022-23'!$AM$200/10000000</f>
        <v>1.2532897577576498</v>
      </c>
      <c r="L399" s="17">
        <f>'[50]2022-23'!$AR$200/10000000</f>
        <v>0.19052253419999998</v>
      </c>
      <c r="M399" s="17">
        <f>'[50]2022-23'!$AW$200/10000000</f>
        <v>9.7130363853459976</v>
      </c>
      <c r="N399" s="17">
        <f>'[50]2022-23'!$BB$200/10000000</f>
        <v>15.674470947650498</v>
      </c>
      <c r="O399" s="17">
        <f>'[50]2022-23'!$BG$200/10000000</f>
        <v>23.207404366082997</v>
      </c>
      <c r="P399" s="17">
        <f>('[50]2022-23'!$BL$200+'[50]2022-23'!$BQ$200+'[50]2022-23'!$BV$200)/10000000</f>
        <v>14.937588776600998</v>
      </c>
      <c r="Q399" s="17">
        <f t="shared" si="185"/>
        <v>185.63708694410673</v>
      </c>
    </row>
    <row r="400" spans="3:17" x14ac:dyDescent="0.25">
      <c r="C400" s="806"/>
      <c r="D400" s="17" t="s">
        <v>377</v>
      </c>
      <c r="E400" s="17">
        <f>'[50]2022-23'!$I$215/10000000</f>
        <v>13.019760213450001</v>
      </c>
      <c r="F400" s="17">
        <f>'[50]2022-23'!$N$215/10000000</f>
        <v>16.5344744392</v>
      </c>
      <c r="G400" s="17">
        <f>'[50]2022-23'!$S$215/10000000</f>
        <v>22.57737303755</v>
      </c>
      <c r="H400" s="17">
        <f>'[50]2022-23'!$X$215/10000000</f>
        <v>13.018228751905802</v>
      </c>
      <c r="I400" s="17">
        <f>'[50]2022-23'!$AC$215/10000000</f>
        <v>17.57872470205</v>
      </c>
      <c r="J400" s="17">
        <f>'[50]2022-23'!$AH$215/10000000</f>
        <v>13.056403246104949</v>
      </c>
      <c r="K400" s="17">
        <f>'[50]2022-23'!$AM$215/10000000</f>
        <v>12.053643598349998</v>
      </c>
      <c r="L400" s="17">
        <f>'[50]2022-23'!$AR$215/10000000</f>
        <v>17.403284484699999</v>
      </c>
      <c r="M400" s="17">
        <f>'[50]2022-23'!$AW$215/10000000</f>
        <v>13.537166026549999</v>
      </c>
      <c r="N400" s="17">
        <f>'[50]2022-23'!$BB$215/10000000</f>
        <v>14.722139374249998</v>
      </c>
      <c r="O400" s="17">
        <f>'[50]2022-23'!$BG$215/10000000</f>
        <v>24.779702937549999</v>
      </c>
      <c r="P400" s="17">
        <f>('[50]2022-23'!$BL$215+'[50]2022-23'!$BQ$215+'[50]2022-23'!$BV$215)/10000000</f>
        <v>37.312959490859228</v>
      </c>
      <c r="Q400" s="17">
        <f t="shared" si="185"/>
        <v>215.59386030251994</v>
      </c>
    </row>
    <row r="401" spans="3:17" x14ac:dyDescent="0.25">
      <c r="C401" s="806"/>
      <c r="D401" s="17" t="s">
        <v>378</v>
      </c>
      <c r="E401" s="17">
        <f>'[50]2022-23'!$I$213/10000000</f>
        <v>3.9890412326399995</v>
      </c>
      <c r="F401" s="17">
        <f>'[50]2022-23'!$N$213/10000000</f>
        <v>3.4667308536469994</v>
      </c>
      <c r="G401" s="17">
        <f>'[50]2022-23'!$S$213/10000000</f>
        <v>4.2742501325384996</v>
      </c>
      <c r="H401" s="17">
        <f>'[50]2022-23'!$X$213/10000000</f>
        <v>3.8406337212995001</v>
      </c>
      <c r="I401" s="17">
        <f>'[50]2022-23'!$AC$213/10000000</f>
        <v>3.5963048496754997</v>
      </c>
      <c r="J401" s="17">
        <f>'[50]2022-23'!$AH$213/10000000</f>
        <v>4.0031664268459997</v>
      </c>
      <c r="K401" s="17">
        <f>'[50]2022-23'!$AM$213/10000000</f>
        <v>3.1299128189794998</v>
      </c>
      <c r="L401" s="17">
        <f>'[50]2022-23'!$AR$213/10000000</f>
        <v>4.1655440534044992</v>
      </c>
      <c r="M401" s="17">
        <f>'[50]2022-23'!$AW$213/10000000</f>
        <v>2.4476279823149998</v>
      </c>
      <c r="N401" s="17">
        <f>'[50]2022-23'!$BB$213/10000000</f>
        <v>4.3278493593034995</v>
      </c>
      <c r="O401" s="17">
        <f>'[50]2022-23'!$BG$213/10000000</f>
        <v>2.9511088715164995</v>
      </c>
      <c r="P401" s="17">
        <f>('[50]2022-23'!$BL$213+'[50]2022-23'!$BQ$213+'[50]2022-23'!$BV$213)/10000000</f>
        <v>19.024625973743738</v>
      </c>
      <c r="Q401" s="17">
        <f t="shared" si="185"/>
        <v>59.216796275909232</v>
      </c>
    </row>
    <row r="402" spans="3:17" x14ac:dyDescent="0.25">
      <c r="C402" s="807"/>
      <c r="D402" s="17" t="s">
        <v>379</v>
      </c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>
        <f t="shared" si="185"/>
        <v>0</v>
      </c>
    </row>
    <row r="403" spans="3:17" x14ac:dyDescent="0.25">
      <c r="C403" s="17"/>
      <c r="D403" s="17" t="s">
        <v>380</v>
      </c>
      <c r="E403" s="17">
        <f>'[50]2022-23'!I190/10000000</f>
        <v>0.51082448132964997</v>
      </c>
      <c r="F403" s="17">
        <f>'[50]2022-23'!N190/10000000</f>
        <v>0.86585794804999994</v>
      </c>
      <c r="G403" s="17">
        <f>'[50]2022-23'!S190/10000000</f>
        <v>0.58257395109999999</v>
      </c>
      <c r="H403" s="17">
        <f>'[50]2022-23'!X190/10000000</f>
        <v>0.63441976314999993</v>
      </c>
      <c r="I403" s="17">
        <f>'[50]2022-23'!AC190/10000000</f>
        <v>0.38365584035</v>
      </c>
      <c r="J403" s="17">
        <f>'[50]2022-23'!AH190/10000000</f>
        <v>0.23390912824999999</v>
      </c>
      <c r="K403" s="17">
        <f>'[50]2022-23'!AM190/10000000</f>
        <v>0.19440151150000001</v>
      </c>
      <c r="L403" s="17">
        <f>'[50]2022-23'!AR190/10000000</f>
        <v>0.29327387869999999</v>
      </c>
      <c r="M403" s="17">
        <f>'[50]2022-23'!AW190/10000000</f>
        <v>0.3612296948</v>
      </c>
      <c r="N403" s="17">
        <f>'[50]2022-23'!BB190/10000000</f>
        <v>0.51495229575674994</v>
      </c>
      <c r="O403" s="17">
        <f>'[50]2022-23'!BG190/10000000</f>
        <v>0.42050073535000004</v>
      </c>
      <c r="P403" s="17">
        <f>('[50]2022-23'!BL190+'[50]2022-23'!BQ190+'[50]2022-23'!BV190)/10000000</f>
        <v>25.260601379436164</v>
      </c>
      <c r="Q403" s="17">
        <f t="shared" si="185"/>
        <v>30.256200607772563</v>
      </c>
    </row>
    <row r="404" spans="3:17" x14ac:dyDescent="0.25">
      <c r="C404" s="17"/>
      <c r="D404" s="17" t="s">
        <v>381</v>
      </c>
      <c r="E404" s="17">
        <f>'[50]2022-23'!I191/10000000</f>
        <v>0.63198639187439998</v>
      </c>
      <c r="F404" s="17">
        <f>'[50]2022-23'!N191/10000000</f>
        <v>1.6217081010499999</v>
      </c>
      <c r="G404" s="17">
        <f>'[50]2022-23'!S191/10000000</f>
        <v>0.72051619025000002</v>
      </c>
      <c r="H404" s="17">
        <f>'[50]2022-23'!X191/10000000</f>
        <v>1.3130353768999998</v>
      </c>
      <c r="I404" s="17">
        <f>'[50]2022-23'!AC191/10000000</f>
        <v>1.0622692748</v>
      </c>
      <c r="J404" s="17">
        <f>'[50]2022-23'!AH191/10000000</f>
        <v>0.79538365629999996</v>
      </c>
      <c r="K404" s="17">
        <f>'[50]2022-23'!AM191/10000000</f>
        <v>0.29999083308024999</v>
      </c>
      <c r="L404" s="17">
        <f>'[50]2022-23'!AR191/10000000</f>
        <v>0.24558161852174998</v>
      </c>
      <c r="M404" s="17">
        <f>'[50]2022-23'!AW191/10000000</f>
        <v>0.26640835179999994</v>
      </c>
      <c r="N404" s="17">
        <f>'[50]2022-23'!BB191/10000000</f>
        <v>0.20437768677825</v>
      </c>
      <c r="O404" s="17">
        <f>'[50]2022-23'!BG191/10000000</f>
        <v>0.45972094955000004</v>
      </c>
      <c r="P404" s="17">
        <f>('[50]2022-23'!BL191+'[50]2022-23'!BQ191+'[50]2022-23'!BV191)/10000000</f>
        <v>0.42602081389999996</v>
      </c>
      <c r="Q404" s="17">
        <f t="shared" si="185"/>
        <v>8.0469992448046508</v>
      </c>
    </row>
    <row r="405" spans="3:17" x14ac:dyDescent="0.25">
      <c r="C405" s="17"/>
      <c r="D405" s="17" t="s">
        <v>382</v>
      </c>
      <c r="E405" s="17">
        <f>'[50]2022-23'!$I$194/10000000</f>
        <v>2.2796800137429503</v>
      </c>
      <c r="F405" s="17">
        <f>'[50]2022-23'!$N$194/10000000</f>
        <v>2.8928465826999998</v>
      </c>
      <c r="G405" s="17">
        <f>'[50]2022-23'!$S$194/10000000</f>
        <v>2.3580193805216494</v>
      </c>
      <c r="H405" s="17">
        <f>'[50]2022-23'!$X$194/10000000</f>
        <v>2.9809027895</v>
      </c>
      <c r="I405" s="17">
        <f>'[50]2022-23'!$AC$194/10000000</f>
        <v>2.6017261763499997</v>
      </c>
      <c r="J405" s="17">
        <f>'[50]2022-23'!$AH$194/10000000</f>
        <v>2.3832891356999997</v>
      </c>
      <c r="K405" s="17">
        <f>'[50]2022-23'!$AM$194/10000000</f>
        <v>2.3346353773440001</v>
      </c>
      <c r="L405" s="17">
        <f>'[50]2022-23'!$AR$194/10000000</f>
        <v>2.2642888937052996</v>
      </c>
      <c r="M405" s="17">
        <f>'[50]2022-23'!$AW$194/10000000</f>
        <v>0.9768163890999999</v>
      </c>
      <c r="N405" s="17">
        <f>'[50]2022-23'!$BB$194/10000000</f>
        <v>2.4154639467377499</v>
      </c>
      <c r="O405" s="17">
        <f>'[50]2022-23'!$BG$194/10000000</f>
        <v>2.3962852734499998</v>
      </c>
      <c r="P405" s="17">
        <f>('[50]2022-23'!$BL$194+'[50]2022-23'!$BQ$194+'[50]2022-23'!$BV$194)/10000000</f>
        <v>2.8486088687777502</v>
      </c>
      <c r="Q405" s="17">
        <f t="shared" si="185"/>
        <v>28.732562827629398</v>
      </c>
    </row>
    <row r="406" spans="3:17" x14ac:dyDescent="0.25">
      <c r="C406" s="17"/>
      <c r="D406" s="17" t="s">
        <v>383</v>
      </c>
      <c r="E406" s="17"/>
      <c r="F406" s="17"/>
      <c r="G406" s="17"/>
      <c r="H406" s="17"/>
      <c r="I406" s="17"/>
      <c r="J406" s="17"/>
      <c r="K406" s="17">
        <f>'[50]2022-23'!AM192/10000000</f>
        <v>0.234945029055</v>
      </c>
      <c r="L406" s="17">
        <f>'[50]2022-23'!AR192/10000000</f>
        <v>0.33727980789919998</v>
      </c>
      <c r="M406" s="17">
        <f>'[50]2022-23'!AW192/10000000</f>
        <v>0.32002531629999997</v>
      </c>
      <c r="N406" s="17">
        <f>'[50]2022-23'!BB192/10000000</f>
        <v>0.28748386144999999</v>
      </c>
      <c r="O406" s="17">
        <f>'[50]2022-23'!BG192/10000000</f>
        <v>0.33535047784999999</v>
      </c>
      <c r="P406" s="17">
        <f>('[50]2022-23'!BL192+'[50]2022-23'!BQ192+'[50]2022-23'!BV192)/10000000</f>
        <v>0.24666168504999997</v>
      </c>
      <c r="Q406" s="17">
        <f t="shared" si="185"/>
        <v>1.7617461776041998</v>
      </c>
    </row>
    <row r="407" spans="3:17" x14ac:dyDescent="0.25">
      <c r="C407" s="17"/>
      <c r="D407" s="17" t="s">
        <v>384</v>
      </c>
      <c r="E407" s="17"/>
      <c r="F407" s="17"/>
      <c r="G407" s="17"/>
      <c r="H407" s="17"/>
      <c r="I407" s="17"/>
      <c r="J407" s="17"/>
      <c r="K407" s="17">
        <f>'[50]2022-23'!AM193/10000000</f>
        <v>0.19709447839999999</v>
      </c>
      <c r="L407" s="17">
        <f>'[50]2022-23'!AR193/10000000</f>
        <v>8.2639291599999998E-2</v>
      </c>
      <c r="M407" s="17">
        <f>'[50]2022-23'!AW193/10000000</f>
        <v>0.16391507764999999</v>
      </c>
      <c r="N407" s="17">
        <f>'[50]2022-23'!BB193/10000000</f>
        <v>7.2620990599999991E-2</v>
      </c>
      <c r="O407" s="17">
        <f>'[50]2022-23'!BG193/10000000</f>
        <v>0.1854613161</v>
      </c>
      <c r="P407" s="17">
        <f>('[50]2022-23'!BL193+'[50]2022-23'!BQ193+'[50]2022-23'!BV193)/10000000</f>
        <v>9.1254594600000002E-2</v>
      </c>
      <c r="Q407" s="17">
        <f t="shared" si="185"/>
        <v>0.79298574894999996</v>
      </c>
    </row>
    <row r="408" spans="3:17" x14ac:dyDescent="0.25">
      <c r="C408" s="17"/>
      <c r="D408" s="17" t="s">
        <v>385</v>
      </c>
      <c r="E408" s="17">
        <f>'[50]2022-23'!I202/10000000</f>
        <v>7.5770495817499999</v>
      </c>
      <c r="F408" s="17">
        <f>'[50]2022-23'!N202/10000000</f>
        <v>10.684532447</v>
      </c>
      <c r="G408" s="17">
        <f>'[50]2022-23'!S202/10000000</f>
        <v>9.1422857763999996</v>
      </c>
      <c r="H408" s="17">
        <f>'[50]2022-23'!X202/10000000</f>
        <v>5.2351260927499998</v>
      </c>
      <c r="I408" s="17">
        <f>'[50]2022-23'!AC202/10000000</f>
        <v>5.3205995640000001</v>
      </c>
      <c r="J408" s="17">
        <f>'[50]2022-23'!AH202/10000000</f>
        <v>6.3584838853999992</v>
      </c>
      <c r="K408" s="17">
        <f>'[50]2022-23'!AM202/10000000</f>
        <v>3.5182041685499996</v>
      </c>
      <c r="L408" s="17">
        <f>'[50]2022-23'!AR202/10000000</f>
        <v>4.5463959648499994</v>
      </c>
      <c r="M408" s="17">
        <f>'[50]2022-23'!AW202/10000000</f>
        <v>4.5947082637085002</v>
      </c>
      <c r="N408" s="17">
        <f>'[50]2022-23'!BB202/10000000</f>
        <v>4.1271272408000002</v>
      </c>
      <c r="O408" s="17">
        <f>'[50]2022-23'!BG202/10000000</f>
        <v>6.2576291675782505</v>
      </c>
      <c r="P408" s="17">
        <f>('[50]2022-23'!BL202+'[50]2022-23'!BQ202+'[50]2022-23'!BV202)/10000000</f>
        <v>6.5937718037499993</v>
      </c>
      <c r="Q408" s="17">
        <f t="shared" si="185"/>
        <v>73.955913956536747</v>
      </c>
    </row>
    <row r="409" spans="3:17" x14ac:dyDescent="0.25">
      <c r="C409" s="17"/>
      <c r="D409" s="17" t="s">
        <v>386</v>
      </c>
      <c r="E409" s="17">
        <f>'[50]2022-23'!I203/10000000</f>
        <v>6.6695845264499996</v>
      </c>
      <c r="F409" s="17">
        <f>'[50]2022-23'!N203/10000000</f>
        <v>19.047122916946499</v>
      </c>
      <c r="G409" s="17">
        <f>'[50]2022-23'!S203/10000000</f>
        <v>10.9150685195</v>
      </c>
      <c r="H409" s="17">
        <f>'[50]2022-23'!X203/10000000</f>
        <v>9.3601735156500006</v>
      </c>
      <c r="I409" s="17">
        <f>'[50]2022-23'!AC203/10000000</f>
        <v>10.545089818699999</v>
      </c>
      <c r="J409" s="17">
        <f>'[50]2022-23'!AH203/10000000</f>
        <v>6.4885448333499998</v>
      </c>
      <c r="K409" s="17">
        <f>'[50]2022-23'!AM203/10000000</f>
        <v>5.8831777307999999</v>
      </c>
      <c r="L409" s="17">
        <f>'[50]2022-23'!AR203/10000000</f>
        <v>5.0827283799999998</v>
      </c>
      <c r="M409" s="17">
        <f>'[50]2022-23'!AW203/10000000</f>
        <v>9.7880245587000001</v>
      </c>
      <c r="N409" s="17">
        <f>'[50]2022-23'!BB203/10000000</f>
        <v>9.9205416955499999</v>
      </c>
      <c r="O409" s="17">
        <f>'[50]2022-23'!BG203/10000000</f>
        <v>10.590981017449998</v>
      </c>
      <c r="P409" s="17">
        <f>('[50]2022-23'!BL203+'[50]2022-23'!BQ203+'[50]2022-23'!BV203)/10000000</f>
        <v>28.505878676950001</v>
      </c>
      <c r="Q409" s="17">
        <f t="shared" si="185"/>
        <v>132.79691619004652</v>
      </c>
    </row>
    <row r="410" spans="3:17" x14ac:dyDescent="0.25">
      <c r="C410" s="17"/>
      <c r="D410" s="328" t="s">
        <v>438</v>
      </c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>
        <f t="shared" si="185"/>
        <v>0</v>
      </c>
    </row>
    <row r="411" spans="3:17" x14ac:dyDescent="0.25">
      <c r="C411" s="17"/>
      <c r="D411" s="328" t="s">
        <v>439</v>
      </c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>
        <f t="shared" si="185"/>
        <v>0</v>
      </c>
    </row>
    <row r="412" spans="3:17" x14ac:dyDescent="0.25">
      <c r="C412" s="17"/>
      <c r="D412" s="327" t="s">
        <v>441</v>
      </c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>
        <f t="shared" si="185"/>
        <v>0</v>
      </c>
    </row>
    <row r="413" spans="3:17" x14ac:dyDescent="0.25">
      <c r="C413" s="17"/>
      <c r="D413" s="327" t="s">
        <v>442</v>
      </c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>
        <f t="shared" si="185"/>
        <v>0</v>
      </c>
    </row>
    <row r="414" spans="3:17" x14ac:dyDescent="0.25">
      <c r="C414" s="17"/>
      <c r="D414" s="328" t="s">
        <v>443</v>
      </c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>
        <f t="shared" si="185"/>
        <v>0</v>
      </c>
    </row>
    <row r="415" spans="3:17" x14ac:dyDescent="0.25">
      <c r="C415" s="17"/>
      <c r="D415" s="328" t="s">
        <v>444</v>
      </c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>
        <f t="shared" si="185"/>
        <v>0</v>
      </c>
    </row>
    <row r="416" spans="3:17" x14ac:dyDescent="0.25">
      <c r="C416" s="17"/>
      <c r="D416" s="325" t="s">
        <v>625</v>
      </c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>
        <f>'[50]2022-23'!$BV$201/10000000</f>
        <v>0.52445293305000007</v>
      </c>
      <c r="Q416" s="17">
        <f t="shared" si="185"/>
        <v>0.52445293305000007</v>
      </c>
    </row>
    <row r="417" spans="3:17" x14ac:dyDescent="0.25"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>
        <f t="shared" si="185"/>
        <v>0</v>
      </c>
    </row>
    <row r="418" spans="3:17" x14ac:dyDescent="0.25"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>
        <f t="shared" si="185"/>
        <v>0</v>
      </c>
    </row>
    <row r="419" spans="3:17" x14ac:dyDescent="0.25">
      <c r="C419" s="751" t="s">
        <v>212</v>
      </c>
      <c r="D419" s="752"/>
      <c r="E419" s="17">
        <f t="shared" ref="E419:P419" si="186">SUM(E394:E418)</f>
        <v>143.46347576679696</v>
      </c>
      <c r="F419" s="17">
        <f t="shared" si="186"/>
        <v>159.98853569905719</v>
      </c>
      <c r="G419" s="17">
        <f t="shared" si="186"/>
        <v>167.97389572184946</v>
      </c>
      <c r="H419" s="17">
        <f t="shared" si="186"/>
        <v>150.88631430509267</v>
      </c>
      <c r="I419" s="17">
        <f t="shared" si="186"/>
        <v>141.20015506457705</v>
      </c>
      <c r="J419" s="17">
        <f t="shared" si="186"/>
        <v>132.99494183182844</v>
      </c>
      <c r="K419" s="17">
        <f t="shared" si="186"/>
        <v>76.344626783675594</v>
      </c>
      <c r="L419" s="17">
        <f t="shared" si="186"/>
        <v>69.294280501153452</v>
      </c>
      <c r="M419" s="17">
        <f t="shared" si="186"/>
        <v>115.79662779835294</v>
      </c>
      <c r="N419" s="17">
        <f t="shared" si="186"/>
        <v>145.7167607393302</v>
      </c>
      <c r="O419" s="17">
        <f t="shared" si="186"/>
        <v>179.40670829727065</v>
      </c>
      <c r="P419" s="17">
        <f t="shared" si="186"/>
        <v>262.05595493723609</v>
      </c>
      <c r="Q419" s="86">
        <f t="shared" si="185"/>
        <v>1745.1222774462208</v>
      </c>
    </row>
    <row r="420" spans="3:17" x14ac:dyDescent="0.25">
      <c r="C420" s="753" t="s">
        <v>387</v>
      </c>
      <c r="D420" s="754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</row>
    <row r="421" spans="3:17" x14ac:dyDescent="0.25">
      <c r="C421" s="805" t="s">
        <v>388</v>
      </c>
      <c r="D421" s="17" t="s">
        <v>389</v>
      </c>
      <c r="E421" s="17">
        <f>'[50]2022-23'!$I$188/10000000</f>
        <v>0.43599473374999992</v>
      </c>
      <c r="F421" s="17">
        <f>'[50]2022-23'!$N$188/10000000</f>
        <v>0.33468926645000002</v>
      </c>
      <c r="G421" s="17">
        <f>'[50]2022-23'!$S$188/10000000</f>
        <v>0.39832379569999998</v>
      </c>
      <c r="H421" s="17">
        <f>'[50]2022-23'!$X$188/10000000</f>
        <v>0.55339268234999994</v>
      </c>
      <c r="I421" s="17">
        <f>'[50]2022-23'!$AC$188/10000000</f>
        <v>0.40008057654999996</v>
      </c>
      <c r="J421" s="17">
        <f>'[50]2022-23'!$AH$188/10000000</f>
        <v>0.49196010014999991</v>
      </c>
      <c r="K421" s="17">
        <f>'[50]2022-23'!$AM$188/10000000</f>
        <v>0.47217208559999996</v>
      </c>
      <c r="L421" s="17">
        <f>'[50]2022-23'!$AR$188/10000000</f>
        <v>0.52259269435</v>
      </c>
      <c r="M421" s="17">
        <f>'[50]2022-23'!$AW$188/10000000</f>
        <v>0.54476769029999994</v>
      </c>
      <c r="N421" s="17">
        <f>'[50]2022-23'!$BB$188/10000000</f>
        <v>0.54236427579999991</v>
      </c>
      <c r="O421" s="17">
        <f>'[50]2022-23'!$BG$188/10000000</f>
        <v>0.37111818019999998</v>
      </c>
      <c r="P421" s="17">
        <f>('[50]2022-23'!$BL$188+'[50]2022-23'!$BQ$188+'[50]2022-23'!$BV$188)/10000000</f>
        <v>0.50965224654999997</v>
      </c>
      <c r="Q421" s="17">
        <f t="shared" ref="Q421:Q436" si="187">SUM(E421:P421)</f>
        <v>5.5771083277499995</v>
      </c>
    </row>
    <row r="422" spans="3:17" x14ac:dyDescent="0.25">
      <c r="C422" s="806"/>
      <c r="D422" s="17" t="s">
        <v>390</v>
      </c>
      <c r="E422" s="17">
        <f>'[50]2022-23'!$I$187/10000000</f>
        <v>9.75065825145</v>
      </c>
      <c r="F422" s="17">
        <f>'[50]2022-23'!$N$187/10000000</f>
        <v>10.1228503848</v>
      </c>
      <c r="G422" s="17">
        <f>'[50]2022-23'!$S$187/10000000</f>
        <v>10.8331156485</v>
      </c>
      <c r="H422" s="17">
        <f>'[50]2022-23'!$X$187/10000000</f>
        <v>10.22600369235</v>
      </c>
      <c r="I422" s="17">
        <f>'[50]2022-23'!$AC$187/10000000</f>
        <v>9.9853850294999997</v>
      </c>
      <c r="J422" s="17">
        <f>'[50]2022-23'!$AH$187/10000000</f>
        <v>7.8640911630999994</v>
      </c>
      <c r="K422" s="17">
        <f>'[50]2022-23'!$AM$187/10000000</f>
        <v>9.4946059921499995</v>
      </c>
      <c r="L422" s="17">
        <f>'[50]2022-23'!$AR$187/10000000</f>
        <v>8.9659198866499992</v>
      </c>
      <c r="M422" s="17">
        <f>'[50]2022-23'!$AW$187/10000000</f>
        <v>7.2268164874999998</v>
      </c>
      <c r="N422" s="17">
        <f>'[50]2022-23'!$BB$187/10000000</f>
        <v>9.9749819053499991</v>
      </c>
      <c r="O422" s="17">
        <f>'[50]2022-23'!$BG$187/10000000</f>
        <v>8.8339257229000001</v>
      </c>
      <c r="P422" s="17">
        <f>('[50]2022-23'!$BL$187+'[50]2022-23'!$BQ$187+'[50]2022-23'!$BV$187)/10000000</f>
        <v>19.427386872099998</v>
      </c>
      <c r="Q422" s="17">
        <f t="shared" si="187"/>
        <v>122.70574103635001</v>
      </c>
    </row>
    <row r="423" spans="3:17" x14ac:dyDescent="0.25">
      <c r="C423" s="806"/>
      <c r="D423" s="17" t="s">
        <v>391</v>
      </c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>
        <f t="shared" si="187"/>
        <v>0</v>
      </c>
    </row>
    <row r="424" spans="3:17" x14ac:dyDescent="0.25">
      <c r="C424" s="807"/>
      <c r="D424" s="17" t="s">
        <v>392</v>
      </c>
      <c r="E424" s="17">
        <f>'[50]2022-23'!$I$189/10000000</f>
        <v>0</v>
      </c>
      <c r="F424" s="17">
        <f>'[50]2022-23'!$N$189/10000000</f>
        <v>0</v>
      </c>
      <c r="G424" s="17">
        <f>'[50]2022-23'!$S$189/10000000</f>
        <v>5.1638116219499999</v>
      </c>
      <c r="H424" s="17">
        <f>'[50]2022-23'!$X$189/10000000</f>
        <v>4.1079317897000003</v>
      </c>
      <c r="I424" s="17">
        <f>'[50]2022-23'!$AC$189/10000000</f>
        <v>4.3119319102500002</v>
      </c>
      <c r="J424" s="17">
        <f>'[50]2022-23'!$AH$189/10000000</f>
        <v>4.4465164370999997</v>
      </c>
      <c r="K424" s="17">
        <f>'[50]2022-23'!$AM$189/10000000</f>
        <v>4.6102113759999996</v>
      </c>
      <c r="L424" s="17">
        <f>'[50]2022-23'!$AR$189/10000000</f>
        <v>4.6278845565999998</v>
      </c>
      <c r="M424" s="17">
        <f>'[50]2022-23'!$AW$189/10000000</f>
        <v>4.8184349799499993</v>
      </c>
      <c r="N424" s="17">
        <f>'[50]2022-23'!$BB$189/10000000</f>
        <v>4.2125454344</v>
      </c>
      <c r="O424" s="17">
        <f>'[50]2022-23'!$BG$189/10000000</f>
        <v>4.4789516658000004</v>
      </c>
      <c r="P424" s="17">
        <f>('[50]2022-23'!$BL$189+'[50]2022-23'!$BQ$189+'[50]2022-23'!$BV$189)/10000000</f>
        <v>4.9825168623999998</v>
      </c>
      <c r="Q424" s="17">
        <f t="shared" si="187"/>
        <v>45.760736634149985</v>
      </c>
    </row>
    <row r="425" spans="3:17" x14ac:dyDescent="0.25"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>
        <f t="shared" si="187"/>
        <v>0</v>
      </c>
    </row>
    <row r="426" spans="3:17" x14ac:dyDescent="0.25"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>
        <f t="shared" si="187"/>
        <v>0</v>
      </c>
    </row>
    <row r="427" spans="3:17" x14ac:dyDescent="0.25"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>
        <f t="shared" si="187"/>
        <v>0</v>
      </c>
    </row>
    <row r="428" spans="3:17" x14ac:dyDescent="0.25"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>
        <f t="shared" si="187"/>
        <v>0</v>
      </c>
    </row>
    <row r="429" spans="3:17" x14ac:dyDescent="0.25"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>
        <f t="shared" si="187"/>
        <v>0</v>
      </c>
    </row>
    <row r="430" spans="3:17" x14ac:dyDescent="0.25"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>
        <f t="shared" si="187"/>
        <v>0</v>
      </c>
    </row>
    <row r="431" spans="3:17" x14ac:dyDescent="0.25"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>
        <f t="shared" si="187"/>
        <v>0</v>
      </c>
    </row>
    <row r="432" spans="3:17" x14ac:dyDescent="0.25"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>
        <f t="shared" si="187"/>
        <v>0</v>
      </c>
    </row>
    <row r="433" spans="3:17" x14ac:dyDescent="0.25"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>
        <f t="shared" si="187"/>
        <v>0</v>
      </c>
    </row>
    <row r="434" spans="3:17" x14ac:dyDescent="0.25"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>
        <f t="shared" si="187"/>
        <v>0</v>
      </c>
    </row>
    <row r="435" spans="3:17" x14ac:dyDescent="0.25">
      <c r="C435" s="751" t="s">
        <v>212</v>
      </c>
      <c r="D435" s="752"/>
      <c r="E435" s="17">
        <f t="shared" ref="E435:P435" si="188">SUM(E421:E434)</f>
        <v>10.1866529852</v>
      </c>
      <c r="F435" s="17">
        <f t="shared" si="188"/>
        <v>10.45753965125</v>
      </c>
      <c r="G435" s="17">
        <f t="shared" si="188"/>
        <v>16.395251066149999</v>
      </c>
      <c r="H435" s="17">
        <f t="shared" si="188"/>
        <v>14.8873281644</v>
      </c>
      <c r="I435" s="17">
        <f t="shared" si="188"/>
        <v>14.697397516300001</v>
      </c>
      <c r="J435" s="17">
        <f t="shared" si="188"/>
        <v>12.802567700349998</v>
      </c>
      <c r="K435" s="17">
        <f t="shared" si="188"/>
        <v>14.576989453749999</v>
      </c>
      <c r="L435" s="17">
        <f t="shared" si="188"/>
        <v>14.116397137599998</v>
      </c>
      <c r="M435" s="17">
        <f t="shared" si="188"/>
        <v>12.59001915775</v>
      </c>
      <c r="N435" s="17">
        <f t="shared" si="188"/>
        <v>14.729891615549999</v>
      </c>
      <c r="O435" s="17">
        <f t="shared" si="188"/>
        <v>13.6839955689</v>
      </c>
      <c r="P435" s="17">
        <f t="shared" si="188"/>
        <v>24.919555981049999</v>
      </c>
      <c r="Q435" s="28">
        <f t="shared" si="187"/>
        <v>174.04358599824999</v>
      </c>
    </row>
    <row r="436" spans="3:17" x14ac:dyDescent="0.25">
      <c r="C436" s="753" t="s">
        <v>394</v>
      </c>
      <c r="D436" s="754"/>
      <c r="E436" s="17">
        <f t="shared" ref="E436:P436" si="189">E419+E435</f>
        <v>153.65012875199696</v>
      </c>
      <c r="F436" s="17">
        <f t="shared" si="189"/>
        <v>170.44607535030718</v>
      </c>
      <c r="G436" s="17">
        <f t="shared" si="189"/>
        <v>184.36914678799945</v>
      </c>
      <c r="H436" s="17">
        <f t="shared" si="189"/>
        <v>165.77364246949267</v>
      </c>
      <c r="I436" s="17">
        <f t="shared" si="189"/>
        <v>155.89755258087706</v>
      </c>
      <c r="J436" s="17">
        <f t="shared" si="189"/>
        <v>145.79750953217845</v>
      </c>
      <c r="K436" s="17">
        <f t="shared" si="189"/>
        <v>90.921616237425596</v>
      </c>
      <c r="L436" s="17">
        <f t="shared" si="189"/>
        <v>83.410677638753455</v>
      </c>
      <c r="M436" s="17">
        <f t="shared" si="189"/>
        <v>128.38664695610294</v>
      </c>
      <c r="N436" s="17">
        <f t="shared" si="189"/>
        <v>160.4466523548802</v>
      </c>
      <c r="O436" s="17">
        <f t="shared" si="189"/>
        <v>193.09070386617066</v>
      </c>
      <c r="P436" s="17">
        <f t="shared" si="189"/>
        <v>286.97551091828609</v>
      </c>
      <c r="Q436" s="28">
        <f t="shared" si="187"/>
        <v>1919.1658634444707</v>
      </c>
    </row>
    <row r="437" spans="3:17" x14ac:dyDescent="0.25">
      <c r="C437" s="800" t="s">
        <v>395</v>
      </c>
      <c r="D437" s="801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</row>
    <row r="438" spans="3:17" x14ac:dyDescent="0.25">
      <c r="C438" s="17" t="s">
        <v>396</v>
      </c>
      <c r="D438" s="17" t="s">
        <v>396</v>
      </c>
      <c r="E438" s="17">
        <f>'[50]2022-23'!I206/10000000</f>
        <v>27.936775126400001</v>
      </c>
      <c r="F438" s="17">
        <f>'[50]2022-23'!N206/10000000</f>
        <v>32.679859984249994</v>
      </c>
      <c r="G438" s="17">
        <f>'[50]2022-23'!S206/10000000</f>
        <v>18.164447594399999</v>
      </c>
      <c r="H438" s="17">
        <f>'[50]2022-23'!X206/10000000</f>
        <v>29.991593098100001</v>
      </c>
      <c r="I438" s="17">
        <f>'[50]2022-23'!AC206/10000000</f>
        <v>31.029895521149999</v>
      </c>
      <c r="J438" s="17">
        <f>'[50]2022-23'!AH206/10000000</f>
        <v>22.170920570650001</v>
      </c>
      <c r="K438" s="17">
        <f>'[50]2022-23'!AM206/10000000</f>
        <v>17.387930903899999</v>
      </c>
      <c r="L438" s="17">
        <f>'[50]2022-23'!AR206/10000000</f>
        <v>26.837493121049999</v>
      </c>
      <c r="M438" s="17">
        <f>'[50]2022-23'!AW206/10000000</f>
        <v>26.0133241218</v>
      </c>
      <c r="N438" s="17">
        <f>'[50]2022-23'!BB206/10000000</f>
        <v>28.591064068299996</v>
      </c>
      <c r="O438" s="17">
        <f>'[50]2022-23'!BG206/10000000</f>
        <v>32.372008031599997</v>
      </c>
      <c r="P438" s="17">
        <f>('[50]2022-23'!BL206+'[50]2022-23'!BQ206+'[50]2022-23'!BV206)/10000000</f>
        <v>95.056437107899995</v>
      </c>
      <c r="Q438" s="17">
        <f t="shared" ref="Q438:Q443" si="190">SUM(E438:P438)</f>
        <v>388.23174924950001</v>
      </c>
    </row>
    <row r="439" spans="3:17" x14ac:dyDescent="0.25">
      <c r="C439" s="17" t="s">
        <v>397</v>
      </c>
      <c r="D439" s="17" t="s">
        <v>397</v>
      </c>
      <c r="E439" s="17">
        <f>'[50]2022-23'!I207/10000000</f>
        <v>11.78930970455</v>
      </c>
      <c r="F439" s="17">
        <f>'[50]2022-23'!N207/10000000</f>
        <v>12.634861141349999</v>
      </c>
      <c r="G439" s="17">
        <f>'[50]2022-23'!S207/10000000</f>
        <v>7.8065356144999996</v>
      </c>
      <c r="H439" s="17">
        <f>'[50]2022-23'!X207/10000000</f>
        <v>12.877876003449998</v>
      </c>
      <c r="I439" s="17">
        <f>'[50]2022-23'!AC207/10000000</f>
        <v>13.385077067599999</v>
      </c>
      <c r="J439" s="17">
        <f>'[50]2022-23'!AH207/10000000</f>
        <v>11.7201668473</v>
      </c>
      <c r="K439" s="17">
        <f>'[50]2022-23'!AM207/10000000</f>
        <v>13.5655185278305</v>
      </c>
      <c r="L439" s="17">
        <f>'[50]2022-23'!AR207/10000000</f>
        <v>22.24746088505</v>
      </c>
      <c r="M439" s="17">
        <f>'[50]2022-23'!AW207/10000000</f>
        <v>14.366162675949999</v>
      </c>
      <c r="N439" s="17">
        <f>'[50]2022-23'!BB207/10000000</f>
        <v>13.938311250049999</v>
      </c>
      <c r="O439" s="17">
        <f>'[50]2022-23'!BG207/10000000</f>
        <v>14.5657374039</v>
      </c>
      <c r="P439" s="17">
        <f>('[50]2022-23'!BL207+'[50]2022-23'!BQ207+'[50]2022-23'!BV207)/10000000</f>
        <v>-25.026673138444007</v>
      </c>
      <c r="Q439" s="17">
        <f t="shared" si="190"/>
        <v>123.87034398308649</v>
      </c>
    </row>
    <row r="440" spans="3:17" x14ac:dyDescent="0.25"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>
        <f t="shared" si="190"/>
        <v>0</v>
      </c>
    </row>
    <row r="441" spans="3:17" x14ac:dyDescent="0.25"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>
        <f t="shared" si="190"/>
        <v>0</v>
      </c>
    </row>
    <row r="442" spans="3:17" x14ac:dyDescent="0.25"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>
        <f t="shared" si="190"/>
        <v>0</v>
      </c>
    </row>
    <row r="443" spans="3:17" x14ac:dyDescent="0.25"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>
        <f t="shared" si="190"/>
        <v>0</v>
      </c>
    </row>
    <row r="444" spans="3:17" x14ac:dyDescent="0.25"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</row>
    <row r="445" spans="3:17" x14ac:dyDescent="0.25">
      <c r="C445" s="753" t="s">
        <v>398</v>
      </c>
      <c r="D445" s="754"/>
      <c r="E445" s="17">
        <f t="shared" ref="E445:P445" si="191">SUM(E438:E444)</f>
        <v>39.726084830950001</v>
      </c>
      <c r="F445" s="17">
        <f t="shared" si="191"/>
        <v>45.314721125599995</v>
      </c>
      <c r="G445" s="17">
        <f t="shared" si="191"/>
        <v>25.970983208899998</v>
      </c>
      <c r="H445" s="17">
        <f t="shared" si="191"/>
        <v>42.869469101549996</v>
      </c>
      <c r="I445" s="17">
        <f t="shared" si="191"/>
        <v>44.414972588749997</v>
      </c>
      <c r="J445" s="17">
        <f t="shared" si="191"/>
        <v>33.891087417950004</v>
      </c>
      <c r="K445" s="17">
        <f t="shared" si="191"/>
        <v>30.953449431730498</v>
      </c>
      <c r="L445" s="17">
        <f t="shared" si="191"/>
        <v>49.084954006099998</v>
      </c>
      <c r="M445" s="17">
        <f t="shared" si="191"/>
        <v>40.379486797749998</v>
      </c>
      <c r="N445" s="17">
        <f t="shared" si="191"/>
        <v>42.529375318349992</v>
      </c>
      <c r="O445" s="17">
        <f t="shared" si="191"/>
        <v>46.937745435499998</v>
      </c>
      <c r="P445" s="17">
        <f t="shared" si="191"/>
        <v>70.029763969455985</v>
      </c>
      <c r="Q445" s="86">
        <f>SUM(E445:P445)</f>
        <v>512.10209323258653</v>
      </c>
    </row>
    <row r="446" spans="3:17" x14ac:dyDescent="0.25">
      <c r="C446" s="800" t="s">
        <v>399</v>
      </c>
      <c r="D446" s="801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</row>
    <row r="447" spans="3:17" x14ac:dyDescent="0.25">
      <c r="C447" s="17" t="s">
        <v>400</v>
      </c>
      <c r="D447" s="17" t="s">
        <v>400</v>
      </c>
      <c r="E447" s="17">
        <f>'[50]2022-23'!I231/10000000</f>
        <v>68.126779239999991</v>
      </c>
      <c r="F447" s="17">
        <f>'[50]2022-23'!N231/10000000</f>
        <v>61.483233372799994</v>
      </c>
      <c r="G447" s="17">
        <f>'[50]2022-23'!S231/10000000</f>
        <v>68.076746340499994</v>
      </c>
      <c r="H447" s="17">
        <f>'[50]2022-23'!X231/10000000</f>
        <v>73.224460209599997</v>
      </c>
      <c r="I447" s="17">
        <f>'[50]2022-23'!AC231/10000000</f>
        <v>69.237215167800002</v>
      </c>
      <c r="J447" s="17">
        <f>'[50]2022-23'!AH231/10000000</f>
        <v>75.811904814599984</v>
      </c>
      <c r="K447" s="17">
        <f>'[50]2022-23'!AM231/10000000</f>
        <v>76.873380353000002</v>
      </c>
      <c r="L447" s="17">
        <f>'[50]2022-23'!AR231/10000000</f>
        <v>79.753680175499994</v>
      </c>
      <c r="M447" s="17">
        <f>'[50]2022-23'!AW231/10000000</f>
        <v>78.830720385549995</v>
      </c>
      <c r="N447" s="17">
        <f>'[50]2022-23'!BB231/10000000</f>
        <v>83.009061824249997</v>
      </c>
      <c r="O447" s="17">
        <f>'[50]2022-23'!BG231/10000000</f>
        <v>36.036196586399996</v>
      </c>
      <c r="P447" s="17">
        <f>('[50]2022-23'!BL231+'[50]2022-23'!BQ231+'[50]2022-23'!BV231)/10000000</f>
        <v>121.2485742672</v>
      </c>
      <c r="Q447" s="17">
        <f t="shared" ref="Q447:Q455" si="192">SUM(E447:P447)</f>
        <v>891.71195273719991</v>
      </c>
    </row>
    <row r="448" spans="3:17" x14ac:dyDescent="0.25">
      <c r="C448" s="17" t="s">
        <v>401</v>
      </c>
      <c r="D448" s="17" t="s">
        <v>401</v>
      </c>
      <c r="E448" s="17">
        <f>'[50]2022-23'!I232/10000000</f>
        <v>0</v>
      </c>
      <c r="F448" s="17">
        <f>'[50]2022-23'!N232/10000000</f>
        <v>0</v>
      </c>
      <c r="G448" s="17">
        <f>'[50]2022-23'!S232/10000000</f>
        <v>0</v>
      </c>
      <c r="H448" s="17">
        <f>'[50]2022-23'!X232/10000000</f>
        <v>0</v>
      </c>
      <c r="I448" s="17">
        <f>'[50]2022-23'!AC232/10000000</f>
        <v>0</v>
      </c>
      <c r="J448" s="17">
        <f>'[50]2022-23'!AH232/10000000</f>
        <v>0</v>
      </c>
      <c r="K448" s="17">
        <f>'[50]2022-23'!AM232/10000000</f>
        <v>0</v>
      </c>
      <c r="L448" s="17">
        <f>'[50]2022-23'!AR232/10000000</f>
        <v>0</v>
      </c>
      <c r="M448" s="17">
        <f>'[50]2022-23'!AW232/10000000</f>
        <v>0</v>
      </c>
      <c r="N448" s="17">
        <f>'[50]2022-23'!BB232/10000000</f>
        <v>0</v>
      </c>
      <c r="O448" s="17">
        <f>'[50]2022-23'!BG232/10000000</f>
        <v>0</v>
      </c>
      <c r="P448" s="17">
        <f>('[50]2022-23'!BL232+'[50]2022-23'!BQ232+'[50]2022-23'!BV232)/10000000</f>
        <v>216.51180191259999</v>
      </c>
      <c r="Q448" s="17">
        <f t="shared" si="192"/>
        <v>216.51180191259999</v>
      </c>
    </row>
    <row r="449" spans="3:17" x14ac:dyDescent="0.25">
      <c r="C449" s="17" t="s">
        <v>402</v>
      </c>
      <c r="D449" s="17" t="s">
        <v>402</v>
      </c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>
        <f t="shared" si="192"/>
        <v>0</v>
      </c>
    </row>
    <row r="450" spans="3:17" x14ac:dyDescent="0.25"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>
        <f t="shared" si="192"/>
        <v>0</v>
      </c>
    </row>
    <row r="451" spans="3:17" x14ac:dyDescent="0.25"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>
        <f t="shared" si="192"/>
        <v>0</v>
      </c>
    </row>
    <row r="452" spans="3:17" x14ac:dyDescent="0.25"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>
        <f t="shared" si="192"/>
        <v>0</v>
      </c>
    </row>
    <row r="453" spans="3:17" x14ac:dyDescent="0.25"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>
        <f t="shared" si="192"/>
        <v>0</v>
      </c>
    </row>
    <row r="454" spans="3:17" x14ac:dyDescent="0.25"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>
        <f t="shared" si="192"/>
        <v>0</v>
      </c>
    </row>
    <row r="455" spans="3:17" x14ac:dyDescent="0.25">
      <c r="C455" s="753" t="s">
        <v>403</v>
      </c>
      <c r="D455" s="754"/>
      <c r="E455" s="17">
        <f t="shared" ref="E455:P455" si="193">SUM(E447:E454)</f>
        <v>68.126779239999991</v>
      </c>
      <c r="F455" s="17">
        <f t="shared" si="193"/>
        <v>61.483233372799994</v>
      </c>
      <c r="G455" s="17">
        <f t="shared" si="193"/>
        <v>68.076746340499994</v>
      </c>
      <c r="H455" s="17">
        <f t="shared" si="193"/>
        <v>73.224460209599997</v>
      </c>
      <c r="I455" s="17">
        <f t="shared" si="193"/>
        <v>69.237215167800002</v>
      </c>
      <c r="J455" s="17">
        <f t="shared" si="193"/>
        <v>75.811904814599984</v>
      </c>
      <c r="K455" s="17">
        <f t="shared" si="193"/>
        <v>76.873380353000002</v>
      </c>
      <c r="L455" s="17">
        <f t="shared" si="193"/>
        <v>79.753680175499994</v>
      </c>
      <c r="M455" s="17">
        <f t="shared" si="193"/>
        <v>78.830720385549995</v>
      </c>
      <c r="N455" s="17">
        <f t="shared" si="193"/>
        <v>83.009061824249997</v>
      </c>
      <c r="O455" s="17">
        <f t="shared" si="193"/>
        <v>36.036196586399996</v>
      </c>
      <c r="P455" s="17">
        <f t="shared" si="193"/>
        <v>337.76037617980001</v>
      </c>
      <c r="Q455" s="86">
        <f t="shared" si="192"/>
        <v>1108.2237546498</v>
      </c>
    </row>
    <row r="456" spans="3:17" x14ac:dyDescent="0.25">
      <c r="C456" s="800" t="s">
        <v>404</v>
      </c>
      <c r="D456" s="801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</row>
    <row r="457" spans="3:17" x14ac:dyDescent="0.25">
      <c r="C457" s="17"/>
      <c r="D457" s="17" t="s">
        <v>405</v>
      </c>
      <c r="E457" s="17">
        <f>'[50]NCEs NP 22-23'!$F$47/10000000</f>
        <v>4.3913263118210182</v>
      </c>
      <c r="F457" s="17">
        <f>'[50]NCEs NP 22-23'!$H$47/10000000</f>
        <v>2.4688052658888928</v>
      </c>
      <c r="G457" s="17">
        <f>'[50]NCEs NP 22-23'!$J$47/10000000</f>
        <v>2.9591051467096787</v>
      </c>
      <c r="H457" s="17">
        <f>'[50]NCEs NP 22-23'!$L$47/10000000</f>
        <v>1.6528262153333266</v>
      </c>
      <c r="I457" s="17">
        <f>'[50]NCEs NP 22-23'!$N$47/10000000</f>
        <v>0</v>
      </c>
      <c r="J457" s="17">
        <f>'[50]NCEs NP 22-23'!$P$47/10000000</f>
        <v>0.94738400700000092</v>
      </c>
      <c r="K457" s="17">
        <f>'[50]NCEs NP 22-23'!$R$47/10000000</f>
        <v>0.39468567972222734</v>
      </c>
      <c r="L457" s="17">
        <f>'[50]NCEs NP 22-23'!$T$47/10000000</f>
        <v>0.35107283166963371</v>
      </c>
      <c r="M457" s="17">
        <f>'[50]NCEs NP 22-23'!$V$47/10000000</f>
        <v>0</v>
      </c>
      <c r="N457" s="17">
        <f>'[50]NCEs NP 22-23'!$X$47/10000000</f>
        <v>0</v>
      </c>
      <c r="O457" s="17">
        <f>'[50]NCEs NP 22-23'!$Z$47/10000000</f>
        <v>0</v>
      </c>
      <c r="P457" s="17">
        <f>('[50]NCEs NP 22-23'!$AB$47+'[50]NCEs NP 22-23'!$AD$47)/10000000</f>
        <v>0</v>
      </c>
      <c r="Q457" s="17">
        <f t="shared" ref="Q457:Q481" si="194">SUM(E457:P457)</f>
        <v>13.165205458144777</v>
      </c>
    </row>
    <row r="458" spans="3:17" x14ac:dyDescent="0.25">
      <c r="C458" s="17"/>
      <c r="D458" s="17" t="s">
        <v>406</v>
      </c>
      <c r="E458" s="17">
        <f>'[50]NCEs NP 22-23'!$F$52/10000000</f>
        <v>12.459997215000001</v>
      </c>
      <c r="F458" s="17">
        <f>'[50]NCEs NP 22-23'!$H$52/10000000</f>
        <v>0</v>
      </c>
      <c r="G458" s="17">
        <f>'[50]NCEs NP 22-23'!$J$52/10000000</f>
        <v>-4.5178903500000436E-2</v>
      </c>
      <c r="H458" s="17">
        <f>'[50]NCEs NP 22-23'!$L$52/10000000</f>
        <v>-4.6489853100000006E-2</v>
      </c>
      <c r="I458" s="17">
        <f>'[50]NCEs NP 22-23'!$N$52/10000000</f>
        <v>-4.9546597699999875E-2</v>
      </c>
      <c r="J458" s="17">
        <f>'[50]NCEs NP 22-23'!$P$52/10000000</f>
        <v>-5.2657282499999812E-2</v>
      </c>
      <c r="K458" s="17">
        <f>'[50]NCEs NP 22-23'!$R$52/10000000</f>
        <v>-5.4717546000000138E-2</v>
      </c>
      <c r="L458" s="17">
        <f>'[50]NCEs NP 22-23'!$T$52/10000000</f>
        <v>2.2516918322680128</v>
      </c>
      <c r="M458" s="17">
        <f>'[50]NCEs NP 22-23'!$V$52/10000000</f>
        <v>9.003774993495993</v>
      </c>
      <c r="N458" s="17">
        <f>'[50]NCEs NP 22-23'!$X$52/10000000</f>
        <v>7.1280089889360054</v>
      </c>
      <c r="O458" s="17">
        <f>'[50]NCEs NP 22-23'!$Z$52/10000000</f>
        <v>8.7229747843119991</v>
      </c>
      <c r="P458" s="17">
        <f>('[50]NCEs NP 22-23'!$AB$52+'[50]NCEs NP 22-23'!$AD$52)/10000000</f>
        <v>10.220007086457992</v>
      </c>
      <c r="Q458" s="17">
        <f t="shared" si="194"/>
        <v>49.537864717669997</v>
      </c>
    </row>
    <row r="459" spans="3:17" x14ac:dyDescent="0.25">
      <c r="C459" s="17"/>
      <c r="D459" s="17" t="s">
        <v>407</v>
      </c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>
        <f t="shared" si="194"/>
        <v>0</v>
      </c>
    </row>
    <row r="460" spans="3:17" x14ac:dyDescent="0.25">
      <c r="C460" s="17"/>
      <c r="D460" s="17" t="s">
        <v>408</v>
      </c>
      <c r="E460" s="17">
        <f>'[50]NCEs NP 22-23'!$F$55/10000000</f>
        <v>0</v>
      </c>
      <c r="F460" s="17">
        <f>'[50]NCEs NP 22-23'!$H$55/10000000</f>
        <v>0</v>
      </c>
      <c r="G460" s="17"/>
      <c r="H460" s="17"/>
      <c r="I460" s="17"/>
      <c r="J460" s="17"/>
      <c r="K460" s="17"/>
      <c r="L460" s="17"/>
      <c r="M460" s="17"/>
      <c r="N460" s="17"/>
      <c r="O460" s="17"/>
      <c r="P460" s="17">
        <f>'[50]NCEs NP 22-23'!$AD$55/10000000</f>
        <v>-0.22285489999999999</v>
      </c>
      <c r="Q460" s="17">
        <f t="shared" si="194"/>
        <v>-0.22285489999999999</v>
      </c>
    </row>
    <row r="461" spans="3:17" x14ac:dyDescent="0.25">
      <c r="C461" s="17"/>
      <c r="D461" s="17" t="s">
        <v>409</v>
      </c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>
        <f t="shared" si="194"/>
        <v>0</v>
      </c>
    </row>
    <row r="462" spans="3:17" x14ac:dyDescent="0.25">
      <c r="C462" s="17"/>
      <c r="D462" s="17" t="s">
        <v>367</v>
      </c>
      <c r="E462" s="17">
        <f>'[50]NCEs NP 22-23'!$F$43/10000000</f>
        <v>0</v>
      </c>
      <c r="F462" s="17">
        <f>'[50]NCEs NP 22-23'!$H$43/10000000</f>
        <v>0</v>
      </c>
      <c r="G462" s="17">
        <f>'[50]NCEs NP 22-23'!$J$43/10000000</f>
        <v>0</v>
      </c>
      <c r="H462" s="17">
        <f>'[50]NCEs NP 22-23'!$L$43/10000000</f>
        <v>1.1702716033232672E-2</v>
      </c>
      <c r="I462" s="17">
        <f>'[50]NCEs NP 22-23'!$N$43/10000000</f>
        <v>3.0826387634408696E-2</v>
      </c>
      <c r="J462" s="17">
        <f>'[50]NCEs NP 22-23'!$P$43/10000000</f>
        <v>8.7098669354838718E-2</v>
      </c>
      <c r="K462" s="17">
        <f>'[50]NCEs NP 22-23'!$R$43/10000000</f>
        <v>6.7487497222222123E-2</v>
      </c>
      <c r="L462" s="17">
        <f>'[50]NCEs NP 22-23'!$T$43/10000000</f>
        <v>2.9815496774193494E-2</v>
      </c>
      <c r="M462" s="17">
        <f>'[50]NCEs NP 22-23'!$V$43/10000000</f>
        <v>-7.3727999999999997E-3</v>
      </c>
      <c r="N462" s="17">
        <f>'[50]NCEs NP 22-23'!$X$43/10000000</f>
        <v>-5.8894000000000004E-3</v>
      </c>
      <c r="O462" s="17">
        <f>'[50]NCEs NP 22-23'!$Z$43/10000000</f>
        <v>-7.1681000000000002E-3</v>
      </c>
      <c r="P462" s="17">
        <f>('[50]NCEs NP 22-23'!$AB$43+'[50]NCEs NP 22-23'!$AD$43)/10000000</f>
        <v>1.5717999999999999E-3</v>
      </c>
      <c r="Q462" s="17">
        <f t="shared" si="194"/>
        <v>0.2080722670188957</v>
      </c>
    </row>
    <row r="463" spans="3:17" x14ac:dyDescent="0.25">
      <c r="C463" s="17"/>
      <c r="D463" s="17" t="s">
        <v>410</v>
      </c>
      <c r="E463" s="17">
        <f>'[50]NCEs NP 22-23'!$F$39/10000000</f>
        <v>88.140203225048353</v>
      </c>
      <c r="F463" s="17">
        <f>'[50]NCEs NP 22-23'!$H$39/10000000</f>
        <v>86.056825714300018</v>
      </c>
      <c r="G463" s="17">
        <f>'[50]NCEs NP 22-23'!$J$39/10000000</f>
        <v>81.263592312</v>
      </c>
      <c r="H463" s="17">
        <f>'[50]NCEs NP 22-23'!$L$39/10000000</f>
        <v>47.927135055000015</v>
      </c>
      <c r="I463" s="17">
        <f>'[50]NCEs NP 22-23'!$N$39/10000000</f>
        <v>65.293328426499968</v>
      </c>
      <c r="J463" s="17">
        <f>'[50]NCEs NP 22-23'!$P$39/10000000</f>
        <v>66.012552460799981</v>
      </c>
      <c r="K463" s="17">
        <f>'[50]NCEs NP 22-23'!$R$39/10000000</f>
        <v>69.101561093099974</v>
      </c>
      <c r="L463" s="17">
        <f>'[50]NCEs NP 22-23'!$T$39/10000000</f>
        <v>81.336067478400025</v>
      </c>
      <c r="M463" s="17">
        <f>'[50]NCEs NP 22-23'!$V$39/10000000</f>
        <v>71.139122812099941</v>
      </c>
      <c r="N463" s="17">
        <f>'[50]NCEs NP 22-23'!$X$39/10000000</f>
        <v>78.291633890400036</v>
      </c>
      <c r="O463" s="17">
        <f>'[50]NCEs NP 22-23'!$Z$39/10000000</f>
        <v>96.752610666799981</v>
      </c>
      <c r="P463" s="17">
        <f>('[50]NCEs NP 22-23'!$AB$39+'[50]NCEs NP 22-23'!$AD$39)/10000000</f>
        <v>95.996529187015028</v>
      </c>
      <c r="Q463" s="17">
        <f t="shared" si="194"/>
        <v>927.31116232146337</v>
      </c>
    </row>
    <row r="464" spans="3:17" x14ac:dyDescent="0.25">
      <c r="C464" s="17"/>
      <c r="D464" s="17" t="s">
        <v>411</v>
      </c>
      <c r="E464" s="17">
        <f>'[50]2022-23'!$I$214/10000000</f>
        <v>8.78331080305</v>
      </c>
      <c r="F464" s="17">
        <f>'[50]2022-23'!$N$214/10000000</f>
        <v>11.424755546499998</v>
      </c>
      <c r="G464" s="17">
        <f>'[50]2022-23'!$S$214/10000000</f>
        <v>9.2051756329499987</v>
      </c>
      <c r="H464" s="17">
        <f>'[50]2022-23'!$X$214/10000000</f>
        <v>10.138652842499999</v>
      </c>
      <c r="I464" s="17">
        <f>'[50]2022-23'!$AC$214/10000000</f>
        <v>3.7343745015999996</v>
      </c>
      <c r="J464" s="17">
        <f>'[50]2022-23'!$AH$214/10000000</f>
        <v>10.280454091849998</v>
      </c>
      <c r="K464" s="17">
        <f>'[50]2022-23'!$AM$214/10000000</f>
        <v>9.4003275009999996</v>
      </c>
      <c r="L464" s="17">
        <f>'[50]2022-23'!$AR$214/10000000</f>
        <v>8.5910851164499995</v>
      </c>
      <c r="M464" s="17">
        <f>'[50]2022-23'!$AW$214/10000000</f>
        <v>10.821157623249999</v>
      </c>
      <c r="N464" s="17">
        <f>'[50]2022-23'!$BB$214/10000000</f>
        <v>8.4635393280799978</v>
      </c>
      <c r="O464" s="17">
        <f>'[50]2022-23'!$BG$214/10000000</f>
        <v>11.34701652875</v>
      </c>
      <c r="P464" s="17">
        <f>('[50]2022-23'!$BL$214+'[50]2022-23'!$BQ$214+'[50]2022-23'!$BV$214)/10000000</f>
        <v>13.651327302349999</v>
      </c>
      <c r="Q464" s="17">
        <f t="shared" si="194"/>
        <v>115.84117681833</v>
      </c>
    </row>
    <row r="465" spans="3:19" x14ac:dyDescent="0.25">
      <c r="C465" s="17"/>
      <c r="D465" s="17" t="s">
        <v>412</v>
      </c>
      <c r="E465" s="17">
        <f>'[50]2022-23'!$I$216/10000000</f>
        <v>3.6806289289499996</v>
      </c>
      <c r="F465" s="17">
        <f>'[50]2022-23'!$N$216/10000000</f>
        <v>3.8467078747999994</v>
      </c>
      <c r="G465" s="17">
        <f>'[50]2022-23'!$S$216/10000000</f>
        <v>4.5730932733499996</v>
      </c>
      <c r="H465" s="17">
        <f>'[50]2022-23'!$X$216/10000000</f>
        <v>4.5736590372999997</v>
      </c>
      <c r="I465" s="17">
        <f>'[50]2022-23'!$AC$216/10000000</f>
        <v>8.2417502310024986</v>
      </c>
      <c r="J465" s="17">
        <f>'[50]2022-23'!$AH$216/10000000</f>
        <v>4.3517381499999994E-3</v>
      </c>
      <c r="K465" s="17">
        <f>'[50]2022-23'!$AM$216/10000000</f>
        <v>12.47462015735</v>
      </c>
      <c r="L465" s="17">
        <f>'[50]2022-23'!$AR$216/10000000</f>
        <v>11.360020294049999</v>
      </c>
      <c r="M465" s="17">
        <f>'[50]2022-23'!$AW$216/10000000</f>
        <v>15.8870754426</v>
      </c>
      <c r="N465" s="17">
        <f>'[50]2022-23'!$BB$216/10000000</f>
        <v>21.482880780199999</v>
      </c>
      <c r="O465" s="17">
        <f>'[50]2022-23'!$BG$216/10000000</f>
        <v>22.04734913635</v>
      </c>
      <c r="P465" s="17">
        <f>('[50]2022-23'!$BL$216+'[50]2022-23'!$BQ$216+'[50]2022-23'!$BV$216)/10000000</f>
        <v>1.1284667492</v>
      </c>
      <c r="Q465" s="17">
        <f t="shared" si="194"/>
        <v>109.30060364330249</v>
      </c>
    </row>
    <row r="466" spans="3:19" x14ac:dyDescent="0.25">
      <c r="C466" s="17"/>
      <c r="D466" s="17" t="s">
        <v>413</v>
      </c>
      <c r="E466" s="17">
        <f>'[50]2022-23'!$I$218/10000000</f>
        <v>3.7773540951774991</v>
      </c>
      <c r="F466" s="17">
        <f>'[50]2022-23'!$N$218/10000000</f>
        <v>4.2998203621500002</v>
      </c>
      <c r="G466" s="17">
        <f>'[50]2022-23'!$S$218/10000000</f>
        <v>3.8439410767499997</v>
      </c>
      <c r="H466" s="17">
        <f>'[50]2022-23'!$X$218/10000000</f>
        <v>3.5234281862499999</v>
      </c>
      <c r="I466" s="17">
        <f>'[50]2022-23'!$AC$218/10000000</f>
        <v>3.8573859441500002</v>
      </c>
      <c r="J466" s="17">
        <f>'[50]2022-23'!$AH$218/10000000</f>
        <v>4.6119432539299989</v>
      </c>
      <c r="K466" s="17">
        <f>'[50]2022-23'!$AM$218/10000000</f>
        <v>4.7367033962500003</v>
      </c>
      <c r="L466" s="17">
        <f>'[50]2022-23'!$AR$218/10000000</f>
        <v>3.9600695831000001</v>
      </c>
      <c r="M466" s="122">
        <f>'[50]2022-23'!$AW$218/10000000</f>
        <v>4.0045928882500004</v>
      </c>
      <c r="N466" s="17">
        <f>'[50]2022-23'!$BB$218/10000000</f>
        <v>4.3782768702499997</v>
      </c>
      <c r="O466" s="17">
        <f>'[50]2022-23'!$BG$218/10000000</f>
        <v>4.1590670630725004</v>
      </c>
      <c r="P466" s="17">
        <f>('[50]2022-23'!$BL$218+'[50]2022-23'!$BQ$218+'[50]2022-23'!$BV$218)/10000000</f>
        <v>4.7057000854499993</v>
      </c>
      <c r="Q466" s="17">
        <f t="shared" si="194"/>
        <v>49.858282804779996</v>
      </c>
    </row>
    <row r="467" spans="3:19" x14ac:dyDescent="0.25">
      <c r="C467" s="17"/>
      <c r="D467" s="17" t="s">
        <v>414</v>
      </c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>
        <f t="shared" si="194"/>
        <v>0</v>
      </c>
    </row>
    <row r="468" spans="3:19" x14ac:dyDescent="0.25">
      <c r="C468" s="17"/>
      <c r="D468" s="17" t="s">
        <v>415</v>
      </c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>
        <f t="shared" si="194"/>
        <v>0</v>
      </c>
    </row>
    <row r="469" spans="3:19" x14ac:dyDescent="0.25">
      <c r="C469" s="17"/>
      <c r="D469" s="17" t="s">
        <v>416</v>
      </c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>
        <f t="shared" si="194"/>
        <v>0</v>
      </c>
    </row>
    <row r="470" spans="3:19" x14ac:dyDescent="0.25">
      <c r="C470" s="17"/>
      <c r="D470" s="17" t="s">
        <v>417</v>
      </c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>
        <f t="shared" si="194"/>
        <v>0</v>
      </c>
    </row>
    <row r="471" spans="3:19" x14ac:dyDescent="0.25">
      <c r="C471" s="17"/>
      <c r="D471" s="327" t="s">
        <v>418</v>
      </c>
      <c r="E471" s="17">
        <f>'[50]2022-23'!$I$212/10000000</f>
        <v>1.2273657171124999</v>
      </c>
      <c r="F471" s="17">
        <f>'[50]2022-23'!$N$212/10000000</f>
        <v>1.0282043508349998</v>
      </c>
      <c r="G471" s="17">
        <f>'[50]2022-23'!$S$212/10000000</f>
        <v>1.2366133074894998</v>
      </c>
      <c r="H471" s="17">
        <f>'[50]2022-23'!$X$212/10000000</f>
        <v>0.45184840176050001</v>
      </c>
      <c r="I471" s="17">
        <f>'[50]2022-23'!$AC$212/10000000</f>
        <v>0.78260728240150002</v>
      </c>
      <c r="J471" s="17">
        <f>'[50]2022-23'!$AH$212/10000000</f>
        <v>0.89486303467825001</v>
      </c>
      <c r="K471" s="17">
        <f>'[50]2022-23'!$AM$212/10000000</f>
        <v>0.73667043777124996</v>
      </c>
      <c r="L471" s="17">
        <f>'[50]2022-23'!$AR$212/10000000</f>
        <v>0.89530146463249993</v>
      </c>
      <c r="M471" s="17">
        <f>'[50]2022-23'!$AW$212/10000000</f>
        <v>0.70605892388125002</v>
      </c>
      <c r="N471" s="17">
        <f>'[50]2022-23'!$BB$212/10000000</f>
        <v>1.7232677059469999</v>
      </c>
      <c r="O471" s="17">
        <f>'[50]2022-23'!$BG$212/10000000</f>
        <v>1.575789807122</v>
      </c>
      <c r="P471" s="17">
        <f>('[50]2022-23'!$BL$212+'[50]2022-23'!$BQ$212+'[50]2022-23'!$BV$212)/10000000</f>
        <v>1.8311414730094999</v>
      </c>
      <c r="Q471" s="17">
        <f t="shared" si="194"/>
        <v>13.08973190664075</v>
      </c>
    </row>
    <row r="472" spans="3:19" x14ac:dyDescent="0.25">
      <c r="C472" s="17"/>
      <c r="D472" s="327" t="s">
        <v>419</v>
      </c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>
        <f>'[50]2022-23'!$BL$217/10000000</f>
        <v>23.1371561343</v>
      </c>
      <c r="Q472" s="17">
        <f t="shared" si="194"/>
        <v>23.1371561343</v>
      </c>
    </row>
    <row r="473" spans="3:19" x14ac:dyDescent="0.25"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>
        <f t="shared" si="194"/>
        <v>0</v>
      </c>
    </row>
    <row r="474" spans="3:19" x14ac:dyDescent="0.25"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>
        <f t="shared" si="194"/>
        <v>0</v>
      </c>
      <c r="S474" s="121"/>
    </row>
    <row r="475" spans="3:19" x14ac:dyDescent="0.25"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>
        <f t="shared" si="194"/>
        <v>0</v>
      </c>
    </row>
    <row r="476" spans="3:19" x14ac:dyDescent="0.25"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>
        <f t="shared" si="194"/>
        <v>0</v>
      </c>
    </row>
    <row r="477" spans="3:19" x14ac:dyDescent="0.25"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>
        <f t="shared" si="194"/>
        <v>0</v>
      </c>
    </row>
    <row r="478" spans="3:19" x14ac:dyDescent="0.25"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>
        <f t="shared" si="194"/>
        <v>0</v>
      </c>
    </row>
    <row r="479" spans="3:19" x14ac:dyDescent="0.25"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>
        <f t="shared" si="194"/>
        <v>0</v>
      </c>
    </row>
    <row r="480" spans="3:19" x14ac:dyDescent="0.25"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>
        <f t="shared" si="194"/>
        <v>0</v>
      </c>
    </row>
    <row r="481" spans="3:17" x14ac:dyDescent="0.25">
      <c r="C481" s="753" t="s">
        <v>420</v>
      </c>
      <c r="D481" s="754"/>
      <c r="E481" s="17">
        <f t="shared" ref="E481:P481" si="195">SUM(E457:E480)</f>
        <v>122.46018629615938</v>
      </c>
      <c r="F481" s="17">
        <f t="shared" si="195"/>
        <v>109.1251191144739</v>
      </c>
      <c r="G481" s="17">
        <f t="shared" si="195"/>
        <v>103.03634184574918</v>
      </c>
      <c r="H481" s="17">
        <f t="shared" si="195"/>
        <v>68.232762601077084</v>
      </c>
      <c r="I481" s="17">
        <f t="shared" si="195"/>
        <v>81.89072617558837</v>
      </c>
      <c r="J481" s="17">
        <f t="shared" si="195"/>
        <v>82.785989973263071</v>
      </c>
      <c r="K481" s="17">
        <f t="shared" si="195"/>
        <v>96.857338216415698</v>
      </c>
      <c r="L481" s="17">
        <f t="shared" si="195"/>
        <v>108.77512409734436</v>
      </c>
      <c r="M481" s="17">
        <f t="shared" si="195"/>
        <v>111.55440988357718</v>
      </c>
      <c r="N481" s="17">
        <f t="shared" si="195"/>
        <v>121.46171816381303</v>
      </c>
      <c r="O481" s="17">
        <f t="shared" si="195"/>
        <v>144.59763988640648</v>
      </c>
      <c r="P481" s="17">
        <f t="shared" si="195"/>
        <v>150.44904491778252</v>
      </c>
      <c r="Q481" s="86">
        <f t="shared" si="194"/>
        <v>1301.2264011716502</v>
      </c>
    </row>
    <row r="482" spans="3:17" x14ac:dyDescent="0.25">
      <c r="C482" s="800" t="s">
        <v>421</v>
      </c>
      <c r="D482" s="801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</row>
    <row r="483" spans="3:17" x14ac:dyDescent="0.25">
      <c r="C483" s="17"/>
      <c r="D483" s="17" t="s">
        <v>422</v>
      </c>
      <c r="E483" s="17">
        <f>'[50]2022-23'!$I$209/10000000</f>
        <v>405.21333536217759</v>
      </c>
      <c r="F483" s="17">
        <f>'[50]2022-23'!$N$209/10000000</f>
        <v>61.248794249015774</v>
      </c>
      <c r="G483" s="17">
        <f>'[50]2022-23'!$S$209/10000000</f>
        <v>82.528528999537954</v>
      </c>
      <c r="H483" s="17">
        <f>'[50]2022-23'!$X$209/10000000</f>
        <v>74.765531897010163</v>
      </c>
      <c r="I483" s="17">
        <f>'[50]2022-23'!$AC$209/10000000</f>
        <v>62.804454978485801</v>
      </c>
      <c r="J483" s="17">
        <f>'[50]2022-23'!$AH$209/10000000</f>
        <v>66.248001902326081</v>
      </c>
      <c r="K483" s="17">
        <f>'[50]2022-23'!$AM$209/10000000</f>
        <v>12.306252502050173</v>
      </c>
      <c r="L483" s="17">
        <f>'[50]2022-23'!$AR$209/10000000</f>
        <v>38.033048793944488</v>
      </c>
      <c r="M483" s="17">
        <f>'[50]2022-23'!$AW$209/10000000</f>
        <v>155.57970671796366</v>
      </c>
      <c r="N483" s="17">
        <f>'[50]2022-23'!$BB$209/10000000</f>
        <v>222.42758568916062</v>
      </c>
      <c r="O483" s="17">
        <f>'[50]2022-23'!$BG$209/10000000</f>
        <v>306.39139253281462</v>
      </c>
      <c r="P483" s="17">
        <f>('[50]2022-23'!$BL$209+'[50]2022-23'!$BQ$209+'[50]2022-23'!$BV$209)/10000000</f>
        <v>321.65379864466689</v>
      </c>
      <c r="Q483" s="17">
        <f>SUM(E483:P483)</f>
        <v>1809.2004322691537</v>
      </c>
    </row>
    <row r="484" spans="3:17" x14ac:dyDescent="0.25"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>
        <f>SUM(E484:P484)</f>
        <v>0</v>
      </c>
    </row>
    <row r="485" spans="3:17" x14ac:dyDescent="0.25">
      <c r="C485" s="17"/>
      <c r="D485" s="325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>
        <f>SUM(E485:P485)</f>
        <v>0</v>
      </c>
    </row>
    <row r="486" spans="3:17" x14ac:dyDescent="0.25">
      <c r="C486" s="17"/>
      <c r="D486" s="325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</row>
    <row r="487" spans="3:17" x14ac:dyDescent="0.25">
      <c r="C487" s="17"/>
      <c r="D487" s="325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>
        <f t="shared" ref="Q487:Q507" si="196">SUM(E487:P487)</f>
        <v>0</v>
      </c>
    </row>
    <row r="488" spans="3:17" x14ac:dyDescent="0.25">
      <c r="C488" s="17"/>
      <c r="D488" s="325" t="s">
        <v>629</v>
      </c>
      <c r="E488" s="17">
        <f>'[50]2022-23'!I233/10000000</f>
        <v>0</v>
      </c>
      <c r="F488" s="17">
        <f>'[50]2022-23'!N233/10000000</f>
        <v>0</v>
      </c>
      <c r="G488" s="17">
        <f>'[50]2022-23'!S233/10000000</f>
        <v>0</v>
      </c>
      <c r="H488" s="17">
        <f>'[50]2022-23'!X233/10000000</f>
        <v>0</v>
      </c>
      <c r="I488" s="17">
        <f>'[50]2022-23'!AC233/10000000</f>
        <v>0</v>
      </c>
      <c r="J488" s="17">
        <f>'[50]2022-23'!AH233/10000000</f>
        <v>0</v>
      </c>
      <c r="K488" s="17">
        <f>'[50]2022-23'!AM233/10000000</f>
        <v>0</v>
      </c>
      <c r="L488" s="17">
        <f>'[50]2022-23'!AR233/10000000</f>
        <v>0</v>
      </c>
      <c r="M488" s="17">
        <f>'[50]2022-23'!AW233/10000000</f>
        <v>0</v>
      </c>
      <c r="N488" s="17">
        <f>'[50]2022-23'!BB233/10000000</f>
        <v>0</v>
      </c>
      <c r="O488" s="17">
        <f>'[50]2022-23'!BG233/10000000</f>
        <v>0</v>
      </c>
      <c r="P488" s="17">
        <f>('[50]2022-23'!BL233+'[50]2022-23'!BQ233+'[50]2022-23'!BV233)/10000000</f>
        <v>1.9483549258999999</v>
      </c>
      <c r="Q488" s="17">
        <f t="shared" si="196"/>
        <v>1.9483549258999999</v>
      </c>
    </row>
    <row r="489" spans="3:17" x14ac:dyDescent="0.25">
      <c r="C489" s="17"/>
      <c r="D489" s="325" t="s">
        <v>630</v>
      </c>
      <c r="E489" s="17">
        <f>'[50]2022-23'!I234/10000000</f>
        <v>0</v>
      </c>
      <c r="F489" s="17">
        <f>'[50]2022-23'!N234/10000000</f>
        <v>0</v>
      </c>
      <c r="G489" s="17">
        <f>'[50]2022-23'!S234/10000000</f>
        <v>0</v>
      </c>
      <c r="H489" s="17">
        <f>'[50]2022-23'!X234/10000000</f>
        <v>0</v>
      </c>
      <c r="I489" s="17">
        <f>'[50]2022-23'!AC234/10000000</f>
        <v>0</v>
      </c>
      <c r="J489" s="17">
        <f>'[50]2022-23'!AH234/10000000</f>
        <v>0</v>
      </c>
      <c r="K489" s="17">
        <f>'[50]2022-23'!AM234/10000000</f>
        <v>0</v>
      </c>
      <c r="L489" s="17">
        <f>'[50]2022-23'!AR234/10000000</f>
        <v>0</v>
      </c>
      <c r="M489" s="17">
        <f>'[50]2022-23'!AW234/10000000</f>
        <v>0</v>
      </c>
      <c r="N489" s="17">
        <f>'[50]2022-23'!BB234/10000000</f>
        <v>0</v>
      </c>
      <c r="O489" s="17">
        <f>'[50]2022-23'!BG234/10000000</f>
        <v>0</v>
      </c>
      <c r="P489" s="17">
        <f>('[50]2022-23'!BL234+'[50]2022-23'!BQ234+'[50]2022-23'!BV234)/10000000</f>
        <v>0</v>
      </c>
      <c r="Q489" s="17">
        <f t="shared" si="196"/>
        <v>0</v>
      </c>
    </row>
    <row r="490" spans="3:17" x14ac:dyDescent="0.25">
      <c r="C490" s="17"/>
      <c r="D490" s="326" t="s">
        <v>631</v>
      </c>
      <c r="E490" s="17">
        <f>'[50]2022-23'!I235/10000000</f>
        <v>0.55678894469999995</v>
      </c>
      <c r="F490" s="17">
        <f>'[50]2022-23'!N235/10000000</f>
        <v>3.2869019038142855</v>
      </c>
      <c r="G490" s="17">
        <f>'[50]2022-23'!S235/10000000</f>
        <v>4.1092839780357142</v>
      </c>
      <c r="H490" s="17">
        <f>'[50]2022-23'!X235/10000000</f>
        <v>1.8297997689999999</v>
      </c>
      <c r="I490" s="17">
        <f>'[50]2022-23'!AC235/10000000</f>
        <v>5.2285543420785707</v>
      </c>
      <c r="J490" s="17">
        <f>'[50]2022-23'!AH235/10000000</f>
        <v>4.2455663268357142</v>
      </c>
      <c r="K490" s="17">
        <f>'[50]2022-23'!AM235/10000000</f>
        <v>2.7620111670642857</v>
      </c>
      <c r="L490" s="17">
        <f>'[50]2022-23'!AR235/10000000</f>
        <v>0.68764237532142847</v>
      </c>
      <c r="M490" s="17">
        <f>'[50]2022-23'!AW235/10000000</f>
        <v>1.5903471200000002E-2</v>
      </c>
      <c r="N490" s="17">
        <f>'[50]2022-23'!BB235/10000000</f>
        <v>2.5386758173000001</v>
      </c>
      <c r="O490" s="17">
        <f>'[50]2022-23'!BG235/10000000</f>
        <v>10.775346637885713</v>
      </c>
      <c r="P490" s="17">
        <f>('[50]2022-23'!BL235+'[50]2022-23'!BQ235+'[50]2022-23'!BV235)/10000000</f>
        <v>-3.825566977735714</v>
      </c>
      <c r="Q490" s="17">
        <f t="shared" si="196"/>
        <v>32.210907755500003</v>
      </c>
    </row>
    <row r="491" spans="3:17" x14ac:dyDescent="0.25">
      <c r="C491" s="17"/>
      <c r="D491" s="325" t="s">
        <v>632</v>
      </c>
      <c r="E491" s="17">
        <f>'[50]2022-23'!I236/10000000</f>
        <v>0</v>
      </c>
      <c r="F491" s="17">
        <f>'[50]2022-23'!N236/10000000</f>
        <v>0</v>
      </c>
      <c r="G491" s="17">
        <f>'[50]2022-23'!S236/10000000</f>
        <v>0</v>
      </c>
      <c r="H491" s="17">
        <f>'[50]2022-23'!X236/10000000</f>
        <v>0</v>
      </c>
      <c r="I491" s="17">
        <f>'[50]2022-23'!AC236/10000000</f>
        <v>0</v>
      </c>
      <c r="J491" s="17">
        <f>'[50]2022-23'!AH236/10000000</f>
        <v>0</v>
      </c>
      <c r="K491" s="17">
        <f>'[50]2022-23'!AM236/10000000</f>
        <v>0</v>
      </c>
      <c r="L491" s="17">
        <f>'[50]2022-23'!AR236/10000000</f>
        <v>0</v>
      </c>
      <c r="M491" s="17">
        <f>'[50]2022-23'!AW236/10000000</f>
        <v>0</v>
      </c>
      <c r="N491" s="17">
        <f>'[50]2022-23'!BB236/10000000</f>
        <v>0</v>
      </c>
      <c r="O491" s="17">
        <f>'[50]2022-23'!BG236/10000000</f>
        <v>0</v>
      </c>
      <c r="P491" s="17">
        <f>('[50]2022-23'!BL236+'[50]2022-23'!BQ236+'[50]2022-23'!BV236)/10000000</f>
        <v>0</v>
      </c>
      <c r="Q491" s="17">
        <f t="shared" si="196"/>
        <v>0</v>
      </c>
    </row>
    <row r="492" spans="3:17" x14ac:dyDescent="0.25">
      <c r="C492" s="17"/>
      <c r="D492" s="325" t="s">
        <v>633</v>
      </c>
      <c r="E492" s="17">
        <f>'[50]2022-23'!I237/10000000</f>
        <v>0</v>
      </c>
      <c r="F492" s="17">
        <f>'[50]2022-23'!N237/10000000</f>
        <v>0</v>
      </c>
      <c r="G492" s="17">
        <f>'[50]2022-23'!S237/10000000</f>
        <v>0</v>
      </c>
      <c r="H492" s="17">
        <f>'[50]2022-23'!X237/10000000</f>
        <v>0</v>
      </c>
      <c r="I492" s="17">
        <f>'[50]2022-23'!AC237/10000000</f>
        <v>0</v>
      </c>
      <c r="J492" s="17">
        <f>'[50]2022-23'!AH237/10000000</f>
        <v>0</v>
      </c>
      <c r="K492" s="17">
        <f>'[50]2022-23'!AM237/10000000</f>
        <v>0</v>
      </c>
      <c r="L492" s="17">
        <f>'[50]2022-23'!AR237/10000000</f>
        <v>0</v>
      </c>
      <c r="M492" s="17">
        <f>'[50]2022-23'!AW237/10000000</f>
        <v>0</v>
      </c>
      <c r="N492" s="17">
        <f>'[50]2022-23'!BB237/10000000</f>
        <v>0</v>
      </c>
      <c r="O492" s="17">
        <f>'[50]2022-23'!BG237/10000000</f>
        <v>-2.0309847640499998</v>
      </c>
      <c r="P492" s="17">
        <f>('[50]2022-23'!BL237+'[50]2022-23'!BQ237+'[50]2022-23'!BV237)/10000000</f>
        <v>-0.83329723290000002</v>
      </c>
      <c r="Q492" s="17">
        <f t="shared" si="196"/>
        <v>-2.86428199695</v>
      </c>
    </row>
    <row r="493" spans="3:17" x14ac:dyDescent="0.25">
      <c r="C493" s="17"/>
      <c r="D493" s="325" t="s">
        <v>634</v>
      </c>
      <c r="E493" s="17">
        <f>'[50]2022-23'!I238/10000000</f>
        <v>0</v>
      </c>
      <c r="F493" s="17">
        <f>'[50]2022-23'!N238/10000000</f>
        <v>0</v>
      </c>
      <c r="G493" s="17">
        <f>'[50]2022-23'!S238/10000000</f>
        <v>0</v>
      </c>
      <c r="H493" s="17">
        <f>'[50]2022-23'!X238/10000000</f>
        <v>0</v>
      </c>
      <c r="I493" s="17">
        <f>'[50]2022-23'!AC238/10000000</f>
        <v>0</v>
      </c>
      <c r="J493" s="17">
        <f>'[50]2022-23'!AH238/10000000</f>
        <v>0</v>
      </c>
      <c r="K493" s="17">
        <f>'[50]2022-23'!AM238/10000000</f>
        <v>0</v>
      </c>
      <c r="L493" s="17">
        <f>'[50]2022-23'!AR238/10000000</f>
        <v>0</v>
      </c>
      <c r="M493" s="17">
        <f>'[50]2022-23'!AW238/10000000</f>
        <v>0</v>
      </c>
      <c r="N493" s="17">
        <f>'[50]2022-23'!BB238/10000000</f>
        <v>0</v>
      </c>
      <c r="O493" s="17">
        <f>'[50]2022-23'!BG238/10000000</f>
        <v>0</v>
      </c>
      <c r="P493" s="17">
        <f>('[50]2022-23'!BL238+'[50]2022-23'!BQ238+'[50]2022-23'!BV238)/10000000</f>
        <v>0</v>
      </c>
      <c r="Q493" s="17">
        <f t="shared" si="196"/>
        <v>0</v>
      </c>
    </row>
    <row r="494" spans="3:17" x14ac:dyDescent="0.25">
      <c r="C494" s="17"/>
      <c r="D494" s="325" t="s">
        <v>635</v>
      </c>
      <c r="E494" s="17">
        <f>'[50]2022-23'!I239/10000000</f>
        <v>0</v>
      </c>
      <c r="F494" s="17">
        <f>'[50]2022-23'!N239/10000000</f>
        <v>0</v>
      </c>
      <c r="G494" s="17">
        <f>'[50]2022-23'!S239/10000000</f>
        <v>0</v>
      </c>
      <c r="H494" s="17">
        <f>'[50]2022-23'!X239/10000000</f>
        <v>0</v>
      </c>
      <c r="I494" s="17">
        <f>'[50]2022-23'!AC239/10000000</f>
        <v>0</v>
      </c>
      <c r="J494" s="17">
        <f>'[50]2022-23'!AH239/10000000</f>
        <v>0</v>
      </c>
      <c r="K494" s="17">
        <f>'[50]2022-23'!AM239/10000000</f>
        <v>0</v>
      </c>
      <c r="L494" s="17">
        <f>'[50]2022-23'!AR239/10000000</f>
        <v>0</v>
      </c>
      <c r="M494" s="17">
        <f>'[50]2022-23'!AW239/10000000</f>
        <v>0</v>
      </c>
      <c r="N494" s="17">
        <f>'[50]2022-23'!BB239/10000000</f>
        <v>0</v>
      </c>
      <c r="O494" s="17">
        <f>'[50]2022-23'!BG239/10000000</f>
        <v>0</v>
      </c>
      <c r="P494" s="17">
        <f>('[50]2022-23'!BL239+'[50]2022-23'!BQ239+'[50]2022-23'!BV239)/10000000</f>
        <v>0.51673349999999996</v>
      </c>
      <c r="Q494" s="17">
        <f t="shared" si="196"/>
        <v>0.51673349999999996</v>
      </c>
    </row>
    <row r="495" spans="3:17" x14ac:dyDescent="0.25">
      <c r="C495" s="17"/>
      <c r="D495" s="325" t="s">
        <v>636</v>
      </c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>
        <f t="shared" si="196"/>
        <v>0</v>
      </c>
    </row>
    <row r="496" spans="3:17" x14ac:dyDescent="0.25">
      <c r="C496" s="17"/>
      <c r="D496" s="325" t="s">
        <v>637</v>
      </c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>
        <f t="shared" si="196"/>
        <v>0</v>
      </c>
    </row>
    <row r="497" spans="3:17" x14ac:dyDescent="0.25">
      <c r="C497" s="17"/>
      <c r="D497" s="325" t="s">
        <v>638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f t="shared" si="196"/>
        <v>0</v>
      </c>
    </row>
    <row r="498" spans="3:17" x14ac:dyDescent="0.25">
      <c r="C498" s="17"/>
      <c r="D498" s="325" t="s">
        <v>639</v>
      </c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>
        <f t="shared" si="196"/>
        <v>0</v>
      </c>
    </row>
    <row r="499" spans="3:17" x14ac:dyDescent="0.25"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>
        <f t="shared" si="196"/>
        <v>0</v>
      </c>
    </row>
    <row r="500" spans="3:17" x14ac:dyDescent="0.25"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>
        <f t="shared" si="196"/>
        <v>0</v>
      </c>
    </row>
    <row r="501" spans="3:17" x14ac:dyDescent="0.25"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>
        <f t="shared" si="196"/>
        <v>0</v>
      </c>
    </row>
    <row r="502" spans="3:17" x14ac:dyDescent="0.25"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>
        <f t="shared" si="196"/>
        <v>0</v>
      </c>
    </row>
    <row r="503" spans="3:17" x14ac:dyDescent="0.25"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>
        <f t="shared" si="196"/>
        <v>0</v>
      </c>
    </row>
    <row r="504" spans="3:17" x14ac:dyDescent="0.25"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>
        <f t="shared" si="196"/>
        <v>0</v>
      </c>
    </row>
    <row r="505" spans="3:17" x14ac:dyDescent="0.25"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>
        <f t="shared" si="196"/>
        <v>0</v>
      </c>
    </row>
    <row r="506" spans="3:17" x14ac:dyDescent="0.25"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>
        <f t="shared" si="196"/>
        <v>0</v>
      </c>
    </row>
    <row r="507" spans="3:17" x14ac:dyDescent="0.25">
      <c r="C507" s="753" t="s">
        <v>423</v>
      </c>
      <c r="D507" s="754"/>
      <c r="E507" s="17">
        <f t="shared" ref="E507:P507" si="197">SUM(E483:E506)</f>
        <v>405.77012430687756</v>
      </c>
      <c r="F507" s="17">
        <f t="shared" si="197"/>
        <v>64.535696152830056</v>
      </c>
      <c r="G507" s="17">
        <f t="shared" si="197"/>
        <v>86.637812977573674</v>
      </c>
      <c r="H507" s="17">
        <f t="shared" si="197"/>
        <v>76.595331666010168</v>
      </c>
      <c r="I507" s="17">
        <f t="shared" si="197"/>
        <v>68.033009320564375</v>
      </c>
      <c r="J507" s="17">
        <f t="shared" si="197"/>
        <v>70.493568229161795</v>
      </c>
      <c r="K507" s="17">
        <f t="shared" si="197"/>
        <v>15.068263669114458</v>
      </c>
      <c r="L507" s="17">
        <f t="shared" si="197"/>
        <v>38.720691169265919</v>
      </c>
      <c r="M507" s="17">
        <f t="shared" si="197"/>
        <v>155.59561018916366</v>
      </c>
      <c r="N507" s="17">
        <f t="shared" si="197"/>
        <v>224.96626150646063</v>
      </c>
      <c r="O507" s="17">
        <f t="shared" si="197"/>
        <v>315.13575440665034</v>
      </c>
      <c r="P507" s="17">
        <f t="shared" si="197"/>
        <v>319.46002285993114</v>
      </c>
      <c r="Q507" s="86">
        <f t="shared" si="196"/>
        <v>1841.0121464536037</v>
      </c>
    </row>
    <row r="508" spans="3:17" x14ac:dyDescent="0.25">
      <c r="C508" s="800" t="s">
        <v>424</v>
      </c>
      <c r="D508" s="801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</row>
    <row r="509" spans="3:17" x14ac:dyDescent="0.25">
      <c r="C509" s="17" t="s">
        <v>425</v>
      </c>
      <c r="D509" s="17" t="s">
        <v>426</v>
      </c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>
        <f>SUM(E509:P509)</f>
        <v>0</v>
      </c>
    </row>
    <row r="510" spans="3:17" x14ac:dyDescent="0.25">
      <c r="C510" s="17" t="s">
        <v>425</v>
      </c>
      <c r="D510" s="17" t="s">
        <v>427</v>
      </c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</row>
    <row r="511" spans="3:17" x14ac:dyDescent="0.25">
      <c r="C511" s="17"/>
      <c r="D511" s="324" t="s">
        <v>463</v>
      </c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>
        <f>SUM(E511:P511)</f>
        <v>0</v>
      </c>
    </row>
    <row r="512" spans="3:17" x14ac:dyDescent="0.25">
      <c r="C512" s="753" t="s">
        <v>428</v>
      </c>
      <c r="D512" s="754"/>
      <c r="E512" s="17">
        <f t="shared" ref="E512:Q512" si="198">E509+E511</f>
        <v>0</v>
      </c>
      <c r="F512" s="17">
        <f t="shared" si="198"/>
        <v>0</v>
      </c>
      <c r="G512" s="17">
        <f t="shared" si="198"/>
        <v>0</v>
      </c>
      <c r="H512" s="17">
        <f t="shared" si="198"/>
        <v>0</v>
      </c>
      <c r="I512" s="17">
        <f t="shared" si="198"/>
        <v>0</v>
      </c>
      <c r="J512" s="17">
        <f t="shared" si="198"/>
        <v>0</v>
      </c>
      <c r="K512" s="17">
        <f t="shared" si="198"/>
        <v>0</v>
      </c>
      <c r="L512" s="17">
        <f t="shared" si="198"/>
        <v>0</v>
      </c>
      <c r="M512" s="17">
        <f t="shared" si="198"/>
        <v>0</v>
      </c>
      <c r="N512" s="17">
        <f t="shared" si="198"/>
        <v>0</v>
      </c>
      <c r="O512" s="17">
        <f t="shared" si="198"/>
        <v>0</v>
      </c>
      <c r="P512" s="17">
        <f t="shared" si="198"/>
        <v>0</v>
      </c>
      <c r="Q512" s="17">
        <f t="shared" si="198"/>
        <v>0</v>
      </c>
    </row>
    <row r="513" spans="3:17" x14ac:dyDescent="0.25">
      <c r="C513" s="753" t="s">
        <v>220</v>
      </c>
      <c r="D513" s="754"/>
      <c r="E513" s="17">
        <f t="shared" ref="E513:Q513" si="199">E391+E436+E445+E455+E481+E507+E512</f>
        <v>984.82528908327686</v>
      </c>
      <c r="F513" s="17">
        <f t="shared" si="199"/>
        <v>653.98347169744056</v>
      </c>
      <c r="G513" s="17">
        <f t="shared" si="199"/>
        <v>637.54507566709731</v>
      </c>
      <c r="H513" s="17">
        <f t="shared" si="199"/>
        <v>548.187089870764</v>
      </c>
      <c r="I513" s="17">
        <f t="shared" si="199"/>
        <v>576.59342824591158</v>
      </c>
      <c r="J513" s="17">
        <f t="shared" si="199"/>
        <v>581.45594709695865</v>
      </c>
      <c r="K513" s="17">
        <f t="shared" si="199"/>
        <v>513.66552715883199</v>
      </c>
      <c r="L513" s="17">
        <f t="shared" si="199"/>
        <v>550.12985326036187</v>
      </c>
      <c r="M513" s="17">
        <f t="shared" si="199"/>
        <v>739.92764618393744</v>
      </c>
      <c r="N513" s="17">
        <f t="shared" si="199"/>
        <v>817.43967570255381</v>
      </c>
      <c r="O513" s="17">
        <f t="shared" si="199"/>
        <v>907.85588898432741</v>
      </c>
      <c r="P513" s="17">
        <f t="shared" si="199"/>
        <v>1461.3971584421556</v>
      </c>
      <c r="Q513" s="86">
        <f t="shared" si="199"/>
        <v>8973.0060513936187</v>
      </c>
    </row>
    <row r="514" spans="3:17" x14ac:dyDescent="0.25">
      <c r="D514" s="22"/>
      <c r="E514" s="22"/>
    </row>
    <row r="515" spans="3:17" x14ac:dyDescent="0.25">
      <c r="D515" s="24"/>
      <c r="E515" s="24"/>
    </row>
    <row r="516" spans="3:17" x14ac:dyDescent="0.25">
      <c r="E516" s="24"/>
    </row>
    <row r="517" spans="3:17" x14ac:dyDescent="0.25">
      <c r="E517" s="24"/>
    </row>
  </sheetData>
  <mergeCells count="91">
    <mergeCell ref="C94:D94"/>
    <mergeCell ref="C96:D96"/>
    <mergeCell ref="C78:D78"/>
    <mergeCell ref="C79:D79"/>
    <mergeCell ref="C80:C83"/>
    <mergeCell ref="C95:D95"/>
    <mergeCell ref="C140:D140"/>
    <mergeCell ref="C104:D104"/>
    <mergeCell ref="C105:D105"/>
    <mergeCell ref="C114:D114"/>
    <mergeCell ref="C115:D115"/>
    <mergeCell ref="E7:Q7"/>
    <mergeCell ref="C10:D10"/>
    <mergeCell ref="C53:C61"/>
    <mergeCell ref="C11:C28"/>
    <mergeCell ref="C29:D29"/>
    <mergeCell ref="C7:C8"/>
    <mergeCell ref="D7:D8"/>
    <mergeCell ref="C49:D49"/>
    <mergeCell ref="C50:D50"/>
    <mergeCell ref="C51:D51"/>
    <mergeCell ref="C52:D52"/>
    <mergeCell ref="C30:D30"/>
    <mergeCell ref="C9:D9"/>
    <mergeCell ref="C31:C48"/>
    <mergeCell ref="C201:C218"/>
    <mergeCell ref="C219:D219"/>
    <mergeCell ref="E177:Q177"/>
    <mergeCell ref="C179:D179"/>
    <mergeCell ref="C180:D180"/>
    <mergeCell ref="C181:C198"/>
    <mergeCell ref="C199:D199"/>
    <mergeCell ref="C286:D286"/>
    <mergeCell ref="C141:D141"/>
    <mergeCell ref="C220:D220"/>
    <mergeCell ref="C166:D166"/>
    <mergeCell ref="C167:D167"/>
    <mergeCell ref="C171:D171"/>
    <mergeCell ref="C172:D172"/>
    <mergeCell ref="C200:D200"/>
    <mergeCell ref="C177:C178"/>
    <mergeCell ref="C265:D265"/>
    <mergeCell ref="C266:D266"/>
    <mergeCell ref="C267:D267"/>
    <mergeCell ref="C223:C231"/>
    <mergeCell ref="C275:D275"/>
    <mergeCell ref="C276:D276"/>
    <mergeCell ref="D177:D178"/>
    <mergeCell ref="C421:C424"/>
    <mergeCell ref="C513:D513"/>
    <mergeCell ref="C445:D445"/>
    <mergeCell ref="C446:D446"/>
    <mergeCell ref="C455:D455"/>
    <mergeCell ref="C456:D456"/>
    <mergeCell ref="C481:D481"/>
    <mergeCell ref="C512:D512"/>
    <mergeCell ref="C482:D482"/>
    <mergeCell ref="C507:D507"/>
    <mergeCell ref="C508:D508"/>
    <mergeCell ref="C435:D435"/>
    <mergeCell ref="C436:D436"/>
    <mergeCell ref="C437:D437"/>
    <mergeCell ref="C342:D342"/>
    <mergeCell ref="C419:D419"/>
    <mergeCell ref="C391:D391"/>
    <mergeCell ref="C370:D370"/>
    <mergeCell ref="C351:D351"/>
    <mergeCell ref="C371:D371"/>
    <mergeCell ref="C372:C389"/>
    <mergeCell ref="C390:D390"/>
    <mergeCell ref="C350:D350"/>
    <mergeCell ref="C352:C369"/>
    <mergeCell ref="C392:D392"/>
    <mergeCell ref="C393:D393"/>
    <mergeCell ref="C394:C402"/>
    <mergeCell ref="C285:D285"/>
    <mergeCell ref="C420:D420"/>
    <mergeCell ref="C2:Q2"/>
    <mergeCell ref="C348:C349"/>
    <mergeCell ref="D348:D349"/>
    <mergeCell ref="C221:D221"/>
    <mergeCell ref="C222:D222"/>
    <mergeCell ref="C311:D311"/>
    <mergeCell ref="E348:Q348"/>
    <mergeCell ref="C249:D249"/>
    <mergeCell ref="C250:D250"/>
    <mergeCell ref="C251:C254"/>
    <mergeCell ref="C312:D312"/>
    <mergeCell ref="C337:D337"/>
    <mergeCell ref="C338:D338"/>
    <mergeCell ref="C343:D343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Q680"/>
  <sheetViews>
    <sheetView showGridLines="0" zoomScale="59" zoomScaleNormal="59" workbookViewId="0">
      <pane xSplit="4" ySplit="7" topLeftCell="E44" activePane="bottomRight" state="frozen"/>
      <selection activeCell="E35" sqref="E35"/>
      <selection pane="topRight" activeCell="E35" sqref="E35"/>
      <selection pane="bottomLeft" activeCell="E35" sqref="E35"/>
      <selection pane="bottomRight" activeCell="E35" sqref="E35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5.44140625" style="4" customWidth="1"/>
    <col min="5" max="7" width="16.88671875" style="4" bestFit="1" customWidth="1"/>
    <col min="8" max="8" width="15.88671875" style="4" customWidth="1"/>
    <col min="9" max="9" width="16.88671875" style="4" bestFit="1" customWidth="1"/>
    <col min="10" max="10" width="13.88671875" style="4" customWidth="1"/>
    <col min="11" max="11" width="12.5546875" style="4" customWidth="1"/>
    <col min="12" max="16" width="16.88671875" style="4" bestFit="1" customWidth="1"/>
    <col min="17" max="17" width="21.88671875" style="4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</row>
    <row r="3" spans="2:17" x14ac:dyDescent="0.25">
      <c r="J3" s="25" t="s">
        <v>650</v>
      </c>
    </row>
    <row r="4" spans="2:17" x14ac:dyDescent="0.25">
      <c r="C4" s="22" t="s">
        <v>648</v>
      </c>
      <c r="J4" s="25"/>
    </row>
    <row r="5" spans="2:17" x14ac:dyDescent="0.25">
      <c r="C5" s="14"/>
      <c r="Q5" s="25" t="s">
        <v>3</v>
      </c>
    </row>
    <row r="6" spans="2:17" x14ac:dyDescent="0.25">
      <c r="C6" s="827" t="s">
        <v>346</v>
      </c>
      <c r="D6" s="762" t="s">
        <v>347</v>
      </c>
      <c r="E6" s="768" t="s">
        <v>225</v>
      </c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</row>
    <row r="7" spans="2:17" x14ac:dyDescent="0.25">
      <c r="C7" s="827"/>
      <c r="D7" s="762"/>
      <c r="E7" s="13" t="s">
        <v>239</v>
      </c>
      <c r="F7" s="13" t="s">
        <v>240</v>
      </c>
      <c r="G7" s="13" t="s">
        <v>241</v>
      </c>
      <c r="H7" s="13" t="s">
        <v>242</v>
      </c>
      <c r="I7" s="13" t="s">
        <v>243</v>
      </c>
      <c r="J7" s="13" t="s">
        <v>244</v>
      </c>
      <c r="K7" s="13" t="s">
        <v>245</v>
      </c>
      <c r="L7" s="13" t="s">
        <v>246</v>
      </c>
      <c r="M7" s="13" t="s">
        <v>247</v>
      </c>
      <c r="N7" s="13" t="s">
        <v>248</v>
      </c>
      <c r="O7" s="13" t="s">
        <v>249</v>
      </c>
      <c r="P7" s="13" t="s">
        <v>250</v>
      </c>
      <c r="Q7" s="13" t="s">
        <v>251</v>
      </c>
    </row>
    <row r="8" spans="2:17" x14ac:dyDescent="0.25">
      <c r="C8" s="827"/>
      <c r="D8" s="762"/>
      <c r="E8" s="13" t="s">
        <v>24</v>
      </c>
      <c r="F8" s="13" t="s">
        <v>24</v>
      </c>
      <c r="G8" s="13" t="s">
        <v>24</v>
      </c>
      <c r="H8" s="13" t="s">
        <v>24</v>
      </c>
      <c r="I8" s="13" t="s">
        <v>24</v>
      </c>
      <c r="J8" s="13" t="s">
        <v>24</v>
      </c>
      <c r="K8" s="13" t="s">
        <v>25</v>
      </c>
      <c r="L8" s="13" t="s">
        <v>25</v>
      </c>
      <c r="M8" s="13" t="s">
        <v>25</v>
      </c>
      <c r="N8" s="13" t="s">
        <v>25</v>
      </c>
      <c r="O8" s="13" t="s">
        <v>25</v>
      </c>
      <c r="P8" s="13" t="s">
        <v>25</v>
      </c>
      <c r="Q8" s="13" t="s">
        <v>25</v>
      </c>
    </row>
    <row r="9" spans="2:17" x14ac:dyDescent="0.25">
      <c r="B9" s="60"/>
      <c r="C9" s="800" t="s">
        <v>348</v>
      </c>
      <c r="D9" s="800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x14ac:dyDescent="0.25">
      <c r="C10" s="753" t="s">
        <v>349</v>
      </c>
      <c r="D10" s="753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2:17" ht="14.25" customHeight="1" x14ac:dyDescent="0.25">
      <c r="B11" s="60"/>
      <c r="C11" s="802" t="s">
        <v>350</v>
      </c>
      <c r="D11" s="59" t="s">
        <v>351</v>
      </c>
      <c r="E11" s="291">
        <f t="shared" ref="E11:P11" si="0">E180+E350+E519</f>
        <v>39.509667883599995</v>
      </c>
      <c r="F11" s="291">
        <f t="shared" si="0"/>
        <v>37.17990020605</v>
      </c>
      <c r="G11" s="291">
        <f t="shared" si="0"/>
        <v>42.846234699017316</v>
      </c>
      <c r="H11" s="291">
        <f t="shared" si="0"/>
        <v>41.381720583464507</v>
      </c>
      <c r="I11" s="291">
        <f t="shared" si="0"/>
        <v>42.045149319654939</v>
      </c>
      <c r="J11" s="291">
        <f t="shared" si="0"/>
        <v>40.485022433599994</v>
      </c>
      <c r="K11" s="291">
        <f t="shared" si="0"/>
        <v>31.205426856800045</v>
      </c>
      <c r="L11" s="291">
        <f t="shared" si="0"/>
        <v>52.108469370588324</v>
      </c>
      <c r="M11" s="291">
        <f t="shared" si="0"/>
        <v>42.148323770949993</v>
      </c>
      <c r="N11" s="291">
        <f t="shared" si="0"/>
        <v>42.723907705649992</v>
      </c>
      <c r="O11" s="291">
        <f t="shared" si="0"/>
        <v>39.285397504749994</v>
      </c>
      <c r="P11" s="291">
        <f t="shared" si="0"/>
        <v>41.453346767949995</v>
      </c>
      <c r="Q11" s="291">
        <f t="shared" ref="Q11:Q29" si="1">SUM(E11:P11)</f>
        <v>492.3725671020751</v>
      </c>
    </row>
    <row r="12" spans="2:17" x14ac:dyDescent="0.25">
      <c r="B12" s="60"/>
      <c r="C12" s="802"/>
      <c r="D12" s="59" t="s">
        <v>352</v>
      </c>
      <c r="E12" s="291">
        <f t="shared" ref="E12:P12" si="2">E181+E351+E520</f>
        <v>48.667448512449994</v>
      </c>
      <c r="F12" s="291">
        <f t="shared" si="2"/>
        <v>47.750339436199994</v>
      </c>
      <c r="G12" s="291">
        <f t="shared" si="2"/>
        <v>49.957140867094964</v>
      </c>
      <c r="H12" s="291">
        <f t="shared" si="2"/>
        <v>51.990934663858354</v>
      </c>
      <c r="I12" s="291">
        <f t="shared" si="2"/>
        <v>45.81558072349435</v>
      </c>
      <c r="J12" s="291">
        <f t="shared" si="2"/>
        <v>44.324909600049992</v>
      </c>
      <c r="K12" s="291">
        <f t="shared" si="2"/>
        <v>39.436473442600075</v>
      </c>
      <c r="L12" s="291">
        <f t="shared" si="2"/>
        <v>42.573709865359099</v>
      </c>
      <c r="M12" s="291">
        <f t="shared" si="2"/>
        <v>40.442113665799994</v>
      </c>
      <c r="N12" s="291">
        <f t="shared" si="2"/>
        <v>47.015953532849991</v>
      </c>
      <c r="O12" s="291">
        <f t="shared" si="2"/>
        <v>44.07230163605</v>
      </c>
      <c r="P12" s="291">
        <f t="shared" si="2"/>
        <v>45.00931199155</v>
      </c>
      <c r="Q12" s="291">
        <f t="shared" si="1"/>
        <v>547.05621793735679</v>
      </c>
    </row>
    <row r="13" spans="2:17" x14ac:dyDescent="0.25">
      <c r="B13" s="60"/>
      <c r="C13" s="802"/>
      <c r="D13" s="59" t="s">
        <v>353</v>
      </c>
      <c r="E13" s="291">
        <f t="shared" ref="E13:P13" si="3">E182+E352+E521</f>
        <v>82.335315002300007</v>
      </c>
      <c r="F13" s="291">
        <f t="shared" si="3"/>
        <v>85.120180421149996</v>
      </c>
      <c r="G13" s="291">
        <f t="shared" si="3"/>
        <v>85.02817283291489</v>
      </c>
      <c r="H13" s="291">
        <f t="shared" si="3"/>
        <v>91.234189195811254</v>
      </c>
      <c r="I13" s="291">
        <f t="shared" si="3"/>
        <v>80.618802621214201</v>
      </c>
      <c r="J13" s="291">
        <f t="shared" si="3"/>
        <v>74.410643687250001</v>
      </c>
      <c r="K13" s="291">
        <f t="shared" si="3"/>
        <v>71.320325548350013</v>
      </c>
      <c r="L13" s="291">
        <f t="shared" si="3"/>
        <v>82.171569718312213</v>
      </c>
      <c r="M13" s="291">
        <f t="shared" si="3"/>
        <v>85.687992117999983</v>
      </c>
      <c r="N13" s="291">
        <f t="shared" si="3"/>
        <v>85.364407592499987</v>
      </c>
      <c r="O13" s="291">
        <f t="shared" si="3"/>
        <v>81.043563788299991</v>
      </c>
      <c r="P13" s="291">
        <f t="shared" si="3"/>
        <v>84.969452376150002</v>
      </c>
      <c r="Q13" s="291">
        <f t="shared" si="1"/>
        <v>989.30461490225252</v>
      </c>
    </row>
    <row r="14" spans="2:17" x14ac:dyDescent="0.25">
      <c r="B14" s="60"/>
      <c r="C14" s="802"/>
      <c r="D14" s="59" t="s">
        <v>354</v>
      </c>
      <c r="E14" s="291">
        <f t="shared" ref="E14:P14" si="4">E183+E353+E522</f>
        <v>4.2883146888999999</v>
      </c>
      <c r="F14" s="291">
        <f t="shared" si="4"/>
        <v>5.9519344690999993</v>
      </c>
      <c r="G14" s="291">
        <f t="shared" si="4"/>
        <v>4.9619081130675724</v>
      </c>
      <c r="H14" s="291">
        <f t="shared" si="4"/>
        <v>5.7984412710524635</v>
      </c>
      <c r="I14" s="291">
        <f t="shared" si="4"/>
        <v>5.6551075514090954</v>
      </c>
      <c r="J14" s="291">
        <f t="shared" si="4"/>
        <v>0.85275207959999988</v>
      </c>
      <c r="K14" s="291">
        <f t="shared" si="4"/>
        <v>0.28926411394999996</v>
      </c>
      <c r="L14" s="291">
        <f t="shared" si="4"/>
        <v>4.5002989325020737</v>
      </c>
      <c r="M14" s="291">
        <f t="shared" si="4"/>
        <v>5.3373259271000002</v>
      </c>
      <c r="N14" s="291">
        <f t="shared" si="4"/>
        <v>5.7160490396999997</v>
      </c>
      <c r="O14" s="291">
        <f t="shared" si="4"/>
        <v>4.7650764686500002</v>
      </c>
      <c r="P14" s="291">
        <f t="shared" si="4"/>
        <v>3.0684405879499996</v>
      </c>
      <c r="Q14" s="291">
        <f t="shared" si="1"/>
        <v>51.184913242981196</v>
      </c>
    </row>
    <row r="15" spans="2:17" x14ac:dyDescent="0.25">
      <c r="B15" s="60"/>
      <c r="C15" s="802"/>
      <c r="D15" s="59" t="s">
        <v>355</v>
      </c>
      <c r="E15" s="291">
        <f t="shared" ref="E15:P15" si="5">E184+E354+E523</f>
        <v>37.9372939808</v>
      </c>
      <c r="F15" s="291">
        <f t="shared" si="5"/>
        <v>39.632621250749992</v>
      </c>
      <c r="G15" s="291">
        <f t="shared" si="5"/>
        <v>39.950260332875573</v>
      </c>
      <c r="H15" s="291">
        <f t="shared" si="5"/>
        <v>41.151075079477749</v>
      </c>
      <c r="I15" s="291">
        <f t="shared" si="5"/>
        <v>39.66901425747416</v>
      </c>
      <c r="J15" s="291">
        <f t="shared" si="5"/>
        <v>39.917258858049998</v>
      </c>
      <c r="K15" s="291">
        <f t="shared" si="5"/>
        <v>35.513894298500006</v>
      </c>
      <c r="L15" s="291">
        <f t="shared" si="5"/>
        <v>46.158368565980012</v>
      </c>
      <c r="M15" s="291">
        <f t="shared" si="5"/>
        <v>42.274512426749993</v>
      </c>
      <c r="N15" s="291">
        <f t="shared" si="5"/>
        <v>42.487943703649989</v>
      </c>
      <c r="O15" s="291">
        <f t="shared" si="5"/>
        <v>40.1006720739</v>
      </c>
      <c r="P15" s="291">
        <f t="shared" si="5"/>
        <v>42.778758124500001</v>
      </c>
      <c r="Q15" s="291">
        <f t="shared" si="1"/>
        <v>487.57167295270744</v>
      </c>
    </row>
    <row r="16" spans="2:17" x14ac:dyDescent="0.25">
      <c r="B16" s="60"/>
      <c r="C16" s="802"/>
      <c r="D16" s="59" t="s">
        <v>356</v>
      </c>
      <c r="E16" s="291">
        <f t="shared" ref="E16:P16" si="6">E185+E355+E524</f>
        <v>57.68699419859999</v>
      </c>
      <c r="F16" s="291">
        <f t="shared" si="6"/>
        <v>52.789699540049995</v>
      </c>
      <c r="G16" s="291">
        <f t="shared" si="6"/>
        <v>52.107506067473238</v>
      </c>
      <c r="H16" s="291">
        <f t="shared" si="6"/>
        <v>45.416544825200376</v>
      </c>
      <c r="I16" s="291">
        <f t="shared" si="6"/>
        <v>55.788717148683418</v>
      </c>
      <c r="J16" s="291">
        <f t="shared" si="6"/>
        <v>52.887446063200002</v>
      </c>
      <c r="K16" s="291">
        <f t="shared" si="6"/>
        <v>48.495281780399964</v>
      </c>
      <c r="L16" s="291">
        <f t="shared" si="6"/>
        <v>59.009994470404891</v>
      </c>
      <c r="M16" s="291">
        <f t="shared" si="6"/>
        <v>54.928381069300002</v>
      </c>
      <c r="N16" s="291">
        <f t="shared" si="6"/>
        <v>55.851514143049997</v>
      </c>
      <c r="O16" s="291">
        <f t="shared" si="6"/>
        <v>52.973881518699997</v>
      </c>
      <c r="P16" s="291">
        <f t="shared" si="6"/>
        <v>58.332015637799998</v>
      </c>
      <c r="Q16" s="291">
        <f t="shared" si="1"/>
        <v>646.26797646286172</v>
      </c>
    </row>
    <row r="17" spans="2:17" x14ac:dyDescent="0.25">
      <c r="B17" s="60"/>
      <c r="C17" s="802"/>
      <c r="D17" s="59" t="s">
        <v>357</v>
      </c>
      <c r="E17" s="291">
        <f t="shared" ref="E17:P17" si="7">E186+E356+E525</f>
        <v>78.292496927000002</v>
      </c>
      <c r="F17" s="291">
        <f t="shared" si="7"/>
        <v>83.773713139199998</v>
      </c>
      <c r="G17" s="291">
        <f t="shared" si="7"/>
        <v>79.853010813071194</v>
      </c>
      <c r="H17" s="291">
        <f t="shared" si="7"/>
        <v>61.789729583857884</v>
      </c>
      <c r="I17" s="291">
        <f t="shared" si="7"/>
        <v>66.2701174499839</v>
      </c>
      <c r="J17" s="291">
        <f t="shared" si="7"/>
        <v>73.31999197495</v>
      </c>
      <c r="K17" s="291">
        <f t="shared" si="7"/>
        <v>67.271655463549948</v>
      </c>
      <c r="L17" s="291">
        <f t="shared" si="7"/>
        <v>105.92109643302419</v>
      </c>
      <c r="M17" s="291">
        <f t="shared" si="7"/>
        <v>88.682035468050003</v>
      </c>
      <c r="N17" s="291">
        <f t="shared" si="7"/>
        <v>94.135816266399999</v>
      </c>
      <c r="O17" s="291">
        <f t="shared" si="7"/>
        <v>91.674781280549993</v>
      </c>
      <c r="P17" s="291">
        <f t="shared" si="7"/>
        <v>89.978379026699997</v>
      </c>
      <c r="Q17" s="291">
        <f t="shared" si="1"/>
        <v>980.96282382633694</v>
      </c>
    </row>
    <row r="18" spans="2:17" x14ac:dyDescent="0.25">
      <c r="B18" s="60"/>
      <c r="C18" s="802"/>
      <c r="D18" s="59" t="s">
        <v>358</v>
      </c>
      <c r="E18" s="291">
        <f t="shared" ref="E18:P18" si="8">E187+E357+E526</f>
        <v>0</v>
      </c>
      <c r="F18" s="291">
        <f t="shared" si="8"/>
        <v>0</v>
      </c>
      <c r="G18" s="291">
        <f t="shared" si="8"/>
        <v>0</v>
      </c>
      <c r="H18" s="291">
        <f t="shared" si="8"/>
        <v>0</v>
      </c>
      <c r="I18" s="291">
        <f t="shared" si="8"/>
        <v>0</v>
      </c>
      <c r="J18" s="291">
        <f t="shared" si="8"/>
        <v>0</v>
      </c>
      <c r="K18" s="291">
        <f t="shared" si="8"/>
        <v>0</v>
      </c>
      <c r="L18" s="291">
        <f t="shared" si="8"/>
        <v>0</v>
      </c>
      <c r="M18" s="291">
        <f t="shared" si="8"/>
        <v>0</v>
      </c>
      <c r="N18" s="291">
        <f t="shared" si="8"/>
        <v>0</v>
      </c>
      <c r="O18" s="291">
        <f t="shared" si="8"/>
        <v>0</v>
      </c>
      <c r="P18" s="291">
        <f t="shared" si="8"/>
        <v>0</v>
      </c>
      <c r="Q18" s="291">
        <f t="shared" si="1"/>
        <v>0</v>
      </c>
    </row>
    <row r="19" spans="2:17" x14ac:dyDescent="0.25">
      <c r="B19" s="60"/>
      <c r="C19" s="802"/>
      <c r="D19" s="325" t="s">
        <v>620</v>
      </c>
      <c r="E19" s="291">
        <f t="shared" ref="E19:P19" si="9">E188+E358+E527</f>
        <v>0</v>
      </c>
      <c r="F19" s="291">
        <f t="shared" si="9"/>
        <v>0</v>
      </c>
      <c r="G19" s="291">
        <f t="shared" si="9"/>
        <v>0</v>
      </c>
      <c r="H19" s="291">
        <f t="shared" si="9"/>
        <v>0</v>
      </c>
      <c r="I19" s="291">
        <f t="shared" si="9"/>
        <v>0</v>
      </c>
      <c r="J19" s="291">
        <f t="shared" si="9"/>
        <v>0</v>
      </c>
      <c r="K19" s="291">
        <f t="shared" si="9"/>
        <v>0</v>
      </c>
      <c r="L19" s="291">
        <f t="shared" si="9"/>
        <v>0</v>
      </c>
      <c r="M19" s="291">
        <f t="shared" si="9"/>
        <v>0</v>
      </c>
      <c r="N19" s="291">
        <f t="shared" si="9"/>
        <v>0</v>
      </c>
      <c r="O19" s="291">
        <f t="shared" si="9"/>
        <v>0</v>
      </c>
      <c r="P19" s="291">
        <f t="shared" si="9"/>
        <v>0</v>
      </c>
      <c r="Q19" s="291">
        <f t="shared" si="1"/>
        <v>0</v>
      </c>
    </row>
    <row r="20" spans="2:17" x14ac:dyDescent="0.25">
      <c r="B20" s="60"/>
      <c r="C20" s="802"/>
      <c r="D20" s="59"/>
      <c r="E20" s="291">
        <f t="shared" ref="E20:P20" si="10">E189+E359+E528</f>
        <v>0</v>
      </c>
      <c r="F20" s="291">
        <f t="shared" si="10"/>
        <v>0</v>
      </c>
      <c r="G20" s="291">
        <f t="shared" si="10"/>
        <v>0</v>
      </c>
      <c r="H20" s="291">
        <f t="shared" si="10"/>
        <v>0</v>
      </c>
      <c r="I20" s="291">
        <f t="shared" si="10"/>
        <v>0</v>
      </c>
      <c r="J20" s="291">
        <f t="shared" si="10"/>
        <v>0</v>
      </c>
      <c r="K20" s="291">
        <f t="shared" si="10"/>
        <v>0</v>
      </c>
      <c r="L20" s="291">
        <f t="shared" si="10"/>
        <v>0</v>
      </c>
      <c r="M20" s="291">
        <f t="shared" si="10"/>
        <v>0</v>
      </c>
      <c r="N20" s="291">
        <f t="shared" si="10"/>
        <v>0</v>
      </c>
      <c r="O20" s="291">
        <f t="shared" si="10"/>
        <v>0</v>
      </c>
      <c r="P20" s="291">
        <f t="shared" si="10"/>
        <v>0</v>
      </c>
      <c r="Q20" s="291">
        <f t="shared" si="1"/>
        <v>0</v>
      </c>
    </row>
    <row r="21" spans="2:17" x14ac:dyDescent="0.25">
      <c r="B21" s="60"/>
      <c r="C21" s="802"/>
      <c r="D21" s="59"/>
      <c r="E21" s="291">
        <f t="shared" ref="E21:P21" si="11">E190+E360+E529</f>
        <v>0</v>
      </c>
      <c r="F21" s="291">
        <f t="shared" si="11"/>
        <v>0</v>
      </c>
      <c r="G21" s="291">
        <f t="shared" si="11"/>
        <v>0</v>
      </c>
      <c r="H21" s="291">
        <f t="shared" si="11"/>
        <v>0</v>
      </c>
      <c r="I21" s="291">
        <f t="shared" si="11"/>
        <v>0</v>
      </c>
      <c r="J21" s="291">
        <f t="shared" si="11"/>
        <v>0</v>
      </c>
      <c r="K21" s="291">
        <f t="shared" si="11"/>
        <v>0</v>
      </c>
      <c r="L21" s="291">
        <f t="shared" si="11"/>
        <v>0</v>
      </c>
      <c r="M21" s="291">
        <f t="shared" si="11"/>
        <v>0</v>
      </c>
      <c r="N21" s="291">
        <f t="shared" si="11"/>
        <v>0</v>
      </c>
      <c r="O21" s="291">
        <f t="shared" si="11"/>
        <v>0</v>
      </c>
      <c r="P21" s="291">
        <f t="shared" si="11"/>
        <v>0</v>
      </c>
      <c r="Q21" s="291">
        <f t="shared" si="1"/>
        <v>0</v>
      </c>
    </row>
    <row r="22" spans="2:17" x14ac:dyDescent="0.25">
      <c r="B22" s="60"/>
      <c r="C22" s="802"/>
      <c r="D22" s="59"/>
      <c r="E22" s="291">
        <f t="shared" ref="E22:P22" si="12">E191+E361+E530</f>
        <v>0</v>
      </c>
      <c r="F22" s="291">
        <f t="shared" si="12"/>
        <v>0</v>
      </c>
      <c r="G22" s="291">
        <f t="shared" si="12"/>
        <v>0</v>
      </c>
      <c r="H22" s="291">
        <f t="shared" si="12"/>
        <v>0</v>
      </c>
      <c r="I22" s="291">
        <f t="shared" si="12"/>
        <v>0</v>
      </c>
      <c r="J22" s="291">
        <f t="shared" si="12"/>
        <v>0</v>
      </c>
      <c r="K22" s="291">
        <f t="shared" si="12"/>
        <v>0</v>
      </c>
      <c r="L22" s="291">
        <f t="shared" si="12"/>
        <v>0</v>
      </c>
      <c r="M22" s="291">
        <f t="shared" si="12"/>
        <v>0</v>
      </c>
      <c r="N22" s="291">
        <f t="shared" si="12"/>
        <v>0</v>
      </c>
      <c r="O22" s="291">
        <f t="shared" si="12"/>
        <v>0</v>
      </c>
      <c r="P22" s="291">
        <f t="shared" si="12"/>
        <v>0</v>
      </c>
      <c r="Q22" s="291">
        <f t="shared" si="1"/>
        <v>0</v>
      </c>
    </row>
    <row r="23" spans="2:17" x14ac:dyDescent="0.25">
      <c r="B23" s="60"/>
      <c r="C23" s="802"/>
      <c r="D23" s="59"/>
      <c r="E23" s="291">
        <f t="shared" ref="E23:P23" si="13">E192+E362+E531</f>
        <v>0</v>
      </c>
      <c r="F23" s="291">
        <f t="shared" si="13"/>
        <v>0</v>
      </c>
      <c r="G23" s="291">
        <f t="shared" si="13"/>
        <v>0</v>
      </c>
      <c r="H23" s="291">
        <f t="shared" si="13"/>
        <v>0</v>
      </c>
      <c r="I23" s="291">
        <f t="shared" si="13"/>
        <v>0</v>
      </c>
      <c r="J23" s="291">
        <f t="shared" si="13"/>
        <v>0</v>
      </c>
      <c r="K23" s="291">
        <f t="shared" si="13"/>
        <v>0</v>
      </c>
      <c r="L23" s="291">
        <f t="shared" si="13"/>
        <v>0</v>
      </c>
      <c r="M23" s="291">
        <f t="shared" si="13"/>
        <v>0</v>
      </c>
      <c r="N23" s="291">
        <f t="shared" si="13"/>
        <v>0</v>
      </c>
      <c r="O23" s="291">
        <f t="shared" si="13"/>
        <v>0</v>
      </c>
      <c r="P23" s="291">
        <f t="shared" si="13"/>
        <v>0</v>
      </c>
      <c r="Q23" s="291">
        <f t="shared" si="1"/>
        <v>0</v>
      </c>
    </row>
    <row r="24" spans="2:17" x14ac:dyDescent="0.25">
      <c r="B24" s="60"/>
      <c r="C24" s="802"/>
      <c r="D24" s="59"/>
      <c r="E24" s="291">
        <f t="shared" ref="E24:P24" si="14">E193+E363+E532</f>
        <v>0</v>
      </c>
      <c r="F24" s="291">
        <f t="shared" si="14"/>
        <v>0</v>
      </c>
      <c r="G24" s="291">
        <f t="shared" si="14"/>
        <v>0</v>
      </c>
      <c r="H24" s="291">
        <f t="shared" si="14"/>
        <v>0</v>
      </c>
      <c r="I24" s="291">
        <f t="shared" si="14"/>
        <v>0</v>
      </c>
      <c r="J24" s="291">
        <f t="shared" si="14"/>
        <v>0</v>
      </c>
      <c r="K24" s="291">
        <f t="shared" si="14"/>
        <v>0</v>
      </c>
      <c r="L24" s="291">
        <f t="shared" si="14"/>
        <v>0</v>
      </c>
      <c r="M24" s="291">
        <f t="shared" si="14"/>
        <v>0</v>
      </c>
      <c r="N24" s="291">
        <f t="shared" si="14"/>
        <v>0</v>
      </c>
      <c r="O24" s="291">
        <f t="shared" si="14"/>
        <v>0</v>
      </c>
      <c r="P24" s="291">
        <f t="shared" si="14"/>
        <v>0</v>
      </c>
      <c r="Q24" s="291">
        <f t="shared" si="1"/>
        <v>0</v>
      </c>
    </row>
    <row r="25" spans="2:17" x14ac:dyDescent="0.25">
      <c r="B25" s="60"/>
      <c r="C25" s="802"/>
      <c r="D25" s="59"/>
      <c r="E25" s="291">
        <f t="shared" ref="E25:P25" si="15">E194+E364+E533</f>
        <v>0</v>
      </c>
      <c r="F25" s="291">
        <f t="shared" si="15"/>
        <v>0</v>
      </c>
      <c r="G25" s="291">
        <f t="shared" si="15"/>
        <v>0</v>
      </c>
      <c r="H25" s="291">
        <f t="shared" si="15"/>
        <v>0</v>
      </c>
      <c r="I25" s="291">
        <f t="shared" si="15"/>
        <v>0</v>
      </c>
      <c r="J25" s="291">
        <f t="shared" si="15"/>
        <v>0</v>
      </c>
      <c r="K25" s="291">
        <f t="shared" si="15"/>
        <v>0</v>
      </c>
      <c r="L25" s="291">
        <f t="shared" si="15"/>
        <v>0</v>
      </c>
      <c r="M25" s="291">
        <f t="shared" si="15"/>
        <v>0</v>
      </c>
      <c r="N25" s="291">
        <f t="shared" si="15"/>
        <v>0</v>
      </c>
      <c r="O25" s="291">
        <f t="shared" si="15"/>
        <v>0</v>
      </c>
      <c r="P25" s="291">
        <f t="shared" si="15"/>
        <v>0</v>
      </c>
      <c r="Q25" s="291">
        <f t="shared" si="1"/>
        <v>0</v>
      </c>
    </row>
    <row r="26" spans="2:17" x14ac:dyDescent="0.25">
      <c r="B26" s="60"/>
      <c r="C26" s="802"/>
      <c r="D26" s="59"/>
      <c r="E26" s="291">
        <f t="shared" ref="E26:P26" si="16">E195+E365+E534</f>
        <v>0</v>
      </c>
      <c r="F26" s="291">
        <f t="shared" si="16"/>
        <v>0</v>
      </c>
      <c r="G26" s="291">
        <f t="shared" si="16"/>
        <v>0</v>
      </c>
      <c r="H26" s="291">
        <f t="shared" si="16"/>
        <v>0</v>
      </c>
      <c r="I26" s="291">
        <f t="shared" si="16"/>
        <v>0</v>
      </c>
      <c r="J26" s="291">
        <f t="shared" si="16"/>
        <v>0</v>
      </c>
      <c r="K26" s="291">
        <f t="shared" si="16"/>
        <v>0</v>
      </c>
      <c r="L26" s="291">
        <f t="shared" si="16"/>
        <v>0</v>
      </c>
      <c r="M26" s="291">
        <f t="shared" si="16"/>
        <v>0</v>
      </c>
      <c r="N26" s="291">
        <f t="shared" si="16"/>
        <v>0</v>
      </c>
      <c r="O26" s="291">
        <f t="shared" si="16"/>
        <v>0</v>
      </c>
      <c r="P26" s="291">
        <f t="shared" si="16"/>
        <v>0</v>
      </c>
      <c r="Q26" s="291">
        <f t="shared" si="1"/>
        <v>0</v>
      </c>
    </row>
    <row r="27" spans="2:17" x14ac:dyDescent="0.25">
      <c r="B27" s="60"/>
      <c r="C27" s="802"/>
      <c r="D27" s="59"/>
      <c r="E27" s="291">
        <f t="shared" ref="E27:P27" si="17">E196+E366+E535</f>
        <v>0</v>
      </c>
      <c r="F27" s="291">
        <f t="shared" si="17"/>
        <v>0</v>
      </c>
      <c r="G27" s="291">
        <f t="shared" si="17"/>
        <v>0</v>
      </c>
      <c r="H27" s="291">
        <f t="shared" si="17"/>
        <v>0</v>
      </c>
      <c r="I27" s="291">
        <f t="shared" si="17"/>
        <v>0</v>
      </c>
      <c r="J27" s="291">
        <f t="shared" si="17"/>
        <v>0</v>
      </c>
      <c r="K27" s="291">
        <f t="shared" si="17"/>
        <v>0</v>
      </c>
      <c r="L27" s="291">
        <f t="shared" si="17"/>
        <v>0</v>
      </c>
      <c r="M27" s="291">
        <f t="shared" si="17"/>
        <v>0</v>
      </c>
      <c r="N27" s="291">
        <f t="shared" si="17"/>
        <v>0</v>
      </c>
      <c r="O27" s="291">
        <f t="shared" si="17"/>
        <v>0</v>
      </c>
      <c r="P27" s="291">
        <f t="shared" si="17"/>
        <v>0</v>
      </c>
      <c r="Q27" s="291">
        <f t="shared" si="1"/>
        <v>0</v>
      </c>
    </row>
    <row r="28" spans="2:17" x14ac:dyDescent="0.25">
      <c r="B28" s="60"/>
      <c r="C28" s="802"/>
      <c r="D28" s="59"/>
      <c r="E28" s="291">
        <f t="shared" ref="E28:P28" si="18">E197+E367+E536</f>
        <v>0</v>
      </c>
      <c r="F28" s="291">
        <f t="shared" si="18"/>
        <v>0</v>
      </c>
      <c r="G28" s="291">
        <f t="shared" si="18"/>
        <v>0</v>
      </c>
      <c r="H28" s="291">
        <f t="shared" si="18"/>
        <v>0</v>
      </c>
      <c r="I28" s="291">
        <f t="shared" si="18"/>
        <v>0</v>
      </c>
      <c r="J28" s="291">
        <f t="shared" si="18"/>
        <v>0</v>
      </c>
      <c r="K28" s="291">
        <f t="shared" si="18"/>
        <v>0</v>
      </c>
      <c r="L28" s="291">
        <f t="shared" si="18"/>
        <v>0</v>
      </c>
      <c r="M28" s="291">
        <f t="shared" si="18"/>
        <v>0</v>
      </c>
      <c r="N28" s="291">
        <f t="shared" si="18"/>
        <v>0</v>
      </c>
      <c r="O28" s="291">
        <f t="shared" si="18"/>
        <v>0</v>
      </c>
      <c r="P28" s="291">
        <f t="shared" si="18"/>
        <v>0</v>
      </c>
      <c r="Q28" s="291">
        <f t="shared" si="1"/>
        <v>0</v>
      </c>
    </row>
    <row r="29" spans="2:17" x14ac:dyDescent="0.25">
      <c r="C29" s="751" t="s">
        <v>212</v>
      </c>
      <c r="D29" s="751"/>
      <c r="E29" s="329">
        <f t="shared" ref="E29:P29" si="19">SUM(E11:E28)</f>
        <v>348.71753119364996</v>
      </c>
      <c r="F29" s="329">
        <f t="shared" si="19"/>
        <v>352.19838846250002</v>
      </c>
      <c r="G29" s="329">
        <f t="shared" si="19"/>
        <v>354.70423372551477</v>
      </c>
      <c r="H29" s="329">
        <f t="shared" si="19"/>
        <v>338.76263520272255</v>
      </c>
      <c r="I29" s="329">
        <f t="shared" si="19"/>
        <v>335.86248907191407</v>
      </c>
      <c r="J29" s="329">
        <f t="shared" si="19"/>
        <v>326.19802469670003</v>
      </c>
      <c r="K29" s="329">
        <f t="shared" si="19"/>
        <v>293.53232150415005</v>
      </c>
      <c r="L29" s="329">
        <f t="shared" si="19"/>
        <v>392.44350735617081</v>
      </c>
      <c r="M29" s="329">
        <f t="shared" si="19"/>
        <v>359.50068444595001</v>
      </c>
      <c r="N29" s="329">
        <f t="shared" si="19"/>
        <v>373.29559198379997</v>
      </c>
      <c r="O29" s="329">
        <f t="shared" si="19"/>
        <v>353.91567427089996</v>
      </c>
      <c r="P29" s="329">
        <f t="shared" si="19"/>
        <v>365.58970451260001</v>
      </c>
      <c r="Q29" s="329">
        <f t="shared" si="1"/>
        <v>4194.720786426572</v>
      </c>
    </row>
    <row r="30" spans="2:17" x14ac:dyDescent="0.25">
      <c r="C30" s="753" t="s">
        <v>359</v>
      </c>
      <c r="D30" s="753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</row>
    <row r="31" spans="2:17" x14ac:dyDescent="0.25">
      <c r="C31" s="805" t="s">
        <v>350</v>
      </c>
      <c r="D31" s="17" t="s">
        <v>360</v>
      </c>
      <c r="E31" s="291">
        <f t="shared" ref="E31" si="20">E200+E370+E539</f>
        <v>0</v>
      </c>
      <c r="F31" s="291">
        <f t="shared" ref="F31:P31" si="21">F200+F370+F539</f>
        <v>0</v>
      </c>
      <c r="G31" s="291">
        <f t="shared" si="21"/>
        <v>0</v>
      </c>
      <c r="H31" s="291">
        <f t="shared" si="21"/>
        <v>0</v>
      </c>
      <c r="I31" s="291">
        <f t="shared" si="21"/>
        <v>0</v>
      </c>
      <c r="J31" s="291">
        <f t="shared" si="21"/>
        <v>0</v>
      </c>
      <c r="K31" s="291">
        <f t="shared" si="21"/>
        <v>0</v>
      </c>
      <c r="L31" s="291">
        <f t="shared" si="21"/>
        <v>0</v>
      </c>
      <c r="M31" s="291">
        <f t="shared" si="21"/>
        <v>0</v>
      </c>
      <c r="N31" s="291">
        <f t="shared" si="21"/>
        <v>0</v>
      </c>
      <c r="O31" s="291">
        <f t="shared" si="21"/>
        <v>0</v>
      </c>
      <c r="P31" s="291">
        <f t="shared" si="21"/>
        <v>0</v>
      </c>
      <c r="Q31" s="291">
        <f t="shared" ref="Q31:Q49" si="22">SUM(E31:P31)</f>
        <v>0</v>
      </c>
    </row>
    <row r="32" spans="2:17" x14ac:dyDescent="0.25">
      <c r="C32" s="805"/>
      <c r="D32" s="17" t="s">
        <v>361</v>
      </c>
      <c r="E32" s="291">
        <f t="shared" ref="E32:P32" si="23">E201+E371+E540</f>
        <v>0</v>
      </c>
      <c r="F32" s="291">
        <f t="shared" si="23"/>
        <v>0</v>
      </c>
      <c r="G32" s="291">
        <f t="shared" si="23"/>
        <v>0</v>
      </c>
      <c r="H32" s="291">
        <f t="shared" si="23"/>
        <v>0</v>
      </c>
      <c r="I32" s="291">
        <f t="shared" si="23"/>
        <v>0</v>
      </c>
      <c r="J32" s="291">
        <f t="shared" si="23"/>
        <v>0</v>
      </c>
      <c r="K32" s="291">
        <f t="shared" si="23"/>
        <v>0</v>
      </c>
      <c r="L32" s="291">
        <f t="shared" si="23"/>
        <v>0</v>
      </c>
      <c r="M32" s="291">
        <f t="shared" si="23"/>
        <v>0</v>
      </c>
      <c r="N32" s="291">
        <f t="shared" si="23"/>
        <v>0</v>
      </c>
      <c r="O32" s="291">
        <f t="shared" si="23"/>
        <v>0</v>
      </c>
      <c r="P32" s="291">
        <f t="shared" si="23"/>
        <v>0</v>
      </c>
      <c r="Q32" s="291">
        <f t="shared" si="22"/>
        <v>0</v>
      </c>
    </row>
    <row r="33" spans="3:17" x14ac:dyDescent="0.25">
      <c r="C33" s="805"/>
      <c r="D33" s="17" t="s">
        <v>362</v>
      </c>
      <c r="E33" s="291">
        <f t="shared" ref="E33:P33" si="24">E202+E372+E541</f>
        <v>0</v>
      </c>
      <c r="F33" s="291">
        <f t="shared" si="24"/>
        <v>0</v>
      </c>
      <c r="G33" s="291">
        <f t="shared" si="24"/>
        <v>0</v>
      </c>
      <c r="H33" s="291">
        <f t="shared" si="24"/>
        <v>0</v>
      </c>
      <c r="I33" s="291">
        <f t="shared" si="24"/>
        <v>0</v>
      </c>
      <c r="J33" s="291">
        <f t="shared" si="24"/>
        <v>0</v>
      </c>
      <c r="K33" s="291">
        <f t="shared" si="24"/>
        <v>0</v>
      </c>
      <c r="L33" s="291">
        <f t="shared" si="24"/>
        <v>0</v>
      </c>
      <c r="M33" s="291">
        <f t="shared" si="24"/>
        <v>0</v>
      </c>
      <c r="N33" s="291">
        <f t="shared" si="24"/>
        <v>0</v>
      </c>
      <c r="O33" s="291">
        <f t="shared" si="24"/>
        <v>0</v>
      </c>
      <c r="P33" s="291">
        <f t="shared" si="24"/>
        <v>0</v>
      </c>
      <c r="Q33" s="291">
        <f t="shared" si="22"/>
        <v>0</v>
      </c>
    </row>
    <row r="34" spans="3:17" x14ac:dyDescent="0.25">
      <c r="C34" s="805"/>
      <c r="D34" s="17" t="s">
        <v>363</v>
      </c>
      <c r="E34" s="291">
        <f t="shared" ref="E34:P34" si="25">E203+E373+E542</f>
        <v>0</v>
      </c>
      <c r="F34" s="291">
        <f t="shared" si="25"/>
        <v>0</v>
      </c>
      <c r="G34" s="291">
        <f t="shared" si="25"/>
        <v>0</v>
      </c>
      <c r="H34" s="291">
        <f t="shared" si="25"/>
        <v>0</v>
      </c>
      <c r="I34" s="291">
        <f t="shared" si="25"/>
        <v>0</v>
      </c>
      <c r="J34" s="291">
        <f t="shared" si="25"/>
        <v>0</v>
      </c>
      <c r="K34" s="291">
        <f t="shared" si="25"/>
        <v>0</v>
      </c>
      <c r="L34" s="291">
        <f t="shared" si="25"/>
        <v>0</v>
      </c>
      <c r="M34" s="291">
        <f t="shared" si="25"/>
        <v>0</v>
      </c>
      <c r="N34" s="291">
        <f t="shared" si="25"/>
        <v>0</v>
      </c>
      <c r="O34" s="291">
        <f t="shared" si="25"/>
        <v>0</v>
      </c>
      <c r="P34" s="291">
        <f t="shared" si="25"/>
        <v>0</v>
      </c>
      <c r="Q34" s="291">
        <f t="shared" si="22"/>
        <v>0</v>
      </c>
    </row>
    <row r="35" spans="3:17" x14ac:dyDescent="0.25">
      <c r="C35" s="805"/>
      <c r="D35" s="17" t="s">
        <v>364</v>
      </c>
      <c r="E35" s="291">
        <f t="shared" ref="E35:P35" si="26">E204+E374+E543</f>
        <v>0</v>
      </c>
      <c r="F35" s="291">
        <f t="shared" si="26"/>
        <v>0</v>
      </c>
      <c r="G35" s="291">
        <f t="shared" si="26"/>
        <v>0</v>
      </c>
      <c r="H35" s="291">
        <f t="shared" si="26"/>
        <v>0</v>
      </c>
      <c r="I35" s="291">
        <f t="shared" si="26"/>
        <v>0</v>
      </c>
      <c r="J35" s="291">
        <f t="shared" si="26"/>
        <v>0</v>
      </c>
      <c r="K35" s="291">
        <f t="shared" si="26"/>
        <v>0</v>
      </c>
      <c r="L35" s="291">
        <f t="shared" si="26"/>
        <v>0</v>
      </c>
      <c r="M35" s="291">
        <f t="shared" si="26"/>
        <v>0</v>
      </c>
      <c r="N35" s="291">
        <f t="shared" si="26"/>
        <v>0</v>
      </c>
      <c r="O35" s="291">
        <f t="shared" si="26"/>
        <v>0</v>
      </c>
      <c r="P35" s="291">
        <f t="shared" si="26"/>
        <v>0</v>
      </c>
      <c r="Q35" s="291">
        <f t="shared" si="22"/>
        <v>0</v>
      </c>
    </row>
    <row r="36" spans="3:17" x14ac:dyDescent="0.25">
      <c r="C36" s="805"/>
      <c r="D36" s="17" t="s">
        <v>365</v>
      </c>
      <c r="E36" s="291">
        <f t="shared" ref="E36:P36" si="27">E205+E375+E544</f>
        <v>0</v>
      </c>
      <c r="F36" s="291">
        <f t="shared" si="27"/>
        <v>0</v>
      </c>
      <c r="G36" s="291">
        <f t="shared" si="27"/>
        <v>0</v>
      </c>
      <c r="H36" s="291">
        <f t="shared" si="27"/>
        <v>0</v>
      </c>
      <c r="I36" s="291">
        <f t="shared" si="27"/>
        <v>0</v>
      </c>
      <c r="J36" s="291">
        <f t="shared" si="27"/>
        <v>0</v>
      </c>
      <c r="K36" s="291">
        <f t="shared" si="27"/>
        <v>0</v>
      </c>
      <c r="L36" s="291">
        <f t="shared" si="27"/>
        <v>0</v>
      </c>
      <c r="M36" s="291">
        <f t="shared" si="27"/>
        <v>0</v>
      </c>
      <c r="N36" s="291">
        <f t="shared" si="27"/>
        <v>0</v>
      </c>
      <c r="O36" s="291">
        <f t="shared" si="27"/>
        <v>0</v>
      </c>
      <c r="P36" s="291">
        <f t="shared" si="27"/>
        <v>0</v>
      </c>
      <c r="Q36" s="291">
        <f t="shared" si="22"/>
        <v>0</v>
      </c>
    </row>
    <row r="37" spans="3:17" x14ac:dyDescent="0.25">
      <c r="C37" s="805"/>
      <c r="D37" s="17" t="s">
        <v>366</v>
      </c>
      <c r="E37" s="291">
        <f t="shared" ref="E37:P37" si="28">E206+E376+E545</f>
        <v>0</v>
      </c>
      <c r="F37" s="291">
        <f t="shared" si="28"/>
        <v>0</v>
      </c>
      <c r="G37" s="291">
        <f t="shared" si="28"/>
        <v>0</v>
      </c>
      <c r="H37" s="291">
        <f t="shared" si="28"/>
        <v>0</v>
      </c>
      <c r="I37" s="291">
        <f t="shared" si="28"/>
        <v>0</v>
      </c>
      <c r="J37" s="291">
        <f t="shared" si="28"/>
        <v>0</v>
      </c>
      <c r="K37" s="291">
        <f t="shared" si="28"/>
        <v>0</v>
      </c>
      <c r="L37" s="291">
        <f t="shared" si="28"/>
        <v>0</v>
      </c>
      <c r="M37" s="291">
        <f t="shared" si="28"/>
        <v>0</v>
      </c>
      <c r="N37" s="291">
        <f t="shared" si="28"/>
        <v>0</v>
      </c>
      <c r="O37" s="291">
        <f t="shared" si="28"/>
        <v>0</v>
      </c>
      <c r="P37" s="291">
        <f t="shared" si="28"/>
        <v>0</v>
      </c>
      <c r="Q37" s="291">
        <f t="shared" si="22"/>
        <v>0</v>
      </c>
    </row>
    <row r="38" spans="3:17" x14ac:dyDescent="0.25">
      <c r="C38" s="805"/>
      <c r="D38" s="17" t="s">
        <v>367</v>
      </c>
      <c r="E38" s="291">
        <f t="shared" ref="E38:P38" si="29">E207+E377+E546</f>
        <v>0</v>
      </c>
      <c r="F38" s="291">
        <f t="shared" si="29"/>
        <v>0</v>
      </c>
      <c r="G38" s="291">
        <f t="shared" si="29"/>
        <v>0</v>
      </c>
      <c r="H38" s="291">
        <f t="shared" si="29"/>
        <v>0</v>
      </c>
      <c r="I38" s="291">
        <f t="shared" si="29"/>
        <v>0</v>
      </c>
      <c r="J38" s="291">
        <f t="shared" si="29"/>
        <v>0</v>
      </c>
      <c r="K38" s="291">
        <f t="shared" si="29"/>
        <v>0</v>
      </c>
      <c r="L38" s="291">
        <f t="shared" si="29"/>
        <v>0</v>
      </c>
      <c r="M38" s="291">
        <f t="shared" si="29"/>
        <v>0</v>
      </c>
      <c r="N38" s="291">
        <f t="shared" si="29"/>
        <v>0</v>
      </c>
      <c r="O38" s="291">
        <f t="shared" si="29"/>
        <v>0</v>
      </c>
      <c r="P38" s="291">
        <f t="shared" si="29"/>
        <v>0</v>
      </c>
      <c r="Q38" s="291">
        <f t="shared" si="22"/>
        <v>0</v>
      </c>
    </row>
    <row r="39" spans="3:17" x14ac:dyDescent="0.25">
      <c r="C39" s="805"/>
      <c r="E39" s="291">
        <f t="shared" ref="E39:P39" si="30">E208+E378+E547</f>
        <v>0</v>
      </c>
      <c r="F39" s="291">
        <f t="shared" si="30"/>
        <v>0</v>
      </c>
      <c r="G39" s="291">
        <f t="shared" si="30"/>
        <v>0</v>
      </c>
      <c r="H39" s="291">
        <f t="shared" si="30"/>
        <v>0</v>
      </c>
      <c r="I39" s="291">
        <f t="shared" si="30"/>
        <v>0</v>
      </c>
      <c r="J39" s="291">
        <f t="shared" si="30"/>
        <v>0</v>
      </c>
      <c r="K39" s="291">
        <f t="shared" si="30"/>
        <v>0</v>
      </c>
      <c r="L39" s="291">
        <f t="shared" si="30"/>
        <v>0</v>
      </c>
      <c r="M39" s="291">
        <f t="shared" si="30"/>
        <v>0</v>
      </c>
      <c r="N39" s="291">
        <f t="shared" si="30"/>
        <v>0</v>
      </c>
      <c r="O39" s="291">
        <f t="shared" si="30"/>
        <v>0</v>
      </c>
      <c r="P39" s="291">
        <f t="shared" si="30"/>
        <v>0</v>
      </c>
      <c r="Q39" s="291">
        <f t="shared" si="22"/>
        <v>0</v>
      </c>
    </row>
    <row r="40" spans="3:17" x14ac:dyDescent="0.25">
      <c r="C40" s="805"/>
      <c r="D40" s="325" t="s">
        <v>621</v>
      </c>
      <c r="E40" s="291">
        <f t="shared" ref="E40:P40" si="31">E209+E379+E548</f>
        <v>28.666630000000001</v>
      </c>
      <c r="F40" s="291">
        <f t="shared" si="31"/>
        <v>28.666630000000001</v>
      </c>
      <c r="G40" s="291">
        <f t="shared" si="31"/>
        <v>28.666630000000001</v>
      </c>
      <c r="H40" s="291">
        <f t="shared" si="31"/>
        <v>28.666630000000001</v>
      </c>
      <c r="I40" s="291">
        <f t="shared" si="31"/>
        <v>28.666630000000001</v>
      </c>
      <c r="J40" s="291">
        <f t="shared" si="31"/>
        <v>28.666630000000001</v>
      </c>
      <c r="K40" s="291">
        <f t="shared" si="31"/>
        <v>28.666630000000001</v>
      </c>
      <c r="L40" s="291">
        <f t="shared" si="31"/>
        <v>28.666630000000001</v>
      </c>
      <c r="M40" s="291">
        <f t="shared" si="31"/>
        <v>28.666630000000001</v>
      </c>
      <c r="N40" s="291">
        <f t="shared" si="31"/>
        <v>28.666630000000001</v>
      </c>
      <c r="O40" s="291">
        <f t="shared" si="31"/>
        <v>28.666630000000001</v>
      </c>
      <c r="P40" s="291">
        <f t="shared" si="31"/>
        <v>28.666630000000001</v>
      </c>
      <c r="Q40" s="291">
        <f t="shared" si="22"/>
        <v>343.99956000000003</v>
      </c>
    </row>
    <row r="41" spans="3:17" x14ac:dyDescent="0.25">
      <c r="C41" s="805"/>
      <c r="D41" s="327"/>
      <c r="E41" s="291">
        <f t="shared" ref="E41:P41" si="32">E210+E380+E549</f>
        <v>0</v>
      </c>
      <c r="F41" s="291">
        <f t="shared" si="32"/>
        <v>0</v>
      </c>
      <c r="G41" s="291">
        <f t="shared" si="32"/>
        <v>0</v>
      </c>
      <c r="H41" s="291">
        <f t="shared" si="32"/>
        <v>0</v>
      </c>
      <c r="I41" s="291">
        <f t="shared" si="32"/>
        <v>0</v>
      </c>
      <c r="J41" s="291">
        <f t="shared" si="32"/>
        <v>0</v>
      </c>
      <c r="K41" s="291">
        <f t="shared" si="32"/>
        <v>0</v>
      </c>
      <c r="L41" s="291">
        <f t="shared" si="32"/>
        <v>0</v>
      </c>
      <c r="M41" s="291">
        <f t="shared" si="32"/>
        <v>0</v>
      </c>
      <c r="N41" s="291">
        <f t="shared" si="32"/>
        <v>0</v>
      </c>
      <c r="O41" s="291">
        <f t="shared" si="32"/>
        <v>0</v>
      </c>
      <c r="P41" s="291">
        <f t="shared" si="32"/>
        <v>0</v>
      </c>
      <c r="Q41" s="291">
        <f t="shared" si="22"/>
        <v>0</v>
      </c>
    </row>
    <row r="42" spans="3:17" x14ac:dyDescent="0.25">
      <c r="C42" s="805"/>
      <c r="D42" s="17" t="s">
        <v>651</v>
      </c>
      <c r="E42" s="291">
        <f t="shared" ref="E42:P42" si="33">E211+E381+E550</f>
        <v>32.165903541666665</v>
      </c>
      <c r="F42" s="291">
        <f t="shared" si="33"/>
        <v>32.165903541666665</v>
      </c>
      <c r="G42" s="291">
        <f t="shared" si="33"/>
        <v>32.165903541666665</v>
      </c>
      <c r="H42" s="291">
        <f t="shared" si="33"/>
        <v>32.165903541666665</v>
      </c>
      <c r="I42" s="291">
        <f t="shared" si="33"/>
        <v>32.165903541666665</v>
      </c>
      <c r="J42" s="291">
        <f t="shared" si="33"/>
        <v>32.165903541666665</v>
      </c>
      <c r="K42" s="291">
        <f t="shared" si="33"/>
        <v>32.165903541666665</v>
      </c>
      <c r="L42" s="291">
        <f t="shared" si="33"/>
        <v>32.165903541666665</v>
      </c>
      <c r="M42" s="291">
        <f t="shared" si="33"/>
        <v>32.165903541666665</v>
      </c>
      <c r="N42" s="291">
        <f t="shared" si="33"/>
        <v>32.165903541666665</v>
      </c>
      <c r="O42" s="291">
        <f t="shared" si="33"/>
        <v>32.165903541666665</v>
      </c>
      <c r="P42" s="291">
        <f t="shared" si="33"/>
        <v>32.165903541666665</v>
      </c>
      <c r="Q42" s="291">
        <f t="shared" si="22"/>
        <v>385.9908425000001</v>
      </c>
    </row>
    <row r="43" spans="3:17" x14ac:dyDescent="0.25">
      <c r="C43" s="805"/>
      <c r="D43" s="17"/>
      <c r="E43" s="291">
        <f t="shared" ref="E43:P43" si="34">E212+E382+E551</f>
        <v>0</v>
      </c>
      <c r="F43" s="291">
        <f t="shared" si="34"/>
        <v>0</v>
      </c>
      <c r="G43" s="291">
        <f t="shared" si="34"/>
        <v>0</v>
      </c>
      <c r="H43" s="291">
        <f t="shared" si="34"/>
        <v>0</v>
      </c>
      <c r="I43" s="291">
        <f t="shared" si="34"/>
        <v>0</v>
      </c>
      <c r="J43" s="291">
        <f t="shared" si="34"/>
        <v>0</v>
      </c>
      <c r="K43" s="291">
        <f t="shared" si="34"/>
        <v>0</v>
      </c>
      <c r="L43" s="291">
        <f t="shared" si="34"/>
        <v>0</v>
      </c>
      <c r="M43" s="291">
        <f t="shared" si="34"/>
        <v>0</v>
      </c>
      <c r="N43" s="291">
        <f t="shared" si="34"/>
        <v>0</v>
      </c>
      <c r="O43" s="291">
        <f t="shared" si="34"/>
        <v>0</v>
      </c>
      <c r="P43" s="291">
        <f t="shared" si="34"/>
        <v>0</v>
      </c>
      <c r="Q43" s="291">
        <f t="shared" si="22"/>
        <v>0</v>
      </c>
    </row>
    <row r="44" spans="3:17" x14ac:dyDescent="0.25">
      <c r="C44" s="805"/>
      <c r="D44" s="17"/>
      <c r="E44" s="291">
        <f t="shared" ref="E44:P44" si="35">E213+E383+E552</f>
        <v>0</v>
      </c>
      <c r="F44" s="291">
        <f t="shared" si="35"/>
        <v>0</v>
      </c>
      <c r="G44" s="291">
        <f t="shared" si="35"/>
        <v>0</v>
      </c>
      <c r="H44" s="291">
        <f t="shared" si="35"/>
        <v>0</v>
      </c>
      <c r="I44" s="291">
        <f t="shared" si="35"/>
        <v>0</v>
      </c>
      <c r="J44" s="291">
        <f t="shared" si="35"/>
        <v>0</v>
      </c>
      <c r="K44" s="291">
        <f t="shared" si="35"/>
        <v>0</v>
      </c>
      <c r="L44" s="291">
        <f t="shared" si="35"/>
        <v>0</v>
      </c>
      <c r="M44" s="291">
        <f t="shared" si="35"/>
        <v>0</v>
      </c>
      <c r="N44" s="291">
        <f t="shared" si="35"/>
        <v>0</v>
      </c>
      <c r="O44" s="291">
        <f t="shared" si="35"/>
        <v>0</v>
      </c>
      <c r="P44" s="291">
        <f t="shared" si="35"/>
        <v>0</v>
      </c>
      <c r="Q44" s="291">
        <f t="shared" si="22"/>
        <v>0</v>
      </c>
    </row>
    <row r="45" spans="3:17" x14ac:dyDescent="0.25">
      <c r="C45" s="805"/>
      <c r="D45" s="17"/>
      <c r="E45" s="291">
        <f t="shared" ref="E45:P45" si="36">E214+E384+E553</f>
        <v>0</v>
      </c>
      <c r="F45" s="291">
        <f t="shared" si="36"/>
        <v>0</v>
      </c>
      <c r="G45" s="291">
        <f t="shared" si="36"/>
        <v>0</v>
      </c>
      <c r="H45" s="291">
        <f t="shared" si="36"/>
        <v>0</v>
      </c>
      <c r="I45" s="291">
        <f t="shared" si="36"/>
        <v>0</v>
      </c>
      <c r="J45" s="291">
        <f t="shared" si="36"/>
        <v>0</v>
      </c>
      <c r="K45" s="291">
        <f t="shared" si="36"/>
        <v>0</v>
      </c>
      <c r="L45" s="291">
        <f t="shared" si="36"/>
        <v>0</v>
      </c>
      <c r="M45" s="291">
        <f t="shared" si="36"/>
        <v>0</v>
      </c>
      <c r="N45" s="291">
        <f t="shared" si="36"/>
        <v>0</v>
      </c>
      <c r="O45" s="291">
        <f t="shared" si="36"/>
        <v>0</v>
      </c>
      <c r="P45" s="291">
        <f t="shared" si="36"/>
        <v>0</v>
      </c>
      <c r="Q45" s="291">
        <f t="shared" si="22"/>
        <v>0</v>
      </c>
    </row>
    <row r="46" spans="3:17" x14ac:dyDescent="0.25">
      <c r="C46" s="805"/>
      <c r="D46" s="17"/>
      <c r="E46" s="291">
        <f t="shared" ref="E46:P46" si="37">E215+E385+E554</f>
        <v>0</v>
      </c>
      <c r="F46" s="291">
        <f t="shared" si="37"/>
        <v>0</v>
      </c>
      <c r="G46" s="291">
        <f t="shared" si="37"/>
        <v>0</v>
      </c>
      <c r="H46" s="291">
        <f t="shared" si="37"/>
        <v>0</v>
      </c>
      <c r="I46" s="291">
        <f t="shared" si="37"/>
        <v>0</v>
      </c>
      <c r="J46" s="291">
        <f t="shared" si="37"/>
        <v>0</v>
      </c>
      <c r="K46" s="291">
        <f t="shared" si="37"/>
        <v>0</v>
      </c>
      <c r="L46" s="291">
        <f t="shared" si="37"/>
        <v>0</v>
      </c>
      <c r="M46" s="291">
        <f t="shared" si="37"/>
        <v>0</v>
      </c>
      <c r="N46" s="291">
        <f t="shared" si="37"/>
        <v>0</v>
      </c>
      <c r="O46" s="291">
        <f t="shared" si="37"/>
        <v>0</v>
      </c>
      <c r="P46" s="291">
        <f t="shared" si="37"/>
        <v>0</v>
      </c>
      <c r="Q46" s="291">
        <f t="shared" si="22"/>
        <v>0</v>
      </c>
    </row>
    <row r="47" spans="3:17" x14ac:dyDescent="0.25">
      <c r="C47" s="805"/>
      <c r="D47" s="107"/>
      <c r="E47" s="291">
        <f t="shared" ref="E47:P47" si="38">E216+E386+E555</f>
        <v>0</v>
      </c>
      <c r="F47" s="291">
        <f t="shared" si="38"/>
        <v>0</v>
      </c>
      <c r="G47" s="291">
        <f t="shared" si="38"/>
        <v>0</v>
      </c>
      <c r="H47" s="291">
        <f t="shared" si="38"/>
        <v>0</v>
      </c>
      <c r="I47" s="291">
        <f t="shared" si="38"/>
        <v>0</v>
      </c>
      <c r="J47" s="291">
        <f t="shared" si="38"/>
        <v>0</v>
      </c>
      <c r="K47" s="291">
        <f t="shared" si="38"/>
        <v>0</v>
      </c>
      <c r="L47" s="291">
        <f t="shared" si="38"/>
        <v>0</v>
      </c>
      <c r="M47" s="291">
        <f t="shared" si="38"/>
        <v>0</v>
      </c>
      <c r="N47" s="291">
        <f t="shared" si="38"/>
        <v>0</v>
      </c>
      <c r="O47" s="291">
        <f t="shared" si="38"/>
        <v>0</v>
      </c>
      <c r="P47" s="291">
        <f t="shared" si="38"/>
        <v>0</v>
      </c>
      <c r="Q47" s="291">
        <f t="shared" si="22"/>
        <v>0</v>
      </c>
    </row>
    <row r="48" spans="3:17" x14ac:dyDescent="0.25">
      <c r="C48" s="751" t="s">
        <v>212</v>
      </c>
      <c r="D48" s="751"/>
      <c r="E48" s="329">
        <f t="shared" ref="E48:P48" si="39">SUM(E31:E47)</f>
        <v>60.832533541666663</v>
      </c>
      <c r="F48" s="329">
        <f t="shared" si="39"/>
        <v>60.832533541666663</v>
      </c>
      <c r="G48" s="329">
        <f t="shared" si="39"/>
        <v>60.832533541666663</v>
      </c>
      <c r="H48" s="329">
        <f t="shared" si="39"/>
        <v>60.832533541666663</v>
      </c>
      <c r="I48" s="329">
        <f t="shared" si="39"/>
        <v>60.832533541666663</v>
      </c>
      <c r="J48" s="329">
        <f t="shared" si="39"/>
        <v>60.832533541666663</v>
      </c>
      <c r="K48" s="329">
        <f t="shared" si="39"/>
        <v>60.832533541666663</v>
      </c>
      <c r="L48" s="329">
        <f t="shared" si="39"/>
        <v>60.832533541666663</v>
      </c>
      <c r="M48" s="329">
        <f t="shared" si="39"/>
        <v>60.832533541666663</v>
      </c>
      <c r="N48" s="329">
        <f t="shared" si="39"/>
        <v>60.832533541666663</v>
      </c>
      <c r="O48" s="329">
        <f t="shared" si="39"/>
        <v>60.832533541666663</v>
      </c>
      <c r="P48" s="329">
        <f t="shared" si="39"/>
        <v>60.832533541666663</v>
      </c>
      <c r="Q48" s="329">
        <f t="shared" si="22"/>
        <v>729.99040249999973</v>
      </c>
    </row>
    <row r="49" spans="3:17" x14ac:dyDescent="0.25">
      <c r="C49" s="753" t="s">
        <v>368</v>
      </c>
      <c r="D49" s="753"/>
      <c r="E49" s="329">
        <f t="shared" ref="E49:P49" si="40">E29+E48</f>
        <v>409.5500647353166</v>
      </c>
      <c r="F49" s="329">
        <f t="shared" si="40"/>
        <v>413.03092200416665</v>
      </c>
      <c r="G49" s="329">
        <f t="shared" si="40"/>
        <v>415.5367672671814</v>
      </c>
      <c r="H49" s="329">
        <f t="shared" si="40"/>
        <v>399.59516874438918</v>
      </c>
      <c r="I49" s="329">
        <f t="shared" si="40"/>
        <v>396.6950226135807</v>
      </c>
      <c r="J49" s="329">
        <f t="shared" si="40"/>
        <v>387.03055823836667</v>
      </c>
      <c r="K49" s="329">
        <f t="shared" si="40"/>
        <v>354.36485504581674</v>
      </c>
      <c r="L49" s="329">
        <f t="shared" si="40"/>
        <v>453.27604089783745</v>
      </c>
      <c r="M49" s="329">
        <f t="shared" si="40"/>
        <v>420.33321798761665</v>
      </c>
      <c r="N49" s="329">
        <f t="shared" si="40"/>
        <v>434.12812552546666</v>
      </c>
      <c r="O49" s="329">
        <f t="shared" si="40"/>
        <v>414.74820781256665</v>
      </c>
      <c r="P49" s="329">
        <f t="shared" si="40"/>
        <v>426.4222380542667</v>
      </c>
      <c r="Q49" s="336">
        <f t="shared" si="22"/>
        <v>4924.7111889265725</v>
      </c>
    </row>
    <row r="50" spans="3:17" x14ac:dyDescent="0.25">
      <c r="C50" s="800" t="s">
        <v>369</v>
      </c>
      <c r="D50" s="800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</row>
    <row r="51" spans="3:17" x14ac:dyDescent="0.25">
      <c r="C51" s="753" t="s">
        <v>349</v>
      </c>
      <c r="D51" s="753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</row>
    <row r="52" spans="3:17" x14ac:dyDescent="0.25">
      <c r="C52" s="805" t="s">
        <v>370</v>
      </c>
      <c r="D52" s="17" t="s">
        <v>371</v>
      </c>
      <c r="E52" s="291">
        <f t="shared" ref="E52:F76" si="41">E221+E391+E561</f>
        <v>23.559898042333003</v>
      </c>
      <c r="F52" s="291">
        <f t="shared" si="41"/>
        <v>21.654849368409195</v>
      </c>
      <c r="G52" s="291">
        <f t="shared" ref="G52:P52" si="42">G221+G391+G561</f>
        <v>19.562311867513902</v>
      </c>
      <c r="H52" s="291">
        <f t="shared" si="42"/>
        <v>43.394609656612751</v>
      </c>
      <c r="I52" s="291">
        <f t="shared" si="42"/>
        <v>26.27947040703225</v>
      </c>
      <c r="J52" s="291">
        <f t="shared" si="42"/>
        <v>16.063862909099999</v>
      </c>
      <c r="K52" s="291">
        <f t="shared" si="42"/>
        <v>22.039750793387501</v>
      </c>
      <c r="L52" s="291">
        <f t="shared" si="42"/>
        <v>26.144544420910329</v>
      </c>
      <c r="M52" s="291">
        <f t="shared" si="42"/>
        <v>23.747510906297371</v>
      </c>
      <c r="N52" s="291">
        <f t="shared" si="42"/>
        <v>24.431215666865306</v>
      </c>
      <c r="O52" s="291">
        <f t="shared" si="42"/>
        <v>22.930271465981313</v>
      </c>
      <c r="P52" s="291">
        <f t="shared" si="42"/>
        <v>25.910798731536659</v>
      </c>
      <c r="Q52" s="291">
        <f t="shared" ref="Q52:Q77" si="43">SUM(E52:P52)</f>
        <v>295.71909423597958</v>
      </c>
    </row>
    <row r="53" spans="3:17" x14ac:dyDescent="0.25">
      <c r="C53" s="805"/>
      <c r="D53" s="17" t="s">
        <v>372</v>
      </c>
      <c r="E53" s="291">
        <f t="shared" si="41"/>
        <v>5.5309843913338499</v>
      </c>
      <c r="F53" s="291">
        <f t="shared" si="41"/>
        <v>5.4485795728884998</v>
      </c>
      <c r="G53" s="291">
        <f t="shared" ref="G53:P53" si="44">G222+G392+G562</f>
        <v>6.5564873062439997</v>
      </c>
      <c r="H53" s="291">
        <f t="shared" si="44"/>
        <v>6.5536118633155001</v>
      </c>
      <c r="I53" s="291">
        <f t="shared" si="44"/>
        <v>7.5016908342161992</v>
      </c>
      <c r="J53" s="291">
        <f t="shared" si="44"/>
        <v>6.1161060857000002</v>
      </c>
      <c r="K53" s="291">
        <f t="shared" si="44"/>
        <v>6.3867449673131498</v>
      </c>
      <c r="L53" s="291">
        <f t="shared" si="44"/>
        <v>6.9994535516236693</v>
      </c>
      <c r="M53" s="291">
        <f t="shared" si="44"/>
        <v>4.9096210299227296</v>
      </c>
      <c r="N53" s="291">
        <f t="shared" si="44"/>
        <v>5.9855317167048501</v>
      </c>
      <c r="O53" s="291">
        <f t="shared" si="44"/>
        <v>6.1060784876100369</v>
      </c>
      <c r="P53" s="291">
        <f t="shared" si="44"/>
        <v>5.9729938284469775</v>
      </c>
      <c r="Q53" s="291">
        <f t="shared" si="43"/>
        <v>74.067883635319461</v>
      </c>
    </row>
    <row r="54" spans="3:17" x14ac:dyDescent="0.25">
      <c r="C54" s="805"/>
      <c r="D54" s="17" t="s">
        <v>373</v>
      </c>
      <c r="E54" s="291">
        <f t="shared" si="41"/>
        <v>23.489951835849599</v>
      </c>
      <c r="F54" s="291">
        <f t="shared" si="41"/>
        <v>10.965769024642899</v>
      </c>
      <c r="G54" s="291">
        <f t="shared" ref="G54:P54" si="45">G223+G393+G563</f>
        <v>10.339508584076199</v>
      </c>
      <c r="H54" s="291">
        <f t="shared" si="45"/>
        <v>11.252810396986249</v>
      </c>
      <c r="I54" s="291">
        <f t="shared" si="45"/>
        <v>10.023663790223001</v>
      </c>
      <c r="J54" s="291">
        <f t="shared" si="45"/>
        <v>9.9622672212500003</v>
      </c>
      <c r="K54" s="291">
        <f t="shared" si="45"/>
        <v>12.783749967616949</v>
      </c>
      <c r="L54" s="291">
        <f t="shared" si="45"/>
        <v>11.017434242612511</v>
      </c>
      <c r="M54" s="291">
        <f t="shared" si="45"/>
        <v>11.102091929269083</v>
      </c>
      <c r="N54" s="291">
        <f t="shared" si="45"/>
        <v>11.054270158184995</v>
      </c>
      <c r="O54" s="291">
        <f t="shared" si="45"/>
        <v>10.982516051581136</v>
      </c>
      <c r="P54" s="291">
        <f t="shared" si="45"/>
        <v>11.156965805451929</v>
      </c>
      <c r="Q54" s="291">
        <f t="shared" si="43"/>
        <v>144.13099900774455</v>
      </c>
    </row>
    <row r="55" spans="3:17" x14ac:dyDescent="0.25">
      <c r="C55" s="805"/>
      <c r="D55" s="17" t="s">
        <v>374</v>
      </c>
      <c r="E55" s="291">
        <f t="shared" si="41"/>
        <v>39.490494403378001</v>
      </c>
      <c r="F55" s="291">
        <f t="shared" si="41"/>
        <v>39.600342139444997</v>
      </c>
      <c r="G55" s="291">
        <f t="shared" ref="G55:P55" si="46">G224+G394+G564</f>
        <v>46.947371700897747</v>
      </c>
      <c r="H55" s="291">
        <f t="shared" si="46"/>
        <v>47.582196321885505</v>
      </c>
      <c r="I55" s="291">
        <f t="shared" si="46"/>
        <v>44.637615031501298</v>
      </c>
      <c r="J55" s="291">
        <f t="shared" si="46"/>
        <v>40.217459553449999</v>
      </c>
      <c r="K55" s="291">
        <f t="shared" si="46"/>
        <v>44.788299193586397</v>
      </c>
      <c r="L55" s="291">
        <f t="shared" si="46"/>
        <v>35.227821872355591</v>
      </c>
      <c r="M55" s="291">
        <f t="shared" si="46"/>
        <v>27.563987317527531</v>
      </c>
      <c r="N55" s="291">
        <f t="shared" si="46"/>
        <v>47.574215976217239</v>
      </c>
      <c r="O55" s="291">
        <f t="shared" si="46"/>
        <v>49.057166387910087</v>
      </c>
      <c r="P55" s="291">
        <f t="shared" si="46"/>
        <v>49.273161459130272</v>
      </c>
      <c r="Q55" s="291">
        <f t="shared" si="43"/>
        <v>511.96013135728469</v>
      </c>
    </row>
    <row r="56" spans="3:17" x14ac:dyDescent="0.25">
      <c r="C56" s="805"/>
      <c r="D56" s="17" t="s">
        <v>375</v>
      </c>
      <c r="E56" s="291">
        <f t="shared" si="41"/>
        <v>21.891091513849751</v>
      </c>
      <c r="F56" s="291">
        <f t="shared" si="41"/>
        <v>20.0630295796018</v>
      </c>
      <c r="G56" s="291">
        <f t="shared" ref="G56:P56" si="47">G225+G395+G565</f>
        <v>21.825669103224499</v>
      </c>
      <c r="H56" s="291">
        <f t="shared" si="47"/>
        <v>14.766907400182799</v>
      </c>
      <c r="I56" s="291">
        <f t="shared" si="47"/>
        <v>20.407020204501251</v>
      </c>
      <c r="J56" s="291">
        <f t="shared" si="47"/>
        <v>21.324492495699999</v>
      </c>
      <c r="K56" s="291">
        <f t="shared" si="47"/>
        <v>20.726004735124747</v>
      </c>
      <c r="L56" s="291">
        <f t="shared" si="47"/>
        <v>23.402114677585843</v>
      </c>
      <c r="M56" s="291">
        <f t="shared" si="47"/>
        <v>24.937567239060659</v>
      </c>
      <c r="N56" s="291">
        <f t="shared" si="47"/>
        <v>25.614556874716186</v>
      </c>
      <c r="O56" s="291">
        <f t="shared" si="47"/>
        <v>23.10281923834944</v>
      </c>
      <c r="P56" s="291">
        <f t="shared" si="47"/>
        <v>24.168893474371185</v>
      </c>
      <c r="Q56" s="291">
        <f t="shared" si="43"/>
        <v>262.23016653626814</v>
      </c>
    </row>
    <row r="57" spans="3:17" ht="14.25" customHeight="1" x14ac:dyDescent="0.25">
      <c r="C57" s="805"/>
      <c r="D57" s="17" t="s">
        <v>376</v>
      </c>
      <c r="E57" s="291">
        <f t="shared" si="41"/>
        <v>12.843184251460649</v>
      </c>
      <c r="F57" s="291">
        <f t="shared" si="41"/>
        <v>17.089034103038649</v>
      </c>
      <c r="G57" s="291">
        <f t="shared" ref="G57:P57" si="48">G226+G396+G566</f>
        <v>23.130376956045502</v>
      </c>
      <c r="H57" s="291">
        <f t="shared" si="48"/>
        <v>16.114338332899401</v>
      </c>
      <c r="I57" s="291">
        <f t="shared" si="48"/>
        <v>23.220990501039449</v>
      </c>
      <c r="J57" s="291">
        <f t="shared" si="48"/>
        <v>22.792274694050001</v>
      </c>
      <c r="K57" s="291">
        <f t="shared" si="48"/>
        <v>26.042914215450001</v>
      </c>
      <c r="L57" s="291">
        <f t="shared" si="48"/>
        <v>7.1003647134269343</v>
      </c>
      <c r="M57" s="291">
        <f t="shared" si="48"/>
        <v>15.783935500997332</v>
      </c>
      <c r="N57" s="291">
        <f t="shared" si="48"/>
        <v>25.028632599864103</v>
      </c>
      <c r="O57" s="291">
        <f t="shared" si="48"/>
        <v>16.431254156714555</v>
      </c>
      <c r="P57" s="291">
        <f t="shared" si="48"/>
        <v>13.621550691778873</v>
      </c>
      <c r="Q57" s="291">
        <f t="shared" si="43"/>
        <v>219.19885071676543</v>
      </c>
    </row>
    <row r="58" spans="3:17" x14ac:dyDescent="0.25">
      <c r="C58" s="805"/>
      <c r="D58" s="17" t="s">
        <v>377</v>
      </c>
      <c r="E58" s="291">
        <f t="shared" si="41"/>
        <v>15.2109318324</v>
      </c>
      <c r="F58" s="291">
        <f t="shared" si="41"/>
        <v>13.024566777399999</v>
      </c>
      <c r="G58" s="291">
        <f t="shared" ref="G58:P58" si="49">G227+G397+G567</f>
        <v>23.237547149649998</v>
      </c>
      <c r="H58" s="291">
        <f t="shared" si="49"/>
        <v>18.878468951573726</v>
      </c>
      <c r="I58" s="291">
        <f t="shared" si="49"/>
        <v>20.084140030105409</v>
      </c>
      <c r="J58" s="291">
        <f t="shared" si="49"/>
        <v>28.003149553395964</v>
      </c>
      <c r="K58" s="291">
        <f t="shared" si="49"/>
        <v>23.537508622699999</v>
      </c>
      <c r="L58" s="291">
        <f t="shared" si="49"/>
        <v>25.418731890749999</v>
      </c>
      <c r="M58" s="291">
        <f t="shared" si="49"/>
        <v>19.28931670215</v>
      </c>
      <c r="N58" s="291">
        <f t="shared" si="49"/>
        <v>17.37141130925</v>
      </c>
      <c r="O58" s="291">
        <f t="shared" si="49"/>
        <v>17.359508797250001</v>
      </c>
      <c r="P58" s="291">
        <f t="shared" si="49"/>
        <v>16.602797555699997</v>
      </c>
      <c r="Q58" s="291">
        <f t="shared" si="43"/>
        <v>238.01807917232506</v>
      </c>
    </row>
    <row r="59" spans="3:17" x14ac:dyDescent="0.25">
      <c r="C59" s="805"/>
      <c r="D59" s="17" t="s">
        <v>378</v>
      </c>
      <c r="E59" s="291">
        <f t="shared" si="41"/>
        <v>4.3568341641585002</v>
      </c>
      <c r="F59" s="291">
        <f t="shared" si="41"/>
        <v>3.7110404137280004</v>
      </c>
      <c r="G59" s="291">
        <f t="shared" ref="G59:P59" si="50">G228+G398+G568</f>
        <v>4.0251516670220004</v>
      </c>
      <c r="H59" s="291">
        <f t="shared" si="50"/>
        <v>3.6045747462889999</v>
      </c>
      <c r="I59" s="291">
        <f t="shared" si="50"/>
        <v>4.7799804754685002</v>
      </c>
      <c r="J59" s="291">
        <f t="shared" si="50"/>
        <v>4.0438884002100002</v>
      </c>
      <c r="K59" s="291">
        <f t="shared" si="50"/>
        <v>3.6196528650414996</v>
      </c>
      <c r="L59" s="291">
        <f t="shared" si="50"/>
        <v>3.3902649614584996</v>
      </c>
      <c r="M59" s="291">
        <f t="shared" si="50"/>
        <v>3.8409978187174998</v>
      </c>
      <c r="N59" s="291">
        <f t="shared" si="50"/>
        <v>4.3489835256964993</v>
      </c>
      <c r="O59" s="291">
        <f t="shared" si="50"/>
        <v>5.3957083241052635</v>
      </c>
      <c r="P59" s="291">
        <f t="shared" si="50"/>
        <v>6.1862985047264996</v>
      </c>
      <c r="Q59" s="291">
        <f t="shared" si="43"/>
        <v>51.303375866621764</v>
      </c>
    </row>
    <row r="60" spans="3:17" x14ac:dyDescent="0.25">
      <c r="C60" s="805"/>
      <c r="D60" s="17" t="s">
        <v>379</v>
      </c>
      <c r="E60" s="291">
        <f t="shared" si="41"/>
        <v>0</v>
      </c>
      <c r="F60" s="291">
        <f t="shared" si="41"/>
        <v>0</v>
      </c>
      <c r="G60" s="291">
        <f t="shared" ref="G60:P60" si="51">G229+G399+G569</f>
        <v>0</v>
      </c>
      <c r="H60" s="291">
        <f t="shared" si="51"/>
        <v>0</v>
      </c>
      <c r="I60" s="291">
        <f t="shared" si="51"/>
        <v>0</v>
      </c>
      <c r="J60" s="291">
        <f t="shared" si="51"/>
        <v>0.95090881179999998</v>
      </c>
      <c r="K60" s="291">
        <f t="shared" si="51"/>
        <v>85.614777842424999</v>
      </c>
      <c r="L60" s="291">
        <f t="shared" si="51"/>
        <v>41.826660970604308</v>
      </c>
      <c r="M60" s="291">
        <f t="shared" si="51"/>
        <v>40.827336113649828</v>
      </c>
      <c r="N60" s="291">
        <f t="shared" si="51"/>
        <v>59.575166896461617</v>
      </c>
      <c r="O60" s="291">
        <f t="shared" si="51"/>
        <v>63.898418159825368</v>
      </c>
      <c r="P60" s="291">
        <f t="shared" si="51"/>
        <v>113.30042289388673</v>
      </c>
      <c r="Q60" s="291">
        <f t="shared" si="43"/>
        <v>405.99369168865286</v>
      </c>
    </row>
    <row r="61" spans="3:17" x14ac:dyDescent="0.25">
      <c r="C61" s="17"/>
      <c r="D61" s="17" t="s">
        <v>380</v>
      </c>
      <c r="E61" s="291">
        <f t="shared" si="41"/>
        <v>0.29158794223435441</v>
      </c>
      <c r="F61" s="291">
        <f t="shared" si="41"/>
        <v>8.6422383498920397</v>
      </c>
      <c r="G61" s="291">
        <f t="shared" ref="G61:P61" si="52">G230+G400+G570</f>
        <v>0.28980805765875001</v>
      </c>
      <c r="H61" s="291">
        <f t="shared" si="52"/>
        <v>7.4779351523201445</v>
      </c>
      <c r="I61" s="291">
        <f t="shared" si="52"/>
        <v>0.21256429463929999</v>
      </c>
      <c r="J61" s="291">
        <f t="shared" si="52"/>
        <v>0.4244436486</v>
      </c>
      <c r="K61" s="291">
        <f t="shared" si="52"/>
        <v>0.35932477187663614</v>
      </c>
      <c r="L61" s="291">
        <f t="shared" si="52"/>
        <v>0.19604461481989999</v>
      </c>
      <c r="M61" s="291">
        <f t="shared" si="52"/>
        <v>2.1831180597394</v>
      </c>
      <c r="N61" s="291">
        <f t="shared" si="52"/>
        <v>0.35924070064109992</v>
      </c>
      <c r="O61" s="291">
        <f t="shared" si="52"/>
        <v>0.3162214300799</v>
      </c>
      <c r="P61" s="291">
        <f t="shared" si="52"/>
        <v>0.3731179117291592</v>
      </c>
      <c r="Q61" s="291">
        <f t="shared" si="43"/>
        <v>21.125644934230682</v>
      </c>
    </row>
    <row r="62" spans="3:17" x14ac:dyDescent="0.25">
      <c r="C62" s="17"/>
      <c r="D62" s="17" t="s">
        <v>381</v>
      </c>
      <c r="E62" s="291">
        <f t="shared" si="41"/>
        <v>0.29507630704999999</v>
      </c>
      <c r="F62" s="291">
        <f t="shared" si="41"/>
        <v>0.1129344180512751</v>
      </c>
      <c r="G62" s="291">
        <f t="shared" ref="G62:P62" si="53">G231+G401+G571</f>
        <v>0.12700750250647316</v>
      </c>
      <c r="H62" s="291">
        <f t="shared" si="53"/>
        <v>10.974464281175392</v>
      </c>
      <c r="I62" s="291">
        <f t="shared" si="53"/>
        <v>0.29333575314999999</v>
      </c>
      <c r="J62" s="291">
        <f t="shared" si="53"/>
        <v>0.3998829643995</v>
      </c>
      <c r="K62" s="291">
        <f t="shared" si="53"/>
        <v>0.38949856216368373</v>
      </c>
      <c r="L62" s="291">
        <f t="shared" si="53"/>
        <v>9.4191176405849925E-2</v>
      </c>
      <c r="M62" s="291">
        <f t="shared" si="53"/>
        <v>0.17361305709615005</v>
      </c>
      <c r="N62" s="291">
        <f t="shared" si="53"/>
        <v>0.33568775746960955</v>
      </c>
      <c r="O62" s="291">
        <f t="shared" si="53"/>
        <v>0.30360700430712184</v>
      </c>
      <c r="P62" s="291">
        <f t="shared" si="53"/>
        <v>0.38455960636750003</v>
      </c>
      <c r="Q62" s="291">
        <f t="shared" si="43"/>
        <v>13.883858390142555</v>
      </c>
    </row>
    <row r="63" spans="3:17" x14ac:dyDescent="0.25">
      <c r="C63" s="17"/>
      <c r="D63" s="17" t="s">
        <v>382</v>
      </c>
      <c r="E63" s="291">
        <f t="shared" si="41"/>
        <v>5.0573411477556256</v>
      </c>
      <c r="F63" s="291">
        <f t="shared" si="41"/>
        <v>4.4314951341709996</v>
      </c>
      <c r="G63" s="291">
        <f t="shared" ref="G63:P63" si="54">G232+G402+G572</f>
        <v>5.0032032469155858</v>
      </c>
      <c r="H63" s="291">
        <f t="shared" si="54"/>
        <v>12.679016312900472</v>
      </c>
      <c r="I63" s="291">
        <f t="shared" si="54"/>
        <v>3.5870327297692524</v>
      </c>
      <c r="J63" s="291">
        <f t="shared" si="54"/>
        <v>2.9255922438499997</v>
      </c>
      <c r="K63" s="291">
        <f t="shared" si="54"/>
        <v>4.5887466551499996</v>
      </c>
      <c r="L63" s="291">
        <f t="shared" si="54"/>
        <v>4.7703859502499997</v>
      </c>
      <c r="M63" s="291">
        <f t="shared" si="54"/>
        <v>5.4604511375915994</v>
      </c>
      <c r="N63" s="291">
        <f t="shared" si="54"/>
        <v>5.6272137218308709</v>
      </c>
      <c r="O63" s="291">
        <f t="shared" si="54"/>
        <v>4.0764836414201744</v>
      </c>
      <c r="P63" s="291">
        <f t="shared" si="54"/>
        <v>5.329369276295</v>
      </c>
      <c r="Q63" s="291">
        <f t="shared" si="43"/>
        <v>63.536331197899578</v>
      </c>
    </row>
    <row r="64" spans="3:17" x14ac:dyDescent="0.25">
      <c r="C64" s="17"/>
      <c r="D64" s="17" t="s">
        <v>383</v>
      </c>
      <c r="E64" s="291">
        <f t="shared" si="41"/>
        <v>0.38399282232840004</v>
      </c>
      <c r="F64" s="291">
        <f t="shared" si="41"/>
        <v>0.30110949769013345</v>
      </c>
      <c r="G64" s="291">
        <f t="shared" ref="G64:P64" si="55">G233+G403+G573</f>
        <v>0.26314671394049999</v>
      </c>
      <c r="H64" s="291">
        <f t="shared" si="55"/>
        <v>0.78262486838183876</v>
      </c>
      <c r="I64" s="291">
        <f t="shared" si="55"/>
        <v>0.36699238810439999</v>
      </c>
      <c r="J64" s="291">
        <f t="shared" si="55"/>
        <v>0.52234298218150821</v>
      </c>
      <c r="K64" s="291">
        <f t="shared" si="55"/>
        <v>0.35505195397983003</v>
      </c>
      <c r="L64" s="291">
        <f t="shared" si="55"/>
        <v>0.24273421814829998</v>
      </c>
      <c r="M64" s="291">
        <f t="shared" si="55"/>
        <v>0.23840574326009997</v>
      </c>
      <c r="N64" s="291">
        <f t="shared" si="55"/>
        <v>0.53397463595770012</v>
      </c>
      <c r="O64" s="291">
        <f t="shared" si="55"/>
        <v>0.40047355199009993</v>
      </c>
      <c r="P64" s="291">
        <f t="shared" si="55"/>
        <v>0.41291414187729997</v>
      </c>
      <c r="Q64" s="291">
        <f t="shared" si="43"/>
        <v>4.8037635178401104</v>
      </c>
    </row>
    <row r="65" spans="3:17" x14ac:dyDescent="0.25">
      <c r="C65" s="17"/>
      <c r="D65" s="17" t="s">
        <v>384</v>
      </c>
      <c r="E65" s="291">
        <f t="shared" si="41"/>
        <v>0.41368311154165793</v>
      </c>
      <c r="F65" s="291">
        <f t="shared" si="41"/>
        <v>0.27651950122859997</v>
      </c>
      <c r="G65" s="291">
        <f t="shared" ref="G65:P65" si="56">G234+G404+G574</f>
        <v>0.304488812715</v>
      </c>
      <c r="H65" s="291">
        <f t="shared" si="56"/>
        <v>0.54962932098841222</v>
      </c>
      <c r="I65" s="291">
        <f t="shared" si="56"/>
        <v>0.20469170609099999</v>
      </c>
      <c r="J65" s="291">
        <f t="shared" si="56"/>
        <v>0.42346731219559086</v>
      </c>
      <c r="K65" s="291">
        <f t="shared" si="56"/>
        <v>0.32069474316539487</v>
      </c>
      <c r="L65" s="291">
        <f t="shared" si="56"/>
        <v>0.37459826635005</v>
      </c>
      <c r="M65" s="291">
        <f t="shared" si="56"/>
        <v>0.22695653181514996</v>
      </c>
      <c r="N65" s="291">
        <f t="shared" si="56"/>
        <v>0.30212254350000001</v>
      </c>
      <c r="O65" s="291">
        <f t="shared" si="56"/>
        <v>0.20566566284686078</v>
      </c>
      <c r="P65" s="291">
        <f t="shared" si="56"/>
        <v>0.32179983370700005</v>
      </c>
      <c r="Q65" s="291">
        <f t="shared" si="43"/>
        <v>3.9243173461447167</v>
      </c>
    </row>
    <row r="66" spans="3:17" x14ac:dyDescent="0.25">
      <c r="C66" s="17"/>
      <c r="D66" s="17" t="s">
        <v>385</v>
      </c>
      <c r="E66" s="291">
        <f t="shared" si="41"/>
        <v>9.1193628317319995</v>
      </c>
      <c r="F66" s="291">
        <f t="shared" si="41"/>
        <v>7.0193968607163004</v>
      </c>
      <c r="G66" s="291">
        <f t="shared" ref="G66:P66" si="57">G235+G405+G575</f>
        <v>8.4710256240999993</v>
      </c>
      <c r="H66" s="291">
        <f t="shared" si="57"/>
        <v>10.397477593657584</v>
      </c>
      <c r="I66" s="291">
        <f t="shared" si="57"/>
        <v>8.6137762494847401</v>
      </c>
      <c r="J66" s="291">
        <f t="shared" si="57"/>
        <v>6.7951824741499998</v>
      </c>
      <c r="K66" s="291">
        <f t="shared" si="57"/>
        <v>7.1229405809412087</v>
      </c>
      <c r="L66" s="291">
        <f t="shared" si="57"/>
        <v>4.3001053450879994</v>
      </c>
      <c r="M66" s="291">
        <f t="shared" si="57"/>
        <v>4.8724255374315</v>
      </c>
      <c r="N66" s="291">
        <f t="shared" si="57"/>
        <v>3.2817080837398862</v>
      </c>
      <c r="O66" s="291">
        <f t="shared" si="57"/>
        <v>3.5628320567167</v>
      </c>
      <c r="P66" s="291">
        <f t="shared" si="57"/>
        <v>4.1234974487849998</v>
      </c>
      <c r="Q66" s="291">
        <f t="shared" si="43"/>
        <v>77.679730686542925</v>
      </c>
    </row>
    <row r="67" spans="3:17" x14ac:dyDescent="0.25">
      <c r="C67" s="17"/>
      <c r="D67" s="17" t="s">
        <v>386</v>
      </c>
      <c r="E67" s="291">
        <f t="shared" si="41"/>
        <v>11.481838628749999</v>
      </c>
      <c r="F67" s="291">
        <f t="shared" si="41"/>
        <v>8.3352425116999989</v>
      </c>
      <c r="G67" s="291">
        <f t="shared" ref="G67:P67" si="58">G236+G406+G576</f>
        <v>12.451750965852749</v>
      </c>
      <c r="H67" s="291">
        <f t="shared" si="58"/>
        <v>7.9701892645696848</v>
      </c>
      <c r="I67" s="291">
        <f t="shared" si="58"/>
        <v>6.7494812820879986</v>
      </c>
      <c r="J67" s="291">
        <f t="shared" si="58"/>
        <v>11.553577036462372</v>
      </c>
      <c r="K67" s="291">
        <f t="shared" si="58"/>
        <v>14.534534514724687</v>
      </c>
      <c r="L67" s="291">
        <f t="shared" si="58"/>
        <v>8.2856730374000005</v>
      </c>
      <c r="M67" s="291">
        <f t="shared" si="58"/>
        <v>6.762670453669573</v>
      </c>
      <c r="N67" s="291">
        <f t="shared" si="58"/>
        <v>8.6340173513914991</v>
      </c>
      <c r="O67" s="291">
        <f t="shared" si="58"/>
        <v>8.6798633338216007</v>
      </c>
      <c r="P67" s="291">
        <f t="shared" si="58"/>
        <v>10.92801919278175</v>
      </c>
      <c r="Q67" s="291">
        <f t="shared" si="43"/>
        <v>116.3668575732119</v>
      </c>
    </row>
    <row r="68" spans="3:17" x14ac:dyDescent="0.25">
      <c r="C68" s="17"/>
      <c r="D68" s="328" t="s">
        <v>438</v>
      </c>
      <c r="E68" s="291">
        <f t="shared" si="41"/>
        <v>0</v>
      </c>
      <c r="F68" s="291">
        <f t="shared" si="41"/>
        <v>0</v>
      </c>
      <c r="G68" s="291">
        <f t="shared" ref="G68:P68" si="59">G237+G407+G577</f>
        <v>2.1872435102149999E-2</v>
      </c>
      <c r="H68" s="291">
        <f t="shared" si="59"/>
        <v>-2.4296249999999996E-5</v>
      </c>
      <c r="I68" s="291">
        <f t="shared" si="59"/>
        <v>1.4616624E-3</v>
      </c>
      <c r="J68" s="291">
        <f t="shared" si="59"/>
        <v>1.6041415E-4</v>
      </c>
      <c r="K68" s="291">
        <f t="shared" si="59"/>
        <v>1.5746915E-4</v>
      </c>
      <c r="L68" s="291">
        <f t="shared" si="59"/>
        <v>1.6109149999999999E-4</v>
      </c>
      <c r="M68" s="291">
        <f t="shared" si="59"/>
        <v>-2.5179749999999999E-5</v>
      </c>
      <c r="N68" s="291">
        <f t="shared" si="59"/>
        <v>4.4734549999999993E-5</v>
      </c>
      <c r="O68" s="291">
        <f t="shared" si="59"/>
        <v>2.9273299999999999E-4</v>
      </c>
      <c r="P68" s="291">
        <f t="shared" si="59"/>
        <v>-1.116155E-4</v>
      </c>
      <c r="Q68" s="291">
        <f t="shared" si="43"/>
        <v>2.398944835215E-2</v>
      </c>
    </row>
    <row r="69" spans="3:17" x14ac:dyDescent="0.25">
      <c r="C69" s="17"/>
      <c r="D69" s="328" t="s">
        <v>439</v>
      </c>
      <c r="E69" s="291">
        <f t="shared" si="41"/>
        <v>0</v>
      </c>
      <c r="F69" s="291">
        <f t="shared" si="41"/>
        <v>0</v>
      </c>
      <c r="G69" s="291">
        <f t="shared" ref="G69:P69" si="60">G238+G408+G578</f>
        <v>0.16912440451199998</v>
      </c>
      <c r="H69" s="291">
        <f t="shared" si="60"/>
        <v>-5.6087524999999994E-4</v>
      </c>
      <c r="I69" s="291">
        <f t="shared" si="60"/>
        <v>7.342179499999999E-4</v>
      </c>
      <c r="J69" s="291">
        <f t="shared" si="60"/>
        <v>-1.4812466499999999E-3</v>
      </c>
      <c r="K69" s="291">
        <f t="shared" si="60"/>
        <v>2.6781240999999996E-3</v>
      </c>
      <c r="L69" s="291">
        <f t="shared" si="60"/>
        <v>-7.6113525E-4</v>
      </c>
      <c r="M69" s="291">
        <f t="shared" si="60"/>
        <v>1.6341804999999999E-4</v>
      </c>
      <c r="N69" s="291">
        <f t="shared" si="60"/>
        <v>0</v>
      </c>
      <c r="O69" s="291">
        <f t="shared" si="60"/>
        <v>-4.79496065E-3</v>
      </c>
      <c r="P69" s="291">
        <f t="shared" si="60"/>
        <v>-1.7988059999999998E-4</v>
      </c>
      <c r="Q69" s="291">
        <f t="shared" si="43"/>
        <v>0.16492206621200001</v>
      </c>
    </row>
    <row r="70" spans="3:17" x14ac:dyDescent="0.25">
      <c r="C70" s="17"/>
      <c r="D70" s="327" t="s">
        <v>441</v>
      </c>
      <c r="E70" s="291">
        <f t="shared" si="41"/>
        <v>0</v>
      </c>
      <c r="F70" s="291">
        <f t="shared" si="41"/>
        <v>3.0478393999999999E-2</v>
      </c>
      <c r="G70" s="291">
        <f t="shared" ref="G70:P70" si="61">G239+G409+G579</f>
        <v>5.8016499999999998E-6</v>
      </c>
      <c r="H70" s="291">
        <f t="shared" si="61"/>
        <v>1.9289749999999999E-5</v>
      </c>
      <c r="I70" s="291">
        <f t="shared" si="61"/>
        <v>2.6139819999999999E-4</v>
      </c>
      <c r="J70" s="291">
        <f t="shared" si="61"/>
        <v>-2.2835529999999999E-4</v>
      </c>
      <c r="K70" s="291">
        <f t="shared" si="61"/>
        <v>7.5333099999999985E-5</v>
      </c>
      <c r="L70" s="291">
        <f t="shared" si="61"/>
        <v>6.15505E-5</v>
      </c>
      <c r="M70" s="291">
        <f t="shared" si="61"/>
        <v>5.5395449999999992E-5</v>
      </c>
      <c r="N70" s="291">
        <f t="shared" si="61"/>
        <v>1.0292775E-4</v>
      </c>
      <c r="O70" s="291">
        <f t="shared" si="61"/>
        <v>-3.7489849999999998E-5</v>
      </c>
      <c r="P70" s="291">
        <f t="shared" si="61"/>
        <v>4.3438749999999998E-5</v>
      </c>
      <c r="Q70" s="291">
        <f t="shared" si="43"/>
        <v>3.0837683999999997E-2</v>
      </c>
    </row>
    <row r="71" spans="3:17" x14ac:dyDescent="0.25">
      <c r="C71" s="17"/>
      <c r="D71" s="327" t="s">
        <v>442</v>
      </c>
      <c r="E71" s="291">
        <f t="shared" si="41"/>
        <v>0</v>
      </c>
      <c r="F71" s="291">
        <f t="shared" si="41"/>
        <v>7.9870962150000002E-2</v>
      </c>
      <c r="G71" s="291">
        <f t="shared" ref="G71:P71" si="62">G240+G410+G580</f>
        <v>2.13807E-5</v>
      </c>
      <c r="H71" s="291">
        <f t="shared" si="62"/>
        <v>-1.387095E-5</v>
      </c>
      <c r="I71" s="291">
        <f t="shared" si="62"/>
        <v>0</v>
      </c>
      <c r="J71" s="291">
        <f t="shared" si="62"/>
        <v>0</v>
      </c>
      <c r="K71" s="291">
        <f t="shared" si="62"/>
        <v>0</v>
      </c>
      <c r="L71" s="291">
        <f t="shared" si="62"/>
        <v>0</v>
      </c>
      <c r="M71" s="291">
        <f t="shared" si="62"/>
        <v>-2.7352865499999999E-3</v>
      </c>
      <c r="N71" s="291">
        <f t="shared" si="62"/>
        <v>1.3107606E-3</v>
      </c>
      <c r="O71" s="291">
        <f t="shared" si="62"/>
        <v>0</v>
      </c>
      <c r="P71" s="291">
        <f t="shared" si="62"/>
        <v>0.41031757884549996</v>
      </c>
      <c r="Q71" s="291">
        <f t="shared" si="43"/>
        <v>0.48877152479550001</v>
      </c>
    </row>
    <row r="72" spans="3:17" x14ac:dyDescent="0.25">
      <c r="C72" s="17"/>
      <c r="D72" s="328" t="s">
        <v>443</v>
      </c>
      <c r="E72" s="291">
        <f t="shared" si="41"/>
        <v>0</v>
      </c>
      <c r="F72" s="291">
        <f t="shared" si="41"/>
        <v>0</v>
      </c>
      <c r="G72" s="291">
        <f t="shared" ref="G72:P72" si="63">G241+G411+G581</f>
        <v>0</v>
      </c>
      <c r="H72" s="291">
        <f t="shared" si="63"/>
        <v>0</v>
      </c>
      <c r="I72" s="291">
        <f t="shared" si="63"/>
        <v>0</v>
      </c>
      <c r="J72" s="291">
        <f t="shared" si="63"/>
        <v>1.1012532999999998E-3</v>
      </c>
      <c r="K72" s="291">
        <f t="shared" si="63"/>
        <v>1.0549520099999999E-2</v>
      </c>
      <c r="L72" s="291">
        <f t="shared" si="63"/>
        <v>-1.8359129999999998E-4</v>
      </c>
      <c r="M72" s="291">
        <f t="shared" si="63"/>
        <v>0</v>
      </c>
      <c r="N72" s="291">
        <f t="shared" si="63"/>
        <v>0</v>
      </c>
      <c r="O72" s="291">
        <f t="shared" si="63"/>
        <v>3.3601271999999997E-3</v>
      </c>
      <c r="P72" s="291">
        <f t="shared" si="63"/>
        <v>-1.434215E-3</v>
      </c>
      <c r="Q72" s="291">
        <f t="shared" si="43"/>
        <v>1.3393094300000002E-2</v>
      </c>
    </row>
    <row r="73" spans="3:17" x14ac:dyDescent="0.25">
      <c r="C73" s="17"/>
      <c r="D73" s="328" t="s">
        <v>444</v>
      </c>
      <c r="E73" s="291">
        <f t="shared" si="41"/>
        <v>0</v>
      </c>
      <c r="F73" s="291">
        <f t="shared" si="41"/>
        <v>0</v>
      </c>
      <c r="G73" s="291">
        <f t="shared" ref="G73:P73" si="64">G242+G412+G582</f>
        <v>0</v>
      </c>
      <c r="H73" s="291">
        <f t="shared" si="64"/>
        <v>0</v>
      </c>
      <c r="I73" s="291">
        <f t="shared" si="64"/>
        <v>0</v>
      </c>
      <c r="J73" s="291">
        <f t="shared" si="64"/>
        <v>2.4737999999999999E-6</v>
      </c>
      <c r="K73" s="291">
        <f t="shared" si="64"/>
        <v>0</v>
      </c>
      <c r="L73" s="291">
        <f t="shared" si="64"/>
        <v>0</v>
      </c>
      <c r="M73" s="291">
        <f t="shared" si="64"/>
        <v>-1.7669999999999999E-7</v>
      </c>
      <c r="N73" s="291">
        <f t="shared" si="64"/>
        <v>-1.7669999999999999E-7</v>
      </c>
      <c r="O73" s="291">
        <f t="shared" si="64"/>
        <v>-8.3637999999999994E-6</v>
      </c>
      <c r="P73" s="291">
        <f t="shared" si="64"/>
        <v>-8.8349999999999994E-8</v>
      </c>
      <c r="Q73" s="291">
        <f t="shared" si="43"/>
        <v>-6.3317499999999991E-6</v>
      </c>
    </row>
    <row r="74" spans="3:17" x14ac:dyDescent="0.25">
      <c r="C74" s="17"/>
      <c r="D74" s="325" t="s">
        <v>625</v>
      </c>
      <c r="E74" s="291">
        <f t="shared" si="41"/>
        <v>0</v>
      </c>
      <c r="F74" s="291">
        <f t="shared" si="41"/>
        <v>0</v>
      </c>
      <c r="G74" s="291">
        <f t="shared" ref="G74:P74" si="65">G243+G413+G583</f>
        <v>0</v>
      </c>
      <c r="H74" s="291">
        <f t="shared" si="65"/>
        <v>0</v>
      </c>
      <c r="I74" s="291">
        <f t="shared" si="65"/>
        <v>0</v>
      </c>
      <c r="J74" s="291">
        <f t="shared" si="65"/>
        <v>0</v>
      </c>
      <c r="K74" s="291">
        <f t="shared" si="65"/>
        <v>0</v>
      </c>
      <c r="L74" s="291">
        <f t="shared" si="65"/>
        <v>0</v>
      </c>
      <c r="M74" s="291">
        <f t="shared" si="65"/>
        <v>0</v>
      </c>
      <c r="N74" s="291">
        <f t="shared" si="65"/>
        <v>0</v>
      </c>
      <c r="O74" s="291">
        <f t="shared" si="65"/>
        <v>0</v>
      </c>
      <c r="P74" s="291">
        <f t="shared" si="65"/>
        <v>0</v>
      </c>
      <c r="Q74" s="291">
        <f t="shared" si="43"/>
        <v>0</v>
      </c>
    </row>
    <row r="75" spans="3:17" x14ac:dyDescent="0.25">
      <c r="C75" s="17"/>
      <c r="D75" s="17"/>
      <c r="E75" s="291">
        <f t="shared" si="41"/>
        <v>0</v>
      </c>
      <c r="F75" s="291">
        <f t="shared" si="41"/>
        <v>0</v>
      </c>
      <c r="G75" s="291">
        <f t="shared" ref="G75:P75" si="66">G244+G414+G584</f>
        <v>0</v>
      </c>
      <c r="H75" s="291">
        <f t="shared" si="66"/>
        <v>0</v>
      </c>
      <c r="I75" s="291">
        <f t="shared" si="66"/>
        <v>0</v>
      </c>
      <c r="J75" s="291">
        <f t="shared" si="66"/>
        <v>0</v>
      </c>
      <c r="K75" s="291">
        <f t="shared" si="66"/>
        <v>0</v>
      </c>
      <c r="L75" s="291">
        <f t="shared" si="66"/>
        <v>0</v>
      </c>
      <c r="M75" s="291">
        <f t="shared" si="66"/>
        <v>0</v>
      </c>
      <c r="N75" s="291">
        <f t="shared" si="66"/>
        <v>0</v>
      </c>
      <c r="O75" s="291">
        <f t="shared" si="66"/>
        <v>0</v>
      </c>
      <c r="P75" s="291">
        <f t="shared" si="66"/>
        <v>0</v>
      </c>
      <c r="Q75" s="291">
        <f t="shared" si="43"/>
        <v>0</v>
      </c>
    </row>
    <row r="76" spans="3:17" x14ac:dyDescent="0.25">
      <c r="C76" s="17"/>
      <c r="D76" s="17"/>
      <c r="E76" s="291">
        <f t="shared" si="41"/>
        <v>0</v>
      </c>
      <c r="F76" s="291">
        <f t="shared" si="41"/>
        <v>0</v>
      </c>
      <c r="G76" s="291">
        <f t="shared" ref="G76:P76" si="67">G245+G415+G585</f>
        <v>0</v>
      </c>
      <c r="H76" s="291">
        <f t="shared" si="67"/>
        <v>0</v>
      </c>
      <c r="I76" s="291">
        <f t="shared" si="67"/>
        <v>0</v>
      </c>
      <c r="J76" s="291">
        <f t="shared" si="67"/>
        <v>0</v>
      </c>
      <c r="K76" s="291">
        <f t="shared" si="67"/>
        <v>0</v>
      </c>
      <c r="L76" s="291">
        <f t="shared" si="67"/>
        <v>0</v>
      </c>
      <c r="M76" s="291">
        <f t="shared" si="67"/>
        <v>0</v>
      </c>
      <c r="N76" s="291">
        <f t="shared" si="67"/>
        <v>0</v>
      </c>
      <c r="O76" s="291">
        <f t="shared" si="67"/>
        <v>0</v>
      </c>
      <c r="P76" s="291">
        <f t="shared" si="67"/>
        <v>0</v>
      </c>
      <c r="Q76" s="291">
        <f t="shared" si="43"/>
        <v>0</v>
      </c>
    </row>
    <row r="77" spans="3:17" x14ac:dyDescent="0.25">
      <c r="C77" s="751" t="s">
        <v>212</v>
      </c>
      <c r="D77" s="751"/>
      <c r="E77" s="329">
        <f t="shared" ref="E77:P77" si="68">SUM(E52:E76)</f>
        <v>173.41625322615539</v>
      </c>
      <c r="F77" s="329">
        <f t="shared" si="68"/>
        <v>160.7864966087534</v>
      </c>
      <c r="G77" s="329">
        <f t="shared" si="68"/>
        <v>182.72587928032698</v>
      </c>
      <c r="H77" s="329">
        <f t="shared" si="68"/>
        <v>212.97827471103849</v>
      </c>
      <c r="I77" s="329">
        <f t="shared" si="68"/>
        <v>176.96490295596402</v>
      </c>
      <c r="J77" s="329">
        <f t="shared" si="68"/>
        <v>172.51845292579489</v>
      </c>
      <c r="K77" s="329">
        <f t="shared" si="68"/>
        <v>273.22365543109669</v>
      </c>
      <c r="L77" s="329">
        <f t="shared" si="68"/>
        <v>198.7904018252398</v>
      </c>
      <c r="M77" s="329">
        <f t="shared" si="68"/>
        <v>191.91746324869553</v>
      </c>
      <c r="N77" s="329">
        <f t="shared" si="68"/>
        <v>240.05940776469137</v>
      </c>
      <c r="O77" s="329">
        <f t="shared" si="68"/>
        <v>232.80769979640971</v>
      </c>
      <c r="P77" s="329">
        <f t="shared" si="68"/>
        <v>288.47579557471721</v>
      </c>
      <c r="Q77" s="329">
        <f t="shared" si="43"/>
        <v>2504.664683348883</v>
      </c>
    </row>
    <row r="78" spans="3:17" x14ac:dyDescent="0.25">
      <c r="C78" s="753" t="s">
        <v>387</v>
      </c>
      <c r="D78" s="753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</row>
    <row r="79" spans="3:17" x14ac:dyDescent="0.25">
      <c r="C79" s="805" t="s">
        <v>388</v>
      </c>
      <c r="D79" s="17" t="s">
        <v>389</v>
      </c>
      <c r="E79" s="291">
        <f t="shared" ref="E79:P79" si="69">E249+E418+E588</f>
        <v>0.50604962804999998</v>
      </c>
      <c r="F79" s="291">
        <f t="shared" si="69"/>
        <v>0.51960481515000001</v>
      </c>
      <c r="G79" s="291">
        <f t="shared" si="69"/>
        <v>0.46514416705</v>
      </c>
      <c r="H79" s="291">
        <f t="shared" si="69"/>
        <v>0</v>
      </c>
      <c r="I79" s="291">
        <f t="shared" si="69"/>
        <v>0</v>
      </c>
      <c r="J79" s="291">
        <f t="shared" si="69"/>
        <v>0.25397155789999998</v>
      </c>
      <c r="K79" s="291">
        <f t="shared" si="69"/>
        <v>0.44564007994999999</v>
      </c>
      <c r="L79" s="291">
        <f t="shared" si="69"/>
        <v>0.50145510409999994</v>
      </c>
      <c r="M79" s="291">
        <f t="shared" si="69"/>
        <v>0.54568938695000002</v>
      </c>
      <c r="N79" s="291">
        <f t="shared" si="69"/>
        <v>0.52298679424999994</v>
      </c>
      <c r="O79" s="291">
        <f t="shared" si="69"/>
        <v>0.47130628505</v>
      </c>
      <c r="P79" s="291">
        <f t="shared" si="69"/>
        <v>0.52145403954999991</v>
      </c>
      <c r="Q79" s="291">
        <f t="shared" ref="Q79:Q94" si="70">SUM(E79:P79)</f>
        <v>4.7533018579999995</v>
      </c>
    </row>
    <row r="80" spans="3:17" x14ac:dyDescent="0.25">
      <c r="C80" s="805"/>
      <c r="D80" s="17" t="s">
        <v>390</v>
      </c>
      <c r="E80" s="291">
        <f t="shared" ref="E80:P80" si="71">E250+E419+E589</f>
        <v>9.8086929809999983</v>
      </c>
      <c r="F80" s="291">
        <f t="shared" si="71"/>
        <v>8.8271356720000007</v>
      </c>
      <c r="G80" s="291">
        <f t="shared" si="71"/>
        <v>8.4896458283499996</v>
      </c>
      <c r="H80" s="291">
        <f t="shared" si="71"/>
        <v>9.288779588749998</v>
      </c>
      <c r="I80" s="291">
        <f t="shared" si="71"/>
        <v>10.061565023149999</v>
      </c>
      <c r="J80" s="291">
        <f t="shared" si="71"/>
        <v>9.7084644118499988</v>
      </c>
      <c r="K80" s="291">
        <f t="shared" si="71"/>
        <v>8.1693172065000006</v>
      </c>
      <c r="L80" s="291">
        <f t="shared" si="71"/>
        <v>8.9845282519999987</v>
      </c>
      <c r="M80" s="291">
        <f t="shared" si="71"/>
        <v>10.015914843199999</v>
      </c>
      <c r="N80" s="291">
        <f t="shared" si="71"/>
        <v>9.2607843598499997</v>
      </c>
      <c r="O80" s="291">
        <f t="shared" si="71"/>
        <v>9.7087081105999999</v>
      </c>
      <c r="P80" s="291">
        <f t="shared" si="71"/>
        <v>10.34938982725</v>
      </c>
      <c r="Q80" s="291">
        <f t="shared" si="70"/>
        <v>112.67292610449999</v>
      </c>
    </row>
    <row r="81" spans="3:17" x14ac:dyDescent="0.25">
      <c r="C81" s="805"/>
      <c r="D81" s="17" t="s">
        <v>391</v>
      </c>
      <c r="E81" s="291">
        <f t="shared" ref="E81:P81" si="72">E251+E420+E590</f>
        <v>0</v>
      </c>
      <c r="F81" s="291">
        <f t="shared" si="72"/>
        <v>0</v>
      </c>
      <c r="G81" s="291">
        <f t="shared" si="72"/>
        <v>0</v>
      </c>
      <c r="H81" s="291">
        <f t="shared" si="72"/>
        <v>0</v>
      </c>
      <c r="I81" s="291">
        <f t="shared" si="72"/>
        <v>0</v>
      </c>
      <c r="J81" s="291">
        <f t="shared" si="72"/>
        <v>0</v>
      </c>
      <c r="K81" s="291">
        <f t="shared" si="72"/>
        <v>0</v>
      </c>
      <c r="L81" s="291">
        <f t="shared" si="72"/>
        <v>0</v>
      </c>
      <c r="M81" s="291">
        <f t="shared" si="72"/>
        <v>0</v>
      </c>
      <c r="N81" s="291">
        <f t="shared" si="72"/>
        <v>0</v>
      </c>
      <c r="O81" s="291">
        <f t="shared" si="72"/>
        <v>0</v>
      </c>
      <c r="P81" s="291">
        <f t="shared" si="72"/>
        <v>0</v>
      </c>
      <c r="Q81" s="291">
        <f t="shared" si="70"/>
        <v>0</v>
      </c>
    </row>
    <row r="82" spans="3:17" x14ac:dyDescent="0.25">
      <c r="C82" s="805"/>
      <c r="D82" s="17" t="s">
        <v>392</v>
      </c>
      <c r="E82" s="291">
        <f t="shared" ref="E82:P82" si="73">E252+E421+E591</f>
        <v>3.5243513553999999</v>
      </c>
      <c r="F82" s="291">
        <f t="shared" si="73"/>
        <v>0.99645618179999995</v>
      </c>
      <c r="G82" s="291">
        <f t="shared" si="73"/>
        <v>0.36288157474999994</v>
      </c>
      <c r="H82" s="291">
        <f t="shared" si="73"/>
        <v>1.60361407995</v>
      </c>
      <c r="I82" s="291">
        <f t="shared" si="73"/>
        <v>4.6805957863499996</v>
      </c>
      <c r="J82" s="291">
        <f t="shared" si="73"/>
        <v>4.6025969312499999</v>
      </c>
      <c r="K82" s="291">
        <f t="shared" si="73"/>
        <v>4.8179368920999996</v>
      </c>
      <c r="L82" s="291">
        <f t="shared" si="73"/>
        <v>4.7363992661000003</v>
      </c>
      <c r="M82" s="291">
        <f t="shared" si="73"/>
        <v>3.667564585</v>
      </c>
      <c r="N82" s="291">
        <f t="shared" si="73"/>
        <v>4.7679115317999994</v>
      </c>
      <c r="O82" s="291">
        <f t="shared" si="73"/>
        <v>4.0384941968499994</v>
      </c>
      <c r="P82" s="291">
        <f t="shared" si="73"/>
        <v>4.3666227100999997</v>
      </c>
      <c r="Q82" s="291">
        <f t="shared" si="70"/>
        <v>42.165425091450004</v>
      </c>
    </row>
    <row r="83" spans="3:17" x14ac:dyDescent="0.25">
      <c r="C83" s="17"/>
      <c r="D83" s="17"/>
      <c r="E83" s="291">
        <f t="shared" ref="E83:P83" si="74">E253+E422+E592</f>
        <v>0</v>
      </c>
      <c r="F83" s="291">
        <f t="shared" si="74"/>
        <v>0</v>
      </c>
      <c r="G83" s="291">
        <f t="shared" si="74"/>
        <v>0</v>
      </c>
      <c r="H83" s="291">
        <f t="shared" si="74"/>
        <v>0</v>
      </c>
      <c r="I83" s="291">
        <f t="shared" si="74"/>
        <v>0</v>
      </c>
      <c r="J83" s="291">
        <f t="shared" si="74"/>
        <v>0</v>
      </c>
      <c r="K83" s="291">
        <f t="shared" si="74"/>
        <v>0</v>
      </c>
      <c r="L83" s="291">
        <f t="shared" si="74"/>
        <v>0</v>
      </c>
      <c r="M83" s="291">
        <f t="shared" si="74"/>
        <v>0</v>
      </c>
      <c r="N83" s="291">
        <f t="shared" si="74"/>
        <v>0</v>
      </c>
      <c r="O83" s="291">
        <f t="shared" si="74"/>
        <v>0</v>
      </c>
      <c r="P83" s="291">
        <f t="shared" si="74"/>
        <v>0</v>
      </c>
      <c r="Q83" s="291">
        <f t="shared" si="70"/>
        <v>0</v>
      </c>
    </row>
    <row r="84" spans="3:17" x14ac:dyDescent="0.25">
      <c r="C84" s="17"/>
      <c r="D84" s="17"/>
      <c r="E84" s="291">
        <f t="shared" ref="E84:P84" si="75">E254+E423+E593</f>
        <v>0</v>
      </c>
      <c r="F84" s="291">
        <f t="shared" si="75"/>
        <v>0</v>
      </c>
      <c r="G84" s="291">
        <f t="shared" si="75"/>
        <v>0</v>
      </c>
      <c r="H84" s="291">
        <f t="shared" si="75"/>
        <v>0</v>
      </c>
      <c r="I84" s="291">
        <f t="shared" si="75"/>
        <v>0</v>
      </c>
      <c r="J84" s="291">
        <f t="shared" si="75"/>
        <v>0</v>
      </c>
      <c r="K84" s="291">
        <f t="shared" si="75"/>
        <v>0</v>
      </c>
      <c r="L84" s="291">
        <f t="shared" si="75"/>
        <v>0</v>
      </c>
      <c r="M84" s="291">
        <f t="shared" si="75"/>
        <v>0</v>
      </c>
      <c r="N84" s="291">
        <f t="shared" si="75"/>
        <v>0</v>
      </c>
      <c r="O84" s="291">
        <f t="shared" si="75"/>
        <v>0</v>
      </c>
      <c r="P84" s="291">
        <f t="shared" si="75"/>
        <v>0</v>
      </c>
      <c r="Q84" s="291">
        <f t="shared" si="70"/>
        <v>0</v>
      </c>
    </row>
    <row r="85" spans="3:17" x14ac:dyDescent="0.25">
      <c r="C85" s="17"/>
      <c r="D85" s="17"/>
      <c r="E85" s="291">
        <f t="shared" ref="E85:P85" si="76">E255+E424+E594</f>
        <v>0</v>
      </c>
      <c r="F85" s="291">
        <f t="shared" si="76"/>
        <v>0</v>
      </c>
      <c r="G85" s="291">
        <f t="shared" si="76"/>
        <v>0</v>
      </c>
      <c r="H85" s="291">
        <f t="shared" si="76"/>
        <v>0</v>
      </c>
      <c r="I85" s="291">
        <f t="shared" si="76"/>
        <v>0</v>
      </c>
      <c r="J85" s="291">
        <f t="shared" si="76"/>
        <v>0</v>
      </c>
      <c r="K85" s="291">
        <f t="shared" si="76"/>
        <v>0</v>
      </c>
      <c r="L85" s="291">
        <f t="shared" si="76"/>
        <v>0</v>
      </c>
      <c r="M85" s="291">
        <f t="shared" si="76"/>
        <v>0</v>
      </c>
      <c r="N85" s="291">
        <f t="shared" si="76"/>
        <v>0</v>
      </c>
      <c r="O85" s="291">
        <f t="shared" si="76"/>
        <v>0</v>
      </c>
      <c r="P85" s="291">
        <f t="shared" si="76"/>
        <v>0</v>
      </c>
      <c r="Q85" s="291">
        <f t="shared" si="70"/>
        <v>0</v>
      </c>
    </row>
    <row r="86" spans="3:17" x14ac:dyDescent="0.25">
      <c r="C86" s="17"/>
      <c r="D86" s="17"/>
      <c r="E86" s="291">
        <f t="shared" ref="E86:P86" si="77">E256+E425+E595</f>
        <v>0</v>
      </c>
      <c r="F86" s="291">
        <f t="shared" si="77"/>
        <v>0</v>
      </c>
      <c r="G86" s="291">
        <f t="shared" si="77"/>
        <v>0</v>
      </c>
      <c r="H86" s="291">
        <f t="shared" si="77"/>
        <v>0</v>
      </c>
      <c r="I86" s="291">
        <f t="shared" si="77"/>
        <v>0</v>
      </c>
      <c r="J86" s="291">
        <f t="shared" si="77"/>
        <v>0</v>
      </c>
      <c r="K86" s="291">
        <f t="shared" si="77"/>
        <v>0</v>
      </c>
      <c r="L86" s="291">
        <f t="shared" si="77"/>
        <v>0</v>
      </c>
      <c r="M86" s="291">
        <f t="shared" si="77"/>
        <v>0</v>
      </c>
      <c r="N86" s="291">
        <f t="shared" si="77"/>
        <v>0</v>
      </c>
      <c r="O86" s="291">
        <f t="shared" si="77"/>
        <v>0</v>
      </c>
      <c r="P86" s="291">
        <f t="shared" si="77"/>
        <v>0</v>
      </c>
      <c r="Q86" s="291">
        <f t="shared" si="70"/>
        <v>0</v>
      </c>
    </row>
    <row r="87" spans="3:17" x14ac:dyDescent="0.25">
      <c r="C87" s="17"/>
      <c r="D87" s="17"/>
      <c r="E87" s="291">
        <f t="shared" ref="E87:P87" si="78">E257+E426+E596</f>
        <v>0</v>
      </c>
      <c r="F87" s="291">
        <f t="shared" si="78"/>
        <v>0</v>
      </c>
      <c r="G87" s="291">
        <f t="shared" si="78"/>
        <v>0</v>
      </c>
      <c r="H87" s="291">
        <f t="shared" si="78"/>
        <v>0</v>
      </c>
      <c r="I87" s="291">
        <f t="shared" si="78"/>
        <v>0</v>
      </c>
      <c r="J87" s="291">
        <f t="shared" si="78"/>
        <v>0</v>
      </c>
      <c r="K87" s="291">
        <f t="shared" si="78"/>
        <v>0</v>
      </c>
      <c r="L87" s="291">
        <f t="shared" si="78"/>
        <v>0</v>
      </c>
      <c r="M87" s="291">
        <f t="shared" si="78"/>
        <v>0</v>
      </c>
      <c r="N87" s="291">
        <f t="shared" si="78"/>
        <v>0</v>
      </c>
      <c r="O87" s="291">
        <f t="shared" si="78"/>
        <v>0</v>
      </c>
      <c r="P87" s="291">
        <f t="shared" si="78"/>
        <v>0</v>
      </c>
      <c r="Q87" s="291">
        <f t="shared" si="70"/>
        <v>0</v>
      </c>
    </row>
    <row r="88" spans="3:17" x14ac:dyDescent="0.25">
      <c r="C88" s="17"/>
      <c r="D88" s="17"/>
      <c r="E88" s="291">
        <f t="shared" ref="E88:P88" si="79">E258+E427+E597</f>
        <v>0</v>
      </c>
      <c r="F88" s="291">
        <f t="shared" si="79"/>
        <v>0</v>
      </c>
      <c r="G88" s="291">
        <f t="shared" si="79"/>
        <v>0</v>
      </c>
      <c r="H88" s="291">
        <f t="shared" si="79"/>
        <v>0</v>
      </c>
      <c r="I88" s="291">
        <f t="shared" si="79"/>
        <v>0</v>
      </c>
      <c r="J88" s="291">
        <f t="shared" si="79"/>
        <v>0</v>
      </c>
      <c r="K88" s="291">
        <f t="shared" si="79"/>
        <v>0</v>
      </c>
      <c r="L88" s="291">
        <f t="shared" si="79"/>
        <v>0</v>
      </c>
      <c r="M88" s="291">
        <f t="shared" si="79"/>
        <v>0</v>
      </c>
      <c r="N88" s="291">
        <f t="shared" si="79"/>
        <v>0</v>
      </c>
      <c r="O88" s="291">
        <f t="shared" si="79"/>
        <v>0</v>
      </c>
      <c r="P88" s="291">
        <f t="shared" si="79"/>
        <v>0</v>
      </c>
      <c r="Q88" s="291">
        <f t="shared" si="70"/>
        <v>0</v>
      </c>
    </row>
    <row r="89" spans="3:17" x14ac:dyDescent="0.25">
      <c r="C89" s="17"/>
      <c r="D89" s="17"/>
      <c r="E89" s="291">
        <f t="shared" ref="E89:P89" si="80">E259+E428+E598</f>
        <v>0</v>
      </c>
      <c r="F89" s="291">
        <f t="shared" si="80"/>
        <v>0</v>
      </c>
      <c r="G89" s="291">
        <f t="shared" si="80"/>
        <v>0</v>
      </c>
      <c r="H89" s="291">
        <f t="shared" si="80"/>
        <v>0</v>
      </c>
      <c r="I89" s="291">
        <f t="shared" si="80"/>
        <v>0</v>
      </c>
      <c r="J89" s="291">
        <f t="shared" si="80"/>
        <v>0</v>
      </c>
      <c r="K89" s="291">
        <f t="shared" si="80"/>
        <v>0</v>
      </c>
      <c r="L89" s="291">
        <f t="shared" si="80"/>
        <v>0</v>
      </c>
      <c r="M89" s="291">
        <f t="shared" si="80"/>
        <v>0</v>
      </c>
      <c r="N89" s="291">
        <f t="shared" si="80"/>
        <v>0</v>
      </c>
      <c r="O89" s="291">
        <f t="shared" si="80"/>
        <v>0</v>
      </c>
      <c r="P89" s="291">
        <f t="shared" si="80"/>
        <v>0</v>
      </c>
      <c r="Q89" s="291">
        <f t="shared" si="70"/>
        <v>0</v>
      </c>
    </row>
    <row r="90" spans="3:17" x14ac:dyDescent="0.25">
      <c r="C90" s="17"/>
      <c r="D90" s="17"/>
      <c r="E90" s="291">
        <f t="shared" ref="E90:P90" si="81">E260+E429+E599</f>
        <v>0</v>
      </c>
      <c r="F90" s="291">
        <f t="shared" si="81"/>
        <v>0</v>
      </c>
      <c r="G90" s="291">
        <f t="shared" si="81"/>
        <v>0</v>
      </c>
      <c r="H90" s="291">
        <f t="shared" si="81"/>
        <v>0</v>
      </c>
      <c r="I90" s="291">
        <f t="shared" si="81"/>
        <v>0</v>
      </c>
      <c r="J90" s="291">
        <f t="shared" si="81"/>
        <v>0</v>
      </c>
      <c r="K90" s="291">
        <f t="shared" si="81"/>
        <v>0</v>
      </c>
      <c r="L90" s="291">
        <f t="shared" si="81"/>
        <v>0</v>
      </c>
      <c r="M90" s="291">
        <f t="shared" si="81"/>
        <v>0</v>
      </c>
      <c r="N90" s="291">
        <f t="shared" si="81"/>
        <v>0</v>
      </c>
      <c r="O90" s="291">
        <f t="shared" si="81"/>
        <v>0</v>
      </c>
      <c r="P90" s="291">
        <f t="shared" si="81"/>
        <v>0</v>
      </c>
      <c r="Q90" s="291">
        <f t="shared" si="70"/>
        <v>0</v>
      </c>
    </row>
    <row r="91" spans="3:17" x14ac:dyDescent="0.25">
      <c r="C91" s="17"/>
      <c r="D91" s="17"/>
      <c r="E91" s="291">
        <f t="shared" ref="E91:P91" si="82">E261+E430+E600</f>
        <v>0</v>
      </c>
      <c r="F91" s="291">
        <f t="shared" si="82"/>
        <v>0</v>
      </c>
      <c r="G91" s="291">
        <f t="shared" si="82"/>
        <v>0</v>
      </c>
      <c r="H91" s="291">
        <f t="shared" si="82"/>
        <v>0</v>
      </c>
      <c r="I91" s="291">
        <f t="shared" si="82"/>
        <v>0</v>
      </c>
      <c r="J91" s="291">
        <f t="shared" si="82"/>
        <v>0</v>
      </c>
      <c r="K91" s="291">
        <f t="shared" si="82"/>
        <v>0</v>
      </c>
      <c r="L91" s="291">
        <f t="shared" si="82"/>
        <v>0</v>
      </c>
      <c r="M91" s="291">
        <f t="shared" si="82"/>
        <v>0</v>
      </c>
      <c r="N91" s="291">
        <f t="shared" si="82"/>
        <v>0</v>
      </c>
      <c r="O91" s="291">
        <f t="shared" si="82"/>
        <v>0</v>
      </c>
      <c r="P91" s="291">
        <f t="shared" si="82"/>
        <v>0</v>
      </c>
      <c r="Q91" s="291">
        <f t="shared" si="70"/>
        <v>0</v>
      </c>
    </row>
    <row r="92" spans="3:17" x14ac:dyDescent="0.25">
      <c r="C92" s="17"/>
      <c r="D92" s="17"/>
      <c r="E92" s="291">
        <f t="shared" ref="E92:P92" si="83">E262+E431+E601</f>
        <v>0</v>
      </c>
      <c r="F92" s="291">
        <f t="shared" si="83"/>
        <v>0</v>
      </c>
      <c r="G92" s="291">
        <f t="shared" si="83"/>
        <v>0</v>
      </c>
      <c r="H92" s="291">
        <f t="shared" si="83"/>
        <v>0</v>
      </c>
      <c r="I92" s="291">
        <f t="shared" si="83"/>
        <v>0</v>
      </c>
      <c r="J92" s="291">
        <f t="shared" si="83"/>
        <v>0</v>
      </c>
      <c r="K92" s="291">
        <f t="shared" si="83"/>
        <v>0</v>
      </c>
      <c r="L92" s="291">
        <f t="shared" si="83"/>
        <v>0</v>
      </c>
      <c r="M92" s="291">
        <f t="shared" si="83"/>
        <v>0</v>
      </c>
      <c r="N92" s="291">
        <f t="shared" si="83"/>
        <v>0</v>
      </c>
      <c r="O92" s="291">
        <f t="shared" si="83"/>
        <v>0</v>
      </c>
      <c r="P92" s="291">
        <f t="shared" si="83"/>
        <v>0</v>
      </c>
      <c r="Q92" s="291">
        <f t="shared" si="70"/>
        <v>0</v>
      </c>
    </row>
    <row r="93" spans="3:17" x14ac:dyDescent="0.25">
      <c r="C93" s="751" t="s">
        <v>212</v>
      </c>
      <c r="D93" s="751"/>
      <c r="E93" s="329">
        <f t="shared" ref="E93:P93" si="84">SUM(E79:E92)</f>
        <v>13.839093964449999</v>
      </c>
      <c r="F93" s="329">
        <f t="shared" si="84"/>
        <v>10.34319666895</v>
      </c>
      <c r="G93" s="329">
        <f t="shared" si="84"/>
        <v>9.317671570149999</v>
      </c>
      <c r="H93" s="329">
        <f t="shared" si="84"/>
        <v>10.892393668699999</v>
      </c>
      <c r="I93" s="329">
        <f t="shared" si="84"/>
        <v>14.7421608095</v>
      </c>
      <c r="J93" s="329">
        <f t="shared" si="84"/>
        <v>14.565032900999999</v>
      </c>
      <c r="K93" s="329">
        <f t="shared" si="84"/>
        <v>13.432894178550001</v>
      </c>
      <c r="L93" s="329">
        <f t="shared" si="84"/>
        <v>14.222382622199998</v>
      </c>
      <c r="M93" s="329">
        <f t="shared" si="84"/>
        <v>14.22916881515</v>
      </c>
      <c r="N93" s="329">
        <f t="shared" si="84"/>
        <v>14.551682685899999</v>
      </c>
      <c r="O93" s="329">
        <f t="shared" si="84"/>
        <v>14.218508592499999</v>
      </c>
      <c r="P93" s="329">
        <f t="shared" si="84"/>
        <v>15.237466576899999</v>
      </c>
      <c r="Q93" s="329">
        <f t="shared" si="70"/>
        <v>159.59165305395001</v>
      </c>
    </row>
    <row r="94" spans="3:17" x14ac:dyDescent="0.25">
      <c r="C94" s="753" t="s">
        <v>394</v>
      </c>
      <c r="D94" s="753"/>
      <c r="E94" s="329">
        <f t="shared" ref="E94:P94" si="85">E77+E93</f>
        <v>187.25534719060539</v>
      </c>
      <c r="F94" s="329">
        <f t="shared" si="85"/>
        <v>171.12969327770338</v>
      </c>
      <c r="G94" s="329">
        <f t="shared" si="85"/>
        <v>192.04355085047698</v>
      </c>
      <c r="H94" s="329">
        <f t="shared" si="85"/>
        <v>223.8706683797385</v>
      </c>
      <c r="I94" s="329">
        <f t="shared" si="85"/>
        <v>191.70706376546403</v>
      </c>
      <c r="J94" s="329">
        <f t="shared" si="85"/>
        <v>187.08348582679488</v>
      </c>
      <c r="K94" s="329">
        <f t="shared" si="85"/>
        <v>286.65654960964667</v>
      </c>
      <c r="L94" s="329">
        <f t="shared" si="85"/>
        <v>213.0127844474398</v>
      </c>
      <c r="M94" s="329">
        <f t="shared" si="85"/>
        <v>206.14663206384552</v>
      </c>
      <c r="N94" s="329">
        <f t="shared" si="85"/>
        <v>254.61109045059138</v>
      </c>
      <c r="O94" s="329">
        <f t="shared" si="85"/>
        <v>247.02620838890971</v>
      </c>
      <c r="P94" s="329">
        <f t="shared" si="85"/>
        <v>303.71326215161719</v>
      </c>
      <c r="Q94" s="336">
        <f t="shared" si="70"/>
        <v>2664.2563364028333</v>
      </c>
    </row>
    <row r="95" spans="3:17" x14ac:dyDescent="0.25">
      <c r="C95" s="800" t="s">
        <v>395</v>
      </c>
      <c r="D95" s="800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</row>
    <row r="96" spans="3:17" x14ac:dyDescent="0.25">
      <c r="C96" s="17" t="s">
        <v>396</v>
      </c>
      <c r="D96" s="17" t="s">
        <v>396</v>
      </c>
      <c r="E96" s="291">
        <f t="shared" ref="E96:P97" si="86">E266+E435+E605</f>
        <v>58.092272644194992</v>
      </c>
      <c r="F96" s="291">
        <f t="shared" si="86"/>
        <v>59.1832651195</v>
      </c>
      <c r="G96" s="291">
        <f t="shared" si="86"/>
        <v>55.926062517495943</v>
      </c>
      <c r="H96" s="291">
        <f t="shared" si="86"/>
        <v>60.554513168916699</v>
      </c>
      <c r="I96" s="291">
        <f t="shared" si="86"/>
        <v>65.132957854599994</v>
      </c>
      <c r="J96" s="291">
        <f t="shared" si="86"/>
        <v>61.837734154899998</v>
      </c>
      <c r="K96" s="291">
        <f t="shared" si="86"/>
        <v>58.25589074509999</v>
      </c>
      <c r="L96" s="291">
        <f t="shared" si="86"/>
        <v>46.304295213352198</v>
      </c>
      <c r="M96" s="291">
        <f t="shared" si="86"/>
        <v>34.069541128843646</v>
      </c>
      <c r="N96" s="291">
        <f t="shared" si="86"/>
        <v>58.896485878749999</v>
      </c>
      <c r="O96" s="291">
        <f t="shared" si="86"/>
        <v>55.13879316165</v>
      </c>
      <c r="P96" s="291">
        <f t="shared" si="86"/>
        <v>68.791734029500006</v>
      </c>
      <c r="Q96" s="291">
        <f t="shared" ref="Q96:Q103" si="87">SUM(E96:P96)</f>
        <v>682.18354561680349</v>
      </c>
    </row>
    <row r="97" spans="3:17" x14ac:dyDescent="0.25">
      <c r="C97" s="17" t="s">
        <v>397</v>
      </c>
      <c r="D97" s="17" t="s">
        <v>397</v>
      </c>
      <c r="E97" s="291">
        <f t="shared" si="86"/>
        <v>22.749679496849545</v>
      </c>
      <c r="F97" s="291">
        <f t="shared" si="86"/>
        <v>23.568849037754909</v>
      </c>
      <c r="G97" s="291">
        <f t="shared" si="86"/>
        <v>21.833410025564248</v>
      </c>
      <c r="H97" s="291">
        <f t="shared" si="86"/>
        <v>25.622061199788998</v>
      </c>
      <c r="I97" s="291">
        <f t="shared" si="86"/>
        <v>21.6413178928</v>
      </c>
      <c r="J97" s="291">
        <f t="shared" si="86"/>
        <v>20.972508921604195</v>
      </c>
      <c r="K97" s="291">
        <f t="shared" si="86"/>
        <v>20.082808078768448</v>
      </c>
      <c r="L97" s="291">
        <f t="shared" si="86"/>
        <v>20.307277898437249</v>
      </c>
      <c r="M97" s="291">
        <f t="shared" si="86"/>
        <v>18.904228953324001</v>
      </c>
      <c r="N97" s="291">
        <f t="shared" si="86"/>
        <v>23.451318468719215</v>
      </c>
      <c r="O97" s="291">
        <f t="shared" si="86"/>
        <v>21.501729646029997</v>
      </c>
      <c r="P97" s="291">
        <f t="shared" si="86"/>
        <v>25.248903871549999</v>
      </c>
      <c r="Q97" s="291">
        <f t="shared" si="87"/>
        <v>265.88409349119081</v>
      </c>
    </row>
    <row r="98" spans="3:17" x14ac:dyDescent="0.25">
      <c r="C98" s="17"/>
      <c r="D98" s="17"/>
      <c r="E98" s="291">
        <f t="shared" ref="E98:P98" si="88">E268+E437+E607</f>
        <v>0</v>
      </c>
      <c r="F98" s="291">
        <f t="shared" si="88"/>
        <v>0</v>
      </c>
      <c r="G98" s="291">
        <f t="shared" si="88"/>
        <v>0</v>
      </c>
      <c r="H98" s="291">
        <f t="shared" si="88"/>
        <v>0</v>
      </c>
      <c r="I98" s="291">
        <f t="shared" si="88"/>
        <v>0</v>
      </c>
      <c r="J98" s="291">
        <f t="shared" si="88"/>
        <v>0</v>
      </c>
      <c r="K98" s="291">
        <f t="shared" si="88"/>
        <v>0</v>
      </c>
      <c r="L98" s="291">
        <f t="shared" si="88"/>
        <v>0</v>
      </c>
      <c r="M98" s="291">
        <f t="shared" si="88"/>
        <v>0</v>
      </c>
      <c r="N98" s="291">
        <f t="shared" si="88"/>
        <v>0</v>
      </c>
      <c r="O98" s="291">
        <f t="shared" si="88"/>
        <v>0</v>
      </c>
      <c r="P98" s="291">
        <f t="shared" si="88"/>
        <v>0</v>
      </c>
      <c r="Q98" s="291">
        <f t="shared" si="87"/>
        <v>0</v>
      </c>
    </row>
    <row r="99" spans="3:17" x14ac:dyDescent="0.25">
      <c r="C99" s="17"/>
      <c r="D99" s="17"/>
      <c r="E99" s="291">
        <f t="shared" ref="E99:P99" si="89">E269+E438+E608</f>
        <v>0</v>
      </c>
      <c r="F99" s="291">
        <f t="shared" si="89"/>
        <v>0</v>
      </c>
      <c r="G99" s="291">
        <f t="shared" si="89"/>
        <v>0</v>
      </c>
      <c r="H99" s="291">
        <f t="shared" si="89"/>
        <v>0</v>
      </c>
      <c r="I99" s="291">
        <f t="shared" si="89"/>
        <v>0</v>
      </c>
      <c r="J99" s="291">
        <f t="shared" si="89"/>
        <v>0</v>
      </c>
      <c r="K99" s="291">
        <f t="shared" si="89"/>
        <v>0</v>
      </c>
      <c r="L99" s="291">
        <f t="shared" si="89"/>
        <v>0</v>
      </c>
      <c r="M99" s="291">
        <f t="shared" si="89"/>
        <v>0</v>
      </c>
      <c r="N99" s="291">
        <f t="shared" si="89"/>
        <v>0</v>
      </c>
      <c r="O99" s="291">
        <f t="shared" si="89"/>
        <v>0</v>
      </c>
      <c r="P99" s="291">
        <f t="shared" si="89"/>
        <v>0</v>
      </c>
      <c r="Q99" s="291">
        <f t="shared" si="87"/>
        <v>0</v>
      </c>
    </row>
    <row r="100" spans="3:17" x14ac:dyDescent="0.25">
      <c r="C100" s="17"/>
      <c r="D100" s="17"/>
      <c r="E100" s="291">
        <f t="shared" ref="E100:P100" si="90">E270+E439+E609</f>
        <v>0</v>
      </c>
      <c r="F100" s="291">
        <f t="shared" si="90"/>
        <v>0</v>
      </c>
      <c r="G100" s="291">
        <f t="shared" si="90"/>
        <v>0</v>
      </c>
      <c r="H100" s="291">
        <f t="shared" si="90"/>
        <v>0</v>
      </c>
      <c r="I100" s="291">
        <f t="shared" si="90"/>
        <v>0</v>
      </c>
      <c r="J100" s="291">
        <f t="shared" si="90"/>
        <v>0</v>
      </c>
      <c r="K100" s="291">
        <f t="shared" si="90"/>
        <v>0</v>
      </c>
      <c r="L100" s="291">
        <f t="shared" si="90"/>
        <v>0</v>
      </c>
      <c r="M100" s="291">
        <f t="shared" si="90"/>
        <v>0</v>
      </c>
      <c r="N100" s="291">
        <f t="shared" si="90"/>
        <v>0</v>
      </c>
      <c r="O100" s="291">
        <f t="shared" si="90"/>
        <v>0</v>
      </c>
      <c r="P100" s="291">
        <f t="shared" si="90"/>
        <v>0</v>
      </c>
      <c r="Q100" s="291">
        <f t="shared" si="87"/>
        <v>0</v>
      </c>
    </row>
    <row r="101" spans="3:17" x14ac:dyDescent="0.25">
      <c r="C101" s="17"/>
      <c r="D101" s="17"/>
      <c r="E101" s="291">
        <f t="shared" ref="E101:P101" si="91">E271+E440+E610</f>
        <v>0</v>
      </c>
      <c r="F101" s="291">
        <f t="shared" si="91"/>
        <v>0</v>
      </c>
      <c r="G101" s="291">
        <f t="shared" si="91"/>
        <v>0</v>
      </c>
      <c r="H101" s="291">
        <f t="shared" si="91"/>
        <v>0</v>
      </c>
      <c r="I101" s="291">
        <f t="shared" si="91"/>
        <v>0</v>
      </c>
      <c r="J101" s="291">
        <f t="shared" si="91"/>
        <v>0</v>
      </c>
      <c r="K101" s="291">
        <f t="shared" si="91"/>
        <v>0</v>
      </c>
      <c r="L101" s="291">
        <f t="shared" si="91"/>
        <v>0</v>
      </c>
      <c r="M101" s="291">
        <f t="shared" si="91"/>
        <v>0</v>
      </c>
      <c r="N101" s="291">
        <f t="shared" si="91"/>
        <v>0</v>
      </c>
      <c r="O101" s="291">
        <f t="shared" si="91"/>
        <v>0</v>
      </c>
      <c r="P101" s="291">
        <f t="shared" si="91"/>
        <v>0</v>
      </c>
      <c r="Q101" s="291">
        <f t="shared" si="87"/>
        <v>0</v>
      </c>
    </row>
    <row r="102" spans="3:17" x14ac:dyDescent="0.25">
      <c r="C102" s="17"/>
      <c r="D102" s="17"/>
      <c r="E102" s="291">
        <f t="shared" ref="E102:P102" si="92">E272+E441+E611</f>
        <v>0</v>
      </c>
      <c r="F102" s="291">
        <f t="shared" si="92"/>
        <v>0</v>
      </c>
      <c r="G102" s="291">
        <f t="shared" si="92"/>
        <v>0</v>
      </c>
      <c r="H102" s="291">
        <f t="shared" si="92"/>
        <v>0</v>
      </c>
      <c r="I102" s="291">
        <f t="shared" si="92"/>
        <v>0</v>
      </c>
      <c r="J102" s="291">
        <f t="shared" si="92"/>
        <v>0</v>
      </c>
      <c r="K102" s="291">
        <f t="shared" si="92"/>
        <v>0</v>
      </c>
      <c r="L102" s="291">
        <f t="shared" si="92"/>
        <v>0</v>
      </c>
      <c r="M102" s="291">
        <f t="shared" si="92"/>
        <v>0</v>
      </c>
      <c r="N102" s="291">
        <f t="shared" si="92"/>
        <v>0</v>
      </c>
      <c r="O102" s="291">
        <f t="shared" si="92"/>
        <v>0</v>
      </c>
      <c r="P102" s="291">
        <f t="shared" si="92"/>
        <v>0</v>
      </c>
      <c r="Q102" s="291">
        <f t="shared" si="87"/>
        <v>0</v>
      </c>
    </row>
    <row r="103" spans="3:17" x14ac:dyDescent="0.25">
      <c r="C103" s="753" t="s">
        <v>398</v>
      </c>
      <c r="D103" s="753"/>
      <c r="E103" s="329">
        <f t="shared" ref="E103:P103" si="93">SUM(E96:E102)</f>
        <v>80.841952141044544</v>
      </c>
      <c r="F103" s="329">
        <f t="shared" si="93"/>
        <v>82.752114157254908</v>
      </c>
      <c r="G103" s="329">
        <f t="shared" si="93"/>
        <v>77.759472543060184</v>
      </c>
      <c r="H103" s="329">
        <f t="shared" si="93"/>
        <v>86.176574368705701</v>
      </c>
      <c r="I103" s="329">
        <f t="shared" si="93"/>
        <v>86.774275747399997</v>
      </c>
      <c r="J103" s="329">
        <f t="shared" si="93"/>
        <v>82.810243076504193</v>
      </c>
      <c r="K103" s="329">
        <f t="shared" si="93"/>
        <v>78.338698823868441</v>
      </c>
      <c r="L103" s="329">
        <f t="shared" si="93"/>
        <v>66.611573111789454</v>
      </c>
      <c r="M103" s="329">
        <f t="shared" si="93"/>
        <v>52.973770082167647</v>
      </c>
      <c r="N103" s="329">
        <f t="shared" si="93"/>
        <v>82.347804347469207</v>
      </c>
      <c r="O103" s="329">
        <f t="shared" si="93"/>
        <v>76.64052280768</v>
      </c>
      <c r="P103" s="329">
        <f t="shared" si="93"/>
        <v>94.040637901050005</v>
      </c>
      <c r="Q103" s="336">
        <f t="shared" si="87"/>
        <v>948.06763910799418</v>
      </c>
    </row>
    <row r="104" spans="3:17" ht="14.25" customHeight="1" x14ac:dyDescent="0.25">
      <c r="C104" s="800" t="s">
        <v>399</v>
      </c>
      <c r="D104" s="800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</row>
    <row r="105" spans="3:17" x14ac:dyDescent="0.25">
      <c r="C105" s="17" t="s">
        <v>400</v>
      </c>
      <c r="D105" s="17" t="s">
        <v>400</v>
      </c>
      <c r="E105" s="291">
        <f t="shared" ref="E105:P105" si="94">E275+E444+E614</f>
        <v>89.245284417499988</v>
      </c>
      <c r="F105" s="291">
        <f t="shared" si="94"/>
        <v>127.78818869894999</v>
      </c>
      <c r="G105" s="291">
        <f t="shared" si="94"/>
        <v>74.183463854549998</v>
      </c>
      <c r="H105" s="291">
        <f t="shared" si="94"/>
        <v>102.3082974631</v>
      </c>
      <c r="I105" s="291">
        <f t="shared" si="94"/>
        <v>130.92069095894999</v>
      </c>
      <c r="J105" s="291">
        <f t="shared" si="94"/>
        <v>118.01545293104999</v>
      </c>
      <c r="K105" s="291">
        <f t="shared" si="94"/>
        <v>127.08162329765</v>
      </c>
      <c r="L105" s="291">
        <f t="shared" si="94"/>
        <v>96.702400140599991</v>
      </c>
      <c r="M105" s="291">
        <f t="shared" si="94"/>
        <v>94.145606712749995</v>
      </c>
      <c r="N105" s="291">
        <f t="shared" si="94"/>
        <v>125.28659408345</v>
      </c>
      <c r="O105" s="291">
        <f t="shared" si="94"/>
        <v>107.06992197945</v>
      </c>
      <c r="P105" s="291">
        <f t="shared" si="94"/>
        <v>114.82207245564999</v>
      </c>
      <c r="Q105" s="291">
        <f t="shared" ref="Q105:Q113" si="95">SUM(E105:P105)</f>
        <v>1307.5695969936501</v>
      </c>
    </row>
    <row r="106" spans="3:17" x14ac:dyDescent="0.25">
      <c r="C106" s="17" t="s">
        <v>401</v>
      </c>
      <c r="D106" s="17" t="s">
        <v>401</v>
      </c>
      <c r="E106" s="291">
        <f t="shared" ref="E106:P106" si="96">E276+E445+E615</f>
        <v>0</v>
      </c>
      <c r="F106" s="291">
        <f t="shared" si="96"/>
        <v>0</v>
      </c>
      <c r="G106" s="291">
        <f t="shared" si="96"/>
        <v>0</v>
      </c>
      <c r="H106" s="291">
        <f t="shared" si="96"/>
        <v>0</v>
      </c>
      <c r="I106" s="291">
        <f t="shared" si="96"/>
        <v>0</v>
      </c>
      <c r="J106" s="291">
        <f t="shared" si="96"/>
        <v>0</v>
      </c>
      <c r="K106" s="291">
        <f t="shared" si="96"/>
        <v>0</v>
      </c>
      <c r="L106" s="291">
        <f t="shared" si="96"/>
        <v>0</v>
      </c>
      <c r="M106" s="291">
        <f t="shared" si="96"/>
        <v>0</v>
      </c>
      <c r="N106" s="291">
        <f t="shared" si="96"/>
        <v>0</v>
      </c>
      <c r="O106" s="291">
        <f t="shared" si="96"/>
        <v>0</v>
      </c>
      <c r="P106" s="291">
        <f t="shared" si="96"/>
        <v>0</v>
      </c>
      <c r="Q106" s="291">
        <f t="shared" si="95"/>
        <v>0</v>
      </c>
    </row>
    <row r="107" spans="3:17" x14ac:dyDescent="0.25">
      <c r="C107" s="17" t="s">
        <v>402</v>
      </c>
      <c r="D107" s="17" t="s">
        <v>402</v>
      </c>
      <c r="E107" s="291">
        <f t="shared" ref="E107:P107" si="97">E277+E446+E616</f>
        <v>0</v>
      </c>
      <c r="F107" s="291">
        <f t="shared" si="97"/>
        <v>0</v>
      </c>
      <c r="G107" s="291">
        <f t="shared" si="97"/>
        <v>0</v>
      </c>
      <c r="H107" s="291">
        <f t="shared" si="97"/>
        <v>0</v>
      </c>
      <c r="I107" s="291">
        <f t="shared" si="97"/>
        <v>0</v>
      </c>
      <c r="J107" s="291">
        <f t="shared" si="97"/>
        <v>0</v>
      </c>
      <c r="K107" s="291">
        <f t="shared" si="97"/>
        <v>0</v>
      </c>
      <c r="L107" s="291">
        <f t="shared" si="97"/>
        <v>0</v>
      </c>
      <c r="M107" s="291">
        <f t="shared" si="97"/>
        <v>0</v>
      </c>
      <c r="N107" s="291">
        <f t="shared" si="97"/>
        <v>0</v>
      </c>
      <c r="O107" s="291">
        <f t="shared" si="97"/>
        <v>0</v>
      </c>
      <c r="P107" s="291">
        <f t="shared" si="97"/>
        <v>0</v>
      </c>
      <c r="Q107" s="291">
        <f t="shared" si="95"/>
        <v>0</v>
      </c>
    </row>
    <row r="108" spans="3:17" x14ac:dyDescent="0.25">
      <c r="C108" s="17"/>
      <c r="D108" s="17"/>
      <c r="E108" s="291">
        <f t="shared" ref="E108:P108" si="98">E278+E447+E617</f>
        <v>0</v>
      </c>
      <c r="F108" s="291">
        <f t="shared" si="98"/>
        <v>0</v>
      </c>
      <c r="G108" s="291">
        <f t="shared" si="98"/>
        <v>0</v>
      </c>
      <c r="H108" s="291">
        <f t="shared" si="98"/>
        <v>0</v>
      </c>
      <c r="I108" s="291">
        <f t="shared" si="98"/>
        <v>0</v>
      </c>
      <c r="J108" s="291">
        <f t="shared" si="98"/>
        <v>0</v>
      </c>
      <c r="K108" s="291">
        <f t="shared" si="98"/>
        <v>0</v>
      </c>
      <c r="L108" s="291">
        <f t="shared" si="98"/>
        <v>0</v>
      </c>
      <c r="M108" s="291">
        <f t="shared" si="98"/>
        <v>0</v>
      </c>
      <c r="N108" s="291">
        <f t="shared" si="98"/>
        <v>0</v>
      </c>
      <c r="O108" s="291">
        <f t="shared" si="98"/>
        <v>0</v>
      </c>
      <c r="P108" s="291">
        <f t="shared" si="98"/>
        <v>0</v>
      </c>
      <c r="Q108" s="291">
        <f t="shared" si="95"/>
        <v>0</v>
      </c>
    </row>
    <row r="109" spans="3:17" x14ac:dyDescent="0.25">
      <c r="C109" s="17"/>
      <c r="D109" s="17"/>
      <c r="E109" s="291">
        <f t="shared" ref="E109:P109" si="99">E279+E448+E618</f>
        <v>0</v>
      </c>
      <c r="F109" s="291">
        <f t="shared" si="99"/>
        <v>0</v>
      </c>
      <c r="G109" s="291">
        <f t="shared" si="99"/>
        <v>0</v>
      </c>
      <c r="H109" s="291">
        <f t="shared" si="99"/>
        <v>0</v>
      </c>
      <c r="I109" s="291">
        <f t="shared" si="99"/>
        <v>0</v>
      </c>
      <c r="J109" s="291">
        <f t="shared" si="99"/>
        <v>0</v>
      </c>
      <c r="K109" s="291">
        <f t="shared" si="99"/>
        <v>0</v>
      </c>
      <c r="L109" s="291">
        <f t="shared" si="99"/>
        <v>0</v>
      </c>
      <c r="M109" s="291">
        <f t="shared" si="99"/>
        <v>0</v>
      </c>
      <c r="N109" s="291">
        <f t="shared" si="99"/>
        <v>0</v>
      </c>
      <c r="O109" s="291">
        <f t="shared" si="99"/>
        <v>0</v>
      </c>
      <c r="P109" s="291">
        <f t="shared" si="99"/>
        <v>0</v>
      </c>
      <c r="Q109" s="291">
        <f t="shared" si="95"/>
        <v>0</v>
      </c>
    </row>
    <row r="110" spans="3:17" x14ac:dyDescent="0.25">
      <c r="C110" s="17"/>
      <c r="D110" s="17"/>
      <c r="E110" s="291">
        <f t="shared" ref="E110:P110" si="100">E280+E449+E619</f>
        <v>0</v>
      </c>
      <c r="F110" s="291">
        <f t="shared" si="100"/>
        <v>0</v>
      </c>
      <c r="G110" s="291">
        <f t="shared" si="100"/>
        <v>0</v>
      </c>
      <c r="H110" s="291">
        <f t="shared" si="100"/>
        <v>0</v>
      </c>
      <c r="I110" s="291">
        <f t="shared" si="100"/>
        <v>0</v>
      </c>
      <c r="J110" s="291">
        <f t="shared" si="100"/>
        <v>0</v>
      </c>
      <c r="K110" s="291">
        <f t="shared" si="100"/>
        <v>0</v>
      </c>
      <c r="L110" s="291">
        <f t="shared" si="100"/>
        <v>0</v>
      </c>
      <c r="M110" s="291">
        <f t="shared" si="100"/>
        <v>0</v>
      </c>
      <c r="N110" s="291">
        <f t="shared" si="100"/>
        <v>0</v>
      </c>
      <c r="O110" s="291">
        <f t="shared" si="100"/>
        <v>0</v>
      </c>
      <c r="P110" s="291">
        <f t="shared" si="100"/>
        <v>0</v>
      </c>
      <c r="Q110" s="291">
        <f t="shared" si="95"/>
        <v>0</v>
      </c>
    </row>
    <row r="111" spans="3:17" x14ac:dyDescent="0.25">
      <c r="C111" s="17"/>
      <c r="D111" s="17"/>
      <c r="E111" s="291">
        <f t="shared" ref="E111:P111" si="101">E281+E450+E620</f>
        <v>0</v>
      </c>
      <c r="F111" s="291">
        <f t="shared" si="101"/>
        <v>0</v>
      </c>
      <c r="G111" s="291">
        <f t="shared" si="101"/>
        <v>0</v>
      </c>
      <c r="H111" s="291">
        <f t="shared" si="101"/>
        <v>0</v>
      </c>
      <c r="I111" s="291">
        <f t="shared" si="101"/>
        <v>0</v>
      </c>
      <c r="J111" s="291">
        <f t="shared" si="101"/>
        <v>0</v>
      </c>
      <c r="K111" s="291">
        <f t="shared" si="101"/>
        <v>0</v>
      </c>
      <c r="L111" s="291">
        <f t="shared" si="101"/>
        <v>0</v>
      </c>
      <c r="M111" s="291">
        <f t="shared" si="101"/>
        <v>0</v>
      </c>
      <c r="N111" s="291">
        <f t="shared" si="101"/>
        <v>0</v>
      </c>
      <c r="O111" s="291">
        <f t="shared" si="101"/>
        <v>0</v>
      </c>
      <c r="P111" s="291">
        <f t="shared" si="101"/>
        <v>0</v>
      </c>
      <c r="Q111" s="291">
        <f t="shared" si="95"/>
        <v>0</v>
      </c>
    </row>
    <row r="112" spans="3:17" x14ac:dyDescent="0.25">
      <c r="C112" s="17"/>
      <c r="D112" s="17"/>
      <c r="E112" s="291">
        <f t="shared" ref="E112:P112" si="102">E282+E451+E621</f>
        <v>0</v>
      </c>
      <c r="F112" s="291">
        <f t="shared" si="102"/>
        <v>0</v>
      </c>
      <c r="G112" s="291">
        <f t="shared" si="102"/>
        <v>0</v>
      </c>
      <c r="H112" s="291">
        <f t="shared" si="102"/>
        <v>0</v>
      </c>
      <c r="I112" s="291">
        <f t="shared" si="102"/>
        <v>0</v>
      </c>
      <c r="J112" s="291">
        <f t="shared" si="102"/>
        <v>0</v>
      </c>
      <c r="K112" s="291">
        <f t="shared" si="102"/>
        <v>0</v>
      </c>
      <c r="L112" s="291">
        <f t="shared" si="102"/>
        <v>0</v>
      </c>
      <c r="M112" s="291">
        <f t="shared" si="102"/>
        <v>0</v>
      </c>
      <c r="N112" s="291">
        <f t="shared" si="102"/>
        <v>0</v>
      </c>
      <c r="O112" s="291">
        <f t="shared" si="102"/>
        <v>0</v>
      </c>
      <c r="P112" s="291">
        <f t="shared" si="102"/>
        <v>0</v>
      </c>
      <c r="Q112" s="291">
        <f t="shared" si="95"/>
        <v>0</v>
      </c>
    </row>
    <row r="113" spans="3:17" x14ac:dyDescent="0.25">
      <c r="C113" s="753" t="s">
        <v>403</v>
      </c>
      <c r="D113" s="753"/>
      <c r="E113" s="329">
        <f t="shared" ref="E113:P113" si="103">SUM(E105:E112)</f>
        <v>89.245284417499988</v>
      </c>
      <c r="F113" s="329">
        <f t="shared" si="103"/>
        <v>127.78818869894999</v>
      </c>
      <c r="G113" s="329">
        <f t="shared" si="103"/>
        <v>74.183463854549998</v>
      </c>
      <c r="H113" s="329">
        <f t="shared" si="103"/>
        <v>102.3082974631</v>
      </c>
      <c r="I113" s="329">
        <f t="shared" si="103"/>
        <v>130.92069095894999</v>
      </c>
      <c r="J113" s="329">
        <f t="shared" si="103"/>
        <v>118.01545293104999</v>
      </c>
      <c r="K113" s="329">
        <f t="shared" si="103"/>
        <v>127.08162329765</v>
      </c>
      <c r="L113" s="329">
        <f t="shared" si="103"/>
        <v>96.702400140599991</v>
      </c>
      <c r="M113" s="329">
        <f t="shared" si="103"/>
        <v>94.145606712749995</v>
      </c>
      <c r="N113" s="329">
        <f t="shared" si="103"/>
        <v>125.28659408345</v>
      </c>
      <c r="O113" s="329">
        <f t="shared" si="103"/>
        <v>107.06992197945</v>
      </c>
      <c r="P113" s="329">
        <f t="shared" si="103"/>
        <v>114.82207245564999</v>
      </c>
      <c r="Q113" s="336">
        <f t="shared" si="95"/>
        <v>1307.5695969936501</v>
      </c>
    </row>
    <row r="114" spans="3:17" x14ac:dyDescent="0.25">
      <c r="C114" s="800" t="s">
        <v>404</v>
      </c>
      <c r="D114" s="800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</row>
    <row r="115" spans="3:17" x14ac:dyDescent="0.25">
      <c r="C115" s="17"/>
      <c r="D115" s="17" t="s">
        <v>405</v>
      </c>
      <c r="E115" s="291">
        <f t="shared" ref="E115:P115" si="104">E285+E454+E624</f>
        <v>0</v>
      </c>
      <c r="F115" s="291">
        <f t="shared" si="104"/>
        <v>0</v>
      </c>
      <c r="G115" s="291">
        <f t="shared" si="104"/>
        <v>0</v>
      </c>
      <c r="H115" s="291">
        <f t="shared" si="104"/>
        <v>0</v>
      </c>
      <c r="I115" s="291">
        <f t="shared" si="104"/>
        <v>0</v>
      </c>
      <c r="J115" s="291">
        <f t="shared" si="104"/>
        <v>0</v>
      </c>
      <c r="K115" s="291">
        <f t="shared" si="104"/>
        <v>0</v>
      </c>
      <c r="L115" s="291">
        <f t="shared" si="104"/>
        <v>0</v>
      </c>
      <c r="M115" s="291">
        <f t="shared" si="104"/>
        <v>0</v>
      </c>
      <c r="N115" s="291">
        <f t="shared" si="104"/>
        <v>0</v>
      </c>
      <c r="O115" s="291">
        <f t="shared" si="104"/>
        <v>0</v>
      </c>
      <c r="P115" s="291">
        <f t="shared" si="104"/>
        <v>0</v>
      </c>
      <c r="Q115" s="291">
        <f t="shared" ref="Q115:Q139" si="105">SUM(E115:P115)</f>
        <v>0</v>
      </c>
    </row>
    <row r="116" spans="3:17" x14ac:dyDescent="0.25">
      <c r="C116" s="17"/>
      <c r="D116" s="17" t="s">
        <v>406</v>
      </c>
      <c r="E116" s="291">
        <f t="shared" ref="E116:P116" si="106">E286+E455+E625</f>
        <v>0</v>
      </c>
      <c r="F116" s="291">
        <f t="shared" si="106"/>
        <v>0</v>
      </c>
      <c r="G116" s="291">
        <f t="shared" si="106"/>
        <v>0</v>
      </c>
      <c r="H116" s="291">
        <f t="shared" si="106"/>
        <v>0</v>
      </c>
      <c r="I116" s="291">
        <f t="shared" si="106"/>
        <v>0</v>
      </c>
      <c r="J116" s="291">
        <f t="shared" si="106"/>
        <v>0</v>
      </c>
      <c r="K116" s="291">
        <f t="shared" si="106"/>
        <v>0</v>
      </c>
      <c r="L116" s="291">
        <f t="shared" si="106"/>
        <v>0</v>
      </c>
      <c r="M116" s="291">
        <f t="shared" si="106"/>
        <v>0</v>
      </c>
      <c r="N116" s="291">
        <f t="shared" si="106"/>
        <v>0</v>
      </c>
      <c r="O116" s="291">
        <f t="shared" si="106"/>
        <v>0</v>
      </c>
      <c r="P116" s="291">
        <f t="shared" si="106"/>
        <v>0</v>
      </c>
      <c r="Q116" s="291">
        <f t="shared" si="105"/>
        <v>0</v>
      </c>
    </row>
    <row r="117" spans="3:17" x14ac:dyDescent="0.25">
      <c r="C117" s="17"/>
      <c r="D117" s="17" t="s">
        <v>407</v>
      </c>
      <c r="E117" s="291">
        <f t="shared" ref="E117:P117" si="107">E287+E456+E626</f>
        <v>0</v>
      </c>
      <c r="F117" s="291">
        <f t="shared" si="107"/>
        <v>0</v>
      </c>
      <c r="G117" s="291">
        <f t="shared" si="107"/>
        <v>0</v>
      </c>
      <c r="H117" s="291">
        <f t="shared" si="107"/>
        <v>0</v>
      </c>
      <c r="I117" s="291">
        <f t="shared" si="107"/>
        <v>0</v>
      </c>
      <c r="J117" s="291">
        <f t="shared" si="107"/>
        <v>0</v>
      </c>
      <c r="K117" s="291">
        <f t="shared" si="107"/>
        <v>0</v>
      </c>
      <c r="L117" s="291">
        <f t="shared" si="107"/>
        <v>0</v>
      </c>
      <c r="M117" s="291">
        <f t="shared" si="107"/>
        <v>0</v>
      </c>
      <c r="N117" s="291">
        <f t="shared" si="107"/>
        <v>0</v>
      </c>
      <c r="O117" s="291">
        <f t="shared" si="107"/>
        <v>0</v>
      </c>
      <c r="P117" s="291">
        <f t="shared" si="107"/>
        <v>0</v>
      </c>
      <c r="Q117" s="291">
        <f t="shared" si="105"/>
        <v>0</v>
      </c>
    </row>
    <row r="118" spans="3:17" x14ac:dyDescent="0.25">
      <c r="C118" s="17"/>
      <c r="D118" s="17" t="s">
        <v>408</v>
      </c>
      <c r="E118" s="291">
        <f t="shared" ref="E118:P118" si="108">E288+E457+E627</f>
        <v>0</v>
      </c>
      <c r="F118" s="291">
        <f t="shared" si="108"/>
        <v>0</v>
      </c>
      <c r="G118" s="291">
        <f t="shared" si="108"/>
        <v>0</v>
      </c>
      <c r="H118" s="291">
        <f t="shared" si="108"/>
        <v>0</v>
      </c>
      <c r="I118" s="291">
        <f t="shared" si="108"/>
        <v>0</v>
      </c>
      <c r="J118" s="291">
        <f t="shared" si="108"/>
        <v>0</v>
      </c>
      <c r="K118" s="291">
        <f t="shared" si="108"/>
        <v>0</v>
      </c>
      <c r="L118" s="291">
        <f t="shared" si="108"/>
        <v>0</v>
      </c>
      <c r="M118" s="291">
        <f t="shared" si="108"/>
        <v>0</v>
      </c>
      <c r="N118" s="291">
        <f t="shared" si="108"/>
        <v>0</v>
      </c>
      <c r="O118" s="291">
        <f t="shared" si="108"/>
        <v>0</v>
      </c>
      <c r="P118" s="291">
        <f t="shared" si="108"/>
        <v>0</v>
      </c>
      <c r="Q118" s="291">
        <f t="shared" si="105"/>
        <v>0</v>
      </c>
    </row>
    <row r="119" spans="3:17" x14ac:dyDescent="0.25">
      <c r="C119" s="17"/>
      <c r="D119" s="17" t="s">
        <v>409</v>
      </c>
      <c r="E119" s="291">
        <f t="shared" ref="E119:P119" si="109">E289+E458+E628</f>
        <v>0</v>
      </c>
      <c r="F119" s="291">
        <f t="shared" si="109"/>
        <v>0</v>
      </c>
      <c r="G119" s="291">
        <f t="shared" si="109"/>
        <v>0</v>
      </c>
      <c r="H119" s="291">
        <f t="shared" si="109"/>
        <v>0</v>
      </c>
      <c r="I119" s="291">
        <f t="shared" si="109"/>
        <v>0</v>
      </c>
      <c r="J119" s="291">
        <f t="shared" si="109"/>
        <v>0</v>
      </c>
      <c r="K119" s="291">
        <f t="shared" si="109"/>
        <v>0</v>
      </c>
      <c r="L119" s="291">
        <f t="shared" si="109"/>
        <v>0</v>
      </c>
      <c r="M119" s="291">
        <f t="shared" si="109"/>
        <v>0</v>
      </c>
      <c r="N119" s="291">
        <f t="shared" si="109"/>
        <v>0</v>
      </c>
      <c r="O119" s="291">
        <f t="shared" si="109"/>
        <v>0</v>
      </c>
      <c r="P119" s="291">
        <f t="shared" si="109"/>
        <v>0</v>
      </c>
      <c r="Q119" s="291">
        <f t="shared" si="105"/>
        <v>0</v>
      </c>
    </row>
    <row r="120" spans="3:17" x14ac:dyDescent="0.25">
      <c r="C120" s="17"/>
      <c r="D120" s="17" t="s">
        <v>367</v>
      </c>
      <c r="E120" s="291">
        <f t="shared" ref="E120:P120" si="110">E290+E459+E629</f>
        <v>0</v>
      </c>
      <c r="F120" s="291">
        <f t="shared" si="110"/>
        <v>0</v>
      </c>
      <c r="G120" s="291">
        <f t="shared" si="110"/>
        <v>0</v>
      </c>
      <c r="H120" s="291">
        <f t="shared" si="110"/>
        <v>0</v>
      </c>
      <c r="I120" s="291">
        <f t="shared" si="110"/>
        <v>0</v>
      </c>
      <c r="J120" s="291">
        <f t="shared" si="110"/>
        <v>0</v>
      </c>
      <c r="K120" s="291">
        <f t="shared" si="110"/>
        <v>0</v>
      </c>
      <c r="L120" s="291">
        <f t="shared" si="110"/>
        <v>0</v>
      </c>
      <c r="M120" s="291">
        <f t="shared" si="110"/>
        <v>0</v>
      </c>
      <c r="N120" s="291">
        <f t="shared" si="110"/>
        <v>0</v>
      </c>
      <c r="O120" s="291">
        <f t="shared" si="110"/>
        <v>0</v>
      </c>
      <c r="P120" s="291">
        <f t="shared" si="110"/>
        <v>0</v>
      </c>
      <c r="Q120" s="291">
        <f t="shared" si="105"/>
        <v>0</v>
      </c>
    </row>
    <row r="121" spans="3:17" x14ac:dyDescent="0.25">
      <c r="C121" s="17"/>
      <c r="D121" s="17" t="s">
        <v>410</v>
      </c>
      <c r="E121" s="291">
        <f t="shared" ref="E121:P121" si="111">E291+E460+E630</f>
        <v>0</v>
      </c>
      <c r="F121" s="291">
        <f t="shared" si="111"/>
        <v>0</v>
      </c>
      <c r="G121" s="291">
        <f t="shared" si="111"/>
        <v>0</v>
      </c>
      <c r="H121" s="291">
        <f t="shared" si="111"/>
        <v>0</v>
      </c>
      <c r="I121" s="291">
        <f t="shared" si="111"/>
        <v>0</v>
      </c>
      <c r="J121" s="291">
        <f t="shared" si="111"/>
        <v>0</v>
      </c>
      <c r="K121" s="291">
        <f t="shared" si="111"/>
        <v>0</v>
      </c>
      <c r="L121" s="291">
        <f t="shared" si="111"/>
        <v>0</v>
      </c>
      <c r="M121" s="291">
        <f t="shared" si="111"/>
        <v>0</v>
      </c>
      <c r="N121" s="291">
        <f t="shared" si="111"/>
        <v>0</v>
      </c>
      <c r="O121" s="291">
        <f t="shared" si="111"/>
        <v>0</v>
      </c>
      <c r="P121" s="291">
        <f t="shared" si="111"/>
        <v>0</v>
      </c>
      <c r="Q121" s="291">
        <f t="shared" si="105"/>
        <v>0</v>
      </c>
    </row>
    <row r="122" spans="3:17" x14ac:dyDescent="0.25">
      <c r="C122" s="17"/>
      <c r="D122" s="17" t="s">
        <v>411</v>
      </c>
      <c r="E122" s="291">
        <f t="shared" ref="E122:P122" si="112">E292+E461+E631</f>
        <v>0</v>
      </c>
      <c r="F122" s="291">
        <f t="shared" si="112"/>
        <v>0</v>
      </c>
      <c r="G122" s="291">
        <f t="shared" si="112"/>
        <v>0</v>
      </c>
      <c r="H122" s="291">
        <f t="shared" si="112"/>
        <v>0</v>
      </c>
      <c r="I122" s="291">
        <f t="shared" si="112"/>
        <v>0</v>
      </c>
      <c r="J122" s="291">
        <f t="shared" si="112"/>
        <v>0</v>
      </c>
      <c r="K122" s="291">
        <f t="shared" si="112"/>
        <v>0</v>
      </c>
      <c r="L122" s="291">
        <f t="shared" si="112"/>
        <v>0</v>
      </c>
      <c r="M122" s="291">
        <f t="shared" si="112"/>
        <v>0</v>
      </c>
      <c r="N122" s="291">
        <f t="shared" si="112"/>
        <v>0</v>
      </c>
      <c r="O122" s="291">
        <f t="shared" si="112"/>
        <v>0</v>
      </c>
      <c r="P122" s="291">
        <f t="shared" si="112"/>
        <v>0</v>
      </c>
      <c r="Q122" s="291">
        <f t="shared" si="105"/>
        <v>0</v>
      </c>
    </row>
    <row r="123" spans="3:17" x14ac:dyDescent="0.25">
      <c r="C123" s="17"/>
      <c r="D123" s="17" t="s">
        <v>412</v>
      </c>
      <c r="E123" s="291">
        <f t="shared" ref="E123:P123" si="113">E293+E462+E632</f>
        <v>0</v>
      </c>
      <c r="F123" s="291">
        <f t="shared" si="113"/>
        <v>0</v>
      </c>
      <c r="G123" s="291">
        <f t="shared" si="113"/>
        <v>0</v>
      </c>
      <c r="H123" s="291">
        <f t="shared" si="113"/>
        <v>0</v>
      </c>
      <c r="I123" s="291">
        <f t="shared" si="113"/>
        <v>0</v>
      </c>
      <c r="J123" s="291">
        <f t="shared" si="113"/>
        <v>0</v>
      </c>
      <c r="K123" s="291">
        <f t="shared" si="113"/>
        <v>0</v>
      </c>
      <c r="L123" s="291">
        <f t="shared" si="113"/>
        <v>0</v>
      </c>
      <c r="M123" s="291">
        <f t="shared" si="113"/>
        <v>0</v>
      </c>
      <c r="N123" s="291">
        <f t="shared" si="113"/>
        <v>0</v>
      </c>
      <c r="O123" s="291">
        <f t="shared" si="113"/>
        <v>0</v>
      </c>
      <c r="P123" s="291">
        <f t="shared" si="113"/>
        <v>0</v>
      </c>
      <c r="Q123" s="291">
        <f t="shared" si="105"/>
        <v>0</v>
      </c>
    </row>
    <row r="124" spans="3:17" x14ac:dyDescent="0.25">
      <c r="C124" s="17"/>
      <c r="D124" s="17" t="s">
        <v>413</v>
      </c>
      <c r="E124" s="291">
        <f t="shared" ref="E124:P124" si="114">E294+E463+E633</f>
        <v>0</v>
      </c>
      <c r="F124" s="291">
        <f t="shared" si="114"/>
        <v>0</v>
      </c>
      <c r="G124" s="291">
        <f t="shared" si="114"/>
        <v>0</v>
      </c>
      <c r="H124" s="291">
        <f t="shared" si="114"/>
        <v>0</v>
      </c>
      <c r="I124" s="291">
        <f t="shared" si="114"/>
        <v>0</v>
      </c>
      <c r="J124" s="291">
        <f t="shared" si="114"/>
        <v>0</v>
      </c>
      <c r="K124" s="291">
        <f t="shared" si="114"/>
        <v>0</v>
      </c>
      <c r="L124" s="291">
        <f t="shared" si="114"/>
        <v>0</v>
      </c>
      <c r="M124" s="291">
        <f t="shared" si="114"/>
        <v>0</v>
      </c>
      <c r="N124" s="291">
        <f t="shared" si="114"/>
        <v>0</v>
      </c>
      <c r="O124" s="291">
        <f t="shared" si="114"/>
        <v>0</v>
      </c>
      <c r="P124" s="291">
        <f t="shared" si="114"/>
        <v>0</v>
      </c>
      <c r="Q124" s="291">
        <f t="shared" si="105"/>
        <v>0</v>
      </c>
    </row>
    <row r="125" spans="3:17" x14ac:dyDescent="0.25">
      <c r="C125" s="17"/>
      <c r="D125" s="17" t="s">
        <v>414</v>
      </c>
      <c r="E125" s="291">
        <f t="shared" ref="E125:P125" si="115">E295+E464+E634</f>
        <v>0</v>
      </c>
      <c r="F125" s="291">
        <f t="shared" si="115"/>
        <v>0</v>
      </c>
      <c r="G125" s="291">
        <f t="shared" si="115"/>
        <v>0</v>
      </c>
      <c r="H125" s="291">
        <f t="shared" si="115"/>
        <v>0</v>
      </c>
      <c r="I125" s="291">
        <f t="shared" si="115"/>
        <v>0</v>
      </c>
      <c r="J125" s="291">
        <f t="shared" si="115"/>
        <v>0</v>
      </c>
      <c r="K125" s="291">
        <f t="shared" si="115"/>
        <v>0</v>
      </c>
      <c r="L125" s="291">
        <f t="shared" si="115"/>
        <v>0</v>
      </c>
      <c r="M125" s="291">
        <f t="shared" si="115"/>
        <v>0</v>
      </c>
      <c r="N125" s="291">
        <f t="shared" si="115"/>
        <v>0</v>
      </c>
      <c r="O125" s="291">
        <f t="shared" si="115"/>
        <v>0</v>
      </c>
      <c r="P125" s="291">
        <f t="shared" si="115"/>
        <v>0</v>
      </c>
      <c r="Q125" s="291">
        <f t="shared" si="105"/>
        <v>0</v>
      </c>
    </row>
    <row r="126" spans="3:17" x14ac:dyDescent="0.25">
      <c r="C126" s="17"/>
      <c r="D126" s="17" t="s">
        <v>415</v>
      </c>
      <c r="E126" s="291">
        <f t="shared" ref="E126:P126" si="116">E296+E465+E635</f>
        <v>0</v>
      </c>
      <c r="F126" s="291">
        <f t="shared" si="116"/>
        <v>0</v>
      </c>
      <c r="G126" s="291">
        <f t="shared" si="116"/>
        <v>0</v>
      </c>
      <c r="H126" s="291">
        <f t="shared" si="116"/>
        <v>0</v>
      </c>
      <c r="I126" s="291">
        <f t="shared" si="116"/>
        <v>0</v>
      </c>
      <c r="J126" s="291">
        <f t="shared" si="116"/>
        <v>0</v>
      </c>
      <c r="K126" s="291">
        <f t="shared" si="116"/>
        <v>0</v>
      </c>
      <c r="L126" s="291">
        <f t="shared" si="116"/>
        <v>0</v>
      </c>
      <c r="M126" s="291">
        <f t="shared" si="116"/>
        <v>0</v>
      </c>
      <c r="N126" s="291">
        <f t="shared" si="116"/>
        <v>0</v>
      </c>
      <c r="O126" s="291">
        <f t="shared" si="116"/>
        <v>0</v>
      </c>
      <c r="P126" s="291">
        <f t="shared" si="116"/>
        <v>0</v>
      </c>
      <c r="Q126" s="291">
        <f t="shared" si="105"/>
        <v>0</v>
      </c>
    </row>
    <row r="127" spans="3:17" x14ac:dyDescent="0.25">
      <c r="C127" s="17"/>
      <c r="D127" s="17" t="s">
        <v>416</v>
      </c>
      <c r="E127" s="291">
        <f t="shared" ref="E127:P127" si="117">E297+E466+E636</f>
        <v>0</v>
      </c>
      <c r="F127" s="291">
        <f t="shared" si="117"/>
        <v>0</v>
      </c>
      <c r="G127" s="291">
        <f t="shared" si="117"/>
        <v>0</v>
      </c>
      <c r="H127" s="291">
        <f t="shared" si="117"/>
        <v>0</v>
      </c>
      <c r="I127" s="291">
        <f t="shared" si="117"/>
        <v>0</v>
      </c>
      <c r="J127" s="291">
        <f t="shared" si="117"/>
        <v>0</v>
      </c>
      <c r="K127" s="291">
        <f t="shared" si="117"/>
        <v>0</v>
      </c>
      <c r="L127" s="291">
        <f t="shared" si="117"/>
        <v>0</v>
      </c>
      <c r="M127" s="291">
        <f t="shared" si="117"/>
        <v>0</v>
      </c>
      <c r="N127" s="291">
        <f t="shared" si="117"/>
        <v>0</v>
      </c>
      <c r="O127" s="291">
        <f t="shared" si="117"/>
        <v>0</v>
      </c>
      <c r="P127" s="291">
        <f t="shared" si="117"/>
        <v>0</v>
      </c>
      <c r="Q127" s="291">
        <f t="shared" si="105"/>
        <v>0</v>
      </c>
    </row>
    <row r="128" spans="3:17" x14ac:dyDescent="0.25">
      <c r="C128" s="17"/>
      <c r="D128" s="17" t="s">
        <v>417</v>
      </c>
      <c r="E128" s="291">
        <f t="shared" ref="E128:P128" si="118">E298+E467+E637</f>
        <v>0</v>
      </c>
      <c r="F128" s="291">
        <f t="shared" si="118"/>
        <v>0</v>
      </c>
      <c r="G128" s="291">
        <f t="shared" si="118"/>
        <v>0</v>
      </c>
      <c r="H128" s="291">
        <f t="shared" si="118"/>
        <v>0</v>
      </c>
      <c r="I128" s="291">
        <f t="shared" si="118"/>
        <v>0</v>
      </c>
      <c r="J128" s="291">
        <f t="shared" si="118"/>
        <v>0</v>
      </c>
      <c r="K128" s="291">
        <f t="shared" si="118"/>
        <v>0</v>
      </c>
      <c r="L128" s="291">
        <f t="shared" si="118"/>
        <v>0</v>
      </c>
      <c r="M128" s="291">
        <f t="shared" si="118"/>
        <v>0</v>
      </c>
      <c r="N128" s="291">
        <f t="shared" si="118"/>
        <v>0</v>
      </c>
      <c r="O128" s="291">
        <f t="shared" si="118"/>
        <v>0</v>
      </c>
      <c r="P128" s="291">
        <f t="shared" si="118"/>
        <v>0</v>
      </c>
      <c r="Q128" s="291">
        <f t="shared" si="105"/>
        <v>0</v>
      </c>
    </row>
    <row r="129" spans="3:17" x14ac:dyDescent="0.25">
      <c r="C129" s="17"/>
      <c r="D129" s="327" t="s">
        <v>418</v>
      </c>
      <c r="E129" s="291">
        <f t="shared" ref="E129:P129" si="119">E299+E468+E638</f>
        <v>0</v>
      </c>
      <c r="F129" s="291">
        <f t="shared" si="119"/>
        <v>0</v>
      </c>
      <c r="G129" s="291">
        <f t="shared" si="119"/>
        <v>0</v>
      </c>
      <c r="H129" s="291">
        <f t="shared" si="119"/>
        <v>0</v>
      </c>
      <c r="I129" s="291">
        <f t="shared" si="119"/>
        <v>0</v>
      </c>
      <c r="J129" s="291">
        <f t="shared" si="119"/>
        <v>0</v>
      </c>
      <c r="K129" s="291">
        <f t="shared" si="119"/>
        <v>0</v>
      </c>
      <c r="L129" s="291">
        <f t="shared" si="119"/>
        <v>0</v>
      </c>
      <c r="M129" s="291">
        <f t="shared" si="119"/>
        <v>0</v>
      </c>
      <c r="N129" s="291">
        <f t="shared" si="119"/>
        <v>0</v>
      </c>
      <c r="O129" s="291">
        <f t="shared" si="119"/>
        <v>0</v>
      </c>
      <c r="P129" s="291">
        <f t="shared" si="119"/>
        <v>0</v>
      </c>
      <c r="Q129" s="291">
        <f t="shared" si="105"/>
        <v>0</v>
      </c>
    </row>
    <row r="130" spans="3:17" x14ac:dyDescent="0.25">
      <c r="C130" s="17"/>
      <c r="D130" s="327" t="s">
        <v>419</v>
      </c>
      <c r="E130" s="291">
        <f t="shared" ref="E130:P131" si="120">E300+E469+E639</f>
        <v>0</v>
      </c>
      <c r="F130" s="291">
        <f t="shared" si="120"/>
        <v>0</v>
      </c>
      <c r="G130" s="291">
        <f t="shared" si="120"/>
        <v>0</v>
      </c>
      <c r="H130" s="291">
        <f t="shared" si="120"/>
        <v>0</v>
      </c>
      <c r="I130" s="291">
        <f t="shared" si="120"/>
        <v>0</v>
      </c>
      <c r="J130" s="291">
        <f t="shared" si="120"/>
        <v>0</v>
      </c>
      <c r="K130" s="291">
        <f t="shared" si="120"/>
        <v>0</v>
      </c>
      <c r="L130" s="291">
        <f t="shared" si="120"/>
        <v>0</v>
      </c>
      <c r="M130" s="291">
        <f t="shared" si="120"/>
        <v>0</v>
      </c>
      <c r="N130" s="291">
        <f t="shared" si="120"/>
        <v>0</v>
      </c>
      <c r="O130" s="291">
        <f t="shared" si="120"/>
        <v>0</v>
      </c>
      <c r="P130" s="291">
        <f t="shared" si="120"/>
        <v>0</v>
      </c>
      <c r="Q130" s="291">
        <f t="shared" si="105"/>
        <v>0</v>
      </c>
    </row>
    <row r="131" spans="3:17" x14ac:dyDescent="0.25">
      <c r="C131" s="17"/>
      <c r="D131" s="17" t="s">
        <v>626</v>
      </c>
      <c r="E131" s="291">
        <f t="shared" si="120"/>
        <v>136.76129258016948</v>
      </c>
      <c r="F131" s="291">
        <f t="shared" si="120"/>
        <v>139.54140963867999</v>
      </c>
      <c r="G131" s="291">
        <f t="shared" si="120"/>
        <v>183.45956693972701</v>
      </c>
      <c r="H131" s="291">
        <f t="shared" si="120"/>
        <v>96.090975452523722</v>
      </c>
      <c r="I131" s="291">
        <f t="shared" si="120"/>
        <v>110.57860087496124</v>
      </c>
      <c r="J131" s="291">
        <f t="shared" si="120"/>
        <v>100.08666678970449</v>
      </c>
      <c r="K131" s="291">
        <f t="shared" si="120"/>
        <v>128.15527967901093</v>
      </c>
      <c r="L131" s="291">
        <f t="shared" si="120"/>
        <v>110.33355275871176</v>
      </c>
      <c r="M131" s="291">
        <f t="shared" si="120"/>
        <v>115.40317659134303</v>
      </c>
      <c r="N131" s="291">
        <f t="shared" si="120"/>
        <v>116.99137600846699</v>
      </c>
      <c r="O131" s="291">
        <f t="shared" si="120"/>
        <v>134.68633221540151</v>
      </c>
      <c r="P131" s="291">
        <f t="shared" si="120"/>
        <v>144.37637892547701</v>
      </c>
      <c r="Q131" s="291">
        <f t="shared" si="105"/>
        <v>1516.4646084541771</v>
      </c>
    </row>
    <row r="132" spans="3:17" x14ac:dyDescent="0.25">
      <c r="C132" s="17"/>
      <c r="D132" s="17"/>
      <c r="E132" s="291">
        <f t="shared" ref="E132:P132" si="121">E302+E471+E641</f>
        <v>0</v>
      </c>
      <c r="F132" s="291">
        <f t="shared" si="121"/>
        <v>0</v>
      </c>
      <c r="G132" s="291">
        <f t="shared" si="121"/>
        <v>0</v>
      </c>
      <c r="H132" s="291">
        <f t="shared" si="121"/>
        <v>0</v>
      </c>
      <c r="I132" s="291">
        <f t="shared" si="121"/>
        <v>0</v>
      </c>
      <c r="J132" s="291">
        <f t="shared" si="121"/>
        <v>0</v>
      </c>
      <c r="K132" s="291">
        <f t="shared" si="121"/>
        <v>0</v>
      </c>
      <c r="L132" s="291">
        <f t="shared" si="121"/>
        <v>0</v>
      </c>
      <c r="M132" s="291">
        <f t="shared" si="121"/>
        <v>0</v>
      </c>
      <c r="N132" s="291">
        <f t="shared" si="121"/>
        <v>0</v>
      </c>
      <c r="O132" s="291">
        <f t="shared" si="121"/>
        <v>0</v>
      </c>
      <c r="P132" s="291">
        <f t="shared" si="121"/>
        <v>0</v>
      </c>
      <c r="Q132" s="291">
        <f t="shared" si="105"/>
        <v>0</v>
      </c>
    </row>
    <row r="133" spans="3:17" x14ac:dyDescent="0.25">
      <c r="C133" s="17"/>
      <c r="D133" s="17"/>
      <c r="E133" s="291">
        <f t="shared" ref="E133:P133" si="122">E303+E472+E642</f>
        <v>0</v>
      </c>
      <c r="F133" s="291">
        <f t="shared" si="122"/>
        <v>0</v>
      </c>
      <c r="G133" s="291">
        <f t="shared" si="122"/>
        <v>0</v>
      </c>
      <c r="H133" s="291">
        <f t="shared" si="122"/>
        <v>0</v>
      </c>
      <c r="I133" s="291">
        <f t="shared" si="122"/>
        <v>0</v>
      </c>
      <c r="J133" s="291">
        <f t="shared" si="122"/>
        <v>0</v>
      </c>
      <c r="K133" s="291">
        <f t="shared" si="122"/>
        <v>0</v>
      </c>
      <c r="L133" s="291">
        <f t="shared" si="122"/>
        <v>0</v>
      </c>
      <c r="M133" s="291">
        <f t="shared" si="122"/>
        <v>0</v>
      </c>
      <c r="N133" s="291">
        <f t="shared" si="122"/>
        <v>0</v>
      </c>
      <c r="O133" s="291">
        <f t="shared" si="122"/>
        <v>0</v>
      </c>
      <c r="P133" s="291">
        <f t="shared" si="122"/>
        <v>0</v>
      </c>
      <c r="Q133" s="291">
        <f t="shared" si="105"/>
        <v>0</v>
      </c>
    </row>
    <row r="134" spans="3:17" x14ac:dyDescent="0.25">
      <c r="C134" s="17"/>
      <c r="D134" s="17"/>
      <c r="E134" s="291">
        <f t="shared" ref="E134:P134" si="123">E304+E473+E643</f>
        <v>0</v>
      </c>
      <c r="F134" s="291">
        <f t="shared" si="123"/>
        <v>0</v>
      </c>
      <c r="G134" s="291">
        <f t="shared" si="123"/>
        <v>0</v>
      </c>
      <c r="H134" s="291">
        <f t="shared" si="123"/>
        <v>0</v>
      </c>
      <c r="I134" s="291">
        <f t="shared" si="123"/>
        <v>0</v>
      </c>
      <c r="J134" s="291">
        <f t="shared" si="123"/>
        <v>0</v>
      </c>
      <c r="K134" s="291">
        <f t="shared" si="123"/>
        <v>0</v>
      </c>
      <c r="L134" s="291">
        <f t="shared" si="123"/>
        <v>0</v>
      </c>
      <c r="M134" s="291">
        <f t="shared" si="123"/>
        <v>0</v>
      </c>
      <c r="N134" s="291">
        <f t="shared" si="123"/>
        <v>0</v>
      </c>
      <c r="O134" s="291">
        <f t="shared" si="123"/>
        <v>0</v>
      </c>
      <c r="P134" s="291">
        <f t="shared" si="123"/>
        <v>0</v>
      </c>
      <c r="Q134" s="291">
        <f t="shared" si="105"/>
        <v>0</v>
      </c>
    </row>
    <row r="135" spans="3:17" x14ac:dyDescent="0.25">
      <c r="C135" s="17"/>
      <c r="D135" s="17"/>
      <c r="E135" s="291">
        <f t="shared" ref="E135:P135" si="124">E305+E474+E644</f>
        <v>0</v>
      </c>
      <c r="F135" s="291">
        <f t="shared" si="124"/>
        <v>0</v>
      </c>
      <c r="G135" s="291">
        <f t="shared" si="124"/>
        <v>0</v>
      </c>
      <c r="H135" s="291">
        <f t="shared" si="124"/>
        <v>0</v>
      </c>
      <c r="I135" s="291">
        <f t="shared" si="124"/>
        <v>0</v>
      </c>
      <c r="J135" s="291">
        <f t="shared" si="124"/>
        <v>0</v>
      </c>
      <c r="K135" s="291">
        <f t="shared" si="124"/>
        <v>0</v>
      </c>
      <c r="L135" s="291">
        <f t="shared" si="124"/>
        <v>0</v>
      </c>
      <c r="M135" s="291">
        <f t="shared" si="124"/>
        <v>0</v>
      </c>
      <c r="N135" s="291">
        <f t="shared" si="124"/>
        <v>0</v>
      </c>
      <c r="O135" s="291">
        <f t="shared" si="124"/>
        <v>0</v>
      </c>
      <c r="P135" s="291">
        <f t="shared" si="124"/>
        <v>0</v>
      </c>
      <c r="Q135" s="291">
        <f t="shared" si="105"/>
        <v>0</v>
      </c>
    </row>
    <row r="136" spans="3:17" x14ac:dyDescent="0.25">
      <c r="C136" s="17"/>
      <c r="D136" s="17"/>
      <c r="E136" s="291">
        <f t="shared" ref="E136:P136" si="125">E306+E475+E645</f>
        <v>0</v>
      </c>
      <c r="F136" s="291">
        <f t="shared" si="125"/>
        <v>0</v>
      </c>
      <c r="G136" s="291">
        <f t="shared" si="125"/>
        <v>0</v>
      </c>
      <c r="H136" s="291">
        <f t="shared" si="125"/>
        <v>0</v>
      </c>
      <c r="I136" s="291">
        <f t="shared" si="125"/>
        <v>0</v>
      </c>
      <c r="J136" s="291">
        <f t="shared" si="125"/>
        <v>0</v>
      </c>
      <c r="K136" s="291">
        <f t="shared" si="125"/>
        <v>0</v>
      </c>
      <c r="L136" s="291">
        <f t="shared" si="125"/>
        <v>0</v>
      </c>
      <c r="M136" s="291">
        <f t="shared" si="125"/>
        <v>0</v>
      </c>
      <c r="N136" s="291">
        <f t="shared" si="125"/>
        <v>0</v>
      </c>
      <c r="O136" s="291">
        <f t="shared" si="125"/>
        <v>0</v>
      </c>
      <c r="P136" s="291">
        <f t="shared" si="125"/>
        <v>0</v>
      </c>
      <c r="Q136" s="291">
        <f t="shared" si="105"/>
        <v>0</v>
      </c>
    </row>
    <row r="137" spans="3:17" x14ac:dyDescent="0.25">
      <c r="C137" s="17"/>
      <c r="D137" s="17"/>
      <c r="E137" s="291">
        <f t="shared" ref="E137:P137" si="126">E307+E476+E646</f>
        <v>0</v>
      </c>
      <c r="F137" s="291">
        <f t="shared" si="126"/>
        <v>0</v>
      </c>
      <c r="G137" s="291">
        <f t="shared" si="126"/>
        <v>0</v>
      </c>
      <c r="H137" s="291">
        <f t="shared" si="126"/>
        <v>0</v>
      </c>
      <c r="I137" s="291">
        <f t="shared" si="126"/>
        <v>0</v>
      </c>
      <c r="J137" s="291">
        <f t="shared" si="126"/>
        <v>0</v>
      </c>
      <c r="K137" s="291">
        <f t="shared" si="126"/>
        <v>0</v>
      </c>
      <c r="L137" s="291">
        <f t="shared" si="126"/>
        <v>0</v>
      </c>
      <c r="M137" s="291">
        <f t="shared" si="126"/>
        <v>0</v>
      </c>
      <c r="N137" s="291">
        <f t="shared" si="126"/>
        <v>0</v>
      </c>
      <c r="O137" s="291">
        <f t="shared" si="126"/>
        <v>0</v>
      </c>
      <c r="P137" s="291">
        <f t="shared" si="126"/>
        <v>0</v>
      </c>
      <c r="Q137" s="291">
        <f t="shared" si="105"/>
        <v>0</v>
      </c>
    </row>
    <row r="138" spans="3:17" x14ac:dyDescent="0.25">
      <c r="C138" s="17"/>
      <c r="D138" s="17"/>
      <c r="E138" s="291">
        <f t="shared" ref="E138:P138" si="127">E308+E477+E647</f>
        <v>0</v>
      </c>
      <c r="F138" s="291">
        <f t="shared" si="127"/>
        <v>0</v>
      </c>
      <c r="G138" s="291">
        <f t="shared" si="127"/>
        <v>0</v>
      </c>
      <c r="H138" s="291">
        <f t="shared" si="127"/>
        <v>0</v>
      </c>
      <c r="I138" s="291">
        <f t="shared" si="127"/>
        <v>0</v>
      </c>
      <c r="J138" s="291">
        <f t="shared" si="127"/>
        <v>0</v>
      </c>
      <c r="K138" s="291">
        <f t="shared" si="127"/>
        <v>0</v>
      </c>
      <c r="L138" s="291">
        <f t="shared" si="127"/>
        <v>0</v>
      </c>
      <c r="M138" s="291">
        <f t="shared" si="127"/>
        <v>0</v>
      </c>
      <c r="N138" s="291">
        <f t="shared" si="127"/>
        <v>0</v>
      </c>
      <c r="O138" s="291">
        <f t="shared" si="127"/>
        <v>0</v>
      </c>
      <c r="P138" s="291">
        <f t="shared" si="127"/>
        <v>0</v>
      </c>
      <c r="Q138" s="291">
        <f t="shared" si="105"/>
        <v>0</v>
      </c>
    </row>
    <row r="139" spans="3:17" x14ac:dyDescent="0.25">
      <c r="C139" s="753" t="s">
        <v>420</v>
      </c>
      <c r="D139" s="753"/>
      <c r="E139" s="329">
        <f t="shared" ref="E139:P139" si="128">SUM(E115:E138)</f>
        <v>136.76129258016948</v>
      </c>
      <c r="F139" s="329">
        <f t="shared" si="128"/>
        <v>139.54140963867999</v>
      </c>
      <c r="G139" s="329">
        <f t="shared" si="128"/>
        <v>183.45956693972701</v>
      </c>
      <c r="H139" s="329">
        <f t="shared" si="128"/>
        <v>96.090975452523722</v>
      </c>
      <c r="I139" s="329">
        <f t="shared" si="128"/>
        <v>110.57860087496124</v>
      </c>
      <c r="J139" s="329">
        <f t="shared" si="128"/>
        <v>100.08666678970449</v>
      </c>
      <c r="K139" s="329">
        <f t="shared" si="128"/>
        <v>128.15527967901093</v>
      </c>
      <c r="L139" s="329">
        <f t="shared" si="128"/>
        <v>110.33355275871176</v>
      </c>
      <c r="M139" s="329">
        <f t="shared" si="128"/>
        <v>115.40317659134303</v>
      </c>
      <c r="N139" s="329">
        <f t="shared" si="128"/>
        <v>116.99137600846699</v>
      </c>
      <c r="O139" s="329">
        <f t="shared" si="128"/>
        <v>134.68633221540151</v>
      </c>
      <c r="P139" s="329">
        <f t="shared" si="128"/>
        <v>144.37637892547701</v>
      </c>
      <c r="Q139" s="336">
        <f t="shared" si="105"/>
        <v>1516.4646084541771</v>
      </c>
    </row>
    <row r="140" spans="3:17" x14ac:dyDescent="0.25">
      <c r="C140" s="800" t="s">
        <v>421</v>
      </c>
      <c r="D140" s="800"/>
      <c r="E140" s="291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</row>
    <row r="141" spans="3:17" x14ac:dyDescent="0.25">
      <c r="C141" s="17"/>
      <c r="D141" s="17"/>
      <c r="E141" s="291">
        <f t="shared" ref="E141:P141" si="129">E311+E480+E650</f>
        <v>0</v>
      </c>
      <c r="F141" s="291">
        <f t="shared" si="129"/>
        <v>0</v>
      </c>
      <c r="G141" s="291">
        <f t="shared" si="129"/>
        <v>0</v>
      </c>
      <c r="H141" s="291">
        <f t="shared" si="129"/>
        <v>0</v>
      </c>
      <c r="I141" s="291">
        <f t="shared" si="129"/>
        <v>0</v>
      </c>
      <c r="J141" s="291">
        <f t="shared" si="129"/>
        <v>0</v>
      </c>
      <c r="K141" s="291">
        <f t="shared" si="129"/>
        <v>0</v>
      </c>
      <c r="L141" s="291">
        <f t="shared" si="129"/>
        <v>0</v>
      </c>
      <c r="M141" s="291">
        <f t="shared" si="129"/>
        <v>0</v>
      </c>
      <c r="N141" s="291">
        <f t="shared" si="129"/>
        <v>0</v>
      </c>
      <c r="O141" s="291">
        <f t="shared" si="129"/>
        <v>0</v>
      </c>
      <c r="P141" s="291">
        <f t="shared" si="129"/>
        <v>0</v>
      </c>
      <c r="Q141" s="291">
        <f t="shared" ref="Q141:Q165" si="130">SUM(E141:P141)</f>
        <v>0</v>
      </c>
    </row>
    <row r="142" spans="3:17" x14ac:dyDescent="0.25">
      <c r="C142" s="17"/>
      <c r="D142" s="17"/>
      <c r="E142" s="291">
        <f t="shared" ref="E142:P142" si="131">E312+E481+E651</f>
        <v>0</v>
      </c>
      <c r="F142" s="291">
        <f t="shared" si="131"/>
        <v>0</v>
      </c>
      <c r="G142" s="291">
        <f t="shared" si="131"/>
        <v>0</v>
      </c>
      <c r="H142" s="291">
        <f t="shared" si="131"/>
        <v>0</v>
      </c>
      <c r="I142" s="291">
        <f t="shared" si="131"/>
        <v>0</v>
      </c>
      <c r="J142" s="291">
        <f t="shared" si="131"/>
        <v>0</v>
      </c>
      <c r="K142" s="291">
        <f t="shared" si="131"/>
        <v>0</v>
      </c>
      <c r="L142" s="291">
        <f t="shared" si="131"/>
        <v>0</v>
      </c>
      <c r="M142" s="291">
        <f t="shared" si="131"/>
        <v>0</v>
      </c>
      <c r="N142" s="291">
        <f t="shared" si="131"/>
        <v>0</v>
      </c>
      <c r="O142" s="291">
        <f t="shared" si="131"/>
        <v>0</v>
      </c>
      <c r="P142" s="291">
        <f t="shared" si="131"/>
        <v>0</v>
      </c>
      <c r="Q142" s="291">
        <f t="shared" si="130"/>
        <v>0</v>
      </c>
    </row>
    <row r="143" spans="3:17" x14ac:dyDescent="0.25">
      <c r="C143" s="17"/>
      <c r="D143" s="17"/>
      <c r="E143" s="291">
        <f t="shared" ref="E143:P143" si="132">E313+E482+E652</f>
        <v>0</v>
      </c>
      <c r="F143" s="291">
        <f t="shared" si="132"/>
        <v>0</v>
      </c>
      <c r="G143" s="291">
        <f t="shared" si="132"/>
        <v>0</v>
      </c>
      <c r="H143" s="291">
        <f t="shared" si="132"/>
        <v>0</v>
      </c>
      <c r="I143" s="291">
        <f t="shared" si="132"/>
        <v>0</v>
      </c>
      <c r="J143" s="291">
        <f t="shared" si="132"/>
        <v>0</v>
      </c>
      <c r="K143" s="291">
        <f t="shared" si="132"/>
        <v>0</v>
      </c>
      <c r="L143" s="291">
        <f t="shared" si="132"/>
        <v>0</v>
      </c>
      <c r="M143" s="291">
        <f t="shared" si="132"/>
        <v>0</v>
      </c>
      <c r="N143" s="291">
        <f t="shared" si="132"/>
        <v>0</v>
      </c>
      <c r="O143" s="291">
        <f t="shared" si="132"/>
        <v>0</v>
      </c>
      <c r="P143" s="291">
        <f t="shared" si="132"/>
        <v>0</v>
      </c>
      <c r="Q143" s="291">
        <f t="shared" si="130"/>
        <v>0</v>
      </c>
    </row>
    <row r="144" spans="3:17" x14ac:dyDescent="0.25">
      <c r="C144" s="17"/>
      <c r="D144" s="325"/>
      <c r="E144" s="291">
        <f t="shared" ref="E144:P144" si="133">E314+E483+E653</f>
        <v>0</v>
      </c>
      <c r="F144" s="291">
        <f t="shared" si="133"/>
        <v>0</v>
      </c>
      <c r="G144" s="291">
        <f t="shared" si="133"/>
        <v>0</v>
      </c>
      <c r="H144" s="291">
        <f t="shared" si="133"/>
        <v>0</v>
      </c>
      <c r="I144" s="291">
        <f t="shared" si="133"/>
        <v>0</v>
      </c>
      <c r="J144" s="291">
        <f t="shared" si="133"/>
        <v>0</v>
      </c>
      <c r="K144" s="291">
        <f t="shared" si="133"/>
        <v>0</v>
      </c>
      <c r="L144" s="291">
        <f t="shared" si="133"/>
        <v>0</v>
      </c>
      <c r="M144" s="291">
        <f t="shared" si="133"/>
        <v>0</v>
      </c>
      <c r="N144" s="291">
        <f t="shared" si="133"/>
        <v>0</v>
      </c>
      <c r="O144" s="291">
        <f t="shared" si="133"/>
        <v>0</v>
      </c>
      <c r="P144" s="291">
        <f t="shared" si="133"/>
        <v>0</v>
      </c>
      <c r="Q144" s="291">
        <f t="shared" si="130"/>
        <v>0</v>
      </c>
    </row>
    <row r="145" spans="3:17" x14ac:dyDescent="0.25">
      <c r="C145" s="17"/>
      <c r="D145" s="325"/>
      <c r="E145" s="291">
        <f t="shared" ref="E145:P145" si="134">E315+E484+E654</f>
        <v>0</v>
      </c>
      <c r="F145" s="291">
        <f t="shared" si="134"/>
        <v>0</v>
      </c>
      <c r="G145" s="291">
        <f t="shared" si="134"/>
        <v>0</v>
      </c>
      <c r="H145" s="291">
        <f t="shared" si="134"/>
        <v>0</v>
      </c>
      <c r="I145" s="291">
        <f t="shared" si="134"/>
        <v>0</v>
      </c>
      <c r="J145" s="291">
        <f t="shared" si="134"/>
        <v>0</v>
      </c>
      <c r="K145" s="291">
        <f t="shared" si="134"/>
        <v>0</v>
      </c>
      <c r="L145" s="291">
        <f t="shared" si="134"/>
        <v>0</v>
      </c>
      <c r="M145" s="291">
        <f t="shared" si="134"/>
        <v>0</v>
      </c>
      <c r="N145" s="291">
        <f t="shared" si="134"/>
        <v>0</v>
      </c>
      <c r="O145" s="291">
        <f t="shared" si="134"/>
        <v>0</v>
      </c>
      <c r="P145" s="291">
        <f t="shared" si="134"/>
        <v>0</v>
      </c>
      <c r="Q145" s="291">
        <f t="shared" si="130"/>
        <v>0</v>
      </c>
    </row>
    <row r="146" spans="3:17" x14ac:dyDescent="0.25">
      <c r="C146" s="17"/>
      <c r="D146" s="325"/>
      <c r="E146" s="291">
        <f t="shared" ref="E146:P146" si="135">E316+E485+E655</f>
        <v>0</v>
      </c>
      <c r="F146" s="291">
        <f t="shared" si="135"/>
        <v>0</v>
      </c>
      <c r="G146" s="291">
        <f t="shared" si="135"/>
        <v>0</v>
      </c>
      <c r="H146" s="291">
        <f t="shared" si="135"/>
        <v>0</v>
      </c>
      <c r="I146" s="291">
        <f t="shared" si="135"/>
        <v>0</v>
      </c>
      <c r="J146" s="291">
        <f t="shared" si="135"/>
        <v>0</v>
      </c>
      <c r="K146" s="291">
        <f t="shared" si="135"/>
        <v>0</v>
      </c>
      <c r="L146" s="291">
        <f t="shared" si="135"/>
        <v>0</v>
      </c>
      <c r="M146" s="291">
        <f t="shared" si="135"/>
        <v>0</v>
      </c>
      <c r="N146" s="291">
        <f t="shared" si="135"/>
        <v>0</v>
      </c>
      <c r="O146" s="291">
        <f t="shared" si="135"/>
        <v>0</v>
      </c>
      <c r="P146" s="291">
        <f t="shared" si="135"/>
        <v>0</v>
      </c>
      <c r="Q146" s="291">
        <f t="shared" si="130"/>
        <v>0</v>
      </c>
    </row>
    <row r="147" spans="3:17" x14ac:dyDescent="0.25">
      <c r="C147" s="17"/>
      <c r="D147" s="325"/>
      <c r="E147" s="291">
        <f t="shared" ref="E147:P147" si="136">E317+E486+E656</f>
        <v>0</v>
      </c>
      <c r="F147" s="291">
        <f t="shared" si="136"/>
        <v>0</v>
      </c>
      <c r="G147" s="291">
        <f t="shared" si="136"/>
        <v>0</v>
      </c>
      <c r="H147" s="291">
        <f t="shared" si="136"/>
        <v>0</v>
      </c>
      <c r="I147" s="291">
        <f t="shared" si="136"/>
        <v>0</v>
      </c>
      <c r="J147" s="291">
        <f t="shared" si="136"/>
        <v>0</v>
      </c>
      <c r="K147" s="291">
        <f t="shared" si="136"/>
        <v>0</v>
      </c>
      <c r="L147" s="291">
        <f t="shared" si="136"/>
        <v>0</v>
      </c>
      <c r="M147" s="291">
        <f t="shared" si="136"/>
        <v>0</v>
      </c>
      <c r="N147" s="291">
        <f t="shared" si="136"/>
        <v>0</v>
      </c>
      <c r="O147" s="291">
        <f t="shared" si="136"/>
        <v>0</v>
      </c>
      <c r="P147" s="291">
        <f t="shared" si="136"/>
        <v>0</v>
      </c>
      <c r="Q147" s="291">
        <f t="shared" si="130"/>
        <v>0</v>
      </c>
    </row>
    <row r="148" spans="3:17" x14ac:dyDescent="0.25">
      <c r="C148" s="17"/>
      <c r="D148" s="326" t="s">
        <v>652</v>
      </c>
      <c r="E148" s="291">
        <f t="shared" ref="E148:P148" si="137">E318+E487+E657</f>
        <v>3.6311667998999999</v>
      </c>
      <c r="F148" s="291">
        <f t="shared" si="137"/>
        <v>2.6854508855642854</v>
      </c>
      <c r="G148" s="291">
        <f t="shared" si="137"/>
        <v>2.3168617914285714</v>
      </c>
      <c r="H148" s="291">
        <f t="shared" si="137"/>
        <v>5.0248198857714286</v>
      </c>
      <c r="I148" s="291">
        <f t="shared" si="137"/>
        <v>9.7610459227642856</v>
      </c>
      <c r="J148" s="291">
        <f t="shared" si="137"/>
        <v>5.8077562639714282</v>
      </c>
      <c r="K148" s="291">
        <f t="shared" si="137"/>
        <v>1.9773294556499998</v>
      </c>
      <c r="L148" s="291">
        <f t="shared" si="137"/>
        <v>0.98450987764999998</v>
      </c>
      <c r="M148" s="291">
        <f t="shared" si="137"/>
        <v>0</v>
      </c>
      <c r="N148" s="291">
        <f t="shared" si="137"/>
        <v>1.93568550645</v>
      </c>
      <c r="O148" s="291">
        <f t="shared" si="137"/>
        <v>0</v>
      </c>
      <c r="P148" s="291">
        <f t="shared" si="137"/>
        <v>-14.644520895349999</v>
      </c>
      <c r="Q148" s="419">
        <f t="shared" si="130"/>
        <v>19.480105493799996</v>
      </c>
    </row>
    <row r="149" spans="3:17" x14ac:dyDescent="0.25">
      <c r="C149" s="17"/>
      <c r="D149" s="325" t="s">
        <v>653</v>
      </c>
      <c r="E149" s="291">
        <f t="shared" ref="E149:P149" si="138">E319+E488+E658</f>
        <v>0.37653477144999997</v>
      </c>
      <c r="F149" s="291">
        <f t="shared" si="138"/>
        <v>1.0488466379428572</v>
      </c>
      <c r="G149" s="291">
        <f t="shared" si="138"/>
        <v>1.5733650257214284</v>
      </c>
      <c r="H149" s="291">
        <f t="shared" si="138"/>
        <v>0.52597523300000015</v>
      </c>
      <c r="I149" s="291">
        <f t="shared" si="138"/>
        <v>0.24985705632857141</v>
      </c>
      <c r="J149" s="291">
        <f t="shared" si="138"/>
        <v>0.27137895224999997</v>
      </c>
      <c r="K149" s="291">
        <f t="shared" si="138"/>
        <v>0.18702859882142855</v>
      </c>
      <c r="L149" s="291">
        <f t="shared" si="138"/>
        <v>0.34329858268571428</v>
      </c>
      <c r="M149" s="291">
        <f t="shared" si="138"/>
        <v>0.20644553074999999</v>
      </c>
      <c r="N149" s="291">
        <f t="shared" si="138"/>
        <v>0.11143722232142857</v>
      </c>
      <c r="O149" s="291">
        <f t="shared" si="138"/>
        <v>9.9183380235714283E-2</v>
      </c>
      <c r="P149" s="291">
        <f t="shared" si="138"/>
        <v>-5.9066974474071428</v>
      </c>
      <c r="Q149" s="419">
        <f t="shared" si="130"/>
        <v>-0.91334645590000019</v>
      </c>
    </row>
    <row r="150" spans="3:17" x14ac:dyDescent="0.25">
      <c r="C150" s="17"/>
      <c r="E150" s="291">
        <f t="shared" ref="E150:P150" si="139">E320+E489+E659</f>
        <v>0</v>
      </c>
      <c r="F150" s="291">
        <f t="shared" si="139"/>
        <v>0</v>
      </c>
      <c r="G150" s="291">
        <f t="shared" si="139"/>
        <v>0</v>
      </c>
      <c r="H150" s="291">
        <f t="shared" si="139"/>
        <v>0</v>
      </c>
      <c r="I150" s="291">
        <f t="shared" si="139"/>
        <v>0</v>
      </c>
      <c r="J150" s="291">
        <f t="shared" si="139"/>
        <v>0</v>
      </c>
      <c r="K150" s="291">
        <f t="shared" si="139"/>
        <v>0</v>
      </c>
      <c r="L150" s="291">
        <f t="shared" si="139"/>
        <v>0</v>
      </c>
      <c r="M150" s="291">
        <f t="shared" si="139"/>
        <v>0</v>
      </c>
      <c r="N150" s="291">
        <f t="shared" si="139"/>
        <v>0</v>
      </c>
      <c r="O150" s="291">
        <f t="shared" si="139"/>
        <v>0</v>
      </c>
      <c r="P150" s="291">
        <f t="shared" si="139"/>
        <v>0</v>
      </c>
      <c r="Q150" s="291">
        <f t="shared" si="130"/>
        <v>0</v>
      </c>
    </row>
    <row r="151" spans="3:17" x14ac:dyDescent="0.25">
      <c r="C151" s="17"/>
      <c r="D151" s="325"/>
      <c r="E151" s="291">
        <f t="shared" ref="E151:P151" si="140">E321+E490+E660</f>
        <v>0</v>
      </c>
      <c r="F151" s="291">
        <f t="shared" si="140"/>
        <v>0</v>
      </c>
      <c r="G151" s="291">
        <f t="shared" si="140"/>
        <v>0</v>
      </c>
      <c r="H151" s="291">
        <f t="shared" si="140"/>
        <v>0</v>
      </c>
      <c r="I151" s="291">
        <f t="shared" si="140"/>
        <v>0</v>
      </c>
      <c r="J151" s="291">
        <f t="shared" si="140"/>
        <v>0</v>
      </c>
      <c r="K151" s="291">
        <f t="shared" si="140"/>
        <v>0</v>
      </c>
      <c r="L151" s="291">
        <f t="shared" si="140"/>
        <v>0</v>
      </c>
      <c r="M151" s="291">
        <f t="shared" si="140"/>
        <v>0</v>
      </c>
      <c r="N151" s="291">
        <f t="shared" si="140"/>
        <v>0</v>
      </c>
      <c r="O151" s="291">
        <f t="shared" si="140"/>
        <v>0</v>
      </c>
      <c r="P151" s="291">
        <f t="shared" si="140"/>
        <v>0</v>
      </c>
      <c r="Q151" s="291">
        <f t="shared" si="130"/>
        <v>0</v>
      </c>
    </row>
    <row r="152" spans="3:17" x14ac:dyDescent="0.25">
      <c r="C152" s="17"/>
      <c r="D152" s="325"/>
      <c r="E152" s="291">
        <f t="shared" ref="E152:P152" si="141">E322+E491+E661</f>
        <v>0</v>
      </c>
      <c r="F152" s="291">
        <f t="shared" si="141"/>
        <v>0</v>
      </c>
      <c r="G152" s="291">
        <f t="shared" si="141"/>
        <v>0</v>
      </c>
      <c r="H152" s="291">
        <f t="shared" si="141"/>
        <v>0</v>
      </c>
      <c r="I152" s="291">
        <f t="shared" si="141"/>
        <v>0</v>
      </c>
      <c r="J152" s="291">
        <f t="shared" si="141"/>
        <v>0</v>
      </c>
      <c r="K152" s="291">
        <f t="shared" si="141"/>
        <v>0</v>
      </c>
      <c r="L152" s="291">
        <f t="shared" si="141"/>
        <v>0</v>
      </c>
      <c r="M152" s="291">
        <f t="shared" si="141"/>
        <v>0</v>
      </c>
      <c r="N152" s="291">
        <f t="shared" si="141"/>
        <v>0</v>
      </c>
      <c r="O152" s="291">
        <f t="shared" si="141"/>
        <v>0</v>
      </c>
      <c r="P152" s="291">
        <f t="shared" si="141"/>
        <v>0</v>
      </c>
      <c r="Q152" s="291">
        <f t="shared" si="130"/>
        <v>0</v>
      </c>
    </row>
    <row r="153" spans="3:17" x14ac:dyDescent="0.25">
      <c r="C153" s="17"/>
      <c r="D153" s="325"/>
      <c r="E153" s="291">
        <f t="shared" ref="E153:P153" si="142">E323+E492+E662</f>
        <v>0</v>
      </c>
      <c r="F153" s="291">
        <f t="shared" si="142"/>
        <v>0</v>
      </c>
      <c r="G153" s="291">
        <f t="shared" si="142"/>
        <v>0</v>
      </c>
      <c r="H153" s="291">
        <f t="shared" si="142"/>
        <v>0</v>
      </c>
      <c r="I153" s="291">
        <f t="shared" si="142"/>
        <v>0</v>
      </c>
      <c r="J153" s="291">
        <f t="shared" si="142"/>
        <v>0</v>
      </c>
      <c r="K153" s="291">
        <f t="shared" si="142"/>
        <v>0</v>
      </c>
      <c r="L153" s="291">
        <f t="shared" si="142"/>
        <v>0</v>
      </c>
      <c r="M153" s="291">
        <f t="shared" si="142"/>
        <v>0</v>
      </c>
      <c r="N153" s="291">
        <f t="shared" si="142"/>
        <v>0</v>
      </c>
      <c r="O153" s="291">
        <f t="shared" si="142"/>
        <v>0</v>
      </c>
      <c r="P153" s="291">
        <f t="shared" si="142"/>
        <v>0</v>
      </c>
      <c r="Q153" s="291">
        <f t="shared" si="130"/>
        <v>0</v>
      </c>
    </row>
    <row r="154" spans="3:17" x14ac:dyDescent="0.25">
      <c r="C154" s="17"/>
      <c r="D154" s="325" t="s">
        <v>637</v>
      </c>
      <c r="E154" s="291">
        <f t="shared" ref="E154:P154" si="143">E324+E493+E663</f>
        <v>0</v>
      </c>
      <c r="F154" s="291">
        <f t="shared" si="143"/>
        <v>0</v>
      </c>
      <c r="G154" s="291">
        <f t="shared" si="143"/>
        <v>0</v>
      </c>
      <c r="H154" s="291">
        <f t="shared" si="143"/>
        <v>0</v>
      </c>
      <c r="I154" s="291">
        <f t="shared" si="143"/>
        <v>0</v>
      </c>
      <c r="J154" s="291">
        <f t="shared" si="143"/>
        <v>0</v>
      </c>
      <c r="K154" s="291">
        <f t="shared" si="143"/>
        <v>0</v>
      </c>
      <c r="L154" s="291">
        <f t="shared" si="143"/>
        <v>0</v>
      </c>
      <c r="M154" s="291">
        <f t="shared" si="143"/>
        <v>0</v>
      </c>
      <c r="N154" s="291">
        <f t="shared" si="143"/>
        <v>0</v>
      </c>
      <c r="O154" s="291">
        <f t="shared" si="143"/>
        <v>0</v>
      </c>
      <c r="P154" s="291">
        <f t="shared" si="143"/>
        <v>-1.3545232999999999E-3</v>
      </c>
      <c r="Q154" s="420">
        <f t="shared" si="130"/>
        <v>-1.3545232999999999E-3</v>
      </c>
    </row>
    <row r="155" spans="3:17" x14ac:dyDescent="0.25">
      <c r="C155" s="17"/>
      <c r="D155" s="325"/>
      <c r="E155" s="291">
        <f t="shared" ref="E155:P155" si="144">E325+E494+E664</f>
        <v>0</v>
      </c>
      <c r="F155" s="291">
        <f t="shared" si="144"/>
        <v>0</v>
      </c>
      <c r="G155" s="291">
        <f t="shared" si="144"/>
        <v>0</v>
      </c>
      <c r="H155" s="291">
        <f t="shared" si="144"/>
        <v>0</v>
      </c>
      <c r="I155" s="291">
        <f t="shared" si="144"/>
        <v>0</v>
      </c>
      <c r="J155" s="291">
        <f t="shared" si="144"/>
        <v>0</v>
      </c>
      <c r="K155" s="291">
        <f t="shared" si="144"/>
        <v>0</v>
      </c>
      <c r="L155" s="291">
        <f t="shared" si="144"/>
        <v>0</v>
      </c>
      <c r="M155" s="291">
        <f t="shared" si="144"/>
        <v>0</v>
      </c>
      <c r="N155" s="291">
        <f t="shared" si="144"/>
        <v>0</v>
      </c>
      <c r="O155" s="291">
        <f t="shared" si="144"/>
        <v>0</v>
      </c>
      <c r="P155" s="291">
        <f t="shared" si="144"/>
        <v>0</v>
      </c>
      <c r="Q155" s="291">
        <f t="shared" si="130"/>
        <v>0</v>
      </c>
    </row>
    <row r="156" spans="3:17" x14ac:dyDescent="0.25">
      <c r="C156" s="17"/>
      <c r="D156" s="325"/>
      <c r="E156" s="291">
        <f t="shared" ref="E156:P156" si="145">E326+E495+E665</f>
        <v>0</v>
      </c>
      <c r="F156" s="291">
        <f t="shared" si="145"/>
        <v>0</v>
      </c>
      <c r="G156" s="291">
        <f t="shared" si="145"/>
        <v>0</v>
      </c>
      <c r="H156" s="291">
        <f t="shared" si="145"/>
        <v>0</v>
      </c>
      <c r="I156" s="291">
        <f t="shared" si="145"/>
        <v>0</v>
      </c>
      <c r="J156" s="291">
        <f t="shared" si="145"/>
        <v>0</v>
      </c>
      <c r="K156" s="291">
        <f t="shared" si="145"/>
        <v>0</v>
      </c>
      <c r="L156" s="291">
        <f t="shared" si="145"/>
        <v>0</v>
      </c>
      <c r="M156" s="291">
        <f t="shared" si="145"/>
        <v>0</v>
      </c>
      <c r="N156" s="291">
        <f t="shared" si="145"/>
        <v>0</v>
      </c>
      <c r="O156" s="291">
        <f t="shared" si="145"/>
        <v>0</v>
      </c>
      <c r="P156" s="291">
        <f t="shared" si="145"/>
        <v>0</v>
      </c>
      <c r="Q156" s="291">
        <f t="shared" si="130"/>
        <v>0</v>
      </c>
    </row>
    <row r="157" spans="3:17" x14ac:dyDescent="0.25">
      <c r="C157" s="17"/>
      <c r="D157" s="17" t="s">
        <v>654</v>
      </c>
      <c r="E157" s="291">
        <f t="shared" ref="E157:P157" si="146">E327+E496+E666</f>
        <v>198.62178532377609</v>
      </c>
      <c r="F157" s="291">
        <f t="shared" si="146"/>
        <v>46.052370951994028</v>
      </c>
      <c r="G157" s="291">
        <f t="shared" si="146"/>
        <v>108.81979961188979</v>
      </c>
      <c r="H157" s="291">
        <f t="shared" si="146"/>
        <v>136.83347261730557</v>
      </c>
      <c r="I157" s="291">
        <f t="shared" si="146"/>
        <v>333.73124098768716</v>
      </c>
      <c r="J157" s="291">
        <f t="shared" si="146"/>
        <v>203.28190937107209</v>
      </c>
      <c r="K157" s="291">
        <f t="shared" si="146"/>
        <v>413.91971209361139</v>
      </c>
      <c r="L157" s="291">
        <f t="shared" si="146"/>
        <v>148.35036972571535</v>
      </c>
      <c r="M157" s="291">
        <f t="shared" si="146"/>
        <v>180.52879197855651</v>
      </c>
      <c r="N157" s="291">
        <f t="shared" si="146"/>
        <v>224.30568572028065</v>
      </c>
      <c r="O157" s="291">
        <f t="shared" si="146"/>
        <v>240.85635859452256</v>
      </c>
      <c r="P157" s="291">
        <f t="shared" si="146"/>
        <v>287.30814417430719</v>
      </c>
      <c r="Q157" s="336">
        <f t="shared" si="130"/>
        <v>2522.6096411507183</v>
      </c>
    </row>
    <row r="158" spans="3:17" x14ac:dyDescent="0.25">
      <c r="C158" s="17"/>
      <c r="D158" s="17"/>
      <c r="E158" s="291">
        <f t="shared" ref="E158:P158" si="147">E328+E497+E667</f>
        <v>0</v>
      </c>
      <c r="F158" s="291">
        <f t="shared" si="147"/>
        <v>0</v>
      </c>
      <c r="G158" s="291">
        <f t="shared" si="147"/>
        <v>0</v>
      </c>
      <c r="H158" s="291">
        <f t="shared" si="147"/>
        <v>0</v>
      </c>
      <c r="I158" s="291">
        <f t="shared" si="147"/>
        <v>0</v>
      </c>
      <c r="J158" s="291">
        <f t="shared" si="147"/>
        <v>0</v>
      </c>
      <c r="K158" s="291">
        <f t="shared" si="147"/>
        <v>0</v>
      </c>
      <c r="L158" s="291">
        <f t="shared" si="147"/>
        <v>0</v>
      </c>
      <c r="M158" s="291">
        <f t="shared" si="147"/>
        <v>0</v>
      </c>
      <c r="N158" s="291">
        <f t="shared" si="147"/>
        <v>0</v>
      </c>
      <c r="O158" s="291">
        <f t="shared" si="147"/>
        <v>0</v>
      </c>
      <c r="P158" s="291">
        <f t="shared" si="147"/>
        <v>0</v>
      </c>
      <c r="Q158" s="291">
        <f t="shared" si="130"/>
        <v>0</v>
      </c>
    </row>
    <row r="159" spans="3:17" x14ac:dyDescent="0.25">
      <c r="C159" s="17"/>
      <c r="D159" s="17"/>
      <c r="E159" s="291">
        <f t="shared" ref="E159:P159" si="148">E329+E498+E668</f>
        <v>0</v>
      </c>
      <c r="F159" s="291">
        <f t="shared" si="148"/>
        <v>0</v>
      </c>
      <c r="G159" s="291">
        <f t="shared" si="148"/>
        <v>0</v>
      </c>
      <c r="H159" s="291">
        <f t="shared" si="148"/>
        <v>0</v>
      </c>
      <c r="I159" s="291">
        <f t="shared" si="148"/>
        <v>0</v>
      </c>
      <c r="J159" s="291">
        <f t="shared" si="148"/>
        <v>0</v>
      </c>
      <c r="K159" s="291">
        <f t="shared" si="148"/>
        <v>0</v>
      </c>
      <c r="L159" s="291">
        <f t="shared" si="148"/>
        <v>0</v>
      </c>
      <c r="M159" s="291">
        <f t="shared" si="148"/>
        <v>0</v>
      </c>
      <c r="N159" s="291">
        <f t="shared" si="148"/>
        <v>0</v>
      </c>
      <c r="O159" s="291">
        <f t="shared" si="148"/>
        <v>0</v>
      </c>
      <c r="P159" s="291">
        <f t="shared" si="148"/>
        <v>0</v>
      </c>
      <c r="Q159" s="291">
        <f t="shared" si="130"/>
        <v>0</v>
      </c>
    </row>
    <row r="160" spans="3:17" x14ac:dyDescent="0.25">
      <c r="C160" s="17"/>
      <c r="D160" s="17"/>
      <c r="E160" s="291">
        <f t="shared" ref="E160:P160" si="149">E330+E499+E669</f>
        <v>0</v>
      </c>
      <c r="F160" s="291">
        <f t="shared" si="149"/>
        <v>0</v>
      </c>
      <c r="G160" s="291">
        <f t="shared" si="149"/>
        <v>0</v>
      </c>
      <c r="H160" s="291">
        <f t="shared" si="149"/>
        <v>0</v>
      </c>
      <c r="I160" s="291">
        <f t="shared" si="149"/>
        <v>0</v>
      </c>
      <c r="J160" s="291">
        <f t="shared" si="149"/>
        <v>0</v>
      </c>
      <c r="K160" s="291">
        <f t="shared" si="149"/>
        <v>0</v>
      </c>
      <c r="L160" s="291">
        <f t="shared" si="149"/>
        <v>0</v>
      </c>
      <c r="M160" s="291">
        <f t="shared" si="149"/>
        <v>0</v>
      </c>
      <c r="N160" s="291">
        <f t="shared" si="149"/>
        <v>0</v>
      </c>
      <c r="O160" s="291">
        <f t="shared" si="149"/>
        <v>0</v>
      </c>
      <c r="P160" s="291">
        <f t="shared" si="149"/>
        <v>0</v>
      </c>
      <c r="Q160" s="291">
        <f t="shared" si="130"/>
        <v>0</v>
      </c>
    </row>
    <row r="161" spans="3:17" x14ac:dyDescent="0.25">
      <c r="C161" s="17"/>
      <c r="D161" s="17"/>
      <c r="E161" s="291">
        <f t="shared" ref="E161:P161" si="150">E331+E500+E670</f>
        <v>0</v>
      </c>
      <c r="F161" s="291">
        <f t="shared" si="150"/>
        <v>0</v>
      </c>
      <c r="G161" s="291">
        <f t="shared" si="150"/>
        <v>0</v>
      </c>
      <c r="H161" s="291">
        <f t="shared" si="150"/>
        <v>0</v>
      </c>
      <c r="I161" s="291">
        <f t="shared" si="150"/>
        <v>0</v>
      </c>
      <c r="J161" s="291">
        <f t="shared" si="150"/>
        <v>0</v>
      </c>
      <c r="K161" s="291">
        <f t="shared" si="150"/>
        <v>0</v>
      </c>
      <c r="L161" s="291">
        <f t="shared" si="150"/>
        <v>0</v>
      </c>
      <c r="M161" s="291">
        <f t="shared" si="150"/>
        <v>0</v>
      </c>
      <c r="N161" s="291">
        <f t="shared" si="150"/>
        <v>0</v>
      </c>
      <c r="O161" s="291">
        <f t="shared" si="150"/>
        <v>0</v>
      </c>
      <c r="P161" s="291">
        <f t="shared" si="150"/>
        <v>0</v>
      </c>
      <c r="Q161" s="291">
        <f t="shared" si="130"/>
        <v>0</v>
      </c>
    </row>
    <row r="162" spans="3:17" x14ac:dyDescent="0.25">
      <c r="C162" s="17"/>
      <c r="D162" s="17"/>
      <c r="E162" s="291">
        <f t="shared" ref="E162:P162" si="151">E332+E501+E671</f>
        <v>0</v>
      </c>
      <c r="F162" s="291">
        <f t="shared" si="151"/>
        <v>0</v>
      </c>
      <c r="G162" s="291">
        <f t="shared" si="151"/>
        <v>0</v>
      </c>
      <c r="H162" s="291">
        <f t="shared" si="151"/>
        <v>0</v>
      </c>
      <c r="I162" s="291">
        <f t="shared" si="151"/>
        <v>0</v>
      </c>
      <c r="J162" s="291">
        <f t="shared" si="151"/>
        <v>0</v>
      </c>
      <c r="K162" s="291">
        <f t="shared" si="151"/>
        <v>0</v>
      </c>
      <c r="L162" s="291">
        <f t="shared" si="151"/>
        <v>0</v>
      </c>
      <c r="M162" s="291">
        <f t="shared" si="151"/>
        <v>0</v>
      </c>
      <c r="N162" s="291">
        <f t="shared" si="151"/>
        <v>0</v>
      </c>
      <c r="O162" s="291">
        <f t="shared" si="151"/>
        <v>0</v>
      </c>
      <c r="P162" s="291">
        <f t="shared" si="151"/>
        <v>0</v>
      </c>
      <c r="Q162" s="291">
        <f t="shared" si="130"/>
        <v>0</v>
      </c>
    </row>
    <row r="163" spans="3:17" x14ac:dyDescent="0.25">
      <c r="C163" s="17"/>
      <c r="D163" s="17"/>
      <c r="E163" s="291">
        <f t="shared" ref="E163:P163" si="152">E333+E502+E672</f>
        <v>0</v>
      </c>
      <c r="F163" s="291">
        <f t="shared" si="152"/>
        <v>0</v>
      </c>
      <c r="G163" s="291">
        <f t="shared" si="152"/>
        <v>0</v>
      </c>
      <c r="H163" s="291">
        <f t="shared" si="152"/>
        <v>0</v>
      </c>
      <c r="I163" s="291">
        <f t="shared" si="152"/>
        <v>0</v>
      </c>
      <c r="J163" s="291">
        <f t="shared" si="152"/>
        <v>0</v>
      </c>
      <c r="K163" s="291">
        <f t="shared" si="152"/>
        <v>0</v>
      </c>
      <c r="L163" s="291">
        <f t="shared" si="152"/>
        <v>0</v>
      </c>
      <c r="M163" s="291">
        <f t="shared" si="152"/>
        <v>0</v>
      </c>
      <c r="N163" s="291">
        <f t="shared" si="152"/>
        <v>0</v>
      </c>
      <c r="O163" s="291">
        <f t="shared" si="152"/>
        <v>0</v>
      </c>
      <c r="P163" s="291">
        <f t="shared" si="152"/>
        <v>0</v>
      </c>
      <c r="Q163" s="291">
        <f t="shared" si="130"/>
        <v>0</v>
      </c>
    </row>
    <row r="164" spans="3:17" x14ac:dyDescent="0.25">
      <c r="C164" s="17"/>
      <c r="D164" s="17"/>
      <c r="E164" s="291">
        <f t="shared" ref="E164:P164" si="153">E334+E503+E673</f>
        <v>0</v>
      </c>
      <c r="F164" s="291">
        <f t="shared" si="153"/>
        <v>0</v>
      </c>
      <c r="G164" s="291">
        <f t="shared" si="153"/>
        <v>0</v>
      </c>
      <c r="H164" s="291">
        <f t="shared" si="153"/>
        <v>0</v>
      </c>
      <c r="I164" s="291">
        <f t="shared" si="153"/>
        <v>0</v>
      </c>
      <c r="J164" s="291">
        <f t="shared" si="153"/>
        <v>0</v>
      </c>
      <c r="K164" s="291">
        <f t="shared" si="153"/>
        <v>0</v>
      </c>
      <c r="L164" s="291">
        <f t="shared" si="153"/>
        <v>0</v>
      </c>
      <c r="M164" s="291">
        <f t="shared" si="153"/>
        <v>0</v>
      </c>
      <c r="N164" s="291">
        <f t="shared" si="153"/>
        <v>0</v>
      </c>
      <c r="O164" s="291">
        <f t="shared" si="153"/>
        <v>0</v>
      </c>
      <c r="P164" s="291">
        <f t="shared" si="153"/>
        <v>0</v>
      </c>
      <c r="Q164" s="291">
        <f t="shared" si="130"/>
        <v>0</v>
      </c>
    </row>
    <row r="165" spans="3:17" x14ac:dyDescent="0.25">
      <c r="C165" s="753" t="s">
        <v>423</v>
      </c>
      <c r="D165" s="753"/>
      <c r="E165" s="329">
        <f t="shared" ref="E165:P165" si="154">SUM(E141:E164)</f>
        <v>202.62948689512609</v>
      </c>
      <c r="F165" s="329">
        <f t="shared" si="154"/>
        <v>49.786668475501173</v>
      </c>
      <c r="G165" s="329">
        <f t="shared" si="154"/>
        <v>112.71002642903979</v>
      </c>
      <c r="H165" s="329">
        <f t="shared" si="154"/>
        <v>142.38426773607699</v>
      </c>
      <c r="I165" s="329">
        <f t="shared" si="154"/>
        <v>343.74214396678002</v>
      </c>
      <c r="J165" s="329">
        <f t="shared" si="154"/>
        <v>209.36104458729352</v>
      </c>
      <c r="K165" s="329">
        <f t="shared" si="154"/>
        <v>416.08407014808284</v>
      </c>
      <c r="L165" s="329">
        <f t="shared" si="154"/>
        <v>149.67817818605107</v>
      </c>
      <c r="M165" s="329">
        <f t="shared" si="154"/>
        <v>180.7352375093065</v>
      </c>
      <c r="N165" s="329">
        <f t="shared" si="154"/>
        <v>226.35280844905208</v>
      </c>
      <c r="O165" s="329">
        <f t="shared" si="154"/>
        <v>240.95554197475826</v>
      </c>
      <c r="P165" s="329">
        <f t="shared" si="154"/>
        <v>266.75557130825007</v>
      </c>
      <c r="Q165" s="329">
        <f t="shared" si="130"/>
        <v>2541.175045665319</v>
      </c>
    </row>
    <row r="166" spans="3:17" x14ac:dyDescent="0.25">
      <c r="C166" s="800" t="s">
        <v>424</v>
      </c>
      <c r="D166" s="800"/>
      <c r="E166" s="291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</row>
    <row r="167" spans="3:17" x14ac:dyDescent="0.25">
      <c r="C167" s="17" t="s">
        <v>425</v>
      </c>
      <c r="D167" s="4" t="s">
        <v>426</v>
      </c>
      <c r="E167" s="291">
        <f t="shared" ref="E167:P167" si="155">E337+E506</f>
        <v>0</v>
      </c>
      <c r="F167" s="291">
        <f t="shared" si="155"/>
        <v>0</v>
      </c>
      <c r="G167" s="291">
        <f t="shared" si="155"/>
        <v>0</v>
      </c>
      <c r="H167" s="291">
        <f t="shared" si="155"/>
        <v>0</v>
      </c>
      <c r="I167" s="291">
        <f t="shared" si="155"/>
        <v>0</v>
      </c>
      <c r="J167" s="291">
        <f t="shared" si="155"/>
        <v>0</v>
      </c>
      <c r="K167" s="291">
        <f t="shared" si="155"/>
        <v>0</v>
      </c>
      <c r="L167" s="291">
        <f t="shared" si="155"/>
        <v>0</v>
      </c>
      <c r="M167" s="291">
        <f t="shared" si="155"/>
        <v>0</v>
      </c>
      <c r="N167" s="291">
        <f t="shared" si="155"/>
        <v>0</v>
      </c>
      <c r="O167" s="291">
        <f t="shared" si="155"/>
        <v>0</v>
      </c>
      <c r="P167" s="291">
        <f t="shared" si="155"/>
        <v>0</v>
      </c>
      <c r="Q167" s="291">
        <f>SUM(E167:P167)</f>
        <v>0</v>
      </c>
    </row>
    <row r="168" spans="3:17" x14ac:dyDescent="0.25">
      <c r="C168" s="17" t="s">
        <v>425</v>
      </c>
      <c r="D168" s="17" t="s">
        <v>655</v>
      </c>
      <c r="E168" s="291">
        <f t="shared" ref="E168:P168" si="156">E338+E507</f>
        <v>0</v>
      </c>
      <c r="F168" s="291">
        <f t="shared" si="156"/>
        <v>0</v>
      </c>
      <c r="G168" s="291">
        <f t="shared" si="156"/>
        <v>0</v>
      </c>
      <c r="H168" s="291">
        <f t="shared" si="156"/>
        <v>0</v>
      </c>
      <c r="I168" s="291">
        <f t="shared" si="156"/>
        <v>0</v>
      </c>
      <c r="J168" s="291">
        <f t="shared" si="156"/>
        <v>0</v>
      </c>
      <c r="K168" s="291">
        <f t="shared" si="156"/>
        <v>0</v>
      </c>
      <c r="L168" s="291">
        <f t="shared" si="156"/>
        <v>0</v>
      </c>
      <c r="M168" s="291">
        <f t="shared" si="156"/>
        <v>0</v>
      </c>
      <c r="N168" s="291">
        <f t="shared" si="156"/>
        <v>0</v>
      </c>
      <c r="O168" s="291">
        <f t="shared" si="156"/>
        <v>0</v>
      </c>
      <c r="P168" s="291">
        <f t="shared" si="156"/>
        <v>0</v>
      </c>
      <c r="Q168" s="291">
        <f>SUM(E168:P168)</f>
        <v>0</v>
      </c>
    </row>
    <row r="169" spans="3:17" x14ac:dyDescent="0.25">
      <c r="C169" s="116"/>
      <c r="D169" s="17" t="s">
        <v>463</v>
      </c>
      <c r="E169" s="291">
        <f t="shared" ref="E169:P169" si="157">E339+E508</f>
        <v>-8.1006883651494341</v>
      </c>
      <c r="F169" s="291">
        <f t="shared" si="157"/>
        <v>-36.282347761831488</v>
      </c>
      <c r="G169" s="291">
        <f t="shared" si="157"/>
        <v>-8.4435207598854198</v>
      </c>
      <c r="H169" s="291">
        <f t="shared" si="157"/>
        <v>-16.047025443881232</v>
      </c>
      <c r="I169" s="291">
        <f t="shared" si="157"/>
        <v>-3.790141366495575</v>
      </c>
      <c r="J169" s="291">
        <f t="shared" si="157"/>
        <v>-36.899404276816881</v>
      </c>
      <c r="K169" s="291">
        <f t="shared" si="157"/>
        <v>-9.8368414016583738</v>
      </c>
      <c r="L169" s="291">
        <f t="shared" si="157"/>
        <v>-1.4445148088078137</v>
      </c>
      <c r="M169" s="291">
        <f t="shared" si="157"/>
        <v>-3.5428832524452667</v>
      </c>
      <c r="N169" s="291">
        <f t="shared" si="157"/>
        <v>-24.845616582039867</v>
      </c>
      <c r="O169" s="291">
        <f t="shared" si="157"/>
        <v>-43.174760192390856</v>
      </c>
      <c r="P169" s="291">
        <f t="shared" si="157"/>
        <v>-24.124040656553579</v>
      </c>
      <c r="Q169" s="291">
        <f>SUM(E169:P169)</f>
        <v>-216.53178486795579</v>
      </c>
    </row>
    <row r="170" spans="3:17" x14ac:dyDescent="0.25">
      <c r="C170" s="837" t="s">
        <v>428</v>
      </c>
      <c r="D170" s="837"/>
      <c r="E170" s="335">
        <f t="shared" ref="E170:P170" si="158">E167+E168+E169</f>
        <v>-8.1006883651494341</v>
      </c>
      <c r="F170" s="335">
        <f t="shared" si="158"/>
        <v>-36.282347761831488</v>
      </c>
      <c r="G170" s="335">
        <f t="shared" si="158"/>
        <v>-8.4435207598854198</v>
      </c>
      <c r="H170" s="335">
        <f t="shared" si="158"/>
        <v>-16.047025443881232</v>
      </c>
      <c r="I170" s="335">
        <f t="shared" si="158"/>
        <v>-3.790141366495575</v>
      </c>
      <c r="J170" s="335">
        <f t="shared" si="158"/>
        <v>-36.899404276816881</v>
      </c>
      <c r="K170" s="335">
        <f t="shared" si="158"/>
        <v>-9.8368414016583738</v>
      </c>
      <c r="L170" s="335">
        <f t="shared" si="158"/>
        <v>-1.4445148088078137</v>
      </c>
      <c r="M170" s="335">
        <f t="shared" si="158"/>
        <v>-3.5428832524452667</v>
      </c>
      <c r="N170" s="335">
        <f t="shared" si="158"/>
        <v>-24.845616582039867</v>
      </c>
      <c r="O170" s="335">
        <f t="shared" si="158"/>
        <v>-43.174760192390856</v>
      </c>
      <c r="P170" s="335">
        <f t="shared" si="158"/>
        <v>-24.124040656553579</v>
      </c>
      <c r="Q170" s="335">
        <f>SUM(E170:P170)</f>
        <v>-216.53178486795579</v>
      </c>
    </row>
    <row r="171" spans="3:17" x14ac:dyDescent="0.25">
      <c r="C171" s="837" t="s">
        <v>220</v>
      </c>
      <c r="D171" s="837"/>
      <c r="E171" s="335">
        <f>E49+E94+E103+E113+E139+E165+E170</f>
        <v>1098.1827395946127</v>
      </c>
      <c r="F171" s="335">
        <f t="shared" ref="F171:P171" si="159">F49+F94+F103+F113+F139+F165+F170</f>
        <v>947.7466484904246</v>
      </c>
      <c r="G171" s="335">
        <f t="shared" si="159"/>
        <v>1047.2493271241501</v>
      </c>
      <c r="H171" s="335">
        <f t="shared" si="159"/>
        <v>1034.3789267006528</v>
      </c>
      <c r="I171" s="335">
        <f t="shared" si="159"/>
        <v>1256.6276565606404</v>
      </c>
      <c r="J171" s="335">
        <f t="shared" si="159"/>
        <v>1047.488047172897</v>
      </c>
      <c r="K171" s="335">
        <f t="shared" si="159"/>
        <v>1380.8442352024172</v>
      </c>
      <c r="L171" s="335">
        <f t="shared" si="159"/>
        <v>1088.1700147336217</v>
      </c>
      <c r="M171" s="335">
        <f t="shared" si="159"/>
        <v>1066.194757694584</v>
      </c>
      <c r="N171" s="335">
        <f t="shared" si="159"/>
        <v>1214.8721822824564</v>
      </c>
      <c r="O171" s="335">
        <f t="shared" si="159"/>
        <v>1177.9519749863753</v>
      </c>
      <c r="P171" s="335">
        <f t="shared" si="159"/>
        <v>1326.0061201397573</v>
      </c>
      <c r="Q171" s="335">
        <f>SUM(E171:P171)</f>
        <v>13685.71263068259</v>
      </c>
    </row>
    <row r="173" spans="3:17" x14ac:dyDescent="0.25">
      <c r="C173" s="22" t="s">
        <v>641</v>
      </c>
      <c r="J173" s="25"/>
    </row>
    <row r="174" spans="3:17" x14ac:dyDescent="0.25">
      <c r="C174" s="14"/>
      <c r="Q174" s="25" t="s">
        <v>3</v>
      </c>
    </row>
    <row r="175" spans="3:17" x14ac:dyDescent="0.25">
      <c r="C175" s="762" t="s">
        <v>346</v>
      </c>
      <c r="D175" s="762" t="s">
        <v>347</v>
      </c>
      <c r="E175" s="768" t="s">
        <v>225</v>
      </c>
      <c r="F175" s="768"/>
      <c r="G175" s="768"/>
      <c r="H175" s="768"/>
      <c r="I175" s="768"/>
      <c r="J175" s="768"/>
      <c r="K175" s="768"/>
      <c r="L175" s="768"/>
      <c r="M175" s="768"/>
      <c r="N175" s="768"/>
      <c r="O175" s="768"/>
      <c r="P175" s="768"/>
      <c r="Q175" s="768"/>
    </row>
    <row r="176" spans="3:17" x14ac:dyDescent="0.25">
      <c r="C176" s="762"/>
      <c r="D176" s="762"/>
      <c r="E176" s="13" t="s">
        <v>239</v>
      </c>
      <c r="F176" s="13" t="s">
        <v>240</v>
      </c>
      <c r="G176" s="13" t="s">
        <v>241</v>
      </c>
      <c r="H176" s="13" t="s">
        <v>242</v>
      </c>
      <c r="I176" s="13" t="s">
        <v>243</v>
      </c>
      <c r="J176" s="13" t="s">
        <v>244</v>
      </c>
      <c r="K176" s="13" t="s">
        <v>245</v>
      </c>
      <c r="L176" s="13" t="s">
        <v>246</v>
      </c>
      <c r="M176" s="13" t="s">
        <v>247</v>
      </c>
      <c r="N176" s="13" t="s">
        <v>248</v>
      </c>
      <c r="O176" s="13" t="s">
        <v>249</v>
      </c>
      <c r="P176" s="13" t="s">
        <v>250</v>
      </c>
      <c r="Q176" s="13" t="s">
        <v>251</v>
      </c>
    </row>
    <row r="177" spans="2:17" x14ac:dyDescent="0.25">
      <c r="C177" s="762"/>
      <c r="D177" s="762"/>
      <c r="E177" s="13" t="s">
        <v>24</v>
      </c>
      <c r="F177" s="13" t="s">
        <v>24</v>
      </c>
      <c r="G177" s="13" t="s">
        <v>24</v>
      </c>
      <c r="H177" s="13" t="s">
        <v>24</v>
      </c>
      <c r="I177" s="13" t="s">
        <v>24</v>
      </c>
      <c r="J177" s="13" t="s">
        <v>24</v>
      </c>
      <c r="K177" s="13" t="s">
        <v>25</v>
      </c>
      <c r="L177" s="13" t="s">
        <v>25</v>
      </c>
      <c r="M177" s="13" t="s">
        <v>25</v>
      </c>
      <c r="N177" s="13" t="s">
        <v>25</v>
      </c>
      <c r="O177" s="13" t="s">
        <v>25</v>
      </c>
      <c r="P177" s="13" t="s">
        <v>25</v>
      </c>
      <c r="Q177" s="13" t="s">
        <v>25</v>
      </c>
    </row>
    <row r="178" spans="2:17" x14ac:dyDescent="0.25">
      <c r="B178" s="60"/>
      <c r="C178" s="800" t="s">
        <v>348</v>
      </c>
      <c r="D178" s="800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</row>
    <row r="179" spans="2:17" x14ac:dyDescent="0.25">
      <c r="C179" s="753" t="s">
        <v>349</v>
      </c>
      <c r="D179" s="753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</row>
    <row r="180" spans="2:17" x14ac:dyDescent="0.25">
      <c r="B180" s="60"/>
      <c r="C180" s="802" t="s">
        <v>350</v>
      </c>
      <c r="D180" s="59" t="s">
        <v>351</v>
      </c>
      <c r="E180" s="291">
        <f>'[46]2023-24'!$H209/10^7</f>
        <v>9.3879237500000006</v>
      </c>
      <c r="F180" s="291">
        <f>'[46]2023-24'!$N209/10^7</f>
        <v>9.3879237500000006</v>
      </c>
      <c r="G180" s="291">
        <f>'[46]2023-24'!$T209/10^7</f>
        <v>9.3879237500000006</v>
      </c>
      <c r="H180" s="291">
        <f>'[46]2023-24'!$Z209/10^7</f>
        <v>9.3879237500000006</v>
      </c>
      <c r="I180" s="291">
        <f>'[46]2023-24'!$AF209/10^7</f>
        <v>9.3879237500000006</v>
      </c>
      <c r="J180" s="291">
        <f>'[46]2023-24'!$AL209/10^7</f>
        <v>9.3879237500000006</v>
      </c>
      <c r="K180" s="291">
        <f>'[46]2023-24'!$AR209/10^7</f>
        <v>9.3879237500000006</v>
      </c>
      <c r="L180" s="291">
        <f>'[46]2023-24'!$AX209/10^7</f>
        <v>9.3879237500000006</v>
      </c>
      <c r="M180" s="291">
        <f>'[46]2023-24'!$BD209/10^7</f>
        <v>9.3879237500000006</v>
      </c>
      <c r="N180" s="291">
        <f>'[46]2023-24'!$BJ209/10^7</f>
        <v>9.3879237500000006</v>
      </c>
      <c r="O180" s="291">
        <f>'[46]2023-24'!$BP209/10^7</f>
        <v>9.3879237500000006</v>
      </c>
      <c r="P180" s="291">
        <f>'[46]2023-24'!$BV209/10^7</f>
        <v>9.3879237500000006</v>
      </c>
      <c r="Q180" s="66">
        <f t="shared" ref="Q180:Q198" si="160">SUM(E180:P180)</f>
        <v>112.655085</v>
      </c>
    </row>
    <row r="181" spans="2:17" x14ac:dyDescent="0.25">
      <c r="B181" s="60"/>
      <c r="C181" s="802"/>
      <c r="D181" s="59" t="s">
        <v>352</v>
      </c>
      <c r="E181" s="291">
        <f>'[46]2023-24'!$H210/10^7</f>
        <v>14.672971656849999</v>
      </c>
      <c r="F181" s="291">
        <f>'[46]2023-24'!$N210/10^7</f>
        <v>14.672971656849999</v>
      </c>
      <c r="G181" s="291">
        <f>'[46]2023-24'!$T210/10^7</f>
        <v>14.672971656849999</v>
      </c>
      <c r="H181" s="291">
        <f>'[46]2023-24'!$Z210/10^7</f>
        <v>14.672971656849999</v>
      </c>
      <c r="I181" s="291">
        <f>'[46]2023-24'!$AF210/10^7</f>
        <v>14.672971656849999</v>
      </c>
      <c r="J181" s="291">
        <f>'[46]2023-24'!$AL210/10^7</f>
        <v>14.672971656849999</v>
      </c>
      <c r="K181" s="291">
        <f>'[46]2023-24'!$AR210/10^7</f>
        <v>14.672971656849999</v>
      </c>
      <c r="L181" s="291">
        <f>'[46]2023-24'!$AX210/10^7</f>
        <v>14.672971656849999</v>
      </c>
      <c r="M181" s="291">
        <f>'[46]2023-24'!$BD210/10^7</f>
        <v>14.672971656849999</v>
      </c>
      <c r="N181" s="291">
        <f>'[46]2023-24'!$BJ210/10^7</f>
        <v>14.672971656849999</v>
      </c>
      <c r="O181" s="291">
        <f>'[46]2023-24'!$BP210/10^7</f>
        <v>14.672971656849999</v>
      </c>
      <c r="P181" s="291">
        <f>'[46]2023-24'!$BV210/10^7</f>
        <v>14.672971656849999</v>
      </c>
      <c r="Q181" s="66">
        <f t="shared" si="160"/>
        <v>176.07565988219997</v>
      </c>
    </row>
    <row r="182" spans="2:17" x14ac:dyDescent="0.25">
      <c r="B182" s="60"/>
      <c r="C182" s="802"/>
      <c r="D182" s="59" t="s">
        <v>353</v>
      </c>
      <c r="E182" s="291">
        <f>'[46]2023-24'!$H211/10^7</f>
        <v>33.018603749999997</v>
      </c>
      <c r="F182" s="291">
        <f>'[46]2023-24'!$N211/10^7</f>
        <v>33.018603749999997</v>
      </c>
      <c r="G182" s="291">
        <f>'[46]2023-24'!$T211/10^7</f>
        <v>33.018603749999997</v>
      </c>
      <c r="H182" s="291">
        <f>'[46]2023-24'!$Z211/10^7</f>
        <v>33.018603749999997</v>
      </c>
      <c r="I182" s="291">
        <f>'[46]2023-24'!$AF211/10^7</f>
        <v>33.018603749999997</v>
      </c>
      <c r="J182" s="291">
        <f>'[46]2023-24'!$AL211/10^7</f>
        <v>33.018603749999997</v>
      </c>
      <c r="K182" s="291">
        <f>'[46]2023-24'!$AR211/10^7</f>
        <v>33.018603749999997</v>
      </c>
      <c r="L182" s="291">
        <f>'[46]2023-24'!$AX211/10^7</f>
        <v>33.018603749999997</v>
      </c>
      <c r="M182" s="291">
        <f>'[46]2023-24'!$BD211/10^7</f>
        <v>33.018603749999997</v>
      </c>
      <c r="N182" s="291">
        <f>'[46]2023-24'!$BJ211/10^7</f>
        <v>33.018603749999997</v>
      </c>
      <c r="O182" s="291">
        <f>'[46]2023-24'!$BP211/10^7</f>
        <v>33.018603749999997</v>
      </c>
      <c r="P182" s="291">
        <f>'[46]2023-24'!$BV211/10^7</f>
        <v>33.018603749999997</v>
      </c>
      <c r="Q182" s="66">
        <f t="shared" si="160"/>
        <v>396.22324500000008</v>
      </c>
    </row>
    <row r="183" spans="2:17" x14ac:dyDescent="0.25">
      <c r="B183" s="60"/>
      <c r="C183" s="802"/>
      <c r="D183" s="59" t="s">
        <v>354</v>
      </c>
      <c r="E183" s="291">
        <f>'[46]2023-24'!$H212/10^7</f>
        <v>1.8690650711500001</v>
      </c>
      <c r="F183" s="291">
        <f>'[46]2023-24'!$N212/10^7</f>
        <v>2.5969517717999997</v>
      </c>
      <c r="G183" s="291">
        <f>'[46]2023-24'!$T212/10^7</f>
        <v>2.0271336759</v>
      </c>
      <c r="H183" s="291">
        <f>'[46]2023-24'!$Z212/10^7</f>
        <v>2.2692485459999996</v>
      </c>
      <c r="I183" s="291">
        <f>'[46]2023-24'!$AF212/10^7</f>
        <v>2.2118040827999996</v>
      </c>
      <c r="J183" s="291">
        <f>'[46]2023-24'!$AL212/10^7</f>
        <v>0.36047356604999997</v>
      </c>
      <c r="K183" s="291">
        <f>'[46]2023-24'!$AR212/10^7</f>
        <v>0.13493663104999998</v>
      </c>
      <c r="L183" s="291">
        <f>'[46]2023-24'!$AX212/10^7</f>
        <v>1.7711396097999998</v>
      </c>
      <c r="M183" s="291">
        <f>'[46]2023-24'!$BD212/10^7</f>
        <v>2.1269867869999999</v>
      </c>
      <c r="N183" s="291">
        <f>'[46]2023-24'!$BJ212/10^7</f>
        <v>2.2858264810999995</v>
      </c>
      <c r="O183" s="291">
        <f>'[46]2023-24'!$BP212/10^7</f>
        <v>1.97315904115</v>
      </c>
      <c r="P183" s="291">
        <f>'[46]2023-24'!$BV212/10^7</f>
        <v>1.17394865185</v>
      </c>
      <c r="Q183" s="66">
        <f t="shared" si="160"/>
        <v>20.800673915650002</v>
      </c>
    </row>
    <row r="184" spans="2:17" x14ac:dyDescent="0.25">
      <c r="B184" s="60"/>
      <c r="C184" s="802"/>
      <c r="D184" s="59" t="s">
        <v>355</v>
      </c>
      <c r="E184" s="291">
        <f>'[46]2023-24'!$H213/10^7</f>
        <v>10.304309593149998</v>
      </c>
      <c r="F184" s="291">
        <f>'[46]2023-24'!$N213/10^7</f>
        <v>10.304309593149998</v>
      </c>
      <c r="G184" s="291">
        <f>'[46]2023-24'!$T213/10^7</f>
        <v>10.304309593149998</v>
      </c>
      <c r="H184" s="291">
        <f>'[46]2023-24'!$Z213/10^7</f>
        <v>10.304309593149998</v>
      </c>
      <c r="I184" s="291">
        <f>'[46]2023-24'!$AF213/10^7</f>
        <v>10.304309593149998</v>
      </c>
      <c r="J184" s="291">
        <f>'[46]2023-24'!$AL213/10^7</f>
        <v>10.304309593149998</v>
      </c>
      <c r="K184" s="291">
        <f>'[46]2023-24'!$AR213/10^7</f>
        <v>10.304309593149998</v>
      </c>
      <c r="L184" s="291">
        <f>'[46]2023-24'!$AX213/10^7</f>
        <v>10.304309593149998</v>
      </c>
      <c r="M184" s="291">
        <f>'[46]2023-24'!$BD213/10^7</f>
        <v>10.304309593149998</v>
      </c>
      <c r="N184" s="291">
        <f>'[46]2023-24'!$BJ213/10^7</f>
        <v>10.304309593149998</v>
      </c>
      <c r="O184" s="291">
        <f>'[46]2023-24'!$BP213/10^7</f>
        <v>10.304309593149998</v>
      </c>
      <c r="P184" s="291">
        <f>'[46]2023-24'!$BV213/10^7</f>
        <v>10.304309593149998</v>
      </c>
      <c r="Q184" s="66">
        <f t="shared" si="160"/>
        <v>123.65171511779995</v>
      </c>
    </row>
    <row r="185" spans="2:17" x14ac:dyDescent="0.25">
      <c r="B185" s="60"/>
      <c r="C185" s="802"/>
      <c r="D185" s="59" t="s">
        <v>356</v>
      </c>
      <c r="E185" s="291">
        <f>'[46]2023-24'!$H214/10^7</f>
        <v>18.386616656849998</v>
      </c>
      <c r="F185" s="291">
        <f>'[46]2023-24'!$N214/10^7</f>
        <v>18.386616656849998</v>
      </c>
      <c r="G185" s="291">
        <f>'[46]2023-24'!$T214/10^7</f>
        <v>18.386616656849998</v>
      </c>
      <c r="H185" s="291">
        <f>'[46]2023-24'!$Z214/10^7</f>
        <v>18.386616656849998</v>
      </c>
      <c r="I185" s="291">
        <f>'[46]2023-24'!$AF214/10^7</f>
        <v>18.386616656849998</v>
      </c>
      <c r="J185" s="291">
        <f>'[46]2023-24'!$AL214/10^7</f>
        <v>18.386616656849998</v>
      </c>
      <c r="K185" s="291">
        <f>'[46]2023-24'!$AR214/10^7</f>
        <v>18.386616656849998</v>
      </c>
      <c r="L185" s="291">
        <f>'[46]2023-24'!$AX214/10^7</f>
        <v>18.386616656849998</v>
      </c>
      <c r="M185" s="291">
        <f>'[46]2023-24'!$BD214/10^7</f>
        <v>18.386616656849998</v>
      </c>
      <c r="N185" s="291">
        <f>'[46]2023-24'!$BJ214/10^7</f>
        <v>18.386616656849998</v>
      </c>
      <c r="O185" s="291">
        <f>'[46]2023-24'!$BP214/10^7</f>
        <v>18.386616656849998</v>
      </c>
      <c r="P185" s="291">
        <f>'[46]2023-24'!$BV214/10^7</f>
        <v>18.386616656849998</v>
      </c>
      <c r="Q185" s="66">
        <f t="shared" si="160"/>
        <v>220.63939988220002</v>
      </c>
    </row>
    <row r="186" spans="2:17" x14ac:dyDescent="0.25">
      <c r="B186" s="60"/>
      <c r="C186" s="802"/>
      <c r="D186" s="59" t="s">
        <v>357</v>
      </c>
      <c r="E186" s="291">
        <f>'[46]2023-24'!$H215/10^7</f>
        <v>29.721567991799997</v>
      </c>
      <c r="F186" s="291">
        <f>'[46]2023-24'!$N215/10^7</f>
        <v>30.861236372450001</v>
      </c>
      <c r="G186" s="291">
        <f>'[46]2023-24'!$T215/10^7</f>
        <v>30.033132058050001</v>
      </c>
      <c r="H186" s="291">
        <f>'[46]2023-24'!$Z215/10^7</f>
        <v>22.301424799999999</v>
      </c>
      <c r="I186" s="291">
        <f>'[46]2023-24'!$AF215/10^7</f>
        <v>23.637870482549999</v>
      </c>
      <c r="J186" s="291">
        <f>'[46]2023-24'!$AL215/10^7</f>
        <v>26.892894608300001</v>
      </c>
      <c r="K186" s="291">
        <f>'[46]2023-24'!$AR215/10^7</f>
        <v>29.967539575</v>
      </c>
      <c r="L186" s="291">
        <f>'[46]2023-24'!$AX215/10^7</f>
        <v>34.452421705100001</v>
      </c>
      <c r="M186" s="291">
        <f>'[46]2023-24'!$BD215/10^7</f>
        <v>32.246876365749998</v>
      </c>
      <c r="N186" s="291">
        <f>'[46]2023-24'!$BJ215/10^7</f>
        <v>35.46090523745</v>
      </c>
      <c r="O186" s="291">
        <f>'[46]2023-24'!$BP215/10^7</f>
        <v>36.141426649049997</v>
      </c>
      <c r="P186" s="291">
        <f>'[46]2023-24'!$BV215/10^7</f>
        <v>32.38626027075</v>
      </c>
      <c r="Q186" s="66">
        <f t="shared" si="160"/>
        <v>364.10355611624993</v>
      </c>
    </row>
    <row r="187" spans="2:17" x14ac:dyDescent="0.25">
      <c r="B187" s="60"/>
      <c r="C187" s="802"/>
      <c r="D187" s="59" t="s">
        <v>358</v>
      </c>
      <c r="E187" s="291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17">
        <f t="shared" si="160"/>
        <v>0</v>
      </c>
    </row>
    <row r="188" spans="2:17" x14ac:dyDescent="0.25">
      <c r="B188" s="60"/>
      <c r="C188" s="802"/>
      <c r="D188" s="325" t="s">
        <v>620</v>
      </c>
      <c r="E188" s="291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17">
        <f t="shared" si="160"/>
        <v>0</v>
      </c>
    </row>
    <row r="189" spans="2:17" x14ac:dyDescent="0.25">
      <c r="B189" s="60"/>
      <c r="C189" s="802"/>
      <c r="D189" s="59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>
        <f t="shared" si="160"/>
        <v>0</v>
      </c>
    </row>
    <row r="190" spans="2:17" x14ac:dyDescent="0.25">
      <c r="B190" s="60"/>
      <c r="C190" s="802"/>
      <c r="D190" s="59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>
        <f t="shared" si="160"/>
        <v>0</v>
      </c>
    </row>
    <row r="191" spans="2:17" x14ac:dyDescent="0.25">
      <c r="B191" s="60"/>
      <c r="C191" s="802"/>
      <c r="D191" s="59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>
        <f t="shared" si="160"/>
        <v>0</v>
      </c>
    </row>
    <row r="192" spans="2:17" x14ac:dyDescent="0.25">
      <c r="B192" s="60"/>
      <c r="C192" s="802"/>
      <c r="D192" s="59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>
        <f t="shared" si="160"/>
        <v>0</v>
      </c>
    </row>
    <row r="193" spans="2:17" x14ac:dyDescent="0.25">
      <c r="B193" s="60"/>
      <c r="C193" s="802"/>
      <c r="D193" s="59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>
        <f t="shared" si="160"/>
        <v>0</v>
      </c>
    </row>
    <row r="194" spans="2:17" x14ac:dyDescent="0.25">
      <c r="B194" s="60"/>
      <c r="C194" s="802"/>
      <c r="D194" s="59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>
        <f t="shared" si="160"/>
        <v>0</v>
      </c>
    </row>
    <row r="195" spans="2:17" x14ac:dyDescent="0.25">
      <c r="B195" s="60"/>
      <c r="C195" s="802"/>
      <c r="D195" s="59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>
        <f t="shared" si="160"/>
        <v>0</v>
      </c>
    </row>
    <row r="196" spans="2:17" x14ac:dyDescent="0.25">
      <c r="B196" s="60"/>
      <c r="C196" s="802"/>
      <c r="D196" s="59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>
        <f t="shared" si="160"/>
        <v>0</v>
      </c>
    </row>
    <row r="197" spans="2:17" x14ac:dyDescent="0.25">
      <c r="B197" s="60"/>
      <c r="C197" s="802"/>
      <c r="D197" s="59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>
        <f t="shared" si="160"/>
        <v>0</v>
      </c>
    </row>
    <row r="198" spans="2:17" x14ac:dyDescent="0.25">
      <c r="C198" s="751" t="s">
        <v>212</v>
      </c>
      <c r="D198" s="751"/>
      <c r="E198" s="66">
        <f t="shared" ref="E198:P198" si="161">SUM(E180:E197)</f>
        <v>117.36105846979999</v>
      </c>
      <c r="F198" s="66">
        <f t="shared" si="161"/>
        <v>119.22861355109998</v>
      </c>
      <c r="G198" s="66">
        <f t="shared" si="161"/>
        <v>117.83069114079998</v>
      </c>
      <c r="H198" s="66">
        <f t="shared" si="161"/>
        <v>110.34109875285</v>
      </c>
      <c r="I198" s="66">
        <f t="shared" si="161"/>
        <v>111.62009997219999</v>
      </c>
      <c r="J198" s="66">
        <f t="shared" si="161"/>
        <v>113.02379358119998</v>
      </c>
      <c r="K198" s="66">
        <f t="shared" si="161"/>
        <v>115.87290161289999</v>
      </c>
      <c r="L198" s="66">
        <f t="shared" si="161"/>
        <v>121.99398672174999</v>
      </c>
      <c r="M198" s="66">
        <f t="shared" si="161"/>
        <v>120.14428855959999</v>
      </c>
      <c r="N198" s="66">
        <f t="shared" si="161"/>
        <v>123.51715712539999</v>
      </c>
      <c r="O198" s="66">
        <f t="shared" si="161"/>
        <v>123.88501109704998</v>
      </c>
      <c r="P198" s="66">
        <f t="shared" si="161"/>
        <v>119.33063432944999</v>
      </c>
      <c r="Q198" s="86">
        <f t="shared" si="160"/>
        <v>1414.1493349140999</v>
      </c>
    </row>
    <row r="199" spans="2:17" x14ac:dyDescent="0.25">
      <c r="C199" s="753" t="s">
        <v>359</v>
      </c>
      <c r="D199" s="753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</row>
    <row r="200" spans="2:17" x14ac:dyDescent="0.25">
      <c r="C200" s="805" t="s">
        <v>350</v>
      </c>
      <c r="D200" s="17" t="s">
        <v>360</v>
      </c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>
        <f t="shared" ref="Q200:Q217" si="162">SUM(E200:P200)</f>
        <v>0</v>
      </c>
    </row>
    <row r="201" spans="2:17" x14ac:dyDescent="0.25">
      <c r="C201" s="805"/>
      <c r="D201" s="17" t="s">
        <v>361</v>
      </c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>
        <f t="shared" si="162"/>
        <v>0</v>
      </c>
    </row>
    <row r="202" spans="2:17" x14ac:dyDescent="0.25">
      <c r="C202" s="805"/>
      <c r="D202" s="17" t="s">
        <v>362</v>
      </c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>
        <f t="shared" si="162"/>
        <v>0</v>
      </c>
    </row>
    <row r="203" spans="2:17" x14ac:dyDescent="0.25">
      <c r="C203" s="805"/>
      <c r="D203" s="17" t="s">
        <v>363</v>
      </c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>
        <f t="shared" si="162"/>
        <v>0</v>
      </c>
    </row>
    <row r="204" spans="2:17" x14ac:dyDescent="0.25">
      <c r="C204" s="805"/>
      <c r="D204" s="17" t="s">
        <v>364</v>
      </c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>
        <f t="shared" si="162"/>
        <v>0</v>
      </c>
    </row>
    <row r="205" spans="2:17" x14ac:dyDescent="0.25">
      <c r="C205" s="805"/>
      <c r="D205" s="17" t="s">
        <v>365</v>
      </c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>
        <f t="shared" si="162"/>
        <v>0</v>
      </c>
    </row>
    <row r="206" spans="2:17" x14ac:dyDescent="0.25">
      <c r="C206" s="805"/>
      <c r="D206" s="17" t="s">
        <v>366</v>
      </c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>
        <f t="shared" si="162"/>
        <v>0</v>
      </c>
    </row>
    <row r="207" spans="2:17" x14ac:dyDescent="0.25">
      <c r="C207" s="805"/>
      <c r="D207" s="17" t="s">
        <v>367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>
        <f t="shared" si="162"/>
        <v>0</v>
      </c>
    </row>
    <row r="208" spans="2:17" x14ac:dyDescent="0.25">
      <c r="C208" s="805"/>
      <c r="D208" s="325" t="s">
        <v>621</v>
      </c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17">
        <f t="shared" si="162"/>
        <v>0</v>
      </c>
    </row>
    <row r="209" spans="3:17" x14ac:dyDescent="0.25">
      <c r="C209" s="805"/>
      <c r="D209" s="325" t="s">
        <v>622</v>
      </c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>
        <f t="shared" si="162"/>
        <v>0</v>
      </c>
    </row>
    <row r="210" spans="3:17" x14ac:dyDescent="0.25">
      <c r="C210" s="805"/>
      <c r="D210" s="327" t="s">
        <v>642</v>
      </c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>
        <f t="shared" si="162"/>
        <v>0</v>
      </c>
    </row>
    <row r="211" spans="3:17" x14ac:dyDescent="0.25">
      <c r="C211" s="805"/>
      <c r="D211" s="325" t="s">
        <v>656</v>
      </c>
      <c r="E211" s="291">
        <f>'[46]2023-24'!$H218/10^7</f>
        <v>30.489216875</v>
      </c>
      <c r="F211" s="291">
        <f>'[46]2023-24'!$N218/10^7</f>
        <v>30.489216875</v>
      </c>
      <c r="G211" s="291">
        <f>'[46]2023-24'!$T218/10^7</f>
        <v>30.489216875</v>
      </c>
      <c r="H211" s="291">
        <f>'[46]2023-24'!$Z218/10^7</f>
        <v>30.489216875</v>
      </c>
      <c r="I211" s="291">
        <f>'[46]2023-24'!$AF218/10^7</f>
        <v>30.489216875</v>
      </c>
      <c r="J211" s="291">
        <f>'[46]2023-24'!$AL218/10^7</f>
        <v>30.489216875</v>
      </c>
      <c r="K211" s="291">
        <f>'[46]2023-24'!$AR218/10^7</f>
        <v>30.489216875</v>
      </c>
      <c r="L211" s="291">
        <f>'[46]2023-24'!$AX218/10^7</f>
        <v>30.489216875</v>
      </c>
      <c r="M211" s="291">
        <f>'[46]2023-24'!$BD218/10^7</f>
        <v>30.489216875</v>
      </c>
      <c r="N211" s="291">
        <f>'[46]2023-24'!$BJ218/10^7</f>
        <v>30.489216875</v>
      </c>
      <c r="O211" s="291">
        <f>'[46]2023-24'!$BP218/10^7</f>
        <v>30.489216875</v>
      </c>
      <c r="P211" s="291">
        <f>'[46]2023-24'!$BV218/10^7</f>
        <v>30.489216875</v>
      </c>
      <c r="Q211" s="17">
        <f t="shared" si="162"/>
        <v>365.87060250000007</v>
      </c>
    </row>
    <row r="212" spans="3:17" x14ac:dyDescent="0.25">
      <c r="C212" s="805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>
        <f t="shared" si="162"/>
        <v>0</v>
      </c>
    </row>
    <row r="213" spans="3:17" x14ac:dyDescent="0.25">
      <c r="C213" s="805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>
        <f t="shared" si="162"/>
        <v>0</v>
      </c>
    </row>
    <row r="214" spans="3:17" x14ac:dyDescent="0.25">
      <c r="C214" s="805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>
        <f t="shared" si="162"/>
        <v>0</v>
      </c>
    </row>
    <row r="215" spans="3:17" x14ac:dyDescent="0.25">
      <c r="C215" s="805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>
        <f t="shared" si="162"/>
        <v>0</v>
      </c>
    </row>
    <row r="216" spans="3:17" x14ac:dyDescent="0.25">
      <c r="C216" s="805"/>
      <c r="D216" s="10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>
        <f t="shared" si="162"/>
        <v>0</v>
      </c>
    </row>
    <row r="217" spans="3:17" x14ac:dyDescent="0.25">
      <c r="C217" s="751" t="s">
        <v>212</v>
      </c>
      <c r="D217" s="751"/>
      <c r="E217" s="4">
        <f t="shared" ref="E217:P217" si="163">SUM(E200:E216)</f>
        <v>30.489216875</v>
      </c>
      <c r="F217" s="4">
        <f t="shared" si="163"/>
        <v>30.489216875</v>
      </c>
      <c r="G217" s="4">
        <f t="shared" si="163"/>
        <v>30.489216875</v>
      </c>
      <c r="H217" s="4">
        <f t="shared" si="163"/>
        <v>30.489216875</v>
      </c>
      <c r="I217" s="4">
        <f t="shared" si="163"/>
        <v>30.489216875</v>
      </c>
      <c r="J217" s="4">
        <f t="shared" si="163"/>
        <v>30.489216875</v>
      </c>
      <c r="K217" s="4">
        <f t="shared" si="163"/>
        <v>30.489216875</v>
      </c>
      <c r="L217" s="4">
        <f t="shared" si="163"/>
        <v>30.489216875</v>
      </c>
      <c r="M217" s="4">
        <f t="shared" si="163"/>
        <v>30.489216875</v>
      </c>
      <c r="N217" s="4">
        <f t="shared" si="163"/>
        <v>30.489216875</v>
      </c>
      <c r="O217" s="4">
        <f t="shared" si="163"/>
        <v>30.489216875</v>
      </c>
      <c r="P217" s="4">
        <f t="shared" si="163"/>
        <v>30.489216875</v>
      </c>
      <c r="Q217" s="17">
        <f t="shared" si="162"/>
        <v>365.87060250000007</v>
      </c>
    </row>
    <row r="218" spans="3:17" x14ac:dyDescent="0.25">
      <c r="C218" s="753" t="s">
        <v>368</v>
      </c>
      <c r="D218" s="753"/>
      <c r="E218" s="291">
        <f>SUM(E198,E217)</f>
        <v>147.8502753448</v>
      </c>
      <c r="F218" s="291">
        <f t="shared" ref="F218:P218" si="164">SUM(F198,F217)</f>
        <v>149.71783042609999</v>
      </c>
      <c r="G218" s="291">
        <f t="shared" si="164"/>
        <v>148.3199080158</v>
      </c>
      <c r="H218" s="291">
        <f t="shared" si="164"/>
        <v>140.83031562785001</v>
      </c>
      <c r="I218" s="291">
        <f t="shared" si="164"/>
        <v>142.10931684720001</v>
      </c>
      <c r="J218" s="291">
        <f t="shared" si="164"/>
        <v>143.51301045619999</v>
      </c>
      <c r="K218" s="291">
        <f t="shared" si="164"/>
        <v>146.36211848790001</v>
      </c>
      <c r="L218" s="291">
        <f t="shared" si="164"/>
        <v>152.48320359675</v>
      </c>
      <c r="M218" s="291">
        <f t="shared" si="164"/>
        <v>150.63350543459998</v>
      </c>
      <c r="N218" s="291">
        <f t="shared" si="164"/>
        <v>154.0063740004</v>
      </c>
      <c r="O218" s="291">
        <f t="shared" si="164"/>
        <v>154.37422797204999</v>
      </c>
      <c r="P218" s="291">
        <f t="shared" si="164"/>
        <v>149.81985120445</v>
      </c>
      <c r="Q218" s="323">
        <f>Q198+Q217</f>
        <v>1780.0199374141</v>
      </c>
    </row>
    <row r="219" spans="3:17" x14ac:dyDescent="0.25">
      <c r="C219" s="800" t="s">
        <v>369</v>
      </c>
      <c r="D219" s="800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</row>
    <row r="220" spans="3:17" x14ac:dyDescent="0.25">
      <c r="C220" s="753" t="s">
        <v>349</v>
      </c>
      <c r="D220" s="753"/>
      <c r="Q220" s="17"/>
    </row>
    <row r="221" spans="3:17" x14ac:dyDescent="0.25">
      <c r="C221" s="805" t="s">
        <v>370</v>
      </c>
      <c r="D221" s="17" t="s">
        <v>371</v>
      </c>
      <c r="E221" s="66">
        <f>'[46]2023-24'!$H190/10^7</f>
        <v>4.40392723125</v>
      </c>
      <c r="F221" s="66">
        <f>'[46]2023-24'!$N190/10^7</f>
        <v>3.9666427936499997</v>
      </c>
      <c r="G221" s="66">
        <f>'[46]2023-24'!$T190/10^7</f>
        <v>3.9353587654500002</v>
      </c>
      <c r="H221" s="66">
        <f>'[46]2023-24'!$Z190/10^7</f>
        <v>23.1408042236</v>
      </c>
      <c r="I221" s="66">
        <f>'[46]2023-24'!$AF190/10^7</f>
        <v>4.2421323768999999</v>
      </c>
      <c r="J221" s="66">
        <f>'[46]2023-24'!$AL190/10^7</f>
        <v>-4.3918238407999999</v>
      </c>
      <c r="K221" s="66">
        <f>'[46]2023-24'!$AR190/10^7</f>
        <v>5.8395103899</v>
      </c>
      <c r="L221" s="66">
        <f>'[46]2023-24'!$AX190/10^7</f>
        <v>5.4321680029000001</v>
      </c>
      <c r="M221" s="66">
        <f>'[46]2023-24'!$BD190/10^7</f>
        <v>5.7387139952999995</v>
      </c>
      <c r="N221" s="66">
        <f>'[46]2023-24'!$BJ190/10^7</f>
        <v>5.0143824102999996</v>
      </c>
      <c r="O221" s="66">
        <f>'[46]2023-24'!$BP190/10^7</f>
        <v>4.8651420909499992</v>
      </c>
      <c r="P221" s="66">
        <f>'[46]2023-24'!$BV190/10^7</f>
        <v>5.0800410969499996</v>
      </c>
      <c r="Q221" s="66">
        <f t="shared" ref="Q221:Q247" si="165">SUM(E221:P221)</f>
        <v>67.266999536349999</v>
      </c>
    </row>
    <row r="222" spans="3:17" x14ac:dyDescent="0.25">
      <c r="C222" s="805"/>
      <c r="D222" s="17" t="s">
        <v>372</v>
      </c>
      <c r="E222" s="66">
        <f>'[46]2023-24'!$H191/10^7</f>
        <v>1.3177774159</v>
      </c>
      <c r="F222" s="66">
        <f>'[46]2023-24'!$N191/10^7</f>
        <v>1.2032838557499999</v>
      </c>
      <c r="G222" s="66">
        <f>'[46]2023-24'!$T191/10^7</f>
        <v>1.5610299984</v>
      </c>
      <c r="H222" s="66">
        <f>'[46]2023-24'!$Z191/10^7</f>
        <v>1.25465796715</v>
      </c>
      <c r="I222" s="66">
        <f>'[46]2023-24'!$AF191/10^7</f>
        <v>1.2793907250499998</v>
      </c>
      <c r="J222" s="66">
        <f>'[46]2023-24'!$AL191/10^7</f>
        <v>1.1915570424499999</v>
      </c>
      <c r="K222" s="66">
        <f>'[46]2023-24'!$AR191/10^7</f>
        <v>1.2736576346499999</v>
      </c>
      <c r="L222" s="66">
        <f>'[46]2023-24'!$AX191/10^7</f>
        <v>1.2739056625499998</v>
      </c>
      <c r="M222" s="66">
        <f>'[46]2023-24'!$BD191/10^7</f>
        <v>1.270222086</v>
      </c>
      <c r="N222" s="66">
        <f>'[46]2023-24'!$BJ191/10^7</f>
        <v>1.2772525077999999</v>
      </c>
      <c r="O222" s="66">
        <f>'[46]2023-24'!$BP191/10^7</f>
        <v>1.1905236714</v>
      </c>
      <c r="P222" s="66">
        <f>'[46]2023-24'!$BV191/10^7</f>
        <v>1.24996387275</v>
      </c>
      <c r="Q222" s="66">
        <f t="shared" si="165"/>
        <v>15.343222439849999</v>
      </c>
    </row>
    <row r="223" spans="3:17" x14ac:dyDescent="0.25">
      <c r="C223" s="805"/>
      <c r="D223" s="17" t="s">
        <v>373</v>
      </c>
      <c r="E223" s="66">
        <f>'[46]2023-24'!$H194/10^7</f>
        <v>17.117629320999999</v>
      </c>
      <c r="F223" s="66">
        <f>'[46]2023-24'!$N194/10^7</f>
        <v>3.9786803633499996</v>
      </c>
      <c r="G223" s="66">
        <f>'[46]2023-24'!$T194/10^7</f>
        <v>4.0141787748999995</v>
      </c>
      <c r="H223" s="66">
        <f>'[46]2023-24'!$Z194/10^7</f>
        <v>3.4776624150499997</v>
      </c>
      <c r="I223" s="66">
        <f>'[46]2023-24'!$AF194/10^7</f>
        <v>3.2704752154999999</v>
      </c>
      <c r="J223" s="66">
        <f>'[46]2023-24'!$AL194/10^7</f>
        <v>3.545448393</v>
      </c>
      <c r="K223" s="66">
        <f>'[46]2023-24'!$AR194/10^7</f>
        <v>4.6009240828999998</v>
      </c>
      <c r="L223" s="66">
        <f>'[46]2023-24'!$AX194/10^7</f>
        <v>3.8857319814499998</v>
      </c>
      <c r="M223" s="66">
        <f>'[46]2023-24'!$BD194/10^7</f>
        <v>4.15844021835</v>
      </c>
      <c r="N223" s="66">
        <f>'[46]2023-24'!$BJ194/10^7</f>
        <v>4.7773108526999994</v>
      </c>
      <c r="O223" s="66">
        <f>'[46]2023-24'!$BP194/10^7</f>
        <v>3.9966767282499998</v>
      </c>
      <c r="P223" s="66">
        <f>'[46]2023-24'!$BV194/10^7</f>
        <v>3.9709047681999996</v>
      </c>
      <c r="Q223" s="66">
        <f t="shared" si="165"/>
        <v>60.794063114649994</v>
      </c>
    </row>
    <row r="224" spans="3:17" x14ac:dyDescent="0.25">
      <c r="C224" s="805"/>
      <c r="D224" s="17" t="s">
        <v>374</v>
      </c>
      <c r="E224" s="66">
        <f>'[46]2023-24'!$H192/10^7</f>
        <v>9.7410206800499992</v>
      </c>
      <c r="F224" s="66">
        <f>'[46]2023-24'!$N192/10^7</f>
        <v>20.710995072749999</v>
      </c>
      <c r="G224" s="66">
        <f>'[46]2023-24'!$T192/10^7</f>
        <v>11.88632195085</v>
      </c>
      <c r="H224" s="66">
        <f>'[46]2023-24'!$Z192/10^7</f>
        <v>11.00933534845</v>
      </c>
      <c r="I224" s="66">
        <f>'[46]2023-24'!$AF192/10^7</f>
        <v>9.9528715816000002</v>
      </c>
      <c r="J224" s="66">
        <f>'[46]2023-24'!$AL192/10^7</f>
        <v>9.6299483263999992</v>
      </c>
      <c r="K224" s="66">
        <f>'[46]2023-24'!$AR192/10^7</f>
        <v>10.53098830465</v>
      </c>
      <c r="L224" s="66">
        <f>'[46]2023-24'!$AX192/10^7</f>
        <v>9.9896526878999996</v>
      </c>
      <c r="M224" s="66">
        <f>'[46]2023-24'!$BD192/10^7</f>
        <v>10.6889214394</v>
      </c>
      <c r="N224" s="66">
        <f>'[46]2023-24'!$BJ192/10^7</f>
        <v>10.72097985535</v>
      </c>
      <c r="O224" s="66">
        <f>'[46]2023-24'!$BP192/10^7</f>
        <v>9.5016625066499998</v>
      </c>
      <c r="P224" s="66">
        <f>'[46]2023-24'!$BV192/10^7</f>
        <v>11.201930661999999</v>
      </c>
      <c r="Q224" s="66">
        <f t="shared" si="165"/>
        <v>135.56462841605</v>
      </c>
    </row>
    <row r="225" spans="3:17" x14ac:dyDescent="0.25">
      <c r="C225" s="805"/>
      <c r="D225" s="17" t="s">
        <v>375</v>
      </c>
      <c r="E225" s="66">
        <f>'[46]2023-24'!$H193/10^7</f>
        <v>6.0262203270999999</v>
      </c>
      <c r="F225" s="66">
        <f>'[46]2023-24'!$N193/10^7</f>
        <v>11.728397062099999</v>
      </c>
      <c r="G225" s="66">
        <f>'[46]2023-24'!$T193/10^7</f>
        <v>6.1512289508499993</v>
      </c>
      <c r="H225" s="66">
        <f>'[46]2023-24'!$Z193/10^7</f>
        <v>6.2577606445999994</v>
      </c>
      <c r="I225" s="66">
        <f>'[46]2023-24'!$AF193/10^7</f>
        <v>8.0287578930999999</v>
      </c>
      <c r="J225" s="66">
        <f>'[46]2023-24'!$AL193/10^7</f>
        <v>7.5086811416999995</v>
      </c>
      <c r="K225" s="66">
        <f>'[46]2023-24'!$AR193/10^7</f>
        <v>6.6057110693499999</v>
      </c>
      <c r="L225" s="66">
        <f>'[46]2023-24'!$AX193/10^7</f>
        <v>6.3476150683999997</v>
      </c>
      <c r="M225" s="66">
        <f>'[46]2023-24'!$BD193/10^7</f>
        <v>6.7995657237999989</v>
      </c>
      <c r="N225" s="66">
        <f>'[46]2023-24'!$BJ193/10^7</f>
        <v>7.0188235948499988</v>
      </c>
      <c r="O225" s="66">
        <f>'[46]2023-24'!$BP193/10^7</f>
        <v>6.2005693630499996</v>
      </c>
      <c r="P225" s="66">
        <f>'[46]2023-24'!$BV193/10^7</f>
        <v>7.0291018509999992</v>
      </c>
      <c r="Q225" s="66">
        <f t="shared" si="165"/>
        <v>85.702432689899993</v>
      </c>
    </row>
    <row r="226" spans="3:17" x14ac:dyDescent="0.25">
      <c r="C226" s="805"/>
      <c r="D226" s="17" t="s">
        <v>376</v>
      </c>
      <c r="E226" s="66">
        <f>'[46]2023-24'!$H195/10^7</f>
        <v>7.3075616729000004</v>
      </c>
      <c r="F226" s="66">
        <f>'[46]2023-24'!$N195/10^7</f>
        <v>9.7808564875999995</v>
      </c>
      <c r="G226" s="66">
        <f>'[46]2023-24'!$T195/10^7</f>
        <v>7.1850726144500001</v>
      </c>
      <c r="H226" s="66">
        <f>'[46]2023-24'!$Z195/10^7</f>
        <v>7.5057775483999993</v>
      </c>
      <c r="I226" s="66">
        <f>'[46]2023-24'!$AF195/10^7</f>
        <v>7.7197026428999989</v>
      </c>
      <c r="J226" s="66">
        <f>'[46]2023-24'!$AL195/10^7</f>
        <v>7.6039594014499992</v>
      </c>
      <c r="K226" s="66">
        <f>'[46]2023-24'!$AR195/10^7</f>
        <v>7.63045915935</v>
      </c>
      <c r="L226" s="66">
        <f>'[46]2023-24'!$AX195/10^7</f>
        <v>7.4803935037499993</v>
      </c>
      <c r="M226" s="66">
        <f>'[46]2023-24'!$BD195/10^7</f>
        <v>7.7397340322499995</v>
      </c>
      <c r="N226" s="66">
        <f>'[46]2023-24'!$BJ195/10^7</f>
        <v>7.5102159578999999</v>
      </c>
      <c r="O226" s="66">
        <f>'[46]2023-24'!$BP195/10^7</f>
        <v>6.6030626603</v>
      </c>
      <c r="P226" s="66">
        <f>'[46]2023-24'!$BV195/10^7</f>
        <v>7.0380427237499994</v>
      </c>
      <c r="Q226" s="66">
        <f t="shared" si="165"/>
        <v>91.104838404999995</v>
      </c>
    </row>
    <row r="227" spans="3:17" x14ac:dyDescent="0.25">
      <c r="C227" s="805"/>
      <c r="D227" s="17" t="s">
        <v>377</v>
      </c>
      <c r="E227" s="66">
        <f>'[46]2023-24'!$H208/10^7</f>
        <v>0</v>
      </c>
      <c r="F227" s="66">
        <f>'[46]2023-24'!$N208/10^7</f>
        <v>0</v>
      </c>
      <c r="G227" s="66">
        <f>'[46]2023-24'!$T208/10^7</f>
        <v>0</v>
      </c>
      <c r="H227" s="66">
        <f>'[46]2023-24'!$Z208/10^7</f>
        <v>0</v>
      </c>
      <c r="I227" s="66">
        <f>'[46]2023-24'!$AF208/10^7</f>
        <v>0</v>
      </c>
      <c r="J227" s="66">
        <f>'[46]2023-24'!$AL208/10^7</f>
        <v>0</v>
      </c>
      <c r="K227" s="66">
        <f>'[46]2023-24'!$AR208/10^7</f>
        <v>0</v>
      </c>
      <c r="L227" s="66">
        <f>'[46]2023-24'!$AX208/10^7</f>
        <v>0</v>
      </c>
      <c r="M227" s="66">
        <f>'[46]2023-24'!$BD208/10^7</f>
        <v>0</v>
      </c>
      <c r="N227" s="66">
        <f>'[46]2023-24'!$BJ208/10^7</f>
        <v>0</v>
      </c>
      <c r="O227" s="66">
        <f>'[46]2023-24'!$BP208/10^7</f>
        <v>0</v>
      </c>
      <c r="P227" s="66">
        <f>'[46]2023-24'!$BV208/10^7</f>
        <v>0</v>
      </c>
      <c r="Q227" s="66">
        <f t="shared" si="165"/>
        <v>0</v>
      </c>
    </row>
    <row r="228" spans="3:17" x14ac:dyDescent="0.25">
      <c r="C228" s="805"/>
      <c r="D228" s="17" t="s">
        <v>378</v>
      </c>
      <c r="E228" s="66">
        <f>'[46]2023-24'!$H207/10^7</f>
        <v>0</v>
      </c>
      <c r="F228" s="66">
        <f>'[46]2023-24'!$N207/10^7</f>
        <v>0</v>
      </c>
      <c r="G228" s="66">
        <f>'[46]2023-24'!$T207/10^7</f>
        <v>0</v>
      </c>
      <c r="H228" s="66">
        <f>'[46]2023-24'!$Z207/10^7</f>
        <v>0</v>
      </c>
      <c r="I228" s="66">
        <f>'[46]2023-24'!$AF207/10^7</f>
        <v>0</v>
      </c>
      <c r="J228" s="66">
        <f>'[46]2023-24'!$AL207/10^7</f>
        <v>0</v>
      </c>
      <c r="K228" s="66">
        <f>'[46]2023-24'!$AR207/10^7</f>
        <v>0</v>
      </c>
      <c r="L228" s="66">
        <f>'[46]2023-24'!$AX207/10^7</f>
        <v>0</v>
      </c>
      <c r="M228" s="66">
        <f>'[46]2023-24'!$BD207/10^7</f>
        <v>0</v>
      </c>
      <c r="N228" s="66">
        <f>'[46]2023-24'!$BJ207/10^7</f>
        <v>0</v>
      </c>
      <c r="O228" s="66">
        <f>'[46]2023-24'!$BP207/10^7</f>
        <v>0</v>
      </c>
      <c r="P228" s="66">
        <f>'[46]2023-24'!$BV207/10^7</f>
        <v>0</v>
      </c>
      <c r="Q228" s="66">
        <f t="shared" si="165"/>
        <v>0</v>
      </c>
    </row>
    <row r="229" spans="3:17" x14ac:dyDescent="0.25">
      <c r="C229" s="805"/>
      <c r="D229" s="17" t="s">
        <v>379</v>
      </c>
      <c r="E229" s="66">
        <f>'[46]2023-24'!$H196/10^7</f>
        <v>0</v>
      </c>
      <c r="F229" s="66">
        <f>'[46]2023-24'!$N196/10^7</f>
        <v>0</v>
      </c>
      <c r="G229" s="66">
        <f>'[46]2023-24'!$T196/10^7</f>
        <v>0</v>
      </c>
      <c r="H229" s="66">
        <f>'[46]2023-24'!$Z196/10^7</f>
        <v>0</v>
      </c>
      <c r="I229" s="66">
        <f>'[46]2023-24'!$AF196/10^7</f>
        <v>0</v>
      </c>
      <c r="J229" s="66">
        <f>'[46]2023-24'!$AL196/10^7</f>
        <v>1.5641601799999998E-2</v>
      </c>
      <c r="K229" s="66">
        <f>'[46]2023-24'!$AR196/10^7</f>
        <v>26.146528179899999</v>
      </c>
      <c r="L229" s="66">
        <f>'[46]2023-24'!$AX196/10^7</f>
        <v>19.29394164795</v>
      </c>
      <c r="M229" s="66">
        <f>'[46]2023-24'!$BD196/10^7</f>
        <v>18.695665751999996</v>
      </c>
      <c r="N229" s="66">
        <f>'[46]2023-24'!$BJ196/10^7</f>
        <v>23.261189904150001</v>
      </c>
      <c r="O229" s="66">
        <f>'[46]2023-24'!$BP196/10^7</f>
        <v>23.0771542331</v>
      </c>
      <c r="P229" s="66">
        <f>'[46]2023-24'!$BV196/10^7</f>
        <v>24.8453633323</v>
      </c>
      <c r="Q229" s="66">
        <f t="shared" si="165"/>
        <v>135.33548465120001</v>
      </c>
    </row>
    <row r="230" spans="3:17" x14ac:dyDescent="0.25">
      <c r="C230" s="17"/>
      <c r="D230" s="17" t="s">
        <v>380</v>
      </c>
      <c r="E230" s="66">
        <f>'[46]2023-24'!$H178/10^7</f>
        <v>6.0728538184354454E-2</v>
      </c>
      <c r="F230" s="66">
        <f>'[46]2023-24'!$N178/10^7</f>
        <v>4.9556748942039222E-2</v>
      </c>
      <c r="G230" s="66">
        <f>'[46]2023-24'!$T178/10^7</f>
        <v>5.6519114749999974E-2</v>
      </c>
      <c r="H230" s="66">
        <f>'[46]2023-24'!$Z178/10^7</f>
        <v>3.6519340956499925E-2</v>
      </c>
      <c r="I230" s="66">
        <f>'[46]2023-24'!$AF178/10^7</f>
        <v>2.9242226539299997E-2</v>
      </c>
      <c r="J230" s="66">
        <f>'[46]2023-24'!$AL178/10^7</f>
        <v>3.39607387E-2</v>
      </c>
      <c r="K230" s="66">
        <f>'[46]2023-24'!$AR178/10^7</f>
        <v>3.4991865803836175E-2</v>
      </c>
      <c r="L230" s="66">
        <f>'[46]2023-24'!$AX178/10^7</f>
        <v>3.9603434445399981E-2</v>
      </c>
      <c r="M230" s="66">
        <f>'[46]2023-24'!$BD178/10^7</f>
        <v>4.3595954099999994E-2</v>
      </c>
      <c r="N230" s="66">
        <f>'[46]2023-24'!$BJ178/10^7</f>
        <v>4.5754756899999999E-2</v>
      </c>
      <c r="O230" s="66">
        <f>'[46]2023-24'!$BP178/10^7</f>
        <v>4.7141849897400001E-2</v>
      </c>
      <c r="P230" s="66">
        <f>'[46]2023-24'!$BV178/10^7</f>
        <v>6.5771825557659272E-2</v>
      </c>
      <c r="Q230" s="66">
        <f t="shared" si="165"/>
        <v>0.54338639477648898</v>
      </c>
    </row>
    <row r="231" spans="3:17" x14ac:dyDescent="0.25">
      <c r="C231" s="17"/>
      <c r="D231" s="17" t="s">
        <v>381</v>
      </c>
      <c r="E231" s="66">
        <f>'[46]2023-24'!$H179/10^7</f>
        <v>6.5415341299999999E-2</v>
      </c>
      <c r="F231" s="66">
        <f>'[46]2023-24'!$N179/10^7</f>
        <v>3.1223390451275097E-2</v>
      </c>
      <c r="G231" s="66">
        <f>'[46]2023-24'!$T179/10^7</f>
        <v>8.4113512064731468E-3</v>
      </c>
      <c r="H231" s="66">
        <f>'[46]2023-24'!$Z179/10^7</f>
        <v>3.7237666999499999E-2</v>
      </c>
      <c r="I231" s="66">
        <f>'[46]2023-24'!$AF179/10^7</f>
        <v>4.5028225399999997E-2</v>
      </c>
      <c r="J231" s="66">
        <f>'[46]2023-24'!$AL179/10^7</f>
        <v>3.5813585449999998E-2</v>
      </c>
      <c r="K231" s="66">
        <f>'[46]2023-24'!$AR179/10^7</f>
        <v>5.1608964213683703E-2</v>
      </c>
      <c r="L231" s="66">
        <f>'[46]2023-24'!$AX179/10^7</f>
        <v>4.3453550980999969E-2</v>
      </c>
      <c r="M231" s="66">
        <f>'[46]2023-24'!$BD179/10^7</f>
        <v>3.9387859944750019E-2</v>
      </c>
      <c r="N231" s="66">
        <f>'[46]2023-24'!$BJ179/10^7</f>
        <v>6.1836367871109597E-2</v>
      </c>
      <c r="O231" s="66">
        <f>'[46]2023-24'!$BP179/10^7</f>
        <v>6.7978534108621896E-2</v>
      </c>
      <c r="P231" s="66">
        <f>'[46]2023-24'!$BV179/10^7</f>
        <v>8.2826858650000001E-2</v>
      </c>
      <c r="Q231" s="66">
        <f t="shared" si="165"/>
        <v>0.57022169657641331</v>
      </c>
    </row>
    <row r="232" spans="3:17" x14ac:dyDescent="0.25">
      <c r="C232" s="17"/>
      <c r="D232" s="17" t="s">
        <v>382</v>
      </c>
      <c r="E232" s="66">
        <f>'[46]2023-24'!$H180/10^7</f>
        <v>1.9917521738556252</v>
      </c>
      <c r="F232" s="66">
        <f>'[46]2023-24'!$N180/10^7</f>
        <v>1.8962446208967498</v>
      </c>
      <c r="G232" s="66">
        <f>'[46]2023-24'!$T180/10^7</f>
        <v>2.0399322902155856</v>
      </c>
      <c r="H232" s="66">
        <f>'[46]2023-24'!$Z180/10^7</f>
        <v>1.9377501499920833</v>
      </c>
      <c r="I232" s="66">
        <f>'[46]2023-24'!$AF180/10^7</f>
        <v>1.5929612436192524</v>
      </c>
      <c r="J232" s="66">
        <f>'[46]2023-24'!$AL180/10^7</f>
        <v>1.2045031151999999</v>
      </c>
      <c r="K232" s="66">
        <f>'[46]2023-24'!$AR180/10^7</f>
        <v>1.8314900222999997</v>
      </c>
      <c r="L232" s="66">
        <f>'[46]2023-24'!$AX180/10^7</f>
        <v>2.0298272023499999</v>
      </c>
      <c r="M232" s="66">
        <f>'[46]2023-24'!$BD180/10^7</f>
        <v>2.30657957215</v>
      </c>
      <c r="N232" s="66">
        <f>'[46]2023-24'!$BJ180/10^7</f>
        <v>2.3447288846808712</v>
      </c>
      <c r="O232" s="66">
        <f>'[46]2023-24'!$BP180/10^7</f>
        <v>1.8379609132417742</v>
      </c>
      <c r="P232" s="66">
        <f>'[46]2023-24'!$BV180/10^7</f>
        <v>2.0040036252850006</v>
      </c>
      <c r="Q232" s="66">
        <f t="shared" si="165"/>
        <v>23.01773381378694</v>
      </c>
    </row>
    <row r="233" spans="3:17" x14ac:dyDescent="0.25">
      <c r="C233" s="17"/>
      <c r="D233" s="17" t="s">
        <v>383</v>
      </c>
      <c r="E233" s="66">
        <f>'[46]2023-24'!$H181/10^7</f>
        <v>8.2258296950000004E-2</v>
      </c>
      <c r="F233" s="66">
        <f>'[46]2023-24'!$N181/10^7</f>
        <v>8.3100737258033422E-2</v>
      </c>
      <c r="G233" s="66">
        <f>'[46]2023-24'!$T181/10^7</f>
        <v>6.867608329049997E-2</v>
      </c>
      <c r="H233" s="66">
        <f>'[46]2023-24'!$Z181/10^7</f>
        <v>0.12132742253764751</v>
      </c>
      <c r="I233" s="66">
        <f>'[46]2023-24'!$AF181/10^7</f>
        <v>8.6699164347000021E-2</v>
      </c>
      <c r="J233" s="66">
        <f>'[46]2023-24'!$AL181/10^7</f>
        <v>8.341040802100827E-2</v>
      </c>
      <c r="K233" s="66">
        <f>'[46]2023-24'!$AR181/10^7</f>
        <v>5.3298066993430107E-2</v>
      </c>
      <c r="L233" s="66">
        <f>'[46]2023-24'!$AX181/10^7</f>
        <v>8.6598048949999992E-2</v>
      </c>
      <c r="M233" s="66">
        <f>'[46]2023-24'!$BD181/10^7</f>
        <v>6.3139377034899996E-2</v>
      </c>
      <c r="N233" s="66">
        <f>'[46]2023-24'!$BJ181/10^7</f>
        <v>0.13263068544800008</v>
      </c>
      <c r="O233" s="66">
        <f>'[46]2023-24'!$BP181/10^7</f>
        <v>9.8262599590100003E-2</v>
      </c>
      <c r="P233" s="66">
        <f>'[46]2023-24'!$BV181/10^7</f>
        <v>9.9994862755550015E-2</v>
      </c>
      <c r="Q233" s="66">
        <f t="shared" si="165"/>
        <v>1.0593957531761693</v>
      </c>
    </row>
    <row r="234" spans="3:17" x14ac:dyDescent="0.25">
      <c r="C234" s="17"/>
      <c r="D234" s="17" t="s">
        <v>384</v>
      </c>
      <c r="E234" s="66">
        <f>'[46]2023-24'!$H182/10^7</f>
        <v>0.16879484553145796</v>
      </c>
      <c r="F234" s="66">
        <f>'[46]2023-24'!$N182/10^7</f>
        <v>0.1190911100286</v>
      </c>
      <c r="G234" s="66">
        <f>'[46]2023-24'!$T182/10^7</f>
        <v>0.12285378433100001</v>
      </c>
      <c r="H234" s="66">
        <f>'[46]2023-24'!$Z182/10^7</f>
        <v>0.17715102086000001</v>
      </c>
      <c r="I234" s="66">
        <f>'[46]2023-24'!$AF182/10^7</f>
        <v>8.6557643549999994E-2</v>
      </c>
      <c r="J234" s="66">
        <f>'[46]2023-24'!$AL182/10^7</f>
        <v>0.17279151969859094</v>
      </c>
      <c r="K234" s="66">
        <f>'[46]2023-24'!$AR182/10^7</f>
        <v>0.12894043397219487</v>
      </c>
      <c r="L234" s="66">
        <f>'[46]2023-24'!$AX182/10^7</f>
        <v>0.16193272688099999</v>
      </c>
      <c r="M234" s="66">
        <f>'[46]2023-24'!$BD182/10^7</f>
        <v>9.4693809833899981E-2</v>
      </c>
      <c r="N234" s="66">
        <f>'[46]2023-24'!$BJ182/10^7</f>
        <v>0.12375281684999999</v>
      </c>
      <c r="O234" s="66">
        <f>'[46]2023-24'!$BP182/10^7</f>
        <v>8.8774324926860798E-2</v>
      </c>
      <c r="P234" s="66">
        <f>'[46]2023-24'!$BV182/10^7</f>
        <v>0.13222283239800003</v>
      </c>
      <c r="Q234" s="66">
        <f t="shared" si="165"/>
        <v>1.5775568688616048</v>
      </c>
    </row>
    <row r="235" spans="3:17" x14ac:dyDescent="0.25">
      <c r="C235" s="17"/>
      <c r="D235" s="17" t="s">
        <v>385</v>
      </c>
      <c r="E235" s="66">
        <f>'[46]2023-24'!$H197/10^7</f>
        <v>3.2892022348999999</v>
      </c>
      <c r="F235" s="66">
        <f>'[46]2023-24'!$N197/10^7</f>
        <v>2.4563550863499999</v>
      </c>
      <c r="G235" s="66">
        <f>'[46]2023-24'!$T197/10^7</f>
        <v>3.2133412141999997</v>
      </c>
      <c r="H235" s="66">
        <f>'[46]2023-24'!$Z197/10^7</f>
        <v>3.5435926306999996</v>
      </c>
      <c r="I235" s="66">
        <f>'[46]2023-24'!$AF197/10^7</f>
        <v>2.7046341919049999</v>
      </c>
      <c r="J235" s="66">
        <f>'[46]2023-24'!$AL197/10^7</f>
        <v>2.2732173458</v>
      </c>
      <c r="K235" s="66">
        <f>'[46]2023-24'!$AR197/10^7</f>
        <v>2.28858497425</v>
      </c>
      <c r="L235" s="66">
        <f>'[46]2023-24'!$AX197/10^7</f>
        <v>2.0207371947999997</v>
      </c>
      <c r="M235" s="66">
        <f>'[46]2023-24'!$BD197/10^7</f>
        <v>1.2889197732</v>
      </c>
      <c r="N235" s="66">
        <f>'[46]2023-24'!$BJ197/10^7</f>
        <v>1.2443589782</v>
      </c>
      <c r="O235" s="66">
        <f>'[46]2023-24'!$BP197/10^7</f>
        <v>1.6314335807</v>
      </c>
      <c r="P235" s="66">
        <f>'[46]2023-24'!$BV197/10^7</f>
        <v>1.14829340215</v>
      </c>
      <c r="Q235" s="66">
        <f t="shared" si="165"/>
        <v>27.102670607154998</v>
      </c>
    </row>
    <row r="236" spans="3:17" x14ac:dyDescent="0.25">
      <c r="C236" s="17"/>
      <c r="D236" s="17" t="s">
        <v>386</v>
      </c>
      <c r="E236" s="66">
        <f>'[46]2023-24'!$H198/10^7</f>
        <v>3.8214849216499998</v>
      </c>
      <c r="F236" s="66">
        <f>'[46]2023-24'!$N198/10^7</f>
        <v>3.2456442712999998</v>
      </c>
      <c r="G236" s="66">
        <f>'[46]2023-24'!$T198/10^7</f>
        <v>4.21906684225275</v>
      </c>
      <c r="H236" s="66">
        <f>'[46]2023-24'!$Z198/10^7</f>
        <v>2.5349692403696857</v>
      </c>
      <c r="I236" s="66">
        <f>'[46]2023-24'!$AF198/10^7</f>
        <v>2.0144583958999998</v>
      </c>
      <c r="J236" s="66">
        <f>'[46]2023-24'!$AL198/10^7</f>
        <v>3.0912581904785719</v>
      </c>
      <c r="K236" s="66">
        <f>'[46]2023-24'!$AR198/10^7</f>
        <v>4.3005635666246871</v>
      </c>
      <c r="L236" s="66">
        <f>'[46]2023-24'!$AX198/10^7</f>
        <v>2.6259825805000001</v>
      </c>
      <c r="M236" s="66">
        <f>'[46]2023-24'!$BD198/10^7</f>
        <v>2.6832229858944223</v>
      </c>
      <c r="N236" s="66">
        <f>'[46]2023-24'!$BJ198/10^7</f>
        <v>2.533315178014</v>
      </c>
      <c r="O236" s="66">
        <f>'[46]2023-24'!$BP198/10^7</f>
        <v>3.2220497264500008</v>
      </c>
      <c r="P236" s="66">
        <f>'[46]2023-24'!$BV198/10^7</f>
        <v>3.5179108465500004</v>
      </c>
      <c r="Q236" s="66">
        <f t="shared" si="165"/>
        <v>37.809926745984114</v>
      </c>
    </row>
    <row r="237" spans="3:17" x14ac:dyDescent="0.25">
      <c r="C237" s="17"/>
      <c r="D237" s="328" t="s">
        <v>438</v>
      </c>
      <c r="E237" s="66">
        <f>'[46]2023-24'!$H183/10^7</f>
        <v>0</v>
      </c>
      <c r="F237" s="66">
        <f>'[46]2023-24'!$N183/10^7</f>
        <v>0</v>
      </c>
      <c r="G237" s="66">
        <f>'[46]2023-24'!$T183/10^7</f>
        <v>3.6016171999999997E-3</v>
      </c>
      <c r="H237" s="66">
        <f>'[46]2023-24'!$Z183/10^7</f>
        <v>-2.4296249999999996E-5</v>
      </c>
      <c r="I237" s="66">
        <f>'[46]2023-24'!$AF183/10^7</f>
        <v>1.4616624E-3</v>
      </c>
      <c r="J237" s="66">
        <f>'[46]2023-24'!$AL183/10^7</f>
        <v>1.6041415E-4</v>
      </c>
      <c r="K237" s="66">
        <f>'[46]2023-24'!$AR183/10^7</f>
        <v>1.5746915E-4</v>
      </c>
      <c r="L237" s="66">
        <f>'[46]2023-24'!$AX183/10^7</f>
        <v>1.6109149999999999E-4</v>
      </c>
      <c r="M237" s="66">
        <f>'[46]2023-24'!$BD183/10^7</f>
        <v>-2.5179749999999999E-5</v>
      </c>
      <c r="N237" s="66">
        <f>'[46]2023-24'!$BJ183/10^7</f>
        <v>4.4734549999999993E-5</v>
      </c>
      <c r="O237" s="66">
        <f>'[46]2023-24'!$BP183/10^7</f>
        <v>2.9273299999999999E-4</v>
      </c>
      <c r="P237" s="66">
        <f>'[46]2023-24'!$BV183/10^7</f>
        <v>-1.116155E-4</v>
      </c>
      <c r="Q237" s="66">
        <f t="shared" si="165"/>
        <v>5.7186304499999988E-3</v>
      </c>
    </row>
    <row r="238" spans="3:17" x14ac:dyDescent="0.25">
      <c r="C238" s="17"/>
      <c r="D238" s="328" t="s">
        <v>439</v>
      </c>
      <c r="E238" s="66">
        <f>'[46]2023-24'!$H184/10^7</f>
        <v>0</v>
      </c>
      <c r="F238" s="66">
        <f>'[46]2023-24'!$N184/10^7</f>
        <v>0</v>
      </c>
      <c r="G238" s="66">
        <f>'[46]2023-24'!$T184/10^7</f>
        <v>3.859007255E-2</v>
      </c>
      <c r="H238" s="66">
        <f>'[46]2023-24'!$Z184/10^7</f>
        <v>-5.6087524999999994E-4</v>
      </c>
      <c r="I238" s="66">
        <f>'[46]2023-24'!$AF184/10^7</f>
        <v>7.342179499999999E-4</v>
      </c>
      <c r="J238" s="66">
        <f>'[46]2023-24'!$AL184/10^7</f>
        <v>-1.4812466499999999E-3</v>
      </c>
      <c r="K238" s="66">
        <f>'[46]2023-24'!$AR184/10^7</f>
        <v>2.6781240999999996E-3</v>
      </c>
      <c r="L238" s="66">
        <f>'[46]2023-24'!$AX184/10^7</f>
        <v>-7.6113525E-4</v>
      </c>
      <c r="M238" s="66">
        <f>'[46]2023-24'!$BD184/10^7</f>
        <v>1.6341804999999999E-4</v>
      </c>
      <c r="N238" s="66">
        <f>'[46]2023-24'!$BJ184/10^7</f>
        <v>0</v>
      </c>
      <c r="O238" s="66">
        <f>'[46]2023-24'!$BP184/10^7</f>
        <v>-6.7938204999999998E-4</v>
      </c>
      <c r="P238" s="66">
        <f>'[46]2023-24'!$BV184/10^7</f>
        <v>-1.7988059999999998E-4</v>
      </c>
      <c r="Q238" s="66">
        <f t="shared" si="165"/>
        <v>3.8503312849999992E-2</v>
      </c>
    </row>
    <row r="239" spans="3:17" x14ac:dyDescent="0.25">
      <c r="C239" s="17"/>
      <c r="D239" s="327" t="s">
        <v>441</v>
      </c>
      <c r="E239" s="66">
        <f>'[46]2023-24'!$H186/10^7</f>
        <v>0</v>
      </c>
      <c r="F239" s="66">
        <f>'[46]2023-24'!$N186/10^7</f>
        <v>6.4158591999999995E-3</v>
      </c>
      <c r="G239" s="66">
        <f>'[46]2023-24'!$T186/10^7</f>
        <v>5.8016499999999998E-6</v>
      </c>
      <c r="H239" s="66">
        <f>'[46]2023-24'!$Z186/10^7</f>
        <v>1.9289749999999999E-5</v>
      </c>
      <c r="I239" s="66">
        <f>'[46]2023-24'!$AF186/10^7</f>
        <v>2.6139819999999999E-4</v>
      </c>
      <c r="J239" s="66">
        <f>'[46]2023-24'!$AL186/10^7</f>
        <v>-2.2835529999999999E-4</v>
      </c>
      <c r="K239" s="66">
        <f>'[46]2023-24'!$AR186/10^7</f>
        <v>7.5333099999999985E-5</v>
      </c>
      <c r="L239" s="66">
        <f>'[46]2023-24'!$AX186/10^7</f>
        <v>6.15505E-5</v>
      </c>
      <c r="M239" s="66">
        <f>'[46]2023-24'!$BD186/10^7</f>
        <v>5.5395449999999992E-5</v>
      </c>
      <c r="N239" s="66">
        <f>'[46]2023-24'!$BJ186/10^7</f>
        <v>1.0292775E-4</v>
      </c>
      <c r="O239" s="66">
        <f>'[46]2023-24'!$BP186/10^7</f>
        <v>-3.7489849999999998E-5</v>
      </c>
      <c r="P239" s="66">
        <f>'[46]2023-24'!$BV186/10^7</f>
        <v>4.3438749999999998E-5</v>
      </c>
      <c r="Q239" s="66">
        <f t="shared" si="165"/>
        <v>6.7751491999999986E-3</v>
      </c>
    </row>
    <row r="240" spans="3:17" x14ac:dyDescent="0.25">
      <c r="C240" s="17"/>
      <c r="D240" s="327" t="s">
        <v>442</v>
      </c>
      <c r="E240" s="66">
        <f>'[46]2023-24'!$H187/10^7</f>
        <v>0</v>
      </c>
      <c r="F240" s="66">
        <f>'[46]2023-24'!$N187/10^7</f>
        <v>3.3102860199999994E-2</v>
      </c>
      <c r="G240" s="66">
        <f>'[46]2023-24'!$T187/10^7</f>
        <v>2.13807E-5</v>
      </c>
      <c r="H240" s="66">
        <f>'[46]2023-24'!$Z187/10^7</f>
        <v>-1.387095E-5</v>
      </c>
      <c r="I240" s="66">
        <f>'[46]2023-24'!$AF187/10^7</f>
        <v>0</v>
      </c>
      <c r="J240" s="66">
        <f>'[46]2023-24'!$AL187/10^7</f>
        <v>0</v>
      </c>
      <c r="K240" s="66">
        <f>'[46]2023-24'!$AR187/10^7</f>
        <v>0</v>
      </c>
      <c r="L240" s="66">
        <f>'[46]2023-24'!$AX187/10^7</f>
        <v>0</v>
      </c>
      <c r="M240" s="66">
        <f>'[46]2023-24'!$BD187/10^7</f>
        <v>0</v>
      </c>
      <c r="N240" s="66">
        <f>'[46]2023-24'!$BJ187/10^7</f>
        <v>1.3107606E-3</v>
      </c>
      <c r="O240" s="66">
        <f>'[46]2023-24'!$BP187/10^7</f>
        <v>0</v>
      </c>
      <c r="P240" s="66">
        <f>'[46]2023-24'!$BV187/10^7</f>
        <v>0</v>
      </c>
      <c r="Q240" s="66">
        <f t="shared" si="165"/>
        <v>3.4421130549999991E-2</v>
      </c>
    </row>
    <row r="241" spans="3:17" x14ac:dyDescent="0.25">
      <c r="C241" s="17"/>
      <c r="D241" s="328" t="s">
        <v>443</v>
      </c>
      <c r="E241" s="66">
        <f>'[46]2023-24'!$H188/10^7</f>
        <v>0</v>
      </c>
      <c r="F241" s="66">
        <f>'[46]2023-24'!$N188/10^7</f>
        <v>0</v>
      </c>
      <c r="G241" s="66">
        <f>'[46]2023-24'!$T188/10^7</f>
        <v>0</v>
      </c>
      <c r="H241" s="66">
        <f>'[46]2023-24'!$Z188/10^7</f>
        <v>0</v>
      </c>
      <c r="I241" s="66">
        <f>'[46]2023-24'!$AF188/10^7</f>
        <v>0</v>
      </c>
      <c r="J241" s="66">
        <f>'[46]2023-24'!$AL188/10^7</f>
        <v>1.1012532999999998E-3</v>
      </c>
      <c r="K241" s="66">
        <f>'[46]2023-24'!$AR188/10^7</f>
        <v>3.9313688499999994E-3</v>
      </c>
      <c r="L241" s="66">
        <f>'[46]2023-24'!$AX188/10^7</f>
        <v>6.2404549999999992E-5</v>
      </c>
      <c r="M241" s="66">
        <f>'[46]2023-24'!$BD188/10^7</f>
        <v>0</v>
      </c>
      <c r="N241" s="66">
        <f>'[46]2023-24'!$BJ188/10^7</f>
        <v>0</v>
      </c>
      <c r="O241" s="66">
        <f>'[46]2023-24'!$BP188/10^7</f>
        <v>0</v>
      </c>
      <c r="P241" s="66">
        <f>'[46]2023-24'!$BV188/10^7</f>
        <v>0</v>
      </c>
      <c r="Q241" s="66">
        <f t="shared" si="165"/>
        <v>5.0950266999999988E-3</v>
      </c>
    </row>
    <row r="242" spans="3:17" x14ac:dyDescent="0.25">
      <c r="C242" s="17"/>
      <c r="D242" s="328" t="s">
        <v>444</v>
      </c>
      <c r="E242" s="66">
        <f>'[46]2023-24'!$H189/10^7</f>
        <v>0</v>
      </c>
      <c r="F242" s="66">
        <f>'[46]2023-24'!$N189/10^7</f>
        <v>0</v>
      </c>
      <c r="G242" s="66">
        <f>'[46]2023-24'!$T189/10^7</f>
        <v>0</v>
      </c>
      <c r="H242" s="66">
        <f>'[46]2023-24'!$Z189/10^7</f>
        <v>0</v>
      </c>
      <c r="I242" s="66">
        <f>'[46]2023-24'!$AF189/10^7</f>
        <v>0</v>
      </c>
      <c r="J242" s="66">
        <f>'[46]2023-24'!$AL189/10^7</f>
        <v>2.4737999999999999E-6</v>
      </c>
      <c r="K242" s="66">
        <f>'[46]2023-24'!$AR189/10^7</f>
        <v>0</v>
      </c>
      <c r="L242" s="66">
        <f>'[46]2023-24'!$AX189/10^7</f>
        <v>0</v>
      </c>
      <c r="M242" s="66">
        <f>'[46]2023-24'!$BD189/10^7</f>
        <v>-1.7669999999999999E-7</v>
      </c>
      <c r="N242" s="66">
        <f>'[46]2023-24'!$BJ189/10^7</f>
        <v>-1.7669999999999999E-7</v>
      </c>
      <c r="O242" s="66">
        <f>'[46]2023-24'!$BP189/10^7</f>
        <v>-8.3637999999999994E-6</v>
      </c>
      <c r="P242" s="66">
        <f>'[46]2023-24'!$BV189/10^7</f>
        <v>-8.8349999999999994E-8</v>
      </c>
      <c r="Q242" s="66">
        <f t="shared" si="165"/>
        <v>-6.3317499999999991E-6</v>
      </c>
    </row>
    <row r="243" spans="3:17" x14ac:dyDescent="0.25">
      <c r="C243" s="17"/>
      <c r="D243" s="325" t="s">
        <v>625</v>
      </c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66">
        <f t="shared" si="165"/>
        <v>0</v>
      </c>
    </row>
    <row r="244" spans="3:17" x14ac:dyDescent="0.25"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66">
        <f t="shared" si="165"/>
        <v>0</v>
      </c>
    </row>
    <row r="245" spans="3:17" x14ac:dyDescent="0.2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66">
        <f t="shared" si="165"/>
        <v>0</v>
      </c>
    </row>
    <row r="246" spans="3:17" x14ac:dyDescent="0.25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66">
        <f t="shared" si="165"/>
        <v>0</v>
      </c>
    </row>
    <row r="247" spans="3:17" x14ac:dyDescent="0.25">
      <c r="C247" s="751" t="s">
        <v>212</v>
      </c>
      <c r="D247" s="751"/>
      <c r="E247" s="291">
        <f t="shared" ref="E247:P247" si="166">SUM(E221:E246)</f>
        <v>55.393773000571443</v>
      </c>
      <c r="F247" s="291">
        <f t="shared" si="166"/>
        <v>59.289590319826694</v>
      </c>
      <c r="G247" s="291">
        <f t="shared" si="166"/>
        <v>44.504210607246307</v>
      </c>
      <c r="H247" s="291">
        <f t="shared" si="166"/>
        <v>61.03396586696541</v>
      </c>
      <c r="I247" s="291">
        <f t="shared" si="166"/>
        <v>41.055368804860557</v>
      </c>
      <c r="J247" s="291">
        <f t="shared" si="166"/>
        <v>31.997921508648172</v>
      </c>
      <c r="K247" s="291">
        <f t="shared" si="166"/>
        <v>71.324099010057836</v>
      </c>
      <c r="L247" s="291">
        <f t="shared" si="166"/>
        <v>60.711067205107383</v>
      </c>
      <c r="M247" s="291">
        <f t="shared" si="166"/>
        <v>61.610996036307974</v>
      </c>
      <c r="N247" s="291">
        <f t="shared" si="166"/>
        <v>66.067990997213997</v>
      </c>
      <c r="O247" s="291">
        <f t="shared" si="166"/>
        <v>62.42796027991475</v>
      </c>
      <c r="P247" s="291">
        <f t="shared" si="166"/>
        <v>67.466124414596194</v>
      </c>
      <c r="Q247" s="323">
        <f t="shared" si="165"/>
        <v>682.88306805131674</v>
      </c>
    </row>
    <row r="248" spans="3:17" x14ac:dyDescent="0.25">
      <c r="C248" s="753" t="s">
        <v>387</v>
      </c>
      <c r="D248" s="753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</row>
    <row r="249" spans="3:17" x14ac:dyDescent="0.25">
      <c r="C249" s="805" t="s">
        <v>388</v>
      </c>
      <c r="D249" s="17" t="s">
        <v>389</v>
      </c>
      <c r="E249" s="66">
        <f>'[46]2023-24'!$H176/10^7</f>
        <v>0</v>
      </c>
      <c r="F249" s="66">
        <f>'[46]2023-24'!$N176/10^7</f>
        <v>0</v>
      </c>
      <c r="G249" s="66">
        <f>'[46]2023-24'!$T176/10^7</f>
        <v>0</v>
      </c>
      <c r="H249" s="66">
        <f>'[46]2023-24'!$Z176/10^7</f>
        <v>0</v>
      </c>
      <c r="I249" s="66">
        <f>'[46]2023-24'!$AF176/10^7</f>
        <v>0</v>
      </c>
      <c r="J249" s="66">
        <f>'[46]2023-24'!$AL176/10^7</f>
        <v>0</v>
      </c>
      <c r="K249" s="66">
        <f>'[46]2023-24'!$AR176/10^7</f>
        <v>0</v>
      </c>
      <c r="L249" s="66">
        <f>'[46]2023-24'!$AX176/10^7</f>
        <v>0</v>
      </c>
      <c r="M249" s="66">
        <f>'[46]2023-24'!$BD176/10^7</f>
        <v>0</v>
      </c>
      <c r="N249" s="66">
        <f>'[46]2023-24'!$BJ176/10^7</f>
        <v>0</v>
      </c>
      <c r="O249" s="66">
        <f>'[46]2023-24'!$BP176/10^7</f>
        <v>0</v>
      </c>
      <c r="P249" s="66">
        <f>'[46]2023-24'!$BV176/10^7</f>
        <v>0</v>
      </c>
      <c r="Q249" s="17">
        <f t="shared" ref="Q249:Q263" si="167">SUM(E249:P249)</f>
        <v>0</v>
      </c>
    </row>
    <row r="250" spans="3:17" x14ac:dyDescent="0.25">
      <c r="C250" s="805"/>
      <c r="D250" s="17" t="s">
        <v>390</v>
      </c>
      <c r="E250" s="66">
        <f>'[46]2023-24'!$H175/10^7</f>
        <v>0</v>
      </c>
      <c r="F250" s="66">
        <f>'[46]2023-24'!$N175/10^7</f>
        <v>0</v>
      </c>
      <c r="G250" s="66">
        <f>'[46]2023-24'!$T175/10^7</f>
        <v>0</v>
      </c>
      <c r="H250" s="66">
        <f>'[46]2023-24'!$Z175/10^7</f>
        <v>0</v>
      </c>
      <c r="I250" s="66">
        <f>'[46]2023-24'!$AF175/10^7</f>
        <v>0</v>
      </c>
      <c r="J250" s="66">
        <f>'[46]2023-24'!$AL175/10^7</f>
        <v>0</v>
      </c>
      <c r="K250" s="66">
        <f>'[46]2023-24'!$AR175/10^7</f>
        <v>0</v>
      </c>
      <c r="L250" s="66">
        <f>'[46]2023-24'!$AX175/10^7</f>
        <v>0</v>
      </c>
      <c r="M250" s="66">
        <f>'[46]2023-24'!$BD175/10^7</f>
        <v>0</v>
      </c>
      <c r="N250" s="66">
        <f>'[46]2023-24'!$BJ175/10^7</f>
        <v>0</v>
      </c>
      <c r="O250" s="66">
        <f>'[46]2023-24'!$BP175/10^7</f>
        <v>0</v>
      </c>
      <c r="P250" s="66">
        <f>'[46]2023-24'!$BV175/10^7</f>
        <v>0</v>
      </c>
      <c r="Q250" s="17">
        <f t="shared" si="167"/>
        <v>0</v>
      </c>
    </row>
    <row r="251" spans="3:17" x14ac:dyDescent="0.25">
      <c r="C251" s="805"/>
      <c r="D251" s="17" t="s">
        <v>391</v>
      </c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17">
        <f t="shared" si="167"/>
        <v>0</v>
      </c>
    </row>
    <row r="252" spans="3:17" x14ac:dyDescent="0.25">
      <c r="C252" s="805"/>
      <c r="D252" s="17" t="s">
        <v>392</v>
      </c>
      <c r="E252" s="66">
        <f>'[46]2023-24'!$H177/10^7</f>
        <v>0</v>
      </c>
      <c r="F252" s="66">
        <f>'[46]2023-24'!$N177/10^7</f>
        <v>0</v>
      </c>
      <c r="G252" s="66">
        <f>'[46]2023-24'!$T177/10^7</f>
        <v>0</v>
      </c>
      <c r="H252" s="66">
        <f>'[46]2023-24'!$Z177/10^7</f>
        <v>0</v>
      </c>
      <c r="I252" s="66">
        <f>'[46]2023-24'!$AF177/10^7</f>
        <v>0</v>
      </c>
      <c r="J252" s="66">
        <f>'[46]2023-24'!$AL177/10^7</f>
        <v>0</v>
      </c>
      <c r="K252" s="66">
        <f>'[46]2023-24'!$AR177/10^7</f>
        <v>0</v>
      </c>
      <c r="L252" s="66">
        <f>'[46]2023-24'!$AX177/10^7</f>
        <v>0</v>
      </c>
      <c r="M252" s="66">
        <f>'[46]2023-24'!$BD177/10^7</f>
        <v>0</v>
      </c>
      <c r="N252" s="66">
        <f>'[46]2023-24'!$BJ177/10^7</f>
        <v>0</v>
      </c>
      <c r="O252" s="66">
        <f>'[46]2023-24'!$BP177/10^7</f>
        <v>0</v>
      </c>
      <c r="P252" s="66">
        <f>'[46]2023-24'!$BV177/10^7</f>
        <v>0</v>
      </c>
      <c r="Q252" s="17">
        <f t="shared" si="167"/>
        <v>0</v>
      </c>
    </row>
    <row r="253" spans="3:17" x14ac:dyDescent="0.25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>
        <f t="shared" si="167"/>
        <v>0</v>
      </c>
    </row>
    <row r="254" spans="3:17" x14ac:dyDescent="0.25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>
        <f t="shared" si="167"/>
        <v>0</v>
      </c>
    </row>
    <row r="255" spans="3:17" x14ac:dyDescent="0.25"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f t="shared" si="167"/>
        <v>0</v>
      </c>
    </row>
    <row r="256" spans="3:17" x14ac:dyDescent="0.25"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>
        <f t="shared" si="167"/>
        <v>0</v>
      </c>
    </row>
    <row r="257" spans="3:17" x14ac:dyDescent="0.25"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>
        <f t="shared" si="167"/>
        <v>0</v>
      </c>
    </row>
    <row r="258" spans="3:17" x14ac:dyDescent="0.25"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>
        <f t="shared" si="167"/>
        <v>0</v>
      </c>
    </row>
    <row r="259" spans="3:17" x14ac:dyDescent="0.25"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>
        <f t="shared" si="167"/>
        <v>0</v>
      </c>
    </row>
    <row r="260" spans="3:17" x14ac:dyDescent="0.25"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>
        <f t="shared" si="167"/>
        <v>0</v>
      </c>
    </row>
    <row r="261" spans="3:17" x14ac:dyDescent="0.25"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>
        <f t="shared" si="167"/>
        <v>0</v>
      </c>
    </row>
    <row r="262" spans="3:17" x14ac:dyDescent="0.25"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>
        <f t="shared" si="167"/>
        <v>0</v>
      </c>
    </row>
    <row r="263" spans="3:17" x14ac:dyDescent="0.25">
      <c r="C263" s="751" t="s">
        <v>212</v>
      </c>
      <c r="D263" s="751"/>
      <c r="E263" s="17">
        <f t="shared" ref="E263:P263" si="168">SUM(E249:E262)</f>
        <v>0</v>
      </c>
      <c r="F263" s="17">
        <f t="shared" si="168"/>
        <v>0</v>
      </c>
      <c r="G263" s="17">
        <f t="shared" si="168"/>
        <v>0</v>
      </c>
      <c r="H263" s="17">
        <f t="shared" si="168"/>
        <v>0</v>
      </c>
      <c r="I263" s="17">
        <f t="shared" si="168"/>
        <v>0</v>
      </c>
      <c r="J263" s="17">
        <f t="shared" si="168"/>
        <v>0</v>
      </c>
      <c r="K263" s="17">
        <f t="shared" si="168"/>
        <v>0</v>
      </c>
      <c r="L263" s="17">
        <f t="shared" si="168"/>
        <v>0</v>
      </c>
      <c r="M263" s="17">
        <f t="shared" si="168"/>
        <v>0</v>
      </c>
      <c r="N263" s="17">
        <f t="shared" si="168"/>
        <v>0</v>
      </c>
      <c r="O263" s="17">
        <f t="shared" si="168"/>
        <v>0</v>
      </c>
      <c r="P263" s="17">
        <f t="shared" si="168"/>
        <v>0</v>
      </c>
      <c r="Q263" s="86">
        <f t="shared" si="167"/>
        <v>0</v>
      </c>
    </row>
    <row r="264" spans="3:17" x14ac:dyDescent="0.25">
      <c r="C264" s="753" t="s">
        <v>394</v>
      </c>
      <c r="D264" s="753"/>
      <c r="E264" s="291">
        <f t="shared" ref="E264:Q264" si="169">E247+E263</f>
        <v>55.393773000571443</v>
      </c>
      <c r="F264" s="291">
        <f t="shared" si="169"/>
        <v>59.289590319826694</v>
      </c>
      <c r="G264" s="291">
        <f t="shared" si="169"/>
        <v>44.504210607246307</v>
      </c>
      <c r="H264" s="291">
        <f t="shared" si="169"/>
        <v>61.03396586696541</v>
      </c>
      <c r="I264" s="291">
        <f t="shared" si="169"/>
        <v>41.055368804860557</v>
      </c>
      <c r="J264" s="291">
        <f t="shared" si="169"/>
        <v>31.997921508648172</v>
      </c>
      <c r="K264" s="291">
        <f t="shared" si="169"/>
        <v>71.324099010057836</v>
      </c>
      <c r="L264" s="291">
        <f t="shared" si="169"/>
        <v>60.711067205107383</v>
      </c>
      <c r="M264" s="291">
        <f t="shared" si="169"/>
        <v>61.610996036307974</v>
      </c>
      <c r="N264" s="291">
        <f t="shared" si="169"/>
        <v>66.067990997213997</v>
      </c>
      <c r="O264" s="291">
        <f t="shared" si="169"/>
        <v>62.42796027991475</v>
      </c>
      <c r="P264" s="291">
        <f t="shared" si="169"/>
        <v>67.466124414596194</v>
      </c>
      <c r="Q264" s="323">
        <f t="shared" si="169"/>
        <v>682.88306805131674</v>
      </c>
    </row>
    <row r="265" spans="3:17" x14ac:dyDescent="0.25">
      <c r="C265" s="800" t="s">
        <v>395</v>
      </c>
      <c r="D265" s="800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</row>
    <row r="266" spans="3:17" x14ac:dyDescent="0.25">
      <c r="C266" s="17" t="s">
        <v>396</v>
      </c>
      <c r="D266" s="17" t="s">
        <v>396</v>
      </c>
      <c r="E266" s="66">
        <f>'[46]2023-24'!$H201/10^7</f>
        <v>27.410962165845</v>
      </c>
      <c r="F266" s="66">
        <f>'[46]2023-24'!$N201/10^7</f>
        <v>27.985935392949997</v>
      </c>
      <c r="G266" s="66">
        <f>'[46]2023-24'!$T201/10^7</f>
        <v>27.364867287095947</v>
      </c>
      <c r="H266" s="66">
        <f>'[46]2023-24'!$Z201/10^7</f>
        <v>28.087597299666697</v>
      </c>
      <c r="I266" s="66">
        <f>'[46]2023-24'!$AF201/10^7</f>
        <v>27.985531338949997</v>
      </c>
      <c r="J266" s="66">
        <f>'[46]2023-24'!$AL201/10^7</f>
        <v>27.082998952499999</v>
      </c>
      <c r="K266" s="66">
        <f>'[46]2023-24'!$AR201/10^7</f>
        <v>26.344859823349996</v>
      </c>
      <c r="L266" s="66">
        <f>'[46]2023-24'!$AX201/10^7</f>
        <v>22.032765013252199</v>
      </c>
      <c r="M266" s="66">
        <f>'[46]2023-24'!$BD201/10^7</f>
        <v>16.11491073679365</v>
      </c>
      <c r="N266" s="66">
        <f>'[46]2023-24'!$BJ201/10^7</f>
        <v>28.645927003399997</v>
      </c>
      <c r="O266" s="66">
        <f>'[46]2023-24'!$BP201/10^7</f>
        <v>27.027802702300001</v>
      </c>
      <c r="P266" s="66">
        <f>'[46]2023-24'!$BV201/10^7</f>
        <v>42.309027296650001</v>
      </c>
      <c r="Q266" s="66">
        <f t="shared" ref="Q266:Q273" si="170">SUM(E266:P266)</f>
        <v>328.39318501275346</v>
      </c>
    </row>
    <row r="267" spans="3:17" x14ac:dyDescent="0.25">
      <c r="C267" s="17" t="s">
        <v>397</v>
      </c>
      <c r="D267" s="17" t="s">
        <v>397</v>
      </c>
      <c r="E267" s="66">
        <f>'[46]2023-24'!$H202/10^7</f>
        <v>7.6838009157368452</v>
      </c>
      <c r="F267" s="66">
        <f>'[46]2023-24'!$N202/10^7</f>
        <v>7.9465839310549091</v>
      </c>
      <c r="G267" s="66">
        <f>'[46]2023-24'!$T202/10^7</f>
        <v>7.6877681230999988</v>
      </c>
      <c r="H267" s="66">
        <f>'[46]2023-24'!$Z202/10^7</f>
        <v>7.9648131081000004</v>
      </c>
      <c r="I267" s="66">
        <f>'[46]2023-24'!$AF202/10^7</f>
        <v>7.9036867175499994</v>
      </c>
      <c r="J267" s="66">
        <f>'[46]2023-24'!$AL202/10^7</f>
        <v>7.6530770832999986</v>
      </c>
      <c r="K267" s="66">
        <f>'[46]2023-24'!$AR202/10^7</f>
        <v>7.7851333276500005</v>
      </c>
      <c r="L267" s="66">
        <f>'[46]2023-24'!$AX202/10^7</f>
        <v>7.4026479480999994</v>
      </c>
      <c r="M267" s="66">
        <f>'[46]2023-24'!$BD202/10^7</f>
        <v>7.4050117229000003</v>
      </c>
      <c r="N267" s="66">
        <f>'[46]2023-24'!$BJ202/10^7</f>
        <v>7.9390551368000004</v>
      </c>
      <c r="O267" s="66">
        <f>'[46]2023-24'!$BP202/10^7</f>
        <v>7.4457422950749992</v>
      </c>
      <c r="P267" s="66">
        <f>'[46]2023-24'!$BV202/10^7</f>
        <v>7.9317165207499993</v>
      </c>
      <c r="Q267" s="66">
        <f t="shared" si="170"/>
        <v>92.749036830116736</v>
      </c>
    </row>
    <row r="268" spans="3:17" x14ac:dyDescent="0.25">
      <c r="C268" s="17"/>
      <c r="D268" s="17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17">
        <f t="shared" si="170"/>
        <v>0</v>
      </c>
    </row>
    <row r="269" spans="3:17" x14ac:dyDescent="0.25">
      <c r="C269" s="17"/>
      <c r="D269" s="17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17">
        <f t="shared" si="170"/>
        <v>0</v>
      </c>
    </row>
    <row r="270" spans="3:17" x14ac:dyDescent="0.25">
      <c r="C270" s="17"/>
      <c r="D270" s="17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17">
        <f t="shared" si="170"/>
        <v>0</v>
      </c>
    </row>
    <row r="271" spans="3:17" x14ac:dyDescent="0.25">
      <c r="C271" s="17"/>
      <c r="D271" s="17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17">
        <f t="shared" si="170"/>
        <v>0</v>
      </c>
    </row>
    <row r="272" spans="3:17" x14ac:dyDescent="0.25"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>
        <f t="shared" si="170"/>
        <v>0</v>
      </c>
    </row>
    <row r="273" spans="3:17" x14ac:dyDescent="0.25">
      <c r="C273" s="753" t="s">
        <v>398</v>
      </c>
      <c r="D273" s="753"/>
      <c r="E273" s="291">
        <f t="shared" ref="E273:P273" si="171">SUM(E266:E272)</f>
        <v>35.094763081581846</v>
      </c>
      <c r="F273" s="291">
        <f t="shared" si="171"/>
        <v>35.932519324004907</v>
      </c>
      <c r="G273" s="291">
        <f t="shared" si="171"/>
        <v>35.052635410195947</v>
      </c>
      <c r="H273" s="291">
        <f t="shared" si="171"/>
        <v>36.0524104077667</v>
      </c>
      <c r="I273" s="291">
        <f t="shared" si="171"/>
        <v>35.889218056499999</v>
      </c>
      <c r="J273" s="291">
        <f t="shared" si="171"/>
        <v>34.736076035799996</v>
      </c>
      <c r="K273" s="291">
        <f t="shared" si="171"/>
        <v>34.129993150999994</v>
      </c>
      <c r="L273" s="291">
        <f t="shared" si="171"/>
        <v>29.435412961352199</v>
      </c>
      <c r="M273" s="291">
        <f t="shared" si="171"/>
        <v>23.51992245969365</v>
      </c>
      <c r="N273" s="291">
        <f t="shared" si="171"/>
        <v>36.584982140199998</v>
      </c>
      <c r="O273" s="291">
        <f t="shared" si="171"/>
        <v>34.473544997375001</v>
      </c>
      <c r="P273" s="291">
        <f t="shared" si="171"/>
        <v>50.240743817400002</v>
      </c>
      <c r="Q273" s="323">
        <f t="shared" si="170"/>
        <v>421.1422218428703</v>
      </c>
    </row>
    <row r="274" spans="3:17" x14ac:dyDescent="0.25">
      <c r="C274" s="800" t="s">
        <v>399</v>
      </c>
      <c r="D274" s="800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</row>
    <row r="275" spans="3:17" x14ac:dyDescent="0.25">
      <c r="C275" s="17" t="s">
        <v>400</v>
      </c>
      <c r="D275" s="17" t="s">
        <v>400</v>
      </c>
      <c r="E275" s="66">
        <f>'[46]2023-24'!$H223/10^7</f>
        <v>32.633054156850001</v>
      </c>
      <c r="F275" s="66">
        <f>'[46]2023-24'!$N223/10^7</f>
        <v>32.633054156850001</v>
      </c>
      <c r="G275" s="66">
        <f>'[46]2023-24'!$T223/10^7</f>
        <v>32.633054156850001</v>
      </c>
      <c r="H275" s="66">
        <f>'[46]2023-24'!$Z223/10^7</f>
        <v>32.70514540085</v>
      </c>
      <c r="I275" s="66">
        <f>'[46]2023-24'!$AF223/10^7</f>
        <v>32.6464830918</v>
      </c>
      <c r="J275" s="66">
        <f>'[46]2023-24'!$AL223/10^7</f>
        <v>32.633054156850001</v>
      </c>
      <c r="K275" s="66">
        <f>'[46]2023-24'!$AR223/10^7</f>
        <v>32.633054156850001</v>
      </c>
      <c r="L275" s="66">
        <f>'[46]2023-24'!$AX223/10^7</f>
        <v>32.633054156850001</v>
      </c>
      <c r="M275" s="66">
        <f>'[46]2023-24'!$BD223/10^7</f>
        <v>31.470175465499999</v>
      </c>
      <c r="N275" s="66">
        <f>'[46]2023-24'!$BJ223/10^7</f>
        <v>32.633054156850001</v>
      </c>
      <c r="O275" s="66">
        <f>'[46]2023-24'!$BP223/10^7</f>
        <v>32.633054156850001</v>
      </c>
      <c r="P275" s="66">
        <f>'[46]2023-24'!$BV223/10^7</f>
        <v>32.633054156850001</v>
      </c>
      <c r="Q275" s="17">
        <f t="shared" ref="Q275:Q283" si="172">SUM(E275:P275)</f>
        <v>390.51929136979999</v>
      </c>
    </row>
    <row r="276" spans="3:17" x14ac:dyDescent="0.25">
      <c r="C276" s="17" t="s">
        <v>401</v>
      </c>
      <c r="D276" s="17" t="s">
        <v>401</v>
      </c>
      <c r="E276" s="66">
        <f>'[46]2023-24'!$H224/10^7</f>
        <v>0</v>
      </c>
      <c r="F276" s="66">
        <f>'[46]2023-24'!$N224/10^7</f>
        <v>0</v>
      </c>
      <c r="G276" s="66">
        <f>'[46]2023-24'!$T224/10^7</f>
        <v>0</v>
      </c>
      <c r="H276" s="66">
        <f>'[46]2023-24'!$Z224/10^7</f>
        <v>0</v>
      </c>
      <c r="I276" s="66">
        <f>'[46]2023-24'!$AF224/10^7</f>
        <v>0</v>
      </c>
      <c r="J276" s="66">
        <f>'[46]2023-24'!$AL224/10^7</f>
        <v>0</v>
      </c>
      <c r="K276" s="66">
        <f>'[46]2023-24'!$AR224/10^7</f>
        <v>0</v>
      </c>
      <c r="L276" s="66">
        <f>'[46]2023-24'!$AX224/10^7</f>
        <v>0</v>
      </c>
      <c r="M276" s="66">
        <f>'[46]2023-24'!$BD224/10^7</f>
        <v>0</v>
      </c>
      <c r="N276" s="66">
        <f>'[46]2023-24'!$BJ224/10^7</f>
        <v>0</v>
      </c>
      <c r="O276" s="66">
        <f>'[46]2023-24'!$BP224/10^7</f>
        <v>0</v>
      </c>
      <c r="P276" s="66">
        <f>'[46]2023-24'!$BV224/10^7</f>
        <v>0</v>
      </c>
      <c r="Q276" s="17">
        <f t="shared" si="172"/>
        <v>0</v>
      </c>
    </row>
    <row r="277" spans="3:17" x14ac:dyDescent="0.25">
      <c r="C277" s="17" t="s">
        <v>402</v>
      </c>
      <c r="D277" s="17" t="s">
        <v>402</v>
      </c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17">
        <f t="shared" si="172"/>
        <v>0</v>
      </c>
    </row>
    <row r="278" spans="3:17" x14ac:dyDescent="0.25">
      <c r="C278" s="17"/>
      <c r="D278" s="17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17">
        <f t="shared" si="172"/>
        <v>0</v>
      </c>
    </row>
    <row r="279" spans="3:17" x14ac:dyDescent="0.25">
      <c r="C279" s="17"/>
      <c r="D279" s="17"/>
      <c r="Q279" s="17">
        <f>SUM(E318:P318)</f>
        <v>0</v>
      </c>
    </row>
    <row r="280" spans="3:17" x14ac:dyDescent="0.25">
      <c r="C280" s="17"/>
      <c r="D280" s="17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17">
        <f t="shared" si="172"/>
        <v>0</v>
      </c>
    </row>
    <row r="281" spans="3:17" x14ac:dyDescent="0.25">
      <c r="C281" s="17"/>
      <c r="D281" s="17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17">
        <f t="shared" si="172"/>
        <v>0</v>
      </c>
    </row>
    <row r="282" spans="3:17" x14ac:dyDescent="0.25"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>
        <f t="shared" si="172"/>
        <v>0</v>
      </c>
    </row>
    <row r="283" spans="3:17" x14ac:dyDescent="0.25">
      <c r="C283" s="753" t="s">
        <v>403</v>
      </c>
      <c r="D283" s="753"/>
      <c r="E283" s="66">
        <f t="shared" ref="E283:P283" si="173">SUM(E275:E282)</f>
        <v>32.633054156850001</v>
      </c>
      <c r="F283" s="66">
        <f t="shared" si="173"/>
        <v>32.633054156850001</v>
      </c>
      <c r="G283" s="66">
        <f t="shared" si="173"/>
        <v>32.633054156850001</v>
      </c>
      <c r="H283" s="66">
        <f t="shared" si="173"/>
        <v>32.70514540085</v>
      </c>
      <c r="I283" s="66">
        <f t="shared" si="173"/>
        <v>32.6464830918</v>
      </c>
      <c r="J283" s="66">
        <f t="shared" si="173"/>
        <v>32.633054156850001</v>
      </c>
      <c r="K283" s="66">
        <f t="shared" si="173"/>
        <v>32.633054156850001</v>
      </c>
      <c r="L283" s="66">
        <f t="shared" si="173"/>
        <v>32.633054156850001</v>
      </c>
      <c r="M283" s="66">
        <f t="shared" si="173"/>
        <v>31.470175465499999</v>
      </c>
      <c r="N283" s="66">
        <f t="shared" si="173"/>
        <v>32.633054156850001</v>
      </c>
      <c r="O283" s="66">
        <f t="shared" si="173"/>
        <v>32.633054156850001</v>
      </c>
      <c r="P283" s="66">
        <f t="shared" si="173"/>
        <v>32.633054156850001</v>
      </c>
      <c r="Q283" s="86">
        <f t="shared" si="172"/>
        <v>390.51929136979999</v>
      </c>
    </row>
    <row r="284" spans="3:17" x14ac:dyDescent="0.25">
      <c r="C284" s="800" t="s">
        <v>404</v>
      </c>
      <c r="D284" s="800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</row>
    <row r="285" spans="3:17" x14ac:dyDescent="0.25">
      <c r="C285" s="17"/>
      <c r="D285" s="17" t="s">
        <v>405</v>
      </c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>
        <f t="shared" ref="Q285:Q309" si="174">SUM(E285:P285)</f>
        <v>0</v>
      </c>
    </row>
    <row r="286" spans="3:17" x14ac:dyDescent="0.25">
      <c r="C286" s="17"/>
      <c r="D286" s="17" t="s">
        <v>406</v>
      </c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>
        <f t="shared" si="174"/>
        <v>0</v>
      </c>
    </row>
    <row r="287" spans="3:17" x14ac:dyDescent="0.25">
      <c r="C287" s="17"/>
      <c r="D287" s="17" t="s">
        <v>407</v>
      </c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>
        <f t="shared" si="174"/>
        <v>0</v>
      </c>
    </row>
    <row r="288" spans="3:17" x14ac:dyDescent="0.25">
      <c r="C288" s="17"/>
      <c r="D288" s="17" t="s">
        <v>408</v>
      </c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>
        <f t="shared" si="174"/>
        <v>0</v>
      </c>
    </row>
    <row r="289" spans="3:17" x14ac:dyDescent="0.25">
      <c r="C289" s="17"/>
      <c r="D289" s="17" t="s">
        <v>409</v>
      </c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>
        <f t="shared" si="174"/>
        <v>0</v>
      </c>
    </row>
    <row r="290" spans="3:17" x14ac:dyDescent="0.25">
      <c r="C290" s="17"/>
      <c r="D290" s="17" t="s">
        <v>367</v>
      </c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>
        <f t="shared" si="174"/>
        <v>0</v>
      </c>
    </row>
    <row r="291" spans="3:17" x14ac:dyDescent="0.25">
      <c r="C291" s="17"/>
      <c r="D291" s="17" t="s">
        <v>410</v>
      </c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>
        <f t="shared" si="174"/>
        <v>0</v>
      </c>
    </row>
    <row r="292" spans="3:17" x14ac:dyDescent="0.25">
      <c r="C292" s="17"/>
      <c r="D292" s="17" t="s">
        <v>411</v>
      </c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>
        <f t="shared" si="174"/>
        <v>0</v>
      </c>
    </row>
    <row r="293" spans="3:17" x14ac:dyDescent="0.25">
      <c r="C293" s="17"/>
      <c r="D293" s="17" t="s">
        <v>412</v>
      </c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>
        <f t="shared" si="174"/>
        <v>0</v>
      </c>
    </row>
    <row r="294" spans="3:17" x14ac:dyDescent="0.25">
      <c r="C294" s="17"/>
      <c r="D294" s="17" t="s">
        <v>413</v>
      </c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>
        <f t="shared" si="174"/>
        <v>0</v>
      </c>
    </row>
    <row r="295" spans="3:17" x14ac:dyDescent="0.25">
      <c r="C295" s="17"/>
      <c r="D295" s="17" t="s">
        <v>414</v>
      </c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>
        <f t="shared" si="174"/>
        <v>0</v>
      </c>
    </row>
    <row r="296" spans="3:17" x14ac:dyDescent="0.25">
      <c r="C296" s="17"/>
      <c r="D296" s="17" t="s">
        <v>415</v>
      </c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>
        <f t="shared" si="174"/>
        <v>0</v>
      </c>
    </row>
    <row r="297" spans="3:17" x14ac:dyDescent="0.25">
      <c r="C297" s="17"/>
      <c r="D297" s="17" t="s">
        <v>416</v>
      </c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>
        <f t="shared" si="174"/>
        <v>0</v>
      </c>
    </row>
    <row r="298" spans="3:17" x14ac:dyDescent="0.25">
      <c r="C298" s="17"/>
      <c r="D298" s="17" t="s">
        <v>417</v>
      </c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>
        <f t="shared" si="174"/>
        <v>0</v>
      </c>
    </row>
    <row r="299" spans="3:17" x14ac:dyDescent="0.25">
      <c r="C299" s="17"/>
      <c r="D299" s="327" t="s">
        <v>418</v>
      </c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>
        <f t="shared" si="174"/>
        <v>0</v>
      </c>
    </row>
    <row r="300" spans="3:17" x14ac:dyDescent="0.25">
      <c r="C300" s="17"/>
      <c r="D300" s="327" t="s">
        <v>419</v>
      </c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>
        <f t="shared" si="174"/>
        <v>0</v>
      </c>
    </row>
    <row r="301" spans="3:17" x14ac:dyDescent="0.25"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>
        <f t="shared" si="174"/>
        <v>0</v>
      </c>
    </row>
    <row r="302" spans="3:17" x14ac:dyDescent="0.25"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>
        <f t="shared" si="174"/>
        <v>0</v>
      </c>
    </row>
    <row r="303" spans="3:17" x14ac:dyDescent="0.25"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>
        <f t="shared" si="174"/>
        <v>0</v>
      </c>
    </row>
    <row r="304" spans="3:17" x14ac:dyDescent="0.25"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>
        <f t="shared" si="174"/>
        <v>0</v>
      </c>
    </row>
    <row r="305" spans="3:17" x14ac:dyDescent="0.25"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>
        <f t="shared" si="174"/>
        <v>0</v>
      </c>
    </row>
    <row r="306" spans="3:17" x14ac:dyDescent="0.25"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>
        <f t="shared" si="174"/>
        <v>0</v>
      </c>
    </row>
    <row r="307" spans="3:17" x14ac:dyDescent="0.25"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>
        <f t="shared" si="174"/>
        <v>0</v>
      </c>
    </row>
    <row r="308" spans="3:17" x14ac:dyDescent="0.25"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>
        <f t="shared" si="174"/>
        <v>0</v>
      </c>
    </row>
    <row r="309" spans="3:17" x14ac:dyDescent="0.25">
      <c r="C309" s="753" t="s">
        <v>420</v>
      </c>
      <c r="D309" s="753"/>
      <c r="E309" s="108">
        <f>SUM(E285:E300)</f>
        <v>0</v>
      </c>
      <c r="F309" s="108">
        <f t="shared" ref="F309:P309" si="175">SUM(F285:F300)</f>
        <v>0</v>
      </c>
      <c r="G309" s="108">
        <f t="shared" si="175"/>
        <v>0</v>
      </c>
      <c r="H309" s="108">
        <f t="shared" si="175"/>
        <v>0</v>
      </c>
      <c r="I309" s="108">
        <f t="shared" si="175"/>
        <v>0</v>
      </c>
      <c r="J309" s="108">
        <f t="shared" si="175"/>
        <v>0</v>
      </c>
      <c r="K309" s="108">
        <f t="shared" si="175"/>
        <v>0</v>
      </c>
      <c r="L309" s="108">
        <f t="shared" si="175"/>
        <v>0</v>
      </c>
      <c r="M309" s="108">
        <f t="shared" si="175"/>
        <v>0</v>
      </c>
      <c r="N309" s="108">
        <f t="shared" si="175"/>
        <v>0</v>
      </c>
      <c r="O309" s="108">
        <f t="shared" si="175"/>
        <v>0</v>
      </c>
      <c r="P309" s="108">
        <f t="shared" si="175"/>
        <v>0</v>
      </c>
      <c r="Q309" s="28">
        <f t="shared" si="174"/>
        <v>0</v>
      </c>
    </row>
    <row r="310" spans="3:17" x14ac:dyDescent="0.25">
      <c r="C310" s="800" t="s">
        <v>421</v>
      </c>
      <c r="D310" s="800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291"/>
    </row>
    <row r="311" spans="3:17" x14ac:dyDescent="0.25">
      <c r="C311" s="17"/>
      <c r="D311" s="17" t="s">
        <v>462</v>
      </c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291">
        <f t="shared" ref="Q311:Q326" si="176">SUM(E311:P311)</f>
        <v>0</v>
      </c>
    </row>
    <row r="312" spans="3:17" x14ac:dyDescent="0.25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291">
        <f t="shared" si="176"/>
        <v>0</v>
      </c>
    </row>
    <row r="313" spans="3:17" x14ac:dyDescent="0.25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291">
        <f t="shared" si="176"/>
        <v>0</v>
      </c>
    </row>
    <row r="314" spans="3:17" x14ac:dyDescent="0.25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291">
        <f t="shared" si="176"/>
        <v>0</v>
      </c>
    </row>
    <row r="315" spans="3:17" x14ac:dyDescent="0.2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291">
        <f t="shared" si="176"/>
        <v>0</v>
      </c>
    </row>
    <row r="316" spans="3:17" x14ac:dyDescent="0.25">
      <c r="C316" s="17"/>
      <c r="D316" s="325" t="s">
        <v>629</v>
      </c>
      <c r="Q316" s="291">
        <f t="shared" ref="Q316:Q325" si="177">SUM(E316:P316)</f>
        <v>0</v>
      </c>
    </row>
    <row r="317" spans="3:17" x14ac:dyDescent="0.25">
      <c r="C317" s="17"/>
      <c r="D317" s="325" t="s">
        <v>630</v>
      </c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291">
        <f t="shared" si="177"/>
        <v>0</v>
      </c>
    </row>
    <row r="318" spans="3:17" x14ac:dyDescent="0.25">
      <c r="C318" s="17"/>
      <c r="D318" s="326" t="s">
        <v>631</v>
      </c>
      <c r="E318" s="66">
        <f>'[46]2023-24'!$H227/10^7</f>
        <v>0</v>
      </c>
      <c r="F318" s="66">
        <f>'[46]2023-24'!$N227/10^7</f>
        <v>0</v>
      </c>
      <c r="G318" s="66">
        <f>'[46]2023-24'!$T227/10^7</f>
        <v>0</v>
      </c>
      <c r="H318" s="66">
        <f>'[46]2023-24'!$Z227/10^7</f>
        <v>0</v>
      </c>
      <c r="I318" s="66">
        <f>'[46]2023-24'!$AF227/10^7</f>
        <v>0</v>
      </c>
      <c r="J318" s="66">
        <f>'[46]2023-24'!$AL227/10^7</f>
        <v>0</v>
      </c>
      <c r="K318" s="66">
        <f>'[46]2023-24'!$AR227/10^7</f>
        <v>0</v>
      </c>
      <c r="L318" s="66">
        <f>'[46]2023-24'!$AX227/10^7</f>
        <v>0</v>
      </c>
      <c r="M318" s="66">
        <f>'[46]2023-24'!$BD227/10^7</f>
        <v>0</v>
      </c>
      <c r="N318" s="66">
        <f>'[46]2023-24'!$BJ227/10^7</f>
        <v>0</v>
      </c>
      <c r="O318" s="66">
        <f>'[46]2023-24'!$BP227/10^7</f>
        <v>0</v>
      </c>
      <c r="P318" s="66">
        <f>'[46]2023-24'!$BV227/10^7</f>
        <v>0</v>
      </c>
      <c r="Q318" s="291">
        <f t="shared" si="177"/>
        <v>0</v>
      </c>
    </row>
    <row r="319" spans="3:17" x14ac:dyDescent="0.25">
      <c r="C319" s="17"/>
      <c r="D319" s="325" t="s">
        <v>632</v>
      </c>
      <c r="E319" s="66">
        <f>'[46]2023-24'!$H228/10^7</f>
        <v>0</v>
      </c>
      <c r="F319" s="66">
        <f>'[46]2023-24'!$N228/10^7</f>
        <v>0</v>
      </c>
      <c r="G319" s="66">
        <f>'[46]2023-24'!$T228/10^7</f>
        <v>0</v>
      </c>
      <c r="H319" s="66">
        <f>'[46]2023-24'!$Z228/10^7</f>
        <v>0</v>
      </c>
      <c r="I319" s="66">
        <f>'[46]2023-24'!$AF228/10^7</f>
        <v>0</v>
      </c>
      <c r="J319" s="66">
        <f>'[46]2023-24'!$AL228/10^7</f>
        <v>0</v>
      </c>
      <c r="K319" s="66">
        <f>'[46]2023-24'!$AR228/10^7</f>
        <v>0</v>
      </c>
      <c r="L319" s="66">
        <f>'[46]2023-24'!$AX228/10^7</f>
        <v>0</v>
      </c>
      <c r="M319" s="66">
        <f>'[46]2023-24'!$BD228/10^7</f>
        <v>0</v>
      </c>
      <c r="N319" s="66">
        <f>'[46]2023-24'!$BJ228/10^7</f>
        <v>0</v>
      </c>
      <c r="O319" s="66">
        <f>'[46]2023-24'!$BP228/10^7</f>
        <v>0</v>
      </c>
      <c r="P319" s="66">
        <f>'[46]2023-24'!$BV228/10^7 +'[47]2023-24'!$CB228/10^7</f>
        <v>-5.8970286253499999</v>
      </c>
      <c r="Q319" s="291">
        <f t="shared" si="177"/>
        <v>-5.8970286253499999</v>
      </c>
    </row>
    <row r="320" spans="3:17" x14ac:dyDescent="0.25">
      <c r="C320" s="17"/>
      <c r="D320" s="325" t="s">
        <v>633</v>
      </c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291">
        <f t="shared" si="177"/>
        <v>0</v>
      </c>
    </row>
    <row r="321" spans="3:17" x14ac:dyDescent="0.25">
      <c r="C321" s="17"/>
      <c r="D321" s="325" t="s">
        <v>634</v>
      </c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291">
        <f t="shared" si="177"/>
        <v>0</v>
      </c>
    </row>
    <row r="322" spans="3:17" x14ac:dyDescent="0.25">
      <c r="C322" s="17"/>
      <c r="D322" s="325" t="s">
        <v>657</v>
      </c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291">
        <f t="shared" si="177"/>
        <v>0</v>
      </c>
    </row>
    <row r="323" spans="3:17" x14ac:dyDescent="0.25">
      <c r="C323" s="17"/>
      <c r="D323" s="325" t="s">
        <v>636</v>
      </c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291">
        <f t="shared" si="177"/>
        <v>0</v>
      </c>
    </row>
    <row r="324" spans="3:17" x14ac:dyDescent="0.25">
      <c r="C324" s="17"/>
      <c r="D324" s="325" t="s">
        <v>637</v>
      </c>
      <c r="E324" s="422">
        <f>'[46]2023-24'!$H234/10^7</f>
        <v>0</v>
      </c>
      <c r="F324" s="422">
        <f>'[46]2023-24'!$N234/10^7</f>
        <v>0</v>
      </c>
      <c r="G324" s="422">
        <f>'[46]2023-24'!$T234/10^7</f>
        <v>0</v>
      </c>
      <c r="H324" s="422">
        <f>'[46]2023-24'!$Z234/10^7</f>
        <v>0</v>
      </c>
      <c r="I324" s="422">
        <f>'[46]2023-24'!$AF234/10^7</f>
        <v>0</v>
      </c>
      <c r="J324" s="422">
        <f>'[46]2023-24'!$AL234/10^7</f>
        <v>0</v>
      </c>
      <c r="K324" s="422">
        <f>'[46]2023-24'!$AR234/10^7</f>
        <v>0</v>
      </c>
      <c r="L324" s="422">
        <f>'[46]2023-24'!$AX234/10^7</f>
        <v>0</v>
      </c>
      <c r="M324" s="422">
        <f>'[46]2023-24'!$BD234/10^7</f>
        <v>0</v>
      </c>
      <c r="N324" s="422">
        <f>'[46]2023-24'!$BJ234/10^7</f>
        <v>0</v>
      </c>
      <c r="O324" s="422">
        <f>'[46]2023-24'!$BP234/10^7</f>
        <v>0</v>
      </c>
      <c r="P324" s="422">
        <f>'[46]2023-24'!$BV234/10^7 +'[47]2023-24'!$CB234/10^7</f>
        <v>-1.3545232999999999E-3</v>
      </c>
      <c r="Q324" s="291">
        <f t="shared" si="177"/>
        <v>-1.3545232999999999E-3</v>
      </c>
    </row>
    <row r="325" spans="3:17" x14ac:dyDescent="0.25">
      <c r="C325" s="17"/>
      <c r="D325" s="325" t="s">
        <v>638</v>
      </c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291">
        <f t="shared" si="177"/>
        <v>0</v>
      </c>
    </row>
    <row r="326" spans="3:17" x14ac:dyDescent="0.25">
      <c r="C326" s="17"/>
      <c r="D326" s="325" t="s">
        <v>639</v>
      </c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291">
        <f t="shared" si="176"/>
        <v>0</v>
      </c>
    </row>
    <row r="327" spans="3:17" x14ac:dyDescent="0.25"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291">
        <f t="shared" ref="Q327:Q335" si="178">SUM(E327:P327)</f>
        <v>0</v>
      </c>
    </row>
    <row r="328" spans="3:17" x14ac:dyDescent="0.25"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291">
        <f t="shared" si="178"/>
        <v>0</v>
      </c>
    </row>
    <row r="329" spans="3:17" x14ac:dyDescent="0.25"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291">
        <f t="shared" si="178"/>
        <v>0</v>
      </c>
    </row>
    <row r="330" spans="3:17" x14ac:dyDescent="0.25"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291">
        <f t="shared" si="178"/>
        <v>0</v>
      </c>
    </row>
    <row r="331" spans="3:17" x14ac:dyDescent="0.25"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291">
        <f t="shared" si="178"/>
        <v>0</v>
      </c>
    </row>
    <row r="332" spans="3:17" x14ac:dyDescent="0.25"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291">
        <f t="shared" si="178"/>
        <v>0</v>
      </c>
    </row>
    <row r="333" spans="3:17" x14ac:dyDescent="0.25"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291">
        <f t="shared" si="178"/>
        <v>0</v>
      </c>
    </row>
    <row r="334" spans="3:17" x14ac:dyDescent="0.25"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291">
        <f t="shared" si="178"/>
        <v>0</v>
      </c>
    </row>
    <row r="335" spans="3:17" x14ac:dyDescent="0.25">
      <c r="C335" s="753" t="s">
        <v>423</v>
      </c>
      <c r="D335" s="753"/>
      <c r="E335" s="291">
        <f t="shared" ref="E335:P335" si="179">SUM(E311:E334)</f>
        <v>0</v>
      </c>
      <c r="F335" s="291">
        <f t="shared" si="179"/>
        <v>0</v>
      </c>
      <c r="G335" s="291">
        <f t="shared" si="179"/>
        <v>0</v>
      </c>
      <c r="H335" s="291">
        <f t="shared" si="179"/>
        <v>0</v>
      </c>
      <c r="I335" s="291">
        <f t="shared" si="179"/>
        <v>0</v>
      </c>
      <c r="J335" s="291">
        <f t="shared" si="179"/>
        <v>0</v>
      </c>
      <c r="K335" s="291">
        <f t="shared" si="179"/>
        <v>0</v>
      </c>
      <c r="L335" s="291">
        <f t="shared" si="179"/>
        <v>0</v>
      </c>
      <c r="M335" s="291">
        <f t="shared" si="179"/>
        <v>0</v>
      </c>
      <c r="N335" s="291">
        <f t="shared" si="179"/>
        <v>0</v>
      </c>
      <c r="O335" s="291">
        <f t="shared" si="179"/>
        <v>0</v>
      </c>
      <c r="P335" s="291">
        <f t="shared" si="179"/>
        <v>-5.8983831486499998</v>
      </c>
      <c r="Q335" s="291">
        <f t="shared" si="178"/>
        <v>-5.8983831486499998</v>
      </c>
    </row>
    <row r="336" spans="3:17" x14ac:dyDescent="0.25">
      <c r="C336" s="800" t="s">
        <v>424</v>
      </c>
      <c r="D336" s="800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</row>
    <row r="337" spans="2:17" x14ac:dyDescent="0.25">
      <c r="C337" s="17" t="s">
        <v>425</v>
      </c>
      <c r="D337" s="4" t="s">
        <v>426</v>
      </c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>
        <f>SUM(E337:P337)</f>
        <v>0</v>
      </c>
    </row>
    <row r="338" spans="2:17" x14ac:dyDescent="0.25">
      <c r="C338" s="17" t="s">
        <v>425</v>
      </c>
      <c r="D338" s="17" t="s">
        <v>655</v>
      </c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>
        <f>SUM(E338:P338)</f>
        <v>0</v>
      </c>
    </row>
    <row r="339" spans="2:17" x14ac:dyDescent="0.25">
      <c r="C339" s="116"/>
      <c r="D339" s="17" t="s">
        <v>463</v>
      </c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</row>
    <row r="340" spans="2:17" x14ac:dyDescent="0.25">
      <c r="C340" s="753" t="s">
        <v>428</v>
      </c>
      <c r="D340" s="753"/>
      <c r="E340" s="17">
        <f t="shared" ref="E340:Q340" si="180">E337+E338</f>
        <v>0</v>
      </c>
      <c r="F340" s="17">
        <f t="shared" si="180"/>
        <v>0</v>
      </c>
      <c r="G340" s="17">
        <f t="shared" si="180"/>
        <v>0</v>
      </c>
      <c r="H340" s="17">
        <f t="shared" si="180"/>
        <v>0</v>
      </c>
      <c r="I340" s="17">
        <f t="shared" si="180"/>
        <v>0</v>
      </c>
      <c r="J340" s="17">
        <f t="shared" si="180"/>
        <v>0</v>
      </c>
      <c r="K340" s="17">
        <f t="shared" si="180"/>
        <v>0</v>
      </c>
      <c r="L340" s="17">
        <f t="shared" si="180"/>
        <v>0</v>
      </c>
      <c r="M340" s="17">
        <f t="shared" si="180"/>
        <v>0</v>
      </c>
      <c r="N340" s="17">
        <f t="shared" si="180"/>
        <v>0</v>
      </c>
      <c r="O340" s="17">
        <f t="shared" si="180"/>
        <v>0</v>
      </c>
      <c r="P340" s="17">
        <f t="shared" si="180"/>
        <v>0</v>
      </c>
      <c r="Q340" s="17">
        <f t="shared" si="180"/>
        <v>0</v>
      </c>
    </row>
    <row r="341" spans="2:17" x14ac:dyDescent="0.25">
      <c r="C341" s="837" t="s">
        <v>220</v>
      </c>
      <c r="D341" s="837"/>
      <c r="E341" s="335">
        <f t="shared" ref="E341:Q341" si="181">E218+E264+E273+E283+E309+E335+E340</f>
        <v>270.97186558380326</v>
      </c>
      <c r="F341" s="335">
        <f t="shared" si="181"/>
        <v>277.57299422678159</v>
      </c>
      <c r="G341" s="335">
        <f t="shared" si="181"/>
        <v>260.50980819009226</v>
      </c>
      <c r="H341" s="335">
        <f t="shared" si="181"/>
        <v>270.62183730343213</v>
      </c>
      <c r="I341" s="335">
        <f t="shared" si="181"/>
        <v>251.70038680036058</v>
      </c>
      <c r="J341" s="335">
        <f t="shared" si="181"/>
        <v>242.88006215749817</v>
      </c>
      <c r="K341" s="335">
        <f t="shared" si="181"/>
        <v>284.44926480580784</v>
      </c>
      <c r="L341" s="335">
        <f t="shared" si="181"/>
        <v>275.26273792005958</v>
      </c>
      <c r="M341" s="335">
        <f t="shared" si="181"/>
        <v>267.2345993961016</v>
      </c>
      <c r="N341" s="335">
        <f t="shared" si="181"/>
        <v>289.29240129466399</v>
      </c>
      <c r="O341" s="335">
        <f t="shared" si="181"/>
        <v>283.90878740618973</v>
      </c>
      <c r="P341" s="335">
        <f t="shared" si="181"/>
        <v>294.26139044464622</v>
      </c>
      <c r="Q341" s="335">
        <f t="shared" si="181"/>
        <v>3268.6661355294373</v>
      </c>
    </row>
    <row r="343" spans="2:17" x14ac:dyDescent="0.25">
      <c r="C343" s="22" t="s">
        <v>649</v>
      </c>
      <c r="J343" s="25"/>
    </row>
    <row r="344" spans="2:17" x14ac:dyDescent="0.25">
      <c r="C344" s="14"/>
      <c r="Q344" s="25" t="s">
        <v>3</v>
      </c>
    </row>
    <row r="345" spans="2:17" x14ac:dyDescent="0.25">
      <c r="C345" s="762" t="s">
        <v>346</v>
      </c>
      <c r="D345" s="762" t="s">
        <v>347</v>
      </c>
      <c r="E345" s="768" t="s">
        <v>225</v>
      </c>
      <c r="F345" s="768"/>
      <c r="G345" s="768"/>
      <c r="H345" s="768"/>
      <c r="I345" s="768"/>
      <c r="J345" s="768"/>
      <c r="K345" s="768"/>
      <c r="L345" s="768"/>
      <c r="M345" s="768"/>
      <c r="N345" s="768"/>
      <c r="O345" s="768"/>
      <c r="P345" s="768"/>
      <c r="Q345" s="768"/>
    </row>
    <row r="346" spans="2:17" x14ac:dyDescent="0.25">
      <c r="C346" s="762"/>
      <c r="D346" s="762"/>
      <c r="E346" s="13" t="s">
        <v>239</v>
      </c>
      <c r="F346" s="13" t="s">
        <v>240</v>
      </c>
      <c r="G346" s="13" t="s">
        <v>241</v>
      </c>
      <c r="H346" s="13" t="s">
        <v>242</v>
      </c>
      <c r="I346" s="13" t="s">
        <v>243</v>
      </c>
      <c r="J346" s="13" t="s">
        <v>244</v>
      </c>
      <c r="K346" s="13" t="s">
        <v>245</v>
      </c>
      <c r="L346" s="13" t="s">
        <v>246</v>
      </c>
      <c r="M346" s="13" t="s">
        <v>247</v>
      </c>
      <c r="N346" s="13" t="s">
        <v>248</v>
      </c>
      <c r="O346" s="13" t="s">
        <v>249</v>
      </c>
      <c r="P346" s="13" t="s">
        <v>250</v>
      </c>
      <c r="Q346" s="13" t="s">
        <v>251</v>
      </c>
    </row>
    <row r="347" spans="2:17" x14ac:dyDescent="0.25">
      <c r="C347" s="762"/>
      <c r="D347" s="762"/>
      <c r="E347" s="13" t="s">
        <v>24</v>
      </c>
      <c r="F347" s="13" t="s">
        <v>24</v>
      </c>
      <c r="G347" s="13" t="s">
        <v>24</v>
      </c>
      <c r="H347" s="13" t="s">
        <v>24</v>
      </c>
      <c r="I347" s="13" t="s">
        <v>24</v>
      </c>
      <c r="J347" s="13" t="s">
        <v>24</v>
      </c>
      <c r="K347" s="13" t="s">
        <v>25</v>
      </c>
      <c r="L347" s="13" t="s">
        <v>25</v>
      </c>
      <c r="M347" s="13" t="s">
        <v>25</v>
      </c>
      <c r="N347" s="13" t="s">
        <v>25</v>
      </c>
      <c r="O347" s="13" t="s">
        <v>25</v>
      </c>
      <c r="P347" s="13" t="s">
        <v>25</v>
      </c>
      <c r="Q347" s="13" t="s">
        <v>25</v>
      </c>
    </row>
    <row r="348" spans="2:17" x14ac:dyDescent="0.25">
      <c r="B348" s="60"/>
      <c r="C348" s="800" t="s">
        <v>348</v>
      </c>
      <c r="D348" s="800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</row>
    <row r="349" spans="2:17" x14ac:dyDescent="0.25">
      <c r="C349" s="753" t="s">
        <v>349</v>
      </c>
      <c r="D349" s="753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</row>
    <row r="350" spans="2:17" x14ac:dyDescent="0.25">
      <c r="B350" s="60"/>
      <c r="C350" s="802" t="s">
        <v>350</v>
      </c>
      <c r="D350" s="59" t="s">
        <v>351</v>
      </c>
      <c r="E350" s="291">
        <f>'[46]2023-24'!$I209/10^7</f>
        <v>30.121744133599996</v>
      </c>
      <c r="F350" s="291">
        <f>'[46]2023-24'!$O209/10^7</f>
        <v>27.791976456049998</v>
      </c>
      <c r="G350" s="291">
        <f>'[46]2023-24'!$U209/10^7</f>
        <v>33.458310949017317</v>
      </c>
      <c r="H350" s="291">
        <f>'[46]2023-24'!$AA209/10^7</f>
        <v>31.993796833464504</v>
      </c>
      <c r="I350" s="291">
        <f>'[46]2023-24'!$AG209/10^7</f>
        <v>32.657225569654941</v>
      </c>
      <c r="J350" s="291">
        <f>'[46]2023-24'!$AM209/10^7</f>
        <v>31.097098683599995</v>
      </c>
      <c r="K350" s="291">
        <f>'[46]2023-24'!$AS209/10^7</f>
        <v>21.817503106800046</v>
      </c>
      <c r="L350" s="291">
        <f>'[46]2023-24'!$AY209/10^7</f>
        <v>42.720545620588325</v>
      </c>
      <c r="M350" s="291">
        <f>'[46]2023-24'!$BE209/10^7</f>
        <v>32.760400020949994</v>
      </c>
      <c r="N350" s="291">
        <f>'[46]2023-24'!$BK209/10^7</f>
        <v>33.335983955649994</v>
      </c>
      <c r="O350" s="291">
        <f>'[46]2023-24'!$BQ209/10^7</f>
        <v>29.897473754749996</v>
      </c>
      <c r="P350" s="291">
        <f>'[46]2023-24'!$BW209/10^7 +'[46]2023-24'!$CC$209/10^7</f>
        <v>32.065423017949996</v>
      </c>
      <c r="Q350" s="291">
        <f t="shared" ref="Q350:Q368" si="182">SUM(E350:P350)</f>
        <v>379.71748210207511</v>
      </c>
    </row>
    <row r="351" spans="2:17" x14ac:dyDescent="0.25">
      <c r="B351" s="60"/>
      <c r="C351" s="802"/>
      <c r="D351" s="59" t="s">
        <v>352</v>
      </c>
      <c r="E351" s="291">
        <f>'[46]2023-24'!$I210/10^7</f>
        <v>33.994476855599999</v>
      </c>
      <c r="F351" s="291">
        <f>'[46]2023-24'!$O210/10^7</f>
        <v>33.077367779349999</v>
      </c>
      <c r="G351" s="291">
        <f>'[46]2023-24'!$U210/10^7</f>
        <v>35.284169210244968</v>
      </c>
      <c r="H351" s="291">
        <f>'[46]2023-24'!$AA210/10^7</f>
        <v>37.317963007008359</v>
      </c>
      <c r="I351" s="291">
        <f>'[46]2023-24'!$AG210/10^7</f>
        <v>31.142609066644347</v>
      </c>
      <c r="J351" s="291">
        <f>'[46]2023-24'!$AM210/10^7</f>
        <v>29.651937943199997</v>
      </c>
      <c r="K351" s="291">
        <f>'[46]2023-24'!$AS210/10^7</f>
        <v>24.763501785750076</v>
      </c>
      <c r="L351" s="291">
        <f>'[46]2023-24'!$AY210/10^7</f>
        <v>27.9007382085091</v>
      </c>
      <c r="M351" s="291">
        <f>'[46]2023-24'!$BE210/10^7</f>
        <v>25.769142008949999</v>
      </c>
      <c r="N351" s="291">
        <f>'[46]2023-24'!$BK210/10^7</f>
        <v>32.342981875999996</v>
      </c>
      <c r="O351" s="291">
        <f>'[46]2023-24'!$BQ210/10^7</f>
        <v>29.399329979200001</v>
      </c>
      <c r="P351" s="291">
        <f>'[46]2023-24'!$BW210/10^7 +'[46]2023-24'!$CC$209/10^7</f>
        <v>30.336340334700001</v>
      </c>
      <c r="Q351" s="291">
        <f t="shared" si="182"/>
        <v>370.98055805515685</v>
      </c>
    </row>
    <row r="352" spans="2:17" x14ac:dyDescent="0.25">
      <c r="B352" s="60"/>
      <c r="C352" s="802"/>
      <c r="D352" s="59" t="s">
        <v>353</v>
      </c>
      <c r="E352" s="291">
        <f>'[46]2023-24'!$I211/10^7</f>
        <v>49.316711252300003</v>
      </c>
      <c r="F352" s="291">
        <f>'[46]2023-24'!$O211/10^7</f>
        <v>52.101576671149999</v>
      </c>
      <c r="G352" s="291">
        <f>'[46]2023-24'!$U211/10^7</f>
        <v>52.009569082914886</v>
      </c>
      <c r="H352" s="291">
        <f>'[46]2023-24'!$AA211/10^7</f>
        <v>58.215585445811257</v>
      </c>
      <c r="I352" s="291">
        <f>'[46]2023-24'!$AG211/10^7</f>
        <v>47.600198871214197</v>
      </c>
      <c r="J352" s="291">
        <f>'[46]2023-24'!$AM211/10^7</f>
        <v>41.392039937249997</v>
      </c>
      <c r="K352" s="291">
        <f>'[46]2023-24'!$AS211/10^7</f>
        <v>38.301721798350016</v>
      </c>
      <c r="L352" s="291">
        <f>'[46]2023-24'!$AY211/10^7</f>
        <v>49.152965968312216</v>
      </c>
      <c r="M352" s="291">
        <f>'[46]2023-24'!$BE211/10^7</f>
        <v>52.669388367999993</v>
      </c>
      <c r="N352" s="291">
        <f>'[46]2023-24'!$BK211/10^7</f>
        <v>52.345803842499997</v>
      </c>
      <c r="O352" s="291">
        <f>'[46]2023-24'!$BQ211/10^7</f>
        <v>48.024960038299994</v>
      </c>
      <c r="P352" s="291">
        <f>'[46]2023-24'!$BW211/10^7 +'[46]2023-24'!$CC$209/10^7</f>
        <v>51.950848626149998</v>
      </c>
      <c r="Q352" s="291">
        <f t="shared" si="182"/>
        <v>593.08136990225262</v>
      </c>
    </row>
    <row r="353" spans="2:17" x14ac:dyDescent="0.25">
      <c r="B353" s="60"/>
      <c r="C353" s="802"/>
      <c r="D353" s="59" t="s">
        <v>354</v>
      </c>
      <c r="E353" s="291">
        <f>'[46]2023-24'!$I212/10^7</f>
        <v>2.4192496177499998</v>
      </c>
      <c r="F353" s="291">
        <f>'[46]2023-24'!$O212/10^7</f>
        <v>3.3549826972999996</v>
      </c>
      <c r="G353" s="291">
        <f>'[46]2023-24'!$U212/10^7</f>
        <v>2.9347744371675719</v>
      </c>
      <c r="H353" s="291">
        <f>'[46]2023-24'!$AA212/10^7</f>
        <v>3.529192725052464</v>
      </c>
      <c r="I353" s="291">
        <f>'[46]2023-24'!$AG212/10^7</f>
        <v>3.4433034686090953</v>
      </c>
      <c r="J353" s="291">
        <f>'[46]2023-24'!$AM212/10^7</f>
        <v>0.49227851354999996</v>
      </c>
      <c r="K353" s="291">
        <f>'[46]2023-24'!$AS212/10^7</f>
        <v>0.15432748289999998</v>
      </c>
      <c r="L353" s="291">
        <f>'[46]2023-24'!$AY212/10^7</f>
        <v>2.7291593227020736</v>
      </c>
      <c r="M353" s="291">
        <f>'[46]2023-24'!$BE212/10^7</f>
        <v>3.2103391400999999</v>
      </c>
      <c r="N353" s="291">
        <f>'[46]2023-24'!$BK212/10^7</f>
        <v>3.4302225585999997</v>
      </c>
      <c r="O353" s="291">
        <f>'[46]2023-24'!$BQ212/10^7</f>
        <v>2.7919174275</v>
      </c>
      <c r="P353" s="291">
        <f>'[46]2023-24'!$BW212/10^7 +'[46]2023-24'!$CC$209/10^7</f>
        <v>1.8944919360999997</v>
      </c>
      <c r="Q353" s="291">
        <f t="shared" si="182"/>
        <v>30.384239327331208</v>
      </c>
    </row>
    <row r="354" spans="2:17" x14ac:dyDescent="0.25">
      <c r="B354" s="60"/>
      <c r="C354" s="802"/>
      <c r="D354" s="59" t="s">
        <v>355</v>
      </c>
      <c r="E354" s="291">
        <f>'[46]2023-24'!$I213/10^7</f>
        <v>27.632984387650001</v>
      </c>
      <c r="F354" s="291">
        <f>'[46]2023-24'!$O213/10^7</f>
        <v>29.328311657599997</v>
      </c>
      <c r="G354" s="291">
        <f>'[46]2023-24'!$U213/10^7</f>
        <v>29.645950739725578</v>
      </c>
      <c r="H354" s="291">
        <f>'[46]2023-24'!$AA213/10^7</f>
        <v>30.846765486327751</v>
      </c>
      <c r="I354" s="291">
        <f>'[46]2023-24'!$AG213/10^7</f>
        <v>29.364704664324165</v>
      </c>
      <c r="J354" s="291">
        <f>'[46]2023-24'!$AM213/10^7</f>
        <v>29.612949264899999</v>
      </c>
      <c r="K354" s="291">
        <f>'[46]2023-24'!$AS213/10^7</f>
        <v>25.209584705350004</v>
      </c>
      <c r="L354" s="291">
        <f>'[46]2023-24'!$AY213/10^7</f>
        <v>35.854058972830018</v>
      </c>
      <c r="M354" s="291">
        <f>'[46]2023-24'!$BE213/10^7</f>
        <v>31.970202833599995</v>
      </c>
      <c r="N354" s="291">
        <f>'[46]2023-24'!$BK213/10^7</f>
        <v>32.183634110499995</v>
      </c>
      <c r="O354" s="291">
        <f>'[46]2023-24'!$BQ213/10^7</f>
        <v>29.796362480750002</v>
      </c>
      <c r="P354" s="291">
        <f>'[46]2023-24'!$BW213/10^7 +'[46]2023-24'!$CC$209/10^7</f>
        <v>32.474448531349999</v>
      </c>
      <c r="Q354" s="291">
        <f t="shared" si="182"/>
        <v>363.91995783490756</v>
      </c>
    </row>
    <row r="355" spans="2:17" x14ac:dyDescent="0.25">
      <c r="B355" s="60"/>
      <c r="C355" s="802"/>
      <c r="D355" s="59" t="s">
        <v>356</v>
      </c>
      <c r="E355" s="291">
        <f>'[46]2023-24'!$I214/10^7</f>
        <v>39.300377541749995</v>
      </c>
      <c r="F355" s="291">
        <f>'[46]2023-24'!$O214/10^7</f>
        <v>34.403082883199993</v>
      </c>
      <c r="G355" s="291">
        <f>'[46]2023-24'!$U214/10^7</f>
        <v>33.720889410623236</v>
      </c>
      <c r="H355" s="291">
        <f>'[46]2023-24'!$AA214/10^7</f>
        <v>27.029928168350374</v>
      </c>
      <c r="I355" s="291">
        <f>'[46]2023-24'!$AG214/10^7</f>
        <v>37.402100491833423</v>
      </c>
      <c r="J355" s="291">
        <f>'[46]2023-24'!$AM214/10^7</f>
        <v>34.50082940635</v>
      </c>
      <c r="K355" s="291">
        <f>'[46]2023-24'!$AS214/10^7</f>
        <v>30.108665123549969</v>
      </c>
      <c r="L355" s="291">
        <f>'[46]2023-24'!$AY214/10^7</f>
        <v>40.623377813554889</v>
      </c>
      <c r="M355" s="291">
        <f>'[46]2023-24'!$BE214/10^7</f>
        <v>36.54176441245</v>
      </c>
      <c r="N355" s="291">
        <f>'[46]2023-24'!$BK214/10^7</f>
        <v>37.464897486200002</v>
      </c>
      <c r="O355" s="291">
        <f>'[46]2023-24'!$BQ214/10^7</f>
        <v>34.587264861850002</v>
      </c>
      <c r="P355" s="291">
        <f>'[46]2023-24'!$BW214/10^7 +'[46]2023-24'!$CC$209/10^7</f>
        <v>39.945398980949996</v>
      </c>
      <c r="Q355" s="291">
        <f t="shared" si="182"/>
        <v>425.62857658066196</v>
      </c>
    </row>
    <row r="356" spans="2:17" x14ac:dyDescent="0.25">
      <c r="B356" s="60"/>
      <c r="C356" s="802"/>
      <c r="D356" s="59" t="s">
        <v>357</v>
      </c>
      <c r="E356" s="291">
        <f>'[46]2023-24'!$I215/10^7</f>
        <v>48.570928935200001</v>
      </c>
      <c r="F356" s="291">
        <f>'[46]2023-24'!$O215/10^7</f>
        <v>52.912476766749997</v>
      </c>
      <c r="G356" s="291">
        <f>'[46]2023-24'!$U215/10^7</f>
        <v>49.8198787550212</v>
      </c>
      <c r="H356" s="291">
        <f>'[46]2023-24'!$AA215/10^7</f>
        <v>39.488304783857885</v>
      </c>
      <c r="I356" s="291">
        <f>'[46]2023-24'!$AG215/10^7</f>
        <v>42.632246967433893</v>
      </c>
      <c r="J356" s="291">
        <f>'[46]2023-24'!$AM215/10^7</f>
        <v>46.427097366649996</v>
      </c>
      <c r="K356" s="291">
        <f>'[46]2023-24'!$AS215/10^7</f>
        <v>37.304115888549944</v>
      </c>
      <c r="L356" s="291">
        <f>'[46]2023-24'!$AY215/10^7</f>
        <v>71.468674727924181</v>
      </c>
      <c r="M356" s="291">
        <f>'[46]2023-24'!$BE215/10^7</f>
        <v>56.435159102299998</v>
      </c>
      <c r="N356" s="291">
        <f>'[46]2023-24'!$BK215/10^7</f>
        <v>58.67491102895</v>
      </c>
      <c r="O356" s="291">
        <f>'[46]2023-24'!$BQ215/10^7</f>
        <v>55.533354631499996</v>
      </c>
      <c r="P356" s="291">
        <f>'[46]2023-24'!$BW215/10^7 +'[46]2023-24'!$CC$209/10^7</f>
        <v>57.592118755949997</v>
      </c>
      <c r="Q356" s="291">
        <f t="shared" si="182"/>
        <v>616.85926771008701</v>
      </c>
    </row>
    <row r="357" spans="2:17" x14ac:dyDescent="0.25">
      <c r="B357" s="60"/>
      <c r="C357" s="802"/>
      <c r="D357" s="59" t="s">
        <v>358</v>
      </c>
      <c r="E357" s="291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>
        <f t="shared" si="182"/>
        <v>0</v>
      </c>
    </row>
    <row r="358" spans="2:17" x14ac:dyDescent="0.25">
      <c r="B358" s="60"/>
      <c r="C358" s="802"/>
      <c r="D358" s="325" t="s">
        <v>620</v>
      </c>
      <c r="E358" s="291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>
        <f t="shared" si="182"/>
        <v>0</v>
      </c>
    </row>
    <row r="359" spans="2:17" x14ac:dyDescent="0.25">
      <c r="B359" s="60"/>
      <c r="C359" s="802"/>
      <c r="D359" s="59"/>
      <c r="E359" s="291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>
        <f t="shared" si="182"/>
        <v>0</v>
      </c>
    </row>
    <row r="360" spans="2:17" x14ac:dyDescent="0.25">
      <c r="B360" s="60"/>
      <c r="C360" s="802"/>
      <c r="D360" s="59"/>
      <c r="E360" s="291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>
        <f t="shared" si="182"/>
        <v>0</v>
      </c>
    </row>
    <row r="361" spans="2:17" x14ac:dyDescent="0.25">
      <c r="B361" s="60"/>
      <c r="C361" s="802"/>
      <c r="D361" s="59"/>
      <c r="E361" s="291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>
        <f t="shared" si="182"/>
        <v>0</v>
      </c>
    </row>
    <row r="362" spans="2:17" x14ac:dyDescent="0.25">
      <c r="B362" s="60"/>
      <c r="C362" s="802"/>
      <c r="D362" s="59"/>
      <c r="E362" s="291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>
        <f t="shared" si="182"/>
        <v>0</v>
      </c>
    </row>
    <row r="363" spans="2:17" x14ac:dyDescent="0.25">
      <c r="B363" s="60"/>
      <c r="C363" s="802"/>
      <c r="D363" s="59"/>
      <c r="E363" s="291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>
        <f t="shared" si="182"/>
        <v>0</v>
      </c>
    </row>
    <row r="364" spans="2:17" x14ac:dyDescent="0.25">
      <c r="B364" s="60"/>
      <c r="C364" s="802"/>
      <c r="D364" s="59"/>
      <c r="Q364" s="291">
        <f>SUM(E444:P444)</f>
        <v>925.36749702309987</v>
      </c>
    </row>
    <row r="365" spans="2:17" x14ac:dyDescent="0.25">
      <c r="B365" s="60"/>
      <c r="C365" s="802"/>
      <c r="D365" s="59"/>
      <c r="E365" s="66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291">
        <f t="shared" si="182"/>
        <v>0</v>
      </c>
    </row>
    <row r="366" spans="2:17" x14ac:dyDescent="0.25">
      <c r="B366" s="60"/>
      <c r="C366" s="802"/>
      <c r="D366" s="59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291">
        <f t="shared" si="182"/>
        <v>0</v>
      </c>
    </row>
    <row r="367" spans="2:17" x14ac:dyDescent="0.25">
      <c r="B367" s="60"/>
      <c r="C367" s="802"/>
      <c r="D367" s="59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291">
        <f t="shared" si="182"/>
        <v>0</v>
      </c>
    </row>
    <row r="368" spans="2:17" x14ac:dyDescent="0.25">
      <c r="C368" s="751" t="s">
        <v>212</v>
      </c>
      <c r="D368" s="751"/>
      <c r="E368" s="291">
        <f t="shared" ref="E368:P368" si="183">SUM(E350:E367)</f>
        <v>231.35647272385</v>
      </c>
      <c r="F368" s="291">
        <f t="shared" si="183"/>
        <v>232.96977491139998</v>
      </c>
      <c r="G368" s="291">
        <f t="shared" si="183"/>
        <v>236.87354258471478</v>
      </c>
      <c r="H368" s="291">
        <f t="shared" si="183"/>
        <v>228.42153644987258</v>
      </c>
      <c r="I368" s="291">
        <f t="shared" si="183"/>
        <v>224.2423890997141</v>
      </c>
      <c r="J368" s="291">
        <f t="shared" si="183"/>
        <v>213.17423111549999</v>
      </c>
      <c r="K368" s="291">
        <f t="shared" si="183"/>
        <v>177.65941989125005</v>
      </c>
      <c r="L368" s="291">
        <f t="shared" si="183"/>
        <v>270.44952063442082</v>
      </c>
      <c r="M368" s="291">
        <f t="shared" si="183"/>
        <v>239.35639588634996</v>
      </c>
      <c r="N368" s="291">
        <f t="shared" si="183"/>
        <v>249.77843485839995</v>
      </c>
      <c r="O368" s="291">
        <f t="shared" si="183"/>
        <v>230.03066317385</v>
      </c>
      <c r="P368" s="291">
        <f t="shared" si="183"/>
        <v>246.25907018314996</v>
      </c>
      <c r="Q368" s="323">
        <f t="shared" si="182"/>
        <v>2780.5714515124723</v>
      </c>
    </row>
    <row r="369" spans="3:17" x14ac:dyDescent="0.25">
      <c r="C369" s="753" t="s">
        <v>359</v>
      </c>
      <c r="D369" s="753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</row>
    <row r="370" spans="3:17" x14ac:dyDescent="0.25">
      <c r="C370" s="805" t="s">
        <v>350</v>
      </c>
      <c r="D370" s="17" t="s">
        <v>360</v>
      </c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>
        <f t="shared" ref="Q370:Q387" si="184">SUM(E370:P370)</f>
        <v>0</v>
      </c>
    </row>
    <row r="371" spans="3:17" x14ac:dyDescent="0.25">
      <c r="C371" s="805"/>
      <c r="D371" s="17" t="s">
        <v>361</v>
      </c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>
        <f t="shared" si="184"/>
        <v>0</v>
      </c>
    </row>
    <row r="372" spans="3:17" x14ac:dyDescent="0.25">
      <c r="C372" s="805"/>
      <c r="D372" s="17" t="s">
        <v>362</v>
      </c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>
        <f t="shared" si="184"/>
        <v>0</v>
      </c>
    </row>
    <row r="373" spans="3:17" x14ac:dyDescent="0.25">
      <c r="C373" s="805"/>
      <c r="D373" s="17" t="s">
        <v>363</v>
      </c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>
        <f t="shared" si="184"/>
        <v>0</v>
      </c>
    </row>
    <row r="374" spans="3:17" x14ac:dyDescent="0.25">
      <c r="C374" s="805"/>
      <c r="D374" s="17" t="s">
        <v>364</v>
      </c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>
        <f t="shared" si="184"/>
        <v>0</v>
      </c>
    </row>
    <row r="375" spans="3:17" x14ac:dyDescent="0.25">
      <c r="C375" s="805"/>
      <c r="D375" s="17" t="s">
        <v>365</v>
      </c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>
        <f t="shared" si="184"/>
        <v>0</v>
      </c>
    </row>
    <row r="376" spans="3:17" x14ac:dyDescent="0.25">
      <c r="C376" s="805"/>
      <c r="D376" s="17" t="s">
        <v>366</v>
      </c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>
        <f t="shared" si="184"/>
        <v>0</v>
      </c>
    </row>
    <row r="377" spans="3:17" x14ac:dyDescent="0.25">
      <c r="C377" s="805"/>
      <c r="D377" s="17" t="s">
        <v>367</v>
      </c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>
        <f t="shared" si="184"/>
        <v>0</v>
      </c>
    </row>
    <row r="378" spans="3:17" x14ac:dyDescent="0.25">
      <c r="C378" s="805"/>
      <c r="D378" s="325" t="s">
        <v>621</v>
      </c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>
        <f t="shared" si="184"/>
        <v>0</v>
      </c>
    </row>
    <row r="379" spans="3:17" x14ac:dyDescent="0.25">
      <c r="C379" s="805"/>
      <c r="D379" s="325" t="s">
        <v>622</v>
      </c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>
        <f t="shared" si="184"/>
        <v>0</v>
      </c>
    </row>
    <row r="380" spans="3:17" x14ac:dyDescent="0.25">
      <c r="C380" s="805"/>
      <c r="D380" s="327" t="s">
        <v>642</v>
      </c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>
        <f t="shared" si="184"/>
        <v>0</v>
      </c>
    </row>
    <row r="381" spans="3:17" x14ac:dyDescent="0.25">
      <c r="C381" s="805"/>
      <c r="D381" s="325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>
        <f t="shared" si="184"/>
        <v>0</v>
      </c>
    </row>
    <row r="382" spans="3:17" x14ac:dyDescent="0.25">
      <c r="C382" s="805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>
        <f t="shared" si="184"/>
        <v>0</v>
      </c>
    </row>
    <row r="383" spans="3:17" x14ac:dyDescent="0.25">
      <c r="C383" s="805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>
        <f t="shared" si="184"/>
        <v>0</v>
      </c>
    </row>
    <row r="384" spans="3:17" x14ac:dyDescent="0.25">
      <c r="C384" s="805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>
        <f t="shared" si="184"/>
        <v>0</v>
      </c>
    </row>
    <row r="385" spans="3:17" x14ac:dyDescent="0.25">
      <c r="C385" s="805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>
        <f t="shared" si="184"/>
        <v>0</v>
      </c>
    </row>
    <row r="386" spans="3:17" x14ac:dyDescent="0.25">
      <c r="C386" s="805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>
        <f t="shared" si="184"/>
        <v>0</v>
      </c>
    </row>
    <row r="387" spans="3:17" x14ac:dyDescent="0.25">
      <c r="C387" s="751" t="s">
        <v>212</v>
      </c>
      <c r="D387" s="751"/>
      <c r="E387" s="17">
        <f t="shared" ref="E387:P387" si="185">SUM(E370:E386)</f>
        <v>0</v>
      </c>
      <c r="F387" s="17">
        <f t="shared" si="185"/>
        <v>0</v>
      </c>
      <c r="G387" s="17">
        <f t="shared" si="185"/>
        <v>0</v>
      </c>
      <c r="H387" s="17">
        <f t="shared" si="185"/>
        <v>0</v>
      </c>
      <c r="I387" s="17">
        <f t="shared" si="185"/>
        <v>0</v>
      </c>
      <c r="J387" s="17">
        <f t="shared" si="185"/>
        <v>0</v>
      </c>
      <c r="K387" s="17">
        <f t="shared" si="185"/>
        <v>0</v>
      </c>
      <c r="L387" s="17">
        <f t="shared" si="185"/>
        <v>0</v>
      </c>
      <c r="M387" s="17">
        <f t="shared" si="185"/>
        <v>0</v>
      </c>
      <c r="N387" s="17">
        <f t="shared" si="185"/>
        <v>0</v>
      </c>
      <c r="O387" s="17">
        <f t="shared" si="185"/>
        <v>0</v>
      </c>
      <c r="P387" s="17">
        <f t="shared" si="185"/>
        <v>0</v>
      </c>
      <c r="Q387" s="86">
        <f t="shared" si="184"/>
        <v>0</v>
      </c>
    </row>
    <row r="388" spans="3:17" x14ac:dyDescent="0.25">
      <c r="C388" s="753" t="s">
        <v>368</v>
      </c>
      <c r="D388" s="753"/>
      <c r="E388" s="291">
        <f t="shared" ref="E388:Q388" si="186">E368+E387</f>
        <v>231.35647272385</v>
      </c>
      <c r="F388" s="291">
        <f t="shared" si="186"/>
        <v>232.96977491139998</v>
      </c>
      <c r="G388" s="291">
        <f t="shared" si="186"/>
        <v>236.87354258471478</v>
      </c>
      <c r="H388" s="291">
        <f t="shared" si="186"/>
        <v>228.42153644987258</v>
      </c>
      <c r="I388" s="291">
        <f t="shared" si="186"/>
        <v>224.2423890997141</v>
      </c>
      <c r="J388" s="291">
        <f t="shared" si="186"/>
        <v>213.17423111549999</v>
      </c>
      <c r="K388" s="291">
        <f t="shared" si="186"/>
        <v>177.65941989125005</v>
      </c>
      <c r="L388" s="291">
        <f t="shared" si="186"/>
        <v>270.44952063442082</v>
      </c>
      <c r="M388" s="291">
        <f t="shared" si="186"/>
        <v>239.35639588634996</v>
      </c>
      <c r="N388" s="291">
        <f t="shared" si="186"/>
        <v>249.77843485839995</v>
      </c>
      <c r="O388" s="291">
        <f t="shared" si="186"/>
        <v>230.03066317385</v>
      </c>
      <c r="P388" s="291">
        <f t="shared" si="186"/>
        <v>246.25907018314996</v>
      </c>
      <c r="Q388" s="323">
        <f t="shared" si="186"/>
        <v>2780.5714515124723</v>
      </c>
    </row>
    <row r="389" spans="3:17" x14ac:dyDescent="0.25">
      <c r="C389" s="800" t="s">
        <v>369</v>
      </c>
      <c r="D389" s="800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</row>
    <row r="390" spans="3:17" x14ac:dyDescent="0.25">
      <c r="C390" s="753" t="s">
        <v>349</v>
      </c>
      <c r="D390" s="753"/>
      <c r="Q390" s="17"/>
    </row>
    <row r="391" spans="3:17" x14ac:dyDescent="0.25">
      <c r="C391" s="805" t="s">
        <v>370</v>
      </c>
      <c r="D391" s="17" t="s">
        <v>371</v>
      </c>
      <c r="E391" s="66">
        <f>'[46]2023-24'!$I190/10^7</f>
        <v>19.155970811083002</v>
      </c>
      <c r="F391" s="66">
        <f>'[46]2023-24'!$O190/10^7</f>
        <v>17.688206574759196</v>
      </c>
      <c r="G391" s="66">
        <f>'[46]2023-24'!$U190/10^7</f>
        <v>15.626953102063901</v>
      </c>
      <c r="H391" s="66">
        <f>'[46]2023-24'!$AA190/10^7</f>
        <v>20.253805433012751</v>
      </c>
      <c r="I391" s="66">
        <f>'[46]2023-24'!$AG190/10^7</f>
        <v>22.037338030132251</v>
      </c>
      <c r="J391" s="66">
        <f>'[46]2023-24'!$AM190/10^7</f>
        <v>20.4556867499</v>
      </c>
      <c r="K391" s="66">
        <f>'[46]2023-24'!$AS190/10^7</f>
        <v>16.200240403487502</v>
      </c>
      <c r="L391" s="66">
        <f>'[46]2023-24'!$AY190/10^7</f>
        <v>21.161029652249997</v>
      </c>
      <c r="M391" s="66">
        <f>'[46]2023-24'!$BE190/10^7</f>
        <v>17.735286841820496</v>
      </c>
      <c r="N391" s="66">
        <f>'[46]2023-24'!$BK190/10^7</f>
        <v>19.150995930370001</v>
      </c>
      <c r="O391" s="66">
        <f>'[46]2023-24'!$BQ190/10^7</f>
        <v>17.828299385787599</v>
      </c>
      <c r="P391" s="66">
        <f>'[46]2023-24'!$BW190/10^7</f>
        <v>20.623402526573301</v>
      </c>
      <c r="Q391" s="291">
        <f>SUM(E391:P391)</f>
        <v>227.91721544124002</v>
      </c>
    </row>
    <row r="392" spans="3:17" x14ac:dyDescent="0.25">
      <c r="C392" s="805"/>
      <c r="D392" s="17" t="s">
        <v>372</v>
      </c>
      <c r="E392" s="66">
        <f>'[46]2023-24'!$I191/10^7</f>
        <v>4.2423228946338494</v>
      </c>
      <c r="F392" s="66">
        <f>'[46]2023-24'!$O191/10^7</f>
        <v>4.2452957171385002</v>
      </c>
      <c r="G392" s="66">
        <f>'[46]2023-24'!$U191/10^7</f>
        <v>4.9954573078440001</v>
      </c>
      <c r="H392" s="66">
        <f>'[46]2023-24'!$AA191/10^7</f>
        <v>5.2989538961655001</v>
      </c>
      <c r="I392" s="66">
        <f>'[46]2023-24'!$AG191/10^7</f>
        <v>6.2223001091661994</v>
      </c>
      <c r="J392" s="66">
        <f>'[46]2023-24'!$AM191/10^7</f>
        <v>4.9245490432499999</v>
      </c>
      <c r="K392" s="66">
        <f>'[46]2023-24'!$AS191/10^7</f>
        <v>5.1130873326631496</v>
      </c>
      <c r="L392" s="66">
        <f>'[46]2023-24'!$AY191/10^7</f>
        <v>5.2135647909194995</v>
      </c>
      <c r="M392" s="66">
        <f>'[46]2023-24'!$BE191/10^7</f>
        <v>3.5828527739757003</v>
      </c>
      <c r="N392" s="66">
        <f>'[46]2023-24'!$BK191/10^7</f>
        <v>4.6431503275129993</v>
      </c>
      <c r="O392" s="66">
        <f>'[46]2023-24'!$BQ191/10^7</f>
        <v>4.8511129420290002</v>
      </c>
      <c r="P392" s="66">
        <f>'[46]2023-24'!$BW191/10^7</f>
        <v>4.6760156125898495</v>
      </c>
      <c r="Q392" s="291">
        <f t="shared" ref="Q392:Q412" si="187">SUM(E392:P392)</f>
        <v>58.008662747888245</v>
      </c>
    </row>
    <row r="393" spans="3:17" x14ac:dyDescent="0.25">
      <c r="C393" s="805"/>
      <c r="D393" s="17" t="s">
        <v>373</v>
      </c>
      <c r="E393" s="66">
        <f>'[46]2023-24'!$I194/10^7</f>
        <v>6.3723225148495999</v>
      </c>
      <c r="F393" s="66">
        <f>'[46]2023-24'!$O194/10^7</f>
        <v>6.9870886612928986</v>
      </c>
      <c r="G393" s="66">
        <f>'[46]2023-24'!$U194/10^7</f>
        <v>6.3253298091761998</v>
      </c>
      <c r="H393" s="66">
        <f>'[46]2023-24'!$AA194/10^7</f>
        <v>7.7751479819362492</v>
      </c>
      <c r="I393" s="66">
        <f>'[46]2023-24'!$AG194/10^7</f>
        <v>6.7531885747230005</v>
      </c>
      <c r="J393" s="66">
        <f>'[46]2023-24'!$AM194/10^7</f>
        <v>6.4168188282500003</v>
      </c>
      <c r="K393" s="66">
        <f>'[46]2023-24'!$AS194/10^7</f>
        <v>8.1828258847169497</v>
      </c>
      <c r="L393" s="66">
        <f>'[46]2023-24'!$AY194/10^7</f>
        <v>6.1318756182999996</v>
      </c>
      <c r="M393" s="66">
        <f>'[46]2023-24'!$BE194/10^7</f>
        <v>6.8157842496275007</v>
      </c>
      <c r="N393" s="66">
        <f>'[46]2023-24'!$BK194/10^7</f>
        <v>6.1566772179309996</v>
      </c>
      <c r="O393" s="66">
        <f>'[46]2023-24'!$BQ194/10^7</f>
        <v>6.8942564612626507</v>
      </c>
      <c r="P393" s="66">
        <f>'[46]2023-24'!$BW194/10^7</f>
        <v>7.1145290032900004</v>
      </c>
      <c r="Q393" s="291">
        <f t="shared" si="187"/>
        <v>81.92584480535605</v>
      </c>
    </row>
    <row r="394" spans="3:17" x14ac:dyDescent="0.25">
      <c r="C394" s="805"/>
      <c r="D394" s="17" t="s">
        <v>374</v>
      </c>
      <c r="E394" s="66">
        <f>'[46]2023-24'!$I192/10^7</f>
        <v>29.749473723328002</v>
      </c>
      <c r="F394" s="66">
        <f>'[46]2023-24'!$O192/10^7</f>
        <v>18.889347066694999</v>
      </c>
      <c r="G394" s="66">
        <f>'[46]2023-24'!$U192/10^7</f>
        <v>35.061049750047744</v>
      </c>
      <c r="H394" s="66">
        <f>'[46]2023-24'!$AA192/10^7</f>
        <v>36.572860973435503</v>
      </c>
      <c r="I394" s="66">
        <f>'[46]2023-24'!$AG192/10^7</f>
        <v>34.684743449901298</v>
      </c>
      <c r="J394" s="66">
        <f>'[46]2023-24'!$AM192/10^7</f>
        <v>30.587511227050001</v>
      </c>
      <c r="K394" s="66">
        <f>'[46]2023-24'!$AS192/10^7</f>
        <v>34.257310888936395</v>
      </c>
      <c r="L394" s="66">
        <f>'[46]2023-24'!$AY192/10^7</f>
        <v>21.8482518745943</v>
      </c>
      <c r="M394" s="66">
        <f>'[46]2023-24'!$BE192/10^7</f>
        <v>16.557599845255499</v>
      </c>
      <c r="N394" s="66">
        <f>'[46]2023-24'!$BK192/10^7</f>
        <v>36.335578606668797</v>
      </c>
      <c r="O394" s="66">
        <f>'[46]2023-24'!$BQ192/10^7</f>
        <v>39.036939670384498</v>
      </c>
      <c r="P394" s="66">
        <f>'[46]2023-24'!$BW192/10^7</f>
        <v>37.692259263179295</v>
      </c>
      <c r="Q394" s="291">
        <f t="shared" si="187"/>
        <v>371.27292633947627</v>
      </c>
    </row>
    <row r="395" spans="3:17" x14ac:dyDescent="0.25">
      <c r="C395" s="805"/>
      <c r="D395" s="17" t="s">
        <v>375</v>
      </c>
      <c r="E395" s="66">
        <f>'[46]2023-24'!$I193/10^7</f>
        <v>15.864871186749751</v>
      </c>
      <c r="F395" s="66">
        <f>'[46]2023-24'!$O193/10^7</f>
        <v>8.3346325175018006</v>
      </c>
      <c r="G395" s="66">
        <f>'[46]2023-24'!$U193/10^7</f>
        <v>15.674440152374499</v>
      </c>
      <c r="H395" s="66">
        <f>'[46]2023-24'!$AA193/10^7</f>
        <v>8.5091467555827993</v>
      </c>
      <c r="I395" s="66">
        <f>'[46]2023-24'!$AG193/10^7</f>
        <v>12.378262311401249</v>
      </c>
      <c r="J395" s="66">
        <f>'[46]2023-24'!$AM193/10^7</f>
        <v>13.815811353999999</v>
      </c>
      <c r="K395" s="66">
        <f>'[46]2023-24'!$AS193/10^7</f>
        <v>14.120293665774748</v>
      </c>
      <c r="L395" s="66">
        <f>'[46]2023-24'!$AY193/10^7</f>
        <v>15.408007162763395</v>
      </c>
      <c r="M395" s="66">
        <f>'[46]2023-24'!$BE193/10^7</f>
        <v>17.8507850668686</v>
      </c>
      <c r="N395" s="66">
        <f>'[46]2023-24'!$BK193/10^7</f>
        <v>18.317019956546499</v>
      </c>
      <c r="O395" s="66">
        <f>'[46]2023-24'!$BQ193/10^7</f>
        <v>16.68066498802515</v>
      </c>
      <c r="P395" s="66">
        <f>'[46]2023-24'!$BW193/10^7</f>
        <v>16.969177409249198</v>
      </c>
      <c r="Q395" s="291">
        <f t="shared" si="187"/>
        <v>173.92311252683768</v>
      </c>
    </row>
    <row r="396" spans="3:17" x14ac:dyDescent="0.25">
      <c r="C396" s="805"/>
      <c r="D396" s="17" t="s">
        <v>376</v>
      </c>
      <c r="E396" s="66">
        <f>'[46]2023-24'!$I195/10^7</f>
        <v>5.5356225785606492</v>
      </c>
      <c r="F396" s="66">
        <f>'[46]2023-24'!$O195/10^7</f>
        <v>7.3081776154386509</v>
      </c>
      <c r="G396" s="66">
        <f>'[46]2023-24'!$U195/10^7</f>
        <v>15.9453043415955</v>
      </c>
      <c r="H396" s="66">
        <f>'[46]2023-24'!$AA195/10^7</f>
        <v>8.6085607844993994</v>
      </c>
      <c r="I396" s="66">
        <f>'[46]2023-24'!$AG195/10^7</f>
        <v>15.501287858139449</v>
      </c>
      <c r="J396" s="66">
        <f>'[46]2023-24'!$AM195/10^7</f>
        <v>15.1883152926</v>
      </c>
      <c r="K396" s="66">
        <f>'[46]2023-24'!$AS195/10^7</f>
        <v>18.412455056100001</v>
      </c>
      <c r="L396" s="66">
        <f>'[46]2023-24'!$AY195/10^7</f>
        <v>7.0053579816919997</v>
      </c>
      <c r="M396" s="66">
        <f>'[46]2023-24'!$BE195/10^7</f>
        <v>7.871208761906499</v>
      </c>
      <c r="N396" s="66">
        <f>'[46]2023-24'!$BK195/10^7</f>
        <v>17.246078791101599</v>
      </c>
      <c r="O396" s="66">
        <f>'[46]2023-24'!$BQ195/10^7</f>
        <v>9.699346004192499</v>
      </c>
      <c r="P396" s="66">
        <f>'[46]2023-24'!$BW195/10^7</f>
        <v>6.5179739135424999</v>
      </c>
      <c r="Q396" s="291">
        <f t="shared" si="187"/>
        <v>134.83968897936876</v>
      </c>
    </row>
    <row r="397" spans="3:17" x14ac:dyDescent="0.25">
      <c r="C397" s="805"/>
      <c r="D397" s="17" t="s">
        <v>377</v>
      </c>
      <c r="E397" s="66">
        <f>'[46]2023-24'!$I208/10^7</f>
        <v>15.2109318324</v>
      </c>
      <c r="F397" s="66">
        <f>'[46]2023-24'!$O208/10^7</f>
        <v>13.024566777399999</v>
      </c>
      <c r="G397" s="66">
        <f>'[46]2023-24'!$U208/10^7</f>
        <v>23.237547149649998</v>
      </c>
      <c r="H397" s="66">
        <f>'[46]2023-24'!$AA208/10^7</f>
        <v>18.878468951573726</v>
      </c>
      <c r="I397" s="66">
        <f>'[46]2023-24'!$AG208/10^7</f>
        <v>20.084140030105409</v>
      </c>
      <c r="J397" s="66">
        <f>'[46]2023-24'!$AM208/10^7</f>
        <v>28.003149553395964</v>
      </c>
      <c r="K397" s="66">
        <f>'[46]2023-24'!$AS208/10^7</f>
        <v>23.537508622699999</v>
      </c>
      <c r="L397" s="66">
        <f>'[46]2023-24'!$AY208/10^7</f>
        <v>25.418731890749999</v>
      </c>
      <c r="M397" s="66">
        <f>'[46]2023-24'!$BE208/10^7</f>
        <v>19.28931670215</v>
      </c>
      <c r="N397" s="66">
        <f>'[46]2023-24'!$BK208/10^7</f>
        <v>17.37141130925</v>
      </c>
      <c r="O397" s="66">
        <f>'[46]2023-24'!$BQ208/10^7</f>
        <v>17.359508797250001</v>
      </c>
      <c r="P397" s="66">
        <f>'[46]2023-24'!$BW208/10^7+ '[46]2023-24'!$CC$208/10^7</f>
        <v>16.602797555699997</v>
      </c>
      <c r="Q397" s="291">
        <f t="shared" si="187"/>
        <v>238.01807917232506</v>
      </c>
    </row>
    <row r="398" spans="3:17" x14ac:dyDescent="0.25">
      <c r="C398" s="805"/>
      <c r="D398" s="17" t="s">
        <v>378</v>
      </c>
      <c r="E398" s="66">
        <f>'[46]2023-24'!$I207/10^7</f>
        <v>4.3568341641585002</v>
      </c>
      <c r="F398" s="66">
        <f>'[46]2023-24'!$O207/10^7</f>
        <v>3.7110404137280004</v>
      </c>
      <c r="G398" s="66">
        <f>'[46]2023-24'!$U207/10^7</f>
        <v>4.0251516670220004</v>
      </c>
      <c r="H398" s="66">
        <f>'[46]2023-24'!$AA207/10^7</f>
        <v>3.6045747462889999</v>
      </c>
      <c r="I398" s="66">
        <f>'[46]2023-24'!$AG207/10^7</f>
        <v>4.7799804754685002</v>
      </c>
      <c r="J398" s="66">
        <f>'[46]2023-24'!$AM207/10^7</f>
        <v>4.0438884002100002</v>
      </c>
      <c r="K398" s="66">
        <f>'[46]2023-24'!$AS207/10^7</f>
        <v>3.6196528650414996</v>
      </c>
      <c r="L398" s="66">
        <f>'[46]2023-24'!$AY207/10^7</f>
        <v>3.3902649614584996</v>
      </c>
      <c r="M398" s="66">
        <f>'[46]2023-24'!$BE207/10^7</f>
        <v>3.8409978187174998</v>
      </c>
      <c r="N398" s="66">
        <f>'[46]2023-24'!$BK207/10^7</f>
        <v>4.3489835256964993</v>
      </c>
      <c r="O398" s="66">
        <f>'[46]2023-24'!$BQ207/10^7</f>
        <v>5.3957083241052635</v>
      </c>
      <c r="P398" s="66">
        <f>'[46]2023-24'!$BW207/10^7+ '[46]2023-24'!$CC$207/10^7</f>
        <v>6.1862985047264996</v>
      </c>
      <c r="Q398" s="291">
        <f t="shared" si="187"/>
        <v>51.303375866621764</v>
      </c>
    </row>
    <row r="399" spans="3:17" x14ac:dyDescent="0.25">
      <c r="C399" s="805"/>
      <c r="D399" s="17" t="s">
        <v>379</v>
      </c>
      <c r="E399" s="66">
        <f>'[46]2023-24'!$I196/10^7</f>
        <v>0</v>
      </c>
      <c r="F399" s="66">
        <f>'[46]2023-24'!$O196/10^7</f>
        <v>0</v>
      </c>
      <c r="G399" s="66">
        <f>'[46]2023-24'!$U196/10^7</f>
        <v>0</v>
      </c>
      <c r="H399" s="66">
        <f>'[46]2023-24'!$AA196/10^7</f>
        <v>0</v>
      </c>
      <c r="I399" s="66">
        <f>'[46]2023-24'!$AG196/10^7</f>
        <v>0</v>
      </c>
      <c r="J399" s="66">
        <f>'[46]2023-24'!$AM196/10^7</f>
        <v>0.93526721000000002</v>
      </c>
      <c r="K399" s="66">
        <f>'[46]2023-24'!$AS196/10^7</f>
        <v>59.468249662524997</v>
      </c>
      <c r="L399" s="66">
        <f>'[46]2023-24'!$AY196/10^7</f>
        <v>21.2468988137</v>
      </c>
      <c r="M399" s="66">
        <f>'[46]2023-24'!$BE196/10^7</f>
        <v>21.661444763320251</v>
      </c>
      <c r="N399" s="66">
        <f>'[46]2023-24'!$BK196/10^7</f>
        <v>35.665736508033397</v>
      </c>
      <c r="O399" s="66">
        <f>'[46]2023-24'!$BQ196/10^7</f>
        <v>40.286105871890548</v>
      </c>
      <c r="P399" s="66">
        <f>'[46]2023-24'!$BW196/10^7</f>
        <v>87.574553496878494</v>
      </c>
      <c r="Q399" s="291">
        <f t="shared" si="187"/>
        <v>266.83825632634768</v>
      </c>
    </row>
    <row r="400" spans="3:17" x14ac:dyDescent="0.25">
      <c r="C400" s="17"/>
      <c r="D400" s="17" t="s">
        <v>380</v>
      </c>
      <c r="E400" s="66">
        <f>'[46]2023-24'!$I178/10^7</f>
        <v>0.23085940404999997</v>
      </c>
      <c r="F400" s="66">
        <f>'[46]2023-24'!$O178/10^7</f>
        <v>0.16660386264999999</v>
      </c>
      <c r="G400" s="66">
        <f>'[46]2023-24'!$U178/10^7</f>
        <v>0.23328894290875002</v>
      </c>
      <c r="H400" s="66">
        <f>'[46]2023-24'!$AA178/10^7</f>
        <v>0.18590874994999998</v>
      </c>
      <c r="I400" s="66">
        <f>'[46]2023-24'!$AG178/10^7</f>
        <v>0.18332206809999999</v>
      </c>
      <c r="J400" s="66">
        <f>'[46]2023-24'!$AM178/10^7</f>
        <v>0.39048290990000001</v>
      </c>
      <c r="K400" s="66">
        <f>'[46]2023-24'!$AS178/10^7</f>
        <v>0.32433290607279996</v>
      </c>
      <c r="L400" s="66">
        <f>'[46]2023-24'!$AY178/10^7</f>
        <v>0.1564411803745</v>
      </c>
      <c r="M400" s="66">
        <f>'[46]2023-24'!$BE178/10^7</f>
        <v>2.1395221056393998</v>
      </c>
      <c r="N400" s="66">
        <f>'[46]2023-24'!$BK178/10^7</f>
        <v>0.31348594374109995</v>
      </c>
      <c r="O400" s="66">
        <f>'[46]2023-24'!$BQ178/10^7</f>
        <v>0.2690795801825</v>
      </c>
      <c r="P400" s="66">
        <f>'[46]2023-24'!$BW178/10^7</f>
        <v>0.30734608617149994</v>
      </c>
      <c r="Q400" s="291">
        <f t="shared" si="187"/>
        <v>4.9006737397405491</v>
      </c>
    </row>
    <row r="401" spans="3:17" x14ac:dyDescent="0.25">
      <c r="C401" s="17"/>
      <c r="D401" s="17" t="s">
        <v>381</v>
      </c>
      <c r="E401" s="66">
        <f>'[46]2023-24'!$I179/10^7</f>
        <v>0.22966096574999997</v>
      </c>
      <c r="F401" s="66">
        <f>'[46]2023-24'!$O179/10^7</f>
        <v>8.17110276E-2</v>
      </c>
      <c r="G401" s="66">
        <f>'[46]2023-24'!$U179/10^7</f>
        <v>0.11859615130000001</v>
      </c>
      <c r="H401" s="66">
        <f>'[46]2023-24'!$AA179/10^7</f>
        <v>0.20234252729999999</v>
      </c>
      <c r="I401" s="66">
        <f>'[46]2023-24'!$AG179/10^7</f>
        <v>0.24830752774999998</v>
      </c>
      <c r="J401" s="66">
        <f>'[46]2023-24'!$AM179/10^7</f>
        <v>0.36406937894949998</v>
      </c>
      <c r="K401" s="66">
        <f>'[46]2023-24'!$AS179/10^7</f>
        <v>0.33788959795000001</v>
      </c>
      <c r="L401" s="66">
        <f>'[46]2023-24'!$AY179/10^7</f>
        <v>5.0737625424849962E-2</v>
      </c>
      <c r="M401" s="66">
        <f>'[46]2023-24'!$BE179/10^7</f>
        <v>0.13422519715140002</v>
      </c>
      <c r="N401" s="66">
        <f>'[46]2023-24'!$BK179/10^7</f>
        <v>0.27385138959849997</v>
      </c>
      <c r="O401" s="66">
        <f>'[46]2023-24'!$BQ179/10^7</f>
        <v>0.23562847019849997</v>
      </c>
      <c r="P401" s="66">
        <f>'[46]2023-24'!$BW179/10^7</f>
        <v>0.30173274771750003</v>
      </c>
      <c r="Q401" s="291">
        <f t="shared" si="187"/>
        <v>2.5787526066902497</v>
      </c>
    </row>
    <row r="402" spans="3:17" x14ac:dyDescent="0.25">
      <c r="C402" s="17"/>
      <c r="D402" s="17" t="s">
        <v>382</v>
      </c>
      <c r="E402" s="66">
        <f>'[46]2023-24'!$I180/10^7</f>
        <v>3.0655889739000002</v>
      </c>
      <c r="F402" s="66">
        <f>'[46]2023-24'!$O180/10^7</f>
        <v>2.5352505132742498</v>
      </c>
      <c r="G402" s="66">
        <f>'[46]2023-24'!$U180/10^7</f>
        <v>2.9632709566999997</v>
      </c>
      <c r="H402" s="66">
        <f>'[46]2023-24'!$AA180/10^7</f>
        <v>2.9684273367322502</v>
      </c>
      <c r="I402" s="66">
        <f>'[46]2023-24'!$AG180/10^7</f>
        <v>1.99407148615</v>
      </c>
      <c r="J402" s="66">
        <f>'[46]2023-24'!$AM180/10^7</f>
        <v>1.7210891286499999</v>
      </c>
      <c r="K402" s="66">
        <f>'[46]2023-24'!$AS180/10^7</f>
        <v>2.7572566328499999</v>
      </c>
      <c r="L402" s="66">
        <f>'[46]2023-24'!$AY180/10^7</f>
        <v>2.7405587478999998</v>
      </c>
      <c r="M402" s="66">
        <f>'[46]2023-24'!$BE180/10^7</f>
        <v>3.1538715654415999</v>
      </c>
      <c r="N402" s="66">
        <f>'[46]2023-24'!$BK180/10^7</f>
        <v>3.2824848371499997</v>
      </c>
      <c r="O402" s="66">
        <f>'[46]2023-24'!$BQ180/10^7</f>
        <v>2.2385227281783999</v>
      </c>
      <c r="P402" s="66">
        <f>'[46]2023-24'!$BW180/10^7</f>
        <v>3.3253656510099994</v>
      </c>
      <c r="Q402" s="291">
        <f t="shared" si="187"/>
        <v>32.745758557936497</v>
      </c>
    </row>
    <row r="403" spans="3:17" x14ac:dyDescent="0.25">
      <c r="C403" s="17"/>
      <c r="D403" s="17" t="s">
        <v>383</v>
      </c>
      <c r="E403" s="66">
        <f>'[46]2023-24'!$I181/10^7</f>
        <v>0.30173452537840001</v>
      </c>
      <c r="F403" s="66">
        <f>'[46]2023-24'!$O181/10^7</f>
        <v>0.21800876043210002</v>
      </c>
      <c r="G403" s="66">
        <f>'[46]2023-24'!$U181/10^7</f>
        <v>0.19447063065</v>
      </c>
      <c r="H403" s="66">
        <f>'[46]2023-24'!$AA181/10^7</f>
        <v>0.43256284549940005</v>
      </c>
      <c r="I403" s="66">
        <f>'[46]2023-24'!$AG181/10^7</f>
        <v>0.28029322375739996</v>
      </c>
      <c r="J403" s="66">
        <f>'[46]2023-24'!$AM181/10^7</f>
        <v>0.43893257416049997</v>
      </c>
      <c r="K403" s="66">
        <f>'[46]2023-24'!$AS181/10^7</f>
        <v>0.30175388698639993</v>
      </c>
      <c r="L403" s="66">
        <f>'[46]2023-24'!$AY181/10^7</f>
        <v>0.15613616919830001</v>
      </c>
      <c r="M403" s="66">
        <f>'[46]2023-24'!$BE181/10^7</f>
        <v>0.17526636622519998</v>
      </c>
      <c r="N403" s="66">
        <f>'[46]2023-24'!$BK181/10^7</f>
        <v>0.40134395050970001</v>
      </c>
      <c r="O403" s="66">
        <f>'[46]2023-24'!$BQ181/10^7</f>
        <v>0.30221095239999995</v>
      </c>
      <c r="P403" s="66">
        <f>'[46]2023-24'!$BW181/10^7</f>
        <v>0.31291927912174994</v>
      </c>
      <c r="Q403" s="291">
        <f t="shared" si="187"/>
        <v>3.5156331643191501</v>
      </c>
    </row>
    <row r="404" spans="3:17" x14ac:dyDescent="0.25">
      <c r="C404" s="17"/>
      <c r="D404" s="17" t="s">
        <v>384</v>
      </c>
      <c r="E404" s="66">
        <f>'[46]2023-24'!$I182/10^7</f>
        <v>0.24488826601019995</v>
      </c>
      <c r="F404" s="66">
        <f>'[46]2023-24'!$O182/10^7</f>
        <v>0.15742839119999999</v>
      </c>
      <c r="G404" s="66">
        <f>'[46]2023-24'!$U182/10^7</f>
        <v>0.181635028384</v>
      </c>
      <c r="H404" s="66">
        <f>'[46]2023-24'!$AA182/10^7</f>
        <v>0.27769874554999996</v>
      </c>
      <c r="I404" s="66">
        <f>'[46]2023-24'!$AG182/10^7</f>
        <v>0.11813406254099999</v>
      </c>
      <c r="J404" s="66">
        <f>'[46]2023-24'!$AM182/10^7</f>
        <v>0.25067579249699995</v>
      </c>
      <c r="K404" s="66">
        <f>'[46]2023-24'!$AS182/10^7</f>
        <v>0.1917543091932</v>
      </c>
      <c r="L404" s="66">
        <f>'[46]2023-24'!$AY182/10^7</f>
        <v>0.21266553946905001</v>
      </c>
      <c r="M404" s="66">
        <f>'[46]2023-24'!$BE182/10^7</f>
        <v>0.13226272198124997</v>
      </c>
      <c r="N404" s="66">
        <f>'[46]2023-24'!$BK182/10^7</f>
        <v>0.17836972665</v>
      </c>
      <c r="O404" s="66">
        <f>'[46]2023-24'!$BQ182/10^7</f>
        <v>0.11689133791999999</v>
      </c>
      <c r="P404" s="66">
        <f>'[46]2023-24'!$BW182/10^7</f>
        <v>0.18957700130900002</v>
      </c>
      <c r="Q404" s="291">
        <f t="shared" si="187"/>
        <v>2.2519809227046994</v>
      </c>
    </row>
    <row r="405" spans="3:17" x14ac:dyDescent="0.25">
      <c r="C405" s="17"/>
      <c r="D405" s="17" t="s">
        <v>385</v>
      </c>
      <c r="E405" s="66">
        <f>'[46]2023-24'!$I197/10^7</f>
        <v>5.8301605968320001</v>
      </c>
      <c r="F405" s="66">
        <f>'[46]2023-24'!$O197/10^7</f>
        <v>4.5630417743663001</v>
      </c>
      <c r="G405" s="66">
        <f>'[46]2023-24'!$U197/10^7</f>
        <v>5.2576844098999995</v>
      </c>
      <c r="H405" s="66">
        <f>'[46]2023-24'!$AA197/10^7</f>
        <v>6.8538849629575838</v>
      </c>
      <c r="I405" s="66">
        <f>'[46]2023-24'!$AG197/10^7</f>
        <v>5.9091420575797393</v>
      </c>
      <c r="J405" s="66">
        <f>'[46]2023-24'!$AM197/10^7</f>
        <v>4.5219651283499998</v>
      </c>
      <c r="K405" s="66">
        <f>'[46]2023-24'!$AS197/10^7</f>
        <v>4.8343556066912088</v>
      </c>
      <c r="L405" s="66">
        <f>'[46]2023-24'!$AY197/10^7</f>
        <v>2.2793681502880001</v>
      </c>
      <c r="M405" s="66">
        <f>'[46]2023-24'!$BE197/10^7</f>
        <v>3.5835057642315</v>
      </c>
      <c r="N405" s="66">
        <f>'[46]2023-24'!$BK197/10^7</f>
        <v>2.037349105539886</v>
      </c>
      <c r="O405" s="66">
        <f>'[46]2023-24'!$BQ197/10^7</f>
        <v>1.9313984760167</v>
      </c>
      <c r="P405" s="66">
        <f>'[46]2023-24'!$BW197/10^7</f>
        <v>2.9752040466349996</v>
      </c>
      <c r="Q405" s="291">
        <f t="shared" si="187"/>
        <v>50.577060079387927</v>
      </c>
    </row>
    <row r="406" spans="3:17" x14ac:dyDescent="0.25">
      <c r="C406" s="17"/>
      <c r="D406" s="17" t="s">
        <v>386</v>
      </c>
      <c r="E406" s="66">
        <f>'[46]2023-24'!$I198/10^7</f>
        <v>7.6603537070999996</v>
      </c>
      <c r="F406" s="66">
        <f>'[46]2023-24'!$O198/10^7</f>
        <v>5.0895982404</v>
      </c>
      <c r="G406" s="66">
        <f>'[46]2023-24'!$U198/10^7</f>
        <v>8.2326841236000003</v>
      </c>
      <c r="H406" s="66">
        <f>'[46]2023-24'!$AA198/10^7</f>
        <v>5.4352200241999995</v>
      </c>
      <c r="I406" s="66">
        <f>'[46]2023-24'!$AG198/10^7</f>
        <v>4.7350228861879993</v>
      </c>
      <c r="J406" s="66">
        <f>'[46]2023-24'!$AM198/10^7</f>
        <v>8.4623188459838001</v>
      </c>
      <c r="K406" s="66">
        <f>'[46]2023-24'!$AS198/10^7</f>
        <v>10.2339709481</v>
      </c>
      <c r="L406" s="66">
        <f>'[46]2023-24'!$AY198/10^7</f>
        <v>5.6596904568999999</v>
      </c>
      <c r="M406" s="66">
        <f>'[46]2023-24'!$BE198/10^7</f>
        <v>4.0794474677751502</v>
      </c>
      <c r="N406" s="66">
        <f>'[46]2023-24'!$BK198/10^7</f>
        <v>6.1007021733774991</v>
      </c>
      <c r="O406" s="66">
        <f>'[46]2023-24'!$BQ198/10^7</f>
        <v>5.4578136073715999</v>
      </c>
      <c r="P406" s="66">
        <f>'[46]2023-24'!$BW198/10^7</f>
        <v>7.4101083462317501</v>
      </c>
      <c r="Q406" s="291">
        <f t="shared" si="187"/>
        <v>78.556930827227802</v>
      </c>
    </row>
    <row r="407" spans="3:17" x14ac:dyDescent="0.25">
      <c r="C407" s="17"/>
      <c r="D407" s="328" t="s">
        <v>438</v>
      </c>
      <c r="E407" s="66">
        <f>'[46]2023-24'!$I183/10^7</f>
        <v>0</v>
      </c>
      <c r="F407" s="66">
        <f>'[46]2023-24'!$O183/10^7</f>
        <v>0</v>
      </c>
      <c r="G407" s="66">
        <f>'[46]2023-24'!$U183/10^7</f>
        <v>1.8270817902149999E-2</v>
      </c>
      <c r="H407" s="66">
        <f>'[46]2023-24'!$AA183/10^7</f>
        <v>0</v>
      </c>
      <c r="I407" s="66">
        <f>'[46]2023-24'!$AG183/10^7</f>
        <v>0</v>
      </c>
      <c r="J407" s="66">
        <f>'[46]2023-24'!$AM183/10^7</f>
        <v>0</v>
      </c>
      <c r="K407" s="66">
        <f>'[46]2023-24'!$AS183/10^7</f>
        <v>0</v>
      </c>
      <c r="L407" s="66">
        <f>'[46]2023-24'!$AY183/10^7</f>
        <v>0</v>
      </c>
      <c r="M407" s="66">
        <f>'[46]2023-24'!$BE183/10^7</f>
        <v>0</v>
      </c>
      <c r="N407" s="66">
        <f>'[46]2023-24'!$BK183/10^7</f>
        <v>0</v>
      </c>
      <c r="O407" s="66">
        <f>'[46]2023-24'!$BQ183/10^7</f>
        <v>0</v>
      </c>
      <c r="P407" s="66">
        <f>'[46]2023-24'!$BW183/10^7</f>
        <v>0</v>
      </c>
      <c r="Q407" s="291">
        <f t="shared" si="187"/>
        <v>1.8270817902149999E-2</v>
      </c>
    </row>
    <row r="408" spans="3:17" x14ac:dyDescent="0.25">
      <c r="C408" s="17"/>
      <c r="D408" s="328" t="s">
        <v>439</v>
      </c>
      <c r="E408" s="66">
        <f>'[46]2023-24'!$I184/10^7</f>
        <v>0</v>
      </c>
      <c r="F408" s="66">
        <f>'[46]2023-24'!$O184/10^7</f>
        <v>0</v>
      </c>
      <c r="G408" s="66">
        <f>'[46]2023-24'!$U184/10^7</f>
        <v>0.13053433196199998</v>
      </c>
      <c r="H408" s="66">
        <f>'[46]2023-24'!$AA184/10^7</f>
        <v>0</v>
      </c>
      <c r="I408" s="66">
        <f>'[46]2023-24'!$AG184/10^7</f>
        <v>0</v>
      </c>
      <c r="J408" s="66">
        <f>'[46]2023-24'!$AM184/10^7</f>
        <v>0</v>
      </c>
      <c r="K408" s="66">
        <f>'[46]2023-24'!$AS184/10^7</f>
        <v>0</v>
      </c>
      <c r="L408" s="66">
        <f>'[46]2023-24'!$AY184/10^7</f>
        <v>0</v>
      </c>
      <c r="M408" s="66">
        <f>'[46]2023-24'!$BE184/10^7</f>
        <v>0</v>
      </c>
      <c r="N408" s="66">
        <f>'[46]2023-24'!$BK184/10^7</f>
        <v>0</v>
      </c>
      <c r="O408" s="66">
        <f>'[46]2023-24'!$BQ184/10^7</f>
        <v>-4.1155786000000001E-3</v>
      </c>
      <c r="P408" s="66">
        <f>'[46]2023-24'!$BW184/10^7</f>
        <v>0</v>
      </c>
      <c r="Q408" s="291">
        <f t="shared" si="187"/>
        <v>0.12641875336199998</v>
      </c>
    </row>
    <row r="409" spans="3:17" x14ac:dyDescent="0.25">
      <c r="C409" s="17"/>
      <c r="D409" s="327" t="s">
        <v>441</v>
      </c>
      <c r="E409" s="66">
        <f>'[46]2023-24'!$I186/10^7</f>
        <v>0</v>
      </c>
      <c r="F409" s="66">
        <f>'[46]2023-24'!$O186/10^7</f>
        <v>2.40625348E-2</v>
      </c>
      <c r="G409" s="66">
        <f>'[46]2023-24'!$U186/10^7</f>
        <v>0</v>
      </c>
      <c r="H409" s="66">
        <f>'[46]2023-24'!$AA186/10^7</f>
        <v>0</v>
      </c>
      <c r="I409" s="66">
        <f>'[46]2023-24'!$AG186/10^7</f>
        <v>0</v>
      </c>
      <c r="J409" s="66">
        <f>'[46]2023-24'!$AM186/10^7</f>
        <v>0</v>
      </c>
      <c r="K409" s="66">
        <f>'[46]2023-24'!$AS186/10^7</f>
        <v>0</v>
      </c>
      <c r="L409" s="66">
        <f>'[46]2023-24'!$AY186/10^7</f>
        <v>0</v>
      </c>
      <c r="M409" s="66">
        <f>'[46]2023-24'!$BE186/10^7</f>
        <v>0</v>
      </c>
      <c r="N409" s="66">
        <f>'[46]2023-24'!$BK186/10^7</f>
        <v>0</v>
      </c>
      <c r="O409" s="66">
        <f>'[46]2023-24'!$BQ186/10^7</f>
        <v>0</v>
      </c>
      <c r="P409" s="66">
        <f>'[46]2023-24'!$BW186/10^7</f>
        <v>0</v>
      </c>
      <c r="Q409" s="291">
        <f t="shared" si="187"/>
        <v>2.40625348E-2</v>
      </c>
    </row>
    <row r="410" spans="3:17" x14ac:dyDescent="0.25">
      <c r="C410" s="17"/>
      <c r="D410" s="327" t="s">
        <v>442</v>
      </c>
      <c r="E410" s="66">
        <f>'[46]2023-24'!$I187/10^7</f>
        <v>0</v>
      </c>
      <c r="F410" s="66">
        <f>'[46]2023-24'!$O187/10^7</f>
        <v>4.6768101950000002E-2</v>
      </c>
      <c r="G410" s="66">
        <f>'[46]2023-24'!$U187/10^7</f>
        <v>0</v>
      </c>
      <c r="H410" s="66">
        <f>'[46]2023-24'!$AA187/10^7</f>
        <v>0</v>
      </c>
      <c r="I410" s="66">
        <f>'[46]2023-24'!$AG187/10^7</f>
        <v>0</v>
      </c>
      <c r="J410" s="66">
        <f>'[46]2023-24'!$AM187/10^7</f>
        <v>0</v>
      </c>
      <c r="K410" s="66">
        <f>'[46]2023-24'!$AS187/10^7</f>
        <v>0</v>
      </c>
      <c r="L410" s="66">
        <f>'[46]2023-24'!$AY187/10^7</f>
        <v>0</v>
      </c>
      <c r="M410" s="66">
        <f>'[46]2023-24'!$BE187/10^7</f>
        <v>-2.7352865499999999E-3</v>
      </c>
      <c r="N410" s="66">
        <f>'[46]2023-24'!$BK187/10^7</f>
        <v>0</v>
      </c>
      <c r="O410" s="66">
        <f>'[46]2023-24'!$BQ187/10^7</f>
        <v>0</v>
      </c>
      <c r="P410" s="66">
        <f>'[46]2023-24'!$BW187/10^7 + '[46]2023-24'!$CC$187/10^7</f>
        <v>0.41031757884549996</v>
      </c>
      <c r="Q410" s="291">
        <f t="shared" si="187"/>
        <v>0.45435039424549994</v>
      </c>
    </row>
    <row r="411" spans="3:17" x14ac:dyDescent="0.25">
      <c r="C411" s="17"/>
      <c r="D411" s="328" t="s">
        <v>443</v>
      </c>
      <c r="E411" s="66">
        <f>'[46]2023-24'!$I188/10^7</f>
        <v>0</v>
      </c>
      <c r="F411" s="66">
        <f>'[46]2023-24'!$O188/10^7</f>
        <v>0</v>
      </c>
      <c r="G411" s="66">
        <f>'[46]2023-24'!$U188/10^7</f>
        <v>0</v>
      </c>
      <c r="H411" s="66">
        <f>'[46]2023-24'!$AA188/10^7</f>
        <v>0</v>
      </c>
      <c r="I411" s="66">
        <f>'[46]2023-24'!$AG188/10^7</f>
        <v>0</v>
      </c>
      <c r="J411" s="66">
        <f>'[46]2023-24'!$AM188/10^7</f>
        <v>0</v>
      </c>
      <c r="K411" s="66">
        <f>'[46]2023-24'!$AS188/10^7</f>
        <v>6.6181512499999999E-3</v>
      </c>
      <c r="L411" s="66">
        <f>'[46]2023-24'!$AY188/10^7</f>
        <v>-2.4599584999999996E-4</v>
      </c>
      <c r="M411" s="66">
        <f>'[46]2023-24'!$BE188/10^7</f>
        <v>0</v>
      </c>
      <c r="N411" s="66">
        <f>'[46]2023-24'!$BK188/10^7</f>
        <v>0</v>
      </c>
      <c r="O411" s="66">
        <f>'[46]2023-24'!$BQ188/10^7</f>
        <v>3.3601271999999997E-3</v>
      </c>
      <c r="P411" s="66">
        <f>'[46]2023-24'!$BW188/10^7</f>
        <v>-1.434215E-3</v>
      </c>
      <c r="Q411" s="291">
        <f t="shared" si="187"/>
        <v>8.2980676000000003E-3</v>
      </c>
    </row>
    <row r="412" spans="3:17" x14ac:dyDescent="0.25">
      <c r="C412" s="17"/>
      <c r="D412" s="328" t="s">
        <v>444</v>
      </c>
      <c r="E412" s="66">
        <f>'[46]2023-24'!$I189/10^7</f>
        <v>0</v>
      </c>
      <c r="F412" s="66">
        <f>'[46]2023-24'!$O189/10^7</f>
        <v>0</v>
      </c>
      <c r="G412" s="66">
        <f>'[46]2023-24'!$U189/10^7</f>
        <v>0</v>
      </c>
      <c r="H412" s="66">
        <f>'[46]2023-24'!$AA189/10^7</f>
        <v>0</v>
      </c>
      <c r="I412" s="66">
        <f>'[46]2023-24'!$AG189/10^7</f>
        <v>0</v>
      </c>
      <c r="J412" s="66">
        <f>'[46]2023-24'!$AM189/10^7</f>
        <v>0</v>
      </c>
      <c r="K412" s="66">
        <f>'[46]2023-24'!$AS189/10^7</f>
        <v>0</v>
      </c>
      <c r="L412" s="66">
        <f>'[46]2023-24'!$AY189/10^7</f>
        <v>0</v>
      </c>
      <c r="M412" s="66">
        <f>'[46]2023-24'!$BE189/10^7</f>
        <v>0</v>
      </c>
      <c r="N412" s="66">
        <f>'[46]2023-24'!$BK189/10^7</f>
        <v>0</v>
      </c>
      <c r="O412" s="66">
        <f>'[46]2023-24'!$BQ189/10^7</f>
        <v>0</v>
      </c>
      <c r="P412" s="66">
        <f>'[46]2023-24'!$BW189/10^7</f>
        <v>0</v>
      </c>
      <c r="Q412" s="291">
        <f t="shared" si="187"/>
        <v>0</v>
      </c>
    </row>
    <row r="413" spans="3:17" x14ac:dyDescent="0.25">
      <c r="C413" s="17"/>
      <c r="D413" s="325" t="s">
        <v>625</v>
      </c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291">
        <f t="shared" ref="Q413" si="188">SUM(E414:P414)</f>
        <v>0</v>
      </c>
    </row>
    <row r="414" spans="3:17" x14ac:dyDescent="0.25"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291">
        <f>SUM(E414:P414)</f>
        <v>0</v>
      </c>
    </row>
    <row r="415" spans="3:17" x14ac:dyDescent="0.25"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291">
        <f>SUM(E415:P415)</f>
        <v>0</v>
      </c>
    </row>
    <row r="416" spans="3:17" x14ac:dyDescent="0.25">
      <c r="C416" s="751" t="s">
        <v>212</v>
      </c>
      <c r="D416" s="751"/>
      <c r="E416" s="291">
        <f t="shared" ref="E416:P416" si="189">SUM(E391:E415)</f>
        <v>118.05159614478393</v>
      </c>
      <c r="F416" s="291">
        <f t="shared" si="189"/>
        <v>93.070828550626672</v>
      </c>
      <c r="G416" s="291">
        <f t="shared" si="189"/>
        <v>138.22166867308073</v>
      </c>
      <c r="H416" s="291">
        <f t="shared" si="189"/>
        <v>125.85756471468417</v>
      </c>
      <c r="I416" s="291">
        <f t="shared" si="189"/>
        <v>135.90953415110351</v>
      </c>
      <c r="J416" s="291">
        <f t="shared" si="189"/>
        <v>140.52053141714674</v>
      </c>
      <c r="K416" s="291">
        <f t="shared" si="189"/>
        <v>201.89955642103885</v>
      </c>
      <c r="L416" s="291">
        <f t="shared" si="189"/>
        <v>138.07933462013239</v>
      </c>
      <c r="M416" s="291">
        <f t="shared" si="189"/>
        <v>128.60064272553754</v>
      </c>
      <c r="N416" s="291">
        <f t="shared" si="189"/>
        <v>171.82321929967748</v>
      </c>
      <c r="O416" s="291">
        <f t="shared" si="189"/>
        <v>168.58273214579495</v>
      </c>
      <c r="P416" s="291">
        <f t="shared" si="189"/>
        <v>219.18814380777113</v>
      </c>
      <c r="Q416" s="323">
        <f>SUM(E416:P416)</f>
        <v>1779.8053526713782</v>
      </c>
    </row>
    <row r="417" spans="3:17" x14ac:dyDescent="0.25">
      <c r="C417" s="753" t="s">
        <v>387</v>
      </c>
      <c r="D417" s="753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</row>
    <row r="418" spans="3:17" x14ac:dyDescent="0.25">
      <c r="C418" s="805" t="s">
        <v>388</v>
      </c>
      <c r="D418" s="17" t="s">
        <v>389</v>
      </c>
      <c r="E418" s="66">
        <f>'[46]2023-24'!$I176/10^7</f>
        <v>0.50604962804999998</v>
      </c>
      <c r="F418" s="66">
        <f>'[46]2023-24'!$O176/10^7</f>
        <v>0.51960481515000001</v>
      </c>
      <c r="G418" s="66">
        <f>'[46]2023-24'!$U176/10^7</f>
        <v>0.46514416705</v>
      </c>
      <c r="H418" s="66">
        <f>'[46]2023-24'!$AA176/10^7</f>
        <v>0</v>
      </c>
      <c r="I418" s="66">
        <f>'[46]2023-24'!$AG176/10^7</f>
        <v>0</v>
      </c>
      <c r="J418" s="66">
        <f>'[46]2023-24'!$AM176/10^7</f>
        <v>0.25397155789999998</v>
      </c>
      <c r="K418" s="66">
        <f>'[46]2023-24'!$AS176/10^7</f>
        <v>0.44564007994999999</v>
      </c>
      <c r="L418" s="66">
        <f>'[46]2023-24'!$AY176/10^7</f>
        <v>0.50145510409999994</v>
      </c>
      <c r="M418" s="66">
        <f>'[46]2023-24'!$BE176/10^7</f>
        <v>0.54568938695000002</v>
      </c>
      <c r="N418" s="66">
        <f>'[46]2023-24'!$BK176/10^7</f>
        <v>0.52298679424999994</v>
      </c>
      <c r="O418" s="66">
        <f>'[46]2023-24'!$BQ176/10^7</f>
        <v>0.47130628505</v>
      </c>
      <c r="P418" s="66">
        <f>'[46]2023-24'!$BW176/10^7</f>
        <v>0.52145403954999991</v>
      </c>
      <c r="Q418" s="291">
        <f t="shared" ref="Q418:Q432" si="190">SUM(E418:P418)</f>
        <v>4.7533018579999995</v>
      </c>
    </row>
    <row r="419" spans="3:17" x14ac:dyDescent="0.25">
      <c r="C419" s="805"/>
      <c r="D419" s="17" t="s">
        <v>390</v>
      </c>
      <c r="E419" s="66">
        <f>'[46]2023-24'!$I175/10^7</f>
        <v>9.8086929809999983</v>
      </c>
      <c r="F419" s="66">
        <f>'[46]2023-24'!$O175/10^7</f>
        <v>8.8271356720000007</v>
      </c>
      <c r="G419" s="66">
        <f>'[46]2023-24'!$U175/10^7</f>
        <v>8.4896458283499996</v>
      </c>
      <c r="H419" s="66">
        <f>'[46]2023-24'!$AA175/10^7</f>
        <v>9.288779588749998</v>
      </c>
      <c r="I419" s="66">
        <f>'[46]2023-24'!$AG175/10^7</f>
        <v>10.061565023149999</v>
      </c>
      <c r="J419" s="66">
        <f>'[46]2023-24'!$AM175/10^7</f>
        <v>9.7084644118499988</v>
      </c>
      <c r="K419" s="66">
        <f>'[46]2023-24'!$AS175/10^7</f>
        <v>8.1693172065000006</v>
      </c>
      <c r="L419" s="66">
        <f>'[46]2023-24'!$AY175/10^7</f>
        <v>8.9845282519999987</v>
      </c>
      <c r="M419" s="66">
        <f>'[46]2023-24'!$BE175/10^7</f>
        <v>10.015914843199999</v>
      </c>
      <c r="N419" s="66">
        <f>'[46]2023-24'!$BK175/10^7</f>
        <v>9.2607843598499997</v>
      </c>
      <c r="O419" s="66">
        <f>'[46]2023-24'!$BQ175/10^7</f>
        <v>9.7087081105999999</v>
      </c>
      <c r="P419" s="66">
        <f>'[46]2023-24'!$BW175/10^7 + '[46]2023-24'!$CC$175/10^7</f>
        <v>10.34938982725</v>
      </c>
      <c r="Q419" s="291">
        <f t="shared" si="190"/>
        <v>112.67292610449999</v>
      </c>
    </row>
    <row r="420" spans="3:17" x14ac:dyDescent="0.25">
      <c r="C420" s="805"/>
      <c r="D420" s="17" t="s">
        <v>391</v>
      </c>
      <c r="Q420" s="291">
        <f t="shared" si="190"/>
        <v>0</v>
      </c>
    </row>
    <row r="421" spans="3:17" x14ac:dyDescent="0.25">
      <c r="C421" s="805"/>
      <c r="D421" s="17" t="s">
        <v>392</v>
      </c>
      <c r="E421" s="66">
        <f>'[46]2023-24'!$I177/10^7</f>
        <v>3.5243513553999999</v>
      </c>
      <c r="F421" s="66">
        <f>'[46]2023-24'!$O177/10^7</f>
        <v>0.99645618179999995</v>
      </c>
      <c r="G421" s="66">
        <f>'[46]2023-24'!$U177/10^7</f>
        <v>0.36288157474999994</v>
      </c>
      <c r="H421" s="66">
        <f>'[46]2023-24'!$AA177/10^7</f>
        <v>1.30059390045</v>
      </c>
      <c r="I421" s="66">
        <f>'[46]2023-24'!$AG177/10^7</f>
        <v>4.6805957863499996</v>
      </c>
      <c r="J421" s="66">
        <f>'[46]2023-24'!$AM177/10^7</f>
        <v>4.6025969312499999</v>
      </c>
      <c r="K421" s="66">
        <f>'[46]2023-24'!$AS177/10^7</f>
        <v>4.8179368920999996</v>
      </c>
      <c r="L421" s="66">
        <f>'[46]2023-24'!$AY177/10^7</f>
        <v>4.7363992661000003</v>
      </c>
      <c r="M421" s="66">
        <f>'[46]2023-24'!$BE177/10^7</f>
        <v>3.667564585</v>
      </c>
      <c r="N421" s="66">
        <f>'[46]2023-24'!$BK177/10^7</f>
        <v>4.7679115317999994</v>
      </c>
      <c r="O421" s="66">
        <f>'[46]2023-24'!$BQ177/10^7</f>
        <v>4.0384941968499994</v>
      </c>
      <c r="P421" s="66">
        <f>'[46]2023-24'!$BW177/10^7</f>
        <v>4.3666227100999997</v>
      </c>
      <c r="Q421" s="291">
        <f t="shared" si="190"/>
        <v>41.862404911949994</v>
      </c>
    </row>
    <row r="422" spans="3:17" x14ac:dyDescent="0.25">
      <c r="C422" s="17"/>
      <c r="D422" s="17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291">
        <f t="shared" si="190"/>
        <v>0</v>
      </c>
    </row>
    <row r="423" spans="3:17" x14ac:dyDescent="0.25">
      <c r="C423" s="17"/>
      <c r="D423" s="17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291">
        <f t="shared" si="190"/>
        <v>0</v>
      </c>
    </row>
    <row r="424" spans="3:17" x14ac:dyDescent="0.25">
      <c r="C424" s="17"/>
      <c r="D424" s="17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291">
        <f t="shared" si="190"/>
        <v>0</v>
      </c>
    </row>
    <row r="425" spans="3:17" x14ac:dyDescent="0.25">
      <c r="C425" s="17"/>
      <c r="D425" s="17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291">
        <f t="shared" si="190"/>
        <v>0</v>
      </c>
    </row>
    <row r="426" spans="3:17" x14ac:dyDescent="0.25">
      <c r="C426" s="17"/>
      <c r="D426" s="17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291">
        <f t="shared" si="190"/>
        <v>0</v>
      </c>
    </row>
    <row r="427" spans="3:17" x14ac:dyDescent="0.25">
      <c r="C427" s="17"/>
      <c r="D427" s="17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291">
        <f t="shared" si="190"/>
        <v>0</v>
      </c>
    </row>
    <row r="428" spans="3:17" x14ac:dyDescent="0.25">
      <c r="C428" s="17"/>
      <c r="D428" s="17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291">
        <f t="shared" si="190"/>
        <v>0</v>
      </c>
    </row>
    <row r="429" spans="3:17" x14ac:dyDescent="0.25"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291">
        <f t="shared" si="190"/>
        <v>0</v>
      </c>
    </row>
    <row r="430" spans="3:17" x14ac:dyDescent="0.25"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291">
        <f t="shared" si="190"/>
        <v>0</v>
      </c>
    </row>
    <row r="431" spans="3:17" x14ac:dyDescent="0.25"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291">
        <f t="shared" si="190"/>
        <v>0</v>
      </c>
    </row>
    <row r="432" spans="3:17" x14ac:dyDescent="0.25">
      <c r="C432" s="751" t="s">
        <v>212</v>
      </c>
      <c r="D432" s="751"/>
      <c r="E432" s="291">
        <f t="shared" ref="E432:P432" si="191">SUM(E418:E431)</f>
        <v>13.839093964449999</v>
      </c>
      <c r="F432" s="291">
        <f t="shared" si="191"/>
        <v>10.34319666895</v>
      </c>
      <c r="G432" s="291">
        <f t="shared" si="191"/>
        <v>9.317671570149999</v>
      </c>
      <c r="H432" s="291">
        <f t="shared" si="191"/>
        <v>10.589373489199998</v>
      </c>
      <c r="I432" s="291">
        <f t="shared" si="191"/>
        <v>14.7421608095</v>
      </c>
      <c r="J432" s="291">
        <f t="shared" si="191"/>
        <v>14.565032900999999</v>
      </c>
      <c r="K432" s="291">
        <f t="shared" si="191"/>
        <v>13.432894178550001</v>
      </c>
      <c r="L432" s="291">
        <f t="shared" si="191"/>
        <v>14.222382622199998</v>
      </c>
      <c r="M432" s="291">
        <f t="shared" si="191"/>
        <v>14.22916881515</v>
      </c>
      <c r="N432" s="291">
        <f t="shared" si="191"/>
        <v>14.551682685899999</v>
      </c>
      <c r="O432" s="291">
        <f t="shared" si="191"/>
        <v>14.218508592499999</v>
      </c>
      <c r="P432" s="291">
        <f t="shared" si="191"/>
        <v>15.237466576899999</v>
      </c>
      <c r="Q432" s="323">
        <f t="shared" si="190"/>
        <v>159.28863287445</v>
      </c>
    </row>
    <row r="433" spans="3:17" x14ac:dyDescent="0.25">
      <c r="C433" s="753" t="s">
        <v>394</v>
      </c>
      <c r="D433" s="753"/>
      <c r="E433" s="291">
        <f t="shared" ref="E433:Q433" si="192">E416+E432</f>
        <v>131.89069010923393</v>
      </c>
      <c r="F433" s="291">
        <f t="shared" si="192"/>
        <v>103.41402521957667</v>
      </c>
      <c r="G433" s="291">
        <f t="shared" si="192"/>
        <v>147.53934024323073</v>
      </c>
      <c r="H433" s="291">
        <f t="shared" si="192"/>
        <v>136.44693820388417</v>
      </c>
      <c r="I433" s="291">
        <f t="shared" si="192"/>
        <v>150.65169496060352</v>
      </c>
      <c r="J433" s="291">
        <f t="shared" si="192"/>
        <v>155.08556431814674</v>
      </c>
      <c r="K433" s="291">
        <f t="shared" si="192"/>
        <v>215.33245059958887</v>
      </c>
      <c r="L433" s="291">
        <f t="shared" si="192"/>
        <v>152.30171724233239</v>
      </c>
      <c r="M433" s="291">
        <f t="shared" si="192"/>
        <v>142.82981154068753</v>
      </c>
      <c r="N433" s="291">
        <f t="shared" si="192"/>
        <v>186.37490198557748</v>
      </c>
      <c r="O433" s="291">
        <f t="shared" si="192"/>
        <v>182.80124073829495</v>
      </c>
      <c r="P433" s="291">
        <f t="shared" si="192"/>
        <v>234.42561038467113</v>
      </c>
      <c r="Q433" s="323">
        <f t="shared" si="192"/>
        <v>1939.0939855458282</v>
      </c>
    </row>
    <row r="434" spans="3:17" x14ac:dyDescent="0.25">
      <c r="C434" s="800" t="s">
        <v>395</v>
      </c>
      <c r="D434" s="800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</row>
    <row r="435" spans="3:17" x14ac:dyDescent="0.25">
      <c r="C435" s="17" t="s">
        <v>396</v>
      </c>
      <c r="D435" s="17" t="s">
        <v>396</v>
      </c>
      <c r="E435" s="66">
        <f>'[46]2023-24'!$I201/10^7</f>
        <v>30.681310478349996</v>
      </c>
      <c r="F435" s="66">
        <f>'[46]2023-24'!$O201/10^7</f>
        <v>31.197329726550002</v>
      </c>
      <c r="G435" s="66">
        <f>'[46]2023-24'!$U201/10^7</f>
        <v>28.561195230399996</v>
      </c>
      <c r="H435" s="66">
        <f>'[46]2023-24'!$AA201/10^7</f>
        <v>32.466915869250002</v>
      </c>
      <c r="I435" s="66">
        <f>'[46]2023-24'!$AG201/10^7</f>
        <v>37.147426515649997</v>
      </c>
      <c r="J435" s="66">
        <f>'[46]2023-24'!$AM201/10^7</f>
        <v>34.754735202399999</v>
      </c>
      <c r="K435" s="66">
        <f>'[46]2023-24'!$AS201/10^7</f>
        <v>31.911030921749997</v>
      </c>
      <c r="L435" s="66">
        <f>'[46]2023-24'!$AY201/10^7</f>
        <v>24.271530200099999</v>
      </c>
      <c r="M435" s="66">
        <f>'[46]2023-24'!$BE201/10^7</f>
        <v>17.954141551499998</v>
      </c>
      <c r="N435" s="66">
        <f>'[46]2023-24'!$BK201/10^7</f>
        <v>30.250558875349999</v>
      </c>
      <c r="O435" s="66">
        <f>'[46]2023-24'!$BQ201/10^7</f>
        <v>28.110990459349996</v>
      </c>
      <c r="P435" s="66">
        <f>'[46]2023-24'!$BW201/10^7</f>
        <v>26.475626393300001</v>
      </c>
      <c r="Q435" s="291">
        <f t="shared" ref="Q435:Q442" si="193">SUM(E435:P435)</f>
        <v>353.78279142394996</v>
      </c>
    </row>
    <row r="436" spans="3:17" x14ac:dyDescent="0.25">
      <c r="C436" s="17" t="s">
        <v>397</v>
      </c>
      <c r="D436" s="17" t="s">
        <v>397</v>
      </c>
      <c r="E436" s="366">
        <f>'[46]2023-24'!$I202/10^7</f>
        <v>15.065878581112701</v>
      </c>
      <c r="F436" s="366">
        <f>'[46]2023-24'!$O202/10^7</f>
        <v>15.6222651067</v>
      </c>
      <c r="G436" s="366">
        <f>'[46]2023-24'!$U202/10^7</f>
        <v>14.14564190246425</v>
      </c>
      <c r="H436" s="366">
        <f>'[46]2023-24'!$AA202/10^7</f>
        <v>17.657248091688999</v>
      </c>
      <c r="I436" s="366">
        <f>'[46]2023-24'!$AG202/10^7</f>
        <v>13.73763117525</v>
      </c>
      <c r="J436" s="366">
        <f>'[46]2023-24'!$AM202/10^7</f>
        <v>13.319431838304197</v>
      </c>
      <c r="K436" s="366">
        <f>'[46]2023-24'!$AS202/10^7</f>
        <v>12.297674751118448</v>
      </c>
      <c r="L436" s="366">
        <f>'[46]2023-24'!$AY202/10^7</f>
        <v>12.904629950337249</v>
      </c>
      <c r="M436" s="366">
        <f>'[46]2023-24'!$BE202/10^7</f>
        <v>11.499217230424</v>
      </c>
      <c r="N436" s="366">
        <f>'[46]2023-24'!$BK202/10^7</f>
        <v>15.512263331919216</v>
      </c>
      <c r="O436" s="366">
        <f>'[46]2023-24'!$BQ202/10^7</f>
        <v>14.055987350954998</v>
      </c>
      <c r="P436" s="366">
        <f>'[46]2023-24'!$BW202/10^7</f>
        <v>17.317187350799998</v>
      </c>
      <c r="Q436" s="291">
        <f t="shared" si="193"/>
        <v>173.13505666107406</v>
      </c>
    </row>
    <row r="437" spans="3:17" x14ac:dyDescent="0.25">
      <c r="C437" s="17"/>
      <c r="D437" s="11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409">
        <f t="shared" si="193"/>
        <v>0</v>
      </c>
    </row>
    <row r="438" spans="3:17" x14ac:dyDescent="0.25">
      <c r="C438" s="17"/>
      <c r="D438" s="116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409">
        <f>SUM(E438:P438)</f>
        <v>0</v>
      </c>
    </row>
    <row r="439" spans="3:17" x14ac:dyDescent="0.25">
      <c r="C439" s="17"/>
      <c r="D439" s="17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291">
        <f>SUM(E439:P439)</f>
        <v>0</v>
      </c>
    </row>
    <row r="440" spans="3:17" x14ac:dyDescent="0.25"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291">
        <f t="shared" si="193"/>
        <v>0</v>
      </c>
    </row>
    <row r="441" spans="3:17" x14ac:dyDescent="0.25"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291">
        <f t="shared" si="193"/>
        <v>0</v>
      </c>
    </row>
    <row r="442" spans="3:17" x14ac:dyDescent="0.25">
      <c r="C442" s="753" t="s">
        <v>398</v>
      </c>
      <c r="D442" s="753"/>
      <c r="E442" s="291">
        <f t="shared" ref="E442:P442" si="194">SUM(E435:E441)</f>
        <v>45.747189059462698</v>
      </c>
      <c r="F442" s="291">
        <f t="shared" si="194"/>
        <v>46.819594833250001</v>
      </c>
      <c r="G442" s="291">
        <f t="shared" si="194"/>
        <v>42.706837132864244</v>
      </c>
      <c r="H442" s="291">
        <f t="shared" si="194"/>
        <v>50.124163960939001</v>
      </c>
      <c r="I442" s="291">
        <f t="shared" si="194"/>
        <v>50.885057690899998</v>
      </c>
      <c r="J442" s="291">
        <f t="shared" si="194"/>
        <v>48.074167040704197</v>
      </c>
      <c r="K442" s="291">
        <f t="shared" si="194"/>
        <v>44.208705672868447</v>
      </c>
      <c r="L442" s="291">
        <f t="shared" si="194"/>
        <v>37.176160150437248</v>
      </c>
      <c r="M442" s="291">
        <f t="shared" si="194"/>
        <v>29.453358781923995</v>
      </c>
      <c r="N442" s="291">
        <f t="shared" si="194"/>
        <v>45.762822207269217</v>
      </c>
      <c r="O442" s="291">
        <f t="shared" si="194"/>
        <v>42.166977810304992</v>
      </c>
      <c r="P442" s="291">
        <f t="shared" si="194"/>
        <v>43.792813744100002</v>
      </c>
      <c r="Q442" s="323">
        <f t="shared" si="193"/>
        <v>526.91784808502405</v>
      </c>
    </row>
    <row r="443" spans="3:17" x14ac:dyDescent="0.25">
      <c r="C443" s="800" t="s">
        <v>399</v>
      </c>
      <c r="D443" s="800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</row>
    <row r="444" spans="3:17" x14ac:dyDescent="0.25">
      <c r="C444" s="17" t="s">
        <v>400</v>
      </c>
      <c r="D444" s="17" t="s">
        <v>400</v>
      </c>
      <c r="E444" s="291">
        <f>'[46]2023-24'!$I223/10^7</f>
        <v>75.722335260649984</v>
      </c>
      <c r="F444" s="291">
        <f>'[46]2023-24'!$O223/10^7</f>
        <v>85.439579542100006</v>
      </c>
      <c r="G444" s="291">
        <f>'[46]2023-24'!$U223/10^7</f>
        <v>41.550409697699997</v>
      </c>
      <c r="H444" s="291">
        <f>'[46]2023-24'!$AA223/10^7</f>
        <v>74.090388926000003</v>
      </c>
      <c r="I444" s="291">
        <f>'[46]2023-24'!$AG223/10^7</f>
        <v>97.96831248414999</v>
      </c>
      <c r="J444" s="291">
        <f>'[46]2023-24'!$AM223/10^7</f>
        <v>81.286577413499998</v>
      </c>
      <c r="K444" s="291">
        <f>'[46]2023-24'!$AS223/10^7</f>
        <v>94.448569140800004</v>
      </c>
      <c r="L444" s="291">
        <f>'[46]2023-24'!$AY223/10^7</f>
        <v>64.069345983749997</v>
      </c>
      <c r="M444" s="291">
        <f>'[46]2023-24'!$BE223/10^7</f>
        <v>62.675431247249996</v>
      </c>
      <c r="N444" s="291">
        <f>'[46]2023-24'!$BK223/10^7</f>
        <v>92.651850910199997</v>
      </c>
      <c r="O444" s="291">
        <f>'[46]2023-24'!$BQ223/10^7</f>
        <v>73.275678118199991</v>
      </c>
      <c r="P444" s="291">
        <f>'[46]2023-24'!$BW223/10^7 +'[46]2023-24'!$CC$223/10^7</f>
        <v>82.189018298799994</v>
      </c>
      <c r="Q444" s="17">
        <f t="shared" ref="Q444:Q452" si="195">SUM(E444:P444)</f>
        <v>925.36749702309987</v>
      </c>
    </row>
    <row r="445" spans="3:17" x14ac:dyDescent="0.25">
      <c r="C445" s="17" t="s">
        <v>401</v>
      </c>
      <c r="D445" s="17" t="s">
        <v>401</v>
      </c>
      <c r="E445" s="411">
        <f>'[46]2023-24'!$I224/10^7</f>
        <v>0</v>
      </c>
      <c r="F445" s="411">
        <f>'[46]2023-24'!$O224/10^7</f>
        <v>0</v>
      </c>
      <c r="G445" s="411">
        <f>'[46]2023-24'!$U224/10^7</f>
        <v>0</v>
      </c>
      <c r="H445" s="411">
        <f>'[46]2023-24'!$AA224/10^7</f>
        <v>0</v>
      </c>
      <c r="I445" s="411">
        <f>'[46]2023-24'!$AG224/10^7</f>
        <v>0</v>
      </c>
      <c r="J445" s="411">
        <f>'[46]2023-24'!$AM224/10^7</f>
        <v>0</v>
      </c>
      <c r="K445" s="411">
        <f>'[46]2023-24'!$AS224/10^7</f>
        <v>0</v>
      </c>
      <c r="L445" s="411">
        <f>'[46]2023-24'!$AY224/10^7</f>
        <v>0</v>
      </c>
      <c r="M445" s="411">
        <f>'[46]2023-24'!$BE224/10^7</f>
        <v>0</v>
      </c>
      <c r="N445" s="411">
        <f>'[46]2023-24'!$BK224/10^7</f>
        <v>0</v>
      </c>
      <c r="O445" s="411">
        <f>'[46]2023-24'!$BQ224/10^7</f>
        <v>0</v>
      </c>
      <c r="P445" s="411">
        <f>'[46]2023-24'!$BW224/10^7 +'[46]2023-24'!$CC224/10^7</f>
        <v>0</v>
      </c>
      <c r="Q445" s="17">
        <f>SUM(E445:P445)</f>
        <v>0</v>
      </c>
    </row>
    <row r="446" spans="3:17" x14ac:dyDescent="0.25">
      <c r="C446" s="17" t="s">
        <v>402</v>
      </c>
      <c r="D446" s="116" t="s">
        <v>402</v>
      </c>
      <c r="E446" s="291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17">
        <f>SUM(E446:P446)</f>
        <v>0</v>
      </c>
    </row>
    <row r="447" spans="3:17" x14ac:dyDescent="0.25">
      <c r="C447" s="17"/>
      <c r="D447" s="17"/>
      <c r="E447" s="411"/>
      <c r="F447" s="411"/>
      <c r="G447" s="411"/>
      <c r="H447" s="411"/>
      <c r="I447" s="411"/>
      <c r="J447" s="411"/>
      <c r="K447" s="411"/>
      <c r="L447" s="411"/>
      <c r="M447" s="411"/>
      <c r="N447" s="411"/>
      <c r="O447" s="411"/>
      <c r="P447" s="411"/>
      <c r="Q447" s="17">
        <f>SUM(E447:P447)</f>
        <v>0</v>
      </c>
    </row>
    <row r="448" spans="3:17" x14ac:dyDescent="0.25">
      <c r="C448" s="17"/>
      <c r="D448" s="17"/>
      <c r="Q448" s="291">
        <f>SUM(E487:P487)</f>
        <v>19.480105493799996</v>
      </c>
    </row>
    <row r="449" spans="3:17" x14ac:dyDescent="0.25">
      <c r="C449" s="17"/>
      <c r="D449" s="17"/>
      <c r="E449" s="411"/>
      <c r="F449" s="411"/>
      <c r="G449" s="411"/>
      <c r="H449" s="411"/>
      <c r="I449" s="411"/>
      <c r="J449" s="411"/>
      <c r="K449" s="411"/>
      <c r="L449" s="411"/>
      <c r="M449" s="411"/>
      <c r="N449" s="411"/>
      <c r="O449" s="411"/>
      <c r="P449" s="411"/>
      <c r="Q449" s="17">
        <f>SUM(E449:P449)</f>
        <v>0</v>
      </c>
    </row>
    <row r="450" spans="3:17" x14ac:dyDescent="0.25"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>
        <f t="shared" si="195"/>
        <v>0</v>
      </c>
    </row>
    <row r="451" spans="3:17" x14ac:dyDescent="0.25"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>
        <f t="shared" si="195"/>
        <v>0</v>
      </c>
    </row>
    <row r="452" spans="3:17" x14ac:dyDescent="0.25">
      <c r="C452" s="753" t="s">
        <v>403</v>
      </c>
      <c r="D452" s="753"/>
      <c r="E452" s="291">
        <f t="shared" ref="E452:P452" si="196">SUM(E444:E451)</f>
        <v>75.722335260649984</v>
      </c>
      <c r="F452" s="291">
        <f t="shared" si="196"/>
        <v>85.439579542100006</v>
      </c>
      <c r="G452" s="291">
        <f t="shared" si="196"/>
        <v>41.550409697699997</v>
      </c>
      <c r="H452" s="291">
        <f t="shared" si="196"/>
        <v>74.090388926000003</v>
      </c>
      <c r="I452" s="291">
        <f t="shared" si="196"/>
        <v>97.96831248414999</v>
      </c>
      <c r="J452" s="291">
        <f t="shared" si="196"/>
        <v>81.286577413499998</v>
      </c>
      <c r="K452" s="291">
        <f t="shared" si="196"/>
        <v>94.448569140800004</v>
      </c>
      <c r="L452" s="291">
        <f t="shared" si="196"/>
        <v>64.069345983749997</v>
      </c>
      <c r="M452" s="291">
        <f t="shared" si="196"/>
        <v>62.675431247249996</v>
      </c>
      <c r="N452" s="291">
        <f t="shared" si="196"/>
        <v>92.651850910199997</v>
      </c>
      <c r="O452" s="291">
        <f t="shared" si="196"/>
        <v>73.275678118199991</v>
      </c>
      <c r="P452" s="291">
        <f t="shared" si="196"/>
        <v>82.189018298799994</v>
      </c>
      <c r="Q452" s="323">
        <f t="shared" si="195"/>
        <v>925.36749702309987</v>
      </c>
    </row>
    <row r="453" spans="3:17" x14ac:dyDescent="0.25">
      <c r="C453" s="800" t="s">
        <v>404</v>
      </c>
      <c r="D453" s="800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</row>
    <row r="454" spans="3:17" x14ac:dyDescent="0.25">
      <c r="C454" s="17"/>
      <c r="D454" s="17" t="s">
        <v>405</v>
      </c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>
        <f t="shared" ref="Q454:Q477" si="197">SUM(E454:P454)</f>
        <v>0</v>
      </c>
    </row>
    <row r="455" spans="3:17" x14ac:dyDescent="0.25">
      <c r="C455" s="17"/>
      <c r="D455" s="17" t="s">
        <v>406</v>
      </c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>
        <f t="shared" si="197"/>
        <v>0</v>
      </c>
    </row>
    <row r="456" spans="3:17" x14ac:dyDescent="0.25">
      <c r="C456" s="17"/>
      <c r="D456" s="17" t="s">
        <v>407</v>
      </c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>
        <f t="shared" si="197"/>
        <v>0</v>
      </c>
    </row>
    <row r="457" spans="3:17" x14ac:dyDescent="0.25">
      <c r="C457" s="17"/>
      <c r="D457" s="17" t="s">
        <v>408</v>
      </c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>
        <f t="shared" si="197"/>
        <v>0</v>
      </c>
    </row>
    <row r="458" spans="3:17" x14ac:dyDescent="0.25">
      <c r="C458" s="17"/>
      <c r="D458" s="17" t="s">
        <v>409</v>
      </c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>
        <f t="shared" si="197"/>
        <v>0</v>
      </c>
    </row>
    <row r="459" spans="3:17" x14ac:dyDescent="0.25">
      <c r="C459" s="17"/>
      <c r="D459" s="17" t="s">
        <v>367</v>
      </c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>
        <f t="shared" si="197"/>
        <v>0</v>
      </c>
    </row>
    <row r="460" spans="3:17" x14ac:dyDescent="0.25">
      <c r="C460" s="17"/>
      <c r="D460" s="17" t="s">
        <v>410</v>
      </c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>
        <f t="shared" si="197"/>
        <v>0</v>
      </c>
    </row>
    <row r="461" spans="3:17" x14ac:dyDescent="0.25">
      <c r="C461" s="17"/>
      <c r="D461" s="17" t="s">
        <v>658</v>
      </c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>
        <f t="shared" si="197"/>
        <v>0</v>
      </c>
    </row>
    <row r="462" spans="3:17" x14ac:dyDescent="0.25">
      <c r="C462" s="17"/>
      <c r="D462" s="17" t="s">
        <v>412</v>
      </c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>
        <f t="shared" si="197"/>
        <v>0</v>
      </c>
    </row>
    <row r="463" spans="3:17" x14ac:dyDescent="0.25">
      <c r="C463" s="17"/>
      <c r="D463" s="17" t="s">
        <v>413</v>
      </c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>
        <f t="shared" si="197"/>
        <v>0</v>
      </c>
    </row>
    <row r="464" spans="3:17" x14ac:dyDescent="0.25">
      <c r="C464" s="17"/>
      <c r="D464" s="17" t="s">
        <v>414</v>
      </c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66">
        <f t="shared" si="197"/>
        <v>0</v>
      </c>
    </row>
    <row r="465" spans="3:17" x14ac:dyDescent="0.25">
      <c r="C465" s="17"/>
      <c r="D465" s="17" t="s">
        <v>415</v>
      </c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66">
        <f t="shared" si="197"/>
        <v>0</v>
      </c>
    </row>
    <row r="466" spans="3:17" x14ac:dyDescent="0.25">
      <c r="C466" s="17"/>
      <c r="D466" s="17" t="s">
        <v>416</v>
      </c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66">
        <f t="shared" si="197"/>
        <v>0</v>
      </c>
    </row>
    <row r="467" spans="3:17" x14ac:dyDescent="0.25">
      <c r="C467" s="17"/>
      <c r="D467" s="17" t="s">
        <v>417</v>
      </c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66">
        <f t="shared" si="197"/>
        <v>0</v>
      </c>
    </row>
    <row r="468" spans="3:17" x14ac:dyDescent="0.25">
      <c r="C468" s="17"/>
      <c r="D468" s="327" t="s">
        <v>418</v>
      </c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>
        <f t="shared" si="197"/>
        <v>0</v>
      </c>
    </row>
    <row r="469" spans="3:17" x14ac:dyDescent="0.25">
      <c r="C469" s="17"/>
      <c r="D469" s="327" t="s">
        <v>419</v>
      </c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>
        <f t="shared" si="197"/>
        <v>0</v>
      </c>
    </row>
    <row r="470" spans="3:17" x14ac:dyDescent="0.25">
      <c r="C470" s="17"/>
      <c r="D470" s="17" t="s">
        <v>659</v>
      </c>
      <c r="E470" s="66">
        <f>'[46]2023-24'!$I205/10^7</f>
        <v>136.76129258016948</v>
      </c>
      <c r="F470" s="66">
        <f>'[46]2023-24'!$O205/10^7</f>
        <v>139.54140963867999</v>
      </c>
      <c r="G470" s="66">
        <f>'[46]2023-24'!$U205/10^7</f>
        <v>183.45956693972701</v>
      </c>
      <c r="H470" s="66">
        <f>'[46]2023-24'!$AA205/10^7</f>
        <v>96.090975452523722</v>
      </c>
      <c r="I470" s="66">
        <f>'[46]2023-24'!$AG205/10^7</f>
        <v>110.57860087496124</v>
      </c>
      <c r="J470" s="66">
        <f>'[46]2023-24'!$AM205/10^7</f>
        <v>100.08666678970449</v>
      </c>
      <c r="K470" s="66">
        <f>'[46]2023-24'!$AS205/10^7</f>
        <v>128.15527967901093</v>
      </c>
      <c r="L470" s="66">
        <f>'[46]2023-24'!$AY205/10^7</f>
        <v>110.33355275871176</v>
      </c>
      <c r="M470" s="66">
        <f>'[46]2023-24'!$BE205/10^7</f>
        <v>115.40317659134303</v>
      </c>
      <c r="N470" s="66">
        <f>'[46]2023-24'!$BK205/10^7</f>
        <v>116.99137600846699</v>
      </c>
      <c r="O470" s="66">
        <f>'[46]2023-24'!$BQ205/10^7</f>
        <v>134.68633221540151</v>
      </c>
      <c r="P470" s="66">
        <f>'[46]2023-24'!$BW205/10^7+ '[46]2023-24'!$CC$205/10^7</f>
        <v>144.37637892547701</v>
      </c>
      <c r="Q470" s="66">
        <f t="shared" si="197"/>
        <v>1516.4646084541771</v>
      </c>
    </row>
    <row r="471" spans="3:17" x14ac:dyDescent="0.25">
      <c r="C471" s="17"/>
      <c r="D471" s="17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>
        <f t="shared" si="197"/>
        <v>0</v>
      </c>
    </row>
    <row r="472" spans="3:17" x14ac:dyDescent="0.25"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66">
        <f t="shared" si="197"/>
        <v>0</v>
      </c>
    </row>
    <row r="473" spans="3:17" x14ac:dyDescent="0.25"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66">
        <f t="shared" si="197"/>
        <v>0</v>
      </c>
    </row>
    <row r="474" spans="3:17" x14ac:dyDescent="0.25"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66">
        <f t="shared" si="197"/>
        <v>0</v>
      </c>
    </row>
    <row r="475" spans="3:17" x14ac:dyDescent="0.25"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66">
        <f t="shared" si="197"/>
        <v>0</v>
      </c>
    </row>
    <row r="476" spans="3:17" x14ac:dyDescent="0.25"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66">
        <f t="shared" si="197"/>
        <v>0</v>
      </c>
    </row>
    <row r="477" spans="3:17" x14ac:dyDescent="0.25">
      <c r="C477" s="17"/>
      <c r="D477" s="17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66">
        <f t="shared" si="197"/>
        <v>0</v>
      </c>
    </row>
    <row r="478" spans="3:17" s="22" customFormat="1" x14ac:dyDescent="0.25">
      <c r="C478" s="753" t="s">
        <v>420</v>
      </c>
      <c r="D478" s="753"/>
      <c r="E478" s="108">
        <f t="shared" ref="E478:P478" si="198">SUM(E454:E477)</f>
        <v>136.76129258016948</v>
      </c>
      <c r="F478" s="108">
        <f t="shared" si="198"/>
        <v>139.54140963867999</v>
      </c>
      <c r="G478" s="108">
        <f t="shared" si="198"/>
        <v>183.45956693972701</v>
      </c>
      <c r="H478" s="108">
        <f t="shared" si="198"/>
        <v>96.090975452523722</v>
      </c>
      <c r="I478" s="108">
        <f t="shared" si="198"/>
        <v>110.57860087496124</v>
      </c>
      <c r="J478" s="108">
        <f t="shared" si="198"/>
        <v>100.08666678970449</v>
      </c>
      <c r="K478" s="108">
        <f t="shared" si="198"/>
        <v>128.15527967901093</v>
      </c>
      <c r="L478" s="108">
        <f t="shared" si="198"/>
        <v>110.33355275871176</v>
      </c>
      <c r="M478" s="108">
        <f t="shared" si="198"/>
        <v>115.40317659134303</v>
      </c>
      <c r="N478" s="108">
        <f t="shared" si="198"/>
        <v>116.99137600846699</v>
      </c>
      <c r="O478" s="108">
        <f t="shared" si="198"/>
        <v>134.68633221540151</v>
      </c>
      <c r="P478" s="108">
        <f t="shared" si="198"/>
        <v>144.37637892547701</v>
      </c>
      <c r="Q478" s="108">
        <f>SUM(E478:P478)</f>
        <v>1516.4646084541771</v>
      </c>
    </row>
    <row r="479" spans="3:17" x14ac:dyDescent="0.25">
      <c r="C479" s="800" t="s">
        <v>421</v>
      </c>
      <c r="D479" s="800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</row>
    <row r="480" spans="3:17" x14ac:dyDescent="0.25">
      <c r="C480" s="17"/>
      <c r="D480" s="17"/>
      <c r="E480" s="291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17">
        <f t="shared" ref="Q480:Q504" si="199">SUM(E480:P480)</f>
        <v>0</v>
      </c>
    </row>
    <row r="481" spans="3:17" x14ac:dyDescent="0.25"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>
        <f t="shared" si="199"/>
        <v>0</v>
      </c>
    </row>
    <row r="482" spans="3:17" x14ac:dyDescent="0.25"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>
        <f t="shared" si="199"/>
        <v>0</v>
      </c>
    </row>
    <row r="483" spans="3:17" x14ac:dyDescent="0.25"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>
        <f t="shared" si="199"/>
        <v>0</v>
      </c>
    </row>
    <row r="484" spans="3:17" x14ac:dyDescent="0.25">
      <c r="C484" s="17"/>
      <c r="D484" s="325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>
        <f t="shared" si="199"/>
        <v>0</v>
      </c>
    </row>
    <row r="485" spans="3:17" x14ac:dyDescent="0.25">
      <c r="C485" s="17"/>
      <c r="D485" s="325" t="s">
        <v>629</v>
      </c>
      <c r="E485" s="291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17">
        <f t="shared" ref="Q485:Q495" si="200">SUM(E485:P485)</f>
        <v>0</v>
      </c>
    </row>
    <row r="486" spans="3:17" x14ac:dyDescent="0.25">
      <c r="C486" s="17"/>
      <c r="D486" s="325" t="s">
        <v>630</v>
      </c>
      <c r="E486" s="291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17">
        <f t="shared" si="200"/>
        <v>0</v>
      </c>
    </row>
    <row r="487" spans="3:17" x14ac:dyDescent="0.25">
      <c r="C487" s="17"/>
      <c r="D487" s="326" t="s">
        <v>631</v>
      </c>
      <c r="E487" s="291">
        <f>'[46]2023-24'!$I227/10^7</f>
        <v>3.6311667998999999</v>
      </c>
      <c r="F487" s="291">
        <f>'[46]2023-24'!$O227/10^7</f>
        <v>2.6854508855642854</v>
      </c>
      <c r="G487" s="291">
        <f>'[46]2023-24'!$U227/10^7</f>
        <v>2.3168617914285714</v>
      </c>
      <c r="H487" s="291">
        <f>'[46]2023-24'!$AA227/10^7</f>
        <v>5.0248198857714286</v>
      </c>
      <c r="I487" s="291">
        <f>'[46]2023-24'!$AG227/10^7</f>
        <v>9.7610459227642856</v>
      </c>
      <c r="J487" s="291">
        <f>'[46]2023-24'!$AM227/10^7</f>
        <v>5.8077562639714282</v>
      </c>
      <c r="K487" s="291">
        <f>'[46]2023-24'!$AS227/10^7</f>
        <v>1.9773294556499998</v>
      </c>
      <c r="L487" s="291">
        <f>'[46]2023-24'!$AY227/10^7</f>
        <v>0.98450987764999998</v>
      </c>
      <c r="M487" s="291">
        <f>'[46]2023-24'!$BE227/10^7</f>
        <v>0</v>
      </c>
      <c r="N487" s="291">
        <f>'[46]2023-24'!$BK227/10^7</f>
        <v>1.93568550645</v>
      </c>
      <c r="O487" s="291">
        <f>'[46]2023-24'!$BQ227/10^7</f>
        <v>0</v>
      </c>
      <c r="P487" s="291">
        <f>'[46]2023-24'!$BW227/10^7 +'[46]2023-24'!$CC227/10^7</f>
        <v>-14.644520895349999</v>
      </c>
      <c r="Q487" s="17">
        <f t="shared" si="200"/>
        <v>19.480105493799996</v>
      </c>
    </row>
    <row r="488" spans="3:17" x14ac:dyDescent="0.25">
      <c r="C488" s="17"/>
      <c r="D488" s="325" t="s">
        <v>632</v>
      </c>
      <c r="E488" s="291">
        <f>'[46]2023-24'!$I228/10^7</f>
        <v>0</v>
      </c>
      <c r="F488" s="291">
        <f>'[46]2023-24'!$O228/10^7</f>
        <v>0</v>
      </c>
      <c r="G488" s="291">
        <f>'[46]2023-24'!$U228/10^7</f>
        <v>0</v>
      </c>
      <c r="H488" s="291">
        <f>'[46]2023-24'!$AA228/10^7</f>
        <v>0</v>
      </c>
      <c r="I488" s="291">
        <f>'[46]2023-24'!$AG228/10^7</f>
        <v>0</v>
      </c>
      <c r="J488" s="291">
        <f>'[46]2023-24'!$AM228/10^7</f>
        <v>0</v>
      </c>
      <c r="K488" s="291">
        <f>'[46]2023-24'!$AS228/10^7</f>
        <v>0</v>
      </c>
      <c r="L488" s="291">
        <f>'[46]2023-24'!$AY228/10^7</f>
        <v>0</v>
      </c>
      <c r="M488" s="291">
        <f>'[46]2023-24'!$BE228/10^7</f>
        <v>0</v>
      </c>
      <c r="N488" s="291">
        <f>'[46]2023-24'!$BK228/10^7</f>
        <v>0</v>
      </c>
      <c r="O488" s="291">
        <f>'[46]2023-24'!$BQ228/10^7</f>
        <v>0</v>
      </c>
      <c r="P488" s="291">
        <f>'[46]2023-24'!$BW228/10^7 +'[46]2023-24'!$CC228/10^7</f>
        <v>0</v>
      </c>
      <c r="Q488" s="17">
        <f t="shared" si="200"/>
        <v>0</v>
      </c>
    </row>
    <row r="489" spans="3:17" x14ac:dyDescent="0.25">
      <c r="C489" s="17"/>
      <c r="D489" s="325" t="s">
        <v>633</v>
      </c>
      <c r="E489" s="291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17">
        <f t="shared" si="200"/>
        <v>0</v>
      </c>
    </row>
    <row r="490" spans="3:17" x14ac:dyDescent="0.25">
      <c r="C490" s="17"/>
      <c r="D490" s="325" t="s">
        <v>634</v>
      </c>
      <c r="E490" s="291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17">
        <f t="shared" si="200"/>
        <v>0</v>
      </c>
    </row>
    <row r="491" spans="3:17" x14ac:dyDescent="0.25">
      <c r="C491" s="17"/>
      <c r="D491" s="325" t="s">
        <v>660</v>
      </c>
      <c r="E491" s="291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17">
        <f t="shared" si="200"/>
        <v>0</v>
      </c>
    </row>
    <row r="492" spans="3:17" x14ac:dyDescent="0.25">
      <c r="C492" s="17"/>
      <c r="D492" s="325" t="s">
        <v>661</v>
      </c>
      <c r="E492" s="291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17">
        <f t="shared" si="200"/>
        <v>0</v>
      </c>
    </row>
    <row r="493" spans="3:17" x14ac:dyDescent="0.25">
      <c r="C493" s="17"/>
      <c r="D493" s="325" t="s">
        <v>637</v>
      </c>
      <c r="E493" s="421">
        <f>'[46]2023-24'!$I234/10^7</f>
        <v>0</v>
      </c>
      <c r="F493" s="421">
        <f>'[46]2023-24'!$O234/10^7</f>
        <v>0</v>
      </c>
      <c r="G493" s="421">
        <f>'[46]2023-24'!$U234/10^7</f>
        <v>0</v>
      </c>
      <c r="H493" s="421">
        <f>'[46]2023-24'!$AA234/10^7</f>
        <v>0</v>
      </c>
      <c r="I493" s="421">
        <f>'[46]2023-24'!$AG234/10^7</f>
        <v>0</v>
      </c>
      <c r="J493" s="421">
        <f>'[46]2023-24'!$AM234/10^7</f>
        <v>0</v>
      </c>
      <c r="K493" s="421">
        <f>'[46]2023-24'!$AS234/10^7</f>
        <v>0</v>
      </c>
      <c r="L493" s="421">
        <f>'[46]2023-24'!$AY234/10^7</f>
        <v>0</v>
      </c>
      <c r="M493" s="421">
        <f>'[46]2023-24'!$BE234/10^7</f>
        <v>0</v>
      </c>
      <c r="N493" s="421">
        <f>'[46]2023-24'!$BK234/10^7</f>
        <v>0</v>
      </c>
      <c r="O493" s="421">
        <f>'[46]2023-24'!$BQ234/10^7</f>
        <v>0</v>
      </c>
      <c r="P493" s="421">
        <f>'[46]2023-24'!$BW234/10^7 +'[46]2023-24'!$CC234/10^7</f>
        <v>0</v>
      </c>
      <c r="Q493" s="17">
        <f t="shared" si="200"/>
        <v>0</v>
      </c>
    </row>
    <row r="494" spans="3:17" x14ac:dyDescent="0.25">
      <c r="C494" s="17"/>
      <c r="D494" s="416" t="s">
        <v>638</v>
      </c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>
        <f t="shared" si="200"/>
        <v>0</v>
      </c>
    </row>
    <row r="495" spans="3:17" x14ac:dyDescent="0.25">
      <c r="C495" s="17"/>
      <c r="D495" s="416" t="s">
        <v>639</v>
      </c>
      <c r="E495" s="291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17">
        <f t="shared" si="200"/>
        <v>0</v>
      </c>
    </row>
    <row r="496" spans="3:17" x14ac:dyDescent="0.25">
      <c r="C496" s="17"/>
      <c r="D496" s="17" t="s">
        <v>662</v>
      </c>
      <c r="E496" s="417">
        <f>'[46]2023-24'!$I204/10^7</f>
        <v>198.62178532377609</v>
      </c>
      <c r="F496" s="417">
        <f>'[46]2023-24'!$O204/10^7</f>
        <v>46.052370951994028</v>
      </c>
      <c r="G496" s="417">
        <f>'[46]2023-24'!$U204/10^7</f>
        <v>108.81979961188979</v>
      </c>
      <c r="H496" s="417">
        <f>'[46]2023-24'!$AA204/10^7</f>
        <v>136.83347261730557</v>
      </c>
      <c r="I496" s="417">
        <f>'[46]2023-24'!$AG204/10^7</f>
        <v>333.73124098768716</v>
      </c>
      <c r="J496" s="417">
        <f>'[46]2023-24'!$AM204/10^7</f>
        <v>203.28190937107209</v>
      </c>
      <c r="K496" s="417">
        <f>'[46]2023-24'!$AS204/10^7</f>
        <v>413.91971209361139</v>
      </c>
      <c r="L496" s="417">
        <f>'[46]2023-24'!$AY204/10^7</f>
        <v>148.35036972571535</v>
      </c>
      <c r="M496" s="417">
        <f>'[46]2023-24'!$BE204/10^7</f>
        <v>180.52879197855651</v>
      </c>
      <c r="N496" s="417">
        <f>'[46]2023-24'!$BK204/10^7</f>
        <v>224.30568572028065</v>
      </c>
      <c r="O496" s="417">
        <f>'[46]2023-24'!$BQ204/10^7</f>
        <v>240.85635859452256</v>
      </c>
      <c r="P496" s="417">
        <f>'[46]2023-24'!$BW204/10^7</f>
        <v>287.30814417430719</v>
      </c>
      <c r="Q496" s="410">
        <f t="shared" si="199"/>
        <v>2522.6096411507183</v>
      </c>
    </row>
    <row r="497" spans="3:17" x14ac:dyDescent="0.25">
      <c r="C497" s="17"/>
      <c r="D497" s="116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07">
        <f t="shared" si="199"/>
        <v>0</v>
      </c>
    </row>
    <row r="498" spans="3:17" x14ac:dyDescent="0.25">
      <c r="C498" s="17"/>
      <c r="D498" s="17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17">
        <f t="shared" si="199"/>
        <v>0</v>
      </c>
    </row>
    <row r="499" spans="3:17" x14ac:dyDescent="0.25"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66">
        <f t="shared" si="199"/>
        <v>0</v>
      </c>
    </row>
    <row r="500" spans="3:17" x14ac:dyDescent="0.25"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66">
        <f t="shared" si="199"/>
        <v>0</v>
      </c>
    </row>
    <row r="501" spans="3:17" x14ac:dyDescent="0.25"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66">
        <f t="shared" si="199"/>
        <v>0</v>
      </c>
    </row>
    <row r="502" spans="3:17" x14ac:dyDescent="0.25"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66">
        <f t="shared" si="199"/>
        <v>0</v>
      </c>
    </row>
    <row r="503" spans="3:17" x14ac:dyDescent="0.25"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66">
        <f t="shared" si="199"/>
        <v>0</v>
      </c>
    </row>
    <row r="504" spans="3:17" x14ac:dyDescent="0.25">
      <c r="C504" s="753" t="s">
        <v>423</v>
      </c>
      <c r="D504" s="753"/>
      <c r="E504" s="291">
        <f t="shared" ref="E504:O504" si="201">SUM(E480:E503)</f>
        <v>202.2529521236761</v>
      </c>
      <c r="F504" s="291">
        <f t="shared" si="201"/>
        <v>48.737821837558315</v>
      </c>
      <c r="G504" s="291">
        <f t="shared" si="201"/>
        <v>111.13666140331836</v>
      </c>
      <c r="H504" s="291">
        <f t="shared" si="201"/>
        <v>141.858292503077</v>
      </c>
      <c r="I504" s="291">
        <f t="shared" si="201"/>
        <v>343.49228691045147</v>
      </c>
      <c r="J504" s="291">
        <f t="shared" si="201"/>
        <v>209.08966563504353</v>
      </c>
      <c r="K504" s="291">
        <f t="shared" si="201"/>
        <v>415.89704154926142</v>
      </c>
      <c r="L504" s="291">
        <f t="shared" si="201"/>
        <v>149.33487960336535</v>
      </c>
      <c r="M504" s="291">
        <f t="shared" si="201"/>
        <v>180.52879197855651</v>
      </c>
      <c r="N504" s="291">
        <f t="shared" si="201"/>
        <v>226.24137122673065</v>
      </c>
      <c r="O504" s="291">
        <f t="shared" si="201"/>
        <v>240.85635859452256</v>
      </c>
      <c r="P504" s="291">
        <f>SUM(P480:P503)</f>
        <v>272.66362327895717</v>
      </c>
      <c r="Q504" s="86">
        <f t="shared" si="199"/>
        <v>2542.0897466445185</v>
      </c>
    </row>
    <row r="505" spans="3:17" x14ac:dyDescent="0.25">
      <c r="C505" s="800" t="s">
        <v>424</v>
      </c>
      <c r="D505" s="800"/>
      <c r="E505" s="418"/>
      <c r="F505" s="418"/>
      <c r="G505" s="418"/>
      <c r="H505" s="418"/>
      <c r="I505" s="418"/>
      <c r="J505" s="418"/>
      <c r="K505" s="418"/>
      <c r="L505" s="418"/>
      <c r="M505" s="418"/>
      <c r="N505" s="418"/>
      <c r="O505" s="418"/>
      <c r="P505" s="418"/>
      <c r="Q505" s="17"/>
    </row>
    <row r="506" spans="3:17" x14ac:dyDescent="0.25">
      <c r="C506" s="17" t="s">
        <v>425</v>
      </c>
      <c r="D506" s="4" t="s">
        <v>426</v>
      </c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07">
        <f>SUM(E506:P506)</f>
        <v>0</v>
      </c>
    </row>
    <row r="507" spans="3:17" x14ac:dyDescent="0.25">
      <c r="C507" s="17" t="s">
        <v>425</v>
      </c>
      <c r="D507" s="17" t="s">
        <v>655</v>
      </c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17">
        <f>SUM(E507:P507)</f>
        <v>0</v>
      </c>
    </row>
    <row r="508" spans="3:17" x14ac:dyDescent="0.25">
      <c r="C508" s="116"/>
      <c r="D508" s="17" t="s">
        <v>463</v>
      </c>
      <c r="E508" s="17">
        <f>-('[47]Intra &amp; Inter State 23-24'!$G$31/10^7)*29.45%</f>
        <v>-8.1006883651494341</v>
      </c>
      <c r="F508" s="17">
        <f>-('[47]Intra &amp; Inter State 23-24'!L$31/10^7)*29.45%</f>
        <v>-36.282347761831488</v>
      </c>
      <c r="G508" s="17">
        <f>-('[47]Intra &amp; Inter State 23-24'!Q$31/10^7)*29.45%</f>
        <v>-8.4435207598854198</v>
      </c>
      <c r="H508" s="17">
        <f>-('[47]Intra &amp; Inter State 23-24'!V$31/10^7)*29.45%</f>
        <v>-16.047025443881232</v>
      </c>
      <c r="I508" s="17">
        <f>-('[47]Intra &amp; Inter State 23-24'!AA$31/10^7)*29.45%</f>
        <v>-3.790141366495575</v>
      </c>
      <c r="J508" s="17">
        <f>-('[47]Intra &amp; Inter State 23-24'!AF$31/10^7)*29.45%</f>
        <v>-36.899404276816881</v>
      </c>
      <c r="K508" s="17">
        <f>-('[47]Intra &amp; Inter State 23-24'!AK$31/10^7)*29.45%</f>
        <v>-9.8368414016583738</v>
      </c>
      <c r="L508" s="17">
        <f>-('[47]Intra &amp; Inter State 23-24'!AP$31/10^7)*29.45%</f>
        <v>-1.4445148088078137</v>
      </c>
      <c r="M508" s="17">
        <f>-('[47]Intra &amp; Inter State 23-24'!AU$31/10^7)*29.45%</f>
        <v>-3.5428832524452667</v>
      </c>
      <c r="N508" s="17">
        <f>-('[47]Intra &amp; Inter State 23-24'!AZ$31/10^7)*29.45%</f>
        <v>-24.845616582039867</v>
      </c>
      <c r="O508" s="17">
        <f>-('[47]Intra &amp; Inter State 23-24'!BE$31/10^7)*29.45%</f>
        <v>-43.174760192390856</v>
      </c>
      <c r="P508" s="17">
        <f>-('[47]Intra &amp; Inter State 23-24'!BJ$31/10^7)*29.45%</f>
        <v>-24.124040656553579</v>
      </c>
      <c r="Q508" s="17">
        <f>SUM(E508:P508)</f>
        <v>-216.53178486795579</v>
      </c>
    </row>
    <row r="509" spans="3:17" x14ac:dyDescent="0.25">
      <c r="C509" s="753" t="s">
        <v>428</v>
      </c>
      <c r="D509" s="753"/>
      <c r="E509" s="17">
        <f t="shared" ref="E509:P509" si="202">E508+E507</f>
        <v>-8.1006883651494341</v>
      </c>
      <c r="F509" s="17">
        <f t="shared" si="202"/>
        <v>-36.282347761831488</v>
      </c>
      <c r="G509" s="17">
        <f t="shared" si="202"/>
        <v>-8.4435207598854198</v>
      </c>
      <c r="H509" s="17">
        <f t="shared" si="202"/>
        <v>-16.047025443881232</v>
      </c>
      <c r="I509" s="17">
        <f t="shared" si="202"/>
        <v>-3.790141366495575</v>
      </c>
      <c r="J509" s="17">
        <f t="shared" si="202"/>
        <v>-36.899404276816881</v>
      </c>
      <c r="K509" s="17">
        <f t="shared" si="202"/>
        <v>-9.8368414016583738</v>
      </c>
      <c r="L509" s="17">
        <f t="shared" si="202"/>
        <v>-1.4445148088078137</v>
      </c>
      <c r="M509" s="17">
        <f t="shared" si="202"/>
        <v>-3.5428832524452667</v>
      </c>
      <c r="N509" s="17">
        <f t="shared" si="202"/>
        <v>-24.845616582039867</v>
      </c>
      <c r="O509" s="17">
        <f t="shared" si="202"/>
        <v>-43.174760192390856</v>
      </c>
      <c r="P509" s="17">
        <f t="shared" si="202"/>
        <v>-24.124040656553579</v>
      </c>
      <c r="Q509" s="17">
        <f t="shared" ref="Q509" si="203">Q506+Q507</f>
        <v>0</v>
      </c>
    </row>
    <row r="510" spans="3:17" x14ac:dyDescent="0.25">
      <c r="C510" s="753" t="s">
        <v>220</v>
      </c>
      <c r="D510" s="753"/>
      <c r="E510" s="291">
        <f>E388+E433+E442+E452+E478+E504+E509</f>
        <v>815.63024349189277</v>
      </c>
      <c r="F510" s="291">
        <f t="shared" ref="F510:P510" si="204">F388+F433+F442+F452+F478+F504+F509</f>
        <v>620.63985822073334</v>
      </c>
      <c r="G510" s="291">
        <f t="shared" si="204"/>
        <v>754.82283724166962</v>
      </c>
      <c r="H510" s="291">
        <f t="shared" si="204"/>
        <v>710.98527005241522</v>
      </c>
      <c r="I510" s="291">
        <f t="shared" si="204"/>
        <v>974.02820065428477</v>
      </c>
      <c r="J510" s="291">
        <f t="shared" si="204"/>
        <v>769.89746803578203</v>
      </c>
      <c r="K510" s="291">
        <f t="shared" si="204"/>
        <v>1065.8646251311213</v>
      </c>
      <c r="L510" s="291">
        <f t="shared" si="204"/>
        <v>782.22066156420965</v>
      </c>
      <c r="M510" s="291">
        <f t="shared" si="204"/>
        <v>766.70408277366585</v>
      </c>
      <c r="N510" s="291">
        <f t="shared" si="204"/>
        <v>892.95514061460437</v>
      </c>
      <c r="O510" s="291">
        <f t="shared" si="204"/>
        <v>860.64249045818326</v>
      </c>
      <c r="P510" s="291">
        <f t="shared" si="204"/>
        <v>999.58247415860171</v>
      </c>
      <c r="Q510" s="323">
        <f>Q388+Q433+Q442+Q452+Q478+Q504+Q509</f>
        <v>10230.50513726512</v>
      </c>
    </row>
    <row r="511" spans="3:17" x14ac:dyDescent="0.25">
      <c r="D511" s="22"/>
      <c r="E511" s="22"/>
      <c r="Q511" s="164"/>
    </row>
    <row r="512" spans="3:17" x14ac:dyDescent="0.25">
      <c r="C512" s="22" t="s">
        <v>498</v>
      </c>
      <c r="D512" s="24"/>
      <c r="E512" s="24"/>
    </row>
    <row r="513" spans="3:17" x14ac:dyDescent="0.25">
      <c r="E513" s="24"/>
    </row>
    <row r="514" spans="3:17" x14ac:dyDescent="0.25">
      <c r="C514" s="334" t="s">
        <v>346</v>
      </c>
      <c r="D514" s="762" t="s">
        <v>347</v>
      </c>
      <c r="E514" s="768" t="s">
        <v>225</v>
      </c>
      <c r="F514" s="768"/>
      <c r="G514" s="768"/>
      <c r="H514" s="768"/>
      <c r="I514" s="768"/>
      <c r="J514" s="768"/>
      <c r="K514" s="768"/>
      <c r="L514" s="768"/>
      <c r="M514" s="768"/>
      <c r="N514" s="768"/>
      <c r="O514" s="768"/>
      <c r="P514" s="768"/>
      <c r="Q514" s="768"/>
    </row>
    <row r="515" spans="3:17" x14ac:dyDescent="0.25">
      <c r="C515" s="333"/>
      <c r="D515" s="762"/>
      <c r="E515" s="13" t="s">
        <v>239</v>
      </c>
      <c r="F515" s="13" t="s">
        <v>240</v>
      </c>
      <c r="G515" s="13" t="s">
        <v>241</v>
      </c>
      <c r="H515" s="13" t="s">
        <v>242</v>
      </c>
      <c r="I515" s="13" t="s">
        <v>243</v>
      </c>
      <c r="J515" s="13" t="s">
        <v>244</v>
      </c>
      <c r="K515" s="13" t="s">
        <v>245</v>
      </c>
      <c r="L515" s="13" t="s">
        <v>246</v>
      </c>
      <c r="M515" s="13" t="s">
        <v>247</v>
      </c>
      <c r="N515" s="13" t="s">
        <v>248</v>
      </c>
      <c r="O515" s="13" t="s">
        <v>249</v>
      </c>
      <c r="P515" s="13" t="s">
        <v>250</v>
      </c>
      <c r="Q515" s="13" t="s">
        <v>251</v>
      </c>
    </row>
    <row r="516" spans="3:17" x14ac:dyDescent="0.25">
      <c r="C516" s="332"/>
      <c r="D516" s="762"/>
      <c r="E516" s="13" t="s">
        <v>24</v>
      </c>
      <c r="F516" s="13" t="s">
        <v>24</v>
      </c>
      <c r="G516" s="13" t="s">
        <v>24</v>
      </c>
      <c r="H516" s="13" t="s">
        <v>24</v>
      </c>
      <c r="I516" s="13" t="s">
        <v>24</v>
      </c>
      <c r="J516" s="13" t="s">
        <v>24</v>
      </c>
      <c r="K516" s="13" t="s">
        <v>25</v>
      </c>
      <c r="L516" s="13" t="s">
        <v>25</v>
      </c>
      <c r="M516" s="13" t="s">
        <v>25</v>
      </c>
      <c r="N516" s="13" t="s">
        <v>25</v>
      </c>
      <c r="O516" s="13" t="s">
        <v>25</v>
      </c>
      <c r="P516" s="13" t="s">
        <v>25</v>
      </c>
      <c r="Q516" s="13" t="s">
        <v>25</v>
      </c>
    </row>
    <row r="517" spans="3:17" x14ac:dyDescent="0.25">
      <c r="C517" s="800" t="s">
        <v>348</v>
      </c>
      <c r="D517" s="800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3:17" x14ac:dyDescent="0.25">
      <c r="C518" s="753" t="s">
        <v>349</v>
      </c>
      <c r="D518" s="753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3:17" x14ac:dyDescent="0.25">
      <c r="C519" s="802" t="s">
        <v>350</v>
      </c>
      <c r="D519" s="59" t="s">
        <v>351</v>
      </c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>
        <f t="shared" ref="Q519:Q537" si="205">SUM(E519:P519)</f>
        <v>0</v>
      </c>
    </row>
    <row r="520" spans="3:17" x14ac:dyDescent="0.25">
      <c r="C520" s="802"/>
      <c r="D520" s="59" t="s">
        <v>352</v>
      </c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>
        <f t="shared" si="205"/>
        <v>0</v>
      </c>
    </row>
    <row r="521" spans="3:17" x14ac:dyDescent="0.25">
      <c r="C521" s="802"/>
      <c r="D521" s="59" t="s">
        <v>353</v>
      </c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>
        <f t="shared" si="205"/>
        <v>0</v>
      </c>
    </row>
    <row r="522" spans="3:17" x14ac:dyDescent="0.25">
      <c r="C522" s="802"/>
      <c r="D522" s="59" t="s">
        <v>354</v>
      </c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>
        <f t="shared" si="205"/>
        <v>0</v>
      </c>
    </row>
    <row r="523" spans="3:17" x14ac:dyDescent="0.25">
      <c r="C523" s="802"/>
      <c r="D523" s="59" t="s">
        <v>355</v>
      </c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>
        <f t="shared" si="205"/>
        <v>0</v>
      </c>
    </row>
    <row r="524" spans="3:17" x14ac:dyDescent="0.25">
      <c r="C524" s="802"/>
      <c r="D524" s="59" t="s">
        <v>356</v>
      </c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>
        <f t="shared" si="205"/>
        <v>0</v>
      </c>
    </row>
    <row r="525" spans="3:17" x14ac:dyDescent="0.25">
      <c r="C525" s="802"/>
      <c r="D525" s="59" t="s">
        <v>357</v>
      </c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>
        <f t="shared" si="205"/>
        <v>0</v>
      </c>
    </row>
    <row r="526" spans="3:17" x14ac:dyDescent="0.25">
      <c r="C526" s="802"/>
      <c r="D526" s="59" t="s">
        <v>358</v>
      </c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>
        <f t="shared" si="205"/>
        <v>0</v>
      </c>
    </row>
    <row r="527" spans="3:17" x14ac:dyDescent="0.25">
      <c r="C527" s="802"/>
      <c r="D527" s="325" t="s">
        <v>620</v>
      </c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>
        <f t="shared" si="205"/>
        <v>0</v>
      </c>
    </row>
    <row r="528" spans="3:17" x14ac:dyDescent="0.25">
      <c r="C528" s="802"/>
      <c r="D528" s="59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>
        <f t="shared" si="205"/>
        <v>0</v>
      </c>
    </row>
    <row r="529" spans="3:17" x14ac:dyDescent="0.25">
      <c r="C529" s="802"/>
      <c r="D529" s="59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>
        <f t="shared" si="205"/>
        <v>0</v>
      </c>
    </row>
    <row r="530" spans="3:17" x14ac:dyDescent="0.25">
      <c r="C530" s="802"/>
      <c r="D530" s="59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>
        <f t="shared" si="205"/>
        <v>0</v>
      </c>
    </row>
    <row r="531" spans="3:17" x14ac:dyDescent="0.25">
      <c r="C531" s="802"/>
      <c r="D531" s="59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f t="shared" si="205"/>
        <v>0</v>
      </c>
    </row>
    <row r="532" spans="3:17" x14ac:dyDescent="0.25">
      <c r="C532" s="802"/>
      <c r="D532" s="59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>
        <f t="shared" si="205"/>
        <v>0</v>
      </c>
    </row>
    <row r="533" spans="3:17" x14ac:dyDescent="0.25">
      <c r="C533" s="802"/>
      <c r="D533" s="59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>
        <f t="shared" si="205"/>
        <v>0</v>
      </c>
    </row>
    <row r="534" spans="3:17" x14ac:dyDescent="0.25">
      <c r="C534" s="802"/>
      <c r="D534" s="59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>
        <f t="shared" si="205"/>
        <v>0</v>
      </c>
    </row>
    <row r="535" spans="3:17" x14ac:dyDescent="0.25">
      <c r="C535" s="802"/>
      <c r="D535" s="59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>
        <f t="shared" si="205"/>
        <v>0</v>
      </c>
    </row>
    <row r="536" spans="3:17" x14ac:dyDescent="0.25">
      <c r="C536" s="802"/>
      <c r="D536" s="59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>
        <f t="shared" si="205"/>
        <v>0</v>
      </c>
    </row>
    <row r="537" spans="3:17" x14ac:dyDescent="0.25">
      <c r="C537" s="751" t="s">
        <v>212</v>
      </c>
      <c r="D537" s="751"/>
      <c r="E537" s="17">
        <f t="shared" ref="E537:P537" si="206">SUM(E519:E536)</f>
        <v>0</v>
      </c>
      <c r="F537" s="17">
        <f t="shared" si="206"/>
        <v>0</v>
      </c>
      <c r="G537" s="17">
        <f t="shared" si="206"/>
        <v>0</v>
      </c>
      <c r="H537" s="17">
        <f t="shared" si="206"/>
        <v>0</v>
      </c>
      <c r="I537" s="17">
        <f t="shared" si="206"/>
        <v>0</v>
      </c>
      <c r="J537" s="17">
        <f t="shared" si="206"/>
        <v>0</v>
      </c>
      <c r="K537" s="17">
        <f t="shared" si="206"/>
        <v>0</v>
      </c>
      <c r="L537" s="17">
        <f t="shared" si="206"/>
        <v>0</v>
      </c>
      <c r="M537" s="17">
        <f t="shared" si="206"/>
        <v>0</v>
      </c>
      <c r="N537" s="17">
        <f t="shared" si="206"/>
        <v>0</v>
      </c>
      <c r="O537" s="17">
        <f t="shared" si="206"/>
        <v>0</v>
      </c>
      <c r="P537" s="17">
        <f t="shared" si="206"/>
        <v>0</v>
      </c>
      <c r="Q537" s="86">
        <f t="shared" si="205"/>
        <v>0</v>
      </c>
    </row>
    <row r="538" spans="3:17" x14ac:dyDescent="0.25">
      <c r="C538" s="753" t="s">
        <v>359</v>
      </c>
      <c r="D538" s="753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3:17" x14ac:dyDescent="0.25">
      <c r="C539" s="805" t="s">
        <v>350</v>
      </c>
      <c r="D539" s="17" t="s">
        <v>360</v>
      </c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>
        <f t="shared" ref="Q539:Q557" si="207">SUM(E539:P539)</f>
        <v>0</v>
      </c>
    </row>
    <row r="540" spans="3:17" x14ac:dyDescent="0.25">
      <c r="C540" s="805"/>
      <c r="D540" s="17" t="s">
        <v>361</v>
      </c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>
        <f t="shared" si="207"/>
        <v>0</v>
      </c>
    </row>
    <row r="541" spans="3:17" x14ac:dyDescent="0.25">
      <c r="C541" s="805"/>
      <c r="D541" s="17" t="s">
        <v>362</v>
      </c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>
        <f t="shared" si="207"/>
        <v>0</v>
      </c>
    </row>
    <row r="542" spans="3:17" x14ac:dyDescent="0.25">
      <c r="C542" s="805"/>
      <c r="D542" s="17" t="s">
        <v>363</v>
      </c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>
        <f t="shared" si="207"/>
        <v>0</v>
      </c>
    </row>
    <row r="543" spans="3:17" x14ac:dyDescent="0.25">
      <c r="C543" s="805"/>
      <c r="D543" s="17" t="s">
        <v>364</v>
      </c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>
        <f t="shared" si="207"/>
        <v>0</v>
      </c>
    </row>
    <row r="544" spans="3:17" x14ac:dyDescent="0.25">
      <c r="C544" s="805"/>
      <c r="D544" s="17" t="s">
        <v>365</v>
      </c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>
        <f t="shared" si="207"/>
        <v>0</v>
      </c>
    </row>
    <row r="545" spans="3:17" x14ac:dyDescent="0.25">
      <c r="C545" s="805"/>
      <c r="D545" s="17" t="s">
        <v>366</v>
      </c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>
        <f t="shared" si="207"/>
        <v>0</v>
      </c>
    </row>
    <row r="546" spans="3:17" x14ac:dyDescent="0.25">
      <c r="C546" s="805"/>
      <c r="D546" s="17" t="s">
        <v>367</v>
      </c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>
        <f t="shared" si="207"/>
        <v>0</v>
      </c>
    </row>
    <row r="547" spans="3:17" x14ac:dyDescent="0.25">
      <c r="C547" s="805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>
        <f t="shared" si="207"/>
        <v>0</v>
      </c>
    </row>
    <row r="548" spans="3:17" x14ac:dyDescent="0.25">
      <c r="C548" s="805"/>
      <c r="D548" s="325" t="s">
        <v>621</v>
      </c>
      <c r="E548" s="66">
        <f>'[46]2023-24'!$J217/10^7</f>
        <v>28.666630000000001</v>
      </c>
      <c r="F548" s="66">
        <f>'[46]2023-24'!$P217/10^7</f>
        <v>28.666630000000001</v>
      </c>
      <c r="G548" s="66">
        <f>'[46]2023-24'!$V217/10^7</f>
        <v>28.666630000000001</v>
      </c>
      <c r="H548" s="66">
        <f>'[46]2023-24'!$AB217/10^7</f>
        <v>28.666630000000001</v>
      </c>
      <c r="I548" s="66">
        <f>'[46]2023-24'!$AH217/10^7</f>
        <v>28.666630000000001</v>
      </c>
      <c r="J548" s="66">
        <f>'[46]2023-24'!$AN217/10^7</f>
        <v>28.666630000000001</v>
      </c>
      <c r="K548" s="66">
        <f>'[46]2023-24'!$AT217/10^7</f>
        <v>28.666630000000001</v>
      </c>
      <c r="L548" s="66">
        <f>'[46]2023-24'!$AZ217/10^7</f>
        <v>28.666630000000001</v>
      </c>
      <c r="M548" s="66">
        <f>'[46]2023-24'!$BF217/10^7</f>
        <v>28.666630000000001</v>
      </c>
      <c r="N548" s="66">
        <f>'[46]2023-24'!$BL217/10^7</f>
        <v>28.666630000000001</v>
      </c>
      <c r="O548" s="66">
        <f>'[46]2023-24'!$BR217/10^7</f>
        <v>28.666630000000001</v>
      </c>
      <c r="P548" s="66">
        <f>'[46]2023-24'!$BX217/10^7 + '[46]2023-24'!$CD217/10^7</f>
        <v>28.666630000000001</v>
      </c>
      <c r="Q548" s="17">
        <f t="shared" si="207"/>
        <v>343.99956000000003</v>
      </c>
    </row>
    <row r="549" spans="3:17" x14ac:dyDescent="0.25">
      <c r="C549" s="805"/>
      <c r="D549" s="325" t="s">
        <v>622</v>
      </c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17">
        <f t="shared" si="207"/>
        <v>0</v>
      </c>
    </row>
    <row r="550" spans="3:17" x14ac:dyDescent="0.25">
      <c r="C550" s="805"/>
      <c r="D550" s="327" t="s">
        <v>642</v>
      </c>
      <c r="E550" s="66">
        <f>'[46]2023-24'!$J219/10^7</f>
        <v>1.6766866666666662</v>
      </c>
      <c r="F550" s="66">
        <f>'[46]2023-24'!$P219/10^7</f>
        <v>1.6766866666666662</v>
      </c>
      <c r="G550" s="66">
        <f>'[46]2023-24'!$V219/10^7</f>
        <v>1.6766866666666662</v>
      </c>
      <c r="H550" s="66">
        <f>'[46]2023-24'!$AB219/10^7</f>
        <v>1.6766866666666662</v>
      </c>
      <c r="I550" s="66">
        <f>'[46]2023-24'!$AH219/10^7</f>
        <v>1.6766866666666662</v>
      </c>
      <c r="J550" s="66">
        <f>'[46]2023-24'!$AN219/10^7</f>
        <v>1.6766866666666662</v>
      </c>
      <c r="K550" s="66">
        <f>'[46]2023-24'!$AT219/10^7</f>
        <v>1.6766866666666662</v>
      </c>
      <c r="L550" s="66">
        <f>'[46]2023-24'!$AZ219/10^7</f>
        <v>1.6766866666666662</v>
      </c>
      <c r="M550" s="66">
        <f>'[46]2023-24'!$BF219/10^7</f>
        <v>1.6766866666666662</v>
      </c>
      <c r="N550" s="66">
        <f>'[46]2023-24'!$BL219/10^7</f>
        <v>1.6766866666666662</v>
      </c>
      <c r="O550" s="66">
        <f>'[46]2023-24'!$BR219/10^7</f>
        <v>1.6766866666666662</v>
      </c>
      <c r="P550" s="66">
        <f>'[46]2023-24'!$BX219/10^7 + '[46]2023-24'!$CD219/10^7</f>
        <v>1.6766866666666662</v>
      </c>
      <c r="Q550" s="17">
        <f t="shared" si="207"/>
        <v>20.120239999999995</v>
      </c>
    </row>
    <row r="551" spans="3:17" x14ac:dyDescent="0.25">
      <c r="C551" s="805"/>
      <c r="D551" s="325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17">
        <f t="shared" si="207"/>
        <v>0</v>
      </c>
    </row>
    <row r="552" spans="3:17" x14ac:dyDescent="0.25">
      <c r="C552" s="805"/>
      <c r="D552" s="17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17">
        <f t="shared" si="207"/>
        <v>0</v>
      </c>
    </row>
    <row r="553" spans="3:17" x14ac:dyDescent="0.25">
      <c r="C553" s="805"/>
      <c r="D553" s="17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17">
        <f t="shared" si="207"/>
        <v>0</v>
      </c>
    </row>
    <row r="554" spans="3:17" x14ac:dyDescent="0.25">
      <c r="C554" s="805"/>
      <c r="D554" s="17"/>
      <c r="Q554" s="17">
        <f t="shared" si="207"/>
        <v>0</v>
      </c>
    </row>
    <row r="555" spans="3:17" x14ac:dyDescent="0.25">
      <c r="C555" s="805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>
        <f t="shared" si="207"/>
        <v>0</v>
      </c>
    </row>
    <row r="556" spans="3:17" x14ac:dyDescent="0.25">
      <c r="C556" s="805"/>
      <c r="D556" s="10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>
        <f t="shared" si="207"/>
        <v>0</v>
      </c>
    </row>
    <row r="557" spans="3:17" x14ac:dyDescent="0.25">
      <c r="C557" s="751" t="s">
        <v>212</v>
      </c>
      <c r="D557" s="751"/>
      <c r="E557" s="331">
        <f t="shared" ref="E557:P557" si="208">SUM(E539:E556)</f>
        <v>30.343316666666666</v>
      </c>
      <c r="F557" s="331">
        <f t="shared" si="208"/>
        <v>30.343316666666666</v>
      </c>
      <c r="G557" s="331">
        <f t="shared" si="208"/>
        <v>30.343316666666666</v>
      </c>
      <c r="H557" s="331">
        <f t="shared" si="208"/>
        <v>30.343316666666666</v>
      </c>
      <c r="I557" s="331">
        <f t="shared" si="208"/>
        <v>30.343316666666666</v>
      </c>
      <c r="J557" s="331">
        <f t="shared" si="208"/>
        <v>30.343316666666666</v>
      </c>
      <c r="K557" s="331">
        <f t="shared" si="208"/>
        <v>30.343316666666666</v>
      </c>
      <c r="L557" s="331">
        <f t="shared" si="208"/>
        <v>30.343316666666666</v>
      </c>
      <c r="M557" s="331">
        <f t="shared" si="208"/>
        <v>30.343316666666666</v>
      </c>
      <c r="N557" s="331">
        <f t="shared" si="208"/>
        <v>30.343316666666666</v>
      </c>
      <c r="O557" s="331">
        <f t="shared" si="208"/>
        <v>30.343316666666666</v>
      </c>
      <c r="P557" s="331">
        <f t="shared" si="208"/>
        <v>30.343316666666666</v>
      </c>
      <c r="Q557" s="330">
        <f t="shared" si="207"/>
        <v>364.11980000000011</v>
      </c>
    </row>
    <row r="558" spans="3:17" x14ac:dyDescent="0.25">
      <c r="C558" s="753" t="s">
        <v>368</v>
      </c>
      <c r="D558" s="753"/>
      <c r="E558" s="331">
        <f t="shared" ref="E558:Q558" si="209">E537+E557</f>
        <v>30.343316666666666</v>
      </c>
      <c r="F558" s="331">
        <f t="shared" si="209"/>
        <v>30.343316666666666</v>
      </c>
      <c r="G558" s="331">
        <f t="shared" si="209"/>
        <v>30.343316666666666</v>
      </c>
      <c r="H558" s="331">
        <f t="shared" si="209"/>
        <v>30.343316666666666</v>
      </c>
      <c r="I558" s="331">
        <f t="shared" si="209"/>
        <v>30.343316666666666</v>
      </c>
      <c r="J558" s="331">
        <f t="shared" si="209"/>
        <v>30.343316666666666</v>
      </c>
      <c r="K558" s="331">
        <f t="shared" si="209"/>
        <v>30.343316666666666</v>
      </c>
      <c r="L558" s="331">
        <f t="shared" si="209"/>
        <v>30.343316666666666</v>
      </c>
      <c r="M558" s="331">
        <f t="shared" si="209"/>
        <v>30.343316666666666</v>
      </c>
      <c r="N558" s="331">
        <f t="shared" si="209"/>
        <v>30.343316666666666</v>
      </c>
      <c r="O558" s="331">
        <f t="shared" si="209"/>
        <v>30.343316666666666</v>
      </c>
      <c r="P558" s="331">
        <f t="shared" si="209"/>
        <v>30.343316666666666</v>
      </c>
      <c r="Q558" s="330">
        <f t="shared" si="209"/>
        <v>364.11980000000011</v>
      </c>
    </row>
    <row r="559" spans="3:17" x14ac:dyDescent="0.25">
      <c r="C559" s="800" t="s">
        <v>369</v>
      </c>
      <c r="D559" s="800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3:17" x14ac:dyDescent="0.25">
      <c r="C560" s="753" t="s">
        <v>349</v>
      </c>
      <c r="D560" s="753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3:17" x14ac:dyDescent="0.25">
      <c r="C561" s="805" t="s">
        <v>370</v>
      </c>
      <c r="D561" s="17" t="s">
        <v>371</v>
      </c>
      <c r="E561" s="66">
        <f>'[46]2023-24'!$J190/10^7</f>
        <v>0</v>
      </c>
      <c r="F561" s="66">
        <f>'[46]2023-24'!$P190/10^7</f>
        <v>0</v>
      </c>
      <c r="G561" s="66">
        <f>'[46]2023-24'!$V190/10^7</f>
        <v>0</v>
      </c>
      <c r="H561" s="66">
        <f>'[46]2023-24'!$AB190/10^7</f>
        <v>0</v>
      </c>
      <c r="I561" s="66">
        <f>'[46]2023-24'!$AH190/10^7</f>
        <v>0</v>
      </c>
      <c r="J561" s="66">
        <f>'[46]2023-24'!$AN190/10^7</f>
        <v>0</v>
      </c>
      <c r="K561" s="66">
        <f>'[46]2023-24'!$AT190/10^7</f>
        <v>0</v>
      </c>
      <c r="L561" s="66">
        <f>'[46]2023-24'!$AZ190/10^7</f>
        <v>-0.44865323423966652</v>
      </c>
      <c r="M561" s="66">
        <f>'[46]2023-24'!$BF190/10^7</f>
        <v>0.2735100691768772</v>
      </c>
      <c r="N561" s="66">
        <f>'[46]2023-24'!$BL190/10^7</f>
        <v>0.26583732619530337</v>
      </c>
      <c r="O561" s="66">
        <f>'[46]2023-24'!$BR190/10^7</f>
        <v>0.23682998924371546</v>
      </c>
      <c r="P561" s="66">
        <f>'[46]2023-24'!$BX190/10^7 + '[46]2023-24'!$CD190/10^7</f>
        <v>0.20735510801335952</v>
      </c>
      <c r="Q561" s="291">
        <f t="shared" ref="Q561:Q583" si="210">SUM(E561:P561)</f>
        <v>0.53487925838958905</v>
      </c>
    </row>
    <row r="562" spans="3:17" x14ac:dyDescent="0.25">
      <c r="C562" s="805"/>
      <c r="D562" s="17" t="s">
        <v>372</v>
      </c>
      <c r="E562" s="66">
        <f>'[46]2023-24'!$J191/10^7</f>
        <v>-2.91159192E-2</v>
      </c>
      <c r="F562" s="66">
        <f>'[46]2023-24'!$P191/10^7</f>
        <v>0</v>
      </c>
      <c r="G562" s="66">
        <f>'[46]2023-24'!$V191/10^7</f>
        <v>0</v>
      </c>
      <c r="H562" s="66">
        <f>'[46]2023-24'!$AB191/10^7</f>
        <v>0</v>
      </c>
      <c r="I562" s="66">
        <f>'[46]2023-24'!$AH191/10^7</f>
        <v>0</v>
      </c>
      <c r="J562" s="66">
        <f>'[46]2023-24'!$AN191/10^7</f>
        <v>0</v>
      </c>
      <c r="K562" s="66">
        <f>'[46]2023-24'!$AT191/10^7</f>
        <v>0</v>
      </c>
      <c r="L562" s="66">
        <f>'[46]2023-24'!$AZ191/10^7</f>
        <v>0.5119830981541702</v>
      </c>
      <c r="M562" s="66">
        <f>'[46]2023-24'!$BF191/10^7</f>
        <v>5.6546169947029025E-2</v>
      </c>
      <c r="N562" s="66">
        <f>'[46]2023-24'!$BL191/10^7</f>
        <v>6.5128881391850982E-2</v>
      </c>
      <c r="O562" s="66">
        <f>'[46]2023-24'!$BR191/10^7</f>
        <v>6.4441874181036599E-2</v>
      </c>
      <c r="P562" s="66">
        <f>'[46]2023-24'!$BX191/10^7 + '[46]2023-24'!$CD191/10^7</f>
        <v>4.7014343107127814E-2</v>
      </c>
      <c r="Q562" s="291">
        <f t="shared" si="210"/>
        <v>0.71599844758121467</v>
      </c>
    </row>
    <row r="563" spans="3:17" x14ac:dyDescent="0.25">
      <c r="C563" s="805"/>
      <c r="D563" s="17" t="s">
        <v>373</v>
      </c>
      <c r="E563" s="66">
        <f>'[46]2023-24'!$J194/10^7</f>
        <v>0</v>
      </c>
      <c r="F563" s="66">
        <f>'[46]2023-24'!$P194/10^7</f>
        <v>0</v>
      </c>
      <c r="G563" s="66">
        <f>'[46]2023-24'!$V194/10^7</f>
        <v>0</v>
      </c>
      <c r="H563" s="66">
        <f>'[46]2023-24'!$AB194/10^7</f>
        <v>0</v>
      </c>
      <c r="I563" s="66">
        <f>'[46]2023-24'!$AH194/10^7</f>
        <v>0</v>
      </c>
      <c r="J563" s="66">
        <f>'[46]2023-24'!$AN194/10^7</f>
        <v>0</v>
      </c>
      <c r="K563" s="66">
        <f>'[46]2023-24'!$AT194/10^7</f>
        <v>0</v>
      </c>
      <c r="L563" s="66">
        <f>'[46]2023-24'!$AZ194/10^7</f>
        <v>0.99982664286251222</v>
      </c>
      <c r="M563" s="66">
        <f>'[46]2023-24'!$BF194/10^7</f>
        <v>0.12786746129158355</v>
      </c>
      <c r="N563" s="66">
        <f>'[46]2023-24'!$BL194/10^7</f>
        <v>0.12028208755399519</v>
      </c>
      <c r="O563" s="66">
        <f>'[46]2023-24'!$BR194/10^7</f>
        <v>9.1582862068485441E-2</v>
      </c>
      <c r="P563" s="66">
        <f>'[46]2023-24'!$BX194/10^7 + '[46]2023-24'!$CD194/10^7</f>
        <v>7.153203396192917E-2</v>
      </c>
      <c r="Q563" s="291">
        <f t="shared" si="210"/>
        <v>1.4110910877385057</v>
      </c>
    </row>
    <row r="564" spans="3:17" x14ac:dyDescent="0.25">
      <c r="C564" s="806"/>
      <c r="D564" s="17" t="s">
        <v>374</v>
      </c>
      <c r="E564" s="66">
        <f>'[46]2023-24'!$J192/10^7</f>
        <v>0</v>
      </c>
      <c r="F564" s="66">
        <f>'[46]2023-24'!$P192/10^7</f>
        <v>0</v>
      </c>
      <c r="G564" s="66">
        <f>'[46]2023-24'!$V192/10^7</f>
        <v>0</v>
      </c>
      <c r="H564" s="66">
        <f>'[46]2023-24'!$AB192/10^7</f>
        <v>0</v>
      </c>
      <c r="I564" s="66">
        <f>'[46]2023-24'!$AH192/10^7</f>
        <v>0</v>
      </c>
      <c r="J564" s="66">
        <f>'[46]2023-24'!$AN192/10^7</f>
        <v>0</v>
      </c>
      <c r="K564" s="66">
        <f>'[46]2023-24'!$AT192/10^7</f>
        <v>0</v>
      </c>
      <c r="L564" s="66">
        <f>'[46]2023-24'!$AZ192/10^7</f>
        <v>3.3899173098612905</v>
      </c>
      <c r="M564" s="66">
        <f>'[46]2023-24'!$BF192/10^7</f>
        <v>0.31746603287203112</v>
      </c>
      <c r="N564" s="66">
        <f>'[46]2023-24'!$BL192/10^7</f>
        <v>0.51765751419843997</v>
      </c>
      <c r="O564" s="66">
        <f>'[46]2023-24'!$BR192/10^7</f>
        <v>0.5185642108755909</v>
      </c>
      <c r="P564" s="66">
        <f>'[46]2023-24'!$BX192/10^7 + '[46]2023-24'!$CD192/10^7</f>
        <v>0.37897153395098448</v>
      </c>
      <c r="Q564" s="291">
        <f t="shared" si="210"/>
        <v>5.1225766017583378</v>
      </c>
    </row>
    <row r="565" spans="3:17" x14ac:dyDescent="0.25">
      <c r="C565" s="805"/>
      <c r="D565" s="17" t="s">
        <v>375</v>
      </c>
      <c r="E565" s="66">
        <f>'[46]2023-24'!$J193/10^7</f>
        <v>0</v>
      </c>
      <c r="F565" s="66">
        <f>'[46]2023-24'!$P193/10^7</f>
        <v>0</v>
      </c>
      <c r="G565" s="66">
        <f>'[46]2023-24'!$V193/10^7</f>
        <v>0</v>
      </c>
      <c r="H565" s="66">
        <f>'[46]2023-24'!$AB193/10^7</f>
        <v>0</v>
      </c>
      <c r="I565" s="66">
        <f>'[46]2023-24'!$AH193/10^7</f>
        <v>0</v>
      </c>
      <c r="J565" s="66">
        <f>'[46]2023-24'!$AN193/10^7</f>
        <v>0</v>
      </c>
      <c r="K565" s="66">
        <f>'[46]2023-24'!$AT193/10^7</f>
        <v>0</v>
      </c>
      <c r="L565" s="66">
        <f>'[46]2023-24'!$AZ193/10^7</f>
        <v>1.64649244642245</v>
      </c>
      <c r="M565" s="66">
        <f>'[46]2023-24'!$BF193/10^7</f>
        <v>0.28721644839206278</v>
      </c>
      <c r="N565" s="66">
        <f>'[46]2023-24'!$BL193/10^7</f>
        <v>0.27871332331968879</v>
      </c>
      <c r="O565" s="66">
        <f>'[46]2023-24'!$BR193/10^7</f>
        <v>0.22158488727428877</v>
      </c>
      <c r="P565" s="66">
        <f>'[46]2023-24'!$BX193/10^7 + '[46]2023-24'!$CD193/10^7</f>
        <v>0.17061421412198813</v>
      </c>
      <c r="Q565" s="291">
        <f t="shared" si="210"/>
        <v>2.6046213195304784</v>
      </c>
    </row>
    <row r="566" spans="3:17" x14ac:dyDescent="0.25">
      <c r="C566" s="805"/>
      <c r="D566" s="17" t="s">
        <v>376</v>
      </c>
      <c r="E566" s="66">
        <f>'[46]2023-24'!$J195/10^7</f>
        <v>0</v>
      </c>
      <c r="F566" s="66">
        <f>'[46]2023-24'!$P195/10^7</f>
        <v>0</v>
      </c>
      <c r="G566" s="66">
        <f>'[46]2023-24'!$V195/10^7</f>
        <v>0</v>
      </c>
      <c r="H566" s="66">
        <f>'[46]2023-24'!$AB195/10^7</f>
        <v>0</v>
      </c>
      <c r="I566" s="66">
        <f>'[46]2023-24'!$AH195/10^7</f>
        <v>0</v>
      </c>
      <c r="J566" s="66">
        <f>'[46]2023-24'!$AN195/10^7</f>
        <v>0</v>
      </c>
      <c r="K566" s="66">
        <f>'[46]2023-24'!$AT195/10^7</f>
        <v>0</v>
      </c>
      <c r="L566" s="66">
        <f>'[46]2023-24'!$AZ195/10^7</f>
        <v>-7.3853867720150639</v>
      </c>
      <c r="M566" s="66">
        <f>'[46]2023-24'!$BF195/10^7</f>
        <v>0.17299270684083318</v>
      </c>
      <c r="N566" s="66">
        <f>'[46]2023-24'!$BL195/10^7</f>
        <v>0.27233785086250573</v>
      </c>
      <c r="O566" s="66">
        <f>'[46]2023-24'!$BR195/10^7</f>
        <v>0.12884549222205613</v>
      </c>
      <c r="P566" s="66">
        <f>'[46]2023-24'!$BX195/10^7 + '[46]2023-24'!$CD195/10^7</f>
        <v>6.5534054486373353E-2</v>
      </c>
      <c r="Q566" s="291">
        <f t="shared" si="210"/>
        <v>-6.7456766676032958</v>
      </c>
    </row>
    <row r="567" spans="3:17" x14ac:dyDescent="0.25">
      <c r="C567" s="805"/>
      <c r="D567" s="116" t="s">
        <v>377</v>
      </c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291">
        <f t="shared" si="210"/>
        <v>0</v>
      </c>
    </row>
    <row r="568" spans="3:17" x14ac:dyDescent="0.25">
      <c r="C568" s="805"/>
      <c r="D568" s="116" t="s">
        <v>378</v>
      </c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291">
        <f t="shared" si="210"/>
        <v>0</v>
      </c>
    </row>
    <row r="569" spans="3:17" x14ac:dyDescent="0.25">
      <c r="C569" s="805"/>
      <c r="D569" s="17" t="s">
        <v>379</v>
      </c>
      <c r="E569" s="66">
        <f>'[46]2023-24'!$J196/10^7</f>
        <v>0</v>
      </c>
      <c r="F569" s="66">
        <f>'[46]2023-24'!$P196/10^7</f>
        <v>0</v>
      </c>
      <c r="G569" s="66">
        <f>'[46]2023-24'!$V196/10^7</f>
        <v>0</v>
      </c>
      <c r="H569" s="66">
        <f>'[46]2023-24'!$AB196/10^7</f>
        <v>0</v>
      </c>
      <c r="I569" s="66">
        <f>'[46]2023-24'!$AH196/10^7</f>
        <v>0</v>
      </c>
      <c r="J569" s="66">
        <f>'[46]2023-24'!$AN196/10^7</f>
        <v>0</v>
      </c>
      <c r="K569" s="66">
        <f>'[46]2023-24'!$AT196/10^7</f>
        <v>0</v>
      </c>
      <c r="L569" s="66">
        <f>'[46]2023-24'!$AZ196/10^7</f>
        <v>1.285820508954306</v>
      </c>
      <c r="M569" s="66">
        <f>'[46]2023-24'!$BF196/10^7</f>
        <v>0.47022559832958311</v>
      </c>
      <c r="N569" s="66">
        <f>'[46]2023-24'!$BL196/10^7</f>
        <v>0.6482404842782159</v>
      </c>
      <c r="O569" s="66">
        <f>'[46]2023-24'!$BR196/10^7</f>
        <v>0.53515805483482626</v>
      </c>
      <c r="P569" s="66">
        <f>'[46]2023-24'!$BX196/10^7 + '[46]2023-24'!$CD196/10^7</f>
        <v>0.88050606470823733</v>
      </c>
      <c r="Q569" s="291">
        <f t="shared" si="210"/>
        <v>3.8199507111051689</v>
      </c>
    </row>
    <row r="570" spans="3:17" x14ac:dyDescent="0.25">
      <c r="C570" s="17"/>
      <c r="D570" s="17" t="s">
        <v>380</v>
      </c>
      <c r="E570" s="66">
        <f>'[46]2023-24'!$J178/10^7</f>
        <v>0</v>
      </c>
      <c r="F570" s="66">
        <f>'[46]2023-24'!$P178/10^7</f>
        <v>8.4260777383000001</v>
      </c>
      <c r="G570" s="66">
        <f>'[46]2023-24'!$V178/10^7</f>
        <v>0</v>
      </c>
      <c r="H570" s="66">
        <f>'[46]2023-24'!$AB178/10^7</f>
        <v>7.2555070614136445</v>
      </c>
      <c r="I570" s="66">
        <f>'[46]2023-24'!$AH178/10^7</f>
        <v>0</v>
      </c>
      <c r="J570" s="66">
        <f>'[46]2023-24'!$AN178/10^7</f>
        <v>0</v>
      </c>
      <c r="K570" s="66">
        <f>'[46]2023-24'!$AT178/10^7</f>
        <v>0</v>
      </c>
      <c r="L570" s="66">
        <f>'[46]2023-24'!$AZ178/10^7</f>
        <v>0</v>
      </c>
      <c r="M570" s="66">
        <f>'[46]2023-24'!$BF178/10^7</f>
        <v>0</v>
      </c>
      <c r="N570" s="66">
        <f>'[46]2023-24'!$BL178/10^7</f>
        <v>0</v>
      </c>
      <c r="O570" s="66">
        <f>'[46]2023-24'!$BR178/10^7</f>
        <v>0</v>
      </c>
      <c r="P570" s="66">
        <f>'[46]2023-24'!$BX178/10^7 + '[46]2023-24'!$CD178/10^7</f>
        <v>0</v>
      </c>
      <c r="Q570" s="291">
        <f t="shared" si="210"/>
        <v>15.681584799713644</v>
      </c>
    </row>
    <row r="571" spans="3:17" x14ac:dyDescent="0.25">
      <c r="C571" s="17"/>
      <c r="D571" s="17" t="s">
        <v>381</v>
      </c>
      <c r="E571" s="66">
        <f>'[46]2023-24'!$J179/10^7</f>
        <v>0</v>
      </c>
      <c r="F571" s="66">
        <f>'[46]2023-24'!$P179/10^7</f>
        <v>0</v>
      </c>
      <c r="G571" s="66">
        <f>'[46]2023-24'!$V179/10^7</f>
        <v>0</v>
      </c>
      <c r="H571" s="66">
        <f>'[46]2023-24'!$AB179/10^7</f>
        <v>10.734884086875892</v>
      </c>
      <c r="I571" s="66">
        <f>'[46]2023-24'!$AH179/10^7</f>
        <v>0</v>
      </c>
      <c r="J571" s="66">
        <f>'[46]2023-24'!$AN179/10^7</f>
        <v>0</v>
      </c>
      <c r="K571" s="66">
        <f>'[46]2023-24'!$AT179/10^7</f>
        <v>0</v>
      </c>
      <c r="L571" s="66">
        <f>'[46]2023-24'!$AZ179/10^7</f>
        <v>0</v>
      </c>
      <c r="M571" s="66">
        <f>'[46]2023-24'!$BF179/10^7</f>
        <v>0</v>
      </c>
      <c r="N571" s="66">
        <f>'[46]2023-24'!$BL179/10^7</f>
        <v>0</v>
      </c>
      <c r="O571" s="66">
        <f>'[46]2023-24'!$BR179/10^7</f>
        <v>0</v>
      </c>
      <c r="P571" s="66">
        <f>'[46]2023-24'!$BX179/10^7 + '[46]2023-24'!$CD179/10^7</f>
        <v>0</v>
      </c>
      <c r="Q571" s="291">
        <f t="shared" si="210"/>
        <v>10.734884086875892</v>
      </c>
    </row>
    <row r="572" spans="3:17" x14ac:dyDescent="0.25">
      <c r="C572" s="17"/>
      <c r="D572" s="17" t="s">
        <v>382</v>
      </c>
      <c r="E572" s="66">
        <f>'[46]2023-24'!$J180/10^7</f>
        <v>0</v>
      </c>
      <c r="F572" s="66">
        <f>'[46]2023-24'!$P180/10^7</f>
        <v>0</v>
      </c>
      <c r="G572" s="66">
        <f>'[46]2023-24'!$V180/10^7</f>
        <v>0</v>
      </c>
      <c r="H572" s="66">
        <f>'[46]2023-24'!$AB180/10^7</f>
        <v>7.7728388261761383</v>
      </c>
      <c r="I572" s="66">
        <f>'[46]2023-24'!$AH180/10^7</f>
        <v>0</v>
      </c>
      <c r="J572" s="66">
        <f>'[46]2023-24'!$AN180/10^7</f>
        <v>0</v>
      </c>
      <c r="K572" s="66">
        <f>'[46]2023-24'!$AT180/10^7</f>
        <v>0</v>
      </c>
      <c r="L572" s="66">
        <f>'[46]2023-24'!$AZ180/10^7</f>
        <v>0</v>
      </c>
      <c r="M572" s="66">
        <f>'[46]2023-24'!$BF180/10^7</f>
        <v>0</v>
      </c>
      <c r="N572" s="66">
        <f>'[46]2023-24'!$BL180/10^7</f>
        <v>0</v>
      </c>
      <c r="O572" s="66">
        <f>'[46]2023-24'!$BR180/10^7</f>
        <v>0</v>
      </c>
      <c r="P572" s="66">
        <f>'[46]2023-24'!$BX180/10^7 + '[46]2023-24'!$CD180/10^7</f>
        <v>0</v>
      </c>
      <c r="Q572" s="291">
        <f t="shared" si="210"/>
        <v>7.7728388261761383</v>
      </c>
    </row>
    <row r="573" spans="3:17" x14ac:dyDescent="0.25">
      <c r="C573" s="17"/>
      <c r="D573" s="17" t="s">
        <v>383</v>
      </c>
      <c r="E573" s="66">
        <f>'[46]2023-24'!$J181/10^7</f>
        <v>0</v>
      </c>
      <c r="F573" s="66">
        <f>'[46]2023-24'!$P181/10^7</f>
        <v>0</v>
      </c>
      <c r="G573" s="66">
        <f>'[46]2023-24'!$V181/10^7</f>
        <v>0</v>
      </c>
      <c r="H573" s="66">
        <f>'[46]2023-24'!$AB181/10^7</f>
        <v>0.22873460034479118</v>
      </c>
      <c r="I573" s="66">
        <f>'[46]2023-24'!$AH181/10^7</f>
        <v>0</v>
      </c>
      <c r="J573" s="66">
        <f>'[46]2023-24'!$AN181/10^7</f>
        <v>0</v>
      </c>
      <c r="K573" s="66">
        <f>'[46]2023-24'!$AT181/10^7</f>
        <v>0</v>
      </c>
      <c r="L573" s="66">
        <f>'[46]2023-24'!$AZ181/10^7</f>
        <v>0</v>
      </c>
      <c r="M573" s="66">
        <f>'[46]2023-24'!$BF181/10^7</f>
        <v>0</v>
      </c>
      <c r="N573" s="66">
        <f>'[46]2023-24'!$BL181/10^7</f>
        <v>0</v>
      </c>
      <c r="O573" s="66">
        <f>'[46]2023-24'!$BR181/10^7</f>
        <v>0</v>
      </c>
      <c r="P573" s="66">
        <f>'[46]2023-24'!$BX181/10^7 + '[46]2023-24'!$CD181/10^7</f>
        <v>0</v>
      </c>
      <c r="Q573" s="291">
        <f t="shared" si="210"/>
        <v>0.22873460034479118</v>
      </c>
    </row>
    <row r="574" spans="3:17" x14ac:dyDescent="0.25">
      <c r="C574" s="17"/>
      <c r="D574" s="17" t="s">
        <v>384</v>
      </c>
      <c r="E574" s="66">
        <f>'[46]2023-24'!$J182/10^7</f>
        <v>0</v>
      </c>
      <c r="F574" s="66">
        <f>'[46]2023-24'!$P182/10^7</f>
        <v>0</v>
      </c>
      <c r="G574" s="66">
        <f>'[46]2023-24'!$V182/10^7</f>
        <v>0</v>
      </c>
      <c r="H574" s="66">
        <f>'[46]2023-24'!$AB182/10^7</f>
        <v>9.4779554578412237E-2</v>
      </c>
      <c r="I574" s="66">
        <f>'[46]2023-24'!$AH182/10^7</f>
        <v>0</v>
      </c>
      <c r="J574" s="66">
        <f>'[46]2023-24'!$AN182/10^7</f>
        <v>0</v>
      </c>
      <c r="K574" s="66">
        <f>'[46]2023-24'!$AT182/10^7</f>
        <v>0</v>
      </c>
      <c r="L574" s="66">
        <f>'[46]2023-24'!$AZ182/10^7</f>
        <v>0</v>
      </c>
      <c r="M574" s="66">
        <f>'[46]2023-24'!$BF182/10^7</f>
        <v>0</v>
      </c>
      <c r="N574" s="66">
        <f>'[46]2023-24'!$BL182/10^7</f>
        <v>0</v>
      </c>
      <c r="O574" s="66">
        <f>'[46]2023-24'!$BR182/10^7</f>
        <v>0</v>
      </c>
      <c r="P574" s="66">
        <f>'[46]2023-24'!$BX182/10^7 + '[46]2023-24'!$CD182/10^7</f>
        <v>0</v>
      </c>
      <c r="Q574" s="291">
        <f t="shared" si="210"/>
        <v>9.4779554578412237E-2</v>
      </c>
    </row>
    <row r="575" spans="3:17" x14ac:dyDescent="0.25">
      <c r="C575" s="17"/>
      <c r="D575" s="17" t="s">
        <v>385</v>
      </c>
      <c r="E575" s="66">
        <f>'[46]2023-24'!$J197/10^7</f>
        <v>0</v>
      </c>
      <c r="F575" s="66">
        <f>'[46]2023-24'!$P197/10^7</f>
        <v>0</v>
      </c>
      <c r="G575" s="66">
        <f>'[46]2023-24'!$V197/10^7</f>
        <v>0</v>
      </c>
      <c r="H575" s="66">
        <f>'[46]2023-24'!$AB197/10^7</f>
        <v>0</v>
      </c>
      <c r="I575" s="66">
        <f>'[46]2023-24'!$AH197/10^7</f>
        <v>0</v>
      </c>
      <c r="J575" s="66">
        <f>'[46]2023-24'!$AN197/10^7</f>
        <v>0</v>
      </c>
      <c r="K575" s="66">
        <f>'[46]2023-24'!$AT197/10^7</f>
        <v>0</v>
      </c>
      <c r="L575" s="66">
        <f>'[46]2023-24'!$AZ197/10^7</f>
        <v>0</v>
      </c>
      <c r="M575" s="66">
        <f>'[46]2023-24'!$BF197/10^7</f>
        <v>0</v>
      </c>
      <c r="N575" s="66">
        <f>'[46]2023-24'!$BL197/10^7</f>
        <v>0</v>
      </c>
      <c r="O575" s="66">
        <f>'[46]2023-24'!$BR197/10^7</f>
        <v>0</v>
      </c>
      <c r="P575" s="66">
        <f>'[46]2023-24'!$BX197/10^7 + '[46]2023-24'!$CD197/10^7</f>
        <v>0</v>
      </c>
      <c r="Q575" s="291">
        <f>SUM(E577:P577)</f>
        <v>0</v>
      </c>
    </row>
    <row r="576" spans="3:17" x14ac:dyDescent="0.25">
      <c r="C576" s="17"/>
      <c r="D576" s="17" t="s">
        <v>386</v>
      </c>
      <c r="E576" s="66">
        <f>'[46]2023-24'!$J198/10^7</f>
        <v>0</v>
      </c>
      <c r="F576" s="66">
        <f>'[46]2023-24'!$P198/10^7</f>
        <v>0</v>
      </c>
      <c r="G576" s="66">
        <f>'[46]2023-24'!$V198/10^7</f>
        <v>0</v>
      </c>
      <c r="H576" s="66">
        <f>'[46]2023-24'!$AB198/10^7</f>
        <v>0</v>
      </c>
      <c r="I576" s="66">
        <f>'[46]2023-24'!$AH198/10^7</f>
        <v>0</v>
      </c>
      <c r="J576" s="66">
        <f>'[46]2023-24'!$AN198/10^7</f>
        <v>0</v>
      </c>
      <c r="K576" s="66">
        <f>'[46]2023-24'!$AT198/10^7</f>
        <v>0</v>
      </c>
      <c r="L576" s="66">
        <f>'[46]2023-24'!$AZ198/10^7</f>
        <v>0</v>
      </c>
      <c r="M576" s="66">
        <f>'[46]2023-24'!$BF198/10^7</f>
        <v>0</v>
      </c>
      <c r="N576" s="66">
        <f>'[46]2023-24'!$BL198/10^7</f>
        <v>0</v>
      </c>
      <c r="O576" s="66">
        <f>'[46]2023-24'!$BR198/10^7</f>
        <v>0</v>
      </c>
      <c r="P576" s="66">
        <f>'[46]2023-24'!$BX198/10^7 + '[46]2023-24'!$CD198/10^7</f>
        <v>0</v>
      </c>
      <c r="Q576" s="291">
        <f t="shared" si="210"/>
        <v>0</v>
      </c>
    </row>
    <row r="577" spans="3:17" x14ac:dyDescent="0.25">
      <c r="C577" s="17"/>
      <c r="D577" s="328" t="s">
        <v>438</v>
      </c>
      <c r="E577" s="66">
        <f>'[46]2023-24'!$J183/10^7</f>
        <v>0</v>
      </c>
      <c r="F577" s="66">
        <f>'[46]2023-24'!$P183/10^7</f>
        <v>0</v>
      </c>
      <c r="G577" s="66">
        <f>'[46]2023-24'!$V183/10^7</f>
        <v>0</v>
      </c>
      <c r="H577" s="66">
        <f>'[46]2023-24'!$AB183/10^7</f>
        <v>0</v>
      </c>
      <c r="I577" s="66">
        <f>'[46]2023-24'!$AH183/10^7</f>
        <v>0</v>
      </c>
      <c r="J577" s="66">
        <f>'[46]2023-24'!$AN183/10^7</f>
        <v>0</v>
      </c>
      <c r="K577" s="66">
        <f>'[46]2023-24'!$AT183/10^7</f>
        <v>0</v>
      </c>
      <c r="L577" s="66">
        <f>'[46]2023-24'!$AZ183/10^7</f>
        <v>0</v>
      </c>
      <c r="M577" s="66">
        <f>'[46]2023-24'!$BF183/10^7</f>
        <v>0</v>
      </c>
      <c r="N577" s="66">
        <f>'[46]2023-24'!$BL183/10^7</f>
        <v>0</v>
      </c>
      <c r="O577" s="66">
        <f>'[46]2023-24'!$BR183/10^7</f>
        <v>0</v>
      </c>
      <c r="P577" s="66">
        <f>'[46]2023-24'!$BX183/10^7 + '[46]2023-24'!$CD183/10^7</f>
        <v>0</v>
      </c>
      <c r="Q577" s="291">
        <f t="shared" si="210"/>
        <v>0</v>
      </c>
    </row>
    <row r="578" spans="3:17" x14ac:dyDescent="0.25">
      <c r="C578" s="17"/>
      <c r="D578" s="328" t="s">
        <v>439</v>
      </c>
      <c r="E578" s="66">
        <f>'[46]2023-24'!$J184/10^7</f>
        <v>0</v>
      </c>
      <c r="F578" s="66">
        <f>'[46]2023-24'!$P184/10^7</f>
        <v>0</v>
      </c>
      <c r="G578" s="66">
        <f>'[46]2023-24'!$V184/10^7</f>
        <v>0</v>
      </c>
      <c r="H578" s="66">
        <f>'[46]2023-24'!$AB184/10^7</f>
        <v>0</v>
      </c>
      <c r="I578" s="66">
        <f>'[46]2023-24'!$AH184/10^7</f>
        <v>0</v>
      </c>
      <c r="J578" s="66">
        <f>'[46]2023-24'!$AN184/10^7</f>
        <v>0</v>
      </c>
      <c r="K578" s="66">
        <f>'[46]2023-24'!$AT184/10^7</f>
        <v>0</v>
      </c>
      <c r="L578" s="66">
        <f>'[46]2023-24'!$AZ184/10^7</f>
        <v>0</v>
      </c>
      <c r="M578" s="66">
        <f>'[46]2023-24'!$BF184/10^7</f>
        <v>0</v>
      </c>
      <c r="N578" s="66">
        <f>'[46]2023-24'!$BL184/10^7</f>
        <v>0</v>
      </c>
      <c r="O578" s="66">
        <f>'[46]2023-24'!$BR184/10^7</f>
        <v>0</v>
      </c>
      <c r="P578" s="66">
        <f>'[46]2023-24'!$BX184/10^7 + '[46]2023-24'!$CD184/10^7</f>
        <v>0</v>
      </c>
      <c r="Q578" s="291">
        <f t="shared" si="210"/>
        <v>0</v>
      </c>
    </row>
    <row r="579" spans="3:17" x14ac:dyDescent="0.25">
      <c r="C579" s="17"/>
      <c r="D579" s="327" t="s">
        <v>441</v>
      </c>
      <c r="E579" s="66">
        <f>'[46]2023-24'!$J186/10^7</f>
        <v>0</v>
      </c>
      <c r="F579" s="66">
        <f>'[46]2023-24'!$P186/10^7</f>
        <v>0</v>
      </c>
      <c r="G579" s="66">
        <f>'[46]2023-24'!$V186/10^7</f>
        <v>0</v>
      </c>
      <c r="H579" s="66">
        <f>'[46]2023-24'!$AB186/10^7</f>
        <v>0</v>
      </c>
      <c r="I579" s="66">
        <f>'[46]2023-24'!$AH186/10^7</f>
        <v>0</v>
      </c>
      <c r="J579" s="66">
        <f>'[46]2023-24'!$AN186/10^7</f>
        <v>0</v>
      </c>
      <c r="K579" s="66">
        <f>'[46]2023-24'!$AT186/10^7</f>
        <v>0</v>
      </c>
      <c r="L579" s="66">
        <f>'[46]2023-24'!$AZ186/10^7</f>
        <v>0</v>
      </c>
      <c r="M579" s="66">
        <f>'[46]2023-24'!$BF186/10^7</f>
        <v>0</v>
      </c>
      <c r="N579" s="66">
        <f>'[46]2023-24'!$BL186/10^7</f>
        <v>0</v>
      </c>
      <c r="O579" s="66">
        <f>'[46]2023-24'!$BR186/10^7</f>
        <v>0</v>
      </c>
      <c r="P579" s="66">
        <f>'[46]2023-24'!$BX186/10^7 + '[46]2023-24'!$CD186/10^7</f>
        <v>0</v>
      </c>
      <c r="Q579" s="291">
        <f t="shared" si="210"/>
        <v>0</v>
      </c>
    </row>
    <row r="580" spans="3:17" x14ac:dyDescent="0.25">
      <c r="C580" s="17"/>
      <c r="D580" s="327" t="s">
        <v>442</v>
      </c>
      <c r="E580" s="66">
        <f>'[46]2023-24'!$J187/10^7</f>
        <v>0</v>
      </c>
      <c r="F580" s="66">
        <f>'[46]2023-24'!$P187/10^7</f>
        <v>0</v>
      </c>
      <c r="G580" s="66">
        <f>'[46]2023-24'!$V187/10^7</f>
        <v>0</v>
      </c>
      <c r="H580" s="66">
        <f>'[46]2023-24'!$AB187/10^7</f>
        <v>0</v>
      </c>
      <c r="I580" s="66">
        <f>'[46]2023-24'!$AH187/10^7</f>
        <v>0</v>
      </c>
      <c r="J580" s="66">
        <f>'[46]2023-24'!$AN187/10^7</f>
        <v>0</v>
      </c>
      <c r="K580" s="66">
        <f>'[46]2023-24'!$AT187/10^7</f>
        <v>0</v>
      </c>
      <c r="L580" s="66">
        <f>'[46]2023-24'!$AZ187/10^7</f>
        <v>0</v>
      </c>
      <c r="M580" s="66">
        <f>'[46]2023-24'!$BF187/10^7</f>
        <v>0</v>
      </c>
      <c r="N580" s="66">
        <f>'[46]2023-24'!$BL187/10^7</f>
        <v>0</v>
      </c>
      <c r="O580" s="66">
        <f>'[46]2023-24'!$BR187/10^7</f>
        <v>0</v>
      </c>
      <c r="P580" s="66">
        <f>'[46]2023-24'!$BX187/10^7 + '[46]2023-24'!$CD187/10^7</f>
        <v>0</v>
      </c>
      <c r="Q580" s="291">
        <f t="shared" si="210"/>
        <v>0</v>
      </c>
    </row>
    <row r="581" spans="3:17" x14ac:dyDescent="0.25">
      <c r="C581" s="17"/>
      <c r="D581" s="328" t="s">
        <v>443</v>
      </c>
      <c r="E581" s="66">
        <f>'[46]2023-24'!$J188/10^7</f>
        <v>0</v>
      </c>
      <c r="F581" s="66">
        <f>'[46]2023-24'!$P188/10^7</f>
        <v>0</v>
      </c>
      <c r="G581" s="66">
        <f>'[46]2023-24'!$V188/10^7</f>
        <v>0</v>
      </c>
      <c r="H581" s="66">
        <f>'[46]2023-24'!$AB188/10^7</f>
        <v>0</v>
      </c>
      <c r="I581" s="66">
        <f>'[46]2023-24'!$AH188/10^7</f>
        <v>0</v>
      </c>
      <c r="J581" s="66">
        <f>'[46]2023-24'!$AN188/10^7</f>
        <v>0</v>
      </c>
      <c r="K581" s="66">
        <f>'[46]2023-24'!$AT188/10^7</f>
        <v>0</v>
      </c>
      <c r="L581" s="66">
        <f>'[46]2023-24'!$AZ188/10^7</f>
        <v>0</v>
      </c>
      <c r="M581" s="66">
        <f>'[46]2023-24'!$BF188/10^7</f>
        <v>0</v>
      </c>
      <c r="N581" s="66">
        <f>'[46]2023-24'!$BL188/10^7</f>
        <v>0</v>
      </c>
      <c r="O581" s="66">
        <f>'[46]2023-24'!$BR188/10^7</f>
        <v>0</v>
      </c>
      <c r="P581" s="66">
        <f>'[46]2023-24'!$BX188/10^7 + '[46]2023-24'!$CD188/10^7</f>
        <v>0</v>
      </c>
      <c r="Q581" s="291">
        <f t="shared" si="210"/>
        <v>0</v>
      </c>
    </row>
    <row r="582" spans="3:17" x14ac:dyDescent="0.25">
      <c r="C582" s="17"/>
      <c r="D582" s="328" t="s">
        <v>444</v>
      </c>
      <c r="E582" s="66">
        <f>'[46]2023-24'!$J189/10^7</f>
        <v>0</v>
      </c>
      <c r="F582" s="66">
        <f>'[46]2023-24'!$P189/10^7</f>
        <v>0</v>
      </c>
      <c r="G582" s="66">
        <f>'[46]2023-24'!$V189/10^7</f>
        <v>0</v>
      </c>
      <c r="H582" s="66">
        <f>'[46]2023-24'!$AB189/10^7</f>
        <v>0</v>
      </c>
      <c r="I582" s="66">
        <f>'[46]2023-24'!$AH189/10^7</f>
        <v>0</v>
      </c>
      <c r="J582" s="66">
        <f>'[46]2023-24'!$AN189/10^7</f>
        <v>0</v>
      </c>
      <c r="K582" s="66">
        <f>'[46]2023-24'!$AT189/10^7</f>
        <v>0</v>
      </c>
      <c r="L582" s="66">
        <f>'[46]2023-24'!$AZ189/10^7</f>
        <v>0</v>
      </c>
      <c r="M582" s="66">
        <f>'[46]2023-24'!$BF189/10^7</f>
        <v>0</v>
      </c>
      <c r="N582" s="66">
        <f>'[46]2023-24'!$BL189/10^7</f>
        <v>0</v>
      </c>
      <c r="O582" s="66">
        <f>'[46]2023-24'!$BR189/10^7</f>
        <v>0</v>
      </c>
      <c r="P582" s="66">
        <f>'[46]2023-24'!$BX189/10^7 + '[46]2023-24'!$CD189/10^7</f>
        <v>0</v>
      </c>
      <c r="Q582" s="291">
        <f t="shared" si="210"/>
        <v>0</v>
      </c>
    </row>
    <row r="583" spans="3:17" x14ac:dyDescent="0.25">
      <c r="C583" s="17"/>
      <c r="D583" s="325" t="s">
        <v>625</v>
      </c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291">
        <f t="shared" si="210"/>
        <v>0</v>
      </c>
    </row>
    <row r="584" spans="3:17" x14ac:dyDescent="0.25"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291">
        <f>SUM(E584:P584)</f>
        <v>0</v>
      </c>
    </row>
    <row r="585" spans="3:17" x14ac:dyDescent="0.25"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291">
        <f>SUM(E585:P585)</f>
        <v>0</v>
      </c>
    </row>
    <row r="586" spans="3:17" x14ac:dyDescent="0.25">
      <c r="C586" s="751" t="s">
        <v>212</v>
      </c>
      <c r="D586" s="752"/>
      <c r="E586" s="291">
        <f t="shared" ref="E586:P586" si="211">SUM(E561:E585)</f>
        <v>-2.91159192E-2</v>
      </c>
      <c r="F586" s="291">
        <f t="shared" si="211"/>
        <v>8.4260777383000001</v>
      </c>
      <c r="G586" s="291">
        <f t="shared" si="211"/>
        <v>0</v>
      </c>
      <c r="H586" s="291">
        <f t="shared" si="211"/>
        <v>26.086744129388876</v>
      </c>
      <c r="I586" s="291">
        <f t="shared" si="211"/>
        <v>0</v>
      </c>
      <c r="J586" s="291">
        <f t="shared" si="211"/>
        <v>0</v>
      </c>
      <c r="K586" s="291">
        <f t="shared" si="211"/>
        <v>0</v>
      </c>
      <c r="L586" s="291">
        <f t="shared" si="211"/>
        <v>-1.3322676295501878E-15</v>
      </c>
      <c r="M586" s="291">
        <f t="shared" si="211"/>
        <v>1.7058244868500001</v>
      </c>
      <c r="N586" s="291">
        <f t="shared" si="211"/>
        <v>2.1681974677999998</v>
      </c>
      <c r="O586" s="291">
        <f t="shared" si="211"/>
        <v>1.7970073706999994</v>
      </c>
      <c r="P586" s="291">
        <f t="shared" si="211"/>
        <v>1.82152735235</v>
      </c>
      <c r="Q586" s="323">
        <f>SUM(E586:P586)</f>
        <v>41.976262626188877</v>
      </c>
    </row>
    <row r="587" spans="3:17" x14ac:dyDescent="0.25">
      <c r="C587" s="753" t="s">
        <v>387</v>
      </c>
      <c r="D587" s="754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3:17" x14ac:dyDescent="0.25">
      <c r="C588" s="805" t="s">
        <v>388</v>
      </c>
      <c r="D588" s="17" t="s">
        <v>389</v>
      </c>
      <c r="E588" s="66">
        <f>'[46]2023-24'!$J176/10^7</f>
        <v>0</v>
      </c>
      <c r="F588" s="66">
        <f>'[46]2023-24'!$P176/10^7</f>
        <v>0</v>
      </c>
      <c r="G588" s="66">
        <f>'[46]2023-24'!$V176/10^7</f>
        <v>0</v>
      </c>
      <c r="H588" s="66">
        <f>'[46]2023-24'!$AB176/10^7</f>
        <v>0</v>
      </c>
      <c r="I588" s="66">
        <f>'[46]2023-24'!$AH176/10^7</f>
        <v>0</v>
      </c>
      <c r="J588" s="66">
        <f>'[46]2023-24'!$AN176/10^7</f>
        <v>0</v>
      </c>
      <c r="K588" s="66">
        <f>'[46]2023-24'!$AT176/10^7</f>
        <v>0</v>
      </c>
      <c r="L588" s="66">
        <f>'[46]2023-24'!$AZ176/10^7</f>
        <v>0</v>
      </c>
      <c r="M588" s="66">
        <f>'[46]2023-24'!$BF176/10^7</f>
        <v>0</v>
      </c>
      <c r="N588" s="66">
        <f>'[46]2023-24'!$BL176/10^7</f>
        <v>0</v>
      </c>
      <c r="O588" s="66">
        <f>'[46]2023-24'!$BR176/10^7</f>
        <v>0</v>
      </c>
      <c r="P588" s="66">
        <f>'[46]2023-24'!$BX176/10^7 + '[46]2023-24'!$CD176/10^7</f>
        <v>0</v>
      </c>
      <c r="Q588" s="17">
        <f t="shared" ref="Q588:Q602" si="212">SUM(E588:P588)</f>
        <v>0</v>
      </c>
    </row>
    <row r="589" spans="3:17" x14ac:dyDescent="0.25">
      <c r="C589" s="806"/>
      <c r="D589" s="17" t="s">
        <v>390</v>
      </c>
      <c r="E589" s="66">
        <f>'[46]2023-24'!$J175/10^7</f>
        <v>0</v>
      </c>
      <c r="F589" s="66">
        <f>'[46]2023-24'!$P175/10^7</f>
        <v>0</v>
      </c>
      <c r="G589" s="66">
        <f>'[46]2023-24'!$V175/10^7</f>
        <v>0</v>
      </c>
      <c r="H589" s="66">
        <f>'[46]2023-24'!$AB175/10^7</f>
        <v>0</v>
      </c>
      <c r="I589" s="66">
        <f>'[46]2023-24'!$AH175/10^7</f>
        <v>0</v>
      </c>
      <c r="J589" s="66">
        <f>'[46]2023-24'!$AN175/10^7</f>
        <v>0</v>
      </c>
      <c r="K589" s="66">
        <f>'[46]2023-24'!$AT175/10^7</f>
        <v>0</v>
      </c>
      <c r="L589" s="66">
        <f>'[46]2023-24'!$AZ175/10^7</f>
        <v>0</v>
      </c>
      <c r="M589" s="66">
        <f>'[46]2023-24'!$BF175/10^7</f>
        <v>0</v>
      </c>
      <c r="N589" s="66">
        <f>'[46]2023-24'!$BL175/10^7</f>
        <v>0</v>
      </c>
      <c r="O589" s="66">
        <f>'[46]2023-24'!$BR175/10^7</f>
        <v>0</v>
      </c>
      <c r="P589" s="66">
        <f>'[46]2023-24'!$BX175/10^7 + '[46]2023-24'!$CD175/10^7</f>
        <v>0</v>
      </c>
      <c r="Q589" s="17">
        <f t="shared" si="212"/>
        <v>0</v>
      </c>
    </row>
    <row r="590" spans="3:17" x14ac:dyDescent="0.25">
      <c r="C590" s="806"/>
      <c r="D590" s="17" t="s">
        <v>391</v>
      </c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>
        <f t="shared" si="212"/>
        <v>0</v>
      </c>
    </row>
    <row r="591" spans="3:17" x14ac:dyDescent="0.25">
      <c r="C591" s="807"/>
      <c r="D591" s="17" t="s">
        <v>392</v>
      </c>
      <c r="E591" s="66">
        <f>'[46]2023-24'!$J177/10^7</f>
        <v>0</v>
      </c>
      <c r="F591" s="66">
        <f>'[46]2023-24'!$P177/10^7</f>
        <v>0</v>
      </c>
      <c r="G591" s="66">
        <f>'[46]2023-24'!$V177/10^7</f>
        <v>0</v>
      </c>
      <c r="H591" s="66">
        <f>'[46]2023-24'!$AB177/10^7</f>
        <v>0.30302017949999999</v>
      </c>
      <c r="I591" s="66">
        <f>'[46]2023-24'!$AH177/10^7</f>
        <v>0</v>
      </c>
      <c r="J591" s="66">
        <f>'[46]2023-24'!$AN177/10^7</f>
        <v>0</v>
      </c>
      <c r="K591" s="66">
        <f>'[46]2023-24'!$AT177/10^7</f>
        <v>0</v>
      </c>
      <c r="L591" s="66">
        <f>'[46]2023-24'!$AZ177/10^7</f>
        <v>0</v>
      </c>
      <c r="M591" s="66">
        <f>'[46]2023-24'!$BF177/10^7</f>
        <v>0</v>
      </c>
      <c r="N591" s="66">
        <f>'[46]2023-24'!$BL177/10^7</f>
        <v>0</v>
      </c>
      <c r="O591" s="66">
        <f>'[46]2023-24'!$BR177/10^7</f>
        <v>0</v>
      </c>
      <c r="P591" s="66">
        <f>'[46]2023-24'!$BX177/10^7 + '[46]2023-24'!$CD177/10^7</f>
        <v>0</v>
      </c>
      <c r="Q591" s="17">
        <f t="shared" si="212"/>
        <v>0.30302017949999999</v>
      </c>
    </row>
    <row r="592" spans="3:17" x14ac:dyDescent="0.25">
      <c r="C592" s="17"/>
      <c r="D592" s="17"/>
      <c r="Q592" s="17">
        <f t="shared" si="212"/>
        <v>0</v>
      </c>
    </row>
    <row r="593" spans="3:17" x14ac:dyDescent="0.25"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>
        <f t="shared" si="212"/>
        <v>0</v>
      </c>
    </row>
    <row r="594" spans="3:17" x14ac:dyDescent="0.25"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>
        <f t="shared" si="212"/>
        <v>0</v>
      </c>
    </row>
    <row r="595" spans="3:17" x14ac:dyDescent="0.25"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>
        <f t="shared" si="212"/>
        <v>0</v>
      </c>
    </row>
    <row r="596" spans="3:17" x14ac:dyDescent="0.25"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>
        <f t="shared" si="212"/>
        <v>0</v>
      </c>
    </row>
    <row r="597" spans="3:17" x14ac:dyDescent="0.25"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>
        <f t="shared" si="212"/>
        <v>0</v>
      </c>
    </row>
    <row r="598" spans="3:17" x14ac:dyDescent="0.25"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>
        <f t="shared" si="212"/>
        <v>0</v>
      </c>
    </row>
    <row r="599" spans="3:17" x14ac:dyDescent="0.25"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>
        <f t="shared" si="212"/>
        <v>0</v>
      </c>
    </row>
    <row r="600" spans="3:17" x14ac:dyDescent="0.25"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>
        <f t="shared" si="212"/>
        <v>0</v>
      </c>
    </row>
    <row r="601" spans="3:17" x14ac:dyDescent="0.25"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>
        <f t="shared" si="212"/>
        <v>0</v>
      </c>
    </row>
    <row r="602" spans="3:17" x14ac:dyDescent="0.25">
      <c r="C602" s="751" t="s">
        <v>212</v>
      </c>
      <c r="D602" s="752"/>
      <c r="E602" s="291">
        <f t="shared" ref="E602:P602" si="213">SUM(E588:E601)</f>
        <v>0</v>
      </c>
      <c r="F602" s="291">
        <f t="shared" si="213"/>
        <v>0</v>
      </c>
      <c r="G602" s="291">
        <f t="shared" si="213"/>
        <v>0</v>
      </c>
      <c r="H602" s="291">
        <f t="shared" si="213"/>
        <v>0.30302017949999999</v>
      </c>
      <c r="I602" s="291">
        <f t="shared" si="213"/>
        <v>0</v>
      </c>
      <c r="J602" s="291">
        <f t="shared" si="213"/>
        <v>0</v>
      </c>
      <c r="K602" s="291">
        <f t="shared" si="213"/>
        <v>0</v>
      </c>
      <c r="L602" s="291">
        <f t="shared" si="213"/>
        <v>0</v>
      </c>
      <c r="M602" s="291">
        <f t="shared" si="213"/>
        <v>0</v>
      </c>
      <c r="N602" s="291">
        <f t="shared" si="213"/>
        <v>0</v>
      </c>
      <c r="O602" s="291">
        <f t="shared" si="213"/>
        <v>0</v>
      </c>
      <c r="P602" s="291">
        <f t="shared" si="213"/>
        <v>0</v>
      </c>
      <c r="Q602" s="323">
        <f t="shared" si="212"/>
        <v>0.30302017949999999</v>
      </c>
    </row>
    <row r="603" spans="3:17" x14ac:dyDescent="0.25">
      <c r="C603" s="753" t="s">
        <v>394</v>
      </c>
      <c r="D603" s="754"/>
      <c r="E603" s="329">
        <f t="shared" ref="E603:Q603" si="214">E586+E602</f>
        <v>-2.91159192E-2</v>
      </c>
      <c r="F603" s="329">
        <f t="shared" si="214"/>
        <v>8.4260777383000001</v>
      </c>
      <c r="G603" s="329">
        <f t="shared" si="214"/>
        <v>0</v>
      </c>
      <c r="H603" s="329">
        <f t="shared" si="214"/>
        <v>26.389764308888875</v>
      </c>
      <c r="I603" s="329">
        <f t="shared" si="214"/>
        <v>0</v>
      </c>
      <c r="J603" s="329">
        <f t="shared" si="214"/>
        <v>0</v>
      </c>
      <c r="K603" s="329">
        <f t="shared" si="214"/>
        <v>0</v>
      </c>
      <c r="L603" s="329">
        <f t="shared" si="214"/>
        <v>-1.3322676295501878E-15</v>
      </c>
      <c r="M603" s="329">
        <f t="shared" si="214"/>
        <v>1.7058244868500001</v>
      </c>
      <c r="N603" s="329">
        <f t="shared" si="214"/>
        <v>2.1681974677999998</v>
      </c>
      <c r="O603" s="329">
        <f t="shared" si="214"/>
        <v>1.7970073706999994</v>
      </c>
      <c r="P603" s="329">
        <f t="shared" si="214"/>
        <v>1.82152735235</v>
      </c>
      <c r="Q603" s="323">
        <f t="shared" si="214"/>
        <v>42.279282805688879</v>
      </c>
    </row>
    <row r="604" spans="3:17" x14ac:dyDescent="0.25">
      <c r="C604" s="800" t="s">
        <v>395</v>
      </c>
      <c r="D604" s="801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3:17" x14ac:dyDescent="0.25">
      <c r="C605" s="17" t="s">
        <v>396</v>
      </c>
      <c r="D605" s="17" t="s">
        <v>396</v>
      </c>
      <c r="E605" s="66">
        <f>'[46]2023-24'!$J201/10^7</f>
        <v>0</v>
      </c>
      <c r="F605" s="66">
        <f>'[46]2023-24'!$P201/10^7</f>
        <v>0</v>
      </c>
      <c r="G605" s="66">
        <f>'[46]2023-24'!$V201/10^7</f>
        <v>0</v>
      </c>
      <c r="H605" s="66">
        <f>'[46]2023-24'!$AB201/10^7</f>
        <v>0</v>
      </c>
      <c r="I605" s="66">
        <f>'[46]2023-24'!$AH201/10^7</f>
        <v>0</v>
      </c>
      <c r="J605" s="66">
        <f>'[46]2023-24'!$AN201/10^7</f>
        <v>0</v>
      </c>
      <c r="K605" s="66">
        <f>'[46]2023-24'!$AT201/10^7</f>
        <v>0</v>
      </c>
      <c r="L605" s="66">
        <f>'[46]2023-24'!$AZ201/10^7</f>
        <v>0</v>
      </c>
      <c r="M605" s="66">
        <f>'[46]2023-24'!$BF201/10^7</f>
        <v>4.8884055000000001E-4</v>
      </c>
      <c r="N605" s="66">
        <f>'[46]2023-24'!$BL201/10^7</f>
        <v>0</v>
      </c>
      <c r="O605" s="66">
        <f>'[46]2023-24'!$BR201/10^7</f>
        <v>0</v>
      </c>
      <c r="P605" s="66">
        <f>'[46]2023-24'!$BX201/10^7 + '[46]2023-24'!$CD201/10^7</f>
        <v>7.0803395500000001E-3</v>
      </c>
      <c r="Q605" s="66">
        <f>SUM(E605:P605)</f>
        <v>7.5691801000000005E-3</v>
      </c>
    </row>
    <row r="606" spans="3:17" x14ac:dyDescent="0.25">
      <c r="C606" s="17" t="s">
        <v>397</v>
      </c>
      <c r="D606" s="17" t="s">
        <v>397</v>
      </c>
      <c r="E606" s="66">
        <f>'[46]2023-24'!$J202/10^7</f>
        <v>0</v>
      </c>
      <c r="F606" s="66">
        <f>'[46]2023-24'!$P202/10^7</f>
        <v>0</v>
      </c>
      <c r="G606" s="66">
        <f>'[46]2023-24'!$V202/10^7</f>
        <v>0</v>
      </c>
      <c r="H606" s="66">
        <f>'[46]2023-24'!$AB202/10^7</f>
        <v>0</v>
      </c>
      <c r="I606" s="66">
        <f>'[46]2023-24'!$AH202/10^7</f>
        <v>0</v>
      </c>
      <c r="J606" s="66">
        <f>'[46]2023-24'!$AN202/10^7</f>
        <v>0</v>
      </c>
      <c r="K606" s="66">
        <f>'[46]2023-24'!$AT202/10^7</f>
        <v>0</v>
      </c>
      <c r="L606" s="66">
        <f>'[46]2023-24'!$AZ202/10^7</f>
        <v>0</v>
      </c>
      <c r="M606" s="66">
        <f>'[46]2023-24'!$BF202/10^7</f>
        <v>0</v>
      </c>
      <c r="N606" s="66">
        <f>'[46]2023-24'!$BL202/10^7</f>
        <v>0</v>
      </c>
      <c r="O606" s="66">
        <f>'[46]2023-24'!$BR202/10^7</f>
        <v>0</v>
      </c>
      <c r="P606" s="66">
        <f>'[46]2023-24'!$BX202/10^7 + '[46]2023-24'!$CD202/10^7</f>
        <v>0</v>
      </c>
      <c r="Q606" s="66">
        <f>SUM(E606:P606)</f>
        <v>0</v>
      </c>
    </row>
    <row r="607" spans="3:17" x14ac:dyDescent="0.25"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3:17" x14ac:dyDescent="0.25"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3:17" x14ac:dyDescent="0.25"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3:17" x14ac:dyDescent="0.25"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3:17" x14ac:dyDescent="0.25"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3:17" x14ac:dyDescent="0.25">
      <c r="C612" s="753" t="s">
        <v>398</v>
      </c>
      <c r="D612" s="754"/>
      <c r="E612" s="291">
        <f t="shared" ref="E612:P612" si="215">SUM(E605:E611)</f>
        <v>0</v>
      </c>
      <c r="F612" s="291">
        <f t="shared" si="215"/>
        <v>0</v>
      </c>
      <c r="G612" s="291">
        <f t="shared" si="215"/>
        <v>0</v>
      </c>
      <c r="H612" s="291">
        <f t="shared" si="215"/>
        <v>0</v>
      </c>
      <c r="I612" s="291">
        <f t="shared" si="215"/>
        <v>0</v>
      </c>
      <c r="J612" s="291">
        <f t="shared" si="215"/>
        <v>0</v>
      </c>
      <c r="K612" s="291">
        <f t="shared" si="215"/>
        <v>0</v>
      </c>
      <c r="L612" s="291">
        <f t="shared" si="215"/>
        <v>0</v>
      </c>
      <c r="M612" s="291">
        <f t="shared" si="215"/>
        <v>4.8884055000000001E-4</v>
      </c>
      <c r="N612" s="291">
        <f t="shared" si="215"/>
        <v>0</v>
      </c>
      <c r="O612" s="291">
        <f t="shared" si="215"/>
        <v>0</v>
      </c>
      <c r="P612" s="291">
        <f t="shared" si="215"/>
        <v>7.0803395500000001E-3</v>
      </c>
      <c r="Q612" s="323">
        <f>SUM(E612:P612)</f>
        <v>7.5691801000000005E-3</v>
      </c>
    </row>
    <row r="613" spans="3:17" x14ac:dyDescent="0.25">
      <c r="C613" s="800" t="s">
        <v>399</v>
      </c>
      <c r="D613" s="801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3:17" x14ac:dyDescent="0.25">
      <c r="C614" s="17" t="s">
        <v>400</v>
      </c>
      <c r="D614" s="17" t="s">
        <v>400</v>
      </c>
      <c r="E614" s="66">
        <f>'[46]2023-24'!$J223/10^7</f>
        <v>-19.110105000000001</v>
      </c>
      <c r="F614" s="66">
        <f>'[46]2023-24'!$P223/10^7</f>
        <v>9.7155550000000002</v>
      </c>
      <c r="G614" s="66">
        <f>'[46]2023-24'!$V223/10^7</f>
        <v>0</v>
      </c>
      <c r="H614" s="66">
        <f>'[46]2023-24'!$AB223/10^7</f>
        <v>-4.4872368637499997</v>
      </c>
      <c r="I614" s="66">
        <f>'[46]2023-24'!$AH223/10^7</f>
        <v>0.30589538299999997</v>
      </c>
      <c r="J614" s="66">
        <f>'[46]2023-24'!$AN223/10^7</f>
        <v>4.0958213607000005</v>
      </c>
      <c r="K614" s="66">
        <f>'[46]2023-24'!$AT223/10^7</f>
        <v>0</v>
      </c>
      <c r="L614" s="66">
        <f>'[46]2023-24'!$AZ223/10^7</f>
        <v>0</v>
      </c>
      <c r="M614" s="66">
        <f>'[46]2023-24'!$BF223/10^7</f>
        <v>0</v>
      </c>
      <c r="N614" s="66">
        <f>'[46]2023-24'!$BL223/10^7</f>
        <v>1.6890164000000001E-3</v>
      </c>
      <c r="O614" s="66">
        <f>'[46]2023-24'!$BR223/10^7</f>
        <v>1.1611897043999999</v>
      </c>
      <c r="P614" s="66">
        <f>'[46]2023-24'!$BX223/10^7 + '[46]2023-24'!$CD223/10^7</f>
        <v>0</v>
      </c>
      <c r="Q614" s="17">
        <f t="shared" ref="Q614:Q622" si="216">SUM(E614:P614)</f>
        <v>-8.3171913992500013</v>
      </c>
    </row>
    <row r="615" spans="3:17" x14ac:dyDescent="0.25">
      <c r="C615" s="17" t="s">
        <v>401</v>
      </c>
      <c r="D615" s="17" t="s">
        <v>401</v>
      </c>
      <c r="E615" s="366">
        <f>'[46]2023-24'!$J224/10^7</f>
        <v>0</v>
      </c>
      <c r="F615" s="366">
        <f>'[46]2023-24'!$P224/10^7</f>
        <v>0</v>
      </c>
      <c r="G615" s="366">
        <f>'[46]2023-24'!$V224/10^7</f>
        <v>0</v>
      </c>
      <c r="H615" s="366">
        <f>'[46]2023-24'!$AB224/10^7</f>
        <v>0</v>
      </c>
      <c r="I615" s="366">
        <f>'[46]2023-24'!$AH224/10^7</f>
        <v>0</v>
      </c>
      <c r="J615" s="366">
        <f>'[46]2023-24'!$AN224/10^7</f>
        <v>0</v>
      </c>
      <c r="K615" s="366">
        <f>'[46]2023-24'!$AT224/10^7</f>
        <v>0</v>
      </c>
      <c r="L615" s="366">
        <f>'[46]2023-24'!$AZ224/10^7</f>
        <v>0</v>
      </c>
      <c r="M615" s="366">
        <f>'[46]2023-24'!$BF224/10^7</f>
        <v>0</v>
      </c>
      <c r="N615" s="366">
        <f>'[46]2023-24'!$BL224/10^7</f>
        <v>0</v>
      </c>
      <c r="O615" s="366">
        <f>'[46]2023-24'!$BR224/10^7</f>
        <v>0</v>
      </c>
      <c r="P615" s="366">
        <f>'[46]2023-24'!$BX224/10^7 + '[46]2023-24'!$CD224/10^7</f>
        <v>0</v>
      </c>
      <c r="Q615" s="17">
        <f t="shared" ref="Q615:Q620" si="217">SUM(E615:P615)</f>
        <v>0</v>
      </c>
    </row>
    <row r="616" spans="3:17" x14ac:dyDescent="0.25">
      <c r="C616" s="17" t="s">
        <v>402</v>
      </c>
      <c r="D616" s="116" t="s">
        <v>402</v>
      </c>
      <c r="E616" s="366"/>
      <c r="F616" s="366"/>
      <c r="G616" s="366"/>
      <c r="H616" s="366"/>
      <c r="I616" s="366"/>
      <c r="J616" s="366"/>
      <c r="K616" s="366"/>
      <c r="L616" s="366"/>
      <c r="M616" s="366"/>
      <c r="N616" s="366"/>
      <c r="O616" s="366"/>
      <c r="P616" s="366"/>
      <c r="Q616" s="17">
        <f t="shared" si="217"/>
        <v>0</v>
      </c>
    </row>
    <row r="617" spans="3:17" x14ac:dyDescent="0.25">
      <c r="C617" s="17"/>
      <c r="D617" s="11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107">
        <f t="shared" si="217"/>
        <v>0</v>
      </c>
    </row>
    <row r="618" spans="3:17" x14ac:dyDescent="0.25">
      <c r="C618" s="17"/>
      <c r="D618" s="116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07">
        <f t="shared" si="217"/>
        <v>0</v>
      </c>
    </row>
    <row r="619" spans="3:17" x14ac:dyDescent="0.25">
      <c r="C619" s="17"/>
      <c r="D619" s="116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07">
        <f t="shared" si="217"/>
        <v>0</v>
      </c>
    </row>
    <row r="620" spans="3:17" x14ac:dyDescent="0.25">
      <c r="C620" s="17"/>
      <c r="D620" s="17"/>
      <c r="E620" s="417"/>
      <c r="F620" s="417"/>
      <c r="G620" s="417"/>
      <c r="H620" s="417"/>
      <c r="I620" s="417"/>
      <c r="J620" s="417"/>
      <c r="K620" s="417"/>
      <c r="L620" s="417"/>
      <c r="M620" s="417"/>
      <c r="N620" s="417"/>
      <c r="O620" s="417"/>
      <c r="P620" s="417"/>
      <c r="Q620" s="17">
        <f t="shared" si="217"/>
        <v>0</v>
      </c>
    </row>
    <row r="621" spans="3:17" x14ac:dyDescent="0.25"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>
        <f t="shared" si="216"/>
        <v>0</v>
      </c>
    </row>
    <row r="622" spans="3:17" x14ac:dyDescent="0.25">
      <c r="C622" s="753" t="s">
        <v>403</v>
      </c>
      <c r="D622" s="754"/>
      <c r="E622" s="291">
        <f t="shared" ref="E622:P622" si="218">SUM(E614:E621)</f>
        <v>-19.110105000000001</v>
      </c>
      <c r="F622" s="291">
        <f t="shared" si="218"/>
        <v>9.7155550000000002</v>
      </c>
      <c r="G622" s="291">
        <f t="shared" si="218"/>
        <v>0</v>
      </c>
      <c r="H622" s="291">
        <f t="shared" si="218"/>
        <v>-4.4872368637499997</v>
      </c>
      <c r="I622" s="291">
        <f t="shared" si="218"/>
        <v>0.30589538299999997</v>
      </c>
      <c r="J622" s="291">
        <f t="shared" si="218"/>
        <v>4.0958213607000005</v>
      </c>
      <c r="K622" s="291">
        <f t="shared" si="218"/>
        <v>0</v>
      </c>
      <c r="L622" s="291">
        <f t="shared" si="218"/>
        <v>0</v>
      </c>
      <c r="M622" s="291">
        <f t="shared" si="218"/>
        <v>0</v>
      </c>
      <c r="N622" s="291">
        <f t="shared" si="218"/>
        <v>1.6890164000000001E-3</v>
      </c>
      <c r="O622" s="291">
        <f t="shared" si="218"/>
        <v>1.1611897043999999</v>
      </c>
      <c r="P622" s="291">
        <f t="shared" si="218"/>
        <v>0</v>
      </c>
      <c r="Q622" s="323">
        <f t="shared" si="216"/>
        <v>-8.3171913992500013</v>
      </c>
    </row>
    <row r="623" spans="3:17" x14ac:dyDescent="0.25">
      <c r="C623" s="800" t="s">
        <v>404</v>
      </c>
      <c r="D623" s="801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3:17" x14ac:dyDescent="0.25">
      <c r="C624" s="17"/>
      <c r="D624" s="17" t="s">
        <v>405</v>
      </c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>
        <f t="shared" ref="Q624:Q648" si="219">SUM(E624:P624)</f>
        <v>0</v>
      </c>
    </row>
    <row r="625" spans="3:17" x14ac:dyDescent="0.25">
      <c r="C625" s="17"/>
      <c r="D625" s="17" t="s">
        <v>406</v>
      </c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>
        <f t="shared" si="219"/>
        <v>0</v>
      </c>
    </row>
    <row r="626" spans="3:17" x14ac:dyDescent="0.25">
      <c r="C626" s="17"/>
      <c r="D626" s="17" t="s">
        <v>407</v>
      </c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>
        <f t="shared" si="219"/>
        <v>0</v>
      </c>
    </row>
    <row r="627" spans="3:17" x14ac:dyDescent="0.25">
      <c r="C627" s="17"/>
      <c r="D627" s="17" t="s">
        <v>408</v>
      </c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>
        <f t="shared" si="219"/>
        <v>0</v>
      </c>
    </row>
    <row r="628" spans="3:17" x14ac:dyDescent="0.25">
      <c r="C628" s="17"/>
      <c r="D628" s="17" t="s">
        <v>409</v>
      </c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>
        <f t="shared" si="219"/>
        <v>0</v>
      </c>
    </row>
    <row r="629" spans="3:17" x14ac:dyDescent="0.25">
      <c r="C629" s="17"/>
      <c r="D629" s="17" t="s">
        <v>367</v>
      </c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>
        <f t="shared" si="219"/>
        <v>0</v>
      </c>
    </row>
    <row r="630" spans="3:17" x14ac:dyDescent="0.25">
      <c r="C630" s="17"/>
      <c r="D630" s="17" t="s">
        <v>410</v>
      </c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>
        <f t="shared" si="219"/>
        <v>0</v>
      </c>
    </row>
    <row r="631" spans="3:17" x14ac:dyDescent="0.25">
      <c r="C631" s="17"/>
      <c r="D631" s="17" t="s">
        <v>411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f t="shared" si="219"/>
        <v>0</v>
      </c>
    </row>
    <row r="632" spans="3:17" x14ac:dyDescent="0.25">
      <c r="C632" s="17"/>
      <c r="D632" s="17" t="s">
        <v>412</v>
      </c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>
        <f t="shared" si="219"/>
        <v>0</v>
      </c>
    </row>
    <row r="633" spans="3:17" x14ac:dyDescent="0.25">
      <c r="C633" s="17"/>
      <c r="D633" s="17" t="s">
        <v>413</v>
      </c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>
        <f t="shared" si="219"/>
        <v>0</v>
      </c>
    </row>
    <row r="634" spans="3:17" x14ac:dyDescent="0.25">
      <c r="C634" s="17"/>
      <c r="D634" s="17" t="s">
        <v>414</v>
      </c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>
        <f t="shared" si="219"/>
        <v>0</v>
      </c>
    </row>
    <row r="635" spans="3:17" x14ac:dyDescent="0.25">
      <c r="C635" s="17"/>
      <c r="D635" s="17" t="s">
        <v>415</v>
      </c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>
        <f t="shared" si="219"/>
        <v>0</v>
      </c>
    </row>
    <row r="636" spans="3:17" x14ac:dyDescent="0.25">
      <c r="C636" s="17"/>
      <c r="D636" s="17" t="s">
        <v>416</v>
      </c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>
        <f t="shared" si="219"/>
        <v>0</v>
      </c>
    </row>
    <row r="637" spans="3:17" x14ac:dyDescent="0.25">
      <c r="C637" s="17"/>
      <c r="D637" s="17" t="s">
        <v>417</v>
      </c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>
        <f t="shared" si="219"/>
        <v>0</v>
      </c>
    </row>
    <row r="638" spans="3:17" x14ac:dyDescent="0.25">
      <c r="C638" s="17"/>
      <c r="D638" s="327" t="s">
        <v>418</v>
      </c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>
        <f t="shared" si="219"/>
        <v>0</v>
      </c>
    </row>
    <row r="639" spans="3:17" x14ac:dyDescent="0.25">
      <c r="C639" s="17"/>
      <c r="D639" s="327" t="s">
        <v>419</v>
      </c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>
        <f t="shared" si="219"/>
        <v>0</v>
      </c>
    </row>
    <row r="640" spans="3:17" x14ac:dyDescent="0.25"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>
        <f t="shared" si="219"/>
        <v>0</v>
      </c>
    </row>
    <row r="641" spans="3:17" x14ac:dyDescent="0.25"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>
        <f t="shared" si="219"/>
        <v>0</v>
      </c>
    </row>
    <row r="642" spans="3:17" x14ac:dyDescent="0.25"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f t="shared" si="219"/>
        <v>0</v>
      </c>
    </row>
    <row r="643" spans="3:17" x14ac:dyDescent="0.25"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>
        <f t="shared" si="219"/>
        <v>0</v>
      </c>
    </row>
    <row r="644" spans="3:17" x14ac:dyDescent="0.25"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>
        <f t="shared" si="219"/>
        <v>0</v>
      </c>
    </row>
    <row r="645" spans="3:17" x14ac:dyDescent="0.25"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>
        <f t="shared" si="219"/>
        <v>0</v>
      </c>
    </row>
    <row r="646" spans="3:17" x14ac:dyDescent="0.25"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>
        <f t="shared" si="219"/>
        <v>0</v>
      </c>
    </row>
    <row r="647" spans="3:17" x14ac:dyDescent="0.25"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>
        <f t="shared" si="219"/>
        <v>0</v>
      </c>
    </row>
    <row r="648" spans="3:17" x14ac:dyDescent="0.25">
      <c r="C648" s="753" t="s">
        <v>420</v>
      </c>
      <c r="D648" s="754"/>
      <c r="E648" s="17">
        <f t="shared" ref="E648:P648" si="220">SUM(E624:E647)</f>
        <v>0</v>
      </c>
      <c r="F648" s="17">
        <f t="shared" si="220"/>
        <v>0</v>
      </c>
      <c r="G648" s="17">
        <f t="shared" si="220"/>
        <v>0</v>
      </c>
      <c r="H648" s="17">
        <f t="shared" si="220"/>
        <v>0</v>
      </c>
      <c r="I648" s="17">
        <f t="shared" si="220"/>
        <v>0</v>
      </c>
      <c r="J648" s="17">
        <f t="shared" si="220"/>
        <v>0</v>
      </c>
      <c r="K648" s="17">
        <f t="shared" si="220"/>
        <v>0</v>
      </c>
      <c r="L648" s="17">
        <f t="shared" si="220"/>
        <v>0</v>
      </c>
      <c r="M648" s="17">
        <f t="shared" si="220"/>
        <v>0</v>
      </c>
      <c r="N648" s="17">
        <f t="shared" si="220"/>
        <v>0</v>
      </c>
      <c r="O648" s="17">
        <f t="shared" si="220"/>
        <v>0</v>
      </c>
      <c r="P648" s="17">
        <f t="shared" si="220"/>
        <v>0</v>
      </c>
      <c r="Q648" s="86">
        <f t="shared" si="219"/>
        <v>0</v>
      </c>
    </row>
    <row r="649" spans="3:17" x14ac:dyDescent="0.25">
      <c r="C649" s="800" t="s">
        <v>421</v>
      </c>
      <c r="D649" s="801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3:17" x14ac:dyDescent="0.25">
      <c r="C650" s="17"/>
      <c r="D650" s="17" t="s">
        <v>422</v>
      </c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>
        <f t="shared" ref="Q650:Q674" si="221">SUM(E650:P650)</f>
        <v>0</v>
      </c>
    </row>
    <row r="651" spans="3:17" x14ac:dyDescent="0.25"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66">
        <f t="shared" si="221"/>
        <v>0</v>
      </c>
    </row>
    <row r="652" spans="3:17" x14ac:dyDescent="0.25"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66">
        <f t="shared" si="221"/>
        <v>0</v>
      </c>
    </row>
    <row r="653" spans="3:17" x14ac:dyDescent="0.25"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66">
        <f t="shared" si="221"/>
        <v>0</v>
      </c>
    </row>
    <row r="654" spans="3:17" x14ac:dyDescent="0.25">
      <c r="C654" s="17"/>
      <c r="D654" s="325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66">
        <f t="shared" si="221"/>
        <v>0</v>
      </c>
    </row>
    <row r="655" spans="3:17" x14ac:dyDescent="0.25">
      <c r="C655" s="17"/>
      <c r="D655" s="325" t="s">
        <v>629</v>
      </c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>
        <f t="shared" si="221"/>
        <v>0</v>
      </c>
    </row>
    <row r="656" spans="3:17" x14ac:dyDescent="0.25">
      <c r="C656" s="17"/>
      <c r="D656" s="325" t="s">
        <v>630</v>
      </c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>
        <f t="shared" si="221"/>
        <v>0</v>
      </c>
    </row>
    <row r="657" spans="3:17" x14ac:dyDescent="0.25">
      <c r="C657" s="17"/>
      <c r="D657" s="326" t="s">
        <v>631</v>
      </c>
      <c r="E657" s="366">
        <f>'[46]2023-24'!$J227/10^7</f>
        <v>0</v>
      </c>
      <c r="F657" s="366">
        <f>'[46]2023-24'!$P227/10^7</f>
        <v>0</v>
      </c>
      <c r="G657" s="366">
        <f>'[46]2023-24'!$V227/10^7</f>
        <v>0</v>
      </c>
      <c r="H657" s="366">
        <f>'[46]2023-24'!$AB227/10^7</f>
        <v>0</v>
      </c>
      <c r="I657" s="366">
        <f>'[46]2023-24'!$AH227/10^7</f>
        <v>0</v>
      </c>
      <c r="J657" s="366">
        <f>'[46]2023-24'!$AN227/10^7</f>
        <v>0</v>
      </c>
      <c r="K657" s="366">
        <f>'[46]2023-24'!$AT227/10^7</f>
        <v>0</v>
      </c>
      <c r="L657" s="366">
        <f>'[46]2023-24'!$AZ227/10^7</f>
        <v>0</v>
      </c>
      <c r="M657" s="366">
        <f>'[46]2023-24'!$BF227/10^7</f>
        <v>0</v>
      </c>
      <c r="N657" s="366">
        <f>'[46]2023-24'!$BL227/10^7</f>
        <v>0</v>
      </c>
      <c r="O657" s="366">
        <f>'[46]2023-24'!$BR227/10^7</f>
        <v>0</v>
      </c>
      <c r="P657" s="366">
        <f>'[46]2023-24'!$BX227/10^7 + '[46]2023-24'!$CD227/10^7</f>
        <v>0</v>
      </c>
      <c r="Q657" s="66">
        <f>SUM(E657:P657)</f>
        <v>0</v>
      </c>
    </row>
    <row r="658" spans="3:17" x14ac:dyDescent="0.25">
      <c r="C658" s="17"/>
      <c r="D658" s="325" t="s">
        <v>632</v>
      </c>
      <c r="E658" s="366">
        <f>'[46]2023-24'!$J228/10^7</f>
        <v>0.37653477144999997</v>
      </c>
      <c r="F658" s="366">
        <f>'[46]2023-24'!$P228/10^7</f>
        <v>1.0488466379428572</v>
      </c>
      <c r="G658" s="366">
        <f>'[46]2023-24'!$V228/10^7</f>
        <v>1.5733650257214284</v>
      </c>
      <c r="H658" s="366">
        <f>'[46]2023-24'!$AB228/10^7</f>
        <v>0.52597523300000015</v>
      </c>
      <c r="I658" s="366">
        <f>'[46]2023-24'!$AH228/10^7</f>
        <v>0.24985705632857141</v>
      </c>
      <c r="J658" s="366">
        <f>'[46]2023-24'!$AN228/10^7</f>
        <v>0.27137895224999997</v>
      </c>
      <c r="K658" s="366">
        <f>'[46]2023-24'!$AT228/10^7</f>
        <v>0.18702859882142855</v>
      </c>
      <c r="L658" s="366">
        <f>'[46]2023-24'!$AZ228/10^7</f>
        <v>0.34329858268571428</v>
      </c>
      <c r="M658" s="366">
        <f>'[46]2023-24'!$BF228/10^7</f>
        <v>0.20644553074999999</v>
      </c>
      <c r="N658" s="366">
        <f>'[46]2023-24'!$BL228/10^7</f>
        <v>0.11143722232142857</v>
      </c>
      <c r="O658" s="366">
        <f>'[46]2023-24'!$BR228/10^7</f>
        <v>9.9183380235714283E-2</v>
      </c>
      <c r="P658" s="366">
        <f>'[46]2023-24'!$BX228/10^7 + '[46]2023-24'!$CD228/10^7</f>
        <v>-9.6688220571428569E-3</v>
      </c>
      <c r="Q658" s="66">
        <f>SUM(E658:P658)</f>
        <v>4.9836821694499998</v>
      </c>
    </row>
    <row r="659" spans="3:17" x14ac:dyDescent="0.25">
      <c r="C659" s="17"/>
      <c r="D659" s="325" t="s">
        <v>633</v>
      </c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66">
        <f t="shared" si="221"/>
        <v>0</v>
      </c>
    </row>
    <row r="660" spans="3:17" x14ac:dyDescent="0.25">
      <c r="C660" s="17"/>
      <c r="D660" s="325" t="s">
        <v>634</v>
      </c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>
        <f t="shared" si="221"/>
        <v>0</v>
      </c>
    </row>
    <row r="661" spans="3:17" x14ac:dyDescent="0.25">
      <c r="C661" s="17"/>
      <c r="D661" s="325" t="s">
        <v>657</v>
      </c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>
        <f t="shared" si="221"/>
        <v>0</v>
      </c>
    </row>
    <row r="662" spans="3:17" x14ac:dyDescent="0.25">
      <c r="C662" s="17"/>
      <c r="D662" s="325" t="s">
        <v>636</v>
      </c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>
        <f t="shared" si="221"/>
        <v>0</v>
      </c>
    </row>
    <row r="663" spans="3:17" x14ac:dyDescent="0.25">
      <c r="C663" s="17"/>
      <c r="D663" s="325" t="s">
        <v>637</v>
      </c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>
        <f t="shared" si="221"/>
        <v>0</v>
      </c>
    </row>
    <row r="664" spans="3:17" x14ac:dyDescent="0.25">
      <c r="C664" s="17"/>
      <c r="D664" s="325" t="s">
        <v>638</v>
      </c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>
        <f t="shared" si="221"/>
        <v>0</v>
      </c>
    </row>
    <row r="665" spans="3:17" x14ac:dyDescent="0.25">
      <c r="C665" s="17"/>
      <c r="D665" s="325" t="s">
        <v>639</v>
      </c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>
        <f t="shared" si="221"/>
        <v>0</v>
      </c>
    </row>
    <row r="666" spans="3:17" x14ac:dyDescent="0.25"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66">
        <f>SUM(E664:P664)</f>
        <v>0</v>
      </c>
    </row>
    <row r="667" spans="3:17" x14ac:dyDescent="0.25"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66">
        <f>SUM(E665:P665)</f>
        <v>0</v>
      </c>
    </row>
    <row r="668" spans="3:17" x14ac:dyDescent="0.25"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66">
        <f t="shared" si="221"/>
        <v>0</v>
      </c>
    </row>
    <row r="669" spans="3:17" x14ac:dyDescent="0.25"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66">
        <f t="shared" si="221"/>
        <v>0</v>
      </c>
    </row>
    <row r="670" spans="3:17" x14ac:dyDescent="0.25">
      <c r="C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66">
        <f t="shared" si="221"/>
        <v>0</v>
      </c>
    </row>
    <row r="671" spans="3:17" x14ac:dyDescent="0.25">
      <c r="C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66">
        <f t="shared" si="221"/>
        <v>0</v>
      </c>
    </row>
    <row r="672" spans="3:17" x14ac:dyDescent="0.25">
      <c r="C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66">
        <f t="shared" si="221"/>
        <v>0</v>
      </c>
    </row>
    <row r="673" spans="3:17" x14ac:dyDescent="0.25"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66">
        <f t="shared" si="221"/>
        <v>0</v>
      </c>
    </row>
    <row r="674" spans="3:17" x14ac:dyDescent="0.25">
      <c r="C674" s="753" t="s">
        <v>423</v>
      </c>
      <c r="D674" s="754"/>
      <c r="E674" s="66">
        <f t="shared" ref="E674:P674" si="222">SUM(E650:E673)</f>
        <v>0.37653477144999997</v>
      </c>
      <c r="F674" s="66">
        <f t="shared" si="222"/>
        <v>1.0488466379428572</v>
      </c>
      <c r="G674" s="66">
        <f t="shared" si="222"/>
        <v>1.5733650257214284</v>
      </c>
      <c r="H674" s="66">
        <f t="shared" si="222"/>
        <v>0.52597523300000015</v>
      </c>
      <c r="I674" s="66">
        <f t="shared" si="222"/>
        <v>0.24985705632857141</v>
      </c>
      <c r="J674" s="66">
        <f t="shared" si="222"/>
        <v>0.27137895224999997</v>
      </c>
      <c r="K674" s="66">
        <f t="shared" si="222"/>
        <v>0.18702859882142855</v>
      </c>
      <c r="L674" s="66">
        <f t="shared" si="222"/>
        <v>0.34329858268571428</v>
      </c>
      <c r="M674" s="66">
        <f t="shared" si="222"/>
        <v>0.20644553074999999</v>
      </c>
      <c r="N674" s="66">
        <f t="shared" si="222"/>
        <v>0.11143722232142857</v>
      </c>
      <c r="O674" s="66">
        <f t="shared" si="222"/>
        <v>9.9183380235714283E-2</v>
      </c>
      <c r="P674" s="66">
        <f t="shared" si="222"/>
        <v>-9.6688220571428569E-3</v>
      </c>
      <c r="Q674" s="86">
        <f t="shared" si="221"/>
        <v>4.9836821694499998</v>
      </c>
    </row>
    <row r="675" spans="3:17" x14ac:dyDescent="0.25">
      <c r="C675" s="800" t="s">
        <v>424</v>
      </c>
      <c r="D675" s="801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3:17" x14ac:dyDescent="0.25">
      <c r="C676" s="17" t="s">
        <v>425</v>
      </c>
      <c r="D676" s="4" t="s">
        <v>426</v>
      </c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>
        <f>SUM(E676:P676)</f>
        <v>0</v>
      </c>
    </row>
    <row r="677" spans="3:17" x14ac:dyDescent="0.25">
      <c r="C677" s="418" t="s">
        <v>425</v>
      </c>
      <c r="D677" s="17" t="s">
        <v>655</v>
      </c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3:17" x14ac:dyDescent="0.25">
      <c r="C678" s="17"/>
      <c r="D678" s="107" t="s">
        <v>463</v>
      </c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>
        <f>SUM(E678:P678)</f>
        <v>0</v>
      </c>
    </row>
    <row r="679" spans="3:17" x14ac:dyDescent="0.25">
      <c r="C679" s="836" t="s">
        <v>428</v>
      </c>
      <c r="D679" s="754"/>
      <c r="E679" s="17">
        <f t="shared" ref="E679:Q679" si="223">E676+E678</f>
        <v>0</v>
      </c>
      <c r="F679" s="17">
        <f t="shared" si="223"/>
        <v>0</v>
      </c>
      <c r="G679" s="17">
        <f t="shared" si="223"/>
        <v>0</v>
      </c>
      <c r="H679" s="17">
        <f t="shared" si="223"/>
        <v>0</v>
      </c>
      <c r="I679" s="17">
        <f t="shared" si="223"/>
        <v>0</v>
      </c>
      <c r="J679" s="17">
        <f t="shared" si="223"/>
        <v>0</v>
      </c>
      <c r="K679" s="17">
        <f t="shared" si="223"/>
        <v>0</v>
      </c>
      <c r="L679" s="17">
        <f t="shared" si="223"/>
        <v>0</v>
      </c>
      <c r="M679" s="17">
        <f t="shared" si="223"/>
        <v>0</v>
      </c>
      <c r="N679" s="17">
        <f t="shared" si="223"/>
        <v>0</v>
      </c>
      <c r="O679" s="17">
        <f t="shared" si="223"/>
        <v>0</v>
      </c>
      <c r="P679" s="17">
        <f t="shared" si="223"/>
        <v>0</v>
      </c>
      <c r="Q679" s="17">
        <f t="shared" si="223"/>
        <v>0</v>
      </c>
    </row>
    <row r="680" spans="3:17" x14ac:dyDescent="0.25">
      <c r="C680" s="753" t="s">
        <v>220</v>
      </c>
      <c r="D680" s="754"/>
      <c r="E680" s="291">
        <f t="shared" ref="E680:Q680" si="224">E558+E603+E612+E622+E648+E674+E679</f>
        <v>11.580630518916667</v>
      </c>
      <c r="F680" s="291">
        <f t="shared" si="224"/>
        <v>49.533796042909529</v>
      </c>
      <c r="G680" s="291">
        <f t="shared" si="224"/>
        <v>31.916681692388096</v>
      </c>
      <c r="H680" s="291">
        <f t="shared" si="224"/>
        <v>52.771819344805536</v>
      </c>
      <c r="I680" s="291">
        <f t="shared" si="224"/>
        <v>30.899069105995238</v>
      </c>
      <c r="J680" s="291">
        <f t="shared" si="224"/>
        <v>34.710516979616663</v>
      </c>
      <c r="K680" s="291">
        <f t="shared" si="224"/>
        <v>30.530345265488094</v>
      </c>
      <c r="L680" s="291">
        <f t="shared" si="224"/>
        <v>30.686615249352382</v>
      </c>
      <c r="M680" s="291">
        <f t="shared" si="224"/>
        <v>32.256075524816666</v>
      </c>
      <c r="N680" s="291">
        <f t="shared" si="224"/>
        <v>32.624640373188093</v>
      </c>
      <c r="O680" s="291">
        <f t="shared" si="224"/>
        <v>33.400697122002384</v>
      </c>
      <c r="P680" s="291">
        <f t="shared" si="224"/>
        <v>32.162255536509527</v>
      </c>
      <c r="Q680" s="323">
        <f t="shared" si="224"/>
        <v>403.07314275598895</v>
      </c>
    </row>
  </sheetData>
  <mergeCells count="120">
    <mergeCell ref="E6:Q6"/>
    <mergeCell ref="C9:D9"/>
    <mergeCell ref="C10:D10"/>
    <mergeCell ref="C78:D78"/>
    <mergeCell ref="C77:D77"/>
    <mergeCell ref="E175:Q175"/>
    <mergeCell ref="C171:D171"/>
    <mergeCell ref="C175:C177"/>
    <mergeCell ref="C93:D93"/>
    <mergeCell ref="D175:D177"/>
    <mergeCell ref="C139:D139"/>
    <mergeCell ref="C140:D140"/>
    <mergeCell ref="C11:C28"/>
    <mergeCell ref="C30:D30"/>
    <mergeCell ref="C48:D48"/>
    <mergeCell ref="C31:C47"/>
    <mergeCell ref="C49:D49"/>
    <mergeCell ref="C50:D50"/>
    <mergeCell ref="C51:D51"/>
    <mergeCell ref="C52:C60"/>
    <mergeCell ref="C103:D103"/>
    <mergeCell ref="C113:D113"/>
    <mergeCell ref="C104:D104"/>
    <mergeCell ref="C114:D114"/>
    <mergeCell ref="C198:D198"/>
    <mergeCell ref="C165:D165"/>
    <mergeCell ref="C166:D166"/>
    <mergeCell ref="C170:D170"/>
    <mergeCell ref="C263:D263"/>
    <mergeCell ref="C264:D264"/>
    <mergeCell ref="C265:D265"/>
    <mergeCell ref="C6:C8"/>
    <mergeCell ref="D6:D8"/>
    <mergeCell ref="C200:C216"/>
    <mergeCell ref="C217:D217"/>
    <mergeCell ref="C199:D199"/>
    <mergeCell ref="C180:C197"/>
    <mergeCell ref="C178:D178"/>
    <mergeCell ref="C179:D179"/>
    <mergeCell ref="C79:C82"/>
    <mergeCell ref="C94:D94"/>
    <mergeCell ref="C95:D95"/>
    <mergeCell ref="C29:D29"/>
    <mergeCell ref="C220:D220"/>
    <mergeCell ref="C221:C229"/>
    <mergeCell ref="C247:D247"/>
    <mergeCell ref="C248:D248"/>
    <mergeCell ref="C249:C252"/>
    <mergeCell ref="C274:D274"/>
    <mergeCell ref="E345:Q345"/>
    <mergeCell ref="C348:D348"/>
    <mergeCell ref="C218:D218"/>
    <mergeCell ref="C219:D219"/>
    <mergeCell ref="C341:D341"/>
    <mergeCell ref="D345:D347"/>
    <mergeCell ref="C345:C347"/>
    <mergeCell ref="C283:D283"/>
    <mergeCell ref="C284:D284"/>
    <mergeCell ref="C309:D309"/>
    <mergeCell ref="C310:D310"/>
    <mergeCell ref="C335:D335"/>
    <mergeCell ref="C273:D273"/>
    <mergeCell ref="C680:D680"/>
    <mergeCell ref="C623:D623"/>
    <mergeCell ref="C648:D648"/>
    <mergeCell ref="C649:D649"/>
    <mergeCell ref="C674:D674"/>
    <mergeCell ref="C675:D675"/>
    <mergeCell ref="C679:D679"/>
    <mergeCell ref="C417:D417"/>
    <mergeCell ref="C418:C421"/>
    <mergeCell ref="C603:D603"/>
    <mergeCell ref="C539:C556"/>
    <mergeCell ref="C557:D557"/>
    <mergeCell ref="C622:D622"/>
    <mergeCell ref="C561:C569"/>
    <mergeCell ref="C586:D586"/>
    <mergeCell ref="C587:D587"/>
    <mergeCell ref="C588:C591"/>
    <mergeCell ref="C602:D602"/>
    <mergeCell ref="C604:D604"/>
    <mergeCell ref="C612:D612"/>
    <mergeCell ref="C613:D613"/>
    <mergeCell ref="C559:D559"/>
    <mergeCell ref="C560:D560"/>
    <mergeCell ref="C517:D517"/>
    <mergeCell ref="C452:D452"/>
    <mergeCell ref="C453:D453"/>
    <mergeCell ref="C478:D478"/>
    <mergeCell ref="C479:D479"/>
    <mergeCell ref="C504:D504"/>
    <mergeCell ref="C558:D558"/>
    <mergeCell ref="C518:D518"/>
    <mergeCell ref="C519:C536"/>
    <mergeCell ref="C537:D537"/>
    <mergeCell ref="C538:D538"/>
    <mergeCell ref="C2:Q2"/>
    <mergeCell ref="C505:D505"/>
    <mergeCell ref="C509:D509"/>
    <mergeCell ref="C510:D510"/>
    <mergeCell ref="D514:D516"/>
    <mergeCell ref="E514:Q514"/>
    <mergeCell ref="C391:C399"/>
    <mergeCell ref="C416:D416"/>
    <mergeCell ref="C369:D369"/>
    <mergeCell ref="C370:C386"/>
    <mergeCell ref="C387:D387"/>
    <mergeCell ref="C388:D388"/>
    <mergeCell ref="C390:D390"/>
    <mergeCell ref="C389:D389"/>
    <mergeCell ref="C432:D432"/>
    <mergeCell ref="C433:D433"/>
    <mergeCell ref="C434:D434"/>
    <mergeCell ref="C442:D442"/>
    <mergeCell ref="C443:D443"/>
    <mergeCell ref="C349:D349"/>
    <mergeCell ref="C350:C367"/>
    <mergeCell ref="C368:D368"/>
    <mergeCell ref="C336:D336"/>
    <mergeCell ref="C340:D340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U525"/>
  <sheetViews>
    <sheetView showGridLines="0" zoomScale="49" workbookViewId="0">
      <pane xSplit="4" ySplit="10" topLeftCell="E68" activePane="bottomRight" state="frozen"/>
      <selection activeCell="K17" sqref="K17"/>
      <selection pane="topRight" activeCell="K17" sqref="K17"/>
      <selection pane="bottomLeft" activeCell="K17" sqref="K17"/>
      <selection pane="bottomRight" activeCell="K17" sqref="K17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0.33203125" style="4" bestFit="1" customWidth="1"/>
    <col min="5" max="5" width="15.109375" style="4" bestFit="1" customWidth="1"/>
    <col min="6" max="6" width="14.33203125" style="4" bestFit="1" customWidth="1"/>
    <col min="7" max="8" width="15.109375" style="4" bestFit="1" customWidth="1"/>
    <col min="9" max="9" width="14.6640625" style="4" bestFit="1" customWidth="1"/>
    <col min="10" max="10" width="14.88671875" style="4" customWidth="1"/>
    <col min="11" max="11" width="12.5546875" style="4" customWidth="1"/>
    <col min="12" max="12" width="15.109375" style="4" bestFit="1" customWidth="1"/>
    <col min="13" max="13" width="14.6640625" style="4" bestFit="1" customWidth="1"/>
    <col min="14" max="14" width="14.33203125" style="4" bestFit="1" customWidth="1"/>
    <col min="15" max="16" width="15.109375" style="4" bestFit="1" customWidth="1"/>
    <col min="17" max="17" width="18.88671875" style="4" customWidth="1"/>
    <col min="18" max="18" width="12.44140625" style="4" customWidth="1"/>
    <col min="19" max="19" width="12.88671875" style="4" customWidth="1"/>
    <col min="20" max="16384" width="9.109375" style="4"/>
  </cols>
  <sheetData>
    <row r="2" spans="2:20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</row>
    <row r="3" spans="2:20" x14ac:dyDescent="0.25">
      <c r="J3" s="25" t="s">
        <v>1225</v>
      </c>
    </row>
    <row r="4" spans="2:20" x14ac:dyDescent="0.25">
      <c r="C4" s="22" t="s">
        <v>648</v>
      </c>
      <c r="J4" s="25"/>
    </row>
    <row r="5" spans="2:20" x14ac:dyDescent="0.25">
      <c r="C5" s="14"/>
      <c r="Q5" s="25" t="s">
        <v>3</v>
      </c>
    </row>
    <row r="6" spans="2:20" ht="15" customHeight="1" x14ac:dyDescent="0.25">
      <c r="C6" s="830" t="s">
        <v>346</v>
      </c>
      <c r="D6" s="818" t="s">
        <v>347</v>
      </c>
      <c r="E6" s="799" t="s">
        <v>1224</v>
      </c>
      <c r="F6" s="799"/>
      <c r="G6" s="799"/>
      <c r="H6" s="799"/>
      <c r="I6" s="799"/>
      <c r="J6" s="799"/>
      <c r="K6" s="799"/>
      <c r="L6" s="799"/>
      <c r="M6" s="799"/>
      <c r="N6" s="799"/>
      <c r="O6" s="799"/>
      <c r="P6" s="799"/>
      <c r="Q6" s="799"/>
      <c r="R6" s="605"/>
      <c r="S6" s="605"/>
      <c r="T6" s="605"/>
    </row>
    <row r="7" spans="2:20" x14ac:dyDescent="0.25">
      <c r="C7" s="831"/>
      <c r="D7" s="819"/>
      <c r="E7" s="594" t="s">
        <v>239</v>
      </c>
      <c r="F7" s="594" t="s">
        <v>240</v>
      </c>
      <c r="G7" s="594" t="s">
        <v>241</v>
      </c>
      <c r="H7" s="594" t="s">
        <v>242</v>
      </c>
      <c r="I7" s="594" t="s">
        <v>243</v>
      </c>
      <c r="J7" s="594" t="s">
        <v>244</v>
      </c>
      <c r="K7" s="594" t="s">
        <v>245</v>
      </c>
      <c r="L7" s="594" t="s">
        <v>246</v>
      </c>
      <c r="M7" s="594" t="s">
        <v>247</v>
      </c>
      <c r="N7" s="594" t="s">
        <v>248</v>
      </c>
      <c r="O7" s="594" t="s">
        <v>249</v>
      </c>
      <c r="P7" s="594" t="s">
        <v>250</v>
      </c>
      <c r="Q7" s="594" t="s">
        <v>251</v>
      </c>
      <c r="R7" s="605"/>
      <c r="S7" s="605"/>
      <c r="T7" s="605"/>
    </row>
    <row r="8" spans="2:20" ht="14.25" customHeight="1" x14ac:dyDescent="0.25">
      <c r="C8" s="832"/>
      <c r="D8" s="820"/>
      <c r="E8" s="606"/>
      <c r="F8" s="606"/>
      <c r="G8" s="606"/>
      <c r="H8" s="606"/>
      <c r="I8" s="606"/>
      <c r="J8" s="606"/>
      <c r="K8" s="606"/>
      <c r="L8" s="606"/>
      <c r="M8" s="606"/>
      <c r="N8" s="606"/>
      <c r="O8" s="606"/>
      <c r="P8" s="606"/>
      <c r="Q8" s="606"/>
      <c r="R8" s="605"/>
      <c r="S8" s="605"/>
      <c r="T8" s="605"/>
    </row>
    <row r="9" spans="2:20" x14ac:dyDescent="0.25">
      <c r="B9" s="60"/>
      <c r="C9" s="813" t="s">
        <v>348</v>
      </c>
      <c r="D9" s="814"/>
      <c r="E9" s="607"/>
      <c r="F9" s="607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607"/>
      <c r="R9" s="605"/>
      <c r="S9" s="605"/>
      <c r="T9" s="605"/>
    </row>
    <row r="10" spans="2:20" x14ac:dyDescent="0.25">
      <c r="C10" s="811" t="s">
        <v>349</v>
      </c>
      <c r="D10" s="812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5"/>
      <c r="S10" s="605"/>
      <c r="T10" s="605"/>
    </row>
    <row r="11" spans="2:20" ht="14.25" customHeight="1" x14ac:dyDescent="0.25">
      <c r="B11" s="60"/>
      <c r="C11" s="821" t="s">
        <v>350</v>
      </c>
      <c r="D11" s="607" t="s">
        <v>351</v>
      </c>
      <c r="E11" s="606">
        <f t="shared" ref="E11:P11" si="0">E186+E357</f>
        <v>35.997284350677177</v>
      </c>
      <c r="F11" s="606">
        <f t="shared" si="0"/>
        <v>33.300521219916163</v>
      </c>
      <c r="G11" s="606">
        <f t="shared" si="0"/>
        <v>32.226310857983393</v>
      </c>
      <c r="H11" s="606">
        <f t="shared" si="0"/>
        <v>0</v>
      </c>
      <c r="I11" s="606">
        <f t="shared" si="0"/>
        <v>17.21788313075211</v>
      </c>
      <c r="J11" s="606">
        <f t="shared" si="0"/>
        <v>32.226310857983393</v>
      </c>
      <c r="K11" s="606">
        <f t="shared" si="0"/>
        <v>40.111991469444462</v>
      </c>
      <c r="L11" s="606">
        <f t="shared" si="0"/>
        <v>47.615252085682336</v>
      </c>
      <c r="M11" s="606">
        <f t="shared" si="0"/>
        <v>34.43576626150422</v>
      </c>
      <c r="N11" s="606">
        <f t="shared" si="0"/>
        <v>35.065470473580767</v>
      </c>
      <c r="O11" s="606">
        <f t="shared" si="0"/>
        <v>40.331716316203455</v>
      </c>
      <c r="P11" s="606">
        <f t="shared" si="0"/>
        <v>45.78821667738471</v>
      </c>
      <c r="Q11" s="606">
        <f t="shared" ref="Q11:Q29" si="1">SUM(E11:P11)</f>
        <v>394.31672370111215</v>
      </c>
      <c r="R11" s="605"/>
      <c r="S11" s="605"/>
      <c r="T11" s="605"/>
    </row>
    <row r="12" spans="2:20" x14ac:dyDescent="0.25">
      <c r="B12" s="60"/>
      <c r="C12" s="822"/>
      <c r="D12" s="607" t="s">
        <v>352</v>
      </c>
      <c r="E12" s="606">
        <f t="shared" ref="E12:P12" si="2">E187+E358</f>
        <v>37.946941069387904</v>
      </c>
      <c r="F12" s="606">
        <f t="shared" si="2"/>
        <v>44.166074628568929</v>
      </c>
      <c r="G12" s="606">
        <f t="shared" si="2"/>
        <v>30.220833522180449</v>
      </c>
      <c r="H12" s="606">
        <f t="shared" si="2"/>
        <v>32.21473582438378</v>
      </c>
      <c r="I12" s="606">
        <f t="shared" si="2"/>
        <v>35.24835035812918</v>
      </c>
      <c r="J12" s="606">
        <f t="shared" si="2"/>
        <v>29.734709024661736</v>
      </c>
      <c r="K12" s="606">
        <f t="shared" si="2"/>
        <v>41.186354182810945</v>
      </c>
      <c r="L12" s="606">
        <f t="shared" si="2"/>
        <v>23.475546328912195</v>
      </c>
      <c r="M12" s="606">
        <f t="shared" si="2"/>
        <v>32.830452379142336</v>
      </c>
      <c r="N12" s="606">
        <f t="shared" si="2"/>
        <v>33.856579285870019</v>
      </c>
      <c r="O12" s="606">
        <f t="shared" si="2"/>
        <v>38.146355377628083</v>
      </c>
      <c r="P12" s="606">
        <f t="shared" si="2"/>
        <v>45.060513592464261</v>
      </c>
      <c r="Q12" s="606">
        <f t="shared" si="1"/>
        <v>424.08744557413974</v>
      </c>
      <c r="R12" s="605"/>
      <c r="S12" s="605"/>
      <c r="T12" s="605"/>
    </row>
    <row r="13" spans="2:20" x14ac:dyDescent="0.25">
      <c r="B13" s="60"/>
      <c r="C13" s="822"/>
      <c r="D13" s="607" t="s">
        <v>353</v>
      </c>
      <c r="E13" s="606">
        <f t="shared" ref="E13:P13" si="3">E188+E359</f>
        <v>81.427367586001964</v>
      </c>
      <c r="F13" s="606">
        <f t="shared" si="3"/>
        <v>0</v>
      </c>
      <c r="G13" s="606">
        <f t="shared" si="3"/>
        <v>30.566662655287793</v>
      </c>
      <c r="H13" s="606">
        <f t="shared" si="3"/>
        <v>65.257666590785277</v>
      </c>
      <c r="I13" s="606">
        <f t="shared" si="3"/>
        <v>80.689430193733898</v>
      </c>
      <c r="J13" s="606">
        <f t="shared" si="3"/>
        <v>63.148709661473688</v>
      </c>
      <c r="K13" s="606">
        <f t="shared" si="3"/>
        <v>88.824051139557781</v>
      </c>
      <c r="L13" s="606">
        <f t="shared" si="3"/>
        <v>94.784227062222186</v>
      </c>
      <c r="M13" s="606">
        <f t="shared" si="3"/>
        <v>75.44341200102312</v>
      </c>
      <c r="N13" s="606">
        <f t="shared" si="3"/>
        <v>78.050773184401905</v>
      </c>
      <c r="O13" s="606">
        <f t="shared" si="3"/>
        <v>77.749049625757692</v>
      </c>
      <c r="P13" s="606">
        <f t="shared" si="3"/>
        <v>93.866646432697351</v>
      </c>
      <c r="Q13" s="606">
        <f t="shared" si="1"/>
        <v>829.80799613294266</v>
      </c>
      <c r="R13" s="605"/>
      <c r="S13" s="605"/>
      <c r="T13" s="605"/>
    </row>
    <row r="14" spans="2:20" x14ac:dyDescent="0.25">
      <c r="B14" s="60"/>
      <c r="C14" s="822"/>
      <c r="D14" s="607" t="s">
        <v>354</v>
      </c>
      <c r="E14" s="606">
        <f t="shared" ref="E14:P14" si="4">E189+E360</f>
        <v>0</v>
      </c>
      <c r="F14" s="606">
        <f t="shared" si="4"/>
        <v>0</v>
      </c>
      <c r="G14" s="606">
        <f t="shared" si="4"/>
        <v>0</v>
      </c>
      <c r="H14" s="606">
        <f t="shared" si="4"/>
        <v>0</v>
      </c>
      <c r="I14" s="606">
        <f t="shared" si="4"/>
        <v>0</v>
      </c>
      <c r="J14" s="606">
        <f t="shared" si="4"/>
        <v>0</v>
      </c>
      <c r="K14" s="606">
        <f t="shared" si="4"/>
        <v>0</v>
      </c>
      <c r="L14" s="606">
        <f t="shared" si="4"/>
        <v>0</v>
      </c>
      <c r="M14" s="606">
        <f t="shared" si="4"/>
        <v>0</v>
      </c>
      <c r="N14" s="606">
        <f t="shared" si="4"/>
        <v>0</v>
      </c>
      <c r="O14" s="606">
        <f t="shared" si="4"/>
        <v>0</v>
      </c>
      <c r="P14" s="606">
        <f t="shared" si="4"/>
        <v>0</v>
      </c>
      <c r="Q14" s="606">
        <f t="shared" si="1"/>
        <v>0</v>
      </c>
      <c r="R14" s="605"/>
      <c r="S14" s="605"/>
      <c r="T14" s="605"/>
    </row>
    <row r="15" spans="2:20" x14ac:dyDescent="0.25">
      <c r="B15" s="60"/>
      <c r="C15" s="822"/>
      <c r="D15" s="607" t="s">
        <v>355</v>
      </c>
      <c r="E15" s="606">
        <f t="shared" ref="E15:P15" si="5">E190+E361</f>
        <v>43.17160577112999</v>
      </c>
      <c r="F15" s="606">
        <f t="shared" si="5"/>
        <v>42.342330935060531</v>
      </c>
      <c r="G15" s="606">
        <f t="shared" si="5"/>
        <v>34.665278557803049</v>
      </c>
      <c r="H15" s="606">
        <f t="shared" si="5"/>
        <v>33.718150671298282</v>
      </c>
      <c r="I15" s="606">
        <f t="shared" si="5"/>
        <v>38.658648226358267</v>
      </c>
      <c r="J15" s="606">
        <f t="shared" si="5"/>
        <v>32.054031856280417</v>
      </c>
      <c r="K15" s="606">
        <f t="shared" si="5"/>
        <v>0</v>
      </c>
      <c r="L15" s="606">
        <f t="shared" si="5"/>
        <v>21.874645862643437</v>
      </c>
      <c r="M15" s="606">
        <f t="shared" si="5"/>
        <v>37.566880077722864</v>
      </c>
      <c r="N15" s="606">
        <f t="shared" si="5"/>
        <v>38.521970249190389</v>
      </c>
      <c r="O15" s="606">
        <f t="shared" si="5"/>
        <v>39.107348096218885</v>
      </c>
      <c r="P15" s="606">
        <f t="shared" si="5"/>
        <v>47.120236715457473</v>
      </c>
      <c r="Q15" s="606">
        <f t="shared" si="1"/>
        <v>408.80112701916352</v>
      </c>
      <c r="R15" s="605"/>
      <c r="S15" s="605"/>
      <c r="T15" s="605"/>
    </row>
    <row r="16" spans="2:20" x14ac:dyDescent="0.25">
      <c r="B16" s="60"/>
      <c r="C16" s="822"/>
      <c r="D16" s="607" t="s">
        <v>356</v>
      </c>
      <c r="E16" s="606">
        <f t="shared" ref="E16:P16" si="6">E191+E362</f>
        <v>53.2954642175728</v>
      </c>
      <c r="F16" s="606">
        <f t="shared" si="6"/>
        <v>50.752433636696651</v>
      </c>
      <c r="G16" s="606">
        <f t="shared" si="6"/>
        <v>49.166357903645221</v>
      </c>
      <c r="H16" s="606">
        <f t="shared" si="6"/>
        <v>56.48965069774728</v>
      </c>
      <c r="I16" s="606">
        <f t="shared" si="6"/>
        <v>59.537275342153372</v>
      </c>
      <c r="J16" s="606">
        <f t="shared" si="6"/>
        <v>53.812935679748875</v>
      </c>
      <c r="K16" s="606">
        <f t="shared" si="6"/>
        <v>59.537275342153393</v>
      </c>
      <c r="L16" s="606">
        <f t="shared" si="6"/>
        <v>0</v>
      </c>
      <c r="M16" s="606">
        <f t="shared" si="6"/>
        <v>26.723418495654499</v>
      </c>
      <c r="N16" s="606">
        <f t="shared" si="6"/>
        <v>56.188303604157248</v>
      </c>
      <c r="O16" s="606">
        <f t="shared" si="6"/>
        <v>53.775603534848216</v>
      </c>
      <c r="P16" s="606">
        <f t="shared" si="6"/>
        <v>59.537275342153393</v>
      </c>
      <c r="Q16" s="606">
        <f t="shared" si="1"/>
        <v>578.81599379653085</v>
      </c>
      <c r="R16" s="605"/>
      <c r="S16" s="605"/>
      <c r="T16" s="605"/>
    </row>
    <row r="17" spans="2:20" x14ac:dyDescent="0.25">
      <c r="B17" s="60"/>
      <c r="C17" s="822"/>
      <c r="D17" s="607" t="s">
        <v>357</v>
      </c>
      <c r="E17" s="606">
        <f t="shared" ref="E17:P17" si="7">E192+E363</f>
        <v>101.84035481213704</v>
      </c>
      <c r="F17" s="606">
        <f t="shared" si="7"/>
        <v>73.847928712740838</v>
      </c>
      <c r="G17" s="606">
        <f t="shared" si="7"/>
        <v>83.648187574763057</v>
      </c>
      <c r="H17" s="606">
        <f t="shared" si="7"/>
        <v>95.299848509119954</v>
      </c>
      <c r="I17" s="606">
        <f t="shared" si="7"/>
        <v>86.386017377276886</v>
      </c>
      <c r="J17" s="606">
        <f t="shared" si="7"/>
        <v>74.997032047025428</v>
      </c>
      <c r="K17" s="606">
        <f t="shared" si="7"/>
        <v>116.49999091188565</v>
      </c>
      <c r="L17" s="606">
        <f t="shared" si="7"/>
        <v>106.28831933793593</v>
      </c>
      <c r="M17" s="606">
        <f t="shared" si="7"/>
        <v>103.39374193429852</v>
      </c>
      <c r="N17" s="606">
        <f t="shared" si="7"/>
        <v>107.60213259589543</v>
      </c>
      <c r="O17" s="606">
        <f t="shared" si="7"/>
        <v>105.22579824299351</v>
      </c>
      <c r="P17" s="606">
        <f t="shared" si="7"/>
        <v>116.49999091188565</v>
      </c>
      <c r="Q17" s="606">
        <f t="shared" si="1"/>
        <v>1171.5293429679577</v>
      </c>
      <c r="R17" s="605"/>
      <c r="S17" s="605"/>
      <c r="T17" s="605"/>
    </row>
    <row r="18" spans="2:20" x14ac:dyDescent="0.25">
      <c r="B18" s="60"/>
      <c r="C18" s="822"/>
      <c r="D18" s="607" t="s">
        <v>358</v>
      </c>
      <c r="E18" s="606">
        <f t="shared" ref="E18:P18" si="8">E193+E364</f>
        <v>255.85236857672697</v>
      </c>
      <c r="F18" s="606">
        <f t="shared" si="8"/>
        <v>254.99630336349415</v>
      </c>
      <c r="G18" s="606">
        <f t="shared" si="8"/>
        <v>320.26005646923528</v>
      </c>
      <c r="H18" s="606">
        <f t="shared" si="8"/>
        <v>407.41179378471418</v>
      </c>
      <c r="I18" s="606">
        <f t="shared" si="8"/>
        <v>423.30005763075314</v>
      </c>
      <c r="J18" s="606">
        <f t="shared" si="8"/>
        <v>375.56653659752112</v>
      </c>
      <c r="K18" s="606">
        <f t="shared" si="8"/>
        <v>481.35406558090995</v>
      </c>
      <c r="L18" s="606">
        <f t="shared" si="8"/>
        <v>310.68423852045305</v>
      </c>
      <c r="M18" s="606">
        <f t="shared" si="8"/>
        <v>337.49950637575819</v>
      </c>
      <c r="N18" s="606">
        <f t="shared" si="8"/>
        <v>408.09934186575867</v>
      </c>
      <c r="O18" s="606">
        <f t="shared" si="8"/>
        <v>417.04582491956501</v>
      </c>
      <c r="P18" s="606">
        <f t="shared" si="8"/>
        <v>503.94681171670754</v>
      </c>
      <c r="Q18" s="606">
        <f t="shared" si="1"/>
        <v>4496.0169054015969</v>
      </c>
      <c r="R18" s="605"/>
      <c r="S18" s="605"/>
      <c r="T18" s="605"/>
    </row>
    <row r="19" spans="2:20" x14ac:dyDescent="0.25">
      <c r="B19" s="60"/>
      <c r="C19" s="822"/>
      <c r="D19" s="622" t="s">
        <v>620</v>
      </c>
      <c r="E19" s="606">
        <f t="shared" ref="E19:P19" si="9">E194+E365</f>
        <v>0</v>
      </c>
      <c r="F19" s="606">
        <f t="shared" si="9"/>
        <v>0</v>
      </c>
      <c r="G19" s="606">
        <f t="shared" si="9"/>
        <v>0</v>
      </c>
      <c r="H19" s="606">
        <f t="shared" si="9"/>
        <v>0</v>
      </c>
      <c r="I19" s="606">
        <f t="shared" si="9"/>
        <v>0</v>
      </c>
      <c r="J19" s="606">
        <f t="shared" si="9"/>
        <v>0</v>
      </c>
      <c r="K19" s="606">
        <f t="shared" si="9"/>
        <v>0</v>
      </c>
      <c r="L19" s="606">
        <f t="shared" si="9"/>
        <v>0</v>
      </c>
      <c r="M19" s="606">
        <f t="shared" si="9"/>
        <v>0</v>
      </c>
      <c r="N19" s="606">
        <f t="shared" si="9"/>
        <v>0</v>
      </c>
      <c r="O19" s="606">
        <f t="shared" si="9"/>
        <v>0</v>
      </c>
      <c r="P19" s="606">
        <f t="shared" si="9"/>
        <v>0</v>
      </c>
      <c r="Q19" s="606">
        <f t="shared" si="1"/>
        <v>0</v>
      </c>
      <c r="R19" s="605"/>
      <c r="S19" s="605"/>
      <c r="T19" s="605"/>
    </row>
    <row r="20" spans="2:20" hidden="1" x14ac:dyDescent="0.25">
      <c r="B20" s="60"/>
      <c r="C20" s="822"/>
      <c r="D20" s="607"/>
      <c r="E20" s="606">
        <f t="shared" ref="E20:P20" si="10">E195+E366</f>
        <v>0</v>
      </c>
      <c r="F20" s="606">
        <f t="shared" si="10"/>
        <v>0</v>
      </c>
      <c r="G20" s="606">
        <f t="shared" si="10"/>
        <v>0</v>
      </c>
      <c r="H20" s="606">
        <f t="shared" si="10"/>
        <v>0</v>
      </c>
      <c r="I20" s="606">
        <f t="shared" si="10"/>
        <v>0</v>
      </c>
      <c r="J20" s="606">
        <f t="shared" si="10"/>
        <v>0</v>
      </c>
      <c r="K20" s="606">
        <f t="shared" si="10"/>
        <v>0</v>
      </c>
      <c r="L20" s="606">
        <f t="shared" si="10"/>
        <v>0</v>
      </c>
      <c r="M20" s="606">
        <f t="shared" si="10"/>
        <v>0</v>
      </c>
      <c r="N20" s="606">
        <f t="shared" si="10"/>
        <v>0</v>
      </c>
      <c r="O20" s="606">
        <f t="shared" si="10"/>
        <v>0</v>
      </c>
      <c r="P20" s="606">
        <f t="shared" si="10"/>
        <v>0</v>
      </c>
      <c r="Q20" s="606">
        <f t="shared" si="1"/>
        <v>0</v>
      </c>
      <c r="R20" s="605"/>
      <c r="S20" s="605"/>
      <c r="T20" s="605"/>
    </row>
    <row r="21" spans="2:20" hidden="1" x14ac:dyDescent="0.25">
      <c r="B21" s="60"/>
      <c r="C21" s="822"/>
      <c r="D21" s="607"/>
      <c r="E21" s="606">
        <f t="shared" ref="E21:P21" si="11">E196+E367</f>
        <v>0</v>
      </c>
      <c r="F21" s="606">
        <f t="shared" si="11"/>
        <v>0</v>
      </c>
      <c r="G21" s="606">
        <f t="shared" si="11"/>
        <v>0</v>
      </c>
      <c r="H21" s="606">
        <f t="shared" si="11"/>
        <v>0</v>
      </c>
      <c r="I21" s="606">
        <f t="shared" si="11"/>
        <v>0</v>
      </c>
      <c r="J21" s="606">
        <f t="shared" si="11"/>
        <v>0</v>
      </c>
      <c r="K21" s="606">
        <f t="shared" si="11"/>
        <v>0</v>
      </c>
      <c r="L21" s="606">
        <f t="shared" si="11"/>
        <v>0</v>
      </c>
      <c r="M21" s="606">
        <f t="shared" si="11"/>
        <v>0</v>
      </c>
      <c r="N21" s="606">
        <f t="shared" si="11"/>
        <v>0</v>
      </c>
      <c r="O21" s="606">
        <f t="shared" si="11"/>
        <v>0</v>
      </c>
      <c r="P21" s="606">
        <f t="shared" si="11"/>
        <v>0</v>
      </c>
      <c r="Q21" s="606">
        <f t="shared" si="1"/>
        <v>0</v>
      </c>
      <c r="R21" s="605"/>
      <c r="S21" s="605"/>
      <c r="T21" s="605"/>
    </row>
    <row r="22" spans="2:20" hidden="1" x14ac:dyDescent="0.25">
      <c r="B22" s="60"/>
      <c r="C22" s="822"/>
      <c r="D22" s="607"/>
      <c r="E22" s="606">
        <f t="shared" ref="E22:P22" si="12">E197+E368</f>
        <v>0</v>
      </c>
      <c r="F22" s="606">
        <f t="shared" si="12"/>
        <v>0</v>
      </c>
      <c r="G22" s="606">
        <f t="shared" si="12"/>
        <v>0</v>
      </c>
      <c r="H22" s="606">
        <f t="shared" si="12"/>
        <v>0</v>
      </c>
      <c r="I22" s="606">
        <f t="shared" si="12"/>
        <v>0</v>
      </c>
      <c r="J22" s="606">
        <f t="shared" si="12"/>
        <v>0</v>
      </c>
      <c r="K22" s="606">
        <f t="shared" si="12"/>
        <v>0</v>
      </c>
      <c r="L22" s="606">
        <f t="shared" si="12"/>
        <v>0</v>
      </c>
      <c r="M22" s="606">
        <f t="shared" si="12"/>
        <v>0</v>
      </c>
      <c r="N22" s="606">
        <f t="shared" si="12"/>
        <v>0</v>
      </c>
      <c r="O22" s="606">
        <f t="shared" si="12"/>
        <v>0</v>
      </c>
      <c r="P22" s="606">
        <f t="shared" si="12"/>
        <v>0</v>
      </c>
      <c r="Q22" s="606">
        <f t="shared" si="1"/>
        <v>0</v>
      </c>
      <c r="R22" s="605"/>
      <c r="S22" s="605"/>
      <c r="T22" s="605"/>
    </row>
    <row r="23" spans="2:20" hidden="1" x14ac:dyDescent="0.25">
      <c r="B23" s="60"/>
      <c r="C23" s="822"/>
      <c r="D23" s="607"/>
      <c r="E23" s="606">
        <f t="shared" ref="E23:P23" si="13">E198+E369</f>
        <v>0</v>
      </c>
      <c r="F23" s="606">
        <f t="shared" si="13"/>
        <v>0</v>
      </c>
      <c r="G23" s="606">
        <f t="shared" si="13"/>
        <v>0</v>
      </c>
      <c r="H23" s="606">
        <f t="shared" si="13"/>
        <v>0</v>
      </c>
      <c r="I23" s="606">
        <f t="shared" si="13"/>
        <v>0</v>
      </c>
      <c r="J23" s="606">
        <f t="shared" si="13"/>
        <v>0</v>
      </c>
      <c r="K23" s="606">
        <f t="shared" si="13"/>
        <v>0</v>
      </c>
      <c r="L23" s="606">
        <f t="shared" si="13"/>
        <v>0</v>
      </c>
      <c r="M23" s="606">
        <f t="shared" si="13"/>
        <v>0</v>
      </c>
      <c r="N23" s="606">
        <f t="shared" si="13"/>
        <v>0</v>
      </c>
      <c r="O23" s="606">
        <f t="shared" si="13"/>
        <v>0</v>
      </c>
      <c r="P23" s="606">
        <f t="shared" si="13"/>
        <v>0</v>
      </c>
      <c r="Q23" s="606">
        <f t="shared" si="1"/>
        <v>0</v>
      </c>
      <c r="R23" s="605"/>
      <c r="S23" s="605"/>
      <c r="T23" s="605"/>
    </row>
    <row r="24" spans="2:20" hidden="1" x14ac:dyDescent="0.25">
      <c r="B24" s="60"/>
      <c r="C24" s="822"/>
      <c r="D24" s="607"/>
      <c r="E24" s="606">
        <f t="shared" ref="E24:P24" si="14">E199+E370</f>
        <v>0</v>
      </c>
      <c r="F24" s="606">
        <f t="shared" si="14"/>
        <v>0</v>
      </c>
      <c r="G24" s="606">
        <f t="shared" si="14"/>
        <v>0</v>
      </c>
      <c r="H24" s="606">
        <f t="shared" si="14"/>
        <v>0</v>
      </c>
      <c r="I24" s="606">
        <f t="shared" si="14"/>
        <v>0</v>
      </c>
      <c r="J24" s="606">
        <f t="shared" si="14"/>
        <v>0</v>
      </c>
      <c r="K24" s="606">
        <f t="shared" si="14"/>
        <v>0</v>
      </c>
      <c r="L24" s="606">
        <f t="shared" si="14"/>
        <v>0</v>
      </c>
      <c r="M24" s="606">
        <f t="shared" si="14"/>
        <v>0</v>
      </c>
      <c r="N24" s="606">
        <f t="shared" si="14"/>
        <v>0</v>
      </c>
      <c r="O24" s="606">
        <f t="shared" si="14"/>
        <v>0</v>
      </c>
      <c r="P24" s="606">
        <f t="shared" si="14"/>
        <v>0</v>
      </c>
      <c r="Q24" s="606">
        <f t="shared" si="1"/>
        <v>0</v>
      </c>
      <c r="R24" s="605"/>
      <c r="S24" s="605"/>
      <c r="T24" s="605"/>
    </row>
    <row r="25" spans="2:20" hidden="1" x14ac:dyDescent="0.25">
      <c r="B25" s="60"/>
      <c r="C25" s="822"/>
      <c r="D25" s="607"/>
      <c r="E25" s="606">
        <f t="shared" ref="E25:P25" si="15">E200+E371</f>
        <v>0</v>
      </c>
      <c r="F25" s="606">
        <f t="shared" si="15"/>
        <v>0</v>
      </c>
      <c r="G25" s="606">
        <f t="shared" si="15"/>
        <v>0</v>
      </c>
      <c r="H25" s="606">
        <f t="shared" si="15"/>
        <v>0</v>
      </c>
      <c r="I25" s="606">
        <f t="shared" si="15"/>
        <v>0</v>
      </c>
      <c r="J25" s="606">
        <f t="shared" si="15"/>
        <v>0</v>
      </c>
      <c r="K25" s="606">
        <f t="shared" si="15"/>
        <v>0</v>
      </c>
      <c r="L25" s="606">
        <f t="shared" si="15"/>
        <v>0</v>
      </c>
      <c r="M25" s="606">
        <f t="shared" si="15"/>
        <v>0</v>
      </c>
      <c r="N25" s="606">
        <f t="shared" si="15"/>
        <v>0</v>
      </c>
      <c r="O25" s="606">
        <f t="shared" si="15"/>
        <v>0</v>
      </c>
      <c r="P25" s="606">
        <f t="shared" si="15"/>
        <v>0</v>
      </c>
      <c r="Q25" s="606">
        <f t="shared" si="1"/>
        <v>0</v>
      </c>
      <c r="R25" s="605"/>
      <c r="S25" s="605"/>
      <c r="T25" s="605"/>
    </row>
    <row r="26" spans="2:20" hidden="1" x14ac:dyDescent="0.25">
      <c r="B26" s="60"/>
      <c r="C26" s="822"/>
      <c r="D26" s="607"/>
      <c r="E26" s="606">
        <f t="shared" ref="E26:P26" si="16">E201+E372</f>
        <v>0</v>
      </c>
      <c r="F26" s="606">
        <f t="shared" si="16"/>
        <v>0</v>
      </c>
      <c r="G26" s="606">
        <f t="shared" si="16"/>
        <v>0</v>
      </c>
      <c r="H26" s="606">
        <f t="shared" si="16"/>
        <v>0</v>
      </c>
      <c r="I26" s="606">
        <f t="shared" si="16"/>
        <v>0</v>
      </c>
      <c r="J26" s="606">
        <f t="shared" si="16"/>
        <v>0</v>
      </c>
      <c r="K26" s="606">
        <f t="shared" si="16"/>
        <v>0</v>
      </c>
      <c r="L26" s="606">
        <f t="shared" si="16"/>
        <v>0</v>
      </c>
      <c r="M26" s="606">
        <f t="shared" si="16"/>
        <v>0</v>
      </c>
      <c r="N26" s="606">
        <f t="shared" si="16"/>
        <v>0</v>
      </c>
      <c r="O26" s="606">
        <f t="shared" si="16"/>
        <v>0</v>
      </c>
      <c r="P26" s="606">
        <f t="shared" si="16"/>
        <v>0</v>
      </c>
      <c r="Q26" s="606">
        <f t="shared" si="1"/>
        <v>0</v>
      </c>
      <c r="R26" s="605"/>
      <c r="S26" s="605"/>
      <c r="T26" s="605"/>
    </row>
    <row r="27" spans="2:20" hidden="1" x14ac:dyDescent="0.25">
      <c r="B27" s="60"/>
      <c r="C27" s="822"/>
      <c r="D27" s="607"/>
      <c r="E27" s="606">
        <f t="shared" ref="E27:P27" si="17">E202+E373</f>
        <v>0</v>
      </c>
      <c r="F27" s="606">
        <f t="shared" si="17"/>
        <v>0</v>
      </c>
      <c r="G27" s="606">
        <f t="shared" si="17"/>
        <v>0</v>
      </c>
      <c r="H27" s="606">
        <f t="shared" si="17"/>
        <v>0</v>
      </c>
      <c r="I27" s="606">
        <f t="shared" si="17"/>
        <v>0</v>
      </c>
      <c r="J27" s="606">
        <f t="shared" si="17"/>
        <v>0</v>
      </c>
      <c r="K27" s="606">
        <f t="shared" si="17"/>
        <v>0</v>
      </c>
      <c r="L27" s="606">
        <f t="shared" si="17"/>
        <v>0</v>
      </c>
      <c r="M27" s="606">
        <f t="shared" si="17"/>
        <v>0</v>
      </c>
      <c r="N27" s="606">
        <f t="shared" si="17"/>
        <v>0</v>
      </c>
      <c r="O27" s="606">
        <f t="shared" si="17"/>
        <v>0</v>
      </c>
      <c r="P27" s="606">
        <f t="shared" si="17"/>
        <v>0</v>
      </c>
      <c r="Q27" s="606">
        <f t="shared" si="1"/>
        <v>0</v>
      </c>
      <c r="R27" s="605"/>
      <c r="S27" s="605"/>
      <c r="T27" s="605"/>
    </row>
    <row r="28" spans="2:20" hidden="1" x14ac:dyDescent="0.25">
      <c r="B28" s="60"/>
      <c r="C28" s="823"/>
      <c r="D28" s="607"/>
      <c r="E28" s="606">
        <f t="shared" ref="E28:P28" si="18">E203+E374</f>
        <v>0</v>
      </c>
      <c r="F28" s="606">
        <f t="shared" si="18"/>
        <v>0</v>
      </c>
      <c r="G28" s="606">
        <f t="shared" si="18"/>
        <v>0</v>
      </c>
      <c r="H28" s="606">
        <f t="shared" si="18"/>
        <v>0</v>
      </c>
      <c r="I28" s="606">
        <f t="shared" si="18"/>
        <v>0</v>
      </c>
      <c r="J28" s="606">
        <f t="shared" si="18"/>
        <v>0</v>
      </c>
      <c r="K28" s="606">
        <f t="shared" si="18"/>
        <v>0</v>
      </c>
      <c r="L28" s="606">
        <f t="shared" si="18"/>
        <v>0</v>
      </c>
      <c r="M28" s="606">
        <f t="shared" si="18"/>
        <v>0</v>
      </c>
      <c r="N28" s="606">
        <f t="shared" si="18"/>
        <v>0</v>
      </c>
      <c r="O28" s="606">
        <f t="shared" si="18"/>
        <v>0</v>
      </c>
      <c r="P28" s="606">
        <f t="shared" si="18"/>
        <v>0</v>
      </c>
      <c r="Q28" s="606">
        <f t="shared" si="1"/>
        <v>0</v>
      </c>
      <c r="R28" s="605"/>
      <c r="S28" s="605"/>
      <c r="T28" s="605"/>
    </row>
    <row r="29" spans="2:20" x14ac:dyDescent="0.25">
      <c r="C29" s="811" t="s">
        <v>212</v>
      </c>
      <c r="D29" s="812"/>
      <c r="E29" s="609">
        <f t="shared" ref="E29:P29" si="19">SUM(E11:E28)</f>
        <v>609.53138638363384</v>
      </c>
      <c r="F29" s="609">
        <f t="shared" si="19"/>
        <v>499.40559249647731</v>
      </c>
      <c r="G29" s="609">
        <f t="shared" si="19"/>
        <v>580.75368754089823</v>
      </c>
      <c r="H29" s="609">
        <f t="shared" si="19"/>
        <v>690.39184607804873</v>
      </c>
      <c r="I29" s="609">
        <f t="shared" si="19"/>
        <v>741.03766225915683</v>
      </c>
      <c r="J29" s="609">
        <f t="shared" si="19"/>
        <v>661.54026572469468</v>
      </c>
      <c r="K29" s="609">
        <f t="shared" si="19"/>
        <v>827.51372862676214</v>
      </c>
      <c r="L29" s="609">
        <f t="shared" si="19"/>
        <v>604.72222919784917</v>
      </c>
      <c r="M29" s="609">
        <f t="shared" si="19"/>
        <v>647.89317752510374</v>
      </c>
      <c r="N29" s="609">
        <f t="shared" si="19"/>
        <v>757.38457125885441</v>
      </c>
      <c r="O29" s="609">
        <f t="shared" si="19"/>
        <v>771.38169611321484</v>
      </c>
      <c r="P29" s="609">
        <f t="shared" si="19"/>
        <v>911.81969138875036</v>
      </c>
      <c r="Q29" s="609">
        <f t="shared" si="1"/>
        <v>8303.3755345934442</v>
      </c>
      <c r="R29" s="605"/>
      <c r="S29" s="605"/>
      <c r="T29" s="605"/>
    </row>
    <row r="30" spans="2:20" x14ac:dyDescent="0.25">
      <c r="C30" s="811" t="s">
        <v>359</v>
      </c>
      <c r="D30" s="812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5"/>
      <c r="S30" s="605"/>
      <c r="T30" s="605"/>
    </row>
    <row r="31" spans="2:20" x14ac:dyDescent="0.25">
      <c r="C31" s="821" t="s">
        <v>350</v>
      </c>
      <c r="D31" s="607" t="s">
        <v>360</v>
      </c>
      <c r="E31" s="606">
        <f t="shared" ref="E31:P31" si="20">E206+E377</f>
        <v>0.47538330538068124</v>
      </c>
      <c r="F31" s="606">
        <f t="shared" si="20"/>
        <v>0.50940572023140274</v>
      </c>
      <c r="G31" s="606">
        <f t="shared" si="20"/>
        <v>0.52776899376009923</v>
      </c>
      <c r="H31" s="606">
        <f t="shared" si="20"/>
        <v>1.153822254626218</v>
      </c>
      <c r="I31" s="606">
        <f t="shared" si="20"/>
        <v>2.7089640223724998</v>
      </c>
      <c r="J31" s="606">
        <f t="shared" si="20"/>
        <v>1.3682066196119451</v>
      </c>
      <c r="K31" s="606">
        <f t="shared" si="20"/>
        <v>1.5081097877931708</v>
      </c>
      <c r="L31" s="606">
        <f t="shared" si="20"/>
        <v>0.51725048505656313</v>
      </c>
      <c r="M31" s="606">
        <f t="shared" si="20"/>
        <v>0.88734578826338883</v>
      </c>
      <c r="N31" s="606">
        <f t="shared" si="20"/>
        <v>1.6931778293690214</v>
      </c>
      <c r="O31" s="606">
        <f t="shared" si="20"/>
        <v>1.5206629797895084</v>
      </c>
      <c r="P31" s="606">
        <f t="shared" si="20"/>
        <v>0.70635221374549828</v>
      </c>
      <c r="Q31" s="606">
        <f t="shared" ref="Q31:Q48" si="21">SUM(E31:P31)</f>
        <v>13.576449999999996</v>
      </c>
      <c r="R31" s="605"/>
      <c r="S31" s="605"/>
      <c r="T31" s="605"/>
    </row>
    <row r="32" spans="2:20" x14ac:dyDescent="0.25">
      <c r="C32" s="822"/>
      <c r="D32" s="607" t="s">
        <v>361</v>
      </c>
      <c r="E32" s="606">
        <f t="shared" ref="E32:P32" si="22">E207+E378</f>
        <v>3.0384692543846583</v>
      </c>
      <c r="F32" s="606">
        <f t="shared" si="22"/>
        <v>3.2559275881413625</v>
      </c>
      <c r="G32" s="606">
        <f t="shared" si="22"/>
        <v>3.3732986472325495</v>
      </c>
      <c r="H32" s="606">
        <f t="shared" si="22"/>
        <v>7.3747929429265575</v>
      </c>
      <c r="I32" s="606">
        <f t="shared" si="22"/>
        <v>17.314667553631622</v>
      </c>
      <c r="J32" s="606">
        <f t="shared" si="22"/>
        <v>8.7450562530953437</v>
      </c>
      <c r="K32" s="606">
        <f t="shared" si="22"/>
        <v>9.6392640855922238</v>
      </c>
      <c r="L32" s="606">
        <f t="shared" si="22"/>
        <v>3.3060683407915641</v>
      </c>
      <c r="M32" s="606">
        <f t="shared" si="22"/>
        <v>5.6715767363495493</v>
      </c>
      <c r="N32" s="606">
        <f t="shared" si="22"/>
        <v>10.822148608318786</v>
      </c>
      <c r="O32" s="606">
        <f t="shared" si="22"/>
        <v>9.719499313656689</v>
      </c>
      <c r="P32" s="606">
        <f t="shared" si="22"/>
        <v>4.5147346571490603</v>
      </c>
      <c r="Q32" s="606">
        <f t="shared" si="21"/>
        <v>86.775503981269964</v>
      </c>
      <c r="R32" s="605"/>
      <c r="S32" s="605"/>
      <c r="T32" s="605"/>
    </row>
    <row r="33" spans="3:20" x14ac:dyDescent="0.25">
      <c r="C33" s="822"/>
      <c r="D33" s="607" t="s">
        <v>362</v>
      </c>
      <c r="E33" s="606">
        <f t="shared" ref="E33:P33" si="23">E208+E379</f>
        <v>3.923716869790657</v>
      </c>
      <c r="F33" s="606">
        <f t="shared" si="23"/>
        <v>4.2045309446431416</v>
      </c>
      <c r="G33" s="606">
        <f t="shared" si="23"/>
        <v>4.3560976599938783</v>
      </c>
      <c r="H33" s="606">
        <f t="shared" si="23"/>
        <v>9.5234136200710644</v>
      </c>
      <c r="I33" s="606">
        <f t="shared" si="23"/>
        <v>22.359236670558271</v>
      </c>
      <c r="J33" s="606">
        <f t="shared" si="23"/>
        <v>11.292898454714647</v>
      </c>
      <c r="K33" s="606">
        <f t="shared" si="23"/>
        <v>12.447630677989192</v>
      </c>
      <c r="L33" s="606">
        <f t="shared" si="23"/>
        <v>4.2692800339267309</v>
      </c>
      <c r="M33" s="606">
        <f t="shared" si="23"/>
        <v>7.3239712024776464</v>
      </c>
      <c r="N33" s="606">
        <f t="shared" si="23"/>
        <v>13.975144556939542</v>
      </c>
      <c r="O33" s="606">
        <f t="shared" si="23"/>
        <v>12.551242165073925</v>
      </c>
      <c r="P33" s="606">
        <f t="shared" si="23"/>
        <v>5.830087143821304</v>
      </c>
      <c r="Q33" s="606">
        <f t="shared" si="21"/>
        <v>112.05725000000001</v>
      </c>
      <c r="R33" s="605"/>
      <c r="S33" s="605"/>
      <c r="T33" s="605"/>
    </row>
    <row r="34" spans="3:20" x14ac:dyDescent="0.25">
      <c r="C34" s="822"/>
      <c r="D34" s="607" t="s">
        <v>363</v>
      </c>
      <c r="E34" s="606">
        <f t="shared" ref="E34:P34" si="24">E209+E380</f>
        <v>2.2231645728204135</v>
      </c>
      <c r="F34" s="606">
        <f t="shared" si="24"/>
        <v>2.3822728682144927</v>
      </c>
      <c r="G34" s="606">
        <f t="shared" si="24"/>
        <v>2.4681500512958743</v>
      </c>
      <c r="H34" s="606">
        <f t="shared" si="24"/>
        <v>5.3959336198452572</v>
      </c>
      <c r="I34" s="606">
        <f t="shared" si="24"/>
        <v>12.668667105928145</v>
      </c>
      <c r="J34" s="606">
        <f t="shared" si="24"/>
        <v>6.3985176816082276</v>
      </c>
      <c r="K34" s="606">
        <f t="shared" si="24"/>
        <v>7.0527850141069353</v>
      </c>
      <c r="L34" s="606">
        <f t="shared" si="24"/>
        <v>2.4189594809836108</v>
      </c>
      <c r="M34" s="606">
        <f t="shared" si="24"/>
        <v>4.1497370605575705</v>
      </c>
      <c r="N34" s="606">
        <f t="shared" si="24"/>
        <v>7.9182691590817207</v>
      </c>
      <c r="O34" s="606">
        <f t="shared" si="24"/>
        <v>7.1114909286945815</v>
      </c>
      <c r="P34" s="606">
        <f t="shared" si="24"/>
        <v>3.3033074568631666</v>
      </c>
      <c r="Q34" s="606">
        <f t="shared" si="21"/>
        <v>63.491254999999995</v>
      </c>
      <c r="R34" s="605"/>
      <c r="S34" s="605"/>
      <c r="T34" s="605"/>
    </row>
    <row r="35" spans="3:20" x14ac:dyDescent="0.25">
      <c r="C35" s="822"/>
      <c r="D35" s="607" t="s">
        <v>364</v>
      </c>
      <c r="E35" s="606">
        <f t="shared" ref="E35:P35" si="25">E210+E381</f>
        <v>0.96592525412165775</v>
      </c>
      <c r="F35" s="606">
        <f t="shared" si="25"/>
        <v>1.0350549634289696</v>
      </c>
      <c r="G35" s="606">
        <f t="shared" si="25"/>
        <v>1.0723670638938945</v>
      </c>
      <c r="H35" s="606">
        <f t="shared" si="25"/>
        <v>2.3444366722524488</v>
      </c>
      <c r="I35" s="606">
        <f t="shared" si="25"/>
        <v>5.5043093270202226</v>
      </c>
      <c r="J35" s="606">
        <f t="shared" si="25"/>
        <v>2.7800415197191102</v>
      </c>
      <c r="K35" s="606">
        <f t="shared" si="25"/>
        <v>3.0643089766287721</v>
      </c>
      <c r="L35" s="606">
        <f t="shared" si="25"/>
        <v>1.0509946406778372</v>
      </c>
      <c r="M35" s="606">
        <f t="shared" si="25"/>
        <v>1.8029865506861533</v>
      </c>
      <c r="N35" s="606">
        <f t="shared" si="25"/>
        <v>3.4403463617569701</v>
      </c>
      <c r="O35" s="606">
        <f t="shared" si="25"/>
        <v>3.0898156467870566</v>
      </c>
      <c r="P35" s="606">
        <f t="shared" si="25"/>
        <v>1.4352280230269168</v>
      </c>
      <c r="Q35" s="606">
        <f t="shared" si="21"/>
        <v>27.585815000000007</v>
      </c>
      <c r="R35" s="605"/>
      <c r="S35" s="605"/>
      <c r="T35" s="605"/>
    </row>
    <row r="36" spans="3:20" x14ac:dyDescent="0.25">
      <c r="C36" s="822"/>
      <c r="D36" s="596" t="s">
        <v>365</v>
      </c>
      <c r="E36" s="606">
        <f t="shared" ref="E36:P36" si="26">E211+E382</f>
        <v>5.2591211658166478E-2</v>
      </c>
      <c r="F36" s="606">
        <f t="shared" si="26"/>
        <v>5.6355079678528298E-2</v>
      </c>
      <c r="G36" s="606">
        <f t="shared" si="26"/>
        <v>5.8386591500574979E-2</v>
      </c>
      <c r="H36" s="606">
        <f t="shared" si="26"/>
        <v>0.12764627979595899</v>
      </c>
      <c r="I36" s="606">
        <f t="shared" si="26"/>
        <v>0.29969016299565626</v>
      </c>
      <c r="J36" s="606">
        <f t="shared" si="26"/>
        <v>0.15136342212626724</v>
      </c>
      <c r="K36" s="606">
        <f t="shared" si="26"/>
        <v>0.16684077912679335</v>
      </c>
      <c r="L36" s="606">
        <f t="shared" si="26"/>
        <v>5.7222938693893097E-2</v>
      </c>
      <c r="M36" s="606">
        <f t="shared" si="26"/>
        <v>9.8166236879463811E-2</v>
      </c>
      <c r="N36" s="606">
        <f t="shared" si="26"/>
        <v>0.18731468394321063</v>
      </c>
      <c r="O36" s="606">
        <f t="shared" si="26"/>
        <v>0.16822952704829702</v>
      </c>
      <c r="P36" s="606">
        <f t="shared" si="26"/>
        <v>7.8143086553189606E-2</v>
      </c>
      <c r="Q36" s="606">
        <f t="shared" si="21"/>
        <v>1.5019499999999999</v>
      </c>
      <c r="R36" s="605"/>
      <c r="S36" s="605"/>
      <c r="T36" s="605"/>
    </row>
    <row r="37" spans="3:20" x14ac:dyDescent="0.25">
      <c r="C37" s="822"/>
      <c r="D37" s="611" t="s">
        <v>448</v>
      </c>
      <c r="E37" s="606">
        <f t="shared" ref="E37:P37" si="27">E212+E383</f>
        <v>0.22352642871883224</v>
      </c>
      <c r="F37" s="606">
        <f t="shared" si="27"/>
        <v>0.23952385395841319</v>
      </c>
      <c r="G37" s="606">
        <f t="shared" si="27"/>
        <v>0.24815831146879988</v>
      </c>
      <c r="H37" s="606">
        <f t="shared" si="27"/>
        <v>0.54253013312358256</v>
      </c>
      <c r="I37" s="606">
        <f t="shared" si="27"/>
        <v>1.2737617131165995</v>
      </c>
      <c r="J37" s="606">
        <f t="shared" si="27"/>
        <v>0.64333420204232605</v>
      </c>
      <c r="K37" s="606">
        <f t="shared" si="27"/>
        <v>0.70911702444278313</v>
      </c>
      <c r="L37" s="606">
        <f t="shared" si="27"/>
        <v>0.24321248215730015</v>
      </c>
      <c r="M37" s="606">
        <f t="shared" si="27"/>
        <v>0.41723222680354743</v>
      </c>
      <c r="N37" s="606">
        <f t="shared" si="27"/>
        <v>0.79613648418235361</v>
      </c>
      <c r="O37" s="606">
        <f t="shared" si="27"/>
        <v>0.7150195669683691</v>
      </c>
      <c r="P37" s="606">
        <f t="shared" si="27"/>
        <v>0.33212859174711112</v>
      </c>
      <c r="Q37" s="606">
        <f t="shared" si="21"/>
        <v>6.3836810187300177</v>
      </c>
      <c r="R37" s="605"/>
      <c r="S37" s="605"/>
      <c r="T37" s="605"/>
    </row>
    <row r="38" spans="3:20" x14ac:dyDescent="0.25">
      <c r="C38" s="822"/>
      <c r="D38" s="611" t="s">
        <v>449</v>
      </c>
      <c r="E38" s="606">
        <f t="shared" ref="E38:P38" si="28">E213+E384</f>
        <v>0.39307290313450782</v>
      </c>
      <c r="F38" s="606">
        <f t="shared" si="28"/>
        <v>0.42120449552669437</v>
      </c>
      <c r="G38" s="606">
        <f t="shared" si="28"/>
        <v>0.43638825388606228</v>
      </c>
      <c r="H38" s="606">
        <f t="shared" si="28"/>
        <v>0.954043312404386</v>
      </c>
      <c r="I38" s="606">
        <f t="shared" si="28"/>
        <v>2.2399195358957704</v>
      </c>
      <c r="J38" s="606">
        <f t="shared" si="28"/>
        <v>1.1313080244331486</v>
      </c>
      <c r="K38" s="606">
        <f t="shared" si="28"/>
        <v>1.2469876115206098</v>
      </c>
      <c r="L38" s="606">
        <f t="shared" si="28"/>
        <v>0.42769097590859173</v>
      </c>
      <c r="M38" s="606">
        <f t="shared" si="28"/>
        <v>0.73370600340615755</v>
      </c>
      <c r="N38" s="606">
        <f t="shared" si="28"/>
        <v>1.4000119848131969</v>
      </c>
      <c r="O38" s="606">
        <f t="shared" si="28"/>
        <v>1.2573672768680368</v>
      </c>
      <c r="P38" s="606">
        <f t="shared" si="28"/>
        <v>0.58405062220283976</v>
      </c>
      <c r="Q38" s="606">
        <f t="shared" si="21"/>
        <v>11.225751000000001</v>
      </c>
      <c r="R38" s="605"/>
      <c r="S38" s="605"/>
      <c r="T38" s="605"/>
    </row>
    <row r="39" spans="3:20" x14ac:dyDescent="0.25">
      <c r="C39" s="822"/>
      <c r="D39" s="611" t="s">
        <v>450</v>
      </c>
      <c r="E39" s="606">
        <f t="shared" ref="E39:P39" si="29">E214+E385</f>
        <v>0</v>
      </c>
      <c r="F39" s="606">
        <f t="shared" si="29"/>
        <v>0</v>
      </c>
      <c r="G39" s="606">
        <f t="shared" si="29"/>
        <v>0</v>
      </c>
      <c r="H39" s="606">
        <f t="shared" si="29"/>
        <v>0</v>
      </c>
      <c r="I39" s="606">
        <f t="shared" si="29"/>
        <v>0</v>
      </c>
      <c r="J39" s="606">
        <f t="shared" si="29"/>
        <v>0</v>
      </c>
      <c r="K39" s="606">
        <f t="shared" si="29"/>
        <v>0</v>
      </c>
      <c r="L39" s="606">
        <f t="shared" si="29"/>
        <v>0</v>
      </c>
      <c r="M39" s="606">
        <f t="shared" si="29"/>
        <v>0</v>
      </c>
      <c r="N39" s="606">
        <f t="shared" si="29"/>
        <v>0</v>
      </c>
      <c r="O39" s="606">
        <f t="shared" si="29"/>
        <v>0</v>
      </c>
      <c r="P39" s="606">
        <f t="shared" si="29"/>
        <v>0</v>
      </c>
      <c r="Q39" s="606">
        <f t="shared" si="21"/>
        <v>0</v>
      </c>
      <c r="R39" s="605"/>
      <c r="S39" s="605"/>
      <c r="T39" s="605"/>
    </row>
    <row r="40" spans="3:20" x14ac:dyDescent="0.25">
      <c r="C40" s="822"/>
      <c r="D40" s="611" t="s">
        <v>458</v>
      </c>
      <c r="E40" s="606">
        <f t="shared" ref="E40:P40" si="30">E215+E386</f>
        <v>5.2591211658166478E-2</v>
      </c>
      <c r="F40" s="606">
        <f t="shared" si="30"/>
        <v>5.6355079678528298E-2</v>
      </c>
      <c r="G40" s="606">
        <f t="shared" si="30"/>
        <v>5.8386591500574979E-2</v>
      </c>
      <c r="H40" s="606">
        <f t="shared" si="30"/>
        <v>0.12764627979595899</v>
      </c>
      <c r="I40" s="606">
        <f t="shared" si="30"/>
        <v>0.29969016299565626</v>
      </c>
      <c r="J40" s="606">
        <f t="shared" si="30"/>
        <v>0.15136342212626724</v>
      </c>
      <c r="K40" s="606">
        <f t="shared" si="30"/>
        <v>0.16684077912679335</v>
      </c>
      <c r="L40" s="606">
        <f t="shared" si="30"/>
        <v>5.7222938693893097E-2</v>
      </c>
      <c r="M40" s="606">
        <f t="shared" si="30"/>
        <v>9.8166236879463811E-2</v>
      </c>
      <c r="N40" s="606">
        <f t="shared" si="30"/>
        <v>0.18731468394321063</v>
      </c>
      <c r="O40" s="606">
        <f t="shared" si="30"/>
        <v>0.16822952704829702</v>
      </c>
      <c r="P40" s="606">
        <f t="shared" si="30"/>
        <v>7.8143086553189606E-2</v>
      </c>
      <c r="Q40" s="606">
        <f t="shared" si="21"/>
        <v>1.5019499999999999</v>
      </c>
      <c r="R40" s="605"/>
      <c r="S40" s="605"/>
      <c r="T40" s="605"/>
    </row>
    <row r="41" spans="3:20" x14ac:dyDescent="0.25">
      <c r="C41" s="822"/>
      <c r="D41" s="611" t="s">
        <v>459</v>
      </c>
      <c r="E41" s="606">
        <f t="shared" ref="E41:P41" si="31">E216+E387</f>
        <v>0.26204860208967179</v>
      </c>
      <c r="F41" s="606">
        <f t="shared" si="31"/>
        <v>0.28080299701779621</v>
      </c>
      <c r="G41" s="606">
        <f t="shared" si="31"/>
        <v>0.29092550259070799</v>
      </c>
      <c r="H41" s="606">
        <f t="shared" si="31"/>
        <v>0.63602887493625693</v>
      </c>
      <c r="I41" s="606">
        <f t="shared" si="31"/>
        <v>1.4932796905971795</v>
      </c>
      <c r="J41" s="606">
        <f t="shared" si="31"/>
        <v>0.75420534962209873</v>
      </c>
      <c r="K41" s="606">
        <f t="shared" si="31"/>
        <v>0.8313250743470727</v>
      </c>
      <c r="L41" s="606">
        <f t="shared" si="31"/>
        <v>0.28512731727239438</v>
      </c>
      <c r="M41" s="606">
        <f t="shared" si="31"/>
        <v>0.48913733560410488</v>
      </c>
      <c r="N41" s="606">
        <f t="shared" si="31"/>
        <v>0.93334132320879737</v>
      </c>
      <c r="O41" s="606">
        <f t="shared" si="31"/>
        <v>0.83824485124535764</v>
      </c>
      <c r="P41" s="606">
        <f t="shared" si="31"/>
        <v>0.38936708146855964</v>
      </c>
      <c r="Q41" s="606">
        <f t="shared" si="21"/>
        <v>7.4838339999999972</v>
      </c>
      <c r="R41" s="605"/>
      <c r="S41" s="605"/>
      <c r="T41" s="605"/>
    </row>
    <row r="42" spans="3:20" x14ac:dyDescent="0.25">
      <c r="C42" s="822"/>
      <c r="D42" s="607"/>
      <c r="E42" s="606">
        <f t="shared" ref="E42:P42" si="32">E217+E388</f>
        <v>0</v>
      </c>
      <c r="F42" s="606">
        <f t="shared" si="32"/>
        <v>0</v>
      </c>
      <c r="G42" s="606">
        <f t="shared" si="32"/>
        <v>0</v>
      </c>
      <c r="H42" s="606">
        <f t="shared" si="32"/>
        <v>0</v>
      </c>
      <c r="I42" s="606">
        <f t="shared" si="32"/>
        <v>0</v>
      </c>
      <c r="J42" s="606">
        <f t="shared" si="32"/>
        <v>0</v>
      </c>
      <c r="K42" s="606">
        <f t="shared" si="32"/>
        <v>0</v>
      </c>
      <c r="L42" s="606">
        <f t="shared" si="32"/>
        <v>0</v>
      </c>
      <c r="M42" s="606">
        <f t="shared" si="32"/>
        <v>0</v>
      </c>
      <c r="N42" s="606">
        <f t="shared" si="32"/>
        <v>0</v>
      </c>
      <c r="O42" s="606">
        <f t="shared" si="32"/>
        <v>0</v>
      </c>
      <c r="P42" s="606">
        <f t="shared" si="32"/>
        <v>0</v>
      </c>
      <c r="Q42" s="606">
        <f t="shared" si="21"/>
        <v>0</v>
      </c>
      <c r="R42" s="605"/>
      <c r="S42" s="605"/>
      <c r="T42" s="605"/>
    </row>
    <row r="43" spans="3:20" x14ac:dyDescent="0.25">
      <c r="C43" s="822"/>
      <c r="D43" s="607"/>
      <c r="E43" s="606">
        <f t="shared" ref="E43:P43" si="33">E218+E389</f>
        <v>0</v>
      </c>
      <c r="F43" s="606">
        <f t="shared" si="33"/>
        <v>0</v>
      </c>
      <c r="G43" s="606">
        <f t="shared" si="33"/>
        <v>0</v>
      </c>
      <c r="H43" s="606">
        <f t="shared" si="33"/>
        <v>0</v>
      </c>
      <c r="I43" s="606">
        <f t="shared" si="33"/>
        <v>0</v>
      </c>
      <c r="J43" s="606">
        <f t="shared" si="33"/>
        <v>0</v>
      </c>
      <c r="K43" s="606">
        <f t="shared" si="33"/>
        <v>0</v>
      </c>
      <c r="L43" s="606">
        <f t="shared" si="33"/>
        <v>0</v>
      </c>
      <c r="M43" s="606">
        <f t="shared" si="33"/>
        <v>0</v>
      </c>
      <c r="N43" s="606">
        <f t="shared" si="33"/>
        <v>0</v>
      </c>
      <c r="O43" s="606">
        <f t="shared" si="33"/>
        <v>0</v>
      </c>
      <c r="P43" s="606">
        <f t="shared" si="33"/>
        <v>0</v>
      </c>
      <c r="Q43" s="606">
        <f t="shared" si="21"/>
        <v>0</v>
      </c>
      <c r="R43" s="605"/>
      <c r="S43" s="605"/>
      <c r="T43" s="605"/>
    </row>
    <row r="44" spans="3:20" ht="26.25" customHeight="1" x14ac:dyDescent="0.25">
      <c r="C44" s="822"/>
      <c r="D44" s="623" t="s">
        <v>1213</v>
      </c>
      <c r="E44" s="606">
        <f t="shared" ref="E44:P44" si="34">E219+E390</f>
        <v>0</v>
      </c>
      <c r="F44" s="606">
        <f t="shared" si="34"/>
        <v>0</v>
      </c>
      <c r="G44" s="606">
        <f t="shared" si="34"/>
        <v>0</v>
      </c>
      <c r="H44" s="606">
        <f t="shared" si="34"/>
        <v>0</v>
      </c>
      <c r="I44" s="606">
        <f t="shared" si="34"/>
        <v>0</v>
      </c>
      <c r="J44" s="606">
        <f t="shared" si="34"/>
        <v>0</v>
      </c>
      <c r="K44" s="606">
        <f t="shared" si="34"/>
        <v>0</v>
      </c>
      <c r="L44" s="606">
        <f t="shared" si="34"/>
        <v>0</v>
      </c>
      <c r="M44" s="606">
        <f t="shared" si="34"/>
        <v>0</v>
      </c>
      <c r="N44" s="606">
        <f t="shared" si="34"/>
        <v>0</v>
      </c>
      <c r="O44" s="606">
        <f t="shared" si="34"/>
        <v>0</v>
      </c>
      <c r="P44" s="606">
        <f t="shared" si="34"/>
        <v>0</v>
      </c>
      <c r="Q44" s="606">
        <f>Q219</f>
        <v>438.64596999999998</v>
      </c>
      <c r="R44" s="605"/>
      <c r="S44" s="605"/>
      <c r="T44" s="605"/>
    </row>
    <row r="45" spans="3:20" x14ac:dyDescent="0.25">
      <c r="C45" s="822"/>
      <c r="D45" s="622" t="s">
        <v>642</v>
      </c>
      <c r="E45" s="606">
        <f t="shared" ref="E45:P45" si="35">E220+E391</f>
        <v>0</v>
      </c>
      <c r="F45" s="606">
        <f t="shared" si="35"/>
        <v>0</v>
      </c>
      <c r="G45" s="606">
        <f t="shared" si="35"/>
        <v>0</v>
      </c>
      <c r="H45" s="606">
        <f t="shared" si="35"/>
        <v>0</v>
      </c>
      <c r="I45" s="606">
        <f t="shared" si="35"/>
        <v>0</v>
      </c>
      <c r="J45" s="606">
        <f t="shared" si="35"/>
        <v>0</v>
      </c>
      <c r="K45" s="606">
        <f t="shared" si="35"/>
        <v>0</v>
      </c>
      <c r="L45" s="606">
        <f t="shared" si="35"/>
        <v>0</v>
      </c>
      <c r="M45" s="606">
        <f t="shared" si="35"/>
        <v>0</v>
      </c>
      <c r="N45" s="606">
        <f t="shared" si="35"/>
        <v>0</v>
      </c>
      <c r="O45" s="606">
        <f t="shared" si="35"/>
        <v>0</v>
      </c>
      <c r="P45" s="606">
        <f t="shared" si="35"/>
        <v>0</v>
      </c>
      <c r="Q45" s="606">
        <f>Q220</f>
        <v>9.9099249999999994</v>
      </c>
      <c r="R45" s="605"/>
      <c r="S45" s="605"/>
      <c r="T45" s="605"/>
    </row>
    <row r="46" spans="3:20" x14ac:dyDescent="0.25">
      <c r="C46" s="822"/>
      <c r="D46" s="607"/>
      <c r="E46" s="606">
        <f t="shared" ref="E46:P46" si="36">E221+E392</f>
        <v>0</v>
      </c>
      <c r="F46" s="606">
        <f t="shared" si="36"/>
        <v>0</v>
      </c>
      <c r="G46" s="606">
        <f t="shared" si="36"/>
        <v>0</v>
      </c>
      <c r="H46" s="606">
        <f t="shared" si="36"/>
        <v>0</v>
      </c>
      <c r="I46" s="606">
        <f t="shared" si="36"/>
        <v>0</v>
      </c>
      <c r="J46" s="606">
        <f t="shared" si="36"/>
        <v>0</v>
      </c>
      <c r="K46" s="606">
        <f t="shared" si="36"/>
        <v>0</v>
      </c>
      <c r="L46" s="606">
        <f t="shared" si="36"/>
        <v>0</v>
      </c>
      <c r="M46" s="606">
        <f t="shared" si="36"/>
        <v>0</v>
      </c>
      <c r="N46" s="606">
        <f t="shared" si="36"/>
        <v>0</v>
      </c>
      <c r="O46" s="606">
        <f t="shared" si="36"/>
        <v>0</v>
      </c>
      <c r="P46" s="606">
        <f t="shared" si="36"/>
        <v>0</v>
      </c>
      <c r="Q46" s="606">
        <f t="shared" si="21"/>
        <v>0</v>
      </c>
      <c r="R46" s="605"/>
      <c r="S46" s="605"/>
      <c r="T46" s="605"/>
    </row>
    <row r="47" spans="3:20" x14ac:dyDescent="0.25">
      <c r="C47" s="822"/>
      <c r="D47" s="607"/>
      <c r="E47" s="606">
        <f t="shared" ref="E47:P47" si="37">E222+E393</f>
        <v>0</v>
      </c>
      <c r="F47" s="606">
        <f t="shared" si="37"/>
        <v>0</v>
      </c>
      <c r="G47" s="606">
        <f t="shared" si="37"/>
        <v>0</v>
      </c>
      <c r="H47" s="606">
        <f t="shared" si="37"/>
        <v>0</v>
      </c>
      <c r="I47" s="606">
        <f t="shared" si="37"/>
        <v>0</v>
      </c>
      <c r="J47" s="606">
        <f t="shared" si="37"/>
        <v>0</v>
      </c>
      <c r="K47" s="606">
        <f t="shared" si="37"/>
        <v>0</v>
      </c>
      <c r="L47" s="606">
        <f t="shared" si="37"/>
        <v>0</v>
      </c>
      <c r="M47" s="606">
        <f t="shared" si="37"/>
        <v>0</v>
      </c>
      <c r="N47" s="606">
        <f t="shared" si="37"/>
        <v>0</v>
      </c>
      <c r="O47" s="606">
        <f t="shared" si="37"/>
        <v>0</v>
      </c>
      <c r="P47" s="606">
        <f t="shared" si="37"/>
        <v>0</v>
      </c>
      <c r="Q47" s="606">
        <f t="shared" si="21"/>
        <v>0</v>
      </c>
      <c r="R47" s="605"/>
      <c r="S47" s="605"/>
      <c r="T47" s="605"/>
    </row>
    <row r="48" spans="3:20" x14ac:dyDescent="0.25">
      <c r="C48" s="823"/>
      <c r="D48" s="612"/>
      <c r="E48" s="606">
        <f t="shared" ref="E48:P48" si="38">E223+E394</f>
        <v>0</v>
      </c>
      <c r="F48" s="606">
        <f t="shared" si="38"/>
        <v>0</v>
      </c>
      <c r="G48" s="606">
        <f t="shared" si="38"/>
        <v>0</v>
      </c>
      <c r="H48" s="606">
        <f t="shared" si="38"/>
        <v>0</v>
      </c>
      <c r="I48" s="606">
        <f t="shared" si="38"/>
        <v>0</v>
      </c>
      <c r="J48" s="606">
        <f t="shared" si="38"/>
        <v>0</v>
      </c>
      <c r="K48" s="606">
        <f t="shared" si="38"/>
        <v>0</v>
      </c>
      <c r="L48" s="606">
        <f t="shared" si="38"/>
        <v>0</v>
      </c>
      <c r="M48" s="606">
        <f t="shared" si="38"/>
        <v>0</v>
      </c>
      <c r="N48" s="606">
        <f t="shared" si="38"/>
        <v>0</v>
      </c>
      <c r="O48" s="606">
        <f t="shared" si="38"/>
        <v>0</v>
      </c>
      <c r="P48" s="606">
        <f t="shared" si="38"/>
        <v>0</v>
      </c>
      <c r="Q48" s="606">
        <f t="shared" si="21"/>
        <v>0</v>
      </c>
      <c r="R48" s="605"/>
      <c r="S48" s="605"/>
      <c r="T48" s="605"/>
    </row>
    <row r="49" spans="3:20" x14ac:dyDescent="0.25">
      <c r="C49" s="811" t="s">
        <v>212</v>
      </c>
      <c r="D49" s="812"/>
      <c r="E49" s="606">
        <f t="shared" ref="E49:P49" si="39">E224+E395</f>
        <v>11.610489613757412</v>
      </c>
      <c r="F49" s="606">
        <f t="shared" si="39"/>
        <v>12.441433590519329</v>
      </c>
      <c r="G49" s="606">
        <f t="shared" si="39"/>
        <v>12.889927667123015</v>
      </c>
      <c r="H49" s="606">
        <f t="shared" si="39"/>
        <v>28.180293989777692</v>
      </c>
      <c r="I49" s="606">
        <f t="shared" si="39"/>
        <v>66.162185945111631</v>
      </c>
      <c r="J49" s="606">
        <f t="shared" si="39"/>
        <v>33.416294949099374</v>
      </c>
      <c r="K49" s="606">
        <f t="shared" si="39"/>
        <v>36.83320981067434</v>
      </c>
      <c r="L49" s="606">
        <f t="shared" si="39"/>
        <v>12.63302963416238</v>
      </c>
      <c r="M49" s="606">
        <f t="shared" si="39"/>
        <v>21.672025377907051</v>
      </c>
      <c r="N49" s="606">
        <f t="shared" si="39"/>
        <v>41.353205675556829</v>
      </c>
      <c r="O49" s="606">
        <f t="shared" si="39"/>
        <v>37.139801783180118</v>
      </c>
      <c r="P49" s="606">
        <f t="shared" si="39"/>
        <v>17.251541963130833</v>
      </c>
      <c r="Q49" s="606">
        <f>Q224+Q395</f>
        <v>780.13933499999996</v>
      </c>
      <c r="R49" s="605"/>
      <c r="S49" s="605"/>
      <c r="T49" s="605"/>
    </row>
    <row r="50" spans="3:20" x14ac:dyDescent="0.25">
      <c r="C50" s="811" t="s">
        <v>368</v>
      </c>
      <c r="D50" s="812"/>
      <c r="E50" s="609">
        <f t="shared" ref="E50:Q50" si="40">E29+E49</f>
        <v>621.14187599739125</v>
      </c>
      <c r="F50" s="609">
        <f t="shared" si="40"/>
        <v>511.84702608699666</v>
      </c>
      <c r="G50" s="609">
        <f t="shared" si="40"/>
        <v>593.64361520802129</v>
      </c>
      <c r="H50" s="609">
        <f t="shared" si="40"/>
        <v>718.57214006782647</v>
      </c>
      <c r="I50" s="609">
        <f t="shared" si="40"/>
        <v>807.19984820426851</v>
      </c>
      <c r="J50" s="609">
        <f t="shared" si="40"/>
        <v>694.956560673794</v>
      </c>
      <c r="K50" s="609">
        <f t="shared" si="40"/>
        <v>864.34693843743651</v>
      </c>
      <c r="L50" s="609">
        <f t="shared" si="40"/>
        <v>617.3552588320116</v>
      </c>
      <c r="M50" s="609">
        <f t="shared" si="40"/>
        <v>669.5652029030108</v>
      </c>
      <c r="N50" s="609">
        <f t="shared" si="40"/>
        <v>798.73777693441127</v>
      </c>
      <c r="O50" s="609">
        <f t="shared" si="40"/>
        <v>808.52149789639498</v>
      </c>
      <c r="P50" s="609">
        <f t="shared" si="40"/>
        <v>929.07123335188123</v>
      </c>
      <c r="Q50" s="609">
        <f t="shared" si="40"/>
        <v>9083.514869593444</v>
      </c>
      <c r="R50" s="605"/>
      <c r="S50" s="605"/>
      <c r="T50" s="605"/>
    </row>
    <row r="51" spans="3:20" x14ac:dyDescent="0.25">
      <c r="C51" s="813" t="s">
        <v>369</v>
      </c>
      <c r="D51" s="814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5"/>
      <c r="S51" s="605"/>
      <c r="T51" s="605"/>
    </row>
    <row r="52" spans="3:20" x14ac:dyDescent="0.25">
      <c r="C52" s="811" t="s">
        <v>349</v>
      </c>
      <c r="D52" s="812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5"/>
      <c r="S52" s="605"/>
      <c r="T52" s="605"/>
    </row>
    <row r="53" spans="3:20" ht="15" customHeight="1" x14ac:dyDescent="0.25">
      <c r="C53" s="821" t="s">
        <v>370</v>
      </c>
      <c r="D53" s="607" t="s">
        <v>371</v>
      </c>
      <c r="E53" s="606">
        <f t="shared" ref="E53:P53" si="41">E228+E399</f>
        <v>21.477070353295044</v>
      </c>
      <c r="F53" s="606">
        <f t="shared" si="41"/>
        <v>24.891711383322821</v>
      </c>
      <c r="G53" s="606">
        <f t="shared" si="41"/>
        <v>17.838769240089526</v>
      </c>
      <c r="H53" s="606">
        <f t="shared" si="41"/>
        <v>19.201453001485255</v>
      </c>
      <c r="I53" s="606">
        <f t="shared" si="41"/>
        <v>20.970591982086255</v>
      </c>
      <c r="J53" s="606">
        <f t="shared" si="41"/>
        <v>17.838769240089526</v>
      </c>
      <c r="K53" s="606">
        <f t="shared" si="41"/>
        <v>26.113976082019917</v>
      </c>
      <c r="L53" s="606">
        <f t="shared" si="41"/>
        <v>30.474564118486224</v>
      </c>
      <c r="M53" s="606">
        <f t="shared" si="41"/>
        <v>15.145078667928065</v>
      </c>
      <c r="N53" s="606">
        <f t="shared" si="41"/>
        <v>15.700754947515236</v>
      </c>
      <c r="O53" s="606">
        <f t="shared" si="41"/>
        <v>22.754073231723957</v>
      </c>
      <c r="P53" s="606">
        <f t="shared" si="41"/>
        <v>27.650092322138732</v>
      </c>
      <c r="Q53" s="606">
        <f t="shared" ref="Q53:Q78" si="42">SUM(E53:P53)</f>
        <v>260.05690457018056</v>
      </c>
      <c r="R53" s="605"/>
      <c r="S53" s="605"/>
      <c r="T53" s="605"/>
    </row>
    <row r="54" spans="3:20" x14ac:dyDescent="0.25">
      <c r="C54" s="822"/>
      <c r="D54" s="607" t="s">
        <v>372</v>
      </c>
      <c r="E54" s="606">
        <f t="shared" ref="E54:P54" si="43">E229+E400</f>
        <v>6.1730694760016105</v>
      </c>
      <c r="F54" s="606">
        <f t="shared" si="43"/>
        <v>6.5733866639910623</v>
      </c>
      <c r="G54" s="606">
        <f t="shared" si="43"/>
        <v>4.629802107001205</v>
      </c>
      <c r="H54" s="606">
        <f t="shared" si="43"/>
        <v>0</v>
      </c>
      <c r="I54" s="606">
        <f t="shared" si="43"/>
        <v>2.6910724746944443</v>
      </c>
      <c r="J54" s="606">
        <f t="shared" si="43"/>
        <v>4.629802107001205</v>
      </c>
      <c r="K54" s="606">
        <f t="shared" si="43"/>
        <v>6.7419906508377263</v>
      </c>
      <c r="L54" s="606">
        <f t="shared" si="43"/>
        <v>7.9092452661270674</v>
      </c>
      <c r="M54" s="606">
        <f t="shared" si="43"/>
        <v>5.1828062475596841</v>
      </c>
      <c r="N54" s="606">
        <f t="shared" si="43"/>
        <v>5.1828062475596841</v>
      </c>
      <c r="O54" s="606">
        <f t="shared" si="43"/>
        <v>6.1216272303682651</v>
      </c>
      <c r="P54" s="606">
        <f t="shared" si="43"/>
        <v>7.1761932658518734</v>
      </c>
      <c r="Q54" s="606">
        <f t="shared" si="42"/>
        <v>63.011801736993824</v>
      </c>
      <c r="R54" s="605"/>
      <c r="S54" s="605"/>
      <c r="T54" s="605"/>
    </row>
    <row r="55" spans="3:20" ht="14.25" customHeight="1" x14ac:dyDescent="0.25">
      <c r="C55" s="822"/>
      <c r="D55" s="607" t="s">
        <v>373</v>
      </c>
      <c r="E55" s="606">
        <f t="shared" ref="E55:P55" si="44">E230+E401</f>
        <v>10.419176282065013</v>
      </c>
      <c r="F55" s="606">
        <f t="shared" si="44"/>
        <v>10.330003151723014</v>
      </c>
      <c r="G55" s="606">
        <f t="shared" si="44"/>
        <v>9.9967772436029172</v>
      </c>
      <c r="H55" s="606">
        <f t="shared" si="44"/>
        <v>8.7490002016830033</v>
      </c>
      <c r="I55" s="606">
        <f t="shared" si="44"/>
        <v>8.7488176235773878</v>
      </c>
      <c r="J55" s="606">
        <f t="shared" si="44"/>
        <v>10.747639757559998</v>
      </c>
      <c r="K55" s="606">
        <f t="shared" si="44"/>
        <v>11.639440170955508</v>
      </c>
      <c r="L55" s="606">
        <f t="shared" si="44"/>
        <v>8.113631290651341</v>
      </c>
      <c r="M55" s="606">
        <f t="shared" si="44"/>
        <v>6.7020074176280229</v>
      </c>
      <c r="N55" s="606">
        <f t="shared" si="44"/>
        <v>9.7930546671796002</v>
      </c>
      <c r="O55" s="606">
        <f t="shared" si="44"/>
        <v>10.51304273505659</v>
      </c>
      <c r="P55" s="606">
        <f t="shared" si="44"/>
        <v>11.639440170955508</v>
      </c>
      <c r="Q55" s="606">
        <f t="shared" si="42"/>
        <v>117.39203071263792</v>
      </c>
      <c r="R55" s="605"/>
      <c r="S55" s="605"/>
      <c r="T55" s="605"/>
    </row>
    <row r="56" spans="3:20" x14ac:dyDescent="0.25">
      <c r="C56" s="822"/>
      <c r="D56" s="607" t="s">
        <v>374</v>
      </c>
      <c r="E56" s="606">
        <f t="shared" ref="E56:P56" si="45">E231+E402</f>
        <v>40.057213719225473</v>
      </c>
      <c r="F56" s="606">
        <f t="shared" si="45"/>
        <v>33.370053319832707</v>
      </c>
      <c r="G56" s="606">
        <f t="shared" si="45"/>
        <v>31.015252706514026</v>
      </c>
      <c r="H56" s="606">
        <f t="shared" si="45"/>
        <v>32.049094463397836</v>
      </c>
      <c r="I56" s="606">
        <f t="shared" si="45"/>
        <v>33.384473399372737</v>
      </c>
      <c r="J56" s="606">
        <f t="shared" si="45"/>
        <v>31.015252706514026</v>
      </c>
      <c r="K56" s="606">
        <f t="shared" si="45"/>
        <v>41.124314140033135</v>
      </c>
      <c r="L56" s="606">
        <f t="shared" si="45"/>
        <v>26.139289627958181</v>
      </c>
      <c r="M56" s="606">
        <f t="shared" si="45"/>
        <v>34.57508246228975</v>
      </c>
      <c r="N56" s="606">
        <f t="shared" si="45"/>
        <v>34.719852335347653</v>
      </c>
      <c r="O56" s="606">
        <f t="shared" si="45"/>
        <v>41.009056356390779</v>
      </c>
      <c r="P56" s="606">
        <f t="shared" si="45"/>
        <v>46.738262759121845</v>
      </c>
      <c r="Q56" s="606">
        <f t="shared" si="42"/>
        <v>425.19719799599812</v>
      </c>
      <c r="R56" s="605"/>
      <c r="S56" s="605"/>
      <c r="T56" s="605"/>
    </row>
    <row r="57" spans="3:20" x14ac:dyDescent="0.25">
      <c r="C57" s="822"/>
      <c r="D57" s="607" t="s">
        <v>375</v>
      </c>
      <c r="E57" s="606">
        <f t="shared" ref="E57:P57" si="46">E232+E403</f>
        <v>21.080653097445364</v>
      </c>
      <c r="F57" s="606">
        <f t="shared" si="46"/>
        <v>20.734332085479185</v>
      </c>
      <c r="G57" s="606">
        <f t="shared" si="46"/>
        <v>15.931709349023908</v>
      </c>
      <c r="H57" s="606">
        <f t="shared" si="46"/>
        <v>8.2313831636623522</v>
      </c>
      <c r="I57" s="606">
        <f t="shared" si="46"/>
        <v>18.026660029386274</v>
      </c>
      <c r="J57" s="606">
        <f t="shared" si="46"/>
        <v>15.931709349023908</v>
      </c>
      <c r="K57" s="606">
        <f t="shared" si="46"/>
        <v>21.982777959360902</v>
      </c>
      <c r="L57" s="606">
        <f t="shared" si="46"/>
        <v>27.216670137915862</v>
      </c>
      <c r="M57" s="606">
        <f t="shared" si="46"/>
        <v>17.834663521268432</v>
      </c>
      <c r="N57" s="606">
        <f t="shared" si="46"/>
        <v>17.834663521268432</v>
      </c>
      <c r="O57" s="606">
        <f t="shared" si="46"/>
        <v>21.065260139264929</v>
      </c>
      <c r="P57" s="606">
        <f t="shared" si="46"/>
        <v>24.008200894015175</v>
      </c>
      <c r="Q57" s="606">
        <f t="shared" si="42"/>
        <v>229.87868324711471</v>
      </c>
      <c r="R57" s="605"/>
      <c r="S57" s="605"/>
      <c r="T57" s="605"/>
    </row>
    <row r="58" spans="3:20" ht="14.25" customHeight="1" x14ac:dyDescent="0.25">
      <c r="C58" s="822"/>
      <c r="D58" s="607" t="s">
        <v>376</v>
      </c>
      <c r="E58" s="606">
        <f t="shared" ref="E58:P58" si="47">E233+E404</f>
        <v>24.738136731329583</v>
      </c>
      <c r="F58" s="606">
        <f t="shared" si="47"/>
        <v>24.540231637478946</v>
      </c>
      <c r="G58" s="606">
        <f t="shared" si="47"/>
        <v>15.870317334129963</v>
      </c>
      <c r="H58" s="606">
        <f t="shared" si="47"/>
        <v>12.300619497310946</v>
      </c>
      <c r="I58" s="606">
        <f t="shared" si="47"/>
        <v>21.307970311230321</v>
      </c>
      <c r="J58" s="606">
        <f t="shared" si="47"/>
        <v>23.748611262076398</v>
      </c>
      <c r="K58" s="606">
        <f t="shared" si="47"/>
        <v>30.675289546848653</v>
      </c>
      <c r="L58" s="606">
        <f t="shared" si="47"/>
        <v>30.162214209984981</v>
      </c>
      <c r="M58" s="606">
        <f t="shared" si="47"/>
        <v>16.989650003062838</v>
      </c>
      <c r="N58" s="606">
        <f t="shared" si="47"/>
        <v>25.56274128904057</v>
      </c>
      <c r="O58" s="606">
        <f t="shared" si="47"/>
        <v>30.696228367549338</v>
      </c>
      <c r="P58" s="606">
        <f t="shared" si="47"/>
        <v>35.787837804656753</v>
      </c>
      <c r="Q58" s="606">
        <f t="shared" si="42"/>
        <v>292.37984799469928</v>
      </c>
      <c r="R58" s="605"/>
      <c r="S58" s="605"/>
      <c r="T58" s="605"/>
    </row>
    <row r="59" spans="3:20" x14ac:dyDescent="0.25">
      <c r="C59" s="822"/>
      <c r="D59" s="607" t="s">
        <v>377</v>
      </c>
      <c r="E59" s="606">
        <f t="shared" ref="E59:P59" si="48">E234+E405</f>
        <v>2.0881553197699119</v>
      </c>
      <c r="F59" s="606">
        <f t="shared" si="48"/>
        <v>2.071450077211753</v>
      </c>
      <c r="G59" s="606">
        <f t="shared" si="48"/>
        <v>2.0046291069791158</v>
      </c>
      <c r="H59" s="606">
        <f t="shared" si="48"/>
        <v>2.071450077211753</v>
      </c>
      <c r="I59" s="606">
        <f t="shared" si="48"/>
        <v>2.1577604970955759</v>
      </c>
      <c r="J59" s="606">
        <f t="shared" si="48"/>
        <v>2.0046291069791158</v>
      </c>
      <c r="K59" s="606">
        <f t="shared" si="48"/>
        <v>2.5893125965146875</v>
      </c>
      <c r="L59" s="606">
        <f t="shared" si="48"/>
        <v>3.1739960860502583</v>
      </c>
      <c r="M59" s="606">
        <f t="shared" si="48"/>
        <v>2.1577604970955759</v>
      </c>
      <c r="N59" s="606">
        <f t="shared" si="48"/>
        <v>2.1577604970955759</v>
      </c>
      <c r="O59" s="606">
        <f t="shared" si="48"/>
        <v>2.650565152561271</v>
      </c>
      <c r="P59" s="606">
        <f t="shared" si="48"/>
        <v>3.0208646959337999</v>
      </c>
      <c r="Q59" s="606">
        <f t="shared" si="42"/>
        <v>28.148333710498395</v>
      </c>
      <c r="R59" s="605"/>
      <c r="S59" s="605"/>
      <c r="T59" s="605"/>
    </row>
    <row r="60" spans="3:20" x14ac:dyDescent="0.25">
      <c r="C60" s="822"/>
      <c r="D60" s="607" t="s">
        <v>378</v>
      </c>
      <c r="E60" s="606">
        <f t="shared" ref="E60:P60" si="49">E235+E406</f>
        <v>12.05376633690128</v>
      </c>
      <c r="F60" s="606">
        <f t="shared" si="49"/>
        <v>11.957336206206071</v>
      </c>
      <c r="G60" s="606">
        <f t="shared" si="49"/>
        <v>11.571615683425227</v>
      </c>
      <c r="H60" s="606">
        <f t="shared" si="49"/>
        <v>11.957336206206071</v>
      </c>
      <c r="I60" s="606">
        <f t="shared" si="49"/>
        <v>12.455558548131323</v>
      </c>
      <c r="J60" s="606">
        <f t="shared" si="49"/>
        <v>11.571615683425227</v>
      </c>
      <c r="K60" s="606">
        <f t="shared" si="49"/>
        <v>14.946670257757594</v>
      </c>
      <c r="L60" s="606">
        <f t="shared" si="49"/>
        <v>16.807453554797583</v>
      </c>
      <c r="M60" s="606">
        <f t="shared" si="49"/>
        <v>12.024497015420783</v>
      </c>
      <c r="N60" s="606">
        <f t="shared" si="49"/>
        <v>12.455558548131323</v>
      </c>
      <c r="O60" s="606">
        <f t="shared" si="49"/>
        <v>14.850240127062387</v>
      </c>
      <c r="P60" s="606">
        <f t="shared" si="49"/>
        <v>17.437781967383863</v>
      </c>
      <c r="Q60" s="606">
        <f t="shared" si="42"/>
        <v>160.08943013484873</v>
      </c>
      <c r="R60" s="605"/>
      <c r="S60" s="605"/>
      <c r="T60" s="605"/>
    </row>
    <row r="61" spans="3:20" x14ac:dyDescent="0.25">
      <c r="C61" s="823"/>
      <c r="D61" s="607" t="s">
        <v>379</v>
      </c>
      <c r="E61" s="606">
        <f t="shared" ref="E61:P61" si="50">E236+E407</f>
        <v>72.719619770131857</v>
      </c>
      <c r="F61" s="606">
        <f t="shared" si="50"/>
        <v>71.640630625772417</v>
      </c>
      <c r="G61" s="606">
        <f t="shared" si="50"/>
        <v>54.755513195601182</v>
      </c>
      <c r="H61" s="606">
        <f t="shared" si="50"/>
        <v>28.212152238199316</v>
      </c>
      <c r="I61" s="606">
        <f t="shared" si="50"/>
        <v>0</v>
      </c>
      <c r="J61" s="606">
        <f t="shared" si="50"/>
        <v>54.604165622321261</v>
      </c>
      <c r="K61" s="606">
        <f t="shared" si="50"/>
        <v>75.367172680227725</v>
      </c>
      <c r="L61" s="606">
        <f t="shared" si="50"/>
        <v>75.279529304559418</v>
      </c>
      <c r="M61" s="606">
        <f t="shared" si="50"/>
        <v>64.488414916511516</v>
      </c>
      <c r="N61" s="606">
        <f t="shared" si="50"/>
        <v>64.873275801959238</v>
      </c>
      <c r="O61" s="606">
        <f t="shared" si="50"/>
        <v>65.872408662808681</v>
      </c>
      <c r="P61" s="606">
        <f t="shared" si="50"/>
        <v>78.810378944527315</v>
      </c>
      <c r="Q61" s="606">
        <f t="shared" si="42"/>
        <v>706.6232617626199</v>
      </c>
      <c r="R61" s="605"/>
      <c r="S61" s="605"/>
      <c r="T61" s="605"/>
    </row>
    <row r="62" spans="3:20" x14ac:dyDescent="0.25">
      <c r="C62" s="607"/>
      <c r="D62" s="607" t="s">
        <v>451</v>
      </c>
      <c r="E62" s="606">
        <f t="shared" ref="E62:P62" si="51">E237+E408</f>
        <v>70.701148935756137</v>
      </c>
      <c r="F62" s="606">
        <f t="shared" si="51"/>
        <v>72.911741323419193</v>
      </c>
      <c r="G62" s="606">
        <f t="shared" si="51"/>
        <v>51.612993823659494</v>
      </c>
      <c r="H62" s="606">
        <f t="shared" si="51"/>
        <v>56.006222241662933</v>
      </c>
      <c r="I62" s="606">
        <f t="shared" si="51"/>
        <v>66.313139898041754</v>
      </c>
      <c r="J62" s="606">
        <f t="shared" si="51"/>
        <v>52.723219745264316</v>
      </c>
      <c r="K62" s="606">
        <f t="shared" si="51"/>
        <v>0</v>
      </c>
      <c r="L62" s="606">
        <f t="shared" si="51"/>
        <v>77.072957329470441</v>
      </c>
      <c r="M62" s="606">
        <f t="shared" si="51"/>
        <v>32.249424046896955</v>
      </c>
      <c r="N62" s="606">
        <f t="shared" si="51"/>
        <v>64.99915327004571</v>
      </c>
      <c r="O62" s="606">
        <f t="shared" si="51"/>
        <v>64.005365129551123</v>
      </c>
      <c r="P62" s="606">
        <f t="shared" si="51"/>
        <v>77.300123744867221</v>
      </c>
      <c r="Q62" s="606">
        <f t="shared" si="42"/>
        <v>685.89548948863535</v>
      </c>
      <c r="R62" s="605"/>
      <c r="S62" s="605"/>
      <c r="T62" s="605"/>
    </row>
    <row r="63" spans="3:20" x14ac:dyDescent="0.25">
      <c r="C63" s="607"/>
      <c r="D63" s="607" t="s">
        <v>380</v>
      </c>
      <c r="E63" s="606">
        <f t="shared" ref="E63:P63" si="52">E238+E409</f>
        <v>0.41257328218535128</v>
      </c>
      <c r="F63" s="606">
        <f t="shared" si="52"/>
        <v>0.39175877425527927</v>
      </c>
      <c r="G63" s="606">
        <f t="shared" si="52"/>
        <v>0.37912139444059284</v>
      </c>
      <c r="H63" s="606">
        <f t="shared" si="52"/>
        <v>0.43496746259225905</v>
      </c>
      <c r="I63" s="606">
        <f t="shared" si="52"/>
        <v>0.46089267559444702</v>
      </c>
      <c r="J63" s="606">
        <f t="shared" si="52"/>
        <v>0</v>
      </c>
      <c r="K63" s="606">
        <f t="shared" si="52"/>
        <v>0.46089267559444702</v>
      </c>
      <c r="L63" s="606">
        <f t="shared" si="52"/>
        <v>0.42093625412153662</v>
      </c>
      <c r="M63" s="606">
        <f t="shared" si="52"/>
        <v>0.40904224959007107</v>
      </c>
      <c r="N63" s="606">
        <f t="shared" si="52"/>
        <v>0.43496746259225905</v>
      </c>
      <c r="O63" s="606">
        <f t="shared" si="52"/>
        <v>0.41629015860143603</v>
      </c>
      <c r="P63" s="606">
        <f t="shared" si="52"/>
        <v>0.46089267559444702</v>
      </c>
      <c r="Q63" s="606">
        <f t="shared" si="42"/>
        <v>4.6823350651621265</v>
      </c>
      <c r="R63" s="605"/>
      <c r="S63" s="605"/>
      <c r="T63" s="605"/>
    </row>
    <row r="64" spans="3:20" x14ac:dyDescent="0.25">
      <c r="C64" s="607"/>
      <c r="D64" s="607" t="s">
        <v>381</v>
      </c>
      <c r="E64" s="606">
        <f t="shared" ref="E64:P64" si="53">E239+E410</f>
        <v>0.54683926155068563</v>
      </c>
      <c r="F64" s="606">
        <f t="shared" si="53"/>
        <v>0.51925097448146185</v>
      </c>
      <c r="G64" s="606">
        <f t="shared" si="53"/>
        <v>0.50250094304657589</v>
      </c>
      <c r="H64" s="606">
        <f t="shared" si="53"/>
        <v>0.57652130254926992</v>
      </c>
      <c r="I64" s="606">
        <f t="shared" si="53"/>
        <v>0.61088349938995501</v>
      </c>
      <c r="J64" s="606">
        <f t="shared" si="53"/>
        <v>0</v>
      </c>
      <c r="K64" s="606">
        <f t="shared" si="53"/>
        <v>0.61088349938995501</v>
      </c>
      <c r="L64" s="606">
        <f t="shared" si="53"/>
        <v>0.5579238411767129</v>
      </c>
      <c r="M64" s="606">
        <f t="shared" si="53"/>
        <v>0.54215910570858505</v>
      </c>
      <c r="N64" s="606">
        <f t="shared" si="53"/>
        <v>0.57652130254926537</v>
      </c>
      <c r="O64" s="606">
        <f t="shared" si="53"/>
        <v>0.55176574138447554</v>
      </c>
      <c r="P64" s="606">
        <f t="shared" si="53"/>
        <v>0.61088349938995501</v>
      </c>
      <c r="Q64" s="606">
        <f t="shared" si="42"/>
        <v>6.2061329706168973</v>
      </c>
      <c r="R64" s="605"/>
      <c r="S64" s="605"/>
      <c r="T64" s="605"/>
    </row>
    <row r="65" spans="3:20" x14ac:dyDescent="0.25">
      <c r="C65" s="607"/>
      <c r="D65" s="607" t="s">
        <v>382</v>
      </c>
      <c r="E65" s="606">
        <f>E240+E411</f>
        <v>5.2440839442883078</v>
      </c>
      <c r="F65" s="606">
        <f t="shared" ref="F65:P65" si="54">F240+F411</f>
        <v>5.1992021447651195</v>
      </c>
      <c r="G65" s="606">
        <f t="shared" si="54"/>
        <v>5.0314859465468906</v>
      </c>
      <c r="H65" s="606">
        <f t="shared" si="54"/>
        <v>5.8582559377635155</v>
      </c>
      <c r="I65" s="606">
        <f t="shared" si="54"/>
        <v>0</v>
      </c>
      <c r="J65" s="606">
        <f t="shared" si="54"/>
        <v>5.3503829431590173</v>
      </c>
      <c r="K65" s="606">
        <f t="shared" si="54"/>
        <v>5.8582559377635155</v>
      </c>
      <c r="L65" s="606">
        <f t="shared" si="54"/>
        <v>5.4566819420297277</v>
      </c>
      <c r="M65" s="606">
        <f t="shared" si="54"/>
        <v>5.418886742431253</v>
      </c>
      <c r="N65" s="606">
        <f t="shared" si="54"/>
        <v>5.6385713400973838</v>
      </c>
      <c r="O65" s="606">
        <f t="shared" si="54"/>
        <v>5.2913279437864018</v>
      </c>
      <c r="P65" s="606">
        <f t="shared" si="54"/>
        <v>5.8582559377635155</v>
      </c>
      <c r="Q65" s="606">
        <f t="shared" si="42"/>
        <v>60.20539076039465</v>
      </c>
      <c r="R65" s="605"/>
      <c r="S65" s="605"/>
      <c r="T65" s="605"/>
    </row>
    <row r="66" spans="3:20" x14ac:dyDescent="0.25">
      <c r="C66" s="607"/>
      <c r="D66" s="607" t="s">
        <v>1214</v>
      </c>
      <c r="E66" s="606">
        <f t="shared" ref="E66:O66" si="55">E241+E412</f>
        <v>3.6329770162777377</v>
      </c>
      <c r="F66" s="606">
        <f t="shared" si="55"/>
        <v>0</v>
      </c>
      <c r="G66" s="606">
        <f t="shared" si="55"/>
        <v>1.3623663811041493</v>
      </c>
      <c r="H66" s="606">
        <f t="shared" si="55"/>
        <v>2.8215023526839023</v>
      </c>
      <c r="I66" s="606">
        <f t="shared" si="55"/>
        <v>3.1675018360671494</v>
      </c>
      <c r="J66" s="606">
        <f t="shared" si="55"/>
        <v>2.7247327622082986</v>
      </c>
      <c r="K66" s="606">
        <f t="shared" si="55"/>
        <v>3.8713911329709645</v>
      </c>
      <c r="L66" s="606">
        <f t="shared" si="55"/>
        <v>4.654751802105844</v>
      </c>
      <c r="M66" s="606">
        <f t="shared" si="55"/>
        <v>3.0501869532498471</v>
      </c>
      <c r="N66" s="606">
        <f t="shared" si="55"/>
        <v>3.0501869532498471</v>
      </c>
      <c r="O66" s="606">
        <f t="shared" si="55"/>
        <v>3.6027022078087576</v>
      </c>
      <c r="P66" s="606">
        <f>P241+P412</f>
        <v>4.1442157745038672</v>
      </c>
      <c r="Q66" s="606">
        <f t="shared" si="42"/>
        <v>36.082515172230366</v>
      </c>
      <c r="R66" s="605"/>
      <c r="S66" s="605"/>
      <c r="T66" s="605"/>
    </row>
    <row r="67" spans="3:20" x14ac:dyDescent="0.25">
      <c r="C67" s="607"/>
      <c r="D67" s="607" t="s">
        <v>385</v>
      </c>
      <c r="E67" s="606">
        <f t="shared" ref="E67:O67" si="56">E242+E413</f>
        <v>7.4757249783959807</v>
      </c>
      <c r="F67" s="606">
        <f t="shared" si="56"/>
        <v>8.4178661981746252</v>
      </c>
      <c r="G67" s="606">
        <f t="shared" si="56"/>
        <v>5.60679373379699</v>
      </c>
      <c r="H67" s="606">
        <f t="shared" si="56"/>
        <v>6.0350904773509315</v>
      </c>
      <c r="I67" s="606">
        <f t="shared" si="56"/>
        <v>6.7593013346330455</v>
      </c>
      <c r="J67" s="606">
        <f t="shared" si="56"/>
        <v>5.60679373379699</v>
      </c>
      <c r="K67" s="606">
        <f t="shared" si="56"/>
        <v>8.2077230491972788</v>
      </c>
      <c r="L67" s="606">
        <f t="shared" si="56"/>
        <v>9.5782726285698452</v>
      </c>
      <c r="M67" s="606">
        <f t="shared" si="56"/>
        <v>6.2764940964449671</v>
      </c>
      <c r="N67" s="606">
        <f t="shared" si="56"/>
        <v>6.4413879629922386</v>
      </c>
      <c r="O67" s="606">
        <f t="shared" si="56"/>
        <v>7.6314692487792524</v>
      </c>
      <c r="P67" s="606">
        <f>P242+P413</f>
        <v>8.6905302873853572</v>
      </c>
      <c r="Q67" s="606">
        <f t="shared" si="42"/>
        <v>86.727447729517493</v>
      </c>
      <c r="R67" s="605"/>
      <c r="S67" s="605"/>
      <c r="T67" s="605"/>
    </row>
    <row r="68" spans="3:20" x14ac:dyDescent="0.25">
      <c r="C68" s="607"/>
      <c r="D68" s="607" t="s">
        <v>386</v>
      </c>
      <c r="E68" s="606">
        <f t="shared" ref="E68:O68" si="57">E243+E414</f>
        <v>7.8497445142327766</v>
      </c>
      <c r="F68" s="606">
        <f t="shared" si="57"/>
        <v>0</v>
      </c>
      <c r="G68" s="606">
        <f t="shared" si="57"/>
        <v>2.9436541928372861</v>
      </c>
      <c r="H68" s="606">
        <f t="shared" si="57"/>
        <v>6.0963976693603534</v>
      </c>
      <c r="I68" s="606">
        <f t="shared" si="57"/>
        <v>6.8439959983466947</v>
      </c>
      <c r="J68" s="606">
        <f t="shared" si="57"/>
        <v>5.8873083856745723</v>
      </c>
      <c r="K68" s="606">
        <f t="shared" si="57"/>
        <v>8.3648839979793017</v>
      </c>
      <c r="L68" s="606">
        <f t="shared" si="57"/>
        <v>10.057485158860725</v>
      </c>
      <c r="M68" s="606">
        <f t="shared" si="57"/>
        <v>6.5905146650745934</v>
      </c>
      <c r="N68" s="606">
        <f t="shared" si="57"/>
        <v>6.5905146650745934</v>
      </c>
      <c r="O68" s="606">
        <f t="shared" si="57"/>
        <v>7.7843299766141714</v>
      </c>
      <c r="P68" s="606">
        <f>P243+P414</f>
        <v>8.9543740287790747</v>
      </c>
      <c r="Q68" s="606">
        <f t="shared" si="42"/>
        <v>77.963203252834148</v>
      </c>
      <c r="R68" s="605"/>
      <c r="S68" s="605"/>
      <c r="T68" s="605"/>
    </row>
    <row r="69" spans="3:20" hidden="1" x14ac:dyDescent="0.25">
      <c r="C69" s="607"/>
      <c r="D69" s="607"/>
      <c r="E69" s="606">
        <f t="shared" ref="E69:P69" si="58">E244+E416</f>
        <v>0</v>
      </c>
      <c r="F69" s="606">
        <f t="shared" si="58"/>
        <v>0</v>
      </c>
      <c r="G69" s="606">
        <f t="shared" si="58"/>
        <v>0</v>
      </c>
      <c r="H69" s="606">
        <f t="shared" si="58"/>
        <v>0</v>
      </c>
      <c r="I69" s="606">
        <f t="shared" si="58"/>
        <v>0</v>
      </c>
      <c r="J69" s="606">
        <f t="shared" si="58"/>
        <v>0</v>
      </c>
      <c r="K69" s="606">
        <f t="shared" si="58"/>
        <v>0</v>
      </c>
      <c r="L69" s="606">
        <f t="shared" si="58"/>
        <v>0</v>
      </c>
      <c r="M69" s="606">
        <f t="shared" si="58"/>
        <v>0</v>
      </c>
      <c r="N69" s="606">
        <f t="shared" si="58"/>
        <v>0</v>
      </c>
      <c r="O69" s="606">
        <f t="shared" si="58"/>
        <v>0</v>
      </c>
      <c r="P69" s="606">
        <f t="shared" si="58"/>
        <v>0</v>
      </c>
      <c r="Q69" s="606">
        <f t="shared" si="42"/>
        <v>0</v>
      </c>
      <c r="R69" s="605"/>
      <c r="S69" s="605"/>
      <c r="T69" s="605"/>
    </row>
    <row r="70" spans="3:20" hidden="1" x14ac:dyDescent="0.25">
      <c r="C70" s="607"/>
      <c r="D70" s="607"/>
      <c r="E70" s="606">
        <f t="shared" ref="E70:P70" si="59">E245+E417</f>
        <v>0</v>
      </c>
      <c r="F70" s="606">
        <f t="shared" si="59"/>
        <v>0</v>
      </c>
      <c r="G70" s="606">
        <f t="shared" si="59"/>
        <v>0</v>
      </c>
      <c r="H70" s="606">
        <f t="shared" si="59"/>
        <v>0</v>
      </c>
      <c r="I70" s="606">
        <f t="shared" si="59"/>
        <v>0</v>
      </c>
      <c r="J70" s="606">
        <f t="shared" si="59"/>
        <v>0</v>
      </c>
      <c r="K70" s="606">
        <f t="shared" si="59"/>
        <v>0</v>
      </c>
      <c r="L70" s="606">
        <f t="shared" si="59"/>
        <v>0</v>
      </c>
      <c r="M70" s="606">
        <f t="shared" si="59"/>
        <v>0</v>
      </c>
      <c r="N70" s="606">
        <f t="shared" si="59"/>
        <v>0</v>
      </c>
      <c r="O70" s="606">
        <f t="shared" si="59"/>
        <v>0</v>
      </c>
      <c r="P70" s="606">
        <f t="shared" si="59"/>
        <v>0</v>
      </c>
      <c r="Q70" s="606">
        <f t="shared" si="42"/>
        <v>0</v>
      </c>
      <c r="R70" s="605"/>
      <c r="S70" s="605"/>
      <c r="T70" s="605"/>
    </row>
    <row r="71" spans="3:20" hidden="1" x14ac:dyDescent="0.25">
      <c r="C71" s="607"/>
      <c r="D71" s="607"/>
      <c r="E71" s="606">
        <f t="shared" ref="E71:P71" si="60">E246+E418</f>
        <v>0</v>
      </c>
      <c r="F71" s="606">
        <f t="shared" si="60"/>
        <v>0</v>
      </c>
      <c r="G71" s="606">
        <f t="shared" si="60"/>
        <v>0</v>
      </c>
      <c r="H71" s="606">
        <f t="shared" si="60"/>
        <v>0</v>
      </c>
      <c r="I71" s="606">
        <f t="shared" si="60"/>
        <v>0</v>
      </c>
      <c r="J71" s="606">
        <f t="shared" si="60"/>
        <v>0</v>
      </c>
      <c r="K71" s="606">
        <f t="shared" si="60"/>
        <v>0</v>
      </c>
      <c r="L71" s="606">
        <f t="shared" si="60"/>
        <v>0</v>
      </c>
      <c r="M71" s="606">
        <f t="shared" si="60"/>
        <v>0</v>
      </c>
      <c r="N71" s="606">
        <f t="shared" si="60"/>
        <v>0</v>
      </c>
      <c r="O71" s="606">
        <f t="shared" si="60"/>
        <v>0</v>
      </c>
      <c r="P71" s="606">
        <f t="shared" si="60"/>
        <v>0</v>
      </c>
      <c r="Q71" s="606">
        <f t="shared" si="42"/>
        <v>0</v>
      </c>
      <c r="R71" s="605"/>
      <c r="S71" s="605"/>
      <c r="T71" s="605"/>
    </row>
    <row r="72" spans="3:20" hidden="1" x14ac:dyDescent="0.25">
      <c r="C72" s="607"/>
      <c r="D72" s="607"/>
      <c r="E72" s="606">
        <f t="shared" ref="E72:P72" si="61">E247+E419</f>
        <v>0</v>
      </c>
      <c r="F72" s="606">
        <f t="shared" si="61"/>
        <v>0</v>
      </c>
      <c r="G72" s="606">
        <f t="shared" si="61"/>
        <v>0</v>
      </c>
      <c r="H72" s="606">
        <f t="shared" si="61"/>
        <v>0</v>
      </c>
      <c r="I72" s="606">
        <f t="shared" si="61"/>
        <v>0</v>
      </c>
      <c r="J72" s="606">
        <f t="shared" si="61"/>
        <v>0</v>
      </c>
      <c r="K72" s="606">
        <f t="shared" si="61"/>
        <v>0</v>
      </c>
      <c r="L72" s="606">
        <f t="shared" si="61"/>
        <v>0</v>
      </c>
      <c r="M72" s="606">
        <f t="shared" si="61"/>
        <v>0</v>
      </c>
      <c r="N72" s="606">
        <f t="shared" si="61"/>
        <v>0</v>
      </c>
      <c r="O72" s="606">
        <f t="shared" si="61"/>
        <v>0</v>
      </c>
      <c r="P72" s="606">
        <f t="shared" si="61"/>
        <v>0</v>
      </c>
      <c r="Q72" s="606">
        <f t="shared" si="42"/>
        <v>0</v>
      </c>
      <c r="R72" s="605"/>
      <c r="S72" s="605"/>
      <c r="T72" s="605"/>
    </row>
    <row r="73" spans="3:20" hidden="1" x14ac:dyDescent="0.25">
      <c r="C73" s="607"/>
      <c r="D73" s="607"/>
      <c r="E73" s="606">
        <f t="shared" ref="E73:P73" si="62">E248+E420</f>
        <v>0</v>
      </c>
      <c r="F73" s="606">
        <f t="shared" si="62"/>
        <v>0</v>
      </c>
      <c r="G73" s="606">
        <f t="shared" si="62"/>
        <v>0</v>
      </c>
      <c r="H73" s="606">
        <f t="shared" si="62"/>
        <v>0</v>
      </c>
      <c r="I73" s="606">
        <f t="shared" si="62"/>
        <v>0</v>
      </c>
      <c r="J73" s="606">
        <f t="shared" si="62"/>
        <v>0</v>
      </c>
      <c r="K73" s="606">
        <f t="shared" si="62"/>
        <v>0</v>
      </c>
      <c r="L73" s="606">
        <f t="shared" si="62"/>
        <v>0</v>
      </c>
      <c r="M73" s="606">
        <f t="shared" si="62"/>
        <v>0</v>
      </c>
      <c r="N73" s="606">
        <f t="shared" si="62"/>
        <v>0</v>
      </c>
      <c r="O73" s="606">
        <f t="shared" si="62"/>
        <v>0</v>
      </c>
      <c r="P73" s="606">
        <f t="shared" si="62"/>
        <v>0</v>
      </c>
      <c r="Q73" s="606">
        <f t="shared" si="42"/>
        <v>0</v>
      </c>
      <c r="R73" s="605"/>
      <c r="S73" s="605"/>
      <c r="T73" s="605"/>
    </row>
    <row r="74" spans="3:20" hidden="1" x14ac:dyDescent="0.25">
      <c r="C74" s="607"/>
      <c r="D74" s="607"/>
      <c r="E74" s="606">
        <f t="shared" ref="E74:P74" si="63">E249+E421</f>
        <v>0</v>
      </c>
      <c r="F74" s="606">
        <f t="shared" si="63"/>
        <v>0</v>
      </c>
      <c r="G74" s="606">
        <f t="shared" si="63"/>
        <v>0</v>
      </c>
      <c r="H74" s="606">
        <f t="shared" si="63"/>
        <v>0</v>
      </c>
      <c r="I74" s="606">
        <f t="shared" si="63"/>
        <v>0</v>
      </c>
      <c r="J74" s="606">
        <f t="shared" si="63"/>
        <v>0</v>
      </c>
      <c r="K74" s="606">
        <f t="shared" si="63"/>
        <v>0</v>
      </c>
      <c r="L74" s="606">
        <f t="shared" si="63"/>
        <v>0</v>
      </c>
      <c r="M74" s="606">
        <f t="shared" si="63"/>
        <v>0</v>
      </c>
      <c r="N74" s="606">
        <f t="shared" si="63"/>
        <v>0</v>
      </c>
      <c r="O74" s="606">
        <f t="shared" si="63"/>
        <v>0</v>
      </c>
      <c r="P74" s="606">
        <f t="shared" si="63"/>
        <v>0</v>
      </c>
      <c r="Q74" s="606">
        <f t="shared" si="42"/>
        <v>0</v>
      </c>
      <c r="R74" s="605"/>
      <c r="S74" s="605"/>
      <c r="T74" s="605"/>
    </row>
    <row r="75" spans="3:20" hidden="1" x14ac:dyDescent="0.25">
      <c r="C75" s="607"/>
      <c r="D75" s="607"/>
      <c r="E75" s="606">
        <f t="shared" ref="E75:P75" si="64">E250+E422</f>
        <v>0</v>
      </c>
      <c r="F75" s="606">
        <f t="shared" si="64"/>
        <v>0</v>
      </c>
      <c r="G75" s="606">
        <f t="shared" si="64"/>
        <v>0</v>
      </c>
      <c r="H75" s="606">
        <f t="shared" si="64"/>
        <v>0</v>
      </c>
      <c r="I75" s="606">
        <f t="shared" si="64"/>
        <v>0</v>
      </c>
      <c r="J75" s="606">
        <f t="shared" si="64"/>
        <v>0</v>
      </c>
      <c r="K75" s="606">
        <f t="shared" si="64"/>
        <v>0</v>
      </c>
      <c r="L75" s="606">
        <f t="shared" si="64"/>
        <v>0</v>
      </c>
      <c r="M75" s="606">
        <f t="shared" si="64"/>
        <v>0</v>
      </c>
      <c r="N75" s="606">
        <f t="shared" si="64"/>
        <v>0</v>
      </c>
      <c r="O75" s="606">
        <f t="shared" si="64"/>
        <v>0</v>
      </c>
      <c r="P75" s="606">
        <f t="shared" si="64"/>
        <v>0</v>
      </c>
      <c r="Q75" s="606">
        <f t="shared" si="42"/>
        <v>0</v>
      </c>
      <c r="R75" s="605"/>
      <c r="S75" s="605"/>
      <c r="T75" s="605"/>
    </row>
    <row r="76" spans="3:20" hidden="1" x14ac:dyDescent="0.25">
      <c r="C76" s="607"/>
      <c r="D76" s="607"/>
      <c r="E76" s="606">
        <f t="shared" ref="E76:P76" si="65">E251+E423</f>
        <v>0</v>
      </c>
      <c r="F76" s="606">
        <f t="shared" si="65"/>
        <v>0</v>
      </c>
      <c r="G76" s="606">
        <f t="shared" si="65"/>
        <v>0</v>
      </c>
      <c r="H76" s="606">
        <f t="shared" si="65"/>
        <v>0</v>
      </c>
      <c r="I76" s="606">
        <f t="shared" si="65"/>
        <v>0</v>
      </c>
      <c r="J76" s="606">
        <f t="shared" si="65"/>
        <v>0</v>
      </c>
      <c r="K76" s="606">
        <f t="shared" si="65"/>
        <v>0</v>
      </c>
      <c r="L76" s="606">
        <f t="shared" si="65"/>
        <v>0</v>
      </c>
      <c r="M76" s="606">
        <f t="shared" si="65"/>
        <v>0</v>
      </c>
      <c r="N76" s="606">
        <f t="shared" si="65"/>
        <v>0</v>
      </c>
      <c r="O76" s="606">
        <f t="shared" si="65"/>
        <v>0</v>
      </c>
      <c r="P76" s="606">
        <f t="shared" si="65"/>
        <v>0</v>
      </c>
      <c r="Q76" s="606">
        <f t="shared" si="42"/>
        <v>0</v>
      </c>
      <c r="R76" s="605"/>
      <c r="S76" s="605"/>
      <c r="T76" s="605"/>
    </row>
    <row r="77" spans="3:20" hidden="1" x14ac:dyDescent="0.25">
      <c r="C77" s="607"/>
      <c r="D77" s="607"/>
      <c r="E77" s="606">
        <f t="shared" ref="E77:P77" si="66">E252+E424</f>
        <v>0</v>
      </c>
      <c r="F77" s="606">
        <f t="shared" si="66"/>
        <v>0</v>
      </c>
      <c r="G77" s="606">
        <f t="shared" si="66"/>
        <v>0</v>
      </c>
      <c r="H77" s="606">
        <f t="shared" si="66"/>
        <v>0</v>
      </c>
      <c r="I77" s="606">
        <f t="shared" si="66"/>
        <v>0</v>
      </c>
      <c r="J77" s="606">
        <f t="shared" si="66"/>
        <v>0</v>
      </c>
      <c r="K77" s="606">
        <f t="shared" si="66"/>
        <v>0</v>
      </c>
      <c r="L77" s="606">
        <f t="shared" si="66"/>
        <v>0</v>
      </c>
      <c r="M77" s="606">
        <f t="shared" si="66"/>
        <v>0</v>
      </c>
      <c r="N77" s="606">
        <f t="shared" si="66"/>
        <v>0</v>
      </c>
      <c r="O77" s="606">
        <f t="shared" si="66"/>
        <v>0</v>
      </c>
      <c r="P77" s="606">
        <f t="shared" si="66"/>
        <v>0</v>
      </c>
      <c r="Q77" s="606">
        <f t="shared" si="42"/>
        <v>0</v>
      </c>
      <c r="R77" s="605"/>
      <c r="S77" s="605"/>
      <c r="T77" s="605"/>
    </row>
    <row r="78" spans="3:20" x14ac:dyDescent="0.25">
      <c r="C78" s="811" t="s">
        <v>212</v>
      </c>
      <c r="D78" s="812"/>
      <c r="E78" s="609">
        <f t="shared" ref="E78:P78" si="67">SUM(E53:E77)</f>
        <v>306.66995301885214</v>
      </c>
      <c r="F78" s="609">
        <f t="shared" si="67"/>
        <v>293.54895456611365</v>
      </c>
      <c r="G78" s="609">
        <f t="shared" si="67"/>
        <v>231.05330238179909</v>
      </c>
      <c r="H78" s="609">
        <f t="shared" si="67"/>
        <v>200.60144629311969</v>
      </c>
      <c r="I78" s="609">
        <f t="shared" si="67"/>
        <v>203.89862010764733</v>
      </c>
      <c r="J78" s="609">
        <f t="shared" si="67"/>
        <v>244.38463240509387</v>
      </c>
      <c r="K78" s="609">
        <f t="shared" si="67"/>
        <v>258.55497437745129</v>
      </c>
      <c r="L78" s="609">
        <f t="shared" si="67"/>
        <v>333.0756025528658</v>
      </c>
      <c r="M78" s="609">
        <f t="shared" si="67"/>
        <v>229.6366686081609</v>
      </c>
      <c r="N78" s="609">
        <f t="shared" si="67"/>
        <v>276.01177081169857</v>
      </c>
      <c r="O78" s="609">
        <f t="shared" si="67"/>
        <v>304.81575240931187</v>
      </c>
      <c r="P78" s="609">
        <f t="shared" si="67"/>
        <v>358.28832877286828</v>
      </c>
      <c r="Q78" s="609">
        <f t="shared" si="42"/>
        <v>3240.5400063049824</v>
      </c>
      <c r="R78" s="605"/>
      <c r="S78" s="605"/>
      <c r="T78" s="605"/>
    </row>
    <row r="79" spans="3:20" x14ac:dyDescent="0.25">
      <c r="C79" s="811" t="s">
        <v>387</v>
      </c>
      <c r="D79" s="812"/>
      <c r="E79" s="606"/>
      <c r="F79" s="606"/>
      <c r="G79" s="606"/>
      <c r="H79" s="606"/>
      <c r="I79" s="606"/>
      <c r="J79" s="606"/>
      <c r="K79" s="606"/>
      <c r="L79" s="606"/>
      <c r="M79" s="606"/>
      <c r="N79" s="606"/>
      <c r="O79" s="606"/>
      <c r="P79" s="606"/>
      <c r="Q79" s="606"/>
      <c r="R79" s="605"/>
      <c r="S79" s="605"/>
      <c r="T79" s="605"/>
    </row>
    <row r="80" spans="3:20" x14ac:dyDescent="0.25">
      <c r="C80" s="821" t="s">
        <v>388</v>
      </c>
      <c r="D80" s="607" t="s">
        <v>389</v>
      </c>
      <c r="E80" s="606">
        <f t="shared" ref="E80:P80" si="68">E255+E427</f>
        <v>1.2786207594857313</v>
      </c>
      <c r="F80" s="606">
        <f t="shared" si="68"/>
        <v>1.3212414514685895</v>
      </c>
      <c r="G80" s="606">
        <f t="shared" si="68"/>
        <v>1.2786207594857313</v>
      </c>
      <c r="H80" s="606">
        <f t="shared" si="68"/>
        <v>1.3212414514685895</v>
      </c>
      <c r="I80" s="606">
        <f t="shared" si="68"/>
        <v>1.3212414514685895</v>
      </c>
      <c r="J80" s="606">
        <f t="shared" si="68"/>
        <v>1.2786207594857313</v>
      </c>
      <c r="K80" s="606">
        <f t="shared" si="68"/>
        <v>1.3212414514685895</v>
      </c>
      <c r="L80" s="606">
        <f t="shared" si="68"/>
        <v>1.2786207594857313</v>
      </c>
      <c r="M80" s="606">
        <f t="shared" si="68"/>
        <v>1.3212414514685895</v>
      </c>
      <c r="N80" s="606">
        <f t="shared" si="68"/>
        <v>1.3212414514685895</v>
      </c>
      <c r="O80" s="606">
        <f t="shared" si="68"/>
        <v>1.1933793755200162</v>
      </c>
      <c r="P80" s="606">
        <f t="shared" si="68"/>
        <v>1.3212414514685895</v>
      </c>
      <c r="Q80" s="606">
        <f t="shared" ref="Q80:Q94" si="69">SUM(E80:P80)</f>
        <v>15.556552573743067</v>
      </c>
      <c r="R80" s="605"/>
      <c r="S80" s="605"/>
      <c r="T80" s="605"/>
    </row>
    <row r="81" spans="3:20" x14ac:dyDescent="0.25">
      <c r="C81" s="822"/>
      <c r="D81" s="607" t="s">
        <v>390</v>
      </c>
      <c r="E81" s="606">
        <f t="shared" ref="E81:P81" si="70">E256+E428</f>
        <v>5.3073739780550451</v>
      </c>
      <c r="F81" s="606">
        <f t="shared" si="70"/>
        <v>5.4842864439902161</v>
      </c>
      <c r="G81" s="606">
        <f t="shared" si="70"/>
        <v>5.3073739780550451</v>
      </c>
      <c r="H81" s="606">
        <f t="shared" si="70"/>
        <v>5.4842864439902161</v>
      </c>
      <c r="I81" s="606">
        <f t="shared" si="70"/>
        <v>5.4842864439902161</v>
      </c>
      <c r="J81" s="606">
        <f t="shared" si="70"/>
        <v>5.3073739780550451</v>
      </c>
      <c r="K81" s="606">
        <f t="shared" si="70"/>
        <v>5.4842864439902161</v>
      </c>
      <c r="L81" s="606">
        <f t="shared" si="70"/>
        <v>5.3073739780550451</v>
      </c>
      <c r="M81" s="606">
        <f t="shared" si="70"/>
        <v>5.4842864439902161</v>
      </c>
      <c r="N81" s="606">
        <f t="shared" si="70"/>
        <v>5.4842864439902161</v>
      </c>
      <c r="O81" s="606">
        <f t="shared" si="70"/>
        <v>4.9535490461847109</v>
      </c>
      <c r="P81" s="606">
        <f t="shared" si="70"/>
        <v>5.4842864439902161</v>
      </c>
      <c r="Q81" s="606">
        <f t="shared" si="69"/>
        <v>64.573050066336407</v>
      </c>
      <c r="R81" s="605"/>
      <c r="S81" s="605"/>
      <c r="T81" s="605"/>
    </row>
    <row r="82" spans="3:20" x14ac:dyDescent="0.25">
      <c r="C82" s="822"/>
      <c r="D82" s="607" t="s">
        <v>391</v>
      </c>
      <c r="E82" s="606">
        <f t="shared" ref="E82:P82" si="71">E257+E429</f>
        <v>4.0498822363097151</v>
      </c>
      <c r="F82" s="606">
        <f t="shared" si="71"/>
        <v>4.1848783108533727</v>
      </c>
      <c r="G82" s="606">
        <f t="shared" si="71"/>
        <v>4.0498822363097151</v>
      </c>
      <c r="H82" s="606">
        <f t="shared" si="71"/>
        <v>4.1848783108533727</v>
      </c>
      <c r="I82" s="606">
        <f t="shared" si="71"/>
        <v>4.1848783108533727</v>
      </c>
      <c r="J82" s="606">
        <f t="shared" si="71"/>
        <v>4.0498822363097151</v>
      </c>
      <c r="K82" s="606">
        <f t="shared" si="71"/>
        <v>4.1848783108533727</v>
      </c>
      <c r="L82" s="606">
        <f t="shared" si="71"/>
        <v>4.0498822363097151</v>
      </c>
      <c r="M82" s="606">
        <f t="shared" si="71"/>
        <v>4.1848783108533727</v>
      </c>
      <c r="N82" s="606">
        <f t="shared" si="71"/>
        <v>4.1848783108533727</v>
      </c>
      <c r="O82" s="606">
        <f t="shared" si="71"/>
        <v>3.7798900872224017</v>
      </c>
      <c r="P82" s="606">
        <f t="shared" si="71"/>
        <v>4.1848783108533727</v>
      </c>
      <c r="Q82" s="606">
        <f t="shared" si="69"/>
        <v>49.273567208434862</v>
      </c>
      <c r="R82" s="605"/>
      <c r="S82" s="605"/>
      <c r="T82" s="605"/>
    </row>
    <row r="83" spans="3:20" x14ac:dyDescent="0.25">
      <c r="C83" s="823"/>
      <c r="D83" s="607" t="s">
        <v>392</v>
      </c>
      <c r="E83" s="606">
        <f t="shared" ref="E83:P83" si="72">E258+E430</f>
        <v>5.1382043592673661</v>
      </c>
      <c r="F83" s="606">
        <f t="shared" si="72"/>
        <v>5.309477837909613</v>
      </c>
      <c r="G83" s="606">
        <f t="shared" si="72"/>
        <v>5.1382043592673661</v>
      </c>
      <c r="H83" s="606">
        <f t="shared" si="72"/>
        <v>5.309477837909613</v>
      </c>
      <c r="I83" s="606">
        <f t="shared" si="72"/>
        <v>5.309477837909613</v>
      </c>
      <c r="J83" s="606">
        <f t="shared" si="72"/>
        <v>5.1382043592673661</v>
      </c>
      <c r="K83" s="606">
        <f t="shared" si="72"/>
        <v>5.309477837909613</v>
      </c>
      <c r="L83" s="606">
        <f t="shared" si="72"/>
        <v>5.1382043592673661</v>
      </c>
      <c r="M83" s="606">
        <f t="shared" si="72"/>
        <v>5.309477837909613</v>
      </c>
      <c r="N83" s="606">
        <f t="shared" si="72"/>
        <v>5.309477837909613</v>
      </c>
      <c r="O83" s="606">
        <f t="shared" si="72"/>
        <v>4.7956574019828766</v>
      </c>
      <c r="P83" s="606">
        <f t="shared" si="72"/>
        <v>5.309477837909613</v>
      </c>
      <c r="Q83" s="606">
        <f t="shared" si="69"/>
        <v>62.514819704419637</v>
      </c>
      <c r="R83" s="605"/>
      <c r="S83" s="605"/>
      <c r="T83" s="605"/>
    </row>
    <row r="84" spans="3:20" hidden="1" x14ac:dyDescent="0.25">
      <c r="C84" s="607"/>
      <c r="D84" s="607"/>
      <c r="E84" s="606">
        <f t="shared" ref="E84:P84" si="73">E259+E431</f>
        <v>0</v>
      </c>
      <c r="F84" s="606">
        <f t="shared" si="73"/>
        <v>0</v>
      </c>
      <c r="G84" s="606">
        <f t="shared" si="73"/>
        <v>0</v>
      </c>
      <c r="H84" s="606">
        <f t="shared" si="73"/>
        <v>0</v>
      </c>
      <c r="I84" s="606">
        <f t="shared" si="73"/>
        <v>0</v>
      </c>
      <c r="J84" s="606">
        <f t="shared" si="73"/>
        <v>0</v>
      </c>
      <c r="K84" s="606">
        <f t="shared" si="73"/>
        <v>0</v>
      </c>
      <c r="L84" s="606">
        <f t="shared" si="73"/>
        <v>0</v>
      </c>
      <c r="M84" s="606">
        <f t="shared" si="73"/>
        <v>0</v>
      </c>
      <c r="N84" s="606">
        <f t="shared" si="73"/>
        <v>0</v>
      </c>
      <c r="O84" s="606">
        <f t="shared" si="73"/>
        <v>0</v>
      </c>
      <c r="P84" s="606">
        <f t="shared" si="73"/>
        <v>0</v>
      </c>
      <c r="Q84" s="606">
        <f t="shared" si="69"/>
        <v>0</v>
      </c>
      <c r="R84" s="605"/>
      <c r="S84" s="605"/>
      <c r="T84" s="605"/>
    </row>
    <row r="85" spans="3:20" hidden="1" x14ac:dyDescent="0.25">
      <c r="C85" s="607"/>
      <c r="D85" s="607"/>
      <c r="E85" s="606">
        <f t="shared" ref="E85:P85" si="74">E260+E432</f>
        <v>0</v>
      </c>
      <c r="F85" s="606">
        <f t="shared" si="74"/>
        <v>0</v>
      </c>
      <c r="G85" s="606">
        <f t="shared" si="74"/>
        <v>0</v>
      </c>
      <c r="H85" s="606">
        <f t="shared" si="74"/>
        <v>0</v>
      </c>
      <c r="I85" s="606">
        <f t="shared" si="74"/>
        <v>0</v>
      </c>
      <c r="J85" s="606">
        <f t="shared" si="74"/>
        <v>0</v>
      </c>
      <c r="K85" s="606">
        <f t="shared" si="74"/>
        <v>0</v>
      </c>
      <c r="L85" s="606">
        <f t="shared" si="74"/>
        <v>0</v>
      </c>
      <c r="M85" s="606">
        <f t="shared" si="74"/>
        <v>0</v>
      </c>
      <c r="N85" s="606">
        <f t="shared" si="74"/>
        <v>0</v>
      </c>
      <c r="O85" s="606">
        <f t="shared" si="74"/>
        <v>0</v>
      </c>
      <c r="P85" s="606">
        <f t="shared" si="74"/>
        <v>0</v>
      </c>
      <c r="Q85" s="606">
        <f t="shared" si="69"/>
        <v>0</v>
      </c>
      <c r="R85" s="605"/>
      <c r="S85" s="605"/>
      <c r="T85" s="605"/>
    </row>
    <row r="86" spans="3:20" hidden="1" x14ac:dyDescent="0.25">
      <c r="C86" s="607"/>
      <c r="D86" s="607"/>
      <c r="E86" s="606">
        <f t="shared" ref="E86:P86" si="75">E261+E433</f>
        <v>0</v>
      </c>
      <c r="F86" s="606">
        <f t="shared" si="75"/>
        <v>0</v>
      </c>
      <c r="G86" s="606">
        <f t="shared" si="75"/>
        <v>0</v>
      </c>
      <c r="H86" s="606">
        <f t="shared" si="75"/>
        <v>0</v>
      </c>
      <c r="I86" s="606">
        <f t="shared" si="75"/>
        <v>0</v>
      </c>
      <c r="J86" s="606">
        <f t="shared" si="75"/>
        <v>0</v>
      </c>
      <c r="K86" s="606">
        <f t="shared" si="75"/>
        <v>0</v>
      </c>
      <c r="L86" s="606">
        <f t="shared" si="75"/>
        <v>0</v>
      </c>
      <c r="M86" s="606">
        <f t="shared" si="75"/>
        <v>0</v>
      </c>
      <c r="N86" s="606">
        <f t="shared" si="75"/>
        <v>0</v>
      </c>
      <c r="O86" s="606">
        <f t="shared" si="75"/>
        <v>0</v>
      </c>
      <c r="P86" s="606">
        <f t="shared" si="75"/>
        <v>0</v>
      </c>
      <c r="Q86" s="606">
        <f t="shared" si="69"/>
        <v>0</v>
      </c>
      <c r="R86" s="605"/>
      <c r="S86" s="605"/>
      <c r="T86" s="605"/>
    </row>
    <row r="87" spans="3:20" hidden="1" x14ac:dyDescent="0.25">
      <c r="C87" s="607"/>
      <c r="D87" s="607"/>
      <c r="E87" s="606">
        <f t="shared" ref="E87:P87" si="76">E262+E434</f>
        <v>0</v>
      </c>
      <c r="F87" s="606">
        <f t="shared" si="76"/>
        <v>0</v>
      </c>
      <c r="G87" s="606">
        <f t="shared" si="76"/>
        <v>0</v>
      </c>
      <c r="H87" s="606">
        <f t="shared" si="76"/>
        <v>0</v>
      </c>
      <c r="I87" s="606">
        <f t="shared" si="76"/>
        <v>0</v>
      </c>
      <c r="J87" s="606">
        <f t="shared" si="76"/>
        <v>0</v>
      </c>
      <c r="K87" s="606">
        <f t="shared" si="76"/>
        <v>0</v>
      </c>
      <c r="L87" s="606">
        <f t="shared" si="76"/>
        <v>0</v>
      </c>
      <c r="M87" s="606">
        <f t="shared" si="76"/>
        <v>0</v>
      </c>
      <c r="N87" s="606">
        <f t="shared" si="76"/>
        <v>0</v>
      </c>
      <c r="O87" s="606">
        <f t="shared" si="76"/>
        <v>0</v>
      </c>
      <c r="P87" s="606">
        <f t="shared" si="76"/>
        <v>0</v>
      </c>
      <c r="Q87" s="606">
        <f t="shared" si="69"/>
        <v>0</v>
      </c>
      <c r="R87" s="605"/>
      <c r="S87" s="605"/>
      <c r="T87" s="605"/>
    </row>
    <row r="88" spans="3:20" hidden="1" x14ac:dyDescent="0.25">
      <c r="C88" s="607"/>
      <c r="D88" s="607"/>
      <c r="E88" s="606">
        <f t="shared" ref="E88:P88" si="77">E263+E435</f>
        <v>0</v>
      </c>
      <c r="F88" s="606">
        <f t="shared" si="77"/>
        <v>0</v>
      </c>
      <c r="G88" s="606">
        <f t="shared" si="77"/>
        <v>0</v>
      </c>
      <c r="H88" s="606">
        <f t="shared" si="77"/>
        <v>0</v>
      </c>
      <c r="I88" s="606">
        <f t="shared" si="77"/>
        <v>0</v>
      </c>
      <c r="J88" s="606">
        <f t="shared" si="77"/>
        <v>0</v>
      </c>
      <c r="K88" s="606">
        <f t="shared" si="77"/>
        <v>0</v>
      </c>
      <c r="L88" s="606">
        <f t="shared" si="77"/>
        <v>0</v>
      </c>
      <c r="M88" s="606">
        <f t="shared" si="77"/>
        <v>0</v>
      </c>
      <c r="N88" s="606">
        <f t="shared" si="77"/>
        <v>0</v>
      </c>
      <c r="O88" s="606">
        <f t="shared" si="77"/>
        <v>0</v>
      </c>
      <c r="P88" s="606">
        <f t="shared" si="77"/>
        <v>0</v>
      </c>
      <c r="Q88" s="606">
        <f t="shared" si="69"/>
        <v>0</v>
      </c>
      <c r="R88" s="605"/>
      <c r="S88" s="605"/>
      <c r="T88" s="605"/>
    </row>
    <row r="89" spans="3:20" hidden="1" x14ac:dyDescent="0.25">
      <c r="C89" s="607"/>
      <c r="D89" s="607"/>
      <c r="E89" s="606">
        <f t="shared" ref="E89:P89" si="78">E264+E436</f>
        <v>0</v>
      </c>
      <c r="F89" s="606">
        <f t="shared" si="78"/>
        <v>0</v>
      </c>
      <c r="G89" s="606">
        <f t="shared" si="78"/>
        <v>0</v>
      </c>
      <c r="H89" s="606">
        <f t="shared" si="78"/>
        <v>0</v>
      </c>
      <c r="I89" s="606">
        <f t="shared" si="78"/>
        <v>0</v>
      </c>
      <c r="J89" s="606">
        <f t="shared" si="78"/>
        <v>0</v>
      </c>
      <c r="K89" s="606">
        <f t="shared" si="78"/>
        <v>0</v>
      </c>
      <c r="L89" s="606">
        <f t="shared" si="78"/>
        <v>0</v>
      </c>
      <c r="M89" s="606">
        <f t="shared" si="78"/>
        <v>0</v>
      </c>
      <c r="N89" s="606">
        <f t="shared" si="78"/>
        <v>0</v>
      </c>
      <c r="O89" s="606">
        <f t="shared" si="78"/>
        <v>0</v>
      </c>
      <c r="P89" s="606">
        <f t="shared" si="78"/>
        <v>0</v>
      </c>
      <c r="Q89" s="606">
        <f t="shared" si="69"/>
        <v>0</v>
      </c>
      <c r="R89" s="605"/>
      <c r="S89" s="605"/>
      <c r="T89" s="605"/>
    </row>
    <row r="90" spans="3:20" hidden="1" x14ac:dyDescent="0.25">
      <c r="C90" s="607"/>
      <c r="D90" s="607"/>
      <c r="E90" s="606">
        <f t="shared" ref="E90:P90" si="79">E265+E437</f>
        <v>0</v>
      </c>
      <c r="F90" s="606">
        <f t="shared" si="79"/>
        <v>0</v>
      </c>
      <c r="G90" s="606">
        <f t="shared" si="79"/>
        <v>0</v>
      </c>
      <c r="H90" s="606">
        <f t="shared" si="79"/>
        <v>0</v>
      </c>
      <c r="I90" s="606">
        <f t="shared" si="79"/>
        <v>0</v>
      </c>
      <c r="J90" s="606">
        <f t="shared" si="79"/>
        <v>0</v>
      </c>
      <c r="K90" s="606">
        <f t="shared" si="79"/>
        <v>0</v>
      </c>
      <c r="L90" s="606">
        <f t="shared" si="79"/>
        <v>0</v>
      </c>
      <c r="M90" s="606">
        <f t="shared" si="79"/>
        <v>0</v>
      </c>
      <c r="N90" s="606">
        <f t="shared" si="79"/>
        <v>0</v>
      </c>
      <c r="O90" s="606">
        <f t="shared" si="79"/>
        <v>0</v>
      </c>
      <c r="P90" s="606">
        <f t="shared" si="79"/>
        <v>0</v>
      </c>
      <c r="Q90" s="606">
        <f t="shared" si="69"/>
        <v>0</v>
      </c>
      <c r="R90" s="605"/>
      <c r="S90" s="605"/>
      <c r="T90" s="605"/>
    </row>
    <row r="91" spans="3:20" hidden="1" x14ac:dyDescent="0.25">
      <c r="C91" s="607"/>
      <c r="D91" s="607"/>
      <c r="E91" s="606">
        <f t="shared" ref="E91:P91" si="80">E266+E438</f>
        <v>0</v>
      </c>
      <c r="F91" s="606">
        <f t="shared" si="80"/>
        <v>0</v>
      </c>
      <c r="G91" s="606">
        <f t="shared" si="80"/>
        <v>0</v>
      </c>
      <c r="H91" s="606">
        <f t="shared" si="80"/>
        <v>0</v>
      </c>
      <c r="I91" s="606">
        <f t="shared" si="80"/>
        <v>0</v>
      </c>
      <c r="J91" s="606">
        <f t="shared" si="80"/>
        <v>0</v>
      </c>
      <c r="K91" s="606">
        <f t="shared" si="80"/>
        <v>0</v>
      </c>
      <c r="L91" s="606">
        <f t="shared" si="80"/>
        <v>0</v>
      </c>
      <c r="M91" s="606">
        <f t="shared" si="80"/>
        <v>0</v>
      </c>
      <c r="N91" s="606">
        <f t="shared" si="80"/>
        <v>0</v>
      </c>
      <c r="O91" s="606">
        <f t="shared" si="80"/>
        <v>0</v>
      </c>
      <c r="P91" s="606">
        <f t="shared" si="80"/>
        <v>0</v>
      </c>
      <c r="Q91" s="606">
        <f t="shared" si="69"/>
        <v>0</v>
      </c>
      <c r="R91" s="605"/>
      <c r="S91" s="605"/>
      <c r="T91" s="605"/>
    </row>
    <row r="92" spans="3:20" hidden="1" x14ac:dyDescent="0.25">
      <c r="C92" s="607"/>
      <c r="D92" s="607"/>
      <c r="E92" s="606">
        <f t="shared" ref="E92:P92" si="81">E267+E439</f>
        <v>0</v>
      </c>
      <c r="F92" s="606">
        <f t="shared" si="81"/>
        <v>0</v>
      </c>
      <c r="G92" s="606">
        <f t="shared" si="81"/>
        <v>0</v>
      </c>
      <c r="H92" s="606">
        <f t="shared" si="81"/>
        <v>0</v>
      </c>
      <c r="I92" s="606">
        <f t="shared" si="81"/>
        <v>0</v>
      </c>
      <c r="J92" s="606">
        <f t="shared" si="81"/>
        <v>0</v>
      </c>
      <c r="K92" s="606">
        <f t="shared" si="81"/>
        <v>0</v>
      </c>
      <c r="L92" s="606">
        <f t="shared" si="81"/>
        <v>0</v>
      </c>
      <c r="M92" s="606">
        <f t="shared" si="81"/>
        <v>0</v>
      </c>
      <c r="N92" s="606">
        <f t="shared" si="81"/>
        <v>0</v>
      </c>
      <c r="O92" s="606">
        <f t="shared" si="81"/>
        <v>0</v>
      </c>
      <c r="P92" s="606">
        <f t="shared" si="81"/>
        <v>0</v>
      </c>
      <c r="Q92" s="606">
        <f t="shared" si="69"/>
        <v>0</v>
      </c>
      <c r="R92" s="605"/>
      <c r="S92" s="605"/>
      <c r="T92" s="605"/>
    </row>
    <row r="93" spans="3:20" hidden="1" x14ac:dyDescent="0.25">
      <c r="C93" s="607"/>
      <c r="D93" s="607"/>
      <c r="E93" s="606">
        <f t="shared" ref="E93:P93" si="82">E268+E440</f>
        <v>0</v>
      </c>
      <c r="F93" s="606">
        <f t="shared" si="82"/>
        <v>0</v>
      </c>
      <c r="G93" s="606">
        <f t="shared" si="82"/>
        <v>0</v>
      </c>
      <c r="H93" s="606">
        <f t="shared" si="82"/>
        <v>0</v>
      </c>
      <c r="I93" s="606">
        <f t="shared" si="82"/>
        <v>0</v>
      </c>
      <c r="J93" s="606">
        <f t="shared" si="82"/>
        <v>0</v>
      </c>
      <c r="K93" s="606">
        <f t="shared" si="82"/>
        <v>0</v>
      </c>
      <c r="L93" s="606">
        <f t="shared" si="82"/>
        <v>0</v>
      </c>
      <c r="M93" s="606">
        <f t="shared" si="82"/>
        <v>0</v>
      </c>
      <c r="N93" s="606">
        <f t="shared" si="82"/>
        <v>0</v>
      </c>
      <c r="O93" s="606">
        <f t="shared" si="82"/>
        <v>0</v>
      </c>
      <c r="P93" s="606">
        <f t="shared" si="82"/>
        <v>0</v>
      </c>
      <c r="Q93" s="606">
        <f t="shared" si="69"/>
        <v>0</v>
      </c>
      <c r="R93" s="605"/>
      <c r="S93" s="605"/>
      <c r="T93" s="605"/>
    </row>
    <row r="94" spans="3:20" x14ac:dyDescent="0.25">
      <c r="C94" s="811" t="s">
        <v>212</v>
      </c>
      <c r="D94" s="812"/>
      <c r="E94" s="609">
        <f t="shared" ref="E94:P94" si="83">SUM(E80:E93)</f>
        <v>15.774081333117858</v>
      </c>
      <c r="F94" s="609">
        <f t="shared" si="83"/>
        <v>16.299884044221791</v>
      </c>
      <c r="G94" s="609">
        <f t="shared" si="83"/>
        <v>15.774081333117858</v>
      </c>
      <c r="H94" s="609">
        <f t="shared" si="83"/>
        <v>16.299884044221791</v>
      </c>
      <c r="I94" s="609">
        <f t="shared" si="83"/>
        <v>16.299884044221791</v>
      </c>
      <c r="J94" s="609">
        <f t="shared" si="83"/>
        <v>15.774081333117858</v>
      </c>
      <c r="K94" s="609">
        <f t="shared" si="83"/>
        <v>16.299884044221791</v>
      </c>
      <c r="L94" s="609">
        <f t="shared" si="83"/>
        <v>15.774081333117858</v>
      </c>
      <c r="M94" s="609">
        <f t="shared" si="83"/>
        <v>16.299884044221791</v>
      </c>
      <c r="N94" s="609">
        <f t="shared" si="83"/>
        <v>16.299884044221791</v>
      </c>
      <c r="O94" s="609">
        <f t="shared" si="83"/>
        <v>14.722475910910006</v>
      </c>
      <c r="P94" s="609">
        <f t="shared" si="83"/>
        <v>16.299884044221791</v>
      </c>
      <c r="Q94" s="609">
        <f t="shared" si="69"/>
        <v>191.91798955293396</v>
      </c>
      <c r="R94" s="605"/>
      <c r="S94" s="605"/>
      <c r="T94" s="605"/>
    </row>
    <row r="95" spans="3:20" x14ac:dyDescent="0.25">
      <c r="C95" s="811" t="s">
        <v>394</v>
      </c>
      <c r="D95" s="812"/>
      <c r="E95" s="609">
        <f t="shared" ref="E95:P95" si="84">E78+E94</f>
        <v>322.44403435197</v>
      </c>
      <c r="F95" s="609">
        <f t="shared" si="84"/>
        <v>309.84883861033546</v>
      </c>
      <c r="G95" s="609">
        <f t="shared" si="84"/>
        <v>246.82738371491695</v>
      </c>
      <c r="H95" s="609">
        <f t="shared" si="84"/>
        <v>216.90133033734148</v>
      </c>
      <c r="I95" s="609">
        <f t="shared" si="84"/>
        <v>220.19850415186912</v>
      </c>
      <c r="J95" s="609">
        <f t="shared" si="84"/>
        <v>260.1587137382117</v>
      </c>
      <c r="K95" s="609">
        <f t="shared" si="84"/>
        <v>274.8548584216731</v>
      </c>
      <c r="L95" s="609">
        <f t="shared" si="84"/>
        <v>348.84968388598367</v>
      </c>
      <c r="M95" s="609">
        <f t="shared" si="84"/>
        <v>245.93655265238269</v>
      </c>
      <c r="N95" s="609">
        <f t="shared" si="84"/>
        <v>292.31165485592038</v>
      </c>
      <c r="O95" s="609">
        <f t="shared" si="84"/>
        <v>319.53822832022189</v>
      </c>
      <c r="P95" s="609">
        <f t="shared" si="84"/>
        <v>374.5882128170901</v>
      </c>
      <c r="Q95" s="609">
        <f>SUM(E95:P95)</f>
        <v>3432.4579958579166</v>
      </c>
      <c r="R95" s="605"/>
      <c r="S95" s="605"/>
      <c r="T95" s="605"/>
    </row>
    <row r="96" spans="3:20" x14ac:dyDescent="0.25">
      <c r="C96" s="813" t="s">
        <v>395</v>
      </c>
      <c r="D96" s="814"/>
      <c r="E96" s="606"/>
      <c r="F96" s="606"/>
      <c r="G96" s="606"/>
      <c r="H96" s="606"/>
      <c r="I96" s="606"/>
      <c r="J96" s="606"/>
      <c r="K96" s="606"/>
      <c r="L96" s="606"/>
      <c r="M96" s="606"/>
      <c r="N96" s="606"/>
      <c r="O96" s="606"/>
      <c r="P96" s="606"/>
      <c r="Q96" s="606"/>
      <c r="R96" s="605"/>
      <c r="S96" s="605"/>
      <c r="T96" s="605"/>
    </row>
    <row r="97" spans="3:20" x14ac:dyDescent="0.25">
      <c r="C97" s="607" t="s">
        <v>396</v>
      </c>
      <c r="D97" s="607" t="s">
        <v>396</v>
      </c>
      <c r="E97" s="606">
        <f t="shared" ref="E97:P97" si="85">E272+E444</f>
        <v>21.989278572562146</v>
      </c>
      <c r="F97" s="606">
        <f t="shared" si="85"/>
        <v>21.435145129249385</v>
      </c>
      <c r="G97" s="606">
        <f t="shared" si="85"/>
        <v>20.808852477607022</v>
      </c>
      <c r="H97" s="606">
        <f t="shared" si="85"/>
        <v>24.337232139349826</v>
      </c>
      <c r="I97" s="606">
        <f t="shared" si="85"/>
        <v>24.564599486465823</v>
      </c>
      <c r="J97" s="606">
        <f t="shared" si="85"/>
        <v>0</v>
      </c>
      <c r="K97" s="606">
        <f t="shared" si="85"/>
        <v>24.564599486465823</v>
      </c>
      <c r="L97" s="606">
        <f t="shared" si="85"/>
        <v>11.275917521680979</v>
      </c>
      <c r="M97" s="606">
        <f t="shared" si="85"/>
        <v>22.660465335898774</v>
      </c>
      <c r="N97" s="606">
        <f t="shared" si="85"/>
        <v>23.332318649465197</v>
      </c>
      <c r="O97" s="606">
        <f t="shared" si="85"/>
        <v>22.18738018132396</v>
      </c>
      <c r="P97" s="606">
        <f t="shared" si="85"/>
        <v>24.564599486465823</v>
      </c>
      <c r="Q97" s="606">
        <f t="shared" ref="Q97:Q104" si="86">SUM(E97:P97)</f>
        <v>241.72038846653476</v>
      </c>
      <c r="R97" s="605"/>
      <c r="S97" s="605"/>
      <c r="T97" s="605"/>
    </row>
    <row r="98" spans="3:20" x14ac:dyDescent="0.25">
      <c r="C98" s="607" t="s">
        <v>397</v>
      </c>
      <c r="D98" s="607" t="s">
        <v>397</v>
      </c>
      <c r="E98" s="606">
        <f t="shared" ref="E98:P98" si="87">E273+E445</f>
        <v>0</v>
      </c>
      <c r="F98" s="606">
        <f t="shared" si="87"/>
        <v>0</v>
      </c>
      <c r="G98" s="606">
        <f t="shared" si="87"/>
        <v>0</v>
      </c>
      <c r="H98" s="606">
        <f t="shared" si="87"/>
        <v>0</v>
      </c>
      <c r="I98" s="606">
        <f t="shared" si="87"/>
        <v>0</v>
      </c>
      <c r="J98" s="606">
        <f t="shared" si="87"/>
        <v>0</v>
      </c>
      <c r="K98" s="606">
        <f t="shared" si="87"/>
        <v>0</v>
      </c>
      <c r="L98" s="606">
        <f t="shared" si="87"/>
        <v>0</v>
      </c>
      <c r="M98" s="606">
        <f t="shared" si="87"/>
        <v>0</v>
      </c>
      <c r="N98" s="606">
        <f t="shared" si="87"/>
        <v>0</v>
      </c>
      <c r="O98" s="606">
        <f t="shared" si="87"/>
        <v>0</v>
      </c>
      <c r="P98" s="606">
        <f t="shared" si="87"/>
        <v>0</v>
      </c>
      <c r="Q98" s="606">
        <f t="shared" si="86"/>
        <v>0</v>
      </c>
      <c r="R98" s="605"/>
      <c r="S98" s="605"/>
      <c r="T98" s="605"/>
    </row>
    <row r="99" spans="3:20" ht="15" customHeight="1" x14ac:dyDescent="0.25">
      <c r="C99" s="607"/>
      <c r="D99" s="607"/>
      <c r="E99" s="606">
        <f t="shared" ref="E99:P99" si="88">E274+E446</f>
        <v>0</v>
      </c>
      <c r="F99" s="606">
        <f t="shared" si="88"/>
        <v>0</v>
      </c>
      <c r="G99" s="606">
        <f t="shared" si="88"/>
        <v>0</v>
      </c>
      <c r="H99" s="606">
        <f t="shared" si="88"/>
        <v>0</v>
      </c>
      <c r="I99" s="606">
        <f t="shared" si="88"/>
        <v>0</v>
      </c>
      <c r="J99" s="606">
        <f t="shared" si="88"/>
        <v>0</v>
      </c>
      <c r="K99" s="606">
        <f t="shared" si="88"/>
        <v>0</v>
      </c>
      <c r="L99" s="606">
        <f t="shared" si="88"/>
        <v>0</v>
      </c>
      <c r="M99" s="606">
        <f t="shared" si="88"/>
        <v>0</v>
      </c>
      <c r="N99" s="606">
        <f t="shared" si="88"/>
        <v>0</v>
      </c>
      <c r="O99" s="606">
        <f t="shared" si="88"/>
        <v>0</v>
      </c>
      <c r="P99" s="606">
        <f t="shared" si="88"/>
        <v>0</v>
      </c>
      <c r="Q99" s="606">
        <f t="shared" si="86"/>
        <v>0</v>
      </c>
      <c r="R99" s="605"/>
      <c r="S99" s="605"/>
      <c r="T99" s="605"/>
    </row>
    <row r="100" spans="3:20" x14ac:dyDescent="0.25">
      <c r="C100" s="607"/>
      <c r="D100" s="607"/>
      <c r="E100" s="606">
        <f t="shared" ref="E100:P100" si="89">E275+E447</f>
        <v>0</v>
      </c>
      <c r="F100" s="606">
        <f t="shared" si="89"/>
        <v>0</v>
      </c>
      <c r="G100" s="606">
        <f t="shared" si="89"/>
        <v>0</v>
      </c>
      <c r="H100" s="606">
        <f t="shared" si="89"/>
        <v>0</v>
      </c>
      <c r="I100" s="606">
        <f t="shared" si="89"/>
        <v>0</v>
      </c>
      <c r="J100" s="606">
        <f t="shared" si="89"/>
        <v>0</v>
      </c>
      <c r="K100" s="606">
        <f t="shared" si="89"/>
        <v>0</v>
      </c>
      <c r="L100" s="606">
        <f t="shared" si="89"/>
        <v>0</v>
      </c>
      <c r="M100" s="606">
        <f t="shared" si="89"/>
        <v>0</v>
      </c>
      <c r="N100" s="606">
        <f t="shared" si="89"/>
        <v>0</v>
      </c>
      <c r="O100" s="606">
        <f t="shared" si="89"/>
        <v>0</v>
      </c>
      <c r="P100" s="606">
        <f t="shared" si="89"/>
        <v>0</v>
      </c>
      <c r="Q100" s="606">
        <f t="shared" si="86"/>
        <v>0</v>
      </c>
      <c r="R100" s="605"/>
      <c r="S100" s="605"/>
      <c r="T100" s="605"/>
    </row>
    <row r="101" spans="3:20" ht="14.25" customHeight="1" x14ac:dyDescent="0.25">
      <c r="C101" s="607"/>
      <c r="D101" s="607"/>
      <c r="E101" s="606">
        <f t="shared" ref="E101:P101" si="90">E276+E448</f>
        <v>0</v>
      </c>
      <c r="F101" s="606">
        <f t="shared" si="90"/>
        <v>0</v>
      </c>
      <c r="G101" s="606">
        <f t="shared" si="90"/>
        <v>0</v>
      </c>
      <c r="H101" s="606">
        <f t="shared" si="90"/>
        <v>0</v>
      </c>
      <c r="I101" s="606">
        <f t="shared" si="90"/>
        <v>0</v>
      </c>
      <c r="J101" s="606">
        <f t="shared" si="90"/>
        <v>0</v>
      </c>
      <c r="K101" s="606">
        <f t="shared" si="90"/>
        <v>0</v>
      </c>
      <c r="L101" s="606">
        <f t="shared" si="90"/>
        <v>0</v>
      </c>
      <c r="M101" s="606">
        <f t="shared" si="90"/>
        <v>0</v>
      </c>
      <c r="N101" s="606">
        <f t="shared" si="90"/>
        <v>0</v>
      </c>
      <c r="O101" s="606">
        <f t="shared" si="90"/>
        <v>0</v>
      </c>
      <c r="P101" s="606">
        <f t="shared" si="90"/>
        <v>0</v>
      </c>
      <c r="Q101" s="606">
        <f t="shared" si="86"/>
        <v>0</v>
      </c>
      <c r="R101" s="605"/>
      <c r="S101" s="605"/>
      <c r="T101" s="605"/>
    </row>
    <row r="102" spans="3:20" x14ac:dyDescent="0.25">
      <c r="C102" s="607"/>
      <c r="D102" s="607"/>
      <c r="E102" s="606">
        <f t="shared" ref="E102:P102" si="91">E277+E449</f>
        <v>0</v>
      </c>
      <c r="F102" s="606">
        <f t="shared" si="91"/>
        <v>0</v>
      </c>
      <c r="G102" s="606">
        <f t="shared" si="91"/>
        <v>0</v>
      </c>
      <c r="H102" s="606">
        <f t="shared" si="91"/>
        <v>0</v>
      </c>
      <c r="I102" s="606">
        <f t="shared" si="91"/>
        <v>0</v>
      </c>
      <c r="J102" s="606">
        <f t="shared" si="91"/>
        <v>0</v>
      </c>
      <c r="K102" s="606">
        <f t="shared" si="91"/>
        <v>0</v>
      </c>
      <c r="L102" s="606">
        <f t="shared" si="91"/>
        <v>0</v>
      </c>
      <c r="M102" s="606">
        <f t="shared" si="91"/>
        <v>0</v>
      </c>
      <c r="N102" s="606">
        <f t="shared" si="91"/>
        <v>0</v>
      </c>
      <c r="O102" s="606">
        <f t="shared" si="91"/>
        <v>0</v>
      </c>
      <c r="P102" s="606">
        <f t="shared" si="91"/>
        <v>0</v>
      </c>
      <c r="Q102" s="606">
        <f t="shared" si="86"/>
        <v>0</v>
      </c>
      <c r="R102" s="605"/>
      <c r="S102" s="605"/>
      <c r="T102" s="605"/>
    </row>
    <row r="103" spans="3:20" x14ac:dyDescent="0.25">
      <c r="C103" s="607"/>
      <c r="D103" s="607"/>
      <c r="E103" s="606">
        <f t="shared" ref="E103:P103" si="92">E278+E450</f>
        <v>0</v>
      </c>
      <c r="F103" s="606">
        <f t="shared" si="92"/>
        <v>0</v>
      </c>
      <c r="G103" s="606">
        <f t="shared" si="92"/>
        <v>0</v>
      </c>
      <c r="H103" s="606">
        <f t="shared" si="92"/>
        <v>0</v>
      </c>
      <c r="I103" s="606">
        <f t="shared" si="92"/>
        <v>0</v>
      </c>
      <c r="J103" s="606">
        <f t="shared" si="92"/>
        <v>0</v>
      </c>
      <c r="K103" s="606">
        <f t="shared" si="92"/>
        <v>0</v>
      </c>
      <c r="L103" s="606">
        <f t="shared" si="92"/>
        <v>0</v>
      </c>
      <c r="M103" s="606">
        <f t="shared" si="92"/>
        <v>0</v>
      </c>
      <c r="N103" s="606">
        <f t="shared" si="92"/>
        <v>0</v>
      </c>
      <c r="O103" s="606">
        <f t="shared" si="92"/>
        <v>0</v>
      </c>
      <c r="P103" s="606">
        <f t="shared" si="92"/>
        <v>0</v>
      </c>
      <c r="Q103" s="606">
        <f t="shared" si="86"/>
        <v>0</v>
      </c>
      <c r="R103" s="605"/>
      <c r="S103" s="605"/>
      <c r="T103" s="605"/>
    </row>
    <row r="104" spans="3:20" ht="14.25" customHeight="1" x14ac:dyDescent="0.25">
      <c r="C104" s="811" t="s">
        <v>398</v>
      </c>
      <c r="D104" s="812"/>
      <c r="E104" s="609">
        <f t="shared" ref="E104:P104" si="93">SUM(E97:E103)</f>
        <v>21.989278572562146</v>
      </c>
      <c r="F104" s="609">
        <f t="shared" si="93"/>
        <v>21.435145129249385</v>
      </c>
      <c r="G104" s="609">
        <f t="shared" si="93"/>
        <v>20.808852477607022</v>
      </c>
      <c r="H104" s="609">
        <f t="shared" si="93"/>
        <v>24.337232139349826</v>
      </c>
      <c r="I104" s="609">
        <f t="shared" si="93"/>
        <v>24.564599486465823</v>
      </c>
      <c r="J104" s="609">
        <f t="shared" si="93"/>
        <v>0</v>
      </c>
      <c r="K104" s="609">
        <f t="shared" si="93"/>
        <v>24.564599486465823</v>
      </c>
      <c r="L104" s="609">
        <f t="shared" si="93"/>
        <v>11.275917521680979</v>
      </c>
      <c r="M104" s="609">
        <f t="shared" si="93"/>
        <v>22.660465335898774</v>
      </c>
      <c r="N104" s="609">
        <f t="shared" si="93"/>
        <v>23.332318649465197</v>
      </c>
      <c r="O104" s="609">
        <f t="shared" si="93"/>
        <v>22.18738018132396</v>
      </c>
      <c r="P104" s="609">
        <f t="shared" si="93"/>
        <v>24.564599486465823</v>
      </c>
      <c r="Q104" s="609">
        <f t="shared" si="86"/>
        <v>241.72038846653476</v>
      </c>
      <c r="R104" s="605"/>
      <c r="S104" s="605"/>
      <c r="T104" s="605"/>
    </row>
    <row r="105" spans="3:20" x14ac:dyDescent="0.25">
      <c r="C105" s="813" t="s">
        <v>399</v>
      </c>
      <c r="D105" s="814"/>
      <c r="E105" s="606"/>
      <c r="F105" s="606"/>
      <c r="G105" s="606"/>
      <c r="H105" s="606"/>
      <c r="I105" s="606"/>
      <c r="J105" s="606"/>
      <c r="K105" s="606"/>
      <c r="L105" s="606"/>
      <c r="M105" s="606"/>
      <c r="N105" s="606"/>
      <c r="O105" s="606"/>
      <c r="P105" s="606"/>
      <c r="Q105" s="606"/>
      <c r="R105" s="605"/>
      <c r="S105" s="605"/>
      <c r="T105" s="605"/>
    </row>
    <row r="106" spans="3:20" x14ac:dyDescent="0.25">
      <c r="C106" s="607" t="s">
        <v>400</v>
      </c>
      <c r="D106" s="607" t="s">
        <v>400</v>
      </c>
      <c r="E106" s="606">
        <f t="shared" ref="E106:P106" si="94">E281+E453</f>
        <v>110.24422835448769</v>
      </c>
      <c r="F106" s="606">
        <f t="shared" si="94"/>
        <v>62.124118508630289</v>
      </c>
      <c r="G106" s="606">
        <f t="shared" si="94"/>
        <v>21.157831543513119</v>
      </c>
      <c r="H106" s="606">
        <f t="shared" si="94"/>
        <v>67.627966008649281</v>
      </c>
      <c r="I106" s="606">
        <f t="shared" si="94"/>
        <v>107.37916319396342</v>
      </c>
      <c r="J106" s="606">
        <f t="shared" si="94"/>
        <v>85.521864996590651</v>
      </c>
      <c r="K106" s="606">
        <f t="shared" si="94"/>
        <v>118.51892525794727</v>
      </c>
      <c r="L106" s="606">
        <f t="shared" si="94"/>
        <v>0</v>
      </c>
      <c r="M106" s="606">
        <f t="shared" si="94"/>
        <v>93.397448818207252</v>
      </c>
      <c r="N106" s="606">
        <f t="shared" si="94"/>
        <v>96.04287789490138</v>
      </c>
      <c r="O106" s="606">
        <f t="shared" si="94"/>
        <v>104.78214213536572</v>
      </c>
      <c r="P106" s="606">
        <f t="shared" si="94"/>
        <v>126.9056260325895</v>
      </c>
      <c r="Q106" s="606">
        <f t="shared" ref="Q106:Q114" si="95">SUM(E106:P106)</f>
        <v>993.70219274484555</v>
      </c>
      <c r="R106" s="605"/>
      <c r="S106" s="605"/>
      <c r="T106" s="605"/>
    </row>
    <row r="107" spans="3:20" x14ac:dyDescent="0.25">
      <c r="C107" s="607" t="s">
        <v>401</v>
      </c>
      <c r="D107" s="607" t="s">
        <v>401</v>
      </c>
      <c r="E107" s="606">
        <f t="shared" ref="E107:P107" si="96">E282+E454</f>
        <v>0</v>
      </c>
      <c r="F107" s="606">
        <f t="shared" si="96"/>
        <v>0</v>
      </c>
      <c r="G107" s="606">
        <f t="shared" si="96"/>
        <v>0</v>
      </c>
      <c r="H107" s="606">
        <f t="shared" si="96"/>
        <v>0</v>
      </c>
      <c r="I107" s="606">
        <f t="shared" si="96"/>
        <v>0</v>
      </c>
      <c r="J107" s="606">
        <f t="shared" si="96"/>
        <v>0</v>
      </c>
      <c r="K107" s="606">
        <f t="shared" si="96"/>
        <v>0</v>
      </c>
      <c r="L107" s="606">
        <f t="shared" si="96"/>
        <v>0</v>
      </c>
      <c r="M107" s="606">
        <f t="shared" si="96"/>
        <v>0</v>
      </c>
      <c r="N107" s="606">
        <f t="shared" si="96"/>
        <v>0</v>
      </c>
      <c r="O107" s="606">
        <f t="shared" si="96"/>
        <v>0</v>
      </c>
      <c r="P107" s="606">
        <f t="shared" si="96"/>
        <v>0</v>
      </c>
      <c r="Q107" s="606">
        <f t="shared" si="95"/>
        <v>0</v>
      </c>
      <c r="R107" s="605"/>
      <c r="S107" s="605"/>
      <c r="T107" s="605"/>
    </row>
    <row r="108" spans="3:20" x14ac:dyDescent="0.25">
      <c r="C108" s="607" t="s">
        <v>402</v>
      </c>
      <c r="D108" s="607" t="s">
        <v>402</v>
      </c>
      <c r="E108" s="606">
        <f t="shared" ref="E108:P108" si="97">E283+E455</f>
        <v>0</v>
      </c>
      <c r="F108" s="606">
        <f t="shared" si="97"/>
        <v>0</v>
      </c>
      <c r="G108" s="606">
        <f t="shared" si="97"/>
        <v>0</v>
      </c>
      <c r="H108" s="606">
        <f t="shared" si="97"/>
        <v>0</v>
      </c>
      <c r="I108" s="606">
        <f t="shared" si="97"/>
        <v>0</v>
      </c>
      <c r="J108" s="606">
        <f t="shared" si="97"/>
        <v>0</v>
      </c>
      <c r="K108" s="606">
        <f t="shared" si="97"/>
        <v>0</v>
      </c>
      <c r="L108" s="606">
        <f t="shared" si="97"/>
        <v>0</v>
      </c>
      <c r="M108" s="606">
        <f t="shared" si="97"/>
        <v>0</v>
      </c>
      <c r="N108" s="606">
        <f t="shared" si="97"/>
        <v>0</v>
      </c>
      <c r="O108" s="606">
        <f t="shared" si="97"/>
        <v>0</v>
      </c>
      <c r="P108" s="606">
        <f t="shared" si="97"/>
        <v>0</v>
      </c>
      <c r="Q108" s="606">
        <f t="shared" si="95"/>
        <v>0</v>
      </c>
      <c r="R108" s="605"/>
      <c r="S108" s="605"/>
      <c r="T108" s="605"/>
    </row>
    <row r="109" spans="3:20" x14ac:dyDescent="0.25">
      <c r="C109" s="607"/>
      <c r="D109" s="607"/>
      <c r="E109" s="606">
        <f t="shared" ref="E109:P109" si="98">E284+E456</f>
        <v>0</v>
      </c>
      <c r="F109" s="606">
        <f t="shared" si="98"/>
        <v>0</v>
      </c>
      <c r="G109" s="606">
        <f t="shared" si="98"/>
        <v>0</v>
      </c>
      <c r="H109" s="606">
        <f t="shared" si="98"/>
        <v>0</v>
      </c>
      <c r="I109" s="606">
        <f t="shared" si="98"/>
        <v>0</v>
      </c>
      <c r="J109" s="606">
        <f t="shared" si="98"/>
        <v>0</v>
      </c>
      <c r="K109" s="606">
        <f t="shared" si="98"/>
        <v>0</v>
      </c>
      <c r="L109" s="606">
        <f t="shared" si="98"/>
        <v>0</v>
      </c>
      <c r="M109" s="606">
        <f t="shared" si="98"/>
        <v>0</v>
      </c>
      <c r="N109" s="606">
        <f t="shared" si="98"/>
        <v>0</v>
      </c>
      <c r="O109" s="606">
        <f t="shared" si="98"/>
        <v>0</v>
      </c>
      <c r="P109" s="606">
        <f t="shared" si="98"/>
        <v>0</v>
      </c>
      <c r="Q109" s="606">
        <f t="shared" si="95"/>
        <v>0</v>
      </c>
      <c r="R109" s="605"/>
      <c r="S109" s="605"/>
      <c r="T109" s="605"/>
    </row>
    <row r="110" spans="3:20" x14ac:dyDescent="0.25">
      <c r="C110" s="607"/>
      <c r="D110" s="607"/>
      <c r="E110" s="606">
        <f t="shared" ref="E110:P110" si="99">E285+E457</f>
        <v>0</v>
      </c>
      <c r="F110" s="606">
        <f t="shared" si="99"/>
        <v>0</v>
      </c>
      <c r="G110" s="606">
        <f t="shared" si="99"/>
        <v>0</v>
      </c>
      <c r="H110" s="606">
        <f t="shared" si="99"/>
        <v>0</v>
      </c>
      <c r="I110" s="606">
        <f t="shared" si="99"/>
        <v>0</v>
      </c>
      <c r="J110" s="606">
        <f t="shared" si="99"/>
        <v>0</v>
      </c>
      <c r="K110" s="606">
        <f t="shared" si="99"/>
        <v>0</v>
      </c>
      <c r="L110" s="606">
        <f t="shared" si="99"/>
        <v>0</v>
      </c>
      <c r="M110" s="606">
        <f t="shared" si="99"/>
        <v>0</v>
      </c>
      <c r="N110" s="606">
        <f t="shared" si="99"/>
        <v>0</v>
      </c>
      <c r="O110" s="606">
        <f t="shared" si="99"/>
        <v>0</v>
      </c>
      <c r="P110" s="606">
        <f t="shared" si="99"/>
        <v>0</v>
      </c>
      <c r="Q110" s="606">
        <f t="shared" si="95"/>
        <v>0</v>
      </c>
      <c r="R110" s="605"/>
      <c r="S110" s="605"/>
      <c r="T110" s="605"/>
    </row>
    <row r="111" spans="3:20" x14ac:dyDescent="0.25">
      <c r="C111" s="607"/>
      <c r="D111" s="607"/>
      <c r="E111" s="606">
        <f t="shared" ref="E111:P111" si="100">E286+E458</f>
        <v>0</v>
      </c>
      <c r="F111" s="606">
        <f t="shared" si="100"/>
        <v>0</v>
      </c>
      <c r="G111" s="606">
        <f t="shared" si="100"/>
        <v>0</v>
      </c>
      <c r="H111" s="606">
        <f t="shared" si="100"/>
        <v>0</v>
      </c>
      <c r="I111" s="606">
        <f t="shared" si="100"/>
        <v>0</v>
      </c>
      <c r="J111" s="606">
        <f t="shared" si="100"/>
        <v>0</v>
      </c>
      <c r="K111" s="606">
        <f t="shared" si="100"/>
        <v>0</v>
      </c>
      <c r="L111" s="606">
        <f t="shared" si="100"/>
        <v>0</v>
      </c>
      <c r="M111" s="606">
        <f t="shared" si="100"/>
        <v>0</v>
      </c>
      <c r="N111" s="606">
        <f t="shared" si="100"/>
        <v>0</v>
      </c>
      <c r="O111" s="606">
        <f t="shared" si="100"/>
        <v>0</v>
      </c>
      <c r="P111" s="606">
        <f t="shared" si="100"/>
        <v>0</v>
      </c>
      <c r="Q111" s="606">
        <f t="shared" si="95"/>
        <v>0</v>
      </c>
      <c r="R111" s="605"/>
      <c r="S111" s="605"/>
      <c r="T111" s="605"/>
    </row>
    <row r="112" spans="3:20" x14ac:dyDescent="0.25">
      <c r="C112" s="607"/>
      <c r="D112" s="607"/>
      <c r="E112" s="606">
        <f t="shared" ref="E112:P112" si="101">E287+E459</f>
        <v>0</v>
      </c>
      <c r="F112" s="606">
        <f t="shared" si="101"/>
        <v>0</v>
      </c>
      <c r="G112" s="606">
        <f t="shared" si="101"/>
        <v>0</v>
      </c>
      <c r="H112" s="606">
        <f t="shared" si="101"/>
        <v>0</v>
      </c>
      <c r="I112" s="606">
        <f t="shared" si="101"/>
        <v>0</v>
      </c>
      <c r="J112" s="606">
        <f t="shared" si="101"/>
        <v>0</v>
      </c>
      <c r="K112" s="606">
        <f t="shared" si="101"/>
        <v>0</v>
      </c>
      <c r="L112" s="606">
        <f t="shared" si="101"/>
        <v>0</v>
      </c>
      <c r="M112" s="606">
        <f t="shared" si="101"/>
        <v>0</v>
      </c>
      <c r="N112" s="606">
        <f t="shared" si="101"/>
        <v>0</v>
      </c>
      <c r="O112" s="606">
        <f t="shared" si="101"/>
        <v>0</v>
      </c>
      <c r="P112" s="606">
        <f t="shared" si="101"/>
        <v>0</v>
      </c>
      <c r="Q112" s="606">
        <f t="shared" si="95"/>
        <v>0</v>
      </c>
      <c r="R112" s="605"/>
      <c r="S112" s="605"/>
      <c r="T112" s="605"/>
    </row>
    <row r="113" spans="3:20" x14ac:dyDescent="0.25">
      <c r="C113" s="607"/>
      <c r="D113" s="607"/>
      <c r="E113" s="606">
        <f t="shared" ref="E113:P113" si="102">E288+E460</f>
        <v>0</v>
      </c>
      <c r="F113" s="606">
        <f t="shared" si="102"/>
        <v>0</v>
      </c>
      <c r="G113" s="606">
        <f t="shared" si="102"/>
        <v>0</v>
      </c>
      <c r="H113" s="606">
        <f t="shared" si="102"/>
        <v>0</v>
      </c>
      <c r="I113" s="606">
        <f t="shared" si="102"/>
        <v>0</v>
      </c>
      <c r="J113" s="606">
        <f t="shared" si="102"/>
        <v>0</v>
      </c>
      <c r="K113" s="606">
        <f t="shared" si="102"/>
        <v>0</v>
      </c>
      <c r="L113" s="606">
        <f t="shared" si="102"/>
        <v>0</v>
      </c>
      <c r="M113" s="606">
        <f t="shared" si="102"/>
        <v>0</v>
      </c>
      <c r="N113" s="606">
        <f t="shared" si="102"/>
        <v>0</v>
      </c>
      <c r="O113" s="606">
        <f t="shared" si="102"/>
        <v>0</v>
      </c>
      <c r="P113" s="606">
        <f t="shared" si="102"/>
        <v>0</v>
      </c>
      <c r="Q113" s="606">
        <f t="shared" si="95"/>
        <v>0</v>
      </c>
      <c r="R113" s="605"/>
      <c r="S113" s="605"/>
      <c r="T113" s="605"/>
    </row>
    <row r="114" spans="3:20" x14ac:dyDescent="0.25">
      <c r="C114" s="811" t="s">
        <v>403</v>
      </c>
      <c r="D114" s="812"/>
      <c r="E114" s="609">
        <f t="shared" ref="E114:P114" si="103">SUM(E106:E113)</f>
        <v>110.24422835448769</v>
      </c>
      <c r="F114" s="609">
        <f t="shared" si="103"/>
        <v>62.124118508630289</v>
      </c>
      <c r="G114" s="609">
        <f t="shared" si="103"/>
        <v>21.157831543513119</v>
      </c>
      <c r="H114" s="609">
        <f t="shared" si="103"/>
        <v>67.627966008649281</v>
      </c>
      <c r="I114" s="609">
        <f t="shared" si="103"/>
        <v>107.37916319396342</v>
      </c>
      <c r="J114" s="609">
        <f t="shared" si="103"/>
        <v>85.521864996590651</v>
      </c>
      <c r="K114" s="609">
        <f t="shared" si="103"/>
        <v>118.51892525794727</v>
      </c>
      <c r="L114" s="609">
        <f t="shared" si="103"/>
        <v>0</v>
      </c>
      <c r="M114" s="609">
        <f t="shared" si="103"/>
        <v>93.397448818207252</v>
      </c>
      <c r="N114" s="609">
        <f t="shared" si="103"/>
        <v>96.04287789490138</v>
      </c>
      <c r="O114" s="609">
        <f t="shared" si="103"/>
        <v>104.78214213536572</v>
      </c>
      <c r="P114" s="609">
        <f t="shared" si="103"/>
        <v>126.9056260325895</v>
      </c>
      <c r="Q114" s="609">
        <f t="shared" si="95"/>
        <v>993.70219274484555</v>
      </c>
      <c r="R114" s="605"/>
      <c r="S114" s="605"/>
      <c r="T114" s="605"/>
    </row>
    <row r="115" spans="3:20" x14ac:dyDescent="0.25">
      <c r="C115" s="813" t="s">
        <v>404</v>
      </c>
      <c r="D115" s="814"/>
      <c r="E115" s="606"/>
      <c r="F115" s="606"/>
      <c r="G115" s="606"/>
      <c r="H115" s="606"/>
      <c r="I115" s="606"/>
      <c r="J115" s="606"/>
      <c r="K115" s="606"/>
      <c r="L115" s="606"/>
      <c r="M115" s="606"/>
      <c r="N115" s="606"/>
      <c r="O115" s="606"/>
      <c r="P115" s="606"/>
      <c r="Q115" s="606"/>
      <c r="R115" s="605"/>
      <c r="S115" s="605"/>
      <c r="T115" s="605"/>
    </row>
    <row r="116" spans="3:20" x14ac:dyDescent="0.25">
      <c r="C116" s="607"/>
      <c r="D116" s="607" t="s">
        <v>405</v>
      </c>
      <c r="E116" s="606">
        <f t="shared" ref="E116:P116" si="104">E291+E463</f>
        <v>3.2885878160141005E-2</v>
      </c>
      <c r="F116" s="606">
        <f t="shared" si="104"/>
        <v>2.8200827327226397E-2</v>
      </c>
      <c r="G116" s="606">
        <f t="shared" si="104"/>
        <v>6.7080261732356053E-2</v>
      </c>
      <c r="H116" s="606">
        <f t="shared" si="104"/>
        <v>9.7572389198128218E-2</v>
      </c>
      <c r="I116" s="606">
        <f t="shared" si="104"/>
        <v>5.324328278551408E-2</v>
      </c>
      <c r="J116" s="606">
        <f t="shared" si="104"/>
        <v>3.9153551382025926E-2</v>
      </c>
      <c r="K116" s="606">
        <f t="shared" si="104"/>
        <v>2.3743859718127331E-2</v>
      </c>
      <c r="L116" s="606">
        <f t="shared" si="104"/>
        <v>3.2970228715844201E-2</v>
      </c>
      <c r="M116" s="606">
        <f t="shared" si="104"/>
        <v>3.7700455862899732E-2</v>
      </c>
      <c r="N116" s="606">
        <f t="shared" si="104"/>
        <v>3.646150571898945E-2</v>
      </c>
      <c r="O116" s="606">
        <f t="shared" si="104"/>
        <v>2.4999663896198114E-2</v>
      </c>
      <c r="P116" s="606">
        <f t="shared" si="104"/>
        <v>3.2468095502549539E-2</v>
      </c>
      <c r="Q116" s="606">
        <f t="shared" ref="Q116:Q140" si="105">SUM(E116:P116)</f>
        <v>0.50648000000000004</v>
      </c>
      <c r="R116" s="605"/>
      <c r="S116" s="605"/>
      <c r="T116" s="605"/>
    </row>
    <row r="117" spans="3:20" x14ac:dyDescent="0.25">
      <c r="C117" s="607"/>
      <c r="D117" s="607" t="s">
        <v>406</v>
      </c>
      <c r="E117" s="606">
        <f t="shared" ref="E117:P117" si="106">E292+E464</f>
        <v>0</v>
      </c>
      <c r="F117" s="606">
        <f t="shared" si="106"/>
        <v>0</v>
      </c>
      <c r="G117" s="606">
        <f t="shared" si="106"/>
        <v>0</v>
      </c>
      <c r="H117" s="606">
        <f t="shared" si="106"/>
        <v>0</v>
      </c>
      <c r="I117" s="606">
        <f t="shared" si="106"/>
        <v>0</v>
      </c>
      <c r="J117" s="606">
        <f t="shared" si="106"/>
        <v>0</v>
      </c>
      <c r="K117" s="606">
        <f t="shared" si="106"/>
        <v>0</v>
      </c>
      <c r="L117" s="606">
        <f t="shared" si="106"/>
        <v>0</v>
      </c>
      <c r="M117" s="606">
        <f t="shared" si="106"/>
        <v>0</v>
      </c>
      <c r="N117" s="606">
        <f t="shared" si="106"/>
        <v>0</v>
      </c>
      <c r="O117" s="606">
        <f t="shared" si="106"/>
        <v>0</v>
      </c>
      <c r="P117" s="606">
        <f t="shared" si="106"/>
        <v>0</v>
      </c>
      <c r="Q117" s="606">
        <f t="shared" si="105"/>
        <v>0</v>
      </c>
      <c r="R117" s="605"/>
      <c r="S117" s="605"/>
      <c r="T117" s="605"/>
    </row>
    <row r="118" spans="3:20" x14ac:dyDescent="0.25">
      <c r="C118" s="607"/>
      <c r="D118" s="607" t="s">
        <v>407</v>
      </c>
      <c r="E118" s="606">
        <f t="shared" ref="E118:P118" si="107">E293+E465</f>
        <v>0</v>
      </c>
      <c r="F118" s="606">
        <f t="shared" si="107"/>
        <v>0</v>
      </c>
      <c r="G118" s="606">
        <f t="shared" si="107"/>
        <v>0</v>
      </c>
      <c r="H118" s="606">
        <f t="shared" si="107"/>
        <v>0</v>
      </c>
      <c r="I118" s="606">
        <f t="shared" si="107"/>
        <v>0</v>
      </c>
      <c r="J118" s="606">
        <f t="shared" si="107"/>
        <v>0</v>
      </c>
      <c r="K118" s="606">
        <f t="shared" si="107"/>
        <v>0</v>
      </c>
      <c r="L118" s="606">
        <f t="shared" si="107"/>
        <v>0</v>
      </c>
      <c r="M118" s="606">
        <f t="shared" si="107"/>
        <v>0</v>
      </c>
      <c r="N118" s="606">
        <f t="shared" si="107"/>
        <v>0</v>
      </c>
      <c r="O118" s="606">
        <f t="shared" si="107"/>
        <v>0</v>
      </c>
      <c r="P118" s="606">
        <f t="shared" si="107"/>
        <v>0</v>
      </c>
      <c r="Q118" s="606">
        <f t="shared" si="105"/>
        <v>0</v>
      </c>
      <c r="R118" s="605"/>
      <c r="S118" s="605"/>
      <c r="T118" s="605"/>
    </row>
    <row r="119" spans="3:20" x14ac:dyDescent="0.25">
      <c r="C119" s="607"/>
      <c r="D119" s="607" t="s">
        <v>408</v>
      </c>
      <c r="E119" s="606">
        <f t="shared" ref="E119:P119" si="108">E294+E466</f>
        <v>2.024869569505392</v>
      </c>
      <c r="F119" s="606">
        <f t="shared" si="108"/>
        <v>1.4237704246691198</v>
      </c>
      <c r="G119" s="606">
        <f t="shared" si="108"/>
        <v>1.1837874981916685</v>
      </c>
      <c r="H119" s="606">
        <f t="shared" si="108"/>
        <v>1.6715300266256121</v>
      </c>
      <c r="I119" s="606">
        <f t="shared" si="108"/>
        <v>1.6715300266256121</v>
      </c>
      <c r="J119" s="606">
        <f t="shared" si="108"/>
        <v>1.1915603484491268</v>
      </c>
      <c r="K119" s="606">
        <f t="shared" si="108"/>
        <v>1.6715300266256121</v>
      </c>
      <c r="L119" s="606">
        <f t="shared" si="108"/>
        <v>1.5705970923892241</v>
      </c>
      <c r="M119" s="606">
        <f t="shared" si="108"/>
        <v>2.5632529314080452</v>
      </c>
      <c r="N119" s="606">
        <f t="shared" si="108"/>
        <v>2.6060839374773184</v>
      </c>
      <c r="O119" s="606">
        <f t="shared" si="108"/>
        <v>2.7487965793844813</v>
      </c>
      <c r="P119" s="606">
        <f t="shared" si="108"/>
        <v>2.7604227028502786</v>
      </c>
      <c r="Q119" s="606">
        <f t="shared" si="105"/>
        <v>23.087731164201493</v>
      </c>
      <c r="R119" s="605"/>
      <c r="S119" s="605"/>
      <c r="T119" s="605"/>
    </row>
    <row r="120" spans="3:20" x14ac:dyDescent="0.25">
      <c r="C120" s="607"/>
      <c r="D120" s="607" t="s">
        <v>409</v>
      </c>
      <c r="E120" s="606">
        <f t="shared" ref="E120:P120" si="109">E295+E467</f>
        <v>0</v>
      </c>
      <c r="F120" s="606">
        <f t="shared" si="109"/>
        <v>0</v>
      </c>
      <c r="G120" s="606">
        <f t="shared" si="109"/>
        <v>0</v>
      </c>
      <c r="H120" s="606">
        <f t="shared" si="109"/>
        <v>0</v>
      </c>
      <c r="I120" s="606">
        <f t="shared" si="109"/>
        <v>0</v>
      </c>
      <c r="J120" s="606">
        <f t="shared" si="109"/>
        <v>0</v>
      </c>
      <c r="K120" s="606">
        <f t="shared" si="109"/>
        <v>0</v>
      </c>
      <c r="L120" s="606">
        <f t="shared" si="109"/>
        <v>0</v>
      </c>
      <c r="M120" s="606">
        <f t="shared" si="109"/>
        <v>0</v>
      </c>
      <c r="N120" s="606">
        <f t="shared" si="109"/>
        <v>0</v>
      </c>
      <c r="O120" s="606">
        <f t="shared" si="109"/>
        <v>0</v>
      </c>
      <c r="P120" s="606">
        <f t="shared" si="109"/>
        <v>0</v>
      </c>
      <c r="Q120" s="606">
        <f t="shared" si="105"/>
        <v>0</v>
      </c>
      <c r="R120" s="605"/>
      <c r="S120" s="605"/>
      <c r="T120" s="605"/>
    </row>
    <row r="121" spans="3:20" x14ac:dyDescent="0.25">
      <c r="C121" s="607"/>
      <c r="D121" s="607" t="s">
        <v>367</v>
      </c>
      <c r="E121" s="606">
        <f t="shared" ref="E121:P121" si="110">E296+E468</f>
        <v>5.3400464278792522E-3</v>
      </c>
      <c r="F121" s="606">
        <f t="shared" si="110"/>
        <v>5.7222249201296978E-3</v>
      </c>
      <c r="G121" s="606">
        <f t="shared" si="110"/>
        <v>5.9285021118214857E-3</v>
      </c>
      <c r="H121" s="606">
        <f t="shared" si="110"/>
        <v>1.2961044991452309E-2</v>
      </c>
      <c r="I121" s="606">
        <f t="shared" si="110"/>
        <v>3.0430167587268325E-2</v>
      </c>
      <c r="J121" s="606">
        <f t="shared" si="110"/>
        <v>1.5369254218569439E-2</v>
      </c>
      <c r="K121" s="606">
        <f t="shared" si="110"/>
        <v>1.6940805859191069E-2</v>
      </c>
      <c r="L121" s="606">
        <f t="shared" si="110"/>
        <v>5.810346248556671E-3</v>
      </c>
      <c r="M121" s="606">
        <f t="shared" si="110"/>
        <v>9.9676779838010973E-3</v>
      </c>
      <c r="N121" s="606">
        <f t="shared" si="110"/>
        <v>1.9019700770194166E-2</v>
      </c>
      <c r="O121" s="606">
        <f t="shared" si="110"/>
        <v>1.7081817601336376E-2</v>
      </c>
      <c r="P121" s="606">
        <f t="shared" si="110"/>
        <v>7.9345521248705107E-3</v>
      </c>
      <c r="Q121" s="606">
        <f t="shared" si="105"/>
        <v>0.15250614084507039</v>
      </c>
      <c r="R121" s="605"/>
      <c r="S121" s="605"/>
      <c r="T121" s="605"/>
    </row>
    <row r="122" spans="3:20" x14ac:dyDescent="0.25">
      <c r="C122" s="607"/>
      <c r="D122" s="607" t="s">
        <v>410</v>
      </c>
      <c r="E122" s="606">
        <f t="shared" ref="E122:P122" si="111">E297+E469</f>
        <v>109.43983854157707</v>
      </c>
      <c r="F122" s="606">
        <f t="shared" si="111"/>
        <v>112.84991203377596</v>
      </c>
      <c r="G122" s="606">
        <f t="shared" si="111"/>
        <v>105.65581368307501</v>
      </c>
      <c r="H122" s="606">
        <f t="shared" si="111"/>
        <v>82.751047446622664</v>
      </c>
      <c r="I122" s="606">
        <f t="shared" si="111"/>
        <v>101.77795324245749</v>
      </c>
      <c r="J122" s="606">
        <f t="shared" si="111"/>
        <v>89.713984685927571</v>
      </c>
      <c r="K122" s="606">
        <f t="shared" si="111"/>
        <v>109.98729483601862</v>
      </c>
      <c r="L122" s="606">
        <f t="shared" si="111"/>
        <v>84.808049679395296</v>
      </c>
      <c r="M122" s="606">
        <f t="shared" si="111"/>
        <v>92.968301959797685</v>
      </c>
      <c r="N122" s="606">
        <f t="shared" si="111"/>
        <v>99.117827095447922</v>
      </c>
      <c r="O122" s="606">
        <f t="shared" si="111"/>
        <v>101.73810916659467</v>
      </c>
      <c r="P122" s="606">
        <f t="shared" si="111"/>
        <v>109.09187292497722</v>
      </c>
      <c r="Q122" s="606">
        <f t="shared" si="105"/>
        <v>1199.9000052956671</v>
      </c>
      <c r="R122" s="605"/>
      <c r="S122" s="605"/>
      <c r="T122" s="605"/>
    </row>
    <row r="123" spans="3:20" x14ac:dyDescent="0.25">
      <c r="C123" s="607"/>
      <c r="D123" s="607" t="s">
        <v>411</v>
      </c>
      <c r="E123" s="606">
        <f t="shared" ref="E123:P123" si="112">E298+E470</f>
        <v>5.153137348473102</v>
      </c>
      <c r="F123" s="606">
        <f t="shared" si="112"/>
        <v>5.3137057238276784</v>
      </c>
      <c r="G123" s="606">
        <f t="shared" si="112"/>
        <v>4.9749609176070289</v>
      </c>
      <c r="H123" s="606">
        <f t="shared" si="112"/>
        <v>3.8964559789665416</v>
      </c>
      <c r="I123" s="606">
        <f t="shared" si="112"/>
        <v>4.7923660989832708</v>
      </c>
      <c r="J123" s="606">
        <f t="shared" si="112"/>
        <v>4.2243162209140372</v>
      </c>
      <c r="K123" s="606">
        <f t="shared" si="112"/>
        <v>5.1789151412324692</v>
      </c>
      <c r="L123" s="606">
        <f t="shared" si="112"/>
        <v>3.9933129843573725</v>
      </c>
      <c r="M123" s="606">
        <f t="shared" si="112"/>
        <v>4.377550583384247</v>
      </c>
      <c r="N123" s="606">
        <f t="shared" si="112"/>
        <v>4.6671101082720163</v>
      </c>
      <c r="O123" s="606">
        <f t="shared" si="112"/>
        <v>4.7904899814909552</v>
      </c>
      <c r="P123" s="606">
        <f t="shared" si="112"/>
        <v>5.136752870582959</v>
      </c>
      <c r="Q123" s="606">
        <f t="shared" si="105"/>
        <v>56.499073958091685</v>
      </c>
      <c r="R123" s="605"/>
      <c r="S123" s="605"/>
      <c r="T123" s="605"/>
    </row>
    <row r="124" spans="3:20" x14ac:dyDescent="0.25">
      <c r="C124" s="607"/>
      <c r="D124" s="607" t="s">
        <v>412</v>
      </c>
      <c r="E124" s="606">
        <f t="shared" ref="E124:P124" si="113">E299+E471</f>
        <v>11.775923573320409</v>
      </c>
      <c r="F124" s="606">
        <f t="shared" si="113"/>
        <v>12.142853617796707</v>
      </c>
      <c r="G124" s="606">
        <f t="shared" si="113"/>
        <v>11.368755688872772</v>
      </c>
      <c r="H124" s="606">
        <f t="shared" si="113"/>
        <v>8.9041616227661944</v>
      </c>
      <c r="I124" s="606">
        <f t="shared" si="113"/>
        <v>10.951490926924444</v>
      </c>
      <c r="J124" s="606">
        <f t="shared" si="113"/>
        <v>9.6533862001099457</v>
      </c>
      <c r="K124" s="606">
        <f t="shared" si="113"/>
        <v>11.834830855796229</v>
      </c>
      <c r="L124" s="606">
        <f t="shared" si="113"/>
        <v>9.125498764762046</v>
      </c>
      <c r="M124" s="606">
        <f t="shared" si="113"/>
        <v>10.003556595197578</v>
      </c>
      <c r="N124" s="606">
        <f t="shared" si="113"/>
        <v>10.665256566384199</v>
      </c>
      <c r="O124" s="606">
        <f t="shared" si="113"/>
        <v>10.947203632658816</v>
      </c>
      <c r="P124" s="606">
        <f t="shared" si="113"/>
        <v>11.738481846780703</v>
      </c>
      <c r="Q124" s="606">
        <f t="shared" si="105"/>
        <v>129.11139989137004</v>
      </c>
      <c r="R124" s="605"/>
      <c r="S124" s="605"/>
      <c r="T124" s="605"/>
    </row>
    <row r="125" spans="3:20" x14ac:dyDescent="0.25">
      <c r="C125" s="607"/>
      <c r="D125" s="607" t="s">
        <v>413</v>
      </c>
      <c r="E125" s="606">
        <f t="shared" ref="E125:P125" si="114">E300+E472</f>
        <v>10.204584694134279</v>
      </c>
      <c r="F125" s="606">
        <f t="shared" si="114"/>
        <v>10.522552851142713</v>
      </c>
      <c r="G125" s="606">
        <f t="shared" si="114"/>
        <v>9.8517478966035181</v>
      </c>
      <c r="H125" s="606">
        <f t="shared" si="114"/>
        <v>7.7160208151858312</v>
      </c>
      <c r="I125" s="606">
        <f t="shared" si="114"/>
        <v>9.4901615142983129</v>
      </c>
      <c r="J125" s="606">
        <f t="shared" si="114"/>
        <v>8.3652714329253151</v>
      </c>
      <c r="K125" s="606">
        <f t="shared" si="114"/>
        <v>10.255631590743537</v>
      </c>
      <c r="L125" s="606">
        <f t="shared" si="114"/>
        <v>7.907823487595449</v>
      </c>
      <c r="M125" s="606">
        <f t="shared" si="114"/>
        <v>8.6687162907151531</v>
      </c>
      <c r="N125" s="606">
        <f t="shared" si="114"/>
        <v>9.242121285749116</v>
      </c>
      <c r="O125" s="606">
        <f t="shared" si="114"/>
        <v>9.4864463018846248</v>
      </c>
      <c r="P125" s="606">
        <f t="shared" si="114"/>
        <v>10.172139063251052</v>
      </c>
      <c r="Q125" s="606">
        <f t="shared" si="105"/>
        <v>111.8832172242289</v>
      </c>
      <c r="R125" s="605"/>
      <c r="S125" s="605"/>
      <c r="T125" s="605"/>
    </row>
    <row r="126" spans="3:20" x14ac:dyDescent="0.25">
      <c r="C126" s="607"/>
      <c r="D126" s="607" t="s">
        <v>414</v>
      </c>
      <c r="E126" s="606">
        <f t="shared" ref="E126:P126" si="115">E301+E473</f>
        <v>24.284975065422447</v>
      </c>
      <c r="F126" s="606">
        <f t="shared" si="115"/>
        <v>25.041678938828163</v>
      </c>
      <c r="G126" s="606">
        <f t="shared" si="115"/>
        <v>23.445290444535978</v>
      </c>
      <c r="H126" s="606">
        <f t="shared" si="115"/>
        <v>18.362665284044215</v>
      </c>
      <c r="I126" s="606">
        <f t="shared" si="115"/>
        <v>22.584783472280094</v>
      </c>
      <c r="J126" s="606">
        <f t="shared" si="115"/>
        <v>19.9077585470828</v>
      </c>
      <c r="K126" s="606">
        <f t="shared" si="115"/>
        <v>24.406456992270058</v>
      </c>
      <c r="L126" s="606">
        <f t="shared" si="115"/>
        <v>18.819119246313392</v>
      </c>
      <c r="M126" s="606">
        <f t="shared" si="115"/>
        <v>20.629899724409963</v>
      </c>
      <c r="N126" s="606">
        <f t="shared" si="115"/>
        <v>21.994494798503744</v>
      </c>
      <c r="O126" s="606">
        <f t="shared" si="115"/>
        <v>22.575941971765037</v>
      </c>
      <c r="P126" s="606">
        <f t="shared" si="115"/>
        <v>24.207760621072357</v>
      </c>
      <c r="Q126" s="606">
        <f t="shared" si="105"/>
        <v>266.26082510652827</v>
      </c>
      <c r="R126" s="605"/>
      <c r="S126" s="605"/>
      <c r="T126" s="605"/>
    </row>
    <row r="127" spans="3:20" x14ac:dyDescent="0.25">
      <c r="C127" s="607"/>
      <c r="D127" s="607" t="s">
        <v>415</v>
      </c>
      <c r="E127" s="606">
        <f t="shared" ref="E127:P127" si="116">E302+E474</f>
        <v>0</v>
      </c>
      <c r="F127" s="606">
        <f t="shared" si="116"/>
        <v>0</v>
      </c>
      <c r="G127" s="606">
        <f t="shared" si="116"/>
        <v>0</v>
      </c>
      <c r="H127" s="606">
        <f t="shared" si="116"/>
        <v>0</v>
      </c>
      <c r="I127" s="606">
        <f t="shared" si="116"/>
        <v>0</v>
      </c>
      <c r="J127" s="606">
        <f t="shared" si="116"/>
        <v>0</v>
      </c>
      <c r="K127" s="606">
        <f t="shared" si="116"/>
        <v>0</v>
      </c>
      <c r="L127" s="606">
        <f t="shared" si="116"/>
        <v>0</v>
      </c>
      <c r="M127" s="606">
        <f t="shared" si="116"/>
        <v>0</v>
      </c>
      <c r="N127" s="606">
        <f t="shared" si="116"/>
        <v>0</v>
      </c>
      <c r="O127" s="606">
        <f t="shared" si="116"/>
        <v>0</v>
      </c>
      <c r="P127" s="606">
        <f t="shared" si="116"/>
        <v>0</v>
      </c>
      <c r="Q127" s="606">
        <f t="shared" si="105"/>
        <v>0</v>
      </c>
      <c r="R127" s="605"/>
      <c r="S127" s="605"/>
      <c r="T127" s="605"/>
    </row>
    <row r="128" spans="3:20" x14ac:dyDescent="0.25">
      <c r="C128" s="607"/>
      <c r="D128" s="607" t="s">
        <v>416</v>
      </c>
      <c r="E128" s="606">
        <f t="shared" ref="E128:P128" si="117">E303+E475</f>
        <v>29.683862107382065</v>
      </c>
      <c r="F128" s="606">
        <f t="shared" si="117"/>
        <v>30.608791755190481</v>
      </c>
      <c r="G128" s="606">
        <f t="shared" si="117"/>
        <v>28.657503940122826</v>
      </c>
      <c r="H128" s="606">
        <f t="shared" si="117"/>
        <v>22.444940657636142</v>
      </c>
      <c r="I128" s="606">
        <f t="shared" si="117"/>
        <v>27.6056943237624</v>
      </c>
      <c r="J128" s="606">
        <f t="shared" si="117"/>
        <v>24.333529599544718</v>
      </c>
      <c r="K128" s="606">
        <f t="shared" si="117"/>
        <v>29.832351152784376</v>
      </c>
      <c r="L128" s="606">
        <f t="shared" si="117"/>
        <v>23.0028706714766</v>
      </c>
      <c r="M128" s="606">
        <f t="shared" si="117"/>
        <v>25.216212784192628</v>
      </c>
      <c r="N128" s="606">
        <f t="shared" si="117"/>
        <v>26.88417628436877</v>
      </c>
      <c r="O128" s="606">
        <f t="shared" si="117"/>
        <v>27.594887234959362</v>
      </c>
      <c r="P128" s="606">
        <f t="shared" si="117"/>
        <v>29.58948182028637</v>
      </c>
      <c r="Q128" s="606">
        <f t="shared" si="105"/>
        <v>325.45430233170674</v>
      </c>
      <c r="R128" s="605"/>
      <c r="S128" s="605"/>
      <c r="T128" s="605"/>
    </row>
    <row r="129" spans="3:20" x14ac:dyDescent="0.25">
      <c r="C129" s="607"/>
      <c r="D129" s="607" t="s">
        <v>417</v>
      </c>
      <c r="E129" s="606">
        <f t="shared" ref="E129:P129" si="118">E304+E476</f>
        <v>15.191289249105386</v>
      </c>
      <c r="F129" s="606">
        <f t="shared" si="118"/>
        <v>15.664639844930869</v>
      </c>
      <c r="G129" s="606">
        <f t="shared" si="118"/>
        <v>14.666030651163737</v>
      </c>
      <c r="H129" s="606">
        <f t="shared" si="118"/>
        <v>11.486631506227123</v>
      </c>
      <c r="I129" s="606">
        <f t="shared" si="118"/>
        <v>14.127746783002658</v>
      </c>
      <c r="J129" s="606">
        <f t="shared" si="118"/>
        <v>12.453153341741924</v>
      </c>
      <c r="K129" s="606">
        <f t="shared" si="118"/>
        <v>15.267281383513971</v>
      </c>
      <c r="L129" s="606">
        <f t="shared" si="118"/>
        <v>11.772162957301346</v>
      </c>
      <c r="M129" s="606">
        <f t="shared" si="118"/>
        <v>12.904883494806246</v>
      </c>
      <c r="N129" s="606">
        <f t="shared" si="118"/>
        <v>13.7584960030595</v>
      </c>
      <c r="O129" s="606">
        <f t="shared" si="118"/>
        <v>14.122216046761068</v>
      </c>
      <c r="P129" s="606">
        <f t="shared" si="118"/>
        <v>15.142988315908166</v>
      </c>
      <c r="Q129" s="606">
        <f t="shared" si="105"/>
        <v>166.55751957752199</v>
      </c>
      <c r="R129" s="605"/>
      <c r="S129" s="605"/>
      <c r="T129" s="605"/>
    </row>
    <row r="130" spans="3:20" x14ac:dyDescent="0.25">
      <c r="C130" s="607"/>
      <c r="D130" s="622" t="s">
        <v>418</v>
      </c>
      <c r="E130" s="606">
        <f t="shared" ref="E130:P130" si="119">E305+E477</f>
        <v>0</v>
      </c>
      <c r="F130" s="606">
        <f t="shared" si="119"/>
        <v>0</v>
      </c>
      <c r="G130" s="606">
        <f t="shared" si="119"/>
        <v>0</v>
      </c>
      <c r="H130" s="606">
        <f t="shared" si="119"/>
        <v>0</v>
      </c>
      <c r="I130" s="606">
        <f t="shared" si="119"/>
        <v>0</v>
      </c>
      <c r="J130" s="606">
        <f t="shared" si="119"/>
        <v>0</v>
      </c>
      <c r="K130" s="606">
        <f t="shared" si="119"/>
        <v>0</v>
      </c>
      <c r="L130" s="606">
        <f t="shared" si="119"/>
        <v>0</v>
      </c>
      <c r="M130" s="606">
        <f t="shared" si="119"/>
        <v>0</v>
      </c>
      <c r="N130" s="606">
        <f t="shared" si="119"/>
        <v>0</v>
      </c>
      <c r="O130" s="606">
        <f t="shared" si="119"/>
        <v>0</v>
      </c>
      <c r="P130" s="606">
        <f t="shared" si="119"/>
        <v>0</v>
      </c>
      <c r="Q130" s="606">
        <f t="shared" si="105"/>
        <v>0</v>
      </c>
      <c r="R130" s="605"/>
      <c r="S130" s="605"/>
      <c r="T130" s="605"/>
    </row>
    <row r="131" spans="3:20" x14ac:dyDescent="0.25">
      <c r="C131" s="607"/>
      <c r="D131" s="622" t="s">
        <v>419</v>
      </c>
      <c r="E131" s="606">
        <f t="shared" ref="E131:P131" si="120">E306+E478</f>
        <v>0</v>
      </c>
      <c r="F131" s="606">
        <f t="shared" si="120"/>
        <v>0</v>
      </c>
      <c r="G131" s="606">
        <f t="shared" si="120"/>
        <v>0</v>
      </c>
      <c r="H131" s="606">
        <f t="shared" si="120"/>
        <v>0</v>
      </c>
      <c r="I131" s="606">
        <f t="shared" si="120"/>
        <v>0</v>
      </c>
      <c r="J131" s="606">
        <f t="shared" si="120"/>
        <v>0</v>
      </c>
      <c r="K131" s="606">
        <f t="shared" si="120"/>
        <v>0</v>
      </c>
      <c r="L131" s="606">
        <f t="shared" si="120"/>
        <v>0</v>
      </c>
      <c r="M131" s="606">
        <f t="shared" si="120"/>
        <v>0</v>
      </c>
      <c r="N131" s="606">
        <f t="shared" si="120"/>
        <v>0</v>
      </c>
      <c r="O131" s="606">
        <f t="shared" si="120"/>
        <v>0</v>
      </c>
      <c r="P131" s="606">
        <f t="shared" si="120"/>
        <v>0</v>
      </c>
      <c r="Q131" s="606">
        <f t="shared" si="105"/>
        <v>0</v>
      </c>
      <c r="R131" s="605"/>
      <c r="S131" s="605"/>
      <c r="T131" s="605"/>
    </row>
    <row r="132" spans="3:20" hidden="1" x14ac:dyDescent="0.25">
      <c r="C132" s="607"/>
      <c r="D132" s="607"/>
      <c r="E132" s="606">
        <f t="shared" ref="E132:P132" si="121">E307+E479</f>
        <v>0</v>
      </c>
      <c r="F132" s="606">
        <f t="shared" si="121"/>
        <v>0</v>
      </c>
      <c r="G132" s="606">
        <f t="shared" si="121"/>
        <v>0</v>
      </c>
      <c r="H132" s="606">
        <f t="shared" si="121"/>
        <v>0</v>
      </c>
      <c r="I132" s="606">
        <f t="shared" si="121"/>
        <v>0</v>
      </c>
      <c r="J132" s="606">
        <f t="shared" si="121"/>
        <v>0</v>
      </c>
      <c r="K132" s="606">
        <f t="shared" si="121"/>
        <v>0</v>
      </c>
      <c r="L132" s="606">
        <f t="shared" si="121"/>
        <v>0</v>
      </c>
      <c r="M132" s="606">
        <f t="shared" si="121"/>
        <v>0</v>
      </c>
      <c r="N132" s="606">
        <f t="shared" si="121"/>
        <v>0</v>
      </c>
      <c r="O132" s="606">
        <f t="shared" si="121"/>
        <v>0</v>
      </c>
      <c r="P132" s="606">
        <f t="shared" si="121"/>
        <v>0</v>
      </c>
      <c r="Q132" s="606">
        <f t="shared" si="105"/>
        <v>0</v>
      </c>
      <c r="R132" s="605"/>
      <c r="S132" s="605"/>
      <c r="T132" s="605"/>
    </row>
    <row r="133" spans="3:20" hidden="1" x14ac:dyDescent="0.25">
      <c r="C133" s="607"/>
      <c r="D133" s="607"/>
      <c r="E133" s="606">
        <f t="shared" ref="E133:P133" si="122">E308+E480</f>
        <v>0</v>
      </c>
      <c r="F133" s="606">
        <f t="shared" si="122"/>
        <v>0</v>
      </c>
      <c r="G133" s="606">
        <f t="shared" si="122"/>
        <v>0</v>
      </c>
      <c r="H133" s="606">
        <f t="shared" si="122"/>
        <v>0</v>
      </c>
      <c r="I133" s="606">
        <f t="shared" si="122"/>
        <v>0</v>
      </c>
      <c r="J133" s="606">
        <f t="shared" si="122"/>
        <v>0</v>
      </c>
      <c r="K133" s="606">
        <f t="shared" si="122"/>
        <v>0</v>
      </c>
      <c r="L133" s="606">
        <f t="shared" si="122"/>
        <v>0</v>
      </c>
      <c r="M133" s="606">
        <f t="shared" si="122"/>
        <v>0</v>
      </c>
      <c r="N133" s="606">
        <f t="shared" si="122"/>
        <v>0</v>
      </c>
      <c r="O133" s="606">
        <f t="shared" si="122"/>
        <v>0</v>
      </c>
      <c r="P133" s="606">
        <f t="shared" si="122"/>
        <v>0</v>
      </c>
      <c r="Q133" s="606">
        <f t="shared" si="105"/>
        <v>0</v>
      </c>
      <c r="R133" s="605"/>
      <c r="S133" s="605"/>
      <c r="T133" s="605"/>
    </row>
    <row r="134" spans="3:20" hidden="1" x14ac:dyDescent="0.25">
      <c r="C134" s="607"/>
      <c r="D134" s="607"/>
      <c r="E134" s="606">
        <f t="shared" ref="E134:P134" si="123">E309+E481</f>
        <v>0</v>
      </c>
      <c r="F134" s="606">
        <f t="shared" si="123"/>
        <v>0</v>
      </c>
      <c r="G134" s="606">
        <f t="shared" si="123"/>
        <v>0</v>
      </c>
      <c r="H134" s="606">
        <f t="shared" si="123"/>
        <v>0</v>
      </c>
      <c r="I134" s="606">
        <f t="shared" si="123"/>
        <v>0</v>
      </c>
      <c r="J134" s="606">
        <f t="shared" si="123"/>
        <v>0</v>
      </c>
      <c r="K134" s="606">
        <f t="shared" si="123"/>
        <v>0</v>
      </c>
      <c r="L134" s="606">
        <f t="shared" si="123"/>
        <v>0</v>
      </c>
      <c r="M134" s="606">
        <f t="shared" si="123"/>
        <v>0</v>
      </c>
      <c r="N134" s="606">
        <f t="shared" si="123"/>
        <v>0</v>
      </c>
      <c r="O134" s="606">
        <f t="shared" si="123"/>
        <v>0</v>
      </c>
      <c r="P134" s="606">
        <f t="shared" si="123"/>
        <v>0</v>
      </c>
      <c r="Q134" s="606">
        <f t="shared" si="105"/>
        <v>0</v>
      </c>
      <c r="R134" s="605"/>
      <c r="S134" s="605"/>
      <c r="T134" s="605"/>
    </row>
    <row r="135" spans="3:20" hidden="1" x14ac:dyDescent="0.25">
      <c r="C135" s="607"/>
      <c r="D135" s="607"/>
      <c r="E135" s="606">
        <f t="shared" ref="E135:P135" si="124">E310+E482</f>
        <v>0</v>
      </c>
      <c r="F135" s="606">
        <f t="shared" si="124"/>
        <v>0</v>
      </c>
      <c r="G135" s="606">
        <f t="shared" si="124"/>
        <v>0</v>
      </c>
      <c r="H135" s="606">
        <f t="shared" si="124"/>
        <v>0</v>
      </c>
      <c r="I135" s="606">
        <f t="shared" si="124"/>
        <v>0</v>
      </c>
      <c r="J135" s="606">
        <f t="shared" si="124"/>
        <v>0</v>
      </c>
      <c r="K135" s="606">
        <f t="shared" si="124"/>
        <v>0</v>
      </c>
      <c r="L135" s="606">
        <f t="shared" si="124"/>
        <v>0</v>
      </c>
      <c r="M135" s="606">
        <f t="shared" si="124"/>
        <v>0</v>
      </c>
      <c r="N135" s="606">
        <f t="shared" si="124"/>
        <v>0</v>
      </c>
      <c r="O135" s="606">
        <f t="shared" si="124"/>
        <v>0</v>
      </c>
      <c r="P135" s="606">
        <f t="shared" si="124"/>
        <v>0</v>
      </c>
      <c r="Q135" s="606">
        <f t="shared" si="105"/>
        <v>0</v>
      </c>
      <c r="R135" s="605"/>
      <c r="S135" s="605"/>
      <c r="T135" s="605"/>
    </row>
    <row r="136" spans="3:20" hidden="1" x14ac:dyDescent="0.25">
      <c r="C136" s="607"/>
      <c r="D136" s="607"/>
      <c r="E136" s="606">
        <f t="shared" ref="E136:P136" si="125">E311+E483</f>
        <v>0</v>
      </c>
      <c r="F136" s="606">
        <f t="shared" si="125"/>
        <v>0</v>
      </c>
      <c r="G136" s="606">
        <f t="shared" si="125"/>
        <v>0</v>
      </c>
      <c r="H136" s="606">
        <f t="shared" si="125"/>
        <v>0</v>
      </c>
      <c r="I136" s="606">
        <f t="shared" si="125"/>
        <v>0</v>
      </c>
      <c r="J136" s="606">
        <f t="shared" si="125"/>
        <v>0</v>
      </c>
      <c r="K136" s="606">
        <f t="shared" si="125"/>
        <v>0</v>
      </c>
      <c r="L136" s="606">
        <f t="shared" si="125"/>
        <v>0</v>
      </c>
      <c r="M136" s="606">
        <f t="shared" si="125"/>
        <v>0</v>
      </c>
      <c r="N136" s="606">
        <f t="shared" si="125"/>
        <v>0</v>
      </c>
      <c r="O136" s="606">
        <f t="shared" si="125"/>
        <v>0</v>
      </c>
      <c r="P136" s="606">
        <f t="shared" si="125"/>
        <v>0</v>
      </c>
      <c r="Q136" s="606">
        <f t="shared" si="105"/>
        <v>0</v>
      </c>
      <c r="R136" s="605"/>
      <c r="S136" s="605"/>
      <c r="T136" s="605"/>
    </row>
    <row r="137" spans="3:20" hidden="1" x14ac:dyDescent="0.25">
      <c r="C137" s="607"/>
      <c r="D137" s="607"/>
      <c r="E137" s="606">
        <f t="shared" ref="E137:P137" si="126">E312+E484</f>
        <v>0</v>
      </c>
      <c r="F137" s="606">
        <f t="shared" si="126"/>
        <v>0</v>
      </c>
      <c r="G137" s="606">
        <f t="shared" si="126"/>
        <v>0</v>
      </c>
      <c r="H137" s="606">
        <f t="shared" si="126"/>
        <v>0</v>
      </c>
      <c r="I137" s="606">
        <f t="shared" si="126"/>
        <v>0</v>
      </c>
      <c r="J137" s="606">
        <f t="shared" si="126"/>
        <v>0</v>
      </c>
      <c r="K137" s="606">
        <f t="shared" si="126"/>
        <v>0</v>
      </c>
      <c r="L137" s="606">
        <f t="shared" si="126"/>
        <v>0</v>
      </c>
      <c r="M137" s="606">
        <f t="shared" si="126"/>
        <v>0</v>
      </c>
      <c r="N137" s="606">
        <f t="shared" si="126"/>
        <v>0</v>
      </c>
      <c r="O137" s="606">
        <f t="shared" si="126"/>
        <v>0</v>
      </c>
      <c r="P137" s="606">
        <f t="shared" si="126"/>
        <v>0</v>
      </c>
      <c r="Q137" s="606">
        <f t="shared" si="105"/>
        <v>0</v>
      </c>
      <c r="R137" s="605"/>
      <c r="S137" s="605"/>
      <c r="T137" s="605"/>
    </row>
    <row r="138" spans="3:20" hidden="1" x14ac:dyDescent="0.25">
      <c r="C138" s="607"/>
      <c r="D138" s="607"/>
      <c r="E138" s="606">
        <f t="shared" ref="E138:P138" si="127">E313+E485</f>
        <v>0</v>
      </c>
      <c r="F138" s="606">
        <f t="shared" si="127"/>
        <v>0</v>
      </c>
      <c r="G138" s="606">
        <f t="shared" si="127"/>
        <v>0</v>
      </c>
      <c r="H138" s="606">
        <f t="shared" si="127"/>
        <v>0</v>
      </c>
      <c r="I138" s="606">
        <f t="shared" si="127"/>
        <v>0</v>
      </c>
      <c r="J138" s="606">
        <f t="shared" si="127"/>
        <v>0</v>
      </c>
      <c r="K138" s="606">
        <f t="shared" si="127"/>
        <v>0</v>
      </c>
      <c r="L138" s="606">
        <f t="shared" si="127"/>
        <v>0</v>
      </c>
      <c r="M138" s="606">
        <f t="shared" si="127"/>
        <v>0</v>
      </c>
      <c r="N138" s="606">
        <f t="shared" si="127"/>
        <v>0</v>
      </c>
      <c r="O138" s="606">
        <f t="shared" si="127"/>
        <v>0</v>
      </c>
      <c r="P138" s="606">
        <f t="shared" si="127"/>
        <v>0</v>
      </c>
      <c r="Q138" s="606">
        <f t="shared" si="105"/>
        <v>0</v>
      </c>
      <c r="R138" s="605"/>
      <c r="S138" s="605"/>
      <c r="T138" s="605"/>
    </row>
    <row r="139" spans="3:20" hidden="1" x14ac:dyDescent="0.25">
      <c r="C139" s="607"/>
      <c r="D139" s="607"/>
      <c r="E139" s="606">
        <f t="shared" ref="E139:P139" si="128">E314+E486</f>
        <v>0</v>
      </c>
      <c r="F139" s="606">
        <f t="shared" si="128"/>
        <v>0</v>
      </c>
      <c r="G139" s="606">
        <f t="shared" si="128"/>
        <v>0</v>
      </c>
      <c r="H139" s="606">
        <f t="shared" si="128"/>
        <v>0</v>
      </c>
      <c r="I139" s="606">
        <f t="shared" si="128"/>
        <v>0</v>
      </c>
      <c r="J139" s="606">
        <f t="shared" si="128"/>
        <v>0</v>
      </c>
      <c r="K139" s="606">
        <f t="shared" si="128"/>
        <v>0</v>
      </c>
      <c r="L139" s="606">
        <f t="shared" si="128"/>
        <v>0</v>
      </c>
      <c r="M139" s="606">
        <f t="shared" si="128"/>
        <v>0</v>
      </c>
      <c r="N139" s="606">
        <f t="shared" si="128"/>
        <v>0</v>
      </c>
      <c r="O139" s="606">
        <f t="shared" si="128"/>
        <v>0</v>
      </c>
      <c r="P139" s="606">
        <f t="shared" si="128"/>
        <v>0</v>
      </c>
      <c r="Q139" s="606">
        <f t="shared" si="105"/>
        <v>0</v>
      </c>
      <c r="R139" s="605"/>
      <c r="S139" s="605"/>
      <c r="T139" s="605"/>
    </row>
    <row r="140" spans="3:20" x14ac:dyDescent="0.25">
      <c r="C140" s="811" t="s">
        <v>420</v>
      </c>
      <c r="D140" s="812"/>
      <c r="E140" s="609">
        <f t="shared" ref="E140:P140" si="129">SUM(E116:E139)</f>
        <v>207.79670607350815</v>
      </c>
      <c r="F140" s="609">
        <f t="shared" si="129"/>
        <v>213.60182824240906</v>
      </c>
      <c r="G140" s="609">
        <f t="shared" si="129"/>
        <v>199.87689948401672</v>
      </c>
      <c r="H140" s="609">
        <f t="shared" si="129"/>
        <v>157.34398677226392</v>
      </c>
      <c r="I140" s="609">
        <f t="shared" si="129"/>
        <v>193.08539983870708</v>
      </c>
      <c r="J140" s="609">
        <f t="shared" si="129"/>
        <v>169.89748318229607</v>
      </c>
      <c r="K140" s="609">
        <f t="shared" si="129"/>
        <v>208.47497664456219</v>
      </c>
      <c r="L140" s="609">
        <f t="shared" si="129"/>
        <v>161.03821545855513</v>
      </c>
      <c r="M140" s="609">
        <f t="shared" si="129"/>
        <v>177.38004249775827</v>
      </c>
      <c r="N140" s="609">
        <f t="shared" si="129"/>
        <v>188.99104728575176</v>
      </c>
      <c r="O140" s="609">
        <f t="shared" si="129"/>
        <v>194.04617239699655</v>
      </c>
      <c r="P140" s="609">
        <f t="shared" si="129"/>
        <v>207.88030281333653</v>
      </c>
      <c r="Q140" s="609">
        <f t="shared" si="105"/>
        <v>2279.4130606901617</v>
      </c>
      <c r="R140" s="605"/>
      <c r="S140" s="605"/>
      <c r="T140" s="605"/>
    </row>
    <row r="141" spans="3:20" x14ac:dyDescent="0.25">
      <c r="C141" s="813" t="s">
        <v>421</v>
      </c>
      <c r="D141" s="814"/>
      <c r="E141" s="606"/>
      <c r="F141" s="606"/>
      <c r="G141" s="606"/>
      <c r="H141" s="606"/>
      <c r="I141" s="606"/>
      <c r="J141" s="606"/>
      <c r="K141" s="606"/>
      <c r="L141" s="606"/>
      <c r="M141" s="606"/>
      <c r="N141" s="606"/>
      <c r="O141" s="606"/>
      <c r="P141" s="606"/>
      <c r="Q141" s="606"/>
      <c r="R141" s="605"/>
      <c r="S141" s="605"/>
      <c r="T141" s="605"/>
    </row>
    <row r="142" spans="3:20" x14ac:dyDescent="0.25">
      <c r="C142" s="607"/>
      <c r="D142" s="607" t="s">
        <v>663</v>
      </c>
      <c r="E142" s="606">
        <f t="shared" ref="E142:P142" si="130">E317+E489</f>
        <v>0</v>
      </c>
      <c r="F142" s="606">
        <f t="shared" si="130"/>
        <v>0</v>
      </c>
      <c r="G142" s="606">
        <f t="shared" si="130"/>
        <v>0</v>
      </c>
      <c r="H142" s="606">
        <f t="shared" si="130"/>
        <v>0</v>
      </c>
      <c r="I142" s="606">
        <f t="shared" si="130"/>
        <v>0</v>
      </c>
      <c r="J142" s="606">
        <f t="shared" si="130"/>
        <v>0</v>
      </c>
      <c r="K142" s="606">
        <f t="shared" si="130"/>
        <v>0</v>
      </c>
      <c r="L142" s="606">
        <f t="shared" si="130"/>
        <v>0</v>
      </c>
      <c r="M142" s="606">
        <f t="shared" si="130"/>
        <v>0</v>
      </c>
      <c r="N142" s="606">
        <f t="shared" si="130"/>
        <v>0</v>
      </c>
      <c r="O142" s="606">
        <f t="shared" si="130"/>
        <v>96.667630350943483</v>
      </c>
      <c r="P142" s="606">
        <f t="shared" si="130"/>
        <v>147.09020977169345</v>
      </c>
      <c r="Q142" s="606">
        <f>SUM(E142:P142)</f>
        <v>243.75784012263694</v>
      </c>
      <c r="R142" s="605"/>
      <c r="S142" s="605"/>
      <c r="T142" s="605"/>
    </row>
    <row r="143" spans="3:20" x14ac:dyDescent="0.25">
      <c r="C143" s="607"/>
      <c r="D143" s="607" t="s">
        <v>664</v>
      </c>
      <c r="E143" s="606">
        <f t="shared" ref="E143:P143" si="131">E318+E490</f>
        <v>-21.031000461913205</v>
      </c>
      <c r="F143" s="606">
        <f t="shared" si="131"/>
        <v>-181.65043285009725</v>
      </c>
      <c r="G143" s="606">
        <f t="shared" si="131"/>
        <v>-179.6970762452253</v>
      </c>
      <c r="H143" s="606">
        <f t="shared" si="131"/>
        <v>-0.22214604314527581</v>
      </c>
      <c r="I143" s="606">
        <f t="shared" si="131"/>
        <v>-6.2610418470709445E-2</v>
      </c>
      <c r="J143" s="606">
        <f t="shared" si="131"/>
        <v>-1.2901529079442506</v>
      </c>
      <c r="K143" s="606">
        <f t="shared" si="131"/>
        <v>-3.1493345504967206E-2</v>
      </c>
      <c r="L143" s="606">
        <f t="shared" si="131"/>
        <v>-2.4957432918196035E-2</v>
      </c>
      <c r="M143" s="606">
        <f t="shared" si="131"/>
        <v>-33.601511112866561</v>
      </c>
      <c r="N143" s="606">
        <f t="shared" si="131"/>
        <v>-4.4429208629055159</v>
      </c>
      <c r="O143" s="606">
        <f t="shared" si="131"/>
        <v>0</v>
      </c>
      <c r="P143" s="606">
        <f t="shared" si="131"/>
        <v>0</v>
      </c>
      <c r="Q143" s="606">
        <f>SUM(E143:P143)</f>
        <v>-422.05430168099122</v>
      </c>
      <c r="R143" s="605"/>
      <c r="S143" s="605"/>
      <c r="T143" s="605"/>
    </row>
    <row r="144" spans="3:20" x14ac:dyDescent="0.25">
      <c r="C144" s="607"/>
      <c r="D144" s="607" t="s">
        <v>1223</v>
      </c>
      <c r="E144" s="606">
        <f t="shared" ref="E144:P144" si="132">E319+E491</f>
        <v>-96.273635353022357</v>
      </c>
      <c r="F144" s="606">
        <f t="shared" si="132"/>
        <v>-96.273635353022357</v>
      </c>
      <c r="G144" s="606">
        <f t="shared" si="132"/>
        <v>-96.273635353022357</v>
      </c>
      <c r="H144" s="606">
        <f t="shared" si="132"/>
        <v>-96.273635353022357</v>
      </c>
      <c r="I144" s="606">
        <f t="shared" si="132"/>
        <v>-96.273635353022357</v>
      </c>
      <c r="J144" s="606">
        <f t="shared" si="132"/>
        <v>-96.273635353022357</v>
      </c>
      <c r="K144" s="606">
        <f t="shared" si="132"/>
        <v>-96.273635353022357</v>
      </c>
      <c r="L144" s="606">
        <f t="shared" si="132"/>
        <v>-96.273635353022357</v>
      </c>
      <c r="M144" s="606">
        <f t="shared" si="132"/>
        <v>-96.273635353022357</v>
      </c>
      <c r="N144" s="606">
        <f t="shared" si="132"/>
        <v>-96.273635353022357</v>
      </c>
      <c r="O144" s="606">
        <f t="shared" si="132"/>
        <v>-96.273635353022357</v>
      </c>
      <c r="P144" s="606">
        <f t="shared" si="132"/>
        <v>-96.273635353022357</v>
      </c>
      <c r="Q144" s="606">
        <f>SUM(E144:P144)</f>
        <v>-1155.2836242362682</v>
      </c>
      <c r="R144" s="605"/>
      <c r="S144" s="605"/>
      <c r="T144" s="605"/>
    </row>
    <row r="145" spans="3:20" hidden="1" x14ac:dyDescent="0.25">
      <c r="C145" s="607"/>
      <c r="D145" s="607"/>
      <c r="E145" s="606">
        <f t="shared" ref="E145:P145" si="133">E320+E509</f>
        <v>0</v>
      </c>
      <c r="F145" s="606">
        <f t="shared" si="133"/>
        <v>0</v>
      </c>
      <c r="G145" s="606">
        <f t="shared" si="133"/>
        <v>0</v>
      </c>
      <c r="H145" s="606">
        <f t="shared" si="133"/>
        <v>0</v>
      </c>
      <c r="I145" s="606">
        <f t="shared" si="133"/>
        <v>0</v>
      </c>
      <c r="J145" s="606">
        <f t="shared" si="133"/>
        <v>0</v>
      </c>
      <c r="K145" s="606">
        <f t="shared" si="133"/>
        <v>0</v>
      </c>
      <c r="L145" s="606">
        <f t="shared" si="133"/>
        <v>0</v>
      </c>
      <c r="M145" s="606">
        <f t="shared" si="133"/>
        <v>0</v>
      </c>
      <c r="N145" s="606">
        <f t="shared" si="133"/>
        <v>0</v>
      </c>
      <c r="O145" s="606">
        <f t="shared" si="133"/>
        <v>0</v>
      </c>
      <c r="P145" s="606">
        <f t="shared" si="133"/>
        <v>0</v>
      </c>
      <c r="Q145" s="606">
        <f>SUM(E145:P145)</f>
        <v>0</v>
      </c>
      <c r="R145" s="605"/>
      <c r="S145" s="605"/>
      <c r="T145" s="605"/>
    </row>
    <row r="146" spans="3:20" hidden="1" x14ac:dyDescent="0.25">
      <c r="C146" s="607"/>
      <c r="D146" s="607"/>
      <c r="E146" s="606"/>
      <c r="F146" s="606"/>
      <c r="G146" s="606"/>
      <c r="H146" s="606"/>
      <c r="I146" s="606"/>
      <c r="J146" s="606"/>
      <c r="K146" s="606"/>
      <c r="L146" s="606"/>
      <c r="M146" s="606"/>
      <c r="N146" s="606"/>
      <c r="O146" s="606"/>
      <c r="P146" s="606"/>
      <c r="Q146" s="606"/>
      <c r="R146" s="605"/>
      <c r="S146" s="605"/>
      <c r="T146" s="605"/>
    </row>
    <row r="147" spans="3:20" hidden="1" x14ac:dyDescent="0.25">
      <c r="C147" s="607"/>
      <c r="D147" s="622" t="s">
        <v>665</v>
      </c>
      <c r="E147" s="606"/>
      <c r="F147" s="606"/>
      <c r="G147" s="606"/>
      <c r="H147" s="606"/>
      <c r="I147" s="606"/>
      <c r="J147" s="606"/>
      <c r="K147" s="606"/>
      <c r="L147" s="606"/>
      <c r="M147" s="606"/>
      <c r="N147" s="606"/>
      <c r="O147" s="606"/>
      <c r="P147" s="606"/>
      <c r="Q147" s="606"/>
      <c r="R147" s="605"/>
      <c r="S147" s="605"/>
      <c r="T147" s="605"/>
    </row>
    <row r="148" spans="3:20" hidden="1" x14ac:dyDescent="0.25">
      <c r="C148" s="607"/>
      <c r="D148" s="622" t="s">
        <v>666</v>
      </c>
      <c r="E148" s="606"/>
      <c r="F148" s="606"/>
      <c r="G148" s="606"/>
      <c r="H148" s="606"/>
      <c r="I148" s="606"/>
      <c r="J148" s="606"/>
      <c r="K148" s="606"/>
      <c r="L148" s="606"/>
      <c r="M148" s="606"/>
      <c r="N148" s="606"/>
      <c r="O148" s="606"/>
      <c r="P148" s="606"/>
      <c r="Q148" s="606"/>
      <c r="R148" s="605"/>
      <c r="S148" s="605"/>
      <c r="T148" s="605"/>
    </row>
    <row r="149" spans="3:20" hidden="1" x14ac:dyDescent="0.25">
      <c r="C149" s="607"/>
      <c r="D149" s="622" t="s">
        <v>629</v>
      </c>
      <c r="E149" s="606"/>
      <c r="F149" s="606"/>
      <c r="G149" s="606"/>
      <c r="H149" s="606"/>
      <c r="I149" s="606"/>
      <c r="J149" s="606"/>
      <c r="K149" s="606"/>
      <c r="L149" s="606"/>
      <c r="M149" s="606"/>
      <c r="N149" s="606"/>
      <c r="O149" s="606"/>
      <c r="P149" s="606"/>
      <c r="Q149" s="606"/>
      <c r="R149" s="605"/>
      <c r="S149" s="605"/>
      <c r="T149" s="605"/>
    </row>
    <row r="150" spans="3:20" hidden="1" x14ac:dyDescent="0.25">
      <c r="C150" s="607"/>
      <c r="D150" s="622" t="s">
        <v>630</v>
      </c>
      <c r="E150" s="606"/>
      <c r="F150" s="606"/>
      <c r="G150" s="606"/>
      <c r="H150" s="606"/>
      <c r="I150" s="606"/>
      <c r="J150" s="606"/>
      <c r="K150" s="606"/>
      <c r="L150" s="606"/>
      <c r="M150" s="606"/>
      <c r="N150" s="606"/>
      <c r="O150" s="606"/>
      <c r="P150" s="606"/>
      <c r="Q150" s="606"/>
      <c r="R150" s="605"/>
      <c r="S150" s="605"/>
      <c r="T150" s="605"/>
    </row>
    <row r="151" spans="3:20" hidden="1" x14ac:dyDescent="0.25">
      <c r="C151" s="607"/>
      <c r="D151" s="622" t="s">
        <v>631</v>
      </c>
      <c r="E151" s="606"/>
      <c r="F151" s="606"/>
      <c r="G151" s="606"/>
      <c r="H151" s="606"/>
      <c r="I151" s="606"/>
      <c r="J151" s="606"/>
      <c r="K151" s="606"/>
      <c r="L151" s="606"/>
      <c r="M151" s="606"/>
      <c r="N151" s="606"/>
      <c r="O151" s="606"/>
      <c r="P151" s="606"/>
      <c r="Q151" s="606"/>
      <c r="R151" s="605"/>
      <c r="S151" s="605"/>
      <c r="T151" s="605"/>
    </row>
    <row r="152" spans="3:20" hidden="1" x14ac:dyDescent="0.25">
      <c r="C152" s="607"/>
      <c r="D152" s="622" t="s">
        <v>632</v>
      </c>
      <c r="E152" s="606"/>
      <c r="F152" s="606"/>
      <c r="G152" s="606"/>
      <c r="H152" s="606"/>
      <c r="I152" s="606"/>
      <c r="J152" s="606"/>
      <c r="K152" s="606"/>
      <c r="L152" s="606"/>
      <c r="M152" s="606"/>
      <c r="N152" s="606"/>
      <c r="O152" s="606"/>
      <c r="P152" s="606"/>
      <c r="Q152" s="606"/>
      <c r="R152" s="605"/>
      <c r="S152" s="605"/>
      <c r="T152" s="605"/>
    </row>
    <row r="153" spans="3:20" hidden="1" x14ac:dyDescent="0.25">
      <c r="C153" s="607"/>
      <c r="D153" s="622" t="s">
        <v>633</v>
      </c>
      <c r="E153" s="606"/>
      <c r="F153" s="606"/>
      <c r="G153" s="606"/>
      <c r="H153" s="606"/>
      <c r="I153" s="606"/>
      <c r="J153" s="606"/>
      <c r="K153" s="606"/>
      <c r="L153" s="606"/>
      <c r="M153" s="606"/>
      <c r="N153" s="606"/>
      <c r="O153" s="606"/>
      <c r="P153" s="606"/>
      <c r="Q153" s="606"/>
      <c r="R153" s="605"/>
      <c r="S153" s="605"/>
      <c r="T153" s="605"/>
    </row>
    <row r="154" spans="3:20" hidden="1" x14ac:dyDescent="0.25">
      <c r="C154" s="607"/>
      <c r="D154" s="622" t="s">
        <v>634</v>
      </c>
      <c r="E154" s="606"/>
      <c r="F154" s="606"/>
      <c r="G154" s="606"/>
      <c r="H154" s="606"/>
      <c r="I154" s="606"/>
      <c r="J154" s="606"/>
      <c r="K154" s="606"/>
      <c r="L154" s="606"/>
      <c r="M154" s="606"/>
      <c r="N154" s="606"/>
      <c r="O154" s="606"/>
      <c r="P154" s="606"/>
      <c r="Q154" s="606"/>
      <c r="R154" s="605"/>
      <c r="S154" s="605"/>
      <c r="T154" s="605"/>
    </row>
    <row r="155" spans="3:20" hidden="1" x14ac:dyDescent="0.25">
      <c r="C155" s="607"/>
      <c r="D155" s="622" t="s">
        <v>635</v>
      </c>
      <c r="E155" s="606"/>
      <c r="F155" s="606"/>
      <c r="G155" s="606"/>
      <c r="H155" s="606"/>
      <c r="I155" s="606"/>
      <c r="J155" s="606"/>
      <c r="K155" s="606"/>
      <c r="L155" s="606"/>
      <c r="M155" s="606"/>
      <c r="N155" s="606"/>
      <c r="O155" s="606"/>
      <c r="P155" s="606"/>
      <c r="Q155" s="606"/>
      <c r="R155" s="605"/>
      <c r="S155" s="605"/>
      <c r="T155" s="605"/>
    </row>
    <row r="156" spans="3:20" hidden="1" x14ac:dyDescent="0.25">
      <c r="C156" s="607"/>
      <c r="D156" s="622" t="s">
        <v>636</v>
      </c>
      <c r="E156" s="606"/>
      <c r="F156" s="606"/>
      <c r="G156" s="606"/>
      <c r="H156" s="606"/>
      <c r="I156" s="606"/>
      <c r="J156" s="606"/>
      <c r="K156" s="606"/>
      <c r="L156" s="606"/>
      <c r="M156" s="606"/>
      <c r="N156" s="606"/>
      <c r="O156" s="606"/>
      <c r="P156" s="606"/>
      <c r="Q156" s="606"/>
      <c r="R156" s="605"/>
      <c r="S156" s="605"/>
      <c r="T156" s="605"/>
    </row>
    <row r="157" spans="3:20" hidden="1" x14ac:dyDescent="0.25">
      <c r="C157" s="607"/>
      <c r="D157" s="622" t="s">
        <v>637</v>
      </c>
      <c r="E157" s="606"/>
      <c r="F157" s="606"/>
      <c r="G157" s="606"/>
      <c r="H157" s="606"/>
      <c r="I157" s="606"/>
      <c r="J157" s="606"/>
      <c r="K157" s="606"/>
      <c r="L157" s="606"/>
      <c r="M157" s="606"/>
      <c r="N157" s="606"/>
      <c r="O157" s="606"/>
      <c r="P157" s="606"/>
      <c r="Q157" s="606"/>
      <c r="R157" s="605"/>
      <c r="S157" s="605"/>
      <c r="T157" s="605"/>
    </row>
    <row r="158" spans="3:20" hidden="1" x14ac:dyDescent="0.25">
      <c r="C158" s="607"/>
      <c r="D158" s="622" t="s">
        <v>638</v>
      </c>
      <c r="E158" s="606"/>
      <c r="F158" s="606"/>
      <c r="G158" s="606"/>
      <c r="H158" s="606"/>
      <c r="I158" s="606"/>
      <c r="J158" s="606"/>
      <c r="K158" s="606"/>
      <c r="L158" s="606"/>
      <c r="M158" s="606"/>
      <c r="N158" s="606"/>
      <c r="O158" s="606"/>
      <c r="P158" s="606"/>
      <c r="Q158" s="606"/>
      <c r="R158" s="605"/>
      <c r="S158" s="605"/>
      <c r="T158" s="605"/>
    </row>
    <row r="159" spans="3:20" hidden="1" x14ac:dyDescent="0.25">
      <c r="C159" s="607"/>
      <c r="D159" s="622" t="s">
        <v>639</v>
      </c>
      <c r="E159" s="606"/>
      <c r="F159" s="606"/>
      <c r="G159" s="606"/>
      <c r="H159" s="606"/>
      <c r="I159" s="606"/>
      <c r="J159" s="606"/>
      <c r="K159" s="606"/>
      <c r="L159" s="606"/>
      <c r="M159" s="606"/>
      <c r="N159" s="606"/>
      <c r="O159" s="606"/>
      <c r="P159" s="606"/>
      <c r="Q159" s="606"/>
      <c r="R159" s="605"/>
      <c r="S159" s="605"/>
      <c r="T159" s="605"/>
    </row>
    <row r="160" spans="3:20" hidden="1" x14ac:dyDescent="0.25">
      <c r="C160" s="607"/>
      <c r="D160" s="607"/>
      <c r="E160" s="606"/>
      <c r="F160" s="606"/>
      <c r="G160" s="606"/>
      <c r="H160" s="606"/>
      <c r="I160" s="606"/>
      <c r="J160" s="606"/>
      <c r="K160" s="606"/>
      <c r="L160" s="606"/>
      <c r="M160" s="606"/>
      <c r="N160" s="606"/>
      <c r="O160" s="606"/>
      <c r="P160" s="606"/>
      <c r="Q160" s="606"/>
      <c r="R160" s="605"/>
      <c r="S160" s="605"/>
      <c r="T160" s="605"/>
    </row>
    <row r="161" spans="3:20" hidden="1" x14ac:dyDescent="0.25">
      <c r="C161" s="607"/>
      <c r="D161" s="607"/>
      <c r="E161" s="606"/>
      <c r="F161" s="606"/>
      <c r="G161" s="606"/>
      <c r="H161" s="606"/>
      <c r="I161" s="606"/>
      <c r="J161" s="606"/>
      <c r="K161" s="606"/>
      <c r="L161" s="606"/>
      <c r="M161" s="606"/>
      <c r="N161" s="606"/>
      <c r="O161" s="606"/>
      <c r="P161" s="606"/>
      <c r="Q161" s="606"/>
      <c r="R161" s="605"/>
      <c r="S161" s="605"/>
      <c r="T161" s="605"/>
    </row>
    <row r="162" spans="3:20" hidden="1" x14ac:dyDescent="0.25">
      <c r="C162" s="607"/>
      <c r="D162" s="607"/>
      <c r="E162" s="606"/>
      <c r="F162" s="606"/>
      <c r="G162" s="606"/>
      <c r="H162" s="606"/>
      <c r="I162" s="606"/>
      <c r="J162" s="606"/>
      <c r="K162" s="606"/>
      <c r="L162" s="606"/>
      <c r="M162" s="606"/>
      <c r="N162" s="606"/>
      <c r="O162" s="606"/>
      <c r="P162" s="606"/>
      <c r="Q162" s="606"/>
      <c r="R162" s="605"/>
      <c r="S162" s="605"/>
      <c r="T162" s="605"/>
    </row>
    <row r="163" spans="3:20" hidden="1" x14ac:dyDescent="0.25">
      <c r="C163" s="607"/>
      <c r="D163" s="607"/>
      <c r="E163" s="606"/>
      <c r="F163" s="606"/>
      <c r="G163" s="606"/>
      <c r="H163" s="606"/>
      <c r="I163" s="606"/>
      <c r="J163" s="606"/>
      <c r="K163" s="606"/>
      <c r="L163" s="606"/>
      <c r="M163" s="606"/>
      <c r="N163" s="606"/>
      <c r="O163" s="606"/>
      <c r="P163" s="606"/>
      <c r="Q163" s="606"/>
      <c r="R163" s="605"/>
      <c r="S163" s="605"/>
      <c r="T163" s="605"/>
    </row>
    <row r="164" spans="3:20" hidden="1" x14ac:dyDescent="0.25">
      <c r="C164" s="607"/>
      <c r="D164" s="607"/>
      <c r="E164" s="606"/>
      <c r="F164" s="606"/>
      <c r="G164" s="606"/>
      <c r="H164" s="606"/>
      <c r="I164" s="606"/>
      <c r="J164" s="606"/>
      <c r="K164" s="606"/>
      <c r="L164" s="606"/>
      <c r="M164" s="606"/>
      <c r="N164" s="606"/>
      <c r="O164" s="606"/>
      <c r="P164" s="606"/>
      <c r="Q164" s="606"/>
      <c r="R164" s="605"/>
      <c r="S164" s="605"/>
      <c r="T164" s="605"/>
    </row>
    <row r="165" spans="3:20" hidden="1" x14ac:dyDescent="0.25">
      <c r="C165" s="607"/>
      <c r="D165" s="607"/>
      <c r="E165" s="606">
        <f t="shared" ref="E165:P165" si="134">E336+E510</f>
        <v>0</v>
      </c>
      <c r="F165" s="606">
        <f t="shared" si="134"/>
        <v>0</v>
      </c>
      <c r="G165" s="606">
        <f t="shared" si="134"/>
        <v>0</v>
      </c>
      <c r="H165" s="606">
        <f t="shared" si="134"/>
        <v>0</v>
      </c>
      <c r="I165" s="606">
        <f t="shared" si="134"/>
        <v>0</v>
      </c>
      <c r="J165" s="606">
        <f t="shared" si="134"/>
        <v>0</v>
      </c>
      <c r="K165" s="606">
        <f t="shared" si="134"/>
        <v>0</v>
      </c>
      <c r="L165" s="606">
        <f t="shared" si="134"/>
        <v>0</v>
      </c>
      <c r="M165" s="606">
        <f t="shared" si="134"/>
        <v>0</v>
      </c>
      <c r="N165" s="606">
        <f t="shared" si="134"/>
        <v>0</v>
      </c>
      <c r="O165" s="606">
        <f t="shared" si="134"/>
        <v>0</v>
      </c>
      <c r="P165" s="606">
        <f t="shared" si="134"/>
        <v>0</v>
      </c>
      <c r="Q165" s="606">
        <f t="shared" ref="Q165:Q172" si="135">SUM(E165:P165)</f>
        <v>0</v>
      </c>
      <c r="R165" s="605"/>
      <c r="S165" s="605"/>
      <c r="T165" s="605"/>
    </row>
    <row r="166" spans="3:20" hidden="1" x14ac:dyDescent="0.25">
      <c r="C166" s="607"/>
      <c r="D166" s="607"/>
      <c r="E166" s="606">
        <f t="shared" ref="E166:P166" si="136">E337+E511</f>
        <v>0</v>
      </c>
      <c r="F166" s="606">
        <f t="shared" si="136"/>
        <v>0</v>
      </c>
      <c r="G166" s="606">
        <f t="shared" si="136"/>
        <v>0</v>
      </c>
      <c r="H166" s="606">
        <f t="shared" si="136"/>
        <v>0</v>
      </c>
      <c r="I166" s="606">
        <f t="shared" si="136"/>
        <v>0</v>
      </c>
      <c r="J166" s="606">
        <f t="shared" si="136"/>
        <v>0</v>
      </c>
      <c r="K166" s="606">
        <f t="shared" si="136"/>
        <v>0</v>
      </c>
      <c r="L166" s="606">
        <f t="shared" si="136"/>
        <v>0</v>
      </c>
      <c r="M166" s="606">
        <f t="shared" si="136"/>
        <v>0</v>
      </c>
      <c r="N166" s="606">
        <f t="shared" si="136"/>
        <v>0</v>
      </c>
      <c r="O166" s="606">
        <f t="shared" si="136"/>
        <v>0</v>
      </c>
      <c r="P166" s="606">
        <f t="shared" si="136"/>
        <v>0</v>
      </c>
      <c r="Q166" s="606">
        <f t="shared" si="135"/>
        <v>0</v>
      </c>
      <c r="R166" s="605"/>
      <c r="S166" s="605"/>
      <c r="T166" s="605"/>
    </row>
    <row r="167" spans="3:20" hidden="1" x14ac:dyDescent="0.25">
      <c r="C167" s="607"/>
      <c r="D167" s="607"/>
      <c r="E167" s="606">
        <f t="shared" ref="E167:P167" si="137">E338+E512</f>
        <v>0</v>
      </c>
      <c r="F167" s="606">
        <f t="shared" si="137"/>
        <v>0</v>
      </c>
      <c r="G167" s="606">
        <f t="shared" si="137"/>
        <v>0</v>
      </c>
      <c r="H167" s="606">
        <f t="shared" si="137"/>
        <v>0</v>
      </c>
      <c r="I167" s="606">
        <f t="shared" si="137"/>
        <v>0</v>
      </c>
      <c r="J167" s="606">
        <f t="shared" si="137"/>
        <v>0</v>
      </c>
      <c r="K167" s="606">
        <f t="shared" si="137"/>
        <v>0</v>
      </c>
      <c r="L167" s="606">
        <f t="shared" si="137"/>
        <v>0</v>
      </c>
      <c r="M167" s="606">
        <f t="shared" si="137"/>
        <v>0</v>
      </c>
      <c r="N167" s="606">
        <f t="shared" si="137"/>
        <v>0</v>
      </c>
      <c r="O167" s="606">
        <f t="shared" si="137"/>
        <v>0</v>
      </c>
      <c r="P167" s="606">
        <f t="shared" si="137"/>
        <v>0</v>
      </c>
      <c r="Q167" s="606">
        <f t="shared" si="135"/>
        <v>0</v>
      </c>
      <c r="R167" s="605"/>
      <c r="S167" s="605"/>
      <c r="T167" s="605"/>
    </row>
    <row r="168" spans="3:20" hidden="1" x14ac:dyDescent="0.25">
      <c r="C168" s="607"/>
      <c r="D168" s="607"/>
      <c r="E168" s="606">
        <f t="shared" ref="E168:P168" si="138">E339+E513</f>
        <v>0</v>
      </c>
      <c r="F168" s="606">
        <f t="shared" si="138"/>
        <v>0</v>
      </c>
      <c r="G168" s="606">
        <f t="shared" si="138"/>
        <v>0</v>
      </c>
      <c r="H168" s="606">
        <f t="shared" si="138"/>
        <v>0</v>
      </c>
      <c r="I168" s="606">
        <f t="shared" si="138"/>
        <v>0</v>
      </c>
      <c r="J168" s="606">
        <f t="shared" si="138"/>
        <v>0</v>
      </c>
      <c r="K168" s="606">
        <f t="shared" si="138"/>
        <v>0</v>
      </c>
      <c r="L168" s="606">
        <f t="shared" si="138"/>
        <v>0</v>
      </c>
      <c r="M168" s="606">
        <f t="shared" si="138"/>
        <v>0</v>
      </c>
      <c r="N168" s="606">
        <f t="shared" si="138"/>
        <v>0</v>
      </c>
      <c r="O168" s="606">
        <f t="shared" si="138"/>
        <v>0</v>
      </c>
      <c r="P168" s="606">
        <f t="shared" si="138"/>
        <v>0</v>
      </c>
      <c r="Q168" s="606">
        <f t="shared" si="135"/>
        <v>0</v>
      </c>
      <c r="R168" s="605"/>
      <c r="S168" s="605"/>
      <c r="T168" s="605"/>
    </row>
    <row r="169" spans="3:20" hidden="1" x14ac:dyDescent="0.25">
      <c r="C169" s="607"/>
      <c r="D169" s="607"/>
      <c r="E169" s="606">
        <f t="shared" ref="E169:P169" si="139">E340+E514</f>
        <v>0</v>
      </c>
      <c r="F169" s="606">
        <f t="shared" si="139"/>
        <v>0</v>
      </c>
      <c r="G169" s="606">
        <f t="shared" si="139"/>
        <v>0</v>
      </c>
      <c r="H169" s="606">
        <f t="shared" si="139"/>
        <v>0</v>
      </c>
      <c r="I169" s="606">
        <f t="shared" si="139"/>
        <v>0</v>
      </c>
      <c r="J169" s="606">
        <f t="shared" si="139"/>
        <v>0</v>
      </c>
      <c r="K169" s="606">
        <f t="shared" si="139"/>
        <v>0</v>
      </c>
      <c r="L169" s="606">
        <f t="shared" si="139"/>
        <v>0</v>
      </c>
      <c r="M169" s="606">
        <f t="shared" si="139"/>
        <v>0</v>
      </c>
      <c r="N169" s="606">
        <f t="shared" si="139"/>
        <v>0</v>
      </c>
      <c r="O169" s="606">
        <f t="shared" si="139"/>
        <v>0</v>
      </c>
      <c r="P169" s="606">
        <f t="shared" si="139"/>
        <v>0</v>
      </c>
      <c r="Q169" s="606">
        <f t="shared" si="135"/>
        <v>0</v>
      </c>
      <c r="R169" s="605"/>
      <c r="S169" s="605"/>
      <c r="T169" s="605"/>
    </row>
    <row r="170" spans="3:20" hidden="1" x14ac:dyDescent="0.25">
      <c r="C170" s="607"/>
      <c r="D170" s="607"/>
      <c r="E170" s="606">
        <f t="shared" ref="E170:P170" si="140">E341+E515</f>
        <v>0</v>
      </c>
      <c r="F170" s="606">
        <f t="shared" si="140"/>
        <v>0</v>
      </c>
      <c r="G170" s="606">
        <f t="shared" si="140"/>
        <v>0</v>
      </c>
      <c r="H170" s="606">
        <f t="shared" si="140"/>
        <v>0</v>
      </c>
      <c r="I170" s="606">
        <f t="shared" si="140"/>
        <v>0</v>
      </c>
      <c r="J170" s="606">
        <f t="shared" si="140"/>
        <v>0</v>
      </c>
      <c r="K170" s="606">
        <f t="shared" si="140"/>
        <v>0</v>
      </c>
      <c r="L170" s="606">
        <f t="shared" si="140"/>
        <v>0</v>
      </c>
      <c r="M170" s="606">
        <f t="shared" si="140"/>
        <v>0</v>
      </c>
      <c r="N170" s="606">
        <f t="shared" si="140"/>
        <v>0</v>
      </c>
      <c r="O170" s="606">
        <f t="shared" si="140"/>
        <v>0</v>
      </c>
      <c r="P170" s="606">
        <f t="shared" si="140"/>
        <v>0</v>
      </c>
      <c r="Q170" s="606">
        <f t="shared" si="135"/>
        <v>0</v>
      </c>
      <c r="R170" s="605"/>
      <c r="S170" s="605"/>
      <c r="T170" s="605"/>
    </row>
    <row r="171" spans="3:20" hidden="1" x14ac:dyDescent="0.25">
      <c r="C171" s="607"/>
      <c r="D171" s="607"/>
      <c r="E171" s="606">
        <f t="shared" ref="E171:P171" si="141">E342+E516</f>
        <v>0</v>
      </c>
      <c r="F171" s="606">
        <f t="shared" si="141"/>
        <v>0</v>
      </c>
      <c r="G171" s="606">
        <f t="shared" si="141"/>
        <v>0</v>
      </c>
      <c r="H171" s="606">
        <f t="shared" si="141"/>
        <v>0</v>
      </c>
      <c r="I171" s="606">
        <f t="shared" si="141"/>
        <v>0</v>
      </c>
      <c r="J171" s="606">
        <f t="shared" si="141"/>
        <v>0</v>
      </c>
      <c r="K171" s="606">
        <f t="shared" si="141"/>
        <v>0</v>
      </c>
      <c r="L171" s="606">
        <f t="shared" si="141"/>
        <v>0</v>
      </c>
      <c r="M171" s="606">
        <f t="shared" si="141"/>
        <v>0</v>
      </c>
      <c r="N171" s="606">
        <f t="shared" si="141"/>
        <v>0</v>
      </c>
      <c r="O171" s="606">
        <f t="shared" si="141"/>
        <v>0</v>
      </c>
      <c r="P171" s="606">
        <f t="shared" si="141"/>
        <v>0</v>
      </c>
      <c r="Q171" s="606">
        <f t="shared" si="135"/>
        <v>0</v>
      </c>
      <c r="R171" s="605"/>
      <c r="S171" s="605"/>
      <c r="T171" s="605"/>
    </row>
    <row r="172" spans="3:20" x14ac:dyDescent="0.25">
      <c r="C172" s="811" t="s">
        <v>423</v>
      </c>
      <c r="D172" s="812"/>
      <c r="E172" s="609">
        <f t="shared" ref="E172:P172" si="142">SUM(E142:E171)</f>
        <v>-117.30463581493557</v>
      </c>
      <c r="F172" s="609">
        <f t="shared" si="142"/>
        <v>-277.92406820311959</v>
      </c>
      <c r="G172" s="609">
        <f t="shared" si="142"/>
        <v>-275.97071159824765</v>
      </c>
      <c r="H172" s="609">
        <f t="shared" si="142"/>
        <v>-96.495781396167629</v>
      </c>
      <c r="I172" s="609">
        <f t="shared" si="142"/>
        <v>-96.336245771493068</v>
      </c>
      <c r="J172" s="609">
        <f t="shared" si="142"/>
        <v>-97.563788260966604</v>
      </c>
      <c r="K172" s="609">
        <f t="shared" si="142"/>
        <v>-96.305128698527326</v>
      </c>
      <c r="L172" s="609">
        <f t="shared" si="142"/>
        <v>-96.298592785940556</v>
      </c>
      <c r="M172" s="609">
        <f t="shared" si="142"/>
        <v>-129.87514646588892</v>
      </c>
      <c r="N172" s="609">
        <f t="shared" si="142"/>
        <v>-100.71655621592787</v>
      </c>
      <c r="O172" s="609">
        <f t="shared" si="142"/>
        <v>0.39399499792112636</v>
      </c>
      <c r="P172" s="609">
        <f t="shared" si="142"/>
        <v>50.816574418671095</v>
      </c>
      <c r="Q172" s="609">
        <f t="shared" si="135"/>
        <v>-1333.5800857946226</v>
      </c>
      <c r="R172" s="605"/>
      <c r="S172" s="605"/>
      <c r="T172" s="605"/>
    </row>
    <row r="173" spans="3:20" x14ac:dyDescent="0.25">
      <c r="C173" s="813" t="s">
        <v>424</v>
      </c>
      <c r="D173" s="814"/>
      <c r="E173" s="606"/>
      <c r="F173" s="606"/>
      <c r="G173" s="606"/>
      <c r="H173" s="606"/>
      <c r="I173" s="606"/>
      <c r="J173" s="606"/>
      <c r="K173" s="606"/>
      <c r="L173" s="606"/>
      <c r="M173" s="606"/>
      <c r="N173" s="606"/>
      <c r="O173" s="606"/>
      <c r="P173" s="606"/>
      <c r="Q173" s="606"/>
      <c r="R173" s="605"/>
      <c r="S173" s="605"/>
      <c r="T173" s="605"/>
    </row>
    <row r="174" spans="3:20" x14ac:dyDescent="0.25">
      <c r="C174" s="607" t="s">
        <v>425</v>
      </c>
      <c r="D174" s="607" t="s">
        <v>426</v>
      </c>
      <c r="E174" s="606">
        <f t="shared" ref="E174:P174" si="143">E345+E519</f>
        <v>0</v>
      </c>
      <c r="F174" s="606">
        <f t="shared" si="143"/>
        <v>0</v>
      </c>
      <c r="G174" s="606">
        <f t="shared" si="143"/>
        <v>0</v>
      </c>
      <c r="H174" s="606">
        <f t="shared" si="143"/>
        <v>0</v>
      </c>
      <c r="I174" s="606">
        <f t="shared" si="143"/>
        <v>0</v>
      </c>
      <c r="J174" s="606">
        <f t="shared" si="143"/>
        <v>0</v>
      </c>
      <c r="K174" s="606">
        <f t="shared" si="143"/>
        <v>0</v>
      </c>
      <c r="L174" s="606">
        <f t="shared" si="143"/>
        <v>0</v>
      </c>
      <c r="M174" s="606">
        <f t="shared" si="143"/>
        <v>0</v>
      </c>
      <c r="N174" s="606">
        <f t="shared" si="143"/>
        <v>0</v>
      </c>
      <c r="O174" s="606">
        <f t="shared" si="143"/>
        <v>0</v>
      </c>
      <c r="P174" s="606">
        <f t="shared" si="143"/>
        <v>0</v>
      </c>
      <c r="Q174" s="606">
        <f>SUM(E174:P174)</f>
        <v>0</v>
      </c>
      <c r="R174" s="605"/>
      <c r="S174" s="605"/>
      <c r="T174" s="605"/>
    </row>
    <row r="175" spans="3:20" x14ac:dyDescent="0.25">
      <c r="C175" s="607" t="s">
        <v>425</v>
      </c>
      <c r="D175" s="607" t="s">
        <v>427</v>
      </c>
      <c r="E175" s="606">
        <f t="shared" ref="E175:P175" si="144">E346+E520</f>
        <v>-141.65698319472114</v>
      </c>
      <c r="F175" s="606">
        <f t="shared" si="144"/>
        <v>-111.13907305178888</v>
      </c>
      <c r="G175" s="606">
        <f t="shared" si="144"/>
        <v>-44.895720919969008</v>
      </c>
      <c r="H175" s="606">
        <f t="shared" si="144"/>
        <v>-99.670071587903649</v>
      </c>
      <c r="I175" s="606">
        <f t="shared" si="144"/>
        <v>0</v>
      </c>
      <c r="J175" s="606">
        <f t="shared" si="144"/>
        <v>-75.913436128780305</v>
      </c>
      <c r="K175" s="606">
        <f t="shared" si="144"/>
        <v>-37.033177285370741</v>
      </c>
      <c r="L175" s="606">
        <f t="shared" si="144"/>
        <v>-92.222692902545447</v>
      </c>
      <c r="M175" s="606">
        <f t="shared" si="144"/>
        <v>-74.288354412370879</v>
      </c>
      <c r="N175" s="606">
        <f t="shared" si="144"/>
        <v>21.266684128901133</v>
      </c>
      <c r="O175" s="606">
        <f t="shared" si="144"/>
        <v>0</v>
      </c>
      <c r="P175" s="606">
        <f t="shared" si="144"/>
        <v>0</v>
      </c>
      <c r="Q175" s="606">
        <f>SUM(E175:P175)</f>
        <v>-655.55282535454887</v>
      </c>
      <c r="R175" s="605"/>
      <c r="S175" s="605"/>
      <c r="T175" s="605"/>
    </row>
    <row r="176" spans="3:20" x14ac:dyDescent="0.25">
      <c r="C176" s="811" t="s">
        <v>428</v>
      </c>
      <c r="D176" s="812"/>
      <c r="E176" s="609">
        <f t="shared" ref="E176:P176" si="145">E174+E175</f>
        <v>-141.65698319472114</v>
      </c>
      <c r="F176" s="609">
        <f t="shared" si="145"/>
        <v>-111.13907305178888</v>
      </c>
      <c r="G176" s="609">
        <f t="shared" si="145"/>
        <v>-44.895720919969008</v>
      </c>
      <c r="H176" s="609">
        <f t="shared" si="145"/>
        <v>-99.670071587903649</v>
      </c>
      <c r="I176" s="609">
        <f t="shared" si="145"/>
        <v>0</v>
      </c>
      <c r="J176" s="609">
        <f t="shared" si="145"/>
        <v>-75.913436128780305</v>
      </c>
      <c r="K176" s="609">
        <f t="shared" si="145"/>
        <v>-37.033177285370741</v>
      </c>
      <c r="L176" s="609">
        <f t="shared" si="145"/>
        <v>-92.222692902545447</v>
      </c>
      <c r="M176" s="609">
        <f t="shared" si="145"/>
        <v>-74.288354412370879</v>
      </c>
      <c r="N176" s="609">
        <f t="shared" si="145"/>
        <v>21.266684128901133</v>
      </c>
      <c r="O176" s="609">
        <f t="shared" si="145"/>
        <v>0</v>
      </c>
      <c r="P176" s="609">
        <f t="shared" si="145"/>
        <v>0</v>
      </c>
      <c r="Q176" s="609">
        <f>SUM(E176:P176)</f>
        <v>-655.55282535454887</v>
      </c>
      <c r="R176" s="605"/>
      <c r="S176" s="605"/>
      <c r="T176" s="605"/>
    </row>
    <row r="177" spans="2:20" x14ac:dyDescent="0.25">
      <c r="C177" s="811" t="s">
        <v>220</v>
      </c>
      <c r="D177" s="812"/>
      <c r="E177" s="609">
        <f t="shared" ref="E177:Q177" si="146">E50+E95+E104+E114+E140+E172+E176</f>
        <v>1024.6545043402625</v>
      </c>
      <c r="F177" s="609">
        <f t="shared" si="146"/>
        <v>729.79381532271248</v>
      </c>
      <c r="G177" s="609">
        <f t="shared" si="146"/>
        <v>761.44814990985844</v>
      </c>
      <c r="H177" s="609">
        <f t="shared" si="146"/>
        <v>988.61680234135963</v>
      </c>
      <c r="I177" s="609">
        <f t="shared" si="146"/>
        <v>1256.0912691037809</v>
      </c>
      <c r="J177" s="609">
        <f t="shared" si="146"/>
        <v>1037.0573982011454</v>
      </c>
      <c r="K177" s="609">
        <f t="shared" si="146"/>
        <v>1357.4219922641869</v>
      </c>
      <c r="L177" s="609">
        <f t="shared" si="146"/>
        <v>949.99779000974524</v>
      </c>
      <c r="M177" s="609">
        <f t="shared" si="146"/>
        <v>1004.776211328998</v>
      </c>
      <c r="N177" s="609">
        <f t="shared" si="146"/>
        <v>1319.9658035334235</v>
      </c>
      <c r="O177" s="609">
        <f t="shared" si="146"/>
        <v>1449.4694159282242</v>
      </c>
      <c r="P177" s="609">
        <f t="shared" si="146"/>
        <v>1713.8265489200342</v>
      </c>
      <c r="Q177" s="609">
        <f t="shared" si="146"/>
        <v>14041.67559620373</v>
      </c>
      <c r="R177" s="605"/>
      <c r="S177" s="605"/>
      <c r="T177" s="605"/>
    </row>
    <row r="178" spans="2:20" x14ac:dyDescent="0.25">
      <c r="C178" s="605"/>
      <c r="D178" s="605"/>
      <c r="E178" s="605"/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  <c r="R178" s="605"/>
      <c r="S178" s="605"/>
      <c r="T178" s="605"/>
    </row>
    <row r="179" spans="2:20" x14ac:dyDescent="0.25">
      <c r="C179" s="624" t="s">
        <v>641</v>
      </c>
      <c r="D179" s="605"/>
      <c r="E179" s="605"/>
      <c r="F179" s="605"/>
      <c r="G179" s="605"/>
      <c r="H179" s="605"/>
      <c r="I179" s="605"/>
      <c r="J179" s="625"/>
      <c r="K179" s="605"/>
      <c r="L179" s="605"/>
      <c r="M179" s="605"/>
      <c r="N179" s="605"/>
      <c r="O179" s="605"/>
      <c r="P179" s="605"/>
      <c r="Q179" s="605"/>
      <c r="R179" s="605"/>
      <c r="S179" s="605"/>
      <c r="T179" s="605"/>
    </row>
    <row r="180" spans="2:20" x14ac:dyDescent="0.25">
      <c r="C180" s="626"/>
      <c r="D180" s="605"/>
      <c r="E180" s="605"/>
      <c r="F180" s="605"/>
      <c r="G180" s="605"/>
      <c r="H180" s="605"/>
      <c r="I180" s="605"/>
      <c r="J180" s="605"/>
      <c r="K180" s="605"/>
      <c r="L180" s="605"/>
      <c r="M180" s="605"/>
      <c r="N180" s="605"/>
      <c r="O180" s="605"/>
      <c r="P180" s="605"/>
      <c r="Q180" s="625" t="s">
        <v>3</v>
      </c>
      <c r="R180" s="605"/>
      <c r="S180" s="605"/>
      <c r="T180" s="605"/>
    </row>
    <row r="181" spans="2:20" x14ac:dyDescent="0.25">
      <c r="C181" s="818" t="s">
        <v>346</v>
      </c>
      <c r="D181" s="818" t="s">
        <v>347</v>
      </c>
      <c r="E181" s="799" t="s">
        <v>1224</v>
      </c>
      <c r="F181" s="799"/>
      <c r="G181" s="799"/>
      <c r="H181" s="799"/>
      <c r="I181" s="799"/>
      <c r="J181" s="799"/>
      <c r="K181" s="799"/>
      <c r="L181" s="799"/>
      <c r="M181" s="799"/>
      <c r="N181" s="799"/>
      <c r="O181" s="799"/>
      <c r="P181" s="799"/>
      <c r="Q181" s="799"/>
      <c r="R181" s="605"/>
      <c r="S181" s="605"/>
      <c r="T181" s="605"/>
    </row>
    <row r="182" spans="2:20" x14ac:dyDescent="0.25">
      <c r="C182" s="819"/>
      <c r="D182" s="819"/>
      <c r="E182" s="594" t="s">
        <v>239</v>
      </c>
      <c r="F182" s="594" t="s">
        <v>240</v>
      </c>
      <c r="G182" s="594" t="s">
        <v>241</v>
      </c>
      <c r="H182" s="594" t="s">
        <v>242</v>
      </c>
      <c r="I182" s="594" t="s">
        <v>243</v>
      </c>
      <c r="J182" s="594" t="s">
        <v>244</v>
      </c>
      <c r="K182" s="594" t="s">
        <v>245</v>
      </c>
      <c r="L182" s="594" t="s">
        <v>246</v>
      </c>
      <c r="M182" s="594" t="s">
        <v>247</v>
      </c>
      <c r="N182" s="594" t="s">
        <v>248</v>
      </c>
      <c r="O182" s="594" t="s">
        <v>249</v>
      </c>
      <c r="P182" s="594" t="s">
        <v>250</v>
      </c>
      <c r="Q182" s="594" t="s">
        <v>251</v>
      </c>
      <c r="R182" s="605"/>
      <c r="S182" s="605"/>
      <c r="T182" s="605"/>
    </row>
    <row r="183" spans="2:20" x14ac:dyDescent="0.25">
      <c r="C183" s="820"/>
      <c r="D183" s="820"/>
      <c r="E183" s="606"/>
      <c r="F183" s="606"/>
      <c r="G183" s="606"/>
      <c r="H183" s="606"/>
      <c r="I183" s="606"/>
      <c r="J183" s="606"/>
      <c r="K183" s="606"/>
      <c r="L183" s="606"/>
      <c r="M183" s="606"/>
      <c r="N183" s="606"/>
      <c r="O183" s="606"/>
      <c r="P183" s="606"/>
      <c r="Q183" s="606"/>
      <c r="R183" s="605"/>
      <c r="S183" s="605"/>
      <c r="T183" s="605"/>
    </row>
    <row r="184" spans="2:20" x14ac:dyDescent="0.25">
      <c r="B184" s="60"/>
      <c r="C184" s="813" t="s">
        <v>348</v>
      </c>
      <c r="D184" s="814"/>
      <c r="E184" s="607"/>
      <c r="F184" s="607"/>
      <c r="G184" s="607"/>
      <c r="H184" s="607"/>
      <c r="I184" s="607"/>
      <c r="J184" s="607"/>
      <c r="K184" s="607"/>
      <c r="L184" s="607"/>
      <c r="M184" s="607"/>
      <c r="N184" s="607"/>
      <c r="O184" s="607"/>
      <c r="P184" s="607"/>
      <c r="Q184" s="607"/>
      <c r="R184" s="605"/>
      <c r="S184" s="605"/>
      <c r="T184" s="605"/>
    </row>
    <row r="185" spans="2:20" x14ac:dyDescent="0.25">
      <c r="C185" s="811" t="s">
        <v>349</v>
      </c>
      <c r="D185" s="812"/>
      <c r="E185" s="607"/>
      <c r="F185" s="607"/>
      <c r="G185" s="607"/>
      <c r="H185" s="607"/>
      <c r="I185" s="607"/>
      <c r="J185" s="607"/>
      <c r="K185" s="607"/>
      <c r="L185" s="607"/>
      <c r="M185" s="607"/>
      <c r="N185" s="607"/>
      <c r="O185" s="607"/>
      <c r="P185" s="607"/>
      <c r="Q185" s="607"/>
      <c r="R185" s="605"/>
      <c r="S185" s="605"/>
      <c r="T185" s="605"/>
    </row>
    <row r="186" spans="2:20" x14ac:dyDescent="0.25">
      <c r="B186" s="60"/>
      <c r="C186" s="821" t="s">
        <v>350</v>
      </c>
      <c r="D186" s="607" t="s">
        <v>351</v>
      </c>
      <c r="E186" s="617">
        <f>'[5]TGNPDCL MoD'!U4+'[5]TGNPDCL MoD'!U5</f>
        <v>10.231160901270709</v>
      </c>
      <c r="F186" s="617">
        <f>'[5]TGNPDCL MoD'!V4+'[5]TGNPDCL MoD'!V5</f>
        <v>9.4665771864567638</v>
      </c>
      <c r="G186" s="617">
        <f>'[5]TGNPDCL MoD'!W4+'[5]TGNPDCL MoD'!W5</f>
        <v>9.161203728829129</v>
      </c>
      <c r="H186" s="617">
        <f>'[5]TGNPDCL MoD'!X4+'[5]TGNPDCL MoD'!X5</f>
        <v>0</v>
      </c>
      <c r="I186" s="617">
        <f>'[5]TGNPDCL MoD'!Y4+'[5]TGNPDCL MoD'!Y5</f>
        <v>4.8946507043611698</v>
      </c>
      <c r="J186" s="617">
        <f>'[5]TGNPDCL MoD'!Z4+'[5]TGNPDCL MoD'!Z5</f>
        <v>9.161203728829129</v>
      </c>
      <c r="K186" s="617">
        <f>'[5]TGNPDCL MoD'!AA4+'[5]TGNPDCL MoD'!AA5</f>
        <v>11.402922520050193</v>
      </c>
      <c r="L186" s="617">
        <f>'[5]TGNPDCL MoD'!AB4+'[5]TGNPDCL MoD'!AB5</f>
        <v>13.535918451111966</v>
      </c>
      <c r="M186" s="617">
        <f>'[5]TGNPDCL MoD'!AC4+'[5]TGNPDCL MoD'!AC5</f>
        <v>9.7893014087223396</v>
      </c>
      <c r="N186" s="617">
        <f>'[5]TGNPDCL MoD'!AD4+'[5]TGNPDCL MoD'!AD5</f>
        <v>9.9677224662438277</v>
      </c>
      <c r="O186" s="617">
        <f>'[5]TGNPDCL MoD'!AE4+'[5]TGNPDCL MoD'!AE5</f>
        <v>11.46538527274676</v>
      </c>
      <c r="P186" s="617">
        <f>'[5]TGNPDCL MoD'!AF4+'[5]TGNPDCL MoD'!AF5</f>
        <v>13.016543631378051</v>
      </c>
      <c r="Q186" s="617">
        <f t="shared" ref="Q186:Q204" si="147">SUM(E186:P186)</f>
        <v>112.09259000000004</v>
      </c>
      <c r="R186" s="605"/>
      <c r="S186" s="605"/>
      <c r="T186" s="605"/>
    </row>
    <row r="187" spans="2:20" x14ac:dyDescent="0.25">
      <c r="B187" s="60"/>
      <c r="C187" s="822"/>
      <c r="D187" s="607" t="s">
        <v>352</v>
      </c>
      <c r="E187" s="617">
        <f>'[5]TGNPDCL MoD'!U6</f>
        <v>11.656884820206477</v>
      </c>
      <c r="F187" s="617">
        <f>'[5]TGNPDCL MoD'!V6</f>
        <v>13.567334557071746</v>
      </c>
      <c r="G187" s="617">
        <f>'[5]TGNPDCL MoD'!W6</f>
        <v>9.2835091738891169</v>
      </c>
      <c r="H187" s="617">
        <f>'[5]TGNPDCL MoD'!X6</f>
        <v>9.8960141301391715</v>
      </c>
      <c r="I187" s="617">
        <f>'[5]TGNPDCL MoD'!Y6</f>
        <v>10.82790730023982</v>
      </c>
      <c r="J187" s="617">
        <f>'[5]TGNPDCL MoD'!Z6</f>
        <v>9.134177050767665</v>
      </c>
      <c r="K187" s="617">
        <f>'[5]TGNPDCL MoD'!AA6</f>
        <v>12.651997060721204</v>
      </c>
      <c r="L187" s="617">
        <f>'[5]TGNPDCL MoD'!AB6</f>
        <v>7.2114308014225541</v>
      </c>
      <c r="M187" s="617">
        <f>'[5]TGNPDCL MoD'!AC6</f>
        <v>10.085155514357485</v>
      </c>
      <c r="N187" s="617">
        <f>'[5]TGNPDCL MoD'!AD6</f>
        <v>10.400370465169125</v>
      </c>
      <c r="O187" s="617">
        <f>'[5]TGNPDCL MoD'!AE6</f>
        <v>11.718142712335553</v>
      </c>
      <c r="P187" s="617">
        <f>'[5]TGNPDCL MoD'!AF6</f>
        <v>13.8420964136801</v>
      </c>
      <c r="Q187" s="617">
        <f t="shared" si="147"/>
        <v>130.27502000000001</v>
      </c>
      <c r="R187" s="605"/>
      <c r="S187" s="605"/>
      <c r="T187" s="605"/>
    </row>
    <row r="188" spans="2:20" x14ac:dyDescent="0.25">
      <c r="B188" s="60"/>
      <c r="C188" s="822"/>
      <c r="D188" s="607" t="s">
        <v>353</v>
      </c>
      <c r="E188" s="617">
        <f>'[5]TGNPDCL MoD'!U7</f>
        <v>37.574647996584829</v>
      </c>
      <c r="F188" s="617">
        <f>'[5]TGNPDCL MoD'!V7</f>
        <v>0</v>
      </c>
      <c r="G188" s="617">
        <f>'[5]TGNPDCL MoD'!W7</f>
        <v>14.104982437136234</v>
      </c>
      <c r="H188" s="617">
        <f>'[5]TGNPDCL MoD'!X7</f>
        <v>30.11314161221609</v>
      </c>
      <c r="I188" s="617">
        <f>'[5]TGNPDCL MoD'!Y7</f>
        <v>37.234126884580263</v>
      </c>
      <c r="J188" s="617">
        <f>'[5]TGNPDCL MoD'!Z7</f>
        <v>29.139963716281454</v>
      </c>
      <c r="K188" s="617">
        <f>'[5]TGNPDCL MoD'!AA7</f>
        <v>40.987846643507154</v>
      </c>
      <c r="L188" s="617">
        <f>'[5]TGNPDCL MoD'!AB7</f>
        <v>43.73816903425989</v>
      </c>
      <c r="M188" s="617">
        <f>'[5]TGNPDCL MoD'!AC7</f>
        <v>34.81335248380406</v>
      </c>
      <c r="N188" s="617">
        <f>'[5]TGNPDCL MoD'!AD7</f>
        <v>36.01651895681993</v>
      </c>
      <c r="O188" s="617">
        <f>'[5]TGNPDCL MoD'!AE7</f>
        <v>35.877288660613203</v>
      </c>
      <c r="P188" s="617">
        <f>'[5]TGNPDCL MoD'!AF7</f>
        <v>43.314751574196904</v>
      </c>
      <c r="Q188" s="617">
        <f t="shared" si="147"/>
        <v>382.91479000000004</v>
      </c>
      <c r="R188" s="605"/>
      <c r="S188" s="605"/>
      <c r="T188" s="605"/>
    </row>
    <row r="189" spans="2:20" x14ac:dyDescent="0.25">
      <c r="B189" s="60"/>
      <c r="C189" s="822"/>
      <c r="D189" s="607" t="s">
        <v>354</v>
      </c>
      <c r="E189" s="617">
        <f>'[5]TGNPDCL MoD'!U8</f>
        <v>0</v>
      </c>
      <c r="F189" s="617">
        <f>'[5]TGNPDCL MoD'!V8</f>
        <v>0</v>
      </c>
      <c r="G189" s="617">
        <f>'[5]TGNPDCL MoD'!W8</f>
        <v>0</v>
      </c>
      <c r="H189" s="617">
        <f>'[5]TGNPDCL MoD'!X8</f>
        <v>0</v>
      </c>
      <c r="I189" s="617">
        <f>'[5]TGNPDCL MoD'!Y8</f>
        <v>0</v>
      </c>
      <c r="J189" s="617">
        <f>'[5]TGNPDCL MoD'!Z8</f>
        <v>0</v>
      </c>
      <c r="K189" s="617">
        <f>'[5]TGNPDCL MoD'!AA8</f>
        <v>0</v>
      </c>
      <c r="L189" s="617">
        <f>'[5]TGNPDCL MoD'!AB8</f>
        <v>0</v>
      </c>
      <c r="M189" s="617">
        <f>'[5]TGNPDCL MoD'!AC8</f>
        <v>0</v>
      </c>
      <c r="N189" s="617">
        <f>'[5]TGNPDCL MoD'!AD8</f>
        <v>0</v>
      </c>
      <c r="O189" s="617">
        <f>'[5]TGNPDCL MoD'!AE8</f>
        <v>0</v>
      </c>
      <c r="P189" s="617">
        <f>'[5]TGNPDCL MoD'!AF8</f>
        <v>0</v>
      </c>
      <c r="Q189" s="617">
        <f t="shared" si="147"/>
        <v>0</v>
      </c>
      <c r="R189" s="605"/>
      <c r="S189" s="605"/>
      <c r="T189" s="605"/>
    </row>
    <row r="190" spans="2:20" x14ac:dyDescent="0.25">
      <c r="B190" s="60"/>
      <c r="C190" s="822"/>
      <c r="D190" s="607" t="s">
        <v>355</v>
      </c>
      <c r="E190" s="617">
        <f>'[5]TGNPDCL MoD'!U9</f>
        <v>13.669730117324871</v>
      </c>
      <c r="F190" s="617">
        <f>'[5]TGNPDCL MoD'!V9</f>
        <v>13.40715097532458</v>
      </c>
      <c r="G190" s="617">
        <f>'[5]TGNPDCL MoD'!W9</f>
        <v>10.976311718382798</v>
      </c>
      <c r="H190" s="617">
        <f>'[5]TGNPDCL MoD'!X9</f>
        <v>10.67641593355261</v>
      </c>
      <c r="I190" s="617">
        <f>'[5]TGNPDCL MoD'!Y9</f>
        <v>12.240760530346275</v>
      </c>
      <c r="J190" s="617">
        <f>'[5]TGNPDCL MoD'!Z9</f>
        <v>10.149494252551138</v>
      </c>
      <c r="K190" s="617">
        <f>'[5]TGNPDCL MoD'!AA9</f>
        <v>0</v>
      </c>
      <c r="L190" s="617">
        <f>'[5]TGNPDCL MoD'!AB9</f>
        <v>6.9263234483243608</v>
      </c>
      <c r="M190" s="617">
        <f>'[5]TGNPDCL MoD'!AC9</f>
        <v>11.895066278859398</v>
      </c>
      <c r="N190" s="617">
        <f>'[5]TGNPDCL MoD'!AD9</f>
        <v>12.197483218152431</v>
      </c>
      <c r="O190" s="617">
        <f>'[5]TGNPDCL MoD'!AE9</f>
        <v>12.38283553578365</v>
      </c>
      <c r="P190" s="617">
        <f>'[5]TGNPDCL MoD'!AF9</f>
        <v>14.92001299139786</v>
      </c>
      <c r="Q190" s="617">
        <f t="shared" si="147"/>
        <v>129.44158499999998</v>
      </c>
      <c r="R190" s="605"/>
      <c r="S190" s="605"/>
      <c r="T190" s="605"/>
    </row>
    <row r="191" spans="2:20" x14ac:dyDescent="0.25">
      <c r="B191" s="60"/>
      <c r="C191" s="822"/>
      <c r="D191" s="607" t="s">
        <v>356</v>
      </c>
      <c r="E191" s="617">
        <f>'[5]TGNPDCL MoD'!U10</f>
        <v>18.181129204614667</v>
      </c>
      <c r="F191" s="617">
        <f>'[5]TGNPDCL MoD'!V10</f>
        <v>17.313603829970297</v>
      </c>
      <c r="G191" s="617">
        <f>'[5]TGNPDCL MoD'!W10</f>
        <v>16.772532497648477</v>
      </c>
      <c r="H191" s="617">
        <f>'[5]TGNPDCL MoD'!X10</f>
        <v>19.270788858625849</v>
      </c>
      <c r="I191" s="617">
        <f>'[5]TGNPDCL MoD'!Y10</f>
        <v>20.310450642992954</v>
      </c>
      <c r="J191" s="617">
        <f>'[5]TGNPDCL MoD'!Z10</f>
        <v>18.357658589462808</v>
      </c>
      <c r="K191" s="617">
        <f>'[5]TGNPDCL MoD'!AA10</f>
        <v>20.310450642992961</v>
      </c>
      <c r="L191" s="617">
        <f>'[5]TGNPDCL MoD'!AB10</f>
        <v>0</v>
      </c>
      <c r="M191" s="617">
        <f>'[5]TGNPDCL MoD'!AC10</f>
        <v>9.1163841349614021</v>
      </c>
      <c r="N191" s="617">
        <f>'[5]TGNPDCL MoD'!AD10</f>
        <v>19.167987794324603</v>
      </c>
      <c r="O191" s="617">
        <f>'[5]TGNPDCL MoD'!AE10</f>
        <v>18.344923161412996</v>
      </c>
      <c r="P191" s="617">
        <f>'[5]TGNPDCL MoD'!AF10</f>
        <v>20.310450642992961</v>
      </c>
      <c r="Q191" s="617">
        <f t="shared" si="147"/>
        <v>197.45635999999996</v>
      </c>
      <c r="R191" s="605"/>
      <c r="S191" s="605"/>
      <c r="T191" s="605"/>
    </row>
    <row r="192" spans="2:20" x14ac:dyDescent="0.25">
      <c r="B192" s="60"/>
      <c r="C192" s="822"/>
      <c r="D192" s="607" t="s">
        <v>357</v>
      </c>
      <c r="E192" s="617">
        <f>SUM('[5]TGNPDCL MoD'!U11:U14)</f>
        <v>36.720184614068621</v>
      </c>
      <c r="F192" s="617">
        <f>SUM('[5]TGNPDCL MoD'!V11:V14)</f>
        <v>26.356595322376755</v>
      </c>
      <c r="G192" s="617">
        <f>SUM('[5]TGNPDCL MoD'!W11:W14)</f>
        <v>30.028940198545548</v>
      </c>
      <c r="H192" s="617">
        <f>SUM('[5]TGNPDCL MoD'!X11:X14)</f>
        <v>34.500581772428063</v>
      </c>
      <c r="I192" s="617">
        <f>SUM('[5]TGNPDCL MoD'!Y11:Y14)</f>
        <v>31.13814869826917</v>
      </c>
      <c r="J192" s="617">
        <f>SUM('[5]TGNPDCL MoD'!Z11:Z14)</f>
        <v>26.787586939447745</v>
      </c>
      <c r="K192" s="617">
        <f>SUM('[5]TGNPDCL MoD'!AA11:AA14)</f>
        <v>42.003781672098874</v>
      </c>
      <c r="L192" s="617">
        <f>SUM('[5]TGNPDCL MoD'!AB11:AB14)</f>
        <v>38.320793205347314</v>
      </c>
      <c r="M192" s="617">
        <f>SUM('[5]TGNPDCL MoD'!AC11:AC14)</f>
        <v>37.278356233987751</v>
      </c>
      <c r="N192" s="617">
        <f>SUM('[5]TGNPDCL MoD'!AD11:AD14)</f>
        <v>38.793600096532266</v>
      </c>
      <c r="O192" s="617">
        <f>SUM('[5]TGNPDCL MoD'!AE11:AE14)</f>
        <v>37.938899574798981</v>
      </c>
      <c r="P192" s="617">
        <f>SUM('[5]TGNPDCL MoD'!AF11:AF14)</f>
        <v>42.003781672098874</v>
      </c>
      <c r="Q192" s="617">
        <f t="shared" si="147"/>
        <v>421.87124999999997</v>
      </c>
      <c r="R192" s="605"/>
      <c r="S192" s="605"/>
      <c r="T192" s="605"/>
    </row>
    <row r="193" spans="2:20" x14ac:dyDescent="0.25">
      <c r="B193" s="60"/>
      <c r="C193" s="822"/>
      <c r="D193" s="607" t="s">
        <v>358</v>
      </c>
      <c r="E193" s="617">
        <f>SUM('[5]TGNPDCL MoD'!U15:U19)</f>
        <v>112.64588644329653</v>
      </c>
      <c r="F193" s="617">
        <f>SUM('[5]TGNPDCL MoD'!V15:V19)</f>
        <v>113.65241724014652</v>
      </c>
      <c r="G193" s="617">
        <f>SUM('[5]TGNPDCL MoD'!W15:W19)</f>
        <v>143.64812735328735</v>
      </c>
      <c r="H193" s="617">
        <f>SUM('[5]TGNPDCL MoD'!X15:X19)</f>
        <v>183.26593700568424</v>
      </c>
      <c r="I193" s="617">
        <f>SUM('[5]TGNPDCL MoD'!Y15:Y19)</f>
        <v>190.61370149338137</v>
      </c>
      <c r="J193" s="617">
        <f>SUM('[5]TGNPDCL MoD'!Z15:Z19)</f>
        <v>168.99318952992596</v>
      </c>
      <c r="K193" s="617">
        <f>SUM('[5]TGNPDCL MoD'!AA15:AA19)</f>
        <v>216.9538672468704</v>
      </c>
      <c r="L193" s="617">
        <f>SUM('[5]TGNPDCL MoD'!AB15:AB19)</f>
        <v>138.88887023732883</v>
      </c>
      <c r="M193" s="617">
        <f>SUM('[5]TGNPDCL MoD'!AC15:AC19)</f>
        <v>151.90511570680081</v>
      </c>
      <c r="N193" s="617">
        <f>SUM('[5]TGNPDCL MoD'!AD15:AD19)</f>
        <v>183.77070057068531</v>
      </c>
      <c r="O193" s="617">
        <f>SUM('[5]TGNPDCL MoD'!AE15:AE19)</f>
        <v>187.80426156875757</v>
      </c>
      <c r="P193" s="617">
        <f>SUM('[5]TGNPDCL MoD'!AF15:AF19)</f>
        <v>227.4053698538346</v>
      </c>
      <c r="Q193" s="617">
        <f t="shared" si="147"/>
        <v>2019.5474442499994</v>
      </c>
      <c r="R193" s="605"/>
      <c r="S193" s="605"/>
      <c r="T193" s="605"/>
    </row>
    <row r="194" spans="2:20" hidden="1" x14ac:dyDescent="0.25">
      <c r="B194" s="60"/>
      <c r="C194" s="822"/>
      <c r="D194" s="622"/>
      <c r="E194" s="617"/>
      <c r="F194" s="617"/>
      <c r="G194" s="617"/>
      <c r="H194" s="617"/>
      <c r="I194" s="617"/>
      <c r="J194" s="617"/>
      <c r="K194" s="617"/>
      <c r="L194" s="617"/>
      <c r="M194" s="617"/>
      <c r="N194" s="617"/>
      <c r="O194" s="617"/>
      <c r="P194" s="617"/>
      <c r="Q194" s="617">
        <f t="shared" si="147"/>
        <v>0</v>
      </c>
      <c r="R194" s="605"/>
      <c r="S194" s="605"/>
      <c r="T194" s="605"/>
    </row>
    <row r="195" spans="2:20" hidden="1" x14ac:dyDescent="0.25">
      <c r="B195" s="60"/>
      <c r="C195" s="822"/>
      <c r="D195" s="607"/>
      <c r="E195" s="617"/>
      <c r="F195" s="617"/>
      <c r="G195" s="617"/>
      <c r="H195" s="617"/>
      <c r="I195" s="617"/>
      <c r="J195" s="617"/>
      <c r="K195" s="617"/>
      <c r="L195" s="617"/>
      <c r="M195" s="617"/>
      <c r="N195" s="617"/>
      <c r="O195" s="617"/>
      <c r="P195" s="617"/>
      <c r="Q195" s="617">
        <f t="shared" si="147"/>
        <v>0</v>
      </c>
      <c r="R195" s="605"/>
      <c r="S195" s="605"/>
      <c r="T195" s="605"/>
    </row>
    <row r="196" spans="2:20" hidden="1" x14ac:dyDescent="0.25">
      <c r="B196" s="60"/>
      <c r="C196" s="822"/>
      <c r="D196" s="607"/>
      <c r="E196" s="617"/>
      <c r="F196" s="617"/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>
        <f t="shared" si="147"/>
        <v>0</v>
      </c>
      <c r="R196" s="605"/>
      <c r="S196" s="605"/>
      <c r="T196" s="605"/>
    </row>
    <row r="197" spans="2:20" hidden="1" x14ac:dyDescent="0.25">
      <c r="B197" s="60"/>
      <c r="C197" s="822"/>
      <c r="D197" s="607"/>
      <c r="E197" s="617"/>
      <c r="F197" s="617"/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>
        <f t="shared" si="147"/>
        <v>0</v>
      </c>
      <c r="R197" s="605"/>
      <c r="S197" s="605"/>
      <c r="T197" s="605"/>
    </row>
    <row r="198" spans="2:20" hidden="1" x14ac:dyDescent="0.25">
      <c r="B198" s="60"/>
      <c r="C198" s="822"/>
      <c r="D198" s="607"/>
      <c r="E198" s="617"/>
      <c r="F198" s="617"/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>
        <f t="shared" si="147"/>
        <v>0</v>
      </c>
      <c r="R198" s="605"/>
      <c r="S198" s="605"/>
      <c r="T198" s="605"/>
    </row>
    <row r="199" spans="2:20" hidden="1" x14ac:dyDescent="0.25">
      <c r="B199" s="60"/>
      <c r="C199" s="822"/>
      <c r="D199" s="607"/>
      <c r="E199" s="617"/>
      <c r="F199" s="617"/>
      <c r="G199" s="617"/>
      <c r="H199" s="617"/>
      <c r="I199" s="617"/>
      <c r="J199" s="617"/>
      <c r="K199" s="617"/>
      <c r="L199" s="617"/>
      <c r="M199" s="617"/>
      <c r="N199" s="617"/>
      <c r="O199" s="617"/>
      <c r="P199" s="617"/>
      <c r="Q199" s="617">
        <f t="shared" si="147"/>
        <v>0</v>
      </c>
      <c r="R199" s="605"/>
      <c r="S199" s="605"/>
      <c r="T199" s="605"/>
    </row>
    <row r="200" spans="2:20" hidden="1" x14ac:dyDescent="0.25">
      <c r="B200" s="60"/>
      <c r="C200" s="822"/>
      <c r="D200" s="607"/>
      <c r="E200" s="617"/>
      <c r="F200" s="617"/>
      <c r="G200" s="617"/>
      <c r="H200" s="617"/>
      <c r="I200" s="617"/>
      <c r="J200" s="617"/>
      <c r="K200" s="617"/>
      <c r="L200" s="617"/>
      <c r="M200" s="617"/>
      <c r="N200" s="617"/>
      <c r="O200" s="617"/>
      <c r="P200" s="617"/>
      <c r="Q200" s="617">
        <f t="shared" si="147"/>
        <v>0</v>
      </c>
      <c r="R200" s="605"/>
      <c r="S200" s="605"/>
      <c r="T200" s="605"/>
    </row>
    <row r="201" spans="2:20" hidden="1" x14ac:dyDescent="0.25">
      <c r="B201" s="60"/>
      <c r="C201" s="822"/>
      <c r="D201" s="607"/>
      <c r="E201" s="617"/>
      <c r="F201" s="617"/>
      <c r="G201" s="617"/>
      <c r="H201" s="617"/>
      <c r="I201" s="617"/>
      <c r="J201" s="617"/>
      <c r="K201" s="617"/>
      <c r="L201" s="617"/>
      <c r="M201" s="617"/>
      <c r="N201" s="617"/>
      <c r="O201" s="617"/>
      <c r="P201" s="617"/>
      <c r="Q201" s="617">
        <f t="shared" si="147"/>
        <v>0</v>
      </c>
      <c r="R201" s="605"/>
      <c r="S201" s="605"/>
      <c r="T201" s="605"/>
    </row>
    <row r="202" spans="2:20" hidden="1" x14ac:dyDescent="0.25">
      <c r="B202" s="60"/>
      <c r="C202" s="822"/>
      <c r="D202" s="607"/>
      <c r="E202" s="617"/>
      <c r="F202" s="617"/>
      <c r="G202" s="617"/>
      <c r="H202" s="617"/>
      <c r="I202" s="617"/>
      <c r="J202" s="617"/>
      <c r="K202" s="617"/>
      <c r="L202" s="617"/>
      <c r="M202" s="617"/>
      <c r="N202" s="617"/>
      <c r="O202" s="617"/>
      <c r="P202" s="617"/>
      <c r="Q202" s="617">
        <f t="shared" si="147"/>
        <v>0</v>
      </c>
      <c r="R202" s="605"/>
      <c r="S202" s="605"/>
      <c r="T202" s="605"/>
    </row>
    <row r="203" spans="2:20" hidden="1" x14ac:dyDescent="0.25">
      <c r="B203" s="60"/>
      <c r="C203" s="823"/>
      <c r="D203" s="607"/>
      <c r="E203" s="617"/>
      <c r="F203" s="617"/>
      <c r="G203" s="617"/>
      <c r="H203" s="617"/>
      <c r="I203" s="617"/>
      <c r="J203" s="617"/>
      <c r="K203" s="617"/>
      <c r="L203" s="617"/>
      <c r="M203" s="617"/>
      <c r="N203" s="617"/>
      <c r="O203" s="617"/>
      <c r="P203" s="617"/>
      <c r="Q203" s="617">
        <f t="shared" si="147"/>
        <v>0</v>
      </c>
      <c r="R203" s="605"/>
      <c r="S203" s="605"/>
      <c r="T203" s="605"/>
    </row>
    <row r="204" spans="2:20" x14ac:dyDescent="0.25">
      <c r="C204" s="811" t="s">
        <v>212</v>
      </c>
      <c r="D204" s="812"/>
      <c r="E204" s="617">
        <f t="shared" ref="E204:P204" si="148">SUM(E186:E203)</f>
        <v>240.67962409736668</v>
      </c>
      <c r="F204" s="617">
        <f t="shared" si="148"/>
        <v>193.76367911134668</v>
      </c>
      <c r="G204" s="617">
        <f t="shared" si="148"/>
        <v>233.97560710771864</v>
      </c>
      <c r="H204" s="617">
        <f t="shared" si="148"/>
        <v>287.722879312646</v>
      </c>
      <c r="I204" s="617">
        <f t="shared" si="148"/>
        <v>307.25974625417098</v>
      </c>
      <c r="J204" s="617">
        <f t="shared" si="148"/>
        <v>271.72327380726591</v>
      </c>
      <c r="K204" s="617">
        <f t="shared" si="148"/>
        <v>344.31086578624081</v>
      </c>
      <c r="L204" s="617">
        <f t="shared" si="148"/>
        <v>248.62150517779492</v>
      </c>
      <c r="M204" s="617">
        <f t="shared" si="148"/>
        <v>264.88273176149323</v>
      </c>
      <c r="N204" s="617">
        <f t="shared" si="148"/>
        <v>310.31438356792751</v>
      </c>
      <c r="O204" s="617">
        <f t="shared" si="148"/>
        <v>315.53173648644872</v>
      </c>
      <c r="P204" s="617">
        <f t="shared" si="148"/>
        <v>374.81300677957938</v>
      </c>
      <c r="Q204" s="618">
        <f t="shared" si="147"/>
        <v>3393.5990392499989</v>
      </c>
      <c r="R204" s="605"/>
      <c r="S204" s="605"/>
      <c r="T204" s="605"/>
    </row>
    <row r="205" spans="2:20" x14ac:dyDescent="0.25">
      <c r="C205" s="811" t="s">
        <v>359</v>
      </c>
      <c r="D205" s="812"/>
      <c r="E205" s="607"/>
      <c r="F205" s="607"/>
      <c r="G205" s="607"/>
      <c r="H205" s="607"/>
      <c r="I205" s="607"/>
      <c r="J205" s="607"/>
      <c r="K205" s="607"/>
      <c r="L205" s="607"/>
      <c r="M205" s="607"/>
      <c r="N205" s="607"/>
      <c r="O205" s="607"/>
      <c r="P205" s="607"/>
      <c r="Q205" s="607"/>
      <c r="R205" s="605"/>
      <c r="S205" s="605"/>
      <c r="T205" s="605"/>
    </row>
    <row r="206" spans="2:20" x14ac:dyDescent="0.25">
      <c r="C206" s="821" t="s">
        <v>350</v>
      </c>
      <c r="D206" s="607" t="s">
        <v>360</v>
      </c>
      <c r="E206" s="617">
        <f>SUM('[5]TGNPDCL MoD'!U81:U86)</f>
        <v>0.47538330538068124</v>
      </c>
      <c r="F206" s="617">
        <f>SUM('[5]TGNPDCL MoD'!V81:V86)</f>
        <v>0.50940572023140274</v>
      </c>
      <c r="G206" s="617">
        <f>SUM('[5]TGNPDCL MoD'!W81:W86)</f>
        <v>0.52776899376009923</v>
      </c>
      <c r="H206" s="617">
        <f>SUM('[5]TGNPDCL MoD'!X81:X86)</f>
        <v>1.153822254626218</v>
      </c>
      <c r="I206" s="617">
        <f>SUM('[5]TGNPDCL MoD'!Y81:Y86)</f>
        <v>2.7089640223724998</v>
      </c>
      <c r="J206" s="617">
        <f>SUM('[5]TGNPDCL MoD'!Z81:Z86)</f>
        <v>1.3682066196119451</v>
      </c>
      <c r="K206" s="617">
        <f>SUM('[5]TGNPDCL MoD'!AA81:AA86)</f>
        <v>1.5081097877931708</v>
      </c>
      <c r="L206" s="617">
        <f>SUM('[5]TGNPDCL MoD'!AB81:AB86)</f>
        <v>0.51725048505656313</v>
      </c>
      <c r="M206" s="617">
        <f>SUM('[5]TGNPDCL MoD'!AC81:AC86)</f>
        <v>0.88734578826338883</v>
      </c>
      <c r="N206" s="617">
        <f>SUM('[5]TGNPDCL MoD'!AD81:AD86)</f>
        <v>1.6931778293690214</v>
      </c>
      <c r="O206" s="617">
        <f>SUM('[5]TGNPDCL MoD'!AE81:AE86)</f>
        <v>1.5206629797895084</v>
      </c>
      <c r="P206" s="617">
        <f>SUM('[5]TGNPDCL MoD'!AF81:AF86)</f>
        <v>0.70635221374549828</v>
      </c>
      <c r="Q206" s="617">
        <f>SUM(E206:P206)</f>
        <v>13.576449999999996</v>
      </c>
      <c r="R206" s="605"/>
      <c r="S206" s="605"/>
      <c r="T206" s="605"/>
    </row>
    <row r="207" spans="2:20" x14ac:dyDescent="0.25">
      <c r="C207" s="822"/>
      <c r="D207" s="607" t="s">
        <v>361</v>
      </c>
      <c r="E207" s="617">
        <f>SUM('[5]TGNPDCL MoD'!U59:U66)</f>
        <v>3.0384692543846583</v>
      </c>
      <c r="F207" s="617">
        <f>SUM('[5]TGNPDCL MoD'!V59:V66)</f>
        <v>3.2559275881413625</v>
      </c>
      <c r="G207" s="617">
        <f>SUM('[5]TGNPDCL MoD'!W59:W66)</f>
        <v>3.3732986472325495</v>
      </c>
      <c r="H207" s="617">
        <f>SUM('[5]TGNPDCL MoD'!X59:X66)</f>
        <v>7.3747929429265575</v>
      </c>
      <c r="I207" s="617">
        <f>SUM('[5]TGNPDCL MoD'!Y59:Y66)</f>
        <v>17.314667553631622</v>
      </c>
      <c r="J207" s="617">
        <f>SUM('[5]TGNPDCL MoD'!Z59:Z66)</f>
        <v>8.7450562530953437</v>
      </c>
      <c r="K207" s="617">
        <f>SUM('[5]TGNPDCL MoD'!AA59:AA66)</f>
        <v>9.6392640855922238</v>
      </c>
      <c r="L207" s="617">
        <f>SUM('[5]TGNPDCL MoD'!AB59:AB66)</f>
        <v>3.3060683407915641</v>
      </c>
      <c r="M207" s="617">
        <f>SUM('[5]TGNPDCL MoD'!AC59:AC66)</f>
        <v>5.6715767363495493</v>
      </c>
      <c r="N207" s="617">
        <f>SUM('[5]TGNPDCL MoD'!AD59:AD66)</f>
        <v>10.822148608318786</v>
      </c>
      <c r="O207" s="617">
        <f>SUM('[5]TGNPDCL MoD'!AE59:AE66)</f>
        <v>9.719499313656689</v>
      </c>
      <c r="P207" s="617">
        <f>SUM('[5]TGNPDCL MoD'!AF59:AF66)</f>
        <v>4.5147346571490603</v>
      </c>
      <c r="Q207" s="617">
        <f>SUM(E207:P207)</f>
        <v>86.775503981269964</v>
      </c>
      <c r="R207" s="605"/>
      <c r="S207" s="605"/>
      <c r="T207" s="605"/>
    </row>
    <row r="208" spans="2:20" x14ac:dyDescent="0.25">
      <c r="C208" s="822"/>
      <c r="D208" s="607" t="s">
        <v>362</v>
      </c>
      <c r="E208" s="617">
        <f>SUM('[5]TGNPDCL MoD'!U67:U72)</f>
        <v>3.923716869790657</v>
      </c>
      <c r="F208" s="617">
        <f>SUM('[5]TGNPDCL MoD'!V67:V72)</f>
        <v>4.2045309446431416</v>
      </c>
      <c r="G208" s="617">
        <f>SUM('[5]TGNPDCL MoD'!W67:W72)</f>
        <v>4.3560976599938783</v>
      </c>
      <c r="H208" s="617">
        <f>SUM('[5]TGNPDCL MoD'!X67:X72)</f>
        <v>9.5234136200710644</v>
      </c>
      <c r="I208" s="617">
        <f>SUM('[5]TGNPDCL MoD'!Y67:Y72)</f>
        <v>22.359236670558271</v>
      </c>
      <c r="J208" s="617">
        <f>SUM('[5]TGNPDCL MoD'!Z67:Z72)</f>
        <v>11.292898454714647</v>
      </c>
      <c r="K208" s="617">
        <f>SUM('[5]TGNPDCL MoD'!AA67:AA72)</f>
        <v>12.447630677989192</v>
      </c>
      <c r="L208" s="617">
        <f>SUM('[5]TGNPDCL MoD'!AB67:AB72)</f>
        <v>4.2692800339267309</v>
      </c>
      <c r="M208" s="617">
        <f>SUM('[5]TGNPDCL MoD'!AC67:AC72)</f>
        <v>7.3239712024776464</v>
      </c>
      <c r="N208" s="617">
        <f>SUM('[5]TGNPDCL MoD'!AD67:AD72)</f>
        <v>13.975144556939542</v>
      </c>
      <c r="O208" s="617">
        <f>SUM('[5]TGNPDCL MoD'!AE67:AE72)</f>
        <v>12.551242165073925</v>
      </c>
      <c r="P208" s="617">
        <f>SUM('[5]TGNPDCL MoD'!AF67:AF72)</f>
        <v>5.830087143821304</v>
      </c>
      <c r="Q208" s="617">
        <f>SUM(E208:P208)</f>
        <v>112.05725000000001</v>
      </c>
      <c r="R208" s="605"/>
      <c r="S208" s="605"/>
      <c r="T208" s="605"/>
    </row>
    <row r="209" spans="3:20" x14ac:dyDescent="0.25">
      <c r="C209" s="822"/>
      <c r="D209" s="607" t="s">
        <v>363</v>
      </c>
      <c r="E209" s="617">
        <f>SUM('[5]TGNPDCL MoD'!U87:U92)</f>
        <v>2.2231645728204135</v>
      </c>
      <c r="F209" s="617">
        <f>SUM('[5]TGNPDCL MoD'!V87:V92)</f>
        <v>2.3822728682144927</v>
      </c>
      <c r="G209" s="617">
        <f>SUM('[5]TGNPDCL MoD'!W87:W92)</f>
        <v>2.4681500512958743</v>
      </c>
      <c r="H209" s="617">
        <f>SUM('[5]TGNPDCL MoD'!X87:X92)</f>
        <v>5.3959336198452572</v>
      </c>
      <c r="I209" s="617">
        <f>SUM('[5]TGNPDCL MoD'!Y87:Y92)</f>
        <v>12.668667105928145</v>
      </c>
      <c r="J209" s="617">
        <f>SUM('[5]TGNPDCL MoD'!Z87:Z92)</f>
        <v>6.3985176816082276</v>
      </c>
      <c r="K209" s="617">
        <f>SUM('[5]TGNPDCL MoD'!AA87:AA92)</f>
        <v>7.0527850141069353</v>
      </c>
      <c r="L209" s="617">
        <f>SUM('[5]TGNPDCL MoD'!AB87:AB92)</f>
        <v>2.4189594809836108</v>
      </c>
      <c r="M209" s="617">
        <f>SUM('[5]TGNPDCL MoD'!AC87:AC92)</f>
        <v>4.1497370605575705</v>
      </c>
      <c r="N209" s="617">
        <f>SUM('[5]TGNPDCL MoD'!AD87:AD92)</f>
        <v>7.9182691590817207</v>
      </c>
      <c r="O209" s="617">
        <f>SUM('[5]TGNPDCL MoD'!AE87:AE92)</f>
        <v>7.1114909286945815</v>
      </c>
      <c r="P209" s="617">
        <f>SUM('[5]TGNPDCL MoD'!AF87:AF92)</f>
        <v>3.3033074568631666</v>
      </c>
      <c r="Q209" s="617">
        <f>SUM(E209:P209)</f>
        <v>63.491254999999995</v>
      </c>
      <c r="R209" s="605"/>
      <c r="S209" s="605"/>
      <c r="T209" s="605"/>
    </row>
    <row r="210" spans="3:20" x14ac:dyDescent="0.25">
      <c r="C210" s="822"/>
      <c r="D210" s="607" t="s">
        <v>364</v>
      </c>
      <c r="E210" s="617">
        <f>SUM('[5]TGNPDCL MoD'!U93:U96)</f>
        <v>0.96592525412165775</v>
      </c>
      <c r="F210" s="617">
        <f>SUM('[5]TGNPDCL MoD'!V93:V96)</f>
        <v>1.0350549634289696</v>
      </c>
      <c r="G210" s="617">
        <f>SUM('[5]TGNPDCL MoD'!W93:W96)</f>
        <v>1.0723670638938945</v>
      </c>
      <c r="H210" s="617">
        <f>SUM('[5]TGNPDCL MoD'!X93:X96)</f>
        <v>2.3444366722524488</v>
      </c>
      <c r="I210" s="617">
        <f>SUM('[5]TGNPDCL MoD'!Y93:Y96)</f>
        <v>5.5043093270202226</v>
      </c>
      <c r="J210" s="617">
        <f>SUM('[5]TGNPDCL MoD'!Z93:Z96)</f>
        <v>2.7800415197191102</v>
      </c>
      <c r="K210" s="617">
        <f>SUM('[5]TGNPDCL MoD'!AA93:AA96)</f>
        <v>3.0643089766287721</v>
      </c>
      <c r="L210" s="617">
        <f>SUM('[5]TGNPDCL MoD'!AB93:AB96)</f>
        <v>1.0509946406778372</v>
      </c>
      <c r="M210" s="617">
        <f>SUM('[5]TGNPDCL MoD'!AC93:AC96)</f>
        <v>1.8029865506861533</v>
      </c>
      <c r="N210" s="617">
        <f>SUM('[5]TGNPDCL MoD'!AD93:AD96)</f>
        <v>3.4403463617569701</v>
      </c>
      <c r="O210" s="617">
        <f>SUM('[5]TGNPDCL MoD'!AE93:AE96)</f>
        <v>3.0898156467870566</v>
      </c>
      <c r="P210" s="617">
        <f>SUM('[5]TGNPDCL MoD'!AF93:AF96)</f>
        <v>1.4352280230269168</v>
      </c>
      <c r="Q210" s="617">
        <f t="shared" ref="Q210:Q216" si="149">SUM(E210:P210)</f>
        <v>27.585815000000007</v>
      </c>
      <c r="R210" s="605"/>
      <c r="S210" s="605"/>
      <c r="T210" s="605"/>
    </row>
    <row r="211" spans="3:20" x14ac:dyDescent="0.25">
      <c r="C211" s="822"/>
      <c r="D211" s="596" t="s">
        <v>365</v>
      </c>
      <c r="E211" s="617">
        <f>SUM('[5]TGNPDCL MoD'!U77:U78)</f>
        <v>5.2591211658166478E-2</v>
      </c>
      <c r="F211" s="617">
        <f>SUM('[5]TGNPDCL MoD'!V77:V78)</f>
        <v>5.6355079678528298E-2</v>
      </c>
      <c r="G211" s="617">
        <f>SUM('[5]TGNPDCL MoD'!W77:W78)</f>
        <v>5.8386591500574979E-2</v>
      </c>
      <c r="H211" s="617">
        <f>SUM('[5]TGNPDCL MoD'!X77:X78)</f>
        <v>0.12764627979595899</v>
      </c>
      <c r="I211" s="617">
        <f>SUM('[5]TGNPDCL MoD'!Y77:Y78)</f>
        <v>0.29969016299565626</v>
      </c>
      <c r="J211" s="617">
        <f>SUM('[5]TGNPDCL MoD'!Z77:Z78)</f>
        <v>0.15136342212626724</v>
      </c>
      <c r="K211" s="617">
        <f>SUM('[5]TGNPDCL MoD'!AA77:AA78)</f>
        <v>0.16684077912679335</v>
      </c>
      <c r="L211" s="617">
        <f>SUM('[5]TGNPDCL MoD'!AB77:AB78)</f>
        <v>5.7222938693893097E-2</v>
      </c>
      <c r="M211" s="617">
        <f>SUM('[5]TGNPDCL MoD'!AC77:AC78)</f>
        <v>9.8166236879463811E-2</v>
      </c>
      <c r="N211" s="617">
        <f>SUM('[5]TGNPDCL MoD'!AD77:AD78)</f>
        <v>0.18731468394321063</v>
      </c>
      <c r="O211" s="617">
        <f>SUM('[5]TGNPDCL MoD'!AE77:AE78)</f>
        <v>0.16822952704829702</v>
      </c>
      <c r="P211" s="617">
        <f>SUM('[5]TGNPDCL MoD'!AF77:AF78)</f>
        <v>7.8143086553189606E-2</v>
      </c>
      <c r="Q211" s="617">
        <f t="shared" si="149"/>
        <v>1.5019499999999999</v>
      </c>
      <c r="R211" s="605"/>
      <c r="S211" s="605"/>
      <c r="T211" s="605"/>
    </row>
    <row r="212" spans="3:20" x14ac:dyDescent="0.25">
      <c r="C212" s="822"/>
      <c r="D212" s="611" t="s">
        <v>448</v>
      </c>
      <c r="E212" s="617">
        <f>SUM('[5]TGNPDCL MoD'!U73:U74)</f>
        <v>0.22352642871883224</v>
      </c>
      <c r="F212" s="617">
        <f>SUM('[5]TGNPDCL MoD'!V73:V74)</f>
        <v>0.23952385395841319</v>
      </c>
      <c r="G212" s="617">
        <f>SUM('[5]TGNPDCL MoD'!W73:W74)</f>
        <v>0.24815831146879988</v>
      </c>
      <c r="H212" s="617">
        <f>SUM('[5]TGNPDCL MoD'!X73:X74)</f>
        <v>0.54253013312358256</v>
      </c>
      <c r="I212" s="617">
        <f>SUM('[5]TGNPDCL MoD'!Y73:Y74)</f>
        <v>1.2737617131165995</v>
      </c>
      <c r="J212" s="617">
        <f>SUM('[5]TGNPDCL MoD'!Z73:Z74)</f>
        <v>0.64333420204232605</v>
      </c>
      <c r="K212" s="617">
        <f>SUM('[5]TGNPDCL MoD'!AA73:AA74)</f>
        <v>0.70911702444278313</v>
      </c>
      <c r="L212" s="617">
        <f>SUM('[5]TGNPDCL MoD'!AB73:AB74)</f>
        <v>0.24321248215730015</v>
      </c>
      <c r="M212" s="617">
        <f>SUM('[5]TGNPDCL MoD'!AC73:AC74)</f>
        <v>0.41723222680354743</v>
      </c>
      <c r="N212" s="617">
        <f>SUM('[5]TGNPDCL MoD'!AD73:AD74)</f>
        <v>0.79613648418235361</v>
      </c>
      <c r="O212" s="617">
        <f>SUM('[5]TGNPDCL MoD'!AE73:AE74)</f>
        <v>0.7150195669683691</v>
      </c>
      <c r="P212" s="617">
        <f>SUM('[5]TGNPDCL MoD'!AF73:AF74)</f>
        <v>0.33212859174711112</v>
      </c>
      <c r="Q212" s="617">
        <f t="shared" si="149"/>
        <v>6.3836810187300177</v>
      </c>
      <c r="R212" s="605"/>
      <c r="S212" s="605"/>
      <c r="T212" s="605"/>
    </row>
    <row r="213" spans="3:20" x14ac:dyDescent="0.25">
      <c r="C213" s="822"/>
      <c r="D213" s="611" t="s">
        <v>449</v>
      </c>
      <c r="E213" s="617">
        <f>SUM('[5]TGNPDCL MoD'!U79:U80)</f>
        <v>0.39307290313450782</v>
      </c>
      <c r="F213" s="617">
        <f>SUM('[5]TGNPDCL MoD'!V79:V80)</f>
        <v>0.42120449552669437</v>
      </c>
      <c r="G213" s="617">
        <f>SUM('[5]TGNPDCL MoD'!W79:W80)</f>
        <v>0.43638825388606228</v>
      </c>
      <c r="H213" s="617">
        <f>SUM('[5]TGNPDCL MoD'!X79:X80)</f>
        <v>0.954043312404386</v>
      </c>
      <c r="I213" s="617">
        <f>SUM('[5]TGNPDCL MoD'!Y79:Y80)</f>
        <v>2.2399195358957704</v>
      </c>
      <c r="J213" s="617">
        <f>SUM('[5]TGNPDCL MoD'!Z79:Z80)</f>
        <v>1.1313080244331486</v>
      </c>
      <c r="K213" s="617">
        <f>SUM('[5]TGNPDCL MoD'!AA79:AA80)</f>
        <v>1.2469876115206098</v>
      </c>
      <c r="L213" s="617">
        <f>SUM('[5]TGNPDCL MoD'!AB79:AB80)</f>
        <v>0.42769097590859173</v>
      </c>
      <c r="M213" s="617">
        <f>SUM('[5]TGNPDCL MoD'!AC79:AC80)</f>
        <v>0.73370600340615755</v>
      </c>
      <c r="N213" s="617">
        <f>SUM('[5]TGNPDCL MoD'!AD79:AD80)</f>
        <v>1.4000119848131969</v>
      </c>
      <c r="O213" s="617">
        <f>SUM('[5]TGNPDCL MoD'!AE79:AE80)</f>
        <v>1.2573672768680368</v>
      </c>
      <c r="P213" s="617">
        <f>SUM('[5]TGNPDCL MoD'!AF79:AF80)</f>
        <v>0.58405062220283976</v>
      </c>
      <c r="Q213" s="617">
        <f t="shared" si="149"/>
        <v>11.225751000000001</v>
      </c>
      <c r="R213" s="605"/>
      <c r="S213" s="605"/>
      <c r="T213" s="605"/>
    </row>
    <row r="214" spans="3:20" x14ac:dyDescent="0.25">
      <c r="C214" s="822"/>
      <c r="D214" s="611" t="s">
        <v>450</v>
      </c>
      <c r="E214" s="617">
        <v>0</v>
      </c>
      <c r="F214" s="617">
        <v>0</v>
      </c>
      <c r="G214" s="617">
        <v>0</v>
      </c>
      <c r="H214" s="617">
        <v>0</v>
      </c>
      <c r="I214" s="617">
        <v>0</v>
      </c>
      <c r="J214" s="617">
        <v>0</v>
      </c>
      <c r="K214" s="617">
        <v>0</v>
      </c>
      <c r="L214" s="617">
        <v>0</v>
      </c>
      <c r="M214" s="617">
        <v>0</v>
      </c>
      <c r="N214" s="617">
        <v>0</v>
      </c>
      <c r="O214" s="617">
        <v>0</v>
      </c>
      <c r="P214" s="617">
        <v>0</v>
      </c>
      <c r="Q214" s="617">
        <f t="shared" si="149"/>
        <v>0</v>
      </c>
      <c r="R214" s="605"/>
      <c r="S214" s="605"/>
      <c r="T214" s="605"/>
    </row>
    <row r="215" spans="3:20" x14ac:dyDescent="0.25">
      <c r="C215" s="822"/>
      <c r="D215" s="611" t="s">
        <v>458</v>
      </c>
      <c r="E215" s="617">
        <f>SUM('[5]TGNPDCL MoD'!U75:U76)</f>
        <v>5.2591211658166478E-2</v>
      </c>
      <c r="F215" s="617">
        <f>SUM('[5]TGNPDCL MoD'!V75:V76)</f>
        <v>5.6355079678528298E-2</v>
      </c>
      <c r="G215" s="617">
        <f>SUM('[5]TGNPDCL MoD'!W75:W76)</f>
        <v>5.8386591500574979E-2</v>
      </c>
      <c r="H215" s="617">
        <f>SUM('[5]TGNPDCL MoD'!X75:X76)</f>
        <v>0.12764627979595899</v>
      </c>
      <c r="I215" s="617">
        <f>SUM('[5]TGNPDCL MoD'!Y75:Y76)</f>
        <v>0.29969016299565626</v>
      </c>
      <c r="J215" s="617">
        <f>SUM('[5]TGNPDCL MoD'!Z75:Z76)</f>
        <v>0.15136342212626724</v>
      </c>
      <c r="K215" s="617">
        <f>SUM('[5]TGNPDCL MoD'!AA75:AA76)</f>
        <v>0.16684077912679335</v>
      </c>
      <c r="L215" s="617">
        <f>SUM('[5]TGNPDCL MoD'!AB75:AB76)</f>
        <v>5.7222938693893097E-2</v>
      </c>
      <c r="M215" s="617">
        <f>SUM('[5]TGNPDCL MoD'!AC75:AC76)</f>
        <v>9.8166236879463811E-2</v>
      </c>
      <c r="N215" s="617">
        <f>SUM('[5]TGNPDCL MoD'!AD75:AD76)</f>
        <v>0.18731468394321063</v>
      </c>
      <c r="O215" s="617">
        <f>SUM('[5]TGNPDCL MoD'!AE75:AE76)</f>
        <v>0.16822952704829702</v>
      </c>
      <c r="P215" s="617">
        <f>SUM('[5]TGNPDCL MoD'!AF75:AF76)</f>
        <v>7.8143086553189606E-2</v>
      </c>
      <c r="Q215" s="617">
        <f t="shared" si="149"/>
        <v>1.5019499999999999</v>
      </c>
      <c r="R215" s="605"/>
      <c r="S215" s="605"/>
      <c r="T215" s="605"/>
    </row>
    <row r="216" spans="3:20" x14ac:dyDescent="0.25">
      <c r="C216" s="822"/>
      <c r="D216" s="611" t="s">
        <v>459</v>
      </c>
      <c r="E216" s="617">
        <f>SUM('[5]TGNPDCL MoD'!U57:U58)</f>
        <v>0.26204860208967179</v>
      </c>
      <c r="F216" s="617">
        <f>SUM('[5]TGNPDCL MoD'!V57:V58)</f>
        <v>0.28080299701779621</v>
      </c>
      <c r="G216" s="617">
        <f>SUM('[5]TGNPDCL MoD'!W57:W58)</f>
        <v>0.29092550259070799</v>
      </c>
      <c r="H216" s="617">
        <f>SUM('[5]TGNPDCL MoD'!X57:X58)</f>
        <v>0.63602887493625693</v>
      </c>
      <c r="I216" s="617">
        <f>SUM('[5]TGNPDCL MoD'!Y57:Y58)</f>
        <v>1.4932796905971795</v>
      </c>
      <c r="J216" s="617">
        <f>SUM('[5]TGNPDCL MoD'!Z57:Z58)</f>
        <v>0.75420534962209873</v>
      </c>
      <c r="K216" s="617">
        <f>SUM('[5]TGNPDCL MoD'!AA57:AA58)</f>
        <v>0.8313250743470727</v>
      </c>
      <c r="L216" s="617">
        <f>SUM('[5]TGNPDCL MoD'!AB57:AB58)</f>
        <v>0.28512731727239438</v>
      </c>
      <c r="M216" s="617">
        <f>SUM('[5]TGNPDCL MoD'!AC57:AC58)</f>
        <v>0.48913733560410488</v>
      </c>
      <c r="N216" s="617">
        <f>SUM('[5]TGNPDCL MoD'!AD57:AD58)</f>
        <v>0.93334132320879737</v>
      </c>
      <c r="O216" s="617">
        <f>SUM('[5]TGNPDCL MoD'!AE57:AE58)</f>
        <v>0.83824485124535764</v>
      </c>
      <c r="P216" s="617">
        <f>SUM('[5]TGNPDCL MoD'!AF57:AF58)</f>
        <v>0.38936708146855964</v>
      </c>
      <c r="Q216" s="617">
        <f t="shared" si="149"/>
        <v>7.4838339999999972</v>
      </c>
      <c r="R216" s="605"/>
      <c r="S216" s="605"/>
      <c r="T216" s="605"/>
    </row>
    <row r="217" spans="3:20" x14ac:dyDescent="0.25">
      <c r="C217" s="822"/>
      <c r="D217" s="607"/>
      <c r="E217" s="607"/>
      <c r="F217" s="607"/>
      <c r="G217" s="607"/>
      <c r="H217" s="607"/>
      <c r="I217" s="607"/>
      <c r="J217" s="607"/>
      <c r="K217" s="607"/>
      <c r="L217" s="607"/>
      <c r="M217" s="607"/>
      <c r="N217" s="607"/>
      <c r="O217" s="607"/>
      <c r="P217" s="607"/>
      <c r="Q217" s="607">
        <v>0</v>
      </c>
      <c r="R217" s="605"/>
      <c r="S217" s="605"/>
      <c r="T217" s="605"/>
    </row>
    <row r="218" spans="3:20" x14ac:dyDescent="0.25">
      <c r="C218" s="822"/>
      <c r="D218" s="607"/>
      <c r="E218" s="607"/>
      <c r="F218" s="607"/>
      <c r="G218" s="607"/>
      <c r="H218" s="607"/>
      <c r="I218" s="607"/>
      <c r="J218" s="607"/>
      <c r="K218" s="607"/>
      <c r="L218" s="607"/>
      <c r="M218" s="607"/>
      <c r="N218" s="607"/>
      <c r="O218" s="607"/>
      <c r="P218" s="607"/>
      <c r="Q218" s="607">
        <f t="shared" ref="Q218:Q223" si="150">SUM(E218:P218)</f>
        <v>0</v>
      </c>
      <c r="R218" s="605"/>
      <c r="S218" s="605"/>
      <c r="T218" s="605"/>
    </row>
    <row r="219" spans="3:20" ht="27.6" x14ac:dyDescent="0.25">
      <c r="C219" s="822"/>
      <c r="D219" s="623" t="s">
        <v>1213</v>
      </c>
      <c r="E219" s="607"/>
      <c r="F219" s="607"/>
      <c r="G219" s="607"/>
      <c r="H219" s="607"/>
      <c r="I219" s="607"/>
      <c r="J219" s="607"/>
      <c r="K219" s="607"/>
      <c r="L219" s="607"/>
      <c r="M219" s="607"/>
      <c r="N219" s="607"/>
      <c r="O219" s="607"/>
      <c r="P219" s="607"/>
      <c r="Q219" s="606">
        <f>'[5]PP summary'!$J$59</f>
        <v>438.64596999999998</v>
      </c>
      <c r="R219" s="605"/>
      <c r="S219" s="605"/>
      <c r="T219" s="605"/>
    </row>
    <row r="220" spans="3:20" x14ac:dyDescent="0.25">
      <c r="C220" s="822"/>
      <c r="D220" s="622" t="s">
        <v>642</v>
      </c>
      <c r="E220" s="607"/>
      <c r="F220" s="607"/>
      <c r="G220" s="607"/>
      <c r="H220" s="607"/>
      <c r="I220" s="607"/>
      <c r="J220" s="607"/>
      <c r="K220" s="607"/>
      <c r="L220" s="607"/>
      <c r="M220" s="607"/>
      <c r="N220" s="607"/>
      <c r="O220" s="607"/>
      <c r="P220" s="607"/>
      <c r="Q220" s="606">
        <f>'[5]PP summary'!$J$60</f>
        <v>9.9099249999999994</v>
      </c>
      <c r="R220" s="605"/>
      <c r="S220" s="605"/>
      <c r="T220" s="605"/>
    </row>
    <row r="221" spans="3:20" x14ac:dyDescent="0.25">
      <c r="C221" s="822"/>
      <c r="D221" s="607"/>
      <c r="E221" s="607"/>
      <c r="F221" s="607"/>
      <c r="G221" s="607"/>
      <c r="H221" s="607"/>
      <c r="I221" s="607"/>
      <c r="J221" s="607"/>
      <c r="K221" s="607"/>
      <c r="L221" s="607"/>
      <c r="M221" s="607"/>
      <c r="N221" s="607"/>
      <c r="O221" s="607"/>
      <c r="P221" s="607"/>
      <c r="Q221" s="607">
        <f t="shared" si="150"/>
        <v>0</v>
      </c>
      <c r="R221" s="605"/>
      <c r="S221" s="605"/>
      <c r="T221" s="605"/>
    </row>
    <row r="222" spans="3:20" x14ac:dyDescent="0.25">
      <c r="C222" s="822"/>
      <c r="D222" s="607"/>
      <c r="E222" s="607"/>
      <c r="F222" s="607"/>
      <c r="G222" s="607"/>
      <c r="H222" s="607"/>
      <c r="I222" s="607"/>
      <c r="J222" s="607"/>
      <c r="K222" s="607"/>
      <c r="L222" s="607"/>
      <c r="M222" s="607"/>
      <c r="N222" s="607"/>
      <c r="O222" s="607"/>
      <c r="P222" s="607"/>
      <c r="Q222" s="607">
        <f t="shared" si="150"/>
        <v>0</v>
      </c>
      <c r="R222" s="605"/>
      <c r="S222" s="605"/>
      <c r="T222" s="605"/>
    </row>
    <row r="223" spans="3:20" x14ac:dyDescent="0.25">
      <c r="C223" s="823"/>
      <c r="D223" s="612"/>
      <c r="E223" s="607"/>
      <c r="F223" s="607"/>
      <c r="G223" s="607"/>
      <c r="H223" s="607"/>
      <c r="I223" s="607"/>
      <c r="J223" s="607"/>
      <c r="K223" s="607"/>
      <c r="L223" s="607"/>
      <c r="M223" s="607"/>
      <c r="N223" s="607"/>
      <c r="O223" s="607"/>
      <c r="P223" s="607"/>
      <c r="Q223" s="607">
        <f t="shared" si="150"/>
        <v>0</v>
      </c>
      <c r="R223" s="605"/>
      <c r="S223" s="605"/>
      <c r="T223" s="605"/>
    </row>
    <row r="224" spans="3:20" x14ac:dyDescent="0.25">
      <c r="C224" s="811" t="s">
        <v>212</v>
      </c>
      <c r="D224" s="812"/>
      <c r="E224" s="606">
        <f>SUM(E206:E223)</f>
        <v>11.610489613757412</v>
      </c>
      <c r="F224" s="606">
        <f t="shared" ref="F224:P224" si="151">SUM(F206:F223)</f>
        <v>12.441433590519329</v>
      </c>
      <c r="G224" s="606">
        <f t="shared" si="151"/>
        <v>12.889927667123015</v>
      </c>
      <c r="H224" s="606">
        <f t="shared" si="151"/>
        <v>28.180293989777692</v>
      </c>
      <c r="I224" s="606">
        <f t="shared" si="151"/>
        <v>66.162185945111631</v>
      </c>
      <c r="J224" s="606">
        <f t="shared" si="151"/>
        <v>33.416294949099374</v>
      </c>
      <c r="K224" s="606">
        <f t="shared" si="151"/>
        <v>36.83320981067434</v>
      </c>
      <c r="L224" s="606">
        <f t="shared" si="151"/>
        <v>12.63302963416238</v>
      </c>
      <c r="M224" s="606">
        <f t="shared" si="151"/>
        <v>21.672025377907051</v>
      </c>
      <c r="N224" s="606">
        <f t="shared" si="151"/>
        <v>41.353205675556829</v>
      </c>
      <c r="O224" s="606">
        <f t="shared" si="151"/>
        <v>37.139801783180118</v>
      </c>
      <c r="P224" s="606">
        <f t="shared" si="151"/>
        <v>17.251541963130833</v>
      </c>
      <c r="Q224" s="609">
        <f>SUM(E224:P224)+Q219+Q220</f>
        <v>780.13933499999996</v>
      </c>
      <c r="R224" s="605"/>
      <c r="S224" s="605"/>
      <c r="T224" s="605"/>
    </row>
    <row r="225" spans="3:20" x14ac:dyDescent="0.25">
      <c r="C225" s="811" t="s">
        <v>368</v>
      </c>
      <c r="D225" s="812"/>
      <c r="E225" s="606">
        <f t="shared" ref="E225:Q225" si="152">E204+E224</f>
        <v>252.29011371112409</v>
      </c>
      <c r="F225" s="606">
        <f t="shared" si="152"/>
        <v>206.205112701866</v>
      </c>
      <c r="G225" s="606">
        <f t="shared" si="152"/>
        <v>246.86553477484165</v>
      </c>
      <c r="H225" s="606">
        <f t="shared" si="152"/>
        <v>315.90317330242368</v>
      </c>
      <c r="I225" s="606">
        <f t="shared" si="152"/>
        <v>373.42193219928259</v>
      </c>
      <c r="J225" s="606">
        <f t="shared" si="152"/>
        <v>305.13956875636529</v>
      </c>
      <c r="K225" s="606">
        <f t="shared" si="152"/>
        <v>381.14407559691517</v>
      </c>
      <c r="L225" s="606">
        <f t="shared" si="152"/>
        <v>261.25453481195729</v>
      </c>
      <c r="M225" s="606">
        <f t="shared" si="152"/>
        <v>286.55475713940029</v>
      </c>
      <c r="N225" s="606">
        <f t="shared" si="152"/>
        <v>351.66758924348431</v>
      </c>
      <c r="O225" s="606">
        <f t="shared" si="152"/>
        <v>352.67153826962885</v>
      </c>
      <c r="P225" s="606">
        <f t="shared" si="152"/>
        <v>392.0645487427102</v>
      </c>
      <c r="Q225" s="609">
        <f t="shared" si="152"/>
        <v>4173.7383742499987</v>
      </c>
      <c r="R225" s="605"/>
      <c r="S225" s="605"/>
      <c r="T225" s="605"/>
    </row>
    <row r="226" spans="3:20" x14ac:dyDescent="0.25">
      <c r="C226" s="813" t="s">
        <v>369</v>
      </c>
      <c r="D226" s="814"/>
      <c r="E226" s="607"/>
      <c r="F226" s="607"/>
      <c r="G226" s="607"/>
      <c r="H226" s="607"/>
      <c r="I226" s="607"/>
      <c r="J226" s="607"/>
      <c r="K226" s="607"/>
      <c r="L226" s="607"/>
      <c r="M226" s="607"/>
      <c r="N226" s="607"/>
      <c r="O226" s="607"/>
      <c r="P226" s="607"/>
      <c r="Q226" s="607"/>
      <c r="R226" s="605"/>
      <c r="S226" s="605"/>
      <c r="T226" s="605"/>
    </row>
    <row r="227" spans="3:20" x14ac:dyDescent="0.25">
      <c r="C227" s="811" t="s">
        <v>349</v>
      </c>
      <c r="D227" s="812"/>
      <c r="E227" s="607"/>
      <c r="F227" s="607"/>
      <c r="G227" s="607"/>
      <c r="H227" s="607"/>
      <c r="I227" s="607"/>
      <c r="J227" s="607"/>
      <c r="K227" s="607"/>
      <c r="L227" s="607"/>
      <c r="M227" s="607"/>
      <c r="N227" s="607"/>
      <c r="O227" s="607"/>
      <c r="P227" s="607"/>
      <c r="Q227" s="607"/>
      <c r="R227" s="605"/>
      <c r="S227" s="605"/>
      <c r="T227" s="605"/>
    </row>
    <row r="228" spans="3:20" x14ac:dyDescent="0.25">
      <c r="C228" s="821" t="s">
        <v>370</v>
      </c>
      <c r="D228" s="607" t="s">
        <v>371</v>
      </c>
      <c r="E228" s="606">
        <f>SUM('[5]TGNPDCL MoD'!U25:U30)</f>
        <v>4.7651172939857815</v>
      </c>
      <c r="F228" s="606">
        <f>SUM('[5]TGNPDCL MoD'!V25:V30)</f>
        <v>5.543601975815827</v>
      </c>
      <c r="G228" s="606">
        <f>SUM('[5]TGNPDCL MoD'!W25:W30)</f>
        <v>3.9854397303989511</v>
      </c>
      <c r="H228" s="606">
        <f>SUM('[5]TGNPDCL MoD'!X25:X30)</f>
        <v>4.2898830431377597</v>
      </c>
      <c r="I228" s="606">
        <f>SUM('[5]TGNPDCL MoD'!Y25:Y30)</f>
        <v>4.6862527819305333</v>
      </c>
      <c r="J228" s="606">
        <f>SUM('[5]TGNPDCL MoD'!Z25:Z30)</f>
        <v>3.9854397303989511</v>
      </c>
      <c r="K228" s="606">
        <f>SUM('[5]TGNPDCL MoD'!AA25:AA30)</f>
        <v>5.8342409386673477</v>
      </c>
      <c r="L228" s="606">
        <f>SUM('[5]TGNPDCL MoD'!AB25:AB30)</f>
        <v>6.8084595394315306</v>
      </c>
      <c r="M228" s="606">
        <f>SUM('[5]TGNPDCL MoD'!AC25:AC30)</f>
        <v>3.3294346628374845</v>
      </c>
      <c r="N228" s="606">
        <f>SUM('[5]TGNPDCL MoD'!AD25:AD30)</f>
        <v>3.4590660864718652</v>
      </c>
      <c r="O228" s="606">
        <f>SUM('[5]TGNPDCL MoD'!AE25:AE30)</f>
        <v>5.0695842848056092</v>
      </c>
      <c r="P228" s="606">
        <f>SUM('[5]TGNPDCL MoD'!AF25:AF30)</f>
        <v>6.1774315821183663</v>
      </c>
      <c r="Q228" s="606">
        <f t="shared" ref="Q228:Q253" si="153">SUM(E228:P228)</f>
        <v>57.933951650000012</v>
      </c>
      <c r="R228" s="605"/>
      <c r="S228" s="605"/>
      <c r="T228" s="605"/>
    </row>
    <row r="229" spans="3:20" x14ac:dyDescent="0.25">
      <c r="C229" s="822"/>
      <c r="D229" s="607" t="s">
        <v>372</v>
      </c>
      <c r="E229" s="606">
        <f>'[5]TGNPDCL MoD'!U31</f>
        <v>1.5684517990721509</v>
      </c>
      <c r="F229" s="606">
        <f>'[5]TGNPDCL MoD'!V31</f>
        <v>1.6701642803818946</v>
      </c>
      <c r="G229" s="606">
        <f>'[5]TGNPDCL MoD'!W31</f>
        <v>1.1763388493041125</v>
      </c>
      <c r="H229" s="606">
        <f>'[5]TGNPDCL MoD'!X31</f>
        <v>0</v>
      </c>
      <c r="I229" s="606">
        <f>'[5]TGNPDCL MoD'!Y31</f>
        <v>0.68374695615801384</v>
      </c>
      <c r="J229" s="606">
        <f>'[5]TGNPDCL MoD'!Z31</f>
        <v>1.1763388493041125</v>
      </c>
      <c r="K229" s="606">
        <f>'[5]TGNPDCL MoD'!AA31</f>
        <v>1.7130031351086152</v>
      </c>
      <c r="L229" s="606">
        <f>'[5]TGNPDCL MoD'!AB31</f>
        <v>2.0095788675611947</v>
      </c>
      <c r="M229" s="606">
        <f>'[5]TGNPDCL MoD'!AC31</f>
        <v>1.3168459896376599</v>
      </c>
      <c r="N229" s="606">
        <f>'[5]TGNPDCL MoD'!AD31</f>
        <v>1.3168459896376599</v>
      </c>
      <c r="O229" s="606">
        <f>'[5]TGNPDCL MoD'!AE31</f>
        <v>1.5553813674132169</v>
      </c>
      <c r="P229" s="606">
        <f>'[5]TGNPDCL MoD'!AF31</f>
        <v>1.823325216421376</v>
      </c>
      <c r="Q229" s="606">
        <f t="shared" si="153"/>
        <v>16.010021300000009</v>
      </c>
      <c r="R229" s="605"/>
      <c r="S229" s="605"/>
      <c r="T229" s="605"/>
    </row>
    <row r="230" spans="3:20" x14ac:dyDescent="0.25">
      <c r="C230" s="822"/>
      <c r="D230" s="607" t="s">
        <v>373</v>
      </c>
      <c r="E230" s="606">
        <f>SUM('[5]TGNPDCL MoD'!U42:U45)</f>
        <v>3.3388415482508282</v>
      </c>
      <c r="F230" s="606">
        <f>SUM('[5]TGNPDCL MoD'!V42:V45)</f>
        <v>3.3102658773423745</v>
      </c>
      <c r="G230" s="606">
        <f>SUM('[5]TGNPDCL MoD'!W42:W45)</f>
        <v>3.2034831071055243</v>
      </c>
      <c r="H230" s="606">
        <f>SUM('[5]TGNPDCL MoD'!X42:X45)</f>
        <v>2.8168278571359835</v>
      </c>
      <c r="I230" s="606">
        <f>SUM('[5]TGNPDCL MoD'!Y42:Y45)</f>
        <v>2.8166452790303689</v>
      </c>
      <c r="J230" s="606">
        <f>SUM('[5]TGNPDCL MoD'!Z42:Z45)</f>
        <v>3.4436238398858006</v>
      </c>
      <c r="K230" s="606">
        <f>SUM('[5]TGNPDCL MoD'!AA42:AA45)</f>
        <v>3.7298770448928167</v>
      </c>
      <c r="L230" s="606">
        <f>SUM('[5]TGNPDCL MoD'!AB42:AB45)</f>
        <v>2.5880997923031086</v>
      </c>
      <c r="M230" s="606">
        <f>SUM('[5]TGNPDCL MoD'!AC42:AC45)</f>
        <v>2.129291235373028</v>
      </c>
      <c r="N230" s="606">
        <f>SUM('[5]TGNPDCL MoD'!AD42:AD45)</f>
        <v>3.1317194719486756</v>
      </c>
      <c r="O230" s="606">
        <f>SUM('[5]TGNPDCL MoD'!AE42:AE45)</f>
        <v>3.3689212018386732</v>
      </c>
      <c r="P230" s="606">
        <f>SUM('[5]TGNPDCL MoD'!AF42:AF45)</f>
        <v>3.7298770448928167</v>
      </c>
      <c r="Q230" s="606">
        <f t="shared" si="153"/>
        <v>37.607473299999995</v>
      </c>
      <c r="R230" s="605"/>
      <c r="S230" s="605"/>
      <c r="T230" s="605"/>
    </row>
    <row r="231" spans="3:20" x14ac:dyDescent="0.25">
      <c r="C231" s="822"/>
      <c r="D231" s="607" t="s">
        <v>374</v>
      </c>
      <c r="E231" s="606">
        <f>'[5]TGNPDCL MoD'!U40</f>
        <v>10.956040990121156</v>
      </c>
      <c r="F231" s="606">
        <f>'[5]TGNPDCL MoD'!V40</f>
        <v>9.1270370070483473</v>
      </c>
      <c r="G231" s="606">
        <f>'[5]TGNPDCL MoD'!W40</f>
        <v>8.4829759342059408</v>
      </c>
      <c r="H231" s="606">
        <f>'[5]TGNPDCL MoD'!X40</f>
        <v>8.7657417986794748</v>
      </c>
      <c r="I231" s="606">
        <f>'[5]TGNPDCL MoD'!Y40</f>
        <v>9.1309810402911165</v>
      </c>
      <c r="J231" s="606">
        <f>'[5]TGNPDCL MoD'!Z40</f>
        <v>8.4829759342059408</v>
      </c>
      <c r="K231" s="606">
        <f>'[5]TGNPDCL MoD'!AA40</f>
        <v>11.247903425508992</v>
      </c>
      <c r="L231" s="606">
        <f>'[5]TGNPDCL MoD'!AB40</f>
        <v>7.1493521896933361</v>
      </c>
      <c r="M231" s="606">
        <f>'[5]TGNPDCL MoD'!AC40</f>
        <v>9.4566243011519653</v>
      </c>
      <c r="N231" s="606">
        <f>'[5]TGNPDCL MoD'!AD40</f>
        <v>9.4962202819027617</v>
      </c>
      <c r="O231" s="606">
        <f>'[5]TGNPDCL MoD'!AE40</f>
        <v>11.216379290783413</v>
      </c>
      <c r="P231" s="606">
        <f>'[5]TGNPDCL MoD'!AF40</f>
        <v>12.783373456407565</v>
      </c>
      <c r="Q231" s="606">
        <f t="shared" si="153"/>
        <v>116.29560565</v>
      </c>
      <c r="R231" s="605"/>
      <c r="S231" s="605"/>
      <c r="T231" s="605"/>
    </row>
    <row r="232" spans="3:20" x14ac:dyDescent="0.25">
      <c r="C232" s="822"/>
      <c r="D232" s="607" t="s">
        <v>375</v>
      </c>
      <c r="E232" s="606">
        <f>'[5]TGNPDCL MoD'!U41</f>
        <v>7.1742427257702115</v>
      </c>
      <c r="F232" s="606">
        <f>'[5]TGNPDCL MoD'!V41</f>
        <v>7.0563815290893173</v>
      </c>
      <c r="G232" s="606">
        <f>'[5]TGNPDCL MoD'!W41</f>
        <v>5.4219359038819883</v>
      </c>
      <c r="H232" s="606">
        <f>'[5]TGNPDCL MoD'!X41</f>
        <v>2.8013335503390269</v>
      </c>
      <c r="I232" s="606">
        <f>'[5]TGNPDCL MoD'!Y41</f>
        <v>6.1348969592137337</v>
      </c>
      <c r="J232" s="606">
        <f>'[5]TGNPDCL MoD'!Z41</f>
        <v>5.4219359038819883</v>
      </c>
      <c r="K232" s="606">
        <f>'[5]TGNPDCL MoD'!AA41</f>
        <v>7.4812570624900898</v>
      </c>
      <c r="L232" s="606">
        <f>'[5]TGNPDCL MoD'!AB41</f>
        <v>9.2624738357984029</v>
      </c>
      <c r="M232" s="606">
        <f>'[5]TGNPDCL MoD'!AC41</f>
        <v>6.0695560257345589</v>
      </c>
      <c r="N232" s="606">
        <f>'[5]TGNPDCL MoD'!AD41</f>
        <v>6.0695560257345589</v>
      </c>
      <c r="O232" s="606">
        <f>'[5]TGNPDCL MoD'!AE41</f>
        <v>7.1690041395772894</v>
      </c>
      <c r="P232" s="606">
        <f>'[5]TGNPDCL MoD'!AF41</f>
        <v>8.1705561884888223</v>
      </c>
      <c r="Q232" s="606">
        <f t="shared" si="153"/>
        <v>78.233129849999969</v>
      </c>
      <c r="R232" s="605"/>
      <c r="S232" s="605"/>
      <c r="T232" s="605"/>
    </row>
    <row r="233" spans="3:20" x14ac:dyDescent="0.25">
      <c r="C233" s="822"/>
      <c r="D233" s="607" t="s">
        <v>376</v>
      </c>
      <c r="E233" s="606">
        <f>SUM('[5]TGNPDCL MoD'!U49:U51)</f>
        <v>8.4435020746824367</v>
      </c>
      <c r="F233" s="606">
        <f>SUM('[5]TGNPDCL MoD'!V49:V51)</f>
        <v>8.3759540580849769</v>
      </c>
      <c r="G233" s="606">
        <f>SUM('[5]TGNPDCL MoD'!W49:W51)</f>
        <v>5.4417511538757903</v>
      </c>
      <c r="H233" s="606">
        <f>SUM('[5]TGNPDCL MoD'!X49:X51)</f>
        <v>4.2184807076139617</v>
      </c>
      <c r="I233" s="606">
        <f>SUM('[5]TGNPDCL MoD'!Y49:Y51)</f>
        <v>7.2764793568952797</v>
      </c>
      <c r="J233" s="606">
        <f>SUM('[5]TGNPDCL MoD'!Z49:Z51)</f>
        <v>8.1057619916951396</v>
      </c>
      <c r="K233" s="606">
        <f>SUM('[5]TGNPDCL MoD'!AA49:AA51)</f>
        <v>10.469942572606215</v>
      </c>
      <c r="L233" s="606">
        <f>SUM('[5]TGNPDCL MoD'!AB49:AB51)</f>
        <v>10.269438275532844</v>
      </c>
      <c r="M233" s="606">
        <f>SUM('[5]TGNPDCL MoD'!AC49:AC51)</f>
        <v>5.7644572395948046</v>
      </c>
      <c r="N233" s="606">
        <f>SUM('[5]TGNPDCL MoD'!AD49:AD51)</f>
        <v>8.724952143838518</v>
      </c>
      <c r="O233" s="606">
        <f>SUM('[5]TGNPDCL MoD'!AE49:AE51)</f>
        <v>10.476395674206117</v>
      </c>
      <c r="P233" s="606">
        <f>SUM('[5]TGNPDCL MoD'!AF49:AF51)</f>
        <v>12.214933001373913</v>
      </c>
      <c r="Q233" s="606">
        <f t="shared" si="153"/>
        <v>99.782048250000003</v>
      </c>
      <c r="R233" s="605"/>
      <c r="S233" s="605"/>
      <c r="T233" s="605"/>
    </row>
    <row r="234" spans="3:20" x14ac:dyDescent="0.25">
      <c r="C234" s="822"/>
      <c r="D234" s="607" t="s">
        <v>377</v>
      </c>
      <c r="E234" s="606">
        <f>'[5]TGNPDCL MoD'!U53</f>
        <v>0</v>
      </c>
      <c r="F234" s="606">
        <f>'[5]TGNPDCL MoD'!V53</f>
        <v>0</v>
      </c>
      <c r="G234" s="606">
        <f>'[5]TGNPDCL MoD'!W53</f>
        <v>0</v>
      </c>
      <c r="H234" s="606">
        <f>'[5]TGNPDCL MoD'!X53</f>
        <v>0</v>
      </c>
      <c r="I234" s="606">
        <f>'[5]TGNPDCL MoD'!Y53</f>
        <v>0</v>
      </c>
      <c r="J234" s="606">
        <f>'[5]TGNPDCL MoD'!Z53</f>
        <v>0</v>
      </c>
      <c r="K234" s="606">
        <f>'[5]TGNPDCL MoD'!AA53</f>
        <v>0</v>
      </c>
      <c r="L234" s="606">
        <f>'[5]TGNPDCL MoD'!AB53</f>
        <v>0</v>
      </c>
      <c r="M234" s="606">
        <f>'[5]TGNPDCL MoD'!AC53</f>
        <v>0</v>
      </c>
      <c r="N234" s="606">
        <f>'[5]TGNPDCL MoD'!AD53</f>
        <v>0</v>
      </c>
      <c r="O234" s="606">
        <f>'[5]TGNPDCL MoD'!AE53</f>
        <v>0</v>
      </c>
      <c r="P234" s="606">
        <f>'[5]TGNPDCL MoD'!AF53</f>
        <v>0</v>
      </c>
      <c r="Q234" s="606">
        <f t="shared" si="153"/>
        <v>0</v>
      </c>
      <c r="R234" s="605"/>
      <c r="S234" s="605"/>
      <c r="T234" s="605"/>
    </row>
    <row r="235" spans="3:20" x14ac:dyDescent="0.25">
      <c r="C235" s="822"/>
      <c r="D235" s="607" t="s">
        <v>378</v>
      </c>
      <c r="E235" s="606">
        <f>'[5]TGNPDCL MoD'!U54</f>
        <v>0</v>
      </c>
      <c r="F235" s="606">
        <f>'[5]TGNPDCL MoD'!V54</f>
        <v>0</v>
      </c>
      <c r="G235" s="606">
        <f>'[5]TGNPDCL MoD'!W54</f>
        <v>0</v>
      </c>
      <c r="H235" s="606">
        <f>'[5]TGNPDCL MoD'!X54</f>
        <v>0</v>
      </c>
      <c r="I235" s="606">
        <f>'[5]TGNPDCL MoD'!Y54</f>
        <v>0</v>
      </c>
      <c r="J235" s="606">
        <f>'[5]TGNPDCL MoD'!Z54</f>
        <v>0</v>
      </c>
      <c r="K235" s="606">
        <f>'[5]TGNPDCL MoD'!AA54</f>
        <v>0</v>
      </c>
      <c r="L235" s="606">
        <f>'[5]TGNPDCL MoD'!AB54</f>
        <v>0</v>
      </c>
      <c r="M235" s="606">
        <f>'[5]TGNPDCL MoD'!AC54</f>
        <v>0</v>
      </c>
      <c r="N235" s="606">
        <f>'[5]TGNPDCL MoD'!AD54</f>
        <v>0</v>
      </c>
      <c r="O235" s="606">
        <f>'[5]TGNPDCL MoD'!AE54</f>
        <v>0</v>
      </c>
      <c r="P235" s="606">
        <f>'[5]TGNPDCL MoD'!AF54</f>
        <v>0</v>
      </c>
      <c r="Q235" s="606">
        <f t="shared" si="153"/>
        <v>0</v>
      </c>
      <c r="R235" s="605"/>
      <c r="S235" s="605"/>
      <c r="T235" s="605"/>
    </row>
    <row r="236" spans="3:20" x14ac:dyDescent="0.25">
      <c r="C236" s="823"/>
      <c r="D236" s="607" t="s">
        <v>379</v>
      </c>
      <c r="E236" s="606">
        <f>'[5]TGNPDCL MoD'!U55</f>
        <v>31.634945679224323</v>
      </c>
      <c r="F236" s="606">
        <f>'[5]TGNPDCL MoD'!V55</f>
        <v>31.165557045480341</v>
      </c>
      <c r="G236" s="606">
        <f>'[5]TGNPDCL MoD'!W55</f>
        <v>23.820087220702924</v>
      </c>
      <c r="H236" s="606">
        <f>'[5]TGNPDCL MoD'!X55</f>
        <v>12.27302764192965</v>
      </c>
      <c r="I236" s="606">
        <f>'[5]TGNPDCL MoD'!Y55</f>
        <v>0</v>
      </c>
      <c r="J236" s="606">
        <f>'[5]TGNPDCL MoD'!Z55</f>
        <v>23.754247048896097</v>
      </c>
      <c r="K236" s="606">
        <f>'[5]TGNPDCL MoD'!AA55</f>
        <v>32.786700773083538</v>
      </c>
      <c r="L236" s="606">
        <f>'[5]TGNPDCL MoD'!AB55</f>
        <v>32.748573601390746</v>
      </c>
      <c r="M236" s="606">
        <f>'[5]TGNPDCL MoD'!AC55</f>
        <v>28.054155250974606</v>
      </c>
      <c r="N236" s="606">
        <f>'[5]TGNPDCL MoD'!AD55</f>
        <v>28.221579850328702</v>
      </c>
      <c r="O236" s="606">
        <f>'[5]TGNPDCL MoD'!AE55</f>
        <v>28.656228902114343</v>
      </c>
      <c r="P236" s="606">
        <f>'[5]TGNPDCL MoD'!AF55</f>
        <v>34.284585985874784</v>
      </c>
      <c r="Q236" s="606">
        <f t="shared" si="153"/>
        <v>307.39968900000008</v>
      </c>
      <c r="R236" s="605"/>
      <c r="S236" s="605"/>
      <c r="T236" s="605"/>
    </row>
    <row r="237" spans="3:20" x14ac:dyDescent="0.25">
      <c r="C237" s="607"/>
      <c r="D237" s="607" t="s">
        <v>451</v>
      </c>
      <c r="E237" s="606">
        <f>'[5]TGNPDCL MoD'!U56</f>
        <v>31.686330538486828</v>
      </c>
      <c r="F237" s="606">
        <f>'[5]TGNPDCL MoD'!V56</f>
        <v>32.677057876524898</v>
      </c>
      <c r="G237" s="606">
        <f>'[5]TGNPDCL MoD'!W56</f>
        <v>23.131538977724581</v>
      </c>
      <c r="H237" s="606">
        <f>'[5]TGNPDCL MoD'!X56</f>
        <v>25.100464375392757</v>
      </c>
      <c r="I237" s="606">
        <f>'[5]TGNPDCL MoD'!Y56</f>
        <v>29.719744324997901</v>
      </c>
      <c r="J237" s="606">
        <f>'[5]TGNPDCL MoD'!Z56</f>
        <v>23.62911201654935</v>
      </c>
      <c r="K237" s="606">
        <f>'[5]TGNPDCL MoD'!AA56</f>
        <v>0</v>
      </c>
      <c r="L237" s="606">
        <f>'[5]TGNPDCL MoD'!AB56</f>
        <v>34.542001626301762</v>
      </c>
      <c r="M237" s="606">
        <f>'[5]TGNPDCL MoD'!AC56</f>
        <v>14.453314060770628</v>
      </c>
      <c r="N237" s="606">
        <f>'[5]TGNPDCL MoD'!AD56</f>
        <v>29.130851283731101</v>
      </c>
      <c r="O237" s="606">
        <f>'[5]TGNPDCL MoD'!AE56</f>
        <v>28.685462489080066</v>
      </c>
      <c r="P237" s="606">
        <f>'[5]TGNPDCL MoD'!AF56</f>
        <v>34.643811430440117</v>
      </c>
      <c r="Q237" s="606">
        <f t="shared" si="153"/>
        <v>307.39968899999997</v>
      </c>
      <c r="R237" s="605"/>
      <c r="S237" s="605"/>
      <c r="T237" s="605"/>
    </row>
    <row r="238" spans="3:20" x14ac:dyDescent="0.25">
      <c r="C238" s="607"/>
      <c r="D238" s="607" t="s">
        <v>380</v>
      </c>
      <c r="E238" s="606">
        <f>'[5]TGNPDCL MoD'!U33</f>
        <v>8.2053953522524328E-2</v>
      </c>
      <c r="F238" s="606">
        <f>'[5]TGNPDCL MoD'!V33</f>
        <v>7.7914294606072604E-2</v>
      </c>
      <c r="G238" s="606">
        <f>'[5]TGNPDCL MoD'!W33</f>
        <v>7.5400930263941221E-2</v>
      </c>
      <c r="H238" s="606">
        <f>'[5]TGNPDCL MoD'!X33</f>
        <v>8.650778298174247E-2</v>
      </c>
      <c r="I238" s="606">
        <f>'[5]TGNPDCL MoD'!Y33</f>
        <v>9.1663876007144401E-2</v>
      </c>
      <c r="J238" s="606">
        <f>'[5]TGNPDCL MoD'!Z33</f>
        <v>0</v>
      </c>
      <c r="K238" s="606">
        <f>'[5]TGNPDCL MoD'!AA33</f>
        <v>9.1663876007144401E-2</v>
      </c>
      <c r="L238" s="606">
        <f>'[5]TGNPDCL MoD'!AB33</f>
        <v>8.3717209337169252E-2</v>
      </c>
      <c r="M238" s="606">
        <f>'[5]TGNPDCL MoD'!AC33</f>
        <v>8.1351689956340525E-2</v>
      </c>
      <c r="N238" s="606">
        <f>'[5]TGNPDCL MoD'!AD33</f>
        <v>8.650778298174247E-2</v>
      </c>
      <c r="O238" s="606">
        <f>'[5]TGNPDCL MoD'!AE33</f>
        <v>8.2793178329033643E-2</v>
      </c>
      <c r="P238" s="606">
        <f>'[5]TGNPDCL MoD'!AF33</f>
        <v>9.1663876007144401E-2</v>
      </c>
      <c r="Q238" s="606">
        <f t="shared" si="153"/>
        <v>0.93123844999999983</v>
      </c>
      <c r="R238" s="605"/>
      <c r="S238" s="605"/>
      <c r="T238" s="605"/>
    </row>
    <row r="239" spans="3:20" x14ac:dyDescent="0.25">
      <c r="C239" s="607"/>
      <c r="D239" s="607" t="s">
        <v>381</v>
      </c>
      <c r="E239" s="606">
        <f>'[5]TGNPDCL MoD'!U34</f>
        <v>0.11118711617384411</v>
      </c>
      <c r="F239" s="606">
        <f>'[5]TGNPDCL MoD'!V34</f>
        <v>0.10557767607858712</v>
      </c>
      <c r="G239" s="606">
        <f>'[5]TGNPDCL MoD'!W34</f>
        <v>0.10217194459218107</v>
      </c>
      <c r="H239" s="606">
        <f>'[5]TGNPDCL MoD'!X34</f>
        <v>0.11722227270490185</v>
      </c>
      <c r="I239" s="606">
        <f>'[5]TGNPDCL MoD'!Y34</f>
        <v>0.12420903068069071</v>
      </c>
      <c r="J239" s="606">
        <f>'[5]TGNPDCL MoD'!Z34</f>
        <v>0</v>
      </c>
      <c r="K239" s="606">
        <f>'[5]TGNPDCL MoD'!AA34</f>
        <v>0.12420903068069071</v>
      </c>
      <c r="L239" s="606">
        <f>'[5]TGNPDCL MoD'!AB34</f>
        <v>0.11344090906925985</v>
      </c>
      <c r="M239" s="606">
        <f>'[5]TGNPDCL MoD'!AC34</f>
        <v>0.11023551472911301</v>
      </c>
      <c r="N239" s="606">
        <f>'[5]TGNPDCL MoD'!AD34</f>
        <v>0.1172222727049009</v>
      </c>
      <c r="O239" s="606">
        <f>'[5]TGNPDCL MoD'!AE34</f>
        <v>0.11218880190514</v>
      </c>
      <c r="P239" s="606">
        <f>'[5]TGNPDCL MoD'!AF34</f>
        <v>0.12420903068069071</v>
      </c>
      <c r="Q239" s="606">
        <f t="shared" si="153"/>
        <v>1.2618735999999999</v>
      </c>
      <c r="R239" s="605"/>
      <c r="S239" s="605"/>
      <c r="T239" s="605"/>
    </row>
    <row r="240" spans="3:20" x14ac:dyDescent="0.25">
      <c r="C240" s="607"/>
      <c r="D240" s="607" t="s">
        <v>382</v>
      </c>
      <c r="E240" s="606">
        <f>'[5]TGNPDCL MoD'!U52</f>
        <v>2.1972084471299098</v>
      </c>
      <c r="F240" s="606">
        <f>'[5]TGNPDCL MoD'!V52</f>
        <v>2.1784035099697885</v>
      </c>
      <c r="G240" s="606">
        <f>'[5]TGNPDCL MoD'!W52</f>
        <v>2.1081324290030214</v>
      </c>
      <c r="H240" s="606">
        <f>'[5]TGNPDCL MoD'!X52</f>
        <v>2.4545391661631424</v>
      </c>
      <c r="I240" s="606">
        <f>'[5]TGNPDCL MoD'!Y52</f>
        <v>0</v>
      </c>
      <c r="J240" s="606">
        <f>'[5]TGNPDCL MoD'!Z52</f>
        <v>2.2417464561933538</v>
      </c>
      <c r="K240" s="606">
        <f>'[5]TGNPDCL MoD'!AA52</f>
        <v>2.4545391661631424</v>
      </c>
      <c r="L240" s="606">
        <f>'[5]TGNPDCL MoD'!AB52</f>
        <v>2.2862844652567986</v>
      </c>
      <c r="M240" s="606">
        <f>'[5]TGNPDCL MoD'!AC52</f>
        <v>2.2704487287009067</v>
      </c>
      <c r="N240" s="606">
        <f>'[5]TGNPDCL MoD'!AD52</f>
        <v>2.3624939474320246</v>
      </c>
      <c r="O240" s="606">
        <f>'[5]TGNPDCL MoD'!AE52</f>
        <v>2.217003117824774</v>
      </c>
      <c r="P240" s="606">
        <f>'[5]TGNPDCL MoD'!AF52</f>
        <v>2.4545391661631424</v>
      </c>
      <c r="Q240" s="606">
        <f t="shared" si="153"/>
        <v>25.225338600000008</v>
      </c>
      <c r="R240" s="605"/>
      <c r="S240" s="605"/>
      <c r="T240" s="605"/>
    </row>
    <row r="241" spans="3:20" x14ac:dyDescent="0.25">
      <c r="C241" s="607"/>
      <c r="D241" s="607" t="s">
        <v>1214</v>
      </c>
      <c r="E241" s="606">
        <f>'[5]TGNPDCL MoD'!U47</f>
        <v>3.6329770162777377</v>
      </c>
      <c r="F241" s="606">
        <f>'[5]TGNPDCL MoD'!V47</f>
        <v>0</v>
      </c>
      <c r="G241" s="606">
        <f>'[5]TGNPDCL MoD'!W47</f>
        <v>1.3623663811041493</v>
      </c>
      <c r="H241" s="606">
        <f>'[5]TGNPDCL MoD'!X47</f>
        <v>2.8215023526839023</v>
      </c>
      <c r="I241" s="606">
        <f>'[5]TGNPDCL MoD'!Y47</f>
        <v>3.1675018360671494</v>
      </c>
      <c r="J241" s="606">
        <f>'[5]TGNPDCL MoD'!Z47</f>
        <v>2.7247327622082986</v>
      </c>
      <c r="K241" s="606">
        <f>'[5]TGNPDCL MoD'!AA47</f>
        <v>3.8713911329709645</v>
      </c>
      <c r="L241" s="606">
        <f>'[5]TGNPDCL MoD'!AB47</f>
        <v>4.654751802105844</v>
      </c>
      <c r="M241" s="606">
        <f>'[5]TGNPDCL MoD'!AC47</f>
        <v>3.0501869532498471</v>
      </c>
      <c r="N241" s="606">
        <f>'[5]TGNPDCL MoD'!AD47</f>
        <v>3.0501869532498471</v>
      </c>
      <c r="O241" s="606">
        <f>'[5]TGNPDCL MoD'!AE47</f>
        <v>3.6027022078087576</v>
      </c>
      <c r="P241" s="606">
        <f>'[5]TGNPDCL MoD'!AF47</f>
        <v>4.1442157745038672</v>
      </c>
      <c r="Q241" s="606">
        <f t="shared" si="153"/>
        <v>36.082515172230366</v>
      </c>
      <c r="R241" s="605"/>
      <c r="S241" s="605"/>
      <c r="T241" s="605"/>
    </row>
    <row r="242" spans="3:20" x14ac:dyDescent="0.25">
      <c r="C242" s="607"/>
      <c r="D242" s="607" t="s">
        <v>385</v>
      </c>
      <c r="E242" s="606">
        <f>'[5]TGNPDCL MoD'!U46</f>
        <v>2.0760946701835126</v>
      </c>
      <c r="F242" s="606">
        <f>'[5]TGNPDCL MoD'!V46</f>
        <v>2.3377381055152275</v>
      </c>
      <c r="G242" s="606">
        <f>'[5]TGNPDCL MoD'!W46</f>
        <v>1.5570710026376355</v>
      </c>
      <c r="H242" s="606">
        <f>'[5]TGNPDCL MoD'!X46</f>
        <v>1.6760139264502338</v>
      </c>
      <c r="I242" s="606">
        <f>'[5]TGNPDCL MoD'!Y46</f>
        <v>1.8771355976242625</v>
      </c>
      <c r="J242" s="606">
        <f>'[5]TGNPDCL MoD'!Z46</f>
        <v>1.5570710026376355</v>
      </c>
      <c r="K242" s="606">
        <f>'[5]TGNPDCL MoD'!AA46</f>
        <v>2.2793789399723217</v>
      </c>
      <c r="L242" s="606">
        <f>'[5]TGNPDCL MoD'!AB46</f>
        <v>2.6599962961726233</v>
      </c>
      <c r="M242" s="606">
        <f>'[5]TGNPDCL MoD'!AC46</f>
        <v>1.7430544835082429</v>
      </c>
      <c r="N242" s="606">
        <f>'[5]TGNPDCL MoD'!AD46</f>
        <v>1.7888474037232125</v>
      </c>
      <c r="O242" s="606">
        <f>'[5]TGNPDCL MoD'!AE46</f>
        <v>2.1193466424790084</v>
      </c>
      <c r="P242" s="606">
        <f>'[5]TGNPDCL MoD'!AF46</f>
        <v>2.4134600540883411</v>
      </c>
      <c r="Q242" s="606">
        <f t="shared" si="153"/>
        <v>24.085208124992256</v>
      </c>
      <c r="R242" s="605"/>
      <c r="S242" s="605"/>
      <c r="T242" s="605"/>
    </row>
    <row r="243" spans="3:20" x14ac:dyDescent="0.25">
      <c r="C243" s="607"/>
      <c r="D243" s="607" t="s">
        <v>386</v>
      </c>
      <c r="E243" s="606">
        <f>'[5]TGNPDCL MoD'!U35</f>
        <v>0</v>
      </c>
      <c r="F243" s="606">
        <f>'[5]TGNPDCL MoD'!V35</f>
        <v>0</v>
      </c>
      <c r="G243" s="606">
        <f>'[5]TGNPDCL MoD'!W35</f>
        <v>0</v>
      </c>
      <c r="H243" s="606">
        <f>'[5]TGNPDCL MoD'!X35</f>
        <v>0</v>
      </c>
      <c r="I243" s="606">
        <f>'[5]TGNPDCL MoD'!Y35</f>
        <v>0</v>
      </c>
      <c r="J243" s="606">
        <f>'[5]TGNPDCL MoD'!Z35</f>
        <v>0</v>
      </c>
      <c r="K243" s="606">
        <f>'[5]TGNPDCL MoD'!AA35</f>
        <v>0</v>
      </c>
      <c r="L243" s="606">
        <f>'[5]TGNPDCL MoD'!AB35</f>
        <v>0</v>
      </c>
      <c r="M243" s="606">
        <f>'[5]TGNPDCL MoD'!AC35</f>
        <v>0</v>
      </c>
      <c r="N243" s="606">
        <f>'[5]TGNPDCL MoD'!AD35</f>
        <v>0</v>
      </c>
      <c r="O243" s="606">
        <f>'[5]TGNPDCL MoD'!AE35</f>
        <v>0</v>
      </c>
      <c r="P243" s="606">
        <f>'[5]TGNPDCL MoD'!AF35</f>
        <v>0</v>
      </c>
      <c r="Q243" s="607">
        <f t="shared" si="153"/>
        <v>0</v>
      </c>
      <c r="R243" s="605"/>
      <c r="S243" s="605"/>
      <c r="T243" s="605"/>
    </row>
    <row r="244" spans="3:20" hidden="1" x14ac:dyDescent="0.25">
      <c r="C244" s="607"/>
      <c r="D244" s="607"/>
      <c r="E244" s="607"/>
      <c r="F244" s="607"/>
      <c r="G244" s="607"/>
      <c r="H244" s="607"/>
      <c r="I244" s="607"/>
      <c r="J244" s="607"/>
      <c r="K244" s="607"/>
      <c r="L244" s="607"/>
      <c r="M244" s="607"/>
      <c r="N244" s="607"/>
      <c r="O244" s="607"/>
      <c r="P244" s="607"/>
      <c r="Q244" s="607">
        <f t="shared" si="153"/>
        <v>0</v>
      </c>
      <c r="R244" s="605"/>
      <c r="S244" s="605"/>
      <c r="T244" s="605"/>
    </row>
    <row r="245" spans="3:20" hidden="1" x14ac:dyDescent="0.25">
      <c r="C245" s="607"/>
      <c r="D245" s="607"/>
      <c r="E245" s="607"/>
      <c r="F245" s="607"/>
      <c r="G245" s="607"/>
      <c r="H245" s="607"/>
      <c r="I245" s="607"/>
      <c r="J245" s="607"/>
      <c r="K245" s="607"/>
      <c r="L245" s="607"/>
      <c r="M245" s="607"/>
      <c r="N245" s="607"/>
      <c r="O245" s="607"/>
      <c r="P245" s="607"/>
      <c r="Q245" s="607">
        <f t="shared" si="153"/>
        <v>0</v>
      </c>
      <c r="R245" s="605"/>
      <c r="S245" s="605"/>
      <c r="T245" s="605"/>
    </row>
    <row r="246" spans="3:20" hidden="1" x14ac:dyDescent="0.25">
      <c r="C246" s="607"/>
      <c r="D246" s="607"/>
      <c r="E246" s="607"/>
      <c r="F246" s="607"/>
      <c r="G246" s="607"/>
      <c r="H246" s="607"/>
      <c r="I246" s="607"/>
      <c r="J246" s="607"/>
      <c r="K246" s="607"/>
      <c r="L246" s="607"/>
      <c r="M246" s="607"/>
      <c r="N246" s="607"/>
      <c r="O246" s="607"/>
      <c r="P246" s="607"/>
      <c r="Q246" s="607">
        <f t="shared" si="153"/>
        <v>0</v>
      </c>
      <c r="R246" s="605"/>
      <c r="S246" s="605"/>
      <c r="T246" s="605"/>
    </row>
    <row r="247" spans="3:20" hidden="1" x14ac:dyDescent="0.25">
      <c r="C247" s="607"/>
      <c r="D247" s="607"/>
      <c r="E247" s="607"/>
      <c r="F247" s="607"/>
      <c r="G247" s="607"/>
      <c r="H247" s="607"/>
      <c r="I247" s="607"/>
      <c r="J247" s="607"/>
      <c r="K247" s="607"/>
      <c r="L247" s="607"/>
      <c r="M247" s="607"/>
      <c r="N247" s="607"/>
      <c r="O247" s="607"/>
      <c r="P247" s="607"/>
      <c r="Q247" s="607">
        <f t="shared" si="153"/>
        <v>0</v>
      </c>
      <c r="R247" s="605"/>
      <c r="S247" s="605"/>
      <c r="T247" s="605"/>
    </row>
    <row r="248" spans="3:20" hidden="1" x14ac:dyDescent="0.25">
      <c r="C248" s="607"/>
      <c r="D248" s="607"/>
      <c r="E248" s="607"/>
      <c r="F248" s="607"/>
      <c r="G248" s="607"/>
      <c r="H248" s="607"/>
      <c r="I248" s="607"/>
      <c r="J248" s="607"/>
      <c r="K248" s="607"/>
      <c r="L248" s="607"/>
      <c r="M248" s="607"/>
      <c r="N248" s="607"/>
      <c r="O248" s="607"/>
      <c r="P248" s="607"/>
      <c r="Q248" s="607">
        <f t="shared" si="153"/>
        <v>0</v>
      </c>
      <c r="R248" s="605"/>
      <c r="S248" s="605"/>
      <c r="T248" s="605"/>
    </row>
    <row r="249" spans="3:20" hidden="1" x14ac:dyDescent="0.25">
      <c r="C249" s="607"/>
      <c r="D249" s="607"/>
      <c r="E249" s="607"/>
      <c r="F249" s="607"/>
      <c r="G249" s="607"/>
      <c r="H249" s="607"/>
      <c r="I249" s="607"/>
      <c r="J249" s="607"/>
      <c r="K249" s="607"/>
      <c r="L249" s="607"/>
      <c r="M249" s="607"/>
      <c r="N249" s="607"/>
      <c r="O249" s="607"/>
      <c r="P249" s="607"/>
      <c r="Q249" s="607">
        <f t="shared" si="153"/>
        <v>0</v>
      </c>
      <c r="R249" s="605"/>
      <c r="S249" s="605"/>
      <c r="T249" s="605"/>
    </row>
    <row r="250" spans="3:20" hidden="1" x14ac:dyDescent="0.25">
      <c r="C250" s="607"/>
      <c r="D250" s="607"/>
      <c r="E250" s="607"/>
      <c r="F250" s="607"/>
      <c r="G250" s="607"/>
      <c r="H250" s="607"/>
      <c r="I250" s="607"/>
      <c r="J250" s="607"/>
      <c r="K250" s="607"/>
      <c r="L250" s="607"/>
      <c r="M250" s="607"/>
      <c r="N250" s="607"/>
      <c r="O250" s="607"/>
      <c r="P250" s="607"/>
      <c r="Q250" s="607">
        <f t="shared" si="153"/>
        <v>0</v>
      </c>
      <c r="R250" s="605"/>
      <c r="S250" s="605"/>
      <c r="T250" s="605"/>
    </row>
    <row r="251" spans="3:20" hidden="1" x14ac:dyDescent="0.25">
      <c r="C251" s="607"/>
      <c r="D251" s="607"/>
      <c r="E251" s="607"/>
      <c r="F251" s="607"/>
      <c r="G251" s="607"/>
      <c r="H251" s="607"/>
      <c r="I251" s="607"/>
      <c r="J251" s="607"/>
      <c r="K251" s="607"/>
      <c r="L251" s="607"/>
      <c r="M251" s="607"/>
      <c r="N251" s="607"/>
      <c r="O251" s="607"/>
      <c r="P251" s="607"/>
      <c r="Q251" s="607">
        <f t="shared" si="153"/>
        <v>0</v>
      </c>
      <c r="R251" s="605"/>
      <c r="S251" s="605"/>
      <c r="T251" s="605"/>
    </row>
    <row r="252" spans="3:20" hidden="1" x14ac:dyDescent="0.25">
      <c r="C252" s="607"/>
      <c r="D252" s="607"/>
      <c r="E252" s="607"/>
      <c r="F252" s="607"/>
      <c r="G252" s="607"/>
      <c r="H252" s="607"/>
      <c r="I252" s="607"/>
      <c r="J252" s="607"/>
      <c r="K252" s="607"/>
      <c r="L252" s="607"/>
      <c r="M252" s="607"/>
      <c r="N252" s="607"/>
      <c r="O252" s="607"/>
      <c r="P252" s="607"/>
      <c r="Q252" s="607">
        <f t="shared" si="153"/>
        <v>0</v>
      </c>
      <c r="R252" s="605"/>
      <c r="S252" s="605"/>
      <c r="T252" s="605"/>
    </row>
    <row r="253" spans="3:20" hidden="1" x14ac:dyDescent="0.25">
      <c r="C253" s="811" t="s">
        <v>212</v>
      </c>
      <c r="D253" s="812"/>
      <c r="E253" s="606">
        <f t="shared" ref="E253:P253" si="154">SUM(E228:E252)</f>
        <v>107.66699385288123</v>
      </c>
      <c r="F253" s="606">
        <f t="shared" si="154"/>
        <v>103.62565323593765</v>
      </c>
      <c r="G253" s="606">
        <f t="shared" si="154"/>
        <v>79.868693564800751</v>
      </c>
      <c r="H253" s="606">
        <f t="shared" si="154"/>
        <v>67.421544475212542</v>
      </c>
      <c r="I253" s="606">
        <f t="shared" si="154"/>
        <v>65.709257038896183</v>
      </c>
      <c r="J253" s="606">
        <f t="shared" si="154"/>
        <v>84.522985535856677</v>
      </c>
      <c r="K253" s="606">
        <f t="shared" si="154"/>
        <v>82.08410709815189</v>
      </c>
      <c r="L253" s="606">
        <f t="shared" si="154"/>
        <v>115.17616840995461</v>
      </c>
      <c r="M253" s="606">
        <f t="shared" si="154"/>
        <v>77.82895613621919</v>
      </c>
      <c r="N253" s="606">
        <f t="shared" si="154"/>
        <v>96.956049493685583</v>
      </c>
      <c r="O253" s="606">
        <f t="shared" si="154"/>
        <v>104.33139129816543</v>
      </c>
      <c r="P253" s="606">
        <f t="shared" si="154"/>
        <v>123.05598180746094</v>
      </c>
      <c r="Q253" s="609">
        <f t="shared" si="153"/>
        <v>1108.2477819472224</v>
      </c>
      <c r="R253" s="605"/>
      <c r="S253" s="605"/>
      <c r="T253" s="605"/>
    </row>
    <row r="254" spans="3:20" x14ac:dyDescent="0.25">
      <c r="C254" s="811" t="s">
        <v>387</v>
      </c>
      <c r="D254" s="812"/>
      <c r="E254" s="607"/>
      <c r="F254" s="607"/>
      <c r="G254" s="607"/>
      <c r="H254" s="607"/>
      <c r="I254" s="607"/>
      <c r="J254" s="607"/>
      <c r="K254" s="607"/>
      <c r="L254" s="607"/>
      <c r="M254" s="607"/>
      <c r="N254" s="607"/>
      <c r="O254" s="607"/>
      <c r="P254" s="607"/>
      <c r="Q254" s="607"/>
      <c r="R254" s="605"/>
      <c r="S254" s="605"/>
      <c r="T254" s="605"/>
    </row>
    <row r="255" spans="3:20" x14ac:dyDescent="0.25">
      <c r="C255" s="821" t="s">
        <v>388</v>
      </c>
      <c r="D255" s="607" t="s">
        <v>389</v>
      </c>
      <c r="E255" s="606">
        <v>0</v>
      </c>
      <c r="F255" s="606">
        <v>0</v>
      </c>
      <c r="G255" s="606">
        <v>0</v>
      </c>
      <c r="H255" s="606">
        <v>0</v>
      </c>
      <c r="I255" s="606">
        <v>0</v>
      </c>
      <c r="J255" s="606">
        <v>0</v>
      </c>
      <c r="K255" s="606">
        <v>0</v>
      </c>
      <c r="L255" s="606">
        <v>0</v>
      </c>
      <c r="M255" s="606">
        <v>0</v>
      </c>
      <c r="N255" s="606">
        <v>0</v>
      </c>
      <c r="O255" s="606">
        <v>0</v>
      </c>
      <c r="P255" s="606">
        <v>0</v>
      </c>
      <c r="Q255" s="606">
        <f t="shared" ref="Q255:Q269" si="155">SUM(E255:P255)</f>
        <v>0</v>
      </c>
      <c r="R255" s="605"/>
      <c r="S255" s="605"/>
      <c r="T255" s="605"/>
    </row>
    <row r="256" spans="3:20" x14ac:dyDescent="0.25">
      <c r="C256" s="822"/>
      <c r="D256" s="607" t="s">
        <v>390</v>
      </c>
      <c r="E256" s="606">
        <v>0</v>
      </c>
      <c r="F256" s="606">
        <v>0</v>
      </c>
      <c r="G256" s="606">
        <v>0</v>
      </c>
      <c r="H256" s="606">
        <v>0</v>
      </c>
      <c r="I256" s="606">
        <v>0</v>
      </c>
      <c r="J256" s="606">
        <v>0</v>
      </c>
      <c r="K256" s="606">
        <v>0</v>
      </c>
      <c r="L256" s="606">
        <v>0</v>
      </c>
      <c r="M256" s="606">
        <v>0</v>
      </c>
      <c r="N256" s="606">
        <v>0</v>
      </c>
      <c r="O256" s="606">
        <v>0</v>
      </c>
      <c r="P256" s="606">
        <v>0</v>
      </c>
      <c r="Q256" s="606">
        <f t="shared" si="155"/>
        <v>0</v>
      </c>
      <c r="R256" s="605"/>
      <c r="S256" s="605"/>
      <c r="T256" s="605"/>
    </row>
    <row r="257" spans="3:20" x14ac:dyDescent="0.25">
      <c r="C257" s="822"/>
      <c r="D257" s="607" t="s">
        <v>391</v>
      </c>
      <c r="E257" s="606">
        <v>0</v>
      </c>
      <c r="F257" s="606">
        <v>0</v>
      </c>
      <c r="G257" s="606">
        <v>0</v>
      </c>
      <c r="H257" s="606">
        <v>0</v>
      </c>
      <c r="I257" s="606">
        <v>0</v>
      </c>
      <c r="J257" s="606">
        <v>0</v>
      </c>
      <c r="K257" s="606">
        <v>0</v>
      </c>
      <c r="L257" s="606">
        <v>0</v>
      </c>
      <c r="M257" s="606">
        <v>0</v>
      </c>
      <c r="N257" s="606">
        <v>0</v>
      </c>
      <c r="O257" s="606">
        <v>0</v>
      </c>
      <c r="P257" s="606">
        <v>0</v>
      </c>
      <c r="Q257" s="606">
        <f t="shared" si="155"/>
        <v>0</v>
      </c>
      <c r="R257" s="605"/>
      <c r="S257" s="605"/>
      <c r="T257" s="605"/>
    </row>
    <row r="258" spans="3:20" x14ac:dyDescent="0.25">
      <c r="C258" s="823"/>
      <c r="D258" s="607" t="s">
        <v>392</v>
      </c>
      <c r="E258" s="606">
        <v>0</v>
      </c>
      <c r="F258" s="606">
        <v>0</v>
      </c>
      <c r="G258" s="606">
        <v>0</v>
      </c>
      <c r="H258" s="606">
        <v>0</v>
      </c>
      <c r="I258" s="606">
        <v>0</v>
      </c>
      <c r="J258" s="606">
        <v>0</v>
      </c>
      <c r="K258" s="606">
        <v>0</v>
      </c>
      <c r="L258" s="606">
        <v>0</v>
      </c>
      <c r="M258" s="606">
        <v>0</v>
      </c>
      <c r="N258" s="606">
        <v>0</v>
      </c>
      <c r="O258" s="606">
        <v>0</v>
      </c>
      <c r="P258" s="606">
        <v>0</v>
      </c>
      <c r="Q258" s="606">
        <f t="shared" si="155"/>
        <v>0</v>
      </c>
      <c r="R258" s="605"/>
      <c r="S258" s="605"/>
      <c r="T258" s="605"/>
    </row>
    <row r="259" spans="3:20" hidden="1" x14ac:dyDescent="0.25">
      <c r="C259" s="607"/>
      <c r="D259" s="607"/>
      <c r="E259" s="606"/>
      <c r="F259" s="606"/>
      <c r="G259" s="606"/>
      <c r="H259" s="606"/>
      <c r="I259" s="606"/>
      <c r="J259" s="606"/>
      <c r="K259" s="606"/>
      <c r="L259" s="606"/>
      <c r="M259" s="606"/>
      <c r="N259" s="606"/>
      <c r="O259" s="606"/>
      <c r="P259" s="606"/>
      <c r="Q259" s="606">
        <f t="shared" si="155"/>
        <v>0</v>
      </c>
      <c r="R259" s="605"/>
      <c r="S259" s="605"/>
      <c r="T259" s="605"/>
    </row>
    <row r="260" spans="3:20" hidden="1" x14ac:dyDescent="0.25">
      <c r="C260" s="607"/>
      <c r="D260" s="607"/>
      <c r="E260" s="606"/>
      <c r="F260" s="606"/>
      <c r="G260" s="606"/>
      <c r="H260" s="606"/>
      <c r="I260" s="606"/>
      <c r="J260" s="606"/>
      <c r="K260" s="606"/>
      <c r="L260" s="606"/>
      <c r="M260" s="606"/>
      <c r="N260" s="606"/>
      <c r="O260" s="606"/>
      <c r="P260" s="606"/>
      <c r="Q260" s="606">
        <f t="shared" si="155"/>
        <v>0</v>
      </c>
      <c r="R260" s="605"/>
      <c r="S260" s="605"/>
      <c r="T260" s="605"/>
    </row>
    <row r="261" spans="3:20" hidden="1" x14ac:dyDescent="0.25">
      <c r="C261" s="607"/>
      <c r="D261" s="607"/>
      <c r="E261" s="606"/>
      <c r="F261" s="606"/>
      <c r="G261" s="606"/>
      <c r="H261" s="606"/>
      <c r="I261" s="606"/>
      <c r="J261" s="606"/>
      <c r="K261" s="606"/>
      <c r="L261" s="606"/>
      <c r="M261" s="606"/>
      <c r="N261" s="606"/>
      <c r="O261" s="606"/>
      <c r="P261" s="606"/>
      <c r="Q261" s="606">
        <f t="shared" si="155"/>
        <v>0</v>
      </c>
      <c r="R261" s="605"/>
      <c r="S261" s="605"/>
      <c r="T261" s="605"/>
    </row>
    <row r="262" spans="3:20" hidden="1" x14ac:dyDescent="0.25">
      <c r="C262" s="607"/>
      <c r="D262" s="607"/>
      <c r="E262" s="606"/>
      <c r="F262" s="606"/>
      <c r="G262" s="606"/>
      <c r="H262" s="606"/>
      <c r="I262" s="606"/>
      <c r="J262" s="606"/>
      <c r="K262" s="606"/>
      <c r="L262" s="606"/>
      <c r="M262" s="606"/>
      <c r="N262" s="606"/>
      <c r="O262" s="606"/>
      <c r="P262" s="606"/>
      <c r="Q262" s="606">
        <f t="shared" si="155"/>
        <v>0</v>
      </c>
      <c r="R262" s="605"/>
      <c r="S262" s="605"/>
      <c r="T262" s="605"/>
    </row>
    <row r="263" spans="3:20" hidden="1" x14ac:dyDescent="0.25">
      <c r="C263" s="607"/>
      <c r="D263" s="607"/>
      <c r="E263" s="606"/>
      <c r="F263" s="606"/>
      <c r="G263" s="606"/>
      <c r="H263" s="606"/>
      <c r="I263" s="606"/>
      <c r="J263" s="606"/>
      <c r="K263" s="606"/>
      <c r="L263" s="606"/>
      <c r="M263" s="606"/>
      <c r="N263" s="606"/>
      <c r="O263" s="606"/>
      <c r="P263" s="606"/>
      <c r="Q263" s="606">
        <f t="shared" si="155"/>
        <v>0</v>
      </c>
      <c r="R263" s="605"/>
      <c r="S263" s="605"/>
      <c r="T263" s="605"/>
    </row>
    <row r="264" spans="3:20" hidden="1" x14ac:dyDescent="0.25">
      <c r="C264" s="607"/>
      <c r="D264" s="607"/>
      <c r="E264" s="606"/>
      <c r="F264" s="606"/>
      <c r="G264" s="606"/>
      <c r="H264" s="606"/>
      <c r="I264" s="606"/>
      <c r="J264" s="606"/>
      <c r="K264" s="606"/>
      <c r="L264" s="606"/>
      <c r="M264" s="606"/>
      <c r="N264" s="606"/>
      <c r="O264" s="606"/>
      <c r="P264" s="606"/>
      <c r="Q264" s="606">
        <f t="shared" si="155"/>
        <v>0</v>
      </c>
      <c r="R264" s="605"/>
      <c r="S264" s="605"/>
      <c r="T264" s="605"/>
    </row>
    <row r="265" spans="3:20" hidden="1" x14ac:dyDescent="0.25">
      <c r="C265" s="607"/>
      <c r="D265" s="607"/>
      <c r="E265" s="606"/>
      <c r="F265" s="606"/>
      <c r="G265" s="606"/>
      <c r="H265" s="606"/>
      <c r="I265" s="606"/>
      <c r="J265" s="606"/>
      <c r="K265" s="606"/>
      <c r="L265" s="606"/>
      <c r="M265" s="606"/>
      <c r="N265" s="606"/>
      <c r="O265" s="606"/>
      <c r="P265" s="606"/>
      <c r="Q265" s="606">
        <f t="shared" si="155"/>
        <v>0</v>
      </c>
      <c r="R265" s="605"/>
      <c r="S265" s="605"/>
      <c r="T265" s="605"/>
    </row>
    <row r="266" spans="3:20" hidden="1" x14ac:dyDescent="0.25">
      <c r="C266" s="607"/>
      <c r="D266" s="607"/>
      <c r="E266" s="606"/>
      <c r="F266" s="606"/>
      <c r="G266" s="606"/>
      <c r="H266" s="606"/>
      <c r="I266" s="606"/>
      <c r="J266" s="606"/>
      <c r="K266" s="606"/>
      <c r="L266" s="606"/>
      <c r="M266" s="606"/>
      <c r="N266" s="606"/>
      <c r="O266" s="606"/>
      <c r="P266" s="606"/>
      <c r="Q266" s="606">
        <f t="shared" si="155"/>
        <v>0</v>
      </c>
      <c r="R266" s="605"/>
      <c r="S266" s="605"/>
      <c r="T266" s="605"/>
    </row>
    <row r="267" spans="3:20" hidden="1" x14ac:dyDescent="0.25">
      <c r="C267" s="607"/>
      <c r="D267" s="607"/>
      <c r="E267" s="606"/>
      <c r="F267" s="606"/>
      <c r="G267" s="606"/>
      <c r="H267" s="606"/>
      <c r="I267" s="606"/>
      <c r="J267" s="606"/>
      <c r="K267" s="606"/>
      <c r="L267" s="606"/>
      <c r="M267" s="606"/>
      <c r="N267" s="606"/>
      <c r="O267" s="606"/>
      <c r="P267" s="606"/>
      <c r="Q267" s="606">
        <f t="shared" si="155"/>
        <v>0</v>
      </c>
      <c r="R267" s="605"/>
      <c r="S267" s="605"/>
      <c r="T267" s="605"/>
    </row>
    <row r="268" spans="3:20" hidden="1" x14ac:dyDescent="0.25">
      <c r="C268" s="607"/>
      <c r="D268" s="607"/>
      <c r="E268" s="606"/>
      <c r="F268" s="606"/>
      <c r="G268" s="606"/>
      <c r="H268" s="606"/>
      <c r="I268" s="606"/>
      <c r="J268" s="606"/>
      <c r="K268" s="606"/>
      <c r="L268" s="606"/>
      <c r="M268" s="606"/>
      <c r="N268" s="606"/>
      <c r="O268" s="606"/>
      <c r="P268" s="606"/>
      <c r="Q268" s="606">
        <f t="shared" si="155"/>
        <v>0</v>
      </c>
      <c r="R268" s="605"/>
      <c r="S268" s="605"/>
      <c r="T268" s="605"/>
    </row>
    <row r="269" spans="3:20" x14ac:dyDescent="0.25">
      <c r="C269" s="811" t="s">
        <v>212</v>
      </c>
      <c r="D269" s="812"/>
      <c r="E269" s="606">
        <f t="shared" ref="E269:P269" si="156">SUM(E255:E268)</f>
        <v>0</v>
      </c>
      <c r="F269" s="606">
        <f t="shared" si="156"/>
        <v>0</v>
      </c>
      <c r="G269" s="606">
        <f t="shared" si="156"/>
        <v>0</v>
      </c>
      <c r="H269" s="606">
        <f t="shared" si="156"/>
        <v>0</v>
      </c>
      <c r="I269" s="606">
        <f t="shared" si="156"/>
        <v>0</v>
      </c>
      <c r="J269" s="606">
        <f t="shared" si="156"/>
        <v>0</v>
      </c>
      <c r="K269" s="606">
        <f t="shared" si="156"/>
        <v>0</v>
      </c>
      <c r="L269" s="606">
        <f t="shared" si="156"/>
        <v>0</v>
      </c>
      <c r="M269" s="606">
        <f t="shared" si="156"/>
        <v>0</v>
      </c>
      <c r="N269" s="606">
        <f t="shared" si="156"/>
        <v>0</v>
      </c>
      <c r="O269" s="606">
        <f t="shared" si="156"/>
        <v>0</v>
      </c>
      <c r="P269" s="606">
        <f t="shared" si="156"/>
        <v>0</v>
      </c>
      <c r="Q269" s="609">
        <f t="shared" si="155"/>
        <v>0</v>
      </c>
      <c r="R269" s="605"/>
      <c r="S269" s="605"/>
      <c r="T269" s="605"/>
    </row>
    <row r="270" spans="3:20" x14ac:dyDescent="0.25">
      <c r="C270" s="811" t="s">
        <v>394</v>
      </c>
      <c r="D270" s="812"/>
      <c r="E270" s="606">
        <f t="shared" ref="E270:Q270" si="157">E253+E269</f>
        <v>107.66699385288123</v>
      </c>
      <c r="F270" s="606">
        <f t="shared" si="157"/>
        <v>103.62565323593765</v>
      </c>
      <c r="G270" s="606">
        <f t="shared" si="157"/>
        <v>79.868693564800751</v>
      </c>
      <c r="H270" s="606">
        <f t="shared" si="157"/>
        <v>67.421544475212542</v>
      </c>
      <c r="I270" s="606">
        <f t="shared" si="157"/>
        <v>65.709257038896183</v>
      </c>
      <c r="J270" s="606">
        <f t="shared" si="157"/>
        <v>84.522985535856677</v>
      </c>
      <c r="K270" s="606">
        <f t="shared" si="157"/>
        <v>82.08410709815189</v>
      </c>
      <c r="L270" s="606">
        <f t="shared" si="157"/>
        <v>115.17616840995461</v>
      </c>
      <c r="M270" s="606">
        <f t="shared" si="157"/>
        <v>77.82895613621919</v>
      </c>
      <c r="N270" s="606">
        <f t="shared" si="157"/>
        <v>96.956049493685583</v>
      </c>
      <c r="O270" s="606">
        <f t="shared" si="157"/>
        <v>104.33139129816543</v>
      </c>
      <c r="P270" s="606">
        <f t="shared" si="157"/>
        <v>123.05598180746094</v>
      </c>
      <c r="Q270" s="609">
        <f t="shared" si="157"/>
        <v>1108.2477819472224</v>
      </c>
      <c r="R270" s="605"/>
      <c r="S270" s="605"/>
      <c r="T270" s="605"/>
    </row>
    <row r="271" spans="3:20" x14ac:dyDescent="0.25">
      <c r="C271" s="813" t="s">
        <v>395</v>
      </c>
      <c r="D271" s="814"/>
      <c r="E271" s="607"/>
      <c r="F271" s="607"/>
      <c r="G271" s="607"/>
      <c r="H271" s="607"/>
      <c r="I271" s="607"/>
      <c r="J271" s="607"/>
      <c r="K271" s="607"/>
      <c r="L271" s="607"/>
      <c r="M271" s="607"/>
      <c r="N271" s="607"/>
      <c r="O271" s="607"/>
      <c r="P271" s="607"/>
      <c r="Q271" s="607"/>
      <c r="R271" s="605"/>
      <c r="S271" s="605"/>
      <c r="T271" s="605"/>
    </row>
    <row r="272" spans="3:20" x14ac:dyDescent="0.25">
      <c r="C272" s="607" t="s">
        <v>396</v>
      </c>
      <c r="D272" s="607" t="s">
        <v>396</v>
      </c>
      <c r="E272" s="606">
        <f>'[5]TGNPDCL MoD'!U23</f>
        <v>8.4162777775079363</v>
      </c>
      <c r="F272" s="606">
        <f>'[5]TGNPDCL MoD'!V23</f>
        <v>8.2041861907222522</v>
      </c>
      <c r="G272" s="606">
        <f>'[5]TGNPDCL MoD'!W23</f>
        <v>7.9644760561291479</v>
      </c>
      <c r="H272" s="606">
        <f>'[5]TGNPDCL MoD'!X23</f>
        <v>9.3149443418322946</v>
      </c>
      <c r="I272" s="606">
        <f>'[5]TGNPDCL MoD'!Y23</f>
        <v>9.4019679676665255</v>
      </c>
      <c r="J272" s="606">
        <f>'[5]TGNPDCL MoD'!Z23</f>
        <v>0</v>
      </c>
      <c r="K272" s="606">
        <f>'[5]TGNPDCL MoD'!AA23</f>
        <v>9.4019679676665255</v>
      </c>
      <c r="L272" s="606">
        <f>'[5]TGNPDCL MoD'!AB23</f>
        <v>4.3157966163179262</v>
      </c>
      <c r="M272" s="606">
        <f>'[5]TGNPDCL MoD'!AC23</f>
        <v>8.6731708912218224</v>
      </c>
      <c r="N272" s="606">
        <f>'[5]TGNPDCL MoD'!AD23</f>
        <v>8.9303191234412171</v>
      </c>
      <c r="O272" s="606">
        <f>'[5]TGNPDCL MoD'!AE23</f>
        <v>8.4921000998278249</v>
      </c>
      <c r="P272" s="606">
        <f>'[5]TGNPDCL MoD'!AF23</f>
        <v>9.4019679676665255</v>
      </c>
      <c r="Q272" s="607">
        <f t="shared" ref="Q272:Q279" si="158">SUM(E272:P272)</f>
        <v>92.51717499999998</v>
      </c>
      <c r="R272" s="605"/>
      <c r="S272" s="605"/>
      <c r="T272" s="605"/>
    </row>
    <row r="273" spans="3:20" x14ac:dyDescent="0.25">
      <c r="C273" s="607" t="s">
        <v>397</v>
      </c>
      <c r="D273" s="607" t="s">
        <v>397</v>
      </c>
      <c r="E273" s="607">
        <v>0</v>
      </c>
      <c r="F273" s="607">
        <v>0</v>
      </c>
      <c r="G273" s="607">
        <v>0</v>
      </c>
      <c r="H273" s="607">
        <v>0</v>
      </c>
      <c r="I273" s="607">
        <v>0</v>
      </c>
      <c r="J273" s="607">
        <v>0</v>
      </c>
      <c r="K273" s="607">
        <v>0</v>
      </c>
      <c r="L273" s="607">
        <v>0</v>
      </c>
      <c r="M273" s="607">
        <v>0</v>
      </c>
      <c r="N273" s="607">
        <v>0</v>
      </c>
      <c r="O273" s="607">
        <v>0</v>
      </c>
      <c r="P273" s="607">
        <v>0</v>
      </c>
      <c r="Q273" s="607">
        <f t="shared" si="158"/>
        <v>0</v>
      </c>
      <c r="R273" s="605"/>
      <c r="S273" s="605"/>
      <c r="T273" s="605"/>
    </row>
    <row r="274" spans="3:20" x14ac:dyDescent="0.25">
      <c r="C274" s="607"/>
      <c r="D274" s="607"/>
      <c r="E274" s="607"/>
      <c r="F274" s="607"/>
      <c r="G274" s="607"/>
      <c r="H274" s="607"/>
      <c r="I274" s="607"/>
      <c r="J274" s="607"/>
      <c r="K274" s="607"/>
      <c r="L274" s="607"/>
      <c r="M274" s="607"/>
      <c r="N274" s="607"/>
      <c r="O274" s="607"/>
      <c r="P274" s="607"/>
      <c r="Q274" s="607">
        <f t="shared" si="158"/>
        <v>0</v>
      </c>
      <c r="R274" s="605"/>
      <c r="S274" s="605"/>
      <c r="T274" s="605"/>
    </row>
    <row r="275" spans="3:20" x14ac:dyDescent="0.25">
      <c r="C275" s="607"/>
      <c r="D275" s="607"/>
      <c r="E275" s="607"/>
      <c r="F275" s="607"/>
      <c r="G275" s="607"/>
      <c r="H275" s="607"/>
      <c r="I275" s="607"/>
      <c r="J275" s="607"/>
      <c r="K275" s="607"/>
      <c r="L275" s="607"/>
      <c r="M275" s="607"/>
      <c r="N275" s="607"/>
      <c r="O275" s="607"/>
      <c r="P275" s="607"/>
      <c r="Q275" s="607">
        <f t="shared" si="158"/>
        <v>0</v>
      </c>
      <c r="R275" s="605"/>
      <c r="S275" s="605"/>
      <c r="T275" s="605"/>
    </row>
    <row r="276" spans="3:20" x14ac:dyDescent="0.25">
      <c r="C276" s="607"/>
      <c r="D276" s="607"/>
      <c r="E276" s="607"/>
      <c r="F276" s="607"/>
      <c r="G276" s="607"/>
      <c r="H276" s="607"/>
      <c r="I276" s="607"/>
      <c r="J276" s="607"/>
      <c r="K276" s="607"/>
      <c r="L276" s="607"/>
      <c r="M276" s="607"/>
      <c r="N276" s="607"/>
      <c r="O276" s="607"/>
      <c r="P276" s="607"/>
      <c r="Q276" s="607">
        <f t="shared" si="158"/>
        <v>0</v>
      </c>
      <c r="R276" s="605"/>
      <c r="S276" s="605"/>
      <c r="T276" s="605"/>
    </row>
    <row r="277" spans="3:20" x14ac:dyDescent="0.25">
      <c r="C277" s="607"/>
      <c r="D277" s="607"/>
      <c r="E277" s="607"/>
      <c r="F277" s="607"/>
      <c r="G277" s="607"/>
      <c r="H277" s="607"/>
      <c r="I277" s="607"/>
      <c r="J277" s="607"/>
      <c r="K277" s="607"/>
      <c r="L277" s="607"/>
      <c r="M277" s="607"/>
      <c r="N277" s="607"/>
      <c r="O277" s="607"/>
      <c r="P277" s="607"/>
      <c r="Q277" s="607">
        <f t="shared" si="158"/>
        <v>0</v>
      </c>
      <c r="R277" s="605"/>
      <c r="S277" s="605"/>
      <c r="T277" s="605"/>
    </row>
    <row r="278" spans="3:20" x14ac:dyDescent="0.25">
      <c r="C278" s="607"/>
      <c r="D278" s="607"/>
      <c r="E278" s="607"/>
      <c r="F278" s="607"/>
      <c r="G278" s="607"/>
      <c r="H278" s="607"/>
      <c r="I278" s="607"/>
      <c r="J278" s="607"/>
      <c r="K278" s="607"/>
      <c r="L278" s="607"/>
      <c r="M278" s="607"/>
      <c r="N278" s="607"/>
      <c r="O278" s="607"/>
      <c r="P278" s="607"/>
      <c r="Q278" s="607">
        <f t="shared" si="158"/>
        <v>0</v>
      </c>
      <c r="R278" s="605"/>
      <c r="S278" s="605"/>
      <c r="T278" s="605"/>
    </row>
    <row r="279" spans="3:20" x14ac:dyDescent="0.25">
      <c r="C279" s="811" t="s">
        <v>398</v>
      </c>
      <c r="D279" s="812"/>
      <c r="E279" s="606">
        <f t="shared" ref="E279:P279" si="159">SUM(E272:E278)</f>
        <v>8.4162777775079363</v>
      </c>
      <c r="F279" s="606">
        <f t="shared" si="159"/>
        <v>8.2041861907222522</v>
      </c>
      <c r="G279" s="606">
        <f t="shared" si="159"/>
        <v>7.9644760561291479</v>
      </c>
      <c r="H279" s="606">
        <f t="shared" si="159"/>
        <v>9.3149443418322946</v>
      </c>
      <c r="I279" s="606">
        <f t="shared" si="159"/>
        <v>9.4019679676665255</v>
      </c>
      <c r="J279" s="606">
        <f t="shared" si="159"/>
        <v>0</v>
      </c>
      <c r="K279" s="606">
        <f t="shared" si="159"/>
        <v>9.4019679676665255</v>
      </c>
      <c r="L279" s="606">
        <f t="shared" si="159"/>
        <v>4.3157966163179262</v>
      </c>
      <c r="M279" s="606">
        <f t="shared" si="159"/>
        <v>8.6731708912218224</v>
      </c>
      <c r="N279" s="606">
        <f t="shared" si="159"/>
        <v>8.9303191234412171</v>
      </c>
      <c r="O279" s="606">
        <f t="shared" si="159"/>
        <v>8.4921000998278249</v>
      </c>
      <c r="P279" s="606">
        <f t="shared" si="159"/>
        <v>9.4019679676665255</v>
      </c>
      <c r="Q279" s="609">
        <f t="shared" si="158"/>
        <v>92.51717499999998</v>
      </c>
      <c r="R279" s="605"/>
      <c r="S279" s="605"/>
      <c r="T279" s="605"/>
    </row>
    <row r="280" spans="3:20" x14ac:dyDescent="0.25">
      <c r="C280" s="813" t="s">
        <v>399</v>
      </c>
      <c r="D280" s="814"/>
      <c r="E280" s="607"/>
      <c r="F280" s="607"/>
      <c r="G280" s="607"/>
      <c r="H280" s="607"/>
      <c r="I280" s="607"/>
      <c r="J280" s="607"/>
      <c r="K280" s="607"/>
      <c r="L280" s="607"/>
      <c r="M280" s="607"/>
      <c r="N280" s="607"/>
      <c r="O280" s="607"/>
      <c r="P280" s="607"/>
      <c r="Q280" s="607"/>
      <c r="R280" s="605"/>
      <c r="S280" s="605"/>
      <c r="T280" s="605"/>
    </row>
    <row r="281" spans="3:20" x14ac:dyDescent="0.25">
      <c r="C281" s="607" t="s">
        <v>400</v>
      </c>
      <c r="D281" s="607" t="s">
        <v>400</v>
      </c>
      <c r="E281" s="606">
        <f>'[5]TGNPDCL MoD'!U20+'[5]TGNPDCL MoD'!U21</f>
        <v>43.740383691107674</v>
      </c>
      <c r="F281" s="606">
        <f>'[5]TGNPDCL MoD'!V20+'[5]TGNPDCL MoD'!V21</f>
        <v>24.54397285082295</v>
      </c>
      <c r="G281" s="606">
        <f>'[5]TGNPDCL MoD'!W20+'[5]TGNPDCL MoD'!W21</f>
        <v>8.4290725303848255</v>
      </c>
      <c r="H281" s="606">
        <f>'[5]TGNPDCL MoD'!X20+'[5]TGNPDCL MoD'!X21</f>
        <v>26.867961872104395</v>
      </c>
      <c r="I281" s="606">
        <f>'[5]TGNPDCL MoD'!Y20+'[5]TGNPDCL MoD'!Y21</f>
        <v>42.606100046411179</v>
      </c>
      <c r="J281" s="606">
        <f>'[5]TGNPDCL MoD'!Z20+'[5]TGNPDCL MoD'!Z21</f>
        <v>33.931749563836554</v>
      </c>
      <c r="K281" s="606">
        <f>'[5]TGNPDCL MoD'!AA20+'[5]TGNPDCL MoD'!AA21</f>
        <v>47.025318195287461</v>
      </c>
      <c r="L281" s="606">
        <f>'[5]TGNPDCL MoD'!AB20+'[5]TGNPDCL MoD'!AB21</f>
        <v>0</v>
      </c>
      <c r="M281" s="606">
        <f>'[5]TGNPDCL MoD'!AC20+'[5]TGNPDCL MoD'!AC21</f>
        <v>37.05516851518928</v>
      </c>
      <c r="N281" s="606">
        <f>'[5]TGNPDCL MoD'!AD20+'[5]TGNPDCL MoD'!AD21</f>
        <v>38.109081507907106</v>
      </c>
      <c r="O281" s="606">
        <f>'[5]TGNPDCL MoD'!AE20+'[5]TGNPDCL MoD'!AE21</f>
        <v>41.571274742125311</v>
      </c>
      <c r="P281" s="606">
        <f>'[5]TGNPDCL MoD'!AF20+'[5]TGNPDCL MoD'!AF21</f>
        <v>50.349396484823089</v>
      </c>
      <c r="Q281" s="606">
        <f>SUM(E281:P281)</f>
        <v>394.2294799999998</v>
      </c>
      <c r="R281" s="605"/>
      <c r="S281" s="605"/>
      <c r="T281" s="605"/>
    </row>
    <row r="282" spans="3:20" x14ac:dyDescent="0.25">
      <c r="C282" s="607" t="s">
        <v>401</v>
      </c>
      <c r="D282" s="607" t="s">
        <v>401</v>
      </c>
      <c r="E282" s="607"/>
      <c r="F282" s="607"/>
      <c r="G282" s="607"/>
      <c r="H282" s="607"/>
      <c r="I282" s="607"/>
      <c r="J282" s="607"/>
      <c r="K282" s="607"/>
      <c r="L282" s="607"/>
      <c r="M282" s="607"/>
      <c r="N282" s="607"/>
      <c r="O282" s="607"/>
      <c r="P282" s="607"/>
      <c r="Q282" s="607">
        <f t="shared" ref="Q282:Q289" si="160">SUM(E282:P282)</f>
        <v>0</v>
      </c>
      <c r="R282" s="605"/>
      <c r="S282" s="605"/>
      <c r="T282" s="605"/>
    </row>
    <row r="283" spans="3:20" x14ac:dyDescent="0.25">
      <c r="C283" s="607" t="s">
        <v>402</v>
      </c>
      <c r="D283" s="607" t="s">
        <v>402</v>
      </c>
      <c r="E283" s="607"/>
      <c r="F283" s="607"/>
      <c r="G283" s="607"/>
      <c r="H283" s="607"/>
      <c r="I283" s="607"/>
      <c r="J283" s="607"/>
      <c r="K283" s="607"/>
      <c r="L283" s="607"/>
      <c r="M283" s="607"/>
      <c r="N283" s="607"/>
      <c r="O283" s="607"/>
      <c r="P283" s="607"/>
      <c r="Q283" s="607">
        <f t="shared" si="160"/>
        <v>0</v>
      </c>
      <c r="R283" s="605"/>
      <c r="S283" s="605"/>
      <c r="T283" s="605"/>
    </row>
    <row r="284" spans="3:20" x14ac:dyDescent="0.25">
      <c r="C284" s="607"/>
      <c r="D284" s="607"/>
      <c r="E284" s="607"/>
      <c r="F284" s="607"/>
      <c r="G284" s="607"/>
      <c r="H284" s="607"/>
      <c r="I284" s="607"/>
      <c r="J284" s="607"/>
      <c r="K284" s="607"/>
      <c r="L284" s="607"/>
      <c r="M284" s="607"/>
      <c r="N284" s="607"/>
      <c r="O284" s="607"/>
      <c r="P284" s="607"/>
      <c r="Q284" s="607">
        <f t="shared" si="160"/>
        <v>0</v>
      </c>
      <c r="R284" s="605"/>
      <c r="S284" s="605"/>
      <c r="T284" s="605"/>
    </row>
    <row r="285" spans="3:20" x14ac:dyDescent="0.25">
      <c r="C285" s="607"/>
      <c r="D285" s="607"/>
      <c r="E285" s="607"/>
      <c r="F285" s="607"/>
      <c r="G285" s="607"/>
      <c r="H285" s="607"/>
      <c r="I285" s="607"/>
      <c r="J285" s="607"/>
      <c r="K285" s="607"/>
      <c r="L285" s="607"/>
      <c r="M285" s="607"/>
      <c r="N285" s="607"/>
      <c r="O285" s="607"/>
      <c r="P285" s="607"/>
      <c r="Q285" s="607">
        <f t="shared" si="160"/>
        <v>0</v>
      </c>
      <c r="R285" s="605"/>
      <c r="S285" s="605"/>
      <c r="T285" s="605"/>
    </row>
    <row r="286" spans="3:20" x14ac:dyDescent="0.25">
      <c r="C286" s="607"/>
      <c r="D286" s="607"/>
      <c r="E286" s="607"/>
      <c r="F286" s="607"/>
      <c r="G286" s="607"/>
      <c r="H286" s="607"/>
      <c r="I286" s="607"/>
      <c r="J286" s="607"/>
      <c r="K286" s="607"/>
      <c r="L286" s="607"/>
      <c r="M286" s="607"/>
      <c r="N286" s="607"/>
      <c r="O286" s="607"/>
      <c r="P286" s="607"/>
      <c r="Q286" s="607">
        <f t="shared" si="160"/>
        <v>0</v>
      </c>
      <c r="R286" s="605"/>
      <c r="S286" s="605"/>
      <c r="T286" s="605"/>
    </row>
    <row r="287" spans="3:20" x14ac:dyDescent="0.25">
      <c r="C287" s="607"/>
      <c r="D287" s="607"/>
      <c r="E287" s="607"/>
      <c r="F287" s="607"/>
      <c r="G287" s="607"/>
      <c r="H287" s="607"/>
      <c r="I287" s="607"/>
      <c r="J287" s="607"/>
      <c r="K287" s="607"/>
      <c r="L287" s="607"/>
      <c r="M287" s="607"/>
      <c r="N287" s="607"/>
      <c r="O287" s="607"/>
      <c r="P287" s="607"/>
      <c r="Q287" s="607">
        <f t="shared" si="160"/>
        <v>0</v>
      </c>
      <c r="R287" s="605"/>
      <c r="S287" s="605"/>
      <c r="T287" s="605"/>
    </row>
    <row r="288" spans="3:20" x14ac:dyDescent="0.25">
      <c r="C288" s="607"/>
      <c r="D288" s="607"/>
      <c r="E288" s="607"/>
      <c r="F288" s="607"/>
      <c r="G288" s="607"/>
      <c r="H288" s="607"/>
      <c r="I288" s="607"/>
      <c r="J288" s="607"/>
      <c r="K288" s="607"/>
      <c r="L288" s="607"/>
      <c r="M288" s="607"/>
      <c r="N288" s="607"/>
      <c r="O288" s="607"/>
      <c r="P288" s="607"/>
      <c r="Q288" s="607">
        <f t="shared" si="160"/>
        <v>0</v>
      </c>
      <c r="R288" s="605"/>
      <c r="S288" s="605"/>
      <c r="T288" s="605"/>
    </row>
    <row r="289" spans="3:20" x14ac:dyDescent="0.25">
      <c r="C289" s="811" t="s">
        <v>403</v>
      </c>
      <c r="D289" s="812"/>
      <c r="E289" s="606">
        <f t="shared" ref="E289:P289" si="161">SUM(E281:E288)</f>
        <v>43.740383691107674</v>
      </c>
      <c r="F289" s="606">
        <f t="shared" si="161"/>
        <v>24.54397285082295</v>
      </c>
      <c r="G289" s="606">
        <f t="shared" si="161"/>
        <v>8.4290725303848255</v>
      </c>
      <c r="H289" s="606">
        <f t="shared" si="161"/>
        <v>26.867961872104395</v>
      </c>
      <c r="I289" s="606">
        <f t="shared" si="161"/>
        <v>42.606100046411179</v>
      </c>
      <c r="J289" s="606">
        <f t="shared" si="161"/>
        <v>33.931749563836554</v>
      </c>
      <c r="K289" s="606">
        <f t="shared" si="161"/>
        <v>47.025318195287461</v>
      </c>
      <c r="L289" s="606">
        <f t="shared" si="161"/>
        <v>0</v>
      </c>
      <c r="M289" s="606">
        <f t="shared" si="161"/>
        <v>37.05516851518928</v>
      </c>
      <c r="N289" s="606">
        <f t="shared" si="161"/>
        <v>38.109081507907106</v>
      </c>
      <c r="O289" s="606">
        <f t="shared" si="161"/>
        <v>41.571274742125311</v>
      </c>
      <c r="P289" s="606">
        <f t="shared" si="161"/>
        <v>50.349396484823089</v>
      </c>
      <c r="Q289" s="609">
        <f t="shared" si="160"/>
        <v>394.2294799999998</v>
      </c>
      <c r="R289" s="605"/>
      <c r="S289" s="605"/>
      <c r="T289" s="605"/>
    </row>
    <row r="290" spans="3:20" x14ac:dyDescent="0.25">
      <c r="C290" s="813" t="s">
        <v>404</v>
      </c>
      <c r="D290" s="814"/>
      <c r="E290" s="607"/>
      <c r="F290" s="607"/>
      <c r="G290" s="607"/>
      <c r="H290" s="607"/>
      <c r="I290" s="607"/>
      <c r="J290" s="607"/>
      <c r="K290" s="607"/>
      <c r="L290" s="607"/>
      <c r="M290" s="607"/>
      <c r="N290" s="607"/>
      <c r="O290" s="607"/>
      <c r="P290" s="607"/>
      <c r="Q290" s="607"/>
      <c r="R290" s="605"/>
      <c r="S290" s="605"/>
      <c r="T290" s="605"/>
    </row>
    <row r="291" spans="3:20" x14ac:dyDescent="0.25">
      <c r="C291" s="607"/>
      <c r="D291" s="607" t="s">
        <v>405</v>
      </c>
      <c r="E291" s="607">
        <v>0</v>
      </c>
      <c r="F291" s="607">
        <v>0</v>
      </c>
      <c r="G291" s="607">
        <v>0</v>
      </c>
      <c r="H291" s="607">
        <v>0</v>
      </c>
      <c r="I291" s="607">
        <v>0</v>
      </c>
      <c r="J291" s="607">
        <v>0</v>
      </c>
      <c r="K291" s="607">
        <v>0</v>
      </c>
      <c r="L291" s="607">
        <v>0</v>
      </c>
      <c r="M291" s="607">
        <v>0</v>
      </c>
      <c r="N291" s="607">
        <v>0</v>
      </c>
      <c r="O291" s="607">
        <v>0</v>
      </c>
      <c r="P291" s="607">
        <v>0</v>
      </c>
      <c r="Q291" s="607">
        <f t="shared" ref="Q291:Q315" si="162">SUM(E291:P291)</f>
        <v>0</v>
      </c>
      <c r="R291" s="605"/>
      <c r="S291" s="605"/>
      <c r="T291" s="605"/>
    </row>
    <row r="292" spans="3:20" x14ac:dyDescent="0.25">
      <c r="C292" s="607"/>
      <c r="D292" s="607" t="s">
        <v>406</v>
      </c>
      <c r="E292" s="607">
        <v>0</v>
      </c>
      <c r="F292" s="607">
        <v>0</v>
      </c>
      <c r="G292" s="607">
        <v>0</v>
      </c>
      <c r="H292" s="607">
        <v>0</v>
      </c>
      <c r="I292" s="607">
        <v>0</v>
      </c>
      <c r="J292" s="607">
        <v>0</v>
      </c>
      <c r="K292" s="607">
        <v>0</v>
      </c>
      <c r="L292" s="607">
        <v>0</v>
      </c>
      <c r="M292" s="607">
        <v>0</v>
      </c>
      <c r="N292" s="607">
        <v>0</v>
      </c>
      <c r="O292" s="607">
        <v>0</v>
      </c>
      <c r="P292" s="607">
        <v>0</v>
      </c>
      <c r="Q292" s="607">
        <f t="shared" si="162"/>
        <v>0</v>
      </c>
      <c r="R292" s="605"/>
      <c r="S292" s="605"/>
      <c r="T292" s="605"/>
    </row>
    <row r="293" spans="3:20" x14ac:dyDescent="0.25">
      <c r="C293" s="607"/>
      <c r="D293" s="607" t="s">
        <v>407</v>
      </c>
      <c r="E293" s="607">
        <v>0</v>
      </c>
      <c r="F293" s="607">
        <v>0</v>
      </c>
      <c r="G293" s="607">
        <v>0</v>
      </c>
      <c r="H293" s="607">
        <v>0</v>
      </c>
      <c r="I293" s="607">
        <v>0</v>
      </c>
      <c r="J293" s="607">
        <v>0</v>
      </c>
      <c r="K293" s="607">
        <v>0</v>
      </c>
      <c r="L293" s="607">
        <v>0</v>
      </c>
      <c r="M293" s="607">
        <v>0</v>
      </c>
      <c r="N293" s="607">
        <v>0</v>
      </c>
      <c r="O293" s="607">
        <v>0</v>
      </c>
      <c r="P293" s="607">
        <v>0</v>
      </c>
      <c r="Q293" s="607">
        <f t="shared" si="162"/>
        <v>0</v>
      </c>
      <c r="R293" s="605"/>
      <c r="S293" s="605"/>
      <c r="T293" s="605"/>
    </row>
    <row r="294" spans="3:20" x14ac:dyDescent="0.25">
      <c r="C294" s="607"/>
      <c r="D294" s="607" t="s">
        <v>408</v>
      </c>
      <c r="E294" s="607">
        <v>0</v>
      </c>
      <c r="F294" s="607">
        <v>0</v>
      </c>
      <c r="G294" s="607">
        <v>0</v>
      </c>
      <c r="H294" s="607">
        <v>0</v>
      </c>
      <c r="I294" s="607">
        <v>0</v>
      </c>
      <c r="J294" s="607">
        <v>0</v>
      </c>
      <c r="K294" s="607">
        <v>0</v>
      </c>
      <c r="L294" s="607">
        <v>0</v>
      </c>
      <c r="M294" s="607">
        <v>0</v>
      </c>
      <c r="N294" s="607">
        <v>0</v>
      </c>
      <c r="O294" s="607">
        <v>0</v>
      </c>
      <c r="P294" s="607">
        <v>0</v>
      </c>
      <c r="Q294" s="607">
        <f t="shared" si="162"/>
        <v>0</v>
      </c>
      <c r="R294" s="605"/>
      <c r="S294" s="605"/>
      <c r="T294" s="605"/>
    </row>
    <row r="295" spans="3:20" x14ac:dyDescent="0.25">
      <c r="C295" s="607"/>
      <c r="D295" s="607" t="s">
        <v>409</v>
      </c>
      <c r="E295" s="607">
        <v>0</v>
      </c>
      <c r="F295" s="607">
        <v>0</v>
      </c>
      <c r="G295" s="607">
        <v>0</v>
      </c>
      <c r="H295" s="607">
        <v>0</v>
      </c>
      <c r="I295" s="607">
        <v>0</v>
      </c>
      <c r="J295" s="607">
        <v>0</v>
      </c>
      <c r="K295" s="607">
        <v>0</v>
      </c>
      <c r="L295" s="607">
        <v>0</v>
      </c>
      <c r="M295" s="607">
        <v>0</v>
      </c>
      <c r="N295" s="607">
        <v>0</v>
      </c>
      <c r="O295" s="607">
        <v>0</v>
      </c>
      <c r="P295" s="607">
        <v>0</v>
      </c>
      <c r="Q295" s="607">
        <f t="shared" si="162"/>
        <v>0</v>
      </c>
      <c r="R295" s="605"/>
      <c r="S295" s="605"/>
      <c r="T295" s="605"/>
    </row>
    <row r="296" spans="3:20" x14ac:dyDescent="0.25">
      <c r="C296" s="607"/>
      <c r="D296" s="607" t="s">
        <v>367</v>
      </c>
      <c r="E296" s="607">
        <v>0</v>
      </c>
      <c r="F296" s="607">
        <v>0</v>
      </c>
      <c r="G296" s="607">
        <v>0</v>
      </c>
      <c r="H296" s="607">
        <v>0</v>
      </c>
      <c r="I296" s="607">
        <v>0</v>
      </c>
      <c r="J296" s="607">
        <v>0</v>
      </c>
      <c r="K296" s="607">
        <v>0</v>
      </c>
      <c r="L296" s="607">
        <v>0</v>
      </c>
      <c r="M296" s="607">
        <v>0</v>
      </c>
      <c r="N296" s="607">
        <v>0</v>
      </c>
      <c r="O296" s="607">
        <v>0</v>
      </c>
      <c r="P296" s="607">
        <v>0</v>
      </c>
      <c r="Q296" s="607">
        <f t="shared" si="162"/>
        <v>0</v>
      </c>
      <c r="R296" s="605"/>
      <c r="S296" s="605"/>
      <c r="T296" s="605"/>
    </row>
    <row r="297" spans="3:20" x14ac:dyDescent="0.25">
      <c r="C297" s="607"/>
      <c r="D297" s="607" t="s">
        <v>410</v>
      </c>
      <c r="E297" s="607">
        <v>0</v>
      </c>
      <c r="F297" s="607">
        <v>0</v>
      </c>
      <c r="G297" s="607">
        <v>0</v>
      </c>
      <c r="H297" s="607">
        <v>0</v>
      </c>
      <c r="I297" s="607">
        <v>0</v>
      </c>
      <c r="J297" s="607">
        <v>0</v>
      </c>
      <c r="K297" s="607">
        <v>0</v>
      </c>
      <c r="L297" s="607">
        <v>0</v>
      </c>
      <c r="M297" s="607">
        <v>0</v>
      </c>
      <c r="N297" s="607">
        <v>0</v>
      </c>
      <c r="O297" s="607">
        <v>0</v>
      </c>
      <c r="P297" s="607">
        <v>0</v>
      </c>
      <c r="Q297" s="607">
        <f t="shared" si="162"/>
        <v>0</v>
      </c>
      <c r="R297" s="605"/>
      <c r="S297" s="605"/>
      <c r="T297" s="605"/>
    </row>
    <row r="298" spans="3:20" x14ac:dyDescent="0.25">
      <c r="C298" s="607"/>
      <c r="D298" s="607" t="s">
        <v>411</v>
      </c>
      <c r="E298" s="607">
        <v>0</v>
      </c>
      <c r="F298" s="607">
        <v>0</v>
      </c>
      <c r="G298" s="607">
        <v>0</v>
      </c>
      <c r="H298" s="607">
        <v>0</v>
      </c>
      <c r="I298" s="607">
        <v>0</v>
      </c>
      <c r="J298" s="607">
        <v>0</v>
      </c>
      <c r="K298" s="607">
        <v>0</v>
      </c>
      <c r="L298" s="607">
        <v>0</v>
      </c>
      <c r="M298" s="607">
        <v>0</v>
      </c>
      <c r="N298" s="607">
        <v>0</v>
      </c>
      <c r="O298" s="607">
        <v>0</v>
      </c>
      <c r="P298" s="607">
        <v>0</v>
      </c>
      <c r="Q298" s="607">
        <f t="shared" si="162"/>
        <v>0</v>
      </c>
      <c r="R298" s="605"/>
      <c r="S298" s="605"/>
      <c r="T298" s="605"/>
    </row>
    <row r="299" spans="3:20" x14ac:dyDescent="0.25">
      <c r="C299" s="607"/>
      <c r="D299" s="607" t="s">
        <v>412</v>
      </c>
      <c r="E299" s="607">
        <v>0</v>
      </c>
      <c r="F299" s="607">
        <v>0</v>
      </c>
      <c r="G299" s="607">
        <v>0</v>
      </c>
      <c r="H299" s="607">
        <v>0</v>
      </c>
      <c r="I299" s="607">
        <v>0</v>
      </c>
      <c r="J299" s="607">
        <v>0</v>
      </c>
      <c r="K299" s="607">
        <v>0</v>
      </c>
      <c r="L299" s="607">
        <v>0</v>
      </c>
      <c r="M299" s="607">
        <v>0</v>
      </c>
      <c r="N299" s="607">
        <v>0</v>
      </c>
      <c r="O299" s="607">
        <v>0</v>
      </c>
      <c r="P299" s="607">
        <v>0</v>
      </c>
      <c r="Q299" s="607">
        <f t="shared" si="162"/>
        <v>0</v>
      </c>
      <c r="R299" s="605"/>
      <c r="S299" s="605"/>
      <c r="T299" s="605"/>
    </row>
    <row r="300" spans="3:20" x14ac:dyDescent="0.25">
      <c r="C300" s="607"/>
      <c r="D300" s="607" t="s">
        <v>413</v>
      </c>
      <c r="E300" s="607">
        <v>0</v>
      </c>
      <c r="F300" s="607">
        <v>0</v>
      </c>
      <c r="G300" s="607">
        <v>0</v>
      </c>
      <c r="H300" s="607">
        <v>0</v>
      </c>
      <c r="I300" s="607">
        <v>0</v>
      </c>
      <c r="J300" s="607">
        <v>0</v>
      </c>
      <c r="K300" s="607">
        <v>0</v>
      </c>
      <c r="L300" s="607">
        <v>0</v>
      </c>
      <c r="M300" s="607">
        <v>0</v>
      </c>
      <c r="N300" s="607">
        <v>0</v>
      </c>
      <c r="O300" s="607">
        <v>0</v>
      </c>
      <c r="P300" s="607">
        <v>0</v>
      </c>
      <c r="Q300" s="607">
        <f t="shared" si="162"/>
        <v>0</v>
      </c>
      <c r="R300" s="605"/>
      <c r="S300" s="605"/>
      <c r="T300" s="605"/>
    </row>
    <row r="301" spans="3:20" x14ac:dyDescent="0.25">
      <c r="C301" s="607"/>
      <c r="D301" s="607" t="s">
        <v>414</v>
      </c>
      <c r="E301" s="607">
        <v>0</v>
      </c>
      <c r="F301" s="607">
        <v>0</v>
      </c>
      <c r="G301" s="607">
        <v>0</v>
      </c>
      <c r="H301" s="607">
        <v>0</v>
      </c>
      <c r="I301" s="607">
        <v>0</v>
      </c>
      <c r="J301" s="607">
        <v>0</v>
      </c>
      <c r="K301" s="607">
        <v>0</v>
      </c>
      <c r="L301" s="607">
        <v>0</v>
      </c>
      <c r="M301" s="607">
        <v>0</v>
      </c>
      <c r="N301" s="607">
        <v>0</v>
      </c>
      <c r="O301" s="607">
        <v>0</v>
      </c>
      <c r="P301" s="607">
        <v>0</v>
      </c>
      <c r="Q301" s="607">
        <f t="shared" si="162"/>
        <v>0</v>
      </c>
      <c r="R301" s="605"/>
      <c r="S301" s="605"/>
      <c r="T301" s="605"/>
    </row>
    <row r="302" spans="3:20" x14ac:dyDescent="0.25">
      <c r="C302" s="607"/>
      <c r="D302" s="607" t="s">
        <v>415</v>
      </c>
      <c r="E302" s="607">
        <v>0</v>
      </c>
      <c r="F302" s="607">
        <v>0</v>
      </c>
      <c r="G302" s="607">
        <v>0</v>
      </c>
      <c r="H302" s="607">
        <v>0</v>
      </c>
      <c r="I302" s="607">
        <v>0</v>
      </c>
      <c r="J302" s="607">
        <v>0</v>
      </c>
      <c r="K302" s="607">
        <v>0</v>
      </c>
      <c r="L302" s="607">
        <v>0</v>
      </c>
      <c r="M302" s="607">
        <v>0</v>
      </c>
      <c r="N302" s="607">
        <v>0</v>
      </c>
      <c r="O302" s="607">
        <v>0</v>
      </c>
      <c r="P302" s="607">
        <v>0</v>
      </c>
      <c r="Q302" s="607">
        <f t="shared" si="162"/>
        <v>0</v>
      </c>
      <c r="R302" s="605"/>
      <c r="S302" s="605"/>
      <c r="T302" s="605"/>
    </row>
    <row r="303" spans="3:20" x14ac:dyDescent="0.25">
      <c r="C303" s="607"/>
      <c r="D303" s="607" t="s">
        <v>416</v>
      </c>
      <c r="E303" s="607">
        <v>0</v>
      </c>
      <c r="F303" s="607">
        <v>0</v>
      </c>
      <c r="G303" s="607">
        <v>0</v>
      </c>
      <c r="H303" s="607">
        <v>0</v>
      </c>
      <c r="I303" s="607">
        <v>0</v>
      </c>
      <c r="J303" s="607">
        <v>0</v>
      </c>
      <c r="K303" s="607">
        <v>0</v>
      </c>
      <c r="L303" s="607">
        <v>0</v>
      </c>
      <c r="M303" s="607">
        <v>0</v>
      </c>
      <c r="N303" s="607">
        <v>0</v>
      </c>
      <c r="O303" s="607">
        <v>0</v>
      </c>
      <c r="P303" s="607">
        <v>0</v>
      </c>
      <c r="Q303" s="607">
        <f t="shared" si="162"/>
        <v>0</v>
      </c>
      <c r="R303" s="605"/>
      <c r="S303" s="605"/>
      <c r="T303" s="605"/>
    </row>
    <row r="304" spans="3:20" x14ac:dyDescent="0.25">
      <c r="C304" s="607"/>
      <c r="D304" s="607" t="s">
        <v>417</v>
      </c>
      <c r="E304" s="607">
        <v>0</v>
      </c>
      <c r="F304" s="607">
        <v>0</v>
      </c>
      <c r="G304" s="607">
        <v>0</v>
      </c>
      <c r="H304" s="607">
        <v>0</v>
      </c>
      <c r="I304" s="607">
        <v>0</v>
      </c>
      <c r="J304" s="607">
        <v>0</v>
      </c>
      <c r="K304" s="607">
        <v>0</v>
      </c>
      <c r="L304" s="607">
        <v>0</v>
      </c>
      <c r="M304" s="607">
        <v>0</v>
      </c>
      <c r="N304" s="607">
        <v>0</v>
      </c>
      <c r="O304" s="607">
        <v>0</v>
      </c>
      <c r="P304" s="607">
        <v>0</v>
      </c>
      <c r="Q304" s="607">
        <f t="shared" si="162"/>
        <v>0</v>
      </c>
      <c r="R304" s="605"/>
      <c r="S304" s="605"/>
      <c r="T304" s="605"/>
    </row>
    <row r="305" spans="3:20" x14ac:dyDescent="0.25">
      <c r="C305" s="607"/>
      <c r="D305" s="622" t="s">
        <v>418</v>
      </c>
      <c r="E305" s="607">
        <v>0</v>
      </c>
      <c r="F305" s="607">
        <v>0</v>
      </c>
      <c r="G305" s="607">
        <v>0</v>
      </c>
      <c r="H305" s="607">
        <v>0</v>
      </c>
      <c r="I305" s="607">
        <v>0</v>
      </c>
      <c r="J305" s="607">
        <v>0</v>
      </c>
      <c r="K305" s="607">
        <v>0</v>
      </c>
      <c r="L305" s="607">
        <v>0</v>
      </c>
      <c r="M305" s="607">
        <v>0</v>
      </c>
      <c r="N305" s="607">
        <v>0</v>
      </c>
      <c r="O305" s="607">
        <v>0</v>
      </c>
      <c r="P305" s="607">
        <v>0</v>
      </c>
      <c r="Q305" s="607">
        <f t="shared" si="162"/>
        <v>0</v>
      </c>
      <c r="R305" s="605"/>
      <c r="S305" s="605"/>
      <c r="T305" s="605"/>
    </row>
    <row r="306" spans="3:20" x14ac:dyDescent="0.25">
      <c r="C306" s="607"/>
      <c r="D306" s="622" t="s">
        <v>419</v>
      </c>
      <c r="E306" s="607">
        <v>0</v>
      </c>
      <c r="F306" s="607">
        <v>0</v>
      </c>
      <c r="G306" s="607">
        <v>0</v>
      </c>
      <c r="H306" s="607">
        <v>0</v>
      </c>
      <c r="I306" s="607">
        <v>0</v>
      </c>
      <c r="J306" s="607">
        <v>0</v>
      </c>
      <c r="K306" s="607">
        <v>0</v>
      </c>
      <c r="L306" s="607">
        <v>0</v>
      </c>
      <c r="M306" s="607">
        <v>0</v>
      </c>
      <c r="N306" s="607">
        <v>0</v>
      </c>
      <c r="O306" s="607">
        <v>0</v>
      </c>
      <c r="P306" s="607">
        <v>0</v>
      </c>
      <c r="Q306" s="607">
        <f t="shared" si="162"/>
        <v>0</v>
      </c>
      <c r="R306" s="605"/>
      <c r="S306" s="605"/>
      <c r="T306" s="605"/>
    </row>
    <row r="307" spans="3:20" hidden="1" x14ac:dyDescent="0.25">
      <c r="C307" s="607"/>
      <c r="D307" s="607"/>
      <c r="E307" s="607"/>
      <c r="F307" s="607"/>
      <c r="G307" s="607"/>
      <c r="H307" s="607"/>
      <c r="I307" s="607"/>
      <c r="J307" s="607"/>
      <c r="K307" s="607"/>
      <c r="L307" s="607"/>
      <c r="M307" s="607"/>
      <c r="N307" s="607"/>
      <c r="O307" s="607"/>
      <c r="P307" s="607"/>
      <c r="Q307" s="607">
        <f t="shared" si="162"/>
        <v>0</v>
      </c>
      <c r="R307" s="605"/>
      <c r="S307" s="605"/>
      <c r="T307" s="605"/>
    </row>
    <row r="308" spans="3:20" hidden="1" x14ac:dyDescent="0.25">
      <c r="C308" s="607"/>
      <c r="D308" s="607"/>
      <c r="E308" s="607"/>
      <c r="F308" s="607"/>
      <c r="G308" s="607"/>
      <c r="H308" s="607"/>
      <c r="I308" s="607"/>
      <c r="J308" s="607"/>
      <c r="K308" s="607"/>
      <c r="L308" s="607"/>
      <c r="M308" s="607"/>
      <c r="N308" s="607"/>
      <c r="O308" s="607"/>
      <c r="P308" s="607"/>
      <c r="Q308" s="607">
        <f t="shared" si="162"/>
        <v>0</v>
      </c>
      <c r="R308" s="605"/>
      <c r="S308" s="605"/>
      <c r="T308" s="605"/>
    </row>
    <row r="309" spans="3:20" hidden="1" x14ac:dyDescent="0.25">
      <c r="C309" s="607"/>
      <c r="D309" s="607"/>
      <c r="E309" s="607"/>
      <c r="F309" s="607"/>
      <c r="G309" s="607"/>
      <c r="H309" s="607"/>
      <c r="I309" s="607"/>
      <c r="J309" s="607"/>
      <c r="K309" s="607"/>
      <c r="L309" s="607"/>
      <c r="M309" s="607"/>
      <c r="N309" s="607"/>
      <c r="O309" s="607"/>
      <c r="P309" s="607"/>
      <c r="Q309" s="607">
        <f t="shared" si="162"/>
        <v>0</v>
      </c>
      <c r="R309" s="605"/>
      <c r="S309" s="605"/>
      <c r="T309" s="605"/>
    </row>
    <row r="310" spans="3:20" hidden="1" x14ac:dyDescent="0.25">
      <c r="C310" s="607"/>
      <c r="D310" s="607"/>
      <c r="E310" s="607"/>
      <c r="F310" s="607"/>
      <c r="G310" s="607"/>
      <c r="H310" s="607"/>
      <c r="I310" s="607"/>
      <c r="J310" s="607"/>
      <c r="K310" s="607"/>
      <c r="L310" s="607"/>
      <c r="M310" s="607"/>
      <c r="N310" s="607"/>
      <c r="O310" s="607"/>
      <c r="P310" s="607"/>
      <c r="Q310" s="607">
        <f t="shared" si="162"/>
        <v>0</v>
      </c>
      <c r="R310" s="605"/>
      <c r="S310" s="605"/>
      <c r="T310" s="605"/>
    </row>
    <row r="311" spans="3:20" hidden="1" x14ac:dyDescent="0.25">
      <c r="C311" s="607"/>
      <c r="D311" s="607"/>
      <c r="E311" s="607"/>
      <c r="F311" s="607"/>
      <c r="G311" s="607"/>
      <c r="H311" s="607"/>
      <c r="I311" s="607"/>
      <c r="J311" s="607"/>
      <c r="K311" s="607"/>
      <c r="L311" s="607"/>
      <c r="M311" s="607"/>
      <c r="N311" s="607"/>
      <c r="O311" s="607"/>
      <c r="P311" s="607"/>
      <c r="Q311" s="607">
        <f t="shared" si="162"/>
        <v>0</v>
      </c>
      <c r="R311" s="605"/>
      <c r="S311" s="605"/>
      <c r="T311" s="605"/>
    </row>
    <row r="312" spans="3:20" hidden="1" x14ac:dyDescent="0.25">
      <c r="C312" s="607"/>
      <c r="D312" s="607"/>
      <c r="E312" s="607"/>
      <c r="F312" s="607"/>
      <c r="G312" s="607"/>
      <c r="H312" s="607"/>
      <c r="I312" s="607"/>
      <c r="J312" s="607"/>
      <c r="K312" s="607"/>
      <c r="L312" s="607"/>
      <c r="M312" s="607"/>
      <c r="N312" s="607"/>
      <c r="O312" s="607"/>
      <c r="P312" s="607"/>
      <c r="Q312" s="607">
        <f t="shared" si="162"/>
        <v>0</v>
      </c>
      <c r="R312" s="605"/>
      <c r="S312" s="605"/>
      <c r="T312" s="605"/>
    </row>
    <row r="313" spans="3:20" hidden="1" x14ac:dyDescent="0.25">
      <c r="C313" s="607"/>
      <c r="D313" s="607"/>
      <c r="E313" s="607"/>
      <c r="F313" s="607"/>
      <c r="G313" s="607"/>
      <c r="H313" s="607"/>
      <c r="I313" s="607"/>
      <c r="J313" s="607"/>
      <c r="K313" s="607"/>
      <c r="L313" s="607"/>
      <c r="M313" s="607"/>
      <c r="N313" s="607"/>
      <c r="O313" s="607"/>
      <c r="P313" s="607"/>
      <c r="Q313" s="607">
        <f t="shared" si="162"/>
        <v>0</v>
      </c>
      <c r="R313" s="605"/>
      <c r="S313" s="605"/>
      <c r="T313" s="605"/>
    </row>
    <row r="314" spans="3:20" hidden="1" x14ac:dyDescent="0.25">
      <c r="C314" s="607"/>
      <c r="D314" s="607"/>
      <c r="E314" s="607"/>
      <c r="F314" s="607"/>
      <c r="G314" s="607"/>
      <c r="H314" s="607"/>
      <c r="I314" s="607"/>
      <c r="J314" s="607"/>
      <c r="K314" s="607"/>
      <c r="L314" s="607"/>
      <c r="M314" s="607"/>
      <c r="N314" s="607"/>
      <c r="O314" s="607"/>
      <c r="P314" s="607"/>
      <c r="Q314" s="607">
        <f t="shared" si="162"/>
        <v>0</v>
      </c>
      <c r="R314" s="605"/>
      <c r="S314" s="605"/>
      <c r="T314" s="605"/>
    </row>
    <row r="315" spans="3:20" x14ac:dyDescent="0.25">
      <c r="C315" s="811" t="s">
        <v>420</v>
      </c>
      <c r="D315" s="812"/>
      <c r="E315" s="607">
        <f t="shared" ref="E315:P315" si="163">SUM(E291:E314)</f>
        <v>0</v>
      </c>
      <c r="F315" s="607">
        <f t="shared" si="163"/>
        <v>0</v>
      </c>
      <c r="G315" s="607">
        <f t="shared" si="163"/>
        <v>0</v>
      </c>
      <c r="H315" s="607">
        <f t="shared" si="163"/>
        <v>0</v>
      </c>
      <c r="I315" s="607">
        <f t="shared" si="163"/>
        <v>0</v>
      </c>
      <c r="J315" s="607">
        <f t="shared" si="163"/>
        <v>0</v>
      </c>
      <c r="K315" s="607">
        <f t="shared" si="163"/>
        <v>0</v>
      </c>
      <c r="L315" s="607">
        <f t="shared" si="163"/>
        <v>0</v>
      </c>
      <c r="M315" s="607">
        <f t="shared" si="163"/>
        <v>0</v>
      </c>
      <c r="N315" s="607">
        <f t="shared" si="163"/>
        <v>0</v>
      </c>
      <c r="O315" s="607">
        <f t="shared" si="163"/>
        <v>0</v>
      </c>
      <c r="P315" s="607">
        <f t="shared" si="163"/>
        <v>0</v>
      </c>
      <c r="Q315" s="609">
        <f t="shared" si="162"/>
        <v>0</v>
      </c>
      <c r="R315" s="605"/>
      <c r="S315" s="605"/>
      <c r="T315" s="605"/>
    </row>
    <row r="316" spans="3:20" x14ac:dyDescent="0.25">
      <c r="C316" s="813" t="s">
        <v>421</v>
      </c>
      <c r="D316" s="814"/>
      <c r="E316" s="607"/>
      <c r="F316" s="607"/>
      <c r="G316" s="607"/>
      <c r="H316" s="607"/>
      <c r="I316" s="607"/>
      <c r="J316" s="607"/>
      <c r="K316" s="607"/>
      <c r="L316" s="607"/>
      <c r="M316" s="607"/>
      <c r="N316" s="607"/>
      <c r="O316" s="607"/>
      <c r="P316" s="607"/>
      <c r="Q316" s="607"/>
      <c r="R316" s="605"/>
      <c r="S316" s="605"/>
      <c r="T316" s="605"/>
    </row>
    <row r="317" spans="3:20" x14ac:dyDescent="0.25">
      <c r="C317" s="607"/>
      <c r="D317" s="607" t="s">
        <v>422</v>
      </c>
      <c r="E317" s="607">
        <v>0</v>
      </c>
      <c r="F317" s="607">
        <v>0</v>
      </c>
      <c r="G317" s="607">
        <v>0</v>
      </c>
      <c r="H317" s="607">
        <v>0</v>
      </c>
      <c r="I317" s="607">
        <v>0</v>
      </c>
      <c r="J317" s="607">
        <v>0</v>
      </c>
      <c r="K317" s="607">
        <v>0</v>
      </c>
      <c r="L317" s="607">
        <v>0</v>
      </c>
      <c r="M317" s="607">
        <v>0</v>
      </c>
      <c r="N317" s="607">
        <v>0</v>
      </c>
      <c r="O317" s="607">
        <v>0</v>
      </c>
      <c r="P317" s="607">
        <v>0</v>
      </c>
      <c r="Q317" s="607">
        <f>SUM(E317:P317)</f>
        <v>0</v>
      </c>
      <c r="R317" s="605"/>
      <c r="S317" s="605"/>
      <c r="T317" s="605"/>
    </row>
    <row r="318" spans="3:20" x14ac:dyDescent="0.25">
      <c r="C318" s="607"/>
      <c r="D318" s="607"/>
      <c r="E318" s="607"/>
      <c r="F318" s="607"/>
      <c r="G318" s="607"/>
      <c r="H318" s="607"/>
      <c r="I318" s="607"/>
      <c r="J318" s="607"/>
      <c r="K318" s="607"/>
      <c r="L318" s="607"/>
      <c r="M318" s="607"/>
      <c r="N318" s="607"/>
      <c r="O318" s="607"/>
      <c r="P318" s="607"/>
      <c r="Q318" s="607">
        <f>SUM(E318:P318)</f>
        <v>0</v>
      </c>
      <c r="R318" s="605"/>
      <c r="S318" s="605"/>
      <c r="T318" s="605"/>
    </row>
    <row r="319" spans="3:20" x14ac:dyDescent="0.25">
      <c r="C319" s="607"/>
      <c r="D319" s="607"/>
      <c r="E319" s="607"/>
      <c r="F319" s="607"/>
      <c r="G319" s="607"/>
      <c r="H319" s="607"/>
      <c r="I319" s="607"/>
      <c r="J319" s="607"/>
      <c r="K319" s="607"/>
      <c r="L319" s="607"/>
      <c r="M319" s="607"/>
      <c r="N319" s="607"/>
      <c r="O319" s="607"/>
      <c r="P319" s="607"/>
      <c r="Q319" s="607">
        <f>SUM(E319:P319)</f>
        <v>0</v>
      </c>
      <c r="R319" s="605"/>
      <c r="S319" s="605"/>
      <c r="T319" s="605"/>
    </row>
    <row r="320" spans="3:20" x14ac:dyDescent="0.25">
      <c r="C320" s="607"/>
      <c r="D320" s="607"/>
      <c r="E320" s="607"/>
      <c r="F320" s="607"/>
      <c r="G320" s="607"/>
      <c r="H320" s="607"/>
      <c r="I320" s="607"/>
      <c r="J320" s="607"/>
      <c r="K320" s="607"/>
      <c r="L320" s="607"/>
      <c r="M320" s="607"/>
      <c r="N320" s="607"/>
      <c r="O320" s="607"/>
      <c r="P320" s="607"/>
      <c r="Q320" s="607">
        <f>SUM(E320:P320)</f>
        <v>0</v>
      </c>
      <c r="R320" s="605"/>
      <c r="S320" s="605"/>
      <c r="T320" s="605"/>
    </row>
    <row r="321" spans="3:20" x14ac:dyDescent="0.25">
      <c r="C321" s="607"/>
      <c r="D321" s="607"/>
      <c r="E321" s="607"/>
      <c r="F321" s="607"/>
      <c r="G321" s="607"/>
      <c r="H321" s="607"/>
      <c r="I321" s="607"/>
      <c r="J321" s="607"/>
      <c r="K321" s="607"/>
      <c r="L321" s="607"/>
      <c r="M321" s="607"/>
      <c r="N321" s="607"/>
      <c r="O321" s="607"/>
      <c r="P321" s="607"/>
      <c r="Q321" s="607"/>
      <c r="R321" s="605"/>
      <c r="S321" s="605"/>
      <c r="T321" s="605"/>
    </row>
    <row r="322" spans="3:20" x14ac:dyDescent="0.25">
      <c r="C322" s="607"/>
      <c r="D322" s="622" t="s">
        <v>665</v>
      </c>
      <c r="E322" s="607">
        <v>0</v>
      </c>
      <c r="F322" s="607">
        <v>0</v>
      </c>
      <c r="G322" s="607">
        <v>0</v>
      </c>
      <c r="H322" s="607">
        <v>0</v>
      </c>
      <c r="I322" s="607">
        <v>0</v>
      </c>
      <c r="J322" s="607">
        <v>0</v>
      </c>
      <c r="K322" s="607">
        <v>0</v>
      </c>
      <c r="L322" s="607">
        <v>0</v>
      </c>
      <c r="M322" s="607">
        <v>0</v>
      </c>
      <c r="N322" s="607">
        <v>0</v>
      </c>
      <c r="O322" s="607">
        <v>0</v>
      </c>
      <c r="P322" s="607">
        <v>0</v>
      </c>
      <c r="Q322" s="607"/>
      <c r="R322" s="605"/>
      <c r="S322" s="605"/>
      <c r="T322" s="605"/>
    </row>
    <row r="323" spans="3:20" x14ac:dyDescent="0.25">
      <c r="C323" s="607"/>
      <c r="D323" s="622" t="s">
        <v>666</v>
      </c>
      <c r="E323" s="607">
        <v>0</v>
      </c>
      <c r="F323" s="607">
        <v>0</v>
      </c>
      <c r="G323" s="607">
        <v>0</v>
      </c>
      <c r="H323" s="607">
        <v>0</v>
      </c>
      <c r="I323" s="607">
        <v>0</v>
      </c>
      <c r="J323" s="607">
        <v>0</v>
      </c>
      <c r="K323" s="607">
        <v>0</v>
      </c>
      <c r="L323" s="607">
        <v>0</v>
      </c>
      <c r="M323" s="607">
        <v>0</v>
      </c>
      <c r="N323" s="607">
        <v>0</v>
      </c>
      <c r="O323" s="607">
        <v>0</v>
      </c>
      <c r="P323" s="607">
        <v>0</v>
      </c>
      <c r="Q323" s="607"/>
      <c r="R323" s="605"/>
      <c r="S323" s="605"/>
      <c r="T323" s="605"/>
    </row>
    <row r="324" spans="3:20" x14ac:dyDescent="0.25">
      <c r="C324" s="607"/>
      <c r="D324" s="622" t="s">
        <v>629</v>
      </c>
      <c r="E324" s="607">
        <v>0</v>
      </c>
      <c r="F324" s="607">
        <v>0</v>
      </c>
      <c r="G324" s="607">
        <v>0</v>
      </c>
      <c r="H324" s="607">
        <v>0</v>
      </c>
      <c r="I324" s="607">
        <v>0</v>
      </c>
      <c r="J324" s="607">
        <v>0</v>
      </c>
      <c r="K324" s="607">
        <v>0</v>
      </c>
      <c r="L324" s="607">
        <v>0</v>
      </c>
      <c r="M324" s="607">
        <v>0</v>
      </c>
      <c r="N324" s="607">
        <v>0</v>
      </c>
      <c r="O324" s="607">
        <v>0</v>
      </c>
      <c r="P324" s="607">
        <v>0</v>
      </c>
      <c r="Q324" s="607"/>
      <c r="R324" s="605"/>
      <c r="S324" s="605"/>
      <c r="T324" s="605"/>
    </row>
    <row r="325" spans="3:20" x14ac:dyDescent="0.25">
      <c r="C325" s="607"/>
      <c r="D325" s="622" t="s">
        <v>630</v>
      </c>
      <c r="E325" s="607">
        <v>0</v>
      </c>
      <c r="F325" s="607">
        <v>0</v>
      </c>
      <c r="G325" s="607">
        <v>0</v>
      </c>
      <c r="H325" s="607">
        <v>0</v>
      </c>
      <c r="I325" s="607">
        <v>0</v>
      </c>
      <c r="J325" s="607">
        <v>0</v>
      </c>
      <c r="K325" s="607">
        <v>0</v>
      </c>
      <c r="L325" s="607">
        <v>0</v>
      </c>
      <c r="M325" s="607">
        <v>0</v>
      </c>
      <c r="N325" s="607">
        <v>0</v>
      </c>
      <c r="O325" s="607">
        <v>0</v>
      </c>
      <c r="P325" s="607">
        <v>0</v>
      </c>
      <c r="Q325" s="607"/>
      <c r="R325" s="605"/>
      <c r="S325" s="605"/>
      <c r="T325" s="605"/>
    </row>
    <row r="326" spans="3:20" x14ac:dyDescent="0.25">
      <c r="C326" s="607"/>
      <c r="D326" s="622" t="s">
        <v>631</v>
      </c>
      <c r="E326" s="607">
        <v>0</v>
      </c>
      <c r="F326" s="607">
        <v>0</v>
      </c>
      <c r="G326" s="607">
        <v>0</v>
      </c>
      <c r="H326" s="607">
        <v>0</v>
      </c>
      <c r="I326" s="607">
        <v>0</v>
      </c>
      <c r="J326" s="607">
        <v>0</v>
      </c>
      <c r="K326" s="607">
        <v>0</v>
      </c>
      <c r="L326" s="607">
        <v>0</v>
      </c>
      <c r="M326" s="607">
        <v>0</v>
      </c>
      <c r="N326" s="607">
        <v>0</v>
      </c>
      <c r="O326" s="607">
        <v>0</v>
      </c>
      <c r="P326" s="607">
        <v>0</v>
      </c>
      <c r="Q326" s="607"/>
      <c r="R326" s="605"/>
      <c r="S326" s="605"/>
      <c r="T326" s="605"/>
    </row>
    <row r="327" spans="3:20" x14ac:dyDescent="0.25">
      <c r="C327" s="607"/>
      <c r="D327" s="622" t="s">
        <v>632</v>
      </c>
      <c r="E327" s="607">
        <v>0</v>
      </c>
      <c r="F327" s="607">
        <v>0</v>
      </c>
      <c r="G327" s="607">
        <v>0</v>
      </c>
      <c r="H327" s="607">
        <v>0</v>
      </c>
      <c r="I327" s="607">
        <v>0</v>
      </c>
      <c r="J327" s="607">
        <v>0</v>
      </c>
      <c r="K327" s="607">
        <v>0</v>
      </c>
      <c r="L327" s="607">
        <v>0</v>
      </c>
      <c r="M327" s="607">
        <v>0</v>
      </c>
      <c r="N327" s="607">
        <v>0</v>
      </c>
      <c r="O327" s="607">
        <v>0</v>
      </c>
      <c r="P327" s="607">
        <v>0</v>
      </c>
      <c r="Q327" s="607"/>
      <c r="R327" s="605"/>
      <c r="S327" s="605"/>
      <c r="T327" s="605"/>
    </row>
    <row r="328" spans="3:20" x14ac:dyDescent="0.25">
      <c r="C328" s="607"/>
      <c r="D328" s="622" t="s">
        <v>633</v>
      </c>
      <c r="E328" s="607">
        <v>0</v>
      </c>
      <c r="F328" s="607">
        <v>0</v>
      </c>
      <c r="G328" s="607">
        <v>0</v>
      </c>
      <c r="H328" s="607">
        <v>0</v>
      </c>
      <c r="I328" s="607">
        <v>0</v>
      </c>
      <c r="J328" s="607">
        <v>0</v>
      </c>
      <c r="K328" s="607">
        <v>0</v>
      </c>
      <c r="L328" s="607">
        <v>0</v>
      </c>
      <c r="M328" s="607">
        <v>0</v>
      </c>
      <c r="N328" s="607">
        <v>0</v>
      </c>
      <c r="O328" s="607">
        <v>0</v>
      </c>
      <c r="P328" s="607">
        <v>0</v>
      </c>
      <c r="Q328" s="607"/>
      <c r="R328" s="605"/>
      <c r="S328" s="605"/>
      <c r="T328" s="605"/>
    </row>
    <row r="329" spans="3:20" x14ac:dyDescent="0.25">
      <c r="C329" s="607"/>
      <c r="D329" s="622" t="s">
        <v>634</v>
      </c>
      <c r="E329" s="607">
        <v>0</v>
      </c>
      <c r="F329" s="607">
        <v>0</v>
      </c>
      <c r="G329" s="607">
        <v>0</v>
      </c>
      <c r="H329" s="607">
        <v>0</v>
      </c>
      <c r="I329" s="607">
        <v>0</v>
      </c>
      <c r="J329" s="607">
        <v>0</v>
      </c>
      <c r="K329" s="607">
        <v>0</v>
      </c>
      <c r="L329" s="607">
        <v>0</v>
      </c>
      <c r="M329" s="607">
        <v>0</v>
      </c>
      <c r="N329" s="607">
        <v>0</v>
      </c>
      <c r="O329" s="607">
        <v>0</v>
      </c>
      <c r="P329" s="607">
        <v>0</v>
      </c>
      <c r="Q329" s="607"/>
      <c r="R329" s="605"/>
      <c r="S329" s="605"/>
      <c r="T329" s="605"/>
    </row>
    <row r="330" spans="3:20" x14ac:dyDescent="0.25">
      <c r="C330" s="607"/>
      <c r="D330" s="622" t="s">
        <v>635</v>
      </c>
      <c r="E330" s="607">
        <v>0</v>
      </c>
      <c r="F330" s="607">
        <v>0</v>
      </c>
      <c r="G330" s="607">
        <v>0</v>
      </c>
      <c r="H330" s="607">
        <v>0</v>
      </c>
      <c r="I330" s="607">
        <v>0</v>
      </c>
      <c r="J330" s="607">
        <v>0</v>
      </c>
      <c r="K330" s="607">
        <v>0</v>
      </c>
      <c r="L330" s="607">
        <v>0</v>
      </c>
      <c r="M330" s="607">
        <v>0</v>
      </c>
      <c r="N330" s="607">
        <v>0</v>
      </c>
      <c r="O330" s="607">
        <v>0</v>
      </c>
      <c r="P330" s="607">
        <v>0</v>
      </c>
      <c r="Q330" s="607"/>
      <c r="R330" s="605"/>
      <c r="S330" s="605"/>
      <c r="T330" s="605"/>
    </row>
    <row r="331" spans="3:20" x14ac:dyDescent="0.25">
      <c r="C331" s="607"/>
      <c r="D331" s="622" t="s">
        <v>636</v>
      </c>
      <c r="E331" s="607">
        <v>0</v>
      </c>
      <c r="F331" s="607">
        <v>0</v>
      </c>
      <c r="G331" s="607">
        <v>0</v>
      </c>
      <c r="H331" s="607">
        <v>0</v>
      </c>
      <c r="I331" s="607">
        <v>0</v>
      </c>
      <c r="J331" s="607">
        <v>0</v>
      </c>
      <c r="K331" s="607">
        <v>0</v>
      </c>
      <c r="L331" s="607">
        <v>0</v>
      </c>
      <c r="M331" s="607">
        <v>0</v>
      </c>
      <c r="N331" s="607">
        <v>0</v>
      </c>
      <c r="O331" s="607">
        <v>0</v>
      </c>
      <c r="P331" s="607">
        <v>0</v>
      </c>
      <c r="Q331" s="607"/>
      <c r="R331" s="605"/>
      <c r="S331" s="605"/>
      <c r="T331" s="605"/>
    </row>
    <row r="332" spans="3:20" x14ac:dyDescent="0.25">
      <c r="C332" s="607"/>
      <c r="D332" s="622" t="s">
        <v>637</v>
      </c>
      <c r="E332" s="607">
        <v>0</v>
      </c>
      <c r="F332" s="607">
        <v>0</v>
      </c>
      <c r="G332" s="607">
        <v>0</v>
      </c>
      <c r="H332" s="607">
        <v>0</v>
      </c>
      <c r="I332" s="607">
        <v>0</v>
      </c>
      <c r="J332" s="607">
        <v>0</v>
      </c>
      <c r="K332" s="607">
        <v>0</v>
      </c>
      <c r="L332" s="607">
        <v>0</v>
      </c>
      <c r="M332" s="607">
        <v>0</v>
      </c>
      <c r="N332" s="607">
        <v>0</v>
      </c>
      <c r="O332" s="607">
        <v>0</v>
      </c>
      <c r="P332" s="607">
        <v>0</v>
      </c>
      <c r="Q332" s="607"/>
      <c r="R332" s="605"/>
      <c r="S332" s="605"/>
      <c r="T332" s="605"/>
    </row>
    <row r="333" spans="3:20" x14ac:dyDescent="0.25">
      <c r="C333" s="607"/>
      <c r="D333" s="622" t="s">
        <v>638</v>
      </c>
      <c r="E333" s="607">
        <v>0</v>
      </c>
      <c r="F333" s="607">
        <v>0</v>
      </c>
      <c r="G333" s="607">
        <v>0</v>
      </c>
      <c r="H333" s="607">
        <v>0</v>
      </c>
      <c r="I333" s="607">
        <v>0</v>
      </c>
      <c r="J333" s="607">
        <v>0</v>
      </c>
      <c r="K333" s="607">
        <v>0</v>
      </c>
      <c r="L333" s="607">
        <v>0</v>
      </c>
      <c r="M333" s="607">
        <v>0</v>
      </c>
      <c r="N333" s="607">
        <v>0</v>
      </c>
      <c r="O333" s="607">
        <v>0</v>
      </c>
      <c r="P333" s="607">
        <v>0</v>
      </c>
      <c r="Q333" s="607"/>
      <c r="R333" s="605"/>
      <c r="S333" s="605"/>
      <c r="T333" s="605"/>
    </row>
    <row r="334" spans="3:20" x14ac:dyDescent="0.25">
      <c r="C334" s="607"/>
      <c r="D334" s="622" t="s">
        <v>639</v>
      </c>
      <c r="E334" s="607">
        <v>0</v>
      </c>
      <c r="F334" s="607">
        <v>0</v>
      </c>
      <c r="G334" s="607">
        <v>0</v>
      </c>
      <c r="H334" s="607">
        <v>0</v>
      </c>
      <c r="I334" s="607">
        <v>0</v>
      </c>
      <c r="J334" s="607">
        <v>0</v>
      </c>
      <c r="K334" s="607">
        <v>0</v>
      </c>
      <c r="L334" s="607">
        <v>0</v>
      </c>
      <c r="M334" s="607">
        <v>0</v>
      </c>
      <c r="N334" s="607">
        <v>0</v>
      </c>
      <c r="O334" s="607">
        <v>0</v>
      </c>
      <c r="P334" s="607">
        <v>0</v>
      </c>
      <c r="Q334" s="607"/>
      <c r="R334" s="605"/>
      <c r="S334" s="605"/>
      <c r="T334" s="605"/>
    </row>
    <row r="335" spans="3:20" hidden="1" x14ac:dyDescent="0.25">
      <c r="C335" s="607"/>
      <c r="D335" s="607"/>
      <c r="E335" s="607"/>
      <c r="F335" s="607"/>
      <c r="G335" s="607"/>
      <c r="H335" s="607"/>
      <c r="I335" s="607"/>
      <c r="J335" s="607"/>
      <c r="K335" s="607"/>
      <c r="L335" s="607"/>
      <c r="M335" s="607"/>
      <c r="N335" s="607"/>
      <c r="O335" s="607"/>
      <c r="P335" s="607"/>
      <c r="Q335" s="607"/>
      <c r="R335" s="605"/>
      <c r="S335" s="605"/>
      <c r="T335" s="605"/>
    </row>
    <row r="336" spans="3:20" hidden="1" x14ac:dyDescent="0.25">
      <c r="C336" s="607"/>
      <c r="D336" s="607"/>
      <c r="E336" s="607"/>
      <c r="F336" s="607"/>
      <c r="G336" s="607"/>
      <c r="H336" s="607"/>
      <c r="I336" s="607"/>
      <c r="J336" s="607"/>
      <c r="K336" s="607"/>
      <c r="L336" s="607"/>
      <c r="M336" s="607"/>
      <c r="N336" s="607"/>
      <c r="O336" s="607"/>
      <c r="P336" s="607"/>
      <c r="Q336" s="607">
        <f t="shared" ref="Q336:Q343" si="164">SUM(E336:P336)</f>
        <v>0</v>
      </c>
      <c r="R336" s="605"/>
      <c r="S336" s="605"/>
      <c r="T336" s="605"/>
    </row>
    <row r="337" spans="3:20" hidden="1" x14ac:dyDescent="0.25">
      <c r="C337" s="607"/>
      <c r="D337" s="607"/>
      <c r="E337" s="607"/>
      <c r="F337" s="607"/>
      <c r="G337" s="607"/>
      <c r="H337" s="607"/>
      <c r="I337" s="607"/>
      <c r="J337" s="607"/>
      <c r="K337" s="607"/>
      <c r="L337" s="607"/>
      <c r="M337" s="607"/>
      <c r="N337" s="607"/>
      <c r="O337" s="607"/>
      <c r="P337" s="607"/>
      <c r="Q337" s="607">
        <f t="shared" si="164"/>
        <v>0</v>
      </c>
      <c r="R337" s="605"/>
      <c r="S337" s="605"/>
      <c r="T337" s="605"/>
    </row>
    <row r="338" spans="3:20" hidden="1" x14ac:dyDescent="0.25">
      <c r="C338" s="607"/>
      <c r="D338" s="607"/>
      <c r="E338" s="607"/>
      <c r="F338" s="607"/>
      <c r="G338" s="607"/>
      <c r="H338" s="607"/>
      <c r="I338" s="607"/>
      <c r="J338" s="607"/>
      <c r="K338" s="607"/>
      <c r="L338" s="607"/>
      <c r="M338" s="607"/>
      <c r="N338" s="607"/>
      <c r="O338" s="607"/>
      <c r="P338" s="607"/>
      <c r="Q338" s="607">
        <f t="shared" si="164"/>
        <v>0</v>
      </c>
      <c r="R338" s="605"/>
      <c r="S338" s="605"/>
      <c r="T338" s="605"/>
    </row>
    <row r="339" spans="3:20" hidden="1" x14ac:dyDescent="0.25">
      <c r="C339" s="607"/>
      <c r="D339" s="607"/>
      <c r="E339" s="607"/>
      <c r="F339" s="607"/>
      <c r="G339" s="607"/>
      <c r="H339" s="607"/>
      <c r="I339" s="607"/>
      <c r="J339" s="607"/>
      <c r="K339" s="607"/>
      <c r="L339" s="607"/>
      <c r="M339" s="607"/>
      <c r="N339" s="607"/>
      <c r="O339" s="607"/>
      <c r="P339" s="607"/>
      <c r="Q339" s="607">
        <f t="shared" si="164"/>
        <v>0</v>
      </c>
      <c r="R339" s="605"/>
      <c r="S339" s="605"/>
      <c r="T339" s="605"/>
    </row>
    <row r="340" spans="3:20" hidden="1" x14ac:dyDescent="0.25">
      <c r="C340" s="607"/>
      <c r="D340" s="607"/>
      <c r="E340" s="607"/>
      <c r="F340" s="607"/>
      <c r="G340" s="607"/>
      <c r="H340" s="607"/>
      <c r="I340" s="607"/>
      <c r="J340" s="607"/>
      <c r="K340" s="607"/>
      <c r="L340" s="607"/>
      <c r="M340" s="607"/>
      <c r="N340" s="607"/>
      <c r="O340" s="607"/>
      <c r="P340" s="607"/>
      <c r="Q340" s="607">
        <f t="shared" si="164"/>
        <v>0</v>
      </c>
      <c r="R340" s="605"/>
      <c r="S340" s="605"/>
      <c r="T340" s="605"/>
    </row>
    <row r="341" spans="3:20" hidden="1" x14ac:dyDescent="0.25">
      <c r="C341" s="607"/>
      <c r="D341" s="607"/>
      <c r="E341" s="607"/>
      <c r="F341" s="607"/>
      <c r="G341" s="607"/>
      <c r="H341" s="607"/>
      <c r="I341" s="607"/>
      <c r="J341" s="607"/>
      <c r="K341" s="607"/>
      <c r="L341" s="607"/>
      <c r="M341" s="607"/>
      <c r="N341" s="607"/>
      <c r="O341" s="607"/>
      <c r="P341" s="607"/>
      <c r="Q341" s="607">
        <f t="shared" si="164"/>
        <v>0</v>
      </c>
      <c r="R341" s="605"/>
      <c r="S341" s="605"/>
      <c r="T341" s="605"/>
    </row>
    <row r="342" spans="3:20" hidden="1" x14ac:dyDescent="0.25">
      <c r="C342" s="607"/>
      <c r="D342" s="607"/>
      <c r="E342" s="607"/>
      <c r="F342" s="607"/>
      <c r="G342" s="607"/>
      <c r="H342" s="607"/>
      <c r="I342" s="607"/>
      <c r="J342" s="607"/>
      <c r="K342" s="607"/>
      <c r="L342" s="607"/>
      <c r="M342" s="607"/>
      <c r="N342" s="607"/>
      <c r="O342" s="607"/>
      <c r="P342" s="607"/>
      <c r="Q342" s="607">
        <f t="shared" si="164"/>
        <v>0</v>
      </c>
      <c r="R342" s="605"/>
      <c r="S342" s="605"/>
      <c r="T342" s="605"/>
    </row>
    <row r="343" spans="3:20" x14ac:dyDescent="0.25">
      <c r="C343" s="811" t="s">
        <v>423</v>
      </c>
      <c r="D343" s="812"/>
      <c r="E343" s="607">
        <f t="shared" ref="E343:P343" si="165">SUM(E317:E342)</f>
        <v>0</v>
      </c>
      <c r="F343" s="607">
        <f t="shared" si="165"/>
        <v>0</v>
      </c>
      <c r="G343" s="607">
        <f t="shared" si="165"/>
        <v>0</v>
      </c>
      <c r="H343" s="607">
        <f t="shared" si="165"/>
        <v>0</v>
      </c>
      <c r="I343" s="607">
        <f t="shared" si="165"/>
        <v>0</v>
      </c>
      <c r="J343" s="607">
        <f t="shared" si="165"/>
        <v>0</v>
      </c>
      <c r="K343" s="607">
        <f t="shared" si="165"/>
        <v>0</v>
      </c>
      <c r="L343" s="607">
        <f t="shared" si="165"/>
        <v>0</v>
      </c>
      <c r="M343" s="607">
        <f t="shared" si="165"/>
        <v>0</v>
      </c>
      <c r="N343" s="607">
        <f t="shared" si="165"/>
        <v>0</v>
      </c>
      <c r="O343" s="607">
        <f t="shared" si="165"/>
        <v>0</v>
      </c>
      <c r="P343" s="607">
        <f t="shared" si="165"/>
        <v>0</v>
      </c>
      <c r="Q343" s="609">
        <f t="shared" si="164"/>
        <v>0</v>
      </c>
      <c r="R343" s="605"/>
      <c r="S343" s="605"/>
      <c r="T343" s="605"/>
    </row>
    <row r="344" spans="3:20" x14ac:dyDescent="0.25">
      <c r="C344" s="813" t="s">
        <v>424</v>
      </c>
      <c r="D344" s="814"/>
      <c r="E344" s="607"/>
      <c r="F344" s="607"/>
      <c r="G344" s="607"/>
      <c r="H344" s="607"/>
      <c r="I344" s="607"/>
      <c r="J344" s="607"/>
      <c r="K344" s="607"/>
      <c r="L344" s="607"/>
      <c r="M344" s="607"/>
      <c r="N344" s="607"/>
      <c r="O344" s="607"/>
      <c r="P344" s="607"/>
      <c r="Q344" s="607"/>
      <c r="R344" s="605"/>
      <c r="S344" s="605"/>
      <c r="T344" s="605"/>
    </row>
    <row r="345" spans="3:20" x14ac:dyDescent="0.25">
      <c r="C345" s="607" t="s">
        <v>425</v>
      </c>
      <c r="D345" s="607" t="s">
        <v>426</v>
      </c>
      <c r="E345" s="607">
        <v>0</v>
      </c>
      <c r="F345" s="607">
        <v>0</v>
      </c>
      <c r="G345" s="607">
        <v>0</v>
      </c>
      <c r="H345" s="607">
        <v>0</v>
      </c>
      <c r="I345" s="607">
        <v>0</v>
      </c>
      <c r="J345" s="607">
        <v>0</v>
      </c>
      <c r="K345" s="607">
        <v>0</v>
      </c>
      <c r="L345" s="607">
        <v>0</v>
      </c>
      <c r="M345" s="607">
        <v>0</v>
      </c>
      <c r="N345" s="607">
        <v>0</v>
      </c>
      <c r="O345" s="607">
        <v>0</v>
      </c>
      <c r="P345" s="607">
        <v>0</v>
      </c>
      <c r="Q345" s="607">
        <f>SUM(E345:P345)</f>
        <v>0</v>
      </c>
      <c r="R345" s="605"/>
      <c r="S345" s="605"/>
      <c r="T345" s="605"/>
    </row>
    <row r="346" spans="3:20" x14ac:dyDescent="0.25">
      <c r="C346" s="607" t="s">
        <v>425</v>
      </c>
      <c r="D346" s="607" t="s">
        <v>427</v>
      </c>
      <c r="E346" s="607">
        <v>0</v>
      </c>
      <c r="F346" s="607">
        <v>0</v>
      </c>
      <c r="G346" s="607">
        <v>0</v>
      </c>
      <c r="H346" s="607">
        <v>0</v>
      </c>
      <c r="I346" s="607">
        <v>0</v>
      </c>
      <c r="J346" s="607">
        <v>0</v>
      </c>
      <c r="K346" s="607">
        <v>0</v>
      </c>
      <c r="L346" s="607">
        <v>0</v>
      </c>
      <c r="M346" s="607">
        <v>0</v>
      </c>
      <c r="N346" s="607">
        <v>0</v>
      </c>
      <c r="O346" s="607">
        <v>0</v>
      </c>
      <c r="P346" s="607">
        <v>0</v>
      </c>
      <c r="Q346" s="607">
        <f>SUM(E346:P346)</f>
        <v>0</v>
      </c>
      <c r="R346" s="605"/>
      <c r="S346" s="605"/>
      <c r="T346" s="605"/>
    </row>
    <row r="347" spans="3:20" x14ac:dyDescent="0.25">
      <c r="C347" s="811" t="s">
        <v>428</v>
      </c>
      <c r="D347" s="812"/>
      <c r="E347" s="607">
        <f t="shared" ref="E347:Q347" si="166">E345+E346</f>
        <v>0</v>
      </c>
      <c r="F347" s="607">
        <f t="shared" si="166"/>
        <v>0</v>
      </c>
      <c r="G347" s="607">
        <f t="shared" si="166"/>
        <v>0</v>
      </c>
      <c r="H347" s="607">
        <f t="shared" si="166"/>
        <v>0</v>
      </c>
      <c r="I347" s="607">
        <f t="shared" si="166"/>
        <v>0</v>
      </c>
      <c r="J347" s="607">
        <f t="shared" si="166"/>
        <v>0</v>
      </c>
      <c r="K347" s="607">
        <f t="shared" si="166"/>
        <v>0</v>
      </c>
      <c r="L347" s="607">
        <f t="shared" si="166"/>
        <v>0</v>
      </c>
      <c r="M347" s="607">
        <f t="shared" si="166"/>
        <v>0</v>
      </c>
      <c r="N347" s="607">
        <f t="shared" si="166"/>
        <v>0</v>
      </c>
      <c r="O347" s="607">
        <f t="shared" si="166"/>
        <v>0</v>
      </c>
      <c r="P347" s="607">
        <f t="shared" si="166"/>
        <v>0</v>
      </c>
      <c r="Q347" s="607">
        <f t="shared" si="166"/>
        <v>0</v>
      </c>
      <c r="R347" s="605"/>
      <c r="S347" s="605"/>
      <c r="T347" s="605"/>
    </row>
    <row r="348" spans="3:20" x14ac:dyDescent="0.25">
      <c r="C348" s="811" t="s">
        <v>220</v>
      </c>
      <c r="D348" s="812"/>
      <c r="E348" s="606">
        <f t="shared" ref="E348:Q348" si="167">E225+E270+E279+E289+E315+E343+E347</f>
        <v>412.11376903262101</v>
      </c>
      <c r="F348" s="606">
        <f t="shared" si="167"/>
        <v>342.57892497934887</v>
      </c>
      <c r="G348" s="606">
        <f t="shared" si="167"/>
        <v>343.1277769261564</v>
      </c>
      <c r="H348" s="606">
        <f t="shared" si="167"/>
        <v>419.50762399157293</v>
      </c>
      <c r="I348" s="606">
        <f t="shared" si="167"/>
        <v>491.13925725225647</v>
      </c>
      <c r="J348" s="606">
        <f t="shared" si="167"/>
        <v>423.5943038560585</v>
      </c>
      <c r="K348" s="606">
        <f t="shared" si="167"/>
        <v>519.65546885802098</v>
      </c>
      <c r="L348" s="606">
        <f t="shared" si="167"/>
        <v>380.74649983822985</v>
      </c>
      <c r="M348" s="606">
        <f t="shared" si="167"/>
        <v>410.11205268203059</v>
      </c>
      <c r="N348" s="606">
        <f t="shared" si="167"/>
        <v>495.66303936851824</v>
      </c>
      <c r="O348" s="606">
        <f t="shared" si="167"/>
        <v>507.06630440974743</v>
      </c>
      <c r="P348" s="606">
        <f t="shared" si="167"/>
        <v>574.87189500266072</v>
      </c>
      <c r="Q348" s="609">
        <f t="shared" si="167"/>
        <v>5768.7328111972211</v>
      </c>
      <c r="R348" s="605"/>
      <c r="S348" s="605"/>
      <c r="T348" s="605"/>
    </row>
    <row r="349" spans="3:20" x14ac:dyDescent="0.25">
      <c r="C349" s="605"/>
      <c r="D349" s="624"/>
      <c r="E349" s="624"/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  <c r="R349" s="605"/>
      <c r="S349" s="605"/>
      <c r="T349" s="605"/>
    </row>
    <row r="350" spans="3:20" x14ac:dyDescent="0.25">
      <c r="C350" s="624" t="s">
        <v>649</v>
      </c>
      <c r="D350" s="605"/>
      <c r="E350" s="605"/>
      <c r="F350" s="605"/>
      <c r="G350" s="605"/>
      <c r="H350" s="605"/>
      <c r="I350" s="605"/>
      <c r="J350" s="625"/>
      <c r="K350" s="605"/>
      <c r="L350" s="605"/>
      <c r="M350" s="605"/>
      <c r="N350" s="605"/>
      <c r="O350" s="605"/>
      <c r="P350" s="605"/>
      <c r="Q350" s="605"/>
      <c r="R350" s="605"/>
      <c r="S350" s="605"/>
      <c r="T350" s="605"/>
    </row>
    <row r="351" spans="3:20" x14ac:dyDescent="0.25">
      <c r="C351" s="626"/>
      <c r="D351" s="605"/>
      <c r="E351" s="605"/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25" t="s">
        <v>3</v>
      </c>
      <c r="R351" s="605"/>
      <c r="S351" s="605"/>
      <c r="T351" s="605"/>
    </row>
    <row r="352" spans="3:20" x14ac:dyDescent="0.25">
      <c r="C352" s="818" t="s">
        <v>346</v>
      </c>
      <c r="D352" s="818" t="s">
        <v>347</v>
      </c>
      <c r="E352" s="799" t="s">
        <v>1224</v>
      </c>
      <c r="F352" s="799"/>
      <c r="G352" s="799"/>
      <c r="H352" s="799"/>
      <c r="I352" s="799"/>
      <c r="J352" s="799"/>
      <c r="K352" s="799"/>
      <c r="L352" s="799"/>
      <c r="M352" s="799"/>
      <c r="N352" s="799"/>
      <c r="O352" s="799"/>
      <c r="P352" s="799"/>
      <c r="Q352" s="799"/>
      <c r="R352" s="605"/>
      <c r="S352" s="605"/>
      <c r="T352" s="605"/>
    </row>
    <row r="353" spans="2:20" x14ac:dyDescent="0.25">
      <c r="C353" s="819"/>
      <c r="D353" s="819"/>
      <c r="E353" s="594" t="s">
        <v>239</v>
      </c>
      <c r="F353" s="594" t="s">
        <v>240</v>
      </c>
      <c r="G353" s="594" t="s">
        <v>241</v>
      </c>
      <c r="H353" s="594" t="s">
        <v>242</v>
      </c>
      <c r="I353" s="594" t="s">
        <v>243</v>
      </c>
      <c r="J353" s="594" t="s">
        <v>244</v>
      </c>
      <c r="K353" s="594" t="s">
        <v>245</v>
      </c>
      <c r="L353" s="594" t="s">
        <v>246</v>
      </c>
      <c r="M353" s="594" t="s">
        <v>247</v>
      </c>
      <c r="N353" s="594" t="s">
        <v>248</v>
      </c>
      <c r="O353" s="594" t="s">
        <v>249</v>
      </c>
      <c r="P353" s="594" t="s">
        <v>250</v>
      </c>
      <c r="Q353" s="594" t="s">
        <v>251</v>
      </c>
      <c r="R353" s="605"/>
      <c r="S353" s="605"/>
      <c r="T353" s="605"/>
    </row>
    <row r="354" spans="2:20" x14ac:dyDescent="0.25">
      <c r="C354" s="820"/>
      <c r="D354" s="820"/>
      <c r="E354" s="606"/>
      <c r="F354" s="606"/>
      <c r="G354" s="606"/>
      <c r="H354" s="606"/>
      <c r="I354" s="606"/>
      <c r="J354" s="606"/>
      <c r="K354" s="606"/>
      <c r="L354" s="606"/>
      <c r="M354" s="606"/>
      <c r="N354" s="606"/>
      <c r="O354" s="606"/>
      <c r="P354" s="606"/>
      <c r="Q354" s="606"/>
      <c r="R354" s="605"/>
      <c r="S354" s="605"/>
      <c r="T354" s="605"/>
    </row>
    <row r="355" spans="2:20" x14ac:dyDescent="0.25">
      <c r="B355" s="60"/>
      <c r="C355" s="813" t="s">
        <v>348</v>
      </c>
      <c r="D355" s="814"/>
      <c r="E355" s="607"/>
      <c r="F355" s="607"/>
      <c r="G355" s="607"/>
      <c r="H355" s="607"/>
      <c r="I355" s="607"/>
      <c r="J355" s="607"/>
      <c r="K355" s="607"/>
      <c r="L355" s="607"/>
      <c r="M355" s="607"/>
      <c r="N355" s="607"/>
      <c r="O355" s="607"/>
      <c r="P355" s="607"/>
      <c r="Q355" s="607"/>
      <c r="R355" s="605"/>
      <c r="S355" s="605"/>
      <c r="T355" s="605"/>
    </row>
    <row r="356" spans="2:20" x14ac:dyDescent="0.25">
      <c r="C356" s="811" t="s">
        <v>349</v>
      </c>
      <c r="D356" s="812"/>
      <c r="E356" s="607"/>
      <c r="F356" s="607"/>
      <c r="G356" s="607"/>
      <c r="H356" s="607"/>
      <c r="I356" s="607"/>
      <c r="J356" s="607"/>
      <c r="K356" s="607"/>
      <c r="L356" s="607"/>
      <c r="M356" s="607"/>
      <c r="N356" s="607"/>
      <c r="O356" s="607"/>
      <c r="P356" s="607"/>
      <c r="Q356" s="607"/>
      <c r="R356" s="605"/>
      <c r="S356" s="605"/>
      <c r="T356" s="605"/>
    </row>
    <row r="357" spans="2:20" x14ac:dyDescent="0.25">
      <c r="B357" s="60"/>
      <c r="C357" s="821" t="s">
        <v>350</v>
      </c>
      <c r="D357" s="607" t="s">
        <v>351</v>
      </c>
      <c r="E357" s="617">
        <f>'[5]TGNPDCL MoD'!AJ4+'[5]TGNPDCL MoD'!AJ5</f>
        <v>25.766123449406468</v>
      </c>
      <c r="F357" s="617">
        <f>'[5]TGNPDCL MoD'!AK4+'[5]TGNPDCL MoD'!AK5</f>
        <v>23.833944033459396</v>
      </c>
      <c r="G357" s="617">
        <f>'[5]TGNPDCL MoD'!AL4+'[5]TGNPDCL MoD'!AL5</f>
        <v>23.06510712915426</v>
      </c>
      <c r="H357" s="617">
        <f>'[5]TGNPDCL MoD'!AM4+'[5]TGNPDCL MoD'!AM5</f>
        <v>0</v>
      </c>
      <c r="I357" s="617">
        <f>'[5]TGNPDCL MoD'!AN4+'[5]TGNPDCL MoD'!AN5</f>
        <v>12.323232426390941</v>
      </c>
      <c r="J357" s="617">
        <f>'[5]TGNPDCL MoD'!AO4+'[5]TGNPDCL MoD'!AO5</f>
        <v>23.06510712915426</v>
      </c>
      <c r="K357" s="617">
        <f>'[5]TGNPDCL MoD'!AP4+'[5]TGNPDCL MoD'!AP5</f>
        <v>28.709068949394272</v>
      </c>
      <c r="L357" s="617">
        <f>'[5]TGNPDCL MoD'!AQ4+'[5]TGNPDCL MoD'!AQ5</f>
        <v>34.079333634570368</v>
      </c>
      <c r="M357" s="617">
        <f>'[5]TGNPDCL MoD'!AR4+'[5]TGNPDCL MoD'!AR5</f>
        <v>24.646464852781882</v>
      </c>
      <c r="N357" s="617">
        <f>'[5]TGNPDCL MoD'!AS4+'[5]TGNPDCL MoD'!AS5</f>
        <v>25.097748007336939</v>
      </c>
      <c r="O357" s="617">
        <f>'[5]TGNPDCL MoD'!AT4+'[5]TGNPDCL MoD'!AT5</f>
        <v>28.866331043456693</v>
      </c>
      <c r="P357" s="617">
        <f>'[5]TGNPDCL MoD'!AU4+'[5]TGNPDCL MoD'!AU5</f>
        <v>32.771673046006661</v>
      </c>
      <c r="Q357" s="617">
        <f t="shared" ref="Q357:Q375" si="168">SUM(E357:P357)</f>
        <v>282.22413370111212</v>
      </c>
      <c r="R357" s="605"/>
      <c r="S357" s="605"/>
      <c r="T357" s="605"/>
    </row>
    <row r="358" spans="2:20" x14ac:dyDescent="0.25">
      <c r="B358" s="60"/>
      <c r="C358" s="822"/>
      <c r="D358" s="607" t="s">
        <v>352</v>
      </c>
      <c r="E358" s="617">
        <f>'[5]TGNPDCL MoD'!AJ6</f>
        <v>26.290056249181429</v>
      </c>
      <c r="F358" s="617">
        <f>'[5]TGNPDCL MoD'!AK6</f>
        <v>30.598740071497183</v>
      </c>
      <c r="G358" s="617">
        <f>'[5]TGNPDCL MoD'!AL6</f>
        <v>20.93732434829133</v>
      </c>
      <c r="H358" s="617">
        <f>'[5]TGNPDCL MoD'!AM6</f>
        <v>22.318721694244612</v>
      </c>
      <c r="I358" s="617">
        <f>'[5]TGNPDCL MoD'!AN6</f>
        <v>24.420443057889358</v>
      </c>
      <c r="J358" s="617">
        <f>'[5]TGNPDCL MoD'!AO6</f>
        <v>20.600531973894071</v>
      </c>
      <c r="K358" s="617">
        <f>'[5]TGNPDCL MoD'!AP6</f>
        <v>28.534357122089745</v>
      </c>
      <c r="L358" s="617">
        <f>'[5]TGNPDCL MoD'!AQ6</f>
        <v>16.26411552748964</v>
      </c>
      <c r="M358" s="617">
        <f>'[5]TGNPDCL MoD'!AR6</f>
        <v>22.745296864784851</v>
      </c>
      <c r="N358" s="617">
        <f>'[5]TGNPDCL MoD'!AS6</f>
        <v>23.456208820700894</v>
      </c>
      <c r="O358" s="617">
        <f>'[5]TGNPDCL MoD'!AT6</f>
        <v>26.428212665292534</v>
      </c>
      <c r="P358" s="617">
        <f>'[5]TGNPDCL MoD'!AU6</f>
        <v>31.218417178784165</v>
      </c>
      <c r="Q358" s="617">
        <f t="shared" si="168"/>
        <v>293.81242557413987</v>
      </c>
      <c r="R358" s="605"/>
      <c r="S358" s="605"/>
      <c r="T358" s="605"/>
    </row>
    <row r="359" spans="2:20" x14ac:dyDescent="0.25">
      <c r="B359" s="60"/>
      <c r="C359" s="822"/>
      <c r="D359" s="607" t="s">
        <v>353</v>
      </c>
      <c r="E359" s="617">
        <f>'[5]TGNPDCL MoD'!AJ7</f>
        <v>43.852719589417127</v>
      </c>
      <c r="F359" s="617">
        <f>'[5]TGNPDCL MoD'!AK7</f>
        <v>0</v>
      </c>
      <c r="G359" s="617">
        <f>'[5]TGNPDCL MoD'!AL7</f>
        <v>16.46168021815156</v>
      </c>
      <c r="H359" s="617">
        <f>'[5]TGNPDCL MoD'!AM7</f>
        <v>35.144524978569194</v>
      </c>
      <c r="I359" s="617">
        <f>'[5]TGNPDCL MoD'!AN7</f>
        <v>43.455303309153628</v>
      </c>
      <c r="J359" s="617">
        <f>'[5]TGNPDCL MoD'!AO7</f>
        <v>34.008745945192231</v>
      </c>
      <c r="K359" s="617">
        <f>'[5]TGNPDCL MoD'!AP7</f>
        <v>47.836204496050634</v>
      </c>
      <c r="L359" s="617">
        <f>'[5]TGNPDCL MoD'!AQ7</f>
        <v>51.046058027962289</v>
      </c>
      <c r="M359" s="617">
        <f>'[5]TGNPDCL MoD'!AR7</f>
        <v>40.63005951721906</v>
      </c>
      <c r="N359" s="617">
        <f>'[5]TGNPDCL MoD'!AS7</f>
        <v>42.034254227581975</v>
      </c>
      <c r="O359" s="617">
        <f>'[5]TGNPDCL MoD'!AT7</f>
        <v>41.871760965144489</v>
      </c>
      <c r="P359" s="617">
        <f>'[5]TGNPDCL MoD'!AU7</f>
        <v>50.551894858500447</v>
      </c>
      <c r="Q359" s="617">
        <f t="shared" si="168"/>
        <v>446.89320613294262</v>
      </c>
      <c r="R359" s="605"/>
      <c r="S359" s="605"/>
      <c r="T359" s="605"/>
    </row>
    <row r="360" spans="2:20" x14ac:dyDescent="0.25">
      <c r="B360" s="60"/>
      <c r="C360" s="822"/>
      <c r="D360" s="607" t="s">
        <v>354</v>
      </c>
      <c r="E360" s="617">
        <f>'[5]TGNPDCL MoD'!AJ8</f>
        <v>0</v>
      </c>
      <c r="F360" s="617">
        <f>'[5]TGNPDCL MoD'!AK8</f>
        <v>0</v>
      </c>
      <c r="G360" s="617">
        <f>'[5]TGNPDCL MoD'!AL8</f>
        <v>0</v>
      </c>
      <c r="H360" s="617">
        <f>'[5]TGNPDCL MoD'!AM8</f>
        <v>0</v>
      </c>
      <c r="I360" s="617">
        <f>'[5]TGNPDCL MoD'!AN8</f>
        <v>0</v>
      </c>
      <c r="J360" s="617">
        <f>'[5]TGNPDCL MoD'!AO8</f>
        <v>0</v>
      </c>
      <c r="K360" s="617">
        <f>'[5]TGNPDCL MoD'!AP8</f>
        <v>0</v>
      </c>
      <c r="L360" s="617">
        <f>'[5]TGNPDCL MoD'!AQ8</f>
        <v>0</v>
      </c>
      <c r="M360" s="617">
        <f>'[5]TGNPDCL MoD'!AR8</f>
        <v>0</v>
      </c>
      <c r="N360" s="617">
        <f>'[5]TGNPDCL MoD'!AS8</f>
        <v>0</v>
      </c>
      <c r="O360" s="617">
        <f>'[5]TGNPDCL MoD'!AT8</f>
        <v>0</v>
      </c>
      <c r="P360" s="617">
        <f>'[5]TGNPDCL MoD'!AU8</f>
        <v>0</v>
      </c>
      <c r="Q360" s="617">
        <f t="shared" si="168"/>
        <v>0</v>
      </c>
      <c r="R360" s="605"/>
      <c r="S360" s="605"/>
      <c r="T360" s="605"/>
    </row>
    <row r="361" spans="2:20" x14ac:dyDescent="0.25">
      <c r="B361" s="60"/>
      <c r="C361" s="822"/>
      <c r="D361" s="607" t="s">
        <v>355</v>
      </c>
      <c r="E361" s="617">
        <f>'[5]TGNPDCL MoD'!AJ9</f>
        <v>29.501875653805115</v>
      </c>
      <c r="F361" s="617">
        <f>'[5]TGNPDCL MoD'!AK9</f>
        <v>28.935179959735954</v>
      </c>
      <c r="G361" s="617">
        <f>'[5]TGNPDCL MoD'!AL9</f>
        <v>23.688966839420249</v>
      </c>
      <c r="H361" s="617">
        <f>'[5]TGNPDCL MoD'!AM9</f>
        <v>23.041734737745671</v>
      </c>
      <c r="I361" s="617">
        <f>'[5]TGNPDCL MoD'!AN9</f>
        <v>26.417887696011991</v>
      </c>
      <c r="J361" s="617">
        <f>'[5]TGNPDCL MoD'!AO9</f>
        <v>21.904537603729278</v>
      </c>
      <c r="K361" s="617">
        <f>'[5]TGNPDCL MoD'!AP9</f>
        <v>0</v>
      </c>
      <c r="L361" s="617">
        <f>'[5]TGNPDCL MoD'!AQ9</f>
        <v>14.948322414319076</v>
      </c>
      <c r="M361" s="617">
        <f>'[5]TGNPDCL MoD'!AR9</f>
        <v>25.671813798863468</v>
      </c>
      <c r="N361" s="617">
        <f>'[5]TGNPDCL MoD'!AS9</f>
        <v>26.324487031037961</v>
      </c>
      <c r="O361" s="617">
        <f>'[5]TGNPDCL MoD'!AT9</f>
        <v>26.724512560435237</v>
      </c>
      <c r="P361" s="617">
        <f>'[5]TGNPDCL MoD'!AU9</f>
        <v>32.200223724059612</v>
      </c>
      <c r="Q361" s="617">
        <f t="shared" si="168"/>
        <v>279.35954201916365</v>
      </c>
      <c r="R361" s="605"/>
      <c r="S361" s="605"/>
      <c r="T361" s="605"/>
    </row>
    <row r="362" spans="2:20" x14ac:dyDescent="0.25">
      <c r="B362" s="60"/>
      <c r="C362" s="822"/>
      <c r="D362" s="607" t="s">
        <v>356</v>
      </c>
      <c r="E362" s="617">
        <f>'[5]TGNPDCL MoD'!AJ10</f>
        <v>35.114335012958129</v>
      </c>
      <c r="F362" s="617">
        <f>'[5]TGNPDCL MoD'!AK10</f>
        <v>33.438829806726353</v>
      </c>
      <c r="G362" s="617">
        <f>'[5]TGNPDCL MoD'!AL10</f>
        <v>32.393825405996743</v>
      </c>
      <c r="H362" s="617">
        <f>'[5]TGNPDCL MoD'!AM10</f>
        <v>37.218861839121431</v>
      </c>
      <c r="I362" s="617">
        <f>'[5]TGNPDCL MoD'!AN10</f>
        <v>39.226824699160417</v>
      </c>
      <c r="J362" s="617">
        <f>'[5]TGNPDCL MoD'!AO10</f>
        <v>35.455277090286067</v>
      </c>
      <c r="K362" s="617">
        <f>'[5]TGNPDCL MoD'!AP10</f>
        <v>39.226824699160431</v>
      </c>
      <c r="L362" s="617">
        <f>'[5]TGNPDCL MoD'!AQ10</f>
        <v>0</v>
      </c>
      <c r="M362" s="617">
        <f>'[5]TGNPDCL MoD'!AR10</f>
        <v>17.607034360693095</v>
      </c>
      <c r="N362" s="617">
        <f>'[5]TGNPDCL MoD'!AS10</f>
        <v>37.020315809832645</v>
      </c>
      <c r="O362" s="617">
        <f>'[5]TGNPDCL MoD'!AT10</f>
        <v>35.430680373435223</v>
      </c>
      <c r="P362" s="617">
        <f>'[5]TGNPDCL MoD'!AU10</f>
        <v>39.226824699160431</v>
      </c>
      <c r="Q362" s="617">
        <f t="shared" si="168"/>
        <v>381.359633796531</v>
      </c>
      <c r="R362" s="605"/>
      <c r="S362" s="605"/>
      <c r="T362" s="605"/>
    </row>
    <row r="363" spans="2:20" x14ac:dyDescent="0.25">
      <c r="B363" s="60"/>
      <c r="C363" s="822"/>
      <c r="D363" s="607" t="s">
        <v>357</v>
      </c>
      <c r="E363" s="617">
        <f>SUM('[5]TGNPDCL MoD'!AJ11:AJ14)</f>
        <v>65.120170198068422</v>
      </c>
      <c r="F363" s="617">
        <f>SUM('[5]TGNPDCL MoD'!AK11:AK14)</f>
        <v>47.49133339036409</v>
      </c>
      <c r="G363" s="617">
        <f>SUM('[5]TGNPDCL MoD'!AL11:AL14)</f>
        <v>53.619247376217515</v>
      </c>
      <c r="H363" s="617">
        <f>SUM('[5]TGNPDCL MoD'!AM11:AM14)</f>
        <v>60.799266736691898</v>
      </c>
      <c r="I363" s="617">
        <f>SUM('[5]TGNPDCL MoD'!AN11:AN14)</f>
        <v>55.247868679007716</v>
      </c>
      <c r="J363" s="617">
        <f>SUM('[5]TGNPDCL MoD'!AO11:AO14)</f>
        <v>48.209445107577679</v>
      </c>
      <c r="K363" s="617">
        <f>SUM('[5]TGNPDCL MoD'!AP11:AP14)</f>
        <v>74.496209239786779</v>
      </c>
      <c r="L363" s="617">
        <f>SUM('[5]TGNPDCL MoD'!AQ11:AQ14)</f>
        <v>67.967526132588617</v>
      </c>
      <c r="M363" s="617">
        <f>SUM('[5]TGNPDCL MoD'!AR11:AR14)</f>
        <v>66.115385700310767</v>
      </c>
      <c r="N363" s="617">
        <f>SUM('[5]TGNPDCL MoD'!AS11:AS14)</f>
        <v>68.808532499363167</v>
      </c>
      <c r="O363" s="617">
        <f>SUM('[5]TGNPDCL MoD'!AT11:AT14)</f>
        <v>67.286898668194524</v>
      </c>
      <c r="P363" s="617">
        <f>SUM('[5]TGNPDCL MoD'!AU11:AU14)</f>
        <v>74.496209239786779</v>
      </c>
      <c r="Q363" s="617">
        <f t="shared" si="168"/>
        <v>749.65809296795805</v>
      </c>
      <c r="R363" s="605"/>
      <c r="S363" s="605"/>
      <c r="T363" s="605"/>
    </row>
    <row r="364" spans="2:20" x14ac:dyDescent="0.25">
      <c r="B364" s="60"/>
      <c r="C364" s="822"/>
      <c r="D364" s="607" t="s">
        <v>358</v>
      </c>
      <c r="E364" s="617">
        <f>SUM('[5]TGNPDCL MoD'!AJ15:AJ19)+'[5]TGNPDCL MoD'!$AW$15/12</f>
        <v>143.20648213343043</v>
      </c>
      <c r="F364" s="617">
        <f>SUM('[5]TGNPDCL MoD'!AK15:AK19)+'[5]TGNPDCL MoD'!$AW$15/12</f>
        <v>141.34388612334763</v>
      </c>
      <c r="G364" s="617">
        <f>SUM('[5]TGNPDCL MoD'!AL15:AL19)+'[5]TGNPDCL MoD'!$AW$15/12</f>
        <v>176.61192911594793</v>
      </c>
      <c r="H364" s="617">
        <f>SUM('[5]TGNPDCL MoD'!AM15:AM19)+'[5]TGNPDCL MoD'!$AW$15/12</f>
        <v>224.14585677902994</v>
      </c>
      <c r="I364" s="617">
        <f>SUM('[5]TGNPDCL MoD'!AN15:AN19)+'[5]TGNPDCL MoD'!$AW$15/12</f>
        <v>232.6863561373718</v>
      </c>
      <c r="J364" s="617">
        <f>SUM('[5]TGNPDCL MoD'!AO15:AO19)+'[5]TGNPDCL MoD'!$AW$15/12</f>
        <v>206.57334706759517</v>
      </c>
      <c r="K364" s="617">
        <f>SUM('[5]TGNPDCL MoD'!AP15:AP19)+'[5]TGNPDCL MoD'!$AW$15/12</f>
        <v>264.40019833403954</v>
      </c>
      <c r="L364" s="617">
        <f>SUM('[5]TGNPDCL MoD'!AQ15:AQ19)+'[5]TGNPDCL MoD'!$AW$15/12</f>
        <v>171.79536828312422</v>
      </c>
      <c r="M364" s="617">
        <f>SUM('[5]TGNPDCL MoD'!AR15:AR19)+'[5]TGNPDCL MoD'!$AW$15/12</f>
        <v>185.5943906689574</v>
      </c>
      <c r="N364" s="617">
        <f>SUM('[5]TGNPDCL MoD'!AS15:AS19)+'[5]TGNPDCL MoD'!$AW$15/12</f>
        <v>224.32864129507337</v>
      </c>
      <c r="O364" s="617">
        <f>SUM('[5]TGNPDCL MoD'!AT15:AT19)+'[5]TGNPDCL MoD'!$AW$15/12</f>
        <v>229.24156335080747</v>
      </c>
      <c r="P364" s="617">
        <f>SUM('[5]TGNPDCL MoD'!AU15:AU19)+'[5]TGNPDCL MoD'!$AW$15/12</f>
        <v>276.54144186287294</v>
      </c>
      <c r="Q364" s="617">
        <f t="shared" si="168"/>
        <v>2476.4694611515979</v>
      </c>
      <c r="R364" s="605"/>
      <c r="S364" s="605"/>
      <c r="T364" s="605"/>
    </row>
    <row r="365" spans="2:20" x14ac:dyDescent="0.25">
      <c r="B365" s="60"/>
      <c r="C365" s="822"/>
      <c r="D365" s="622" t="s">
        <v>620</v>
      </c>
      <c r="E365" s="607"/>
      <c r="F365" s="607"/>
      <c r="G365" s="607"/>
      <c r="H365" s="607"/>
      <c r="I365" s="607"/>
      <c r="J365" s="607"/>
      <c r="K365" s="607"/>
      <c r="L365" s="607"/>
      <c r="M365" s="607"/>
      <c r="N365" s="607"/>
      <c r="O365" s="607"/>
      <c r="P365" s="607"/>
      <c r="Q365" s="607">
        <f t="shared" si="168"/>
        <v>0</v>
      </c>
      <c r="R365" s="605"/>
      <c r="S365" s="605"/>
      <c r="T365" s="605"/>
    </row>
    <row r="366" spans="2:20" hidden="1" x14ac:dyDescent="0.25">
      <c r="B366" s="60"/>
      <c r="C366" s="822"/>
      <c r="D366" s="607"/>
      <c r="E366" s="607"/>
      <c r="F366" s="607"/>
      <c r="G366" s="607"/>
      <c r="H366" s="607"/>
      <c r="I366" s="607"/>
      <c r="J366" s="607"/>
      <c r="K366" s="607"/>
      <c r="L366" s="607"/>
      <c r="M366" s="607"/>
      <c r="N366" s="607"/>
      <c r="O366" s="607"/>
      <c r="P366" s="607"/>
      <c r="Q366" s="607">
        <f t="shared" si="168"/>
        <v>0</v>
      </c>
      <c r="R366" s="605"/>
      <c r="S366" s="605"/>
      <c r="T366" s="605"/>
    </row>
    <row r="367" spans="2:20" hidden="1" x14ac:dyDescent="0.25">
      <c r="B367" s="60"/>
      <c r="C367" s="822"/>
      <c r="D367" s="607"/>
      <c r="E367" s="607"/>
      <c r="F367" s="607"/>
      <c r="G367" s="607"/>
      <c r="H367" s="607"/>
      <c r="I367" s="607"/>
      <c r="J367" s="607"/>
      <c r="K367" s="607"/>
      <c r="L367" s="607"/>
      <c r="M367" s="607"/>
      <c r="N367" s="607"/>
      <c r="O367" s="607"/>
      <c r="P367" s="607"/>
      <c r="Q367" s="607">
        <f t="shared" si="168"/>
        <v>0</v>
      </c>
      <c r="R367" s="605"/>
      <c r="S367" s="605"/>
      <c r="T367" s="605"/>
    </row>
    <row r="368" spans="2:20" hidden="1" x14ac:dyDescent="0.25">
      <c r="B368" s="60"/>
      <c r="C368" s="822"/>
      <c r="D368" s="607"/>
      <c r="E368" s="607"/>
      <c r="F368" s="607"/>
      <c r="G368" s="607"/>
      <c r="H368" s="607"/>
      <c r="I368" s="607"/>
      <c r="J368" s="607"/>
      <c r="K368" s="607"/>
      <c r="L368" s="607"/>
      <c r="M368" s="607"/>
      <c r="N368" s="607"/>
      <c r="O368" s="607"/>
      <c r="P368" s="607"/>
      <c r="Q368" s="607">
        <f t="shared" si="168"/>
        <v>0</v>
      </c>
      <c r="R368" s="605"/>
      <c r="S368" s="605"/>
      <c r="T368" s="605"/>
    </row>
    <row r="369" spans="2:20" hidden="1" x14ac:dyDescent="0.25">
      <c r="B369" s="60"/>
      <c r="C369" s="822"/>
      <c r="D369" s="607"/>
      <c r="E369" s="607"/>
      <c r="F369" s="607"/>
      <c r="G369" s="607"/>
      <c r="H369" s="607"/>
      <c r="I369" s="607"/>
      <c r="J369" s="607"/>
      <c r="K369" s="607"/>
      <c r="L369" s="607"/>
      <c r="M369" s="607"/>
      <c r="N369" s="607"/>
      <c r="O369" s="607"/>
      <c r="P369" s="607"/>
      <c r="Q369" s="607">
        <f t="shared" si="168"/>
        <v>0</v>
      </c>
      <c r="R369" s="605"/>
      <c r="S369" s="605"/>
      <c r="T369" s="605"/>
    </row>
    <row r="370" spans="2:20" hidden="1" x14ac:dyDescent="0.25">
      <c r="B370" s="60"/>
      <c r="C370" s="822"/>
      <c r="D370" s="607"/>
      <c r="E370" s="607"/>
      <c r="F370" s="607"/>
      <c r="G370" s="607"/>
      <c r="H370" s="607"/>
      <c r="I370" s="607"/>
      <c r="J370" s="607"/>
      <c r="K370" s="607"/>
      <c r="L370" s="607"/>
      <c r="M370" s="607"/>
      <c r="N370" s="607"/>
      <c r="O370" s="607"/>
      <c r="P370" s="607"/>
      <c r="Q370" s="607">
        <f t="shared" si="168"/>
        <v>0</v>
      </c>
      <c r="R370" s="605"/>
      <c r="S370" s="605"/>
      <c r="T370" s="605"/>
    </row>
    <row r="371" spans="2:20" hidden="1" x14ac:dyDescent="0.25">
      <c r="B371" s="60"/>
      <c r="C371" s="822"/>
      <c r="D371" s="607"/>
      <c r="E371" s="607"/>
      <c r="F371" s="607"/>
      <c r="G371" s="607"/>
      <c r="H371" s="607"/>
      <c r="I371" s="607"/>
      <c r="J371" s="607"/>
      <c r="K371" s="607"/>
      <c r="L371" s="607"/>
      <c r="M371" s="607"/>
      <c r="N371" s="607"/>
      <c r="O371" s="607"/>
      <c r="P371" s="607"/>
      <c r="Q371" s="607">
        <f t="shared" si="168"/>
        <v>0</v>
      </c>
      <c r="R371" s="605"/>
      <c r="S371" s="605"/>
      <c r="T371" s="605"/>
    </row>
    <row r="372" spans="2:20" hidden="1" x14ac:dyDescent="0.25">
      <c r="B372" s="60"/>
      <c r="C372" s="822"/>
      <c r="D372" s="607"/>
      <c r="E372" s="607"/>
      <c r="F372" s="607"/>
      <c r="G372" s="607"/>
      <c r="H372" s="607"/>
      <c r="I372" s="607"/>
      <c r="J372" s="607"/>
      <c r="K372" s="607"/>
      <c r="L372" s="607"/>
      <c r="M372" s="607"/>
      <c r="N372" s="607"/>
      <c r="O372" s="607"/>
      <c r="P372" s="607"/>
      <c r="Q372" s="607">
        <f t="shared" si="168"/>
        <v>0</v>
      </c>
      <c r="R372" s="605"/>
      <c r="S372" s="605"/>
      <c r="T372" s="605"/>
    </row>
    <row r="373" spans="2:20" hidden="1" x14ac:dyDescent="0.25">
      <c r="B373" s="60"/>
      <c r="C373" s="822"/>
      <c r="D373" s="607"/>
      <c r="E373" s="607"/>
      <c r="F373" s="607"/>
      <c r="G373" s="607"/>
      <c r="H373" s="607"/>
      <c r="I373" s="607"/>
      <c r="J373" s="607"/>
      <c r="K373" s="607"/>
      <c r="L373" s="607"/>
      <c r="M373" s="607"/>
      <c r="N373" s="607"/>
      <c r="O373" s="607"/>
      <c r="P373" s="607"/>
      <c r="Q373" s="607">
        <f t="shared" si="168"/>
        <v>0</v>
      </c>
      <c r="R373" s="605"/>
      <c r="S373" s="605"/>
      <c r="T373" s="605"/>
    </row>
    <row r="374" spans="2:20" hidden="1" x14ac:dyDescent="0.25">
      <c r="B374" s="60"/>
      <c r="C374" s="823"/>
      <c r="D374" s="607"/>
      <c r="E374" s="607"/>
      <c r="F374" s="607"/>
      <c r="G374" s="607"/>
      <c r="H374" s="607"/>
      <c r="I374" s="607"/>
      <c r="J374" s="607"/>
      <c r="K374" s="607"/>
      <c r="L374" s="607"/>
      <c r="M374" s="607"/>
      <c r="N374" s="607"/>
      <c r="O374" s="607"/>
      <c r="P374" s="607"/>
      <c r="Q374" s="607">
        <f t="shared" si="168"/>
        <v>0</v>
      </c>
      <c r="R374" s="605"/>
      <c r="S374" s="605"/>
      <c r="T374" s="605"/>
    </row>
    <row r="375" spans="2:20" x14ac:dyDescent="0.25">
      <c r="C375" s="811" t="s">
        <v>212</v>
      </c>
      <c r="D375" s="812"/>
      <c r="E375" s="617">
        <f t="shared" ref="E375:P375" si="169">SUM(E357:E374)</f>
        <v>368.8517622862671</v>
      </c>
      <c r="F375" s="617">
        <f t="shared" si="169"/>
        <v>305.64191338513058</v>
      </c>
      <c r="G375" s="617">
        <f t="shared" si="169"/>
        <v>346.77808043317958</v>
      </c>
      <c r="H375" s="617">
        <f t="shared" si="169"/>
        <v>402.66896676540273</v>
      </c>
      <c r="I375" s="617">
        <f t="shared" si="169"/>
        <v>433.77791600498585</v>
      </c>
      <c r="J375" s="617">
        <f t="shared" si="169"/>
        <v>389.81699191742871</v>
      </c>
      <c r="K375" s="617">
        <f t="shared" si="169"/>
        <v>483.20286284052139</v>
      </c>
      <c r="L375" s="617">
        <f t="shared" si="169"/>
        <v>356.1007240200542</v>
      </c>
      <c r="M375" s="617">
        <f t="shared" si="169"/>
        <v>383.01044576361051</v>
      </c>
      <c r="N375" s="617">
        <f t="shared" si="169"/>
        <v>447.07018769092696</v>
      </c>
      <c r="O375" s="617">
        <f t="shared" si="169"/>
        <v>455.84995962676612</v>
      </c>
      <c r="P375" s="617">
        <f t="shared" si="169"/>
        <v>537.00668460917109</v>
      </c>
      <c r="Q375" s="618">
        <f t="shared" si="168"/>
        <v>4909.7764953434444</v>
      </c>
      <c r="R375" s="605"/>
      <c r="S375" s="605"/>
      <c r="T375" s="605"/>
    </row>
    <row r="376" spans="2:20" x14ac:dyDescent="0.25">
      <c r="C376" s="811" t="s">
        <v>359</v>
      </c>
      <c r="D376" s="812"/>
      <c r="E376" s="607"/>
      <c r="F376" s="607"/>
      <c r="G376" s="607"/>
      <c r="H376" s="607"/>
      <c r="I376" s="607"/>
      <c r="J376" s="607"/>
      <c r="K376" s="607"/>
      <c r="L376" s="607"/>
      <c r="M376" s="607"/>
      <c r="N376" s="607"/>
      <c r="O376" s="607"/>
      <c r="P376" s="607"/>
      <c r="Q376" s="607"/>
      <c r="R376" s="605"/>
      <c r="S376" s="605"/>
      <c r="T376" s="605"/>
    </row>
    <row r="377" spans="2:20" x14ac:dyDescent="0.25">
      <c r="C377" s="821" t="s">
        <v>350</v>
      </c>
      <c r="D377" s="607" t="s">
        <v>360</v>
      </c>
      <c r="E377" s="607">
        <v>0</v>
      </c>
      <c r="F377" s="607">
        <v>0</v>
      </c>
      <c r="G377" s="607">
        <v>0</v>
      </c>
      <c r="H377" s="607">
        <v>0</v>
      </c>
      <c r="I377" s="607">
        <v>0</v>
      </c>
      <c r="J377" s="607">
        <v>0</v>
      </c>
      <c r="K377" s="607">
        <v>0</v>
      </c>
      <c r="L377" s="607">
        <v>0</v>
      </c>
      <c r="M377" s="607">
        <v>0</v>
      </c>
      <c r="N377" s="607">
        <v>0</v>
      </c>
      <c r="O377" s="607">
        <v>0</v>
      </c>
      <c r="P377" s="607">
        <v>0</v>
      </c>
      <c r="Q377" s="607">
        <f t="shared" ref="Q377:Q395" si="170">SUM(E377:P377)</f>
        <v>0</v>
      </c>
      <c r="R377" s="605"/>
      <c r="S377" s="605"/>
      <c r="T377" s="605"/>
    </row>
    <row r="378" spans="2:20" x14ac:dyDescent="0.25">
      <c r="C378" s="822"/>
      <c r="D378" s="607" t="s">
        <v>361</v>
      </c>
      <c r="E378" s="607">
        <v>0</v>
      </c>
      <c r="F378" s="607">
        <v>0</v>
      </c>
      <c r="G378" s="607">
        <v>0</v>
      </c>
      <c r="H378" s="607">
        <v>0</v>
      </c>
      <c r="I378" s="607">
        <v>0</v>
      </c>
      <c r="J378" s="607">
        <v>0</v>
      </c>
      <c r="K378" s="607">
        <v>0</v>
      </c>
      <c r="L378" s="607">
        <v>0</v>
      </c>
      <c r="M378" s="607">
        <v>0</v>
      </c>
      <c r="N378" s="607">
        <v>0</v>
      </c>
      <c r="O378" s="607">
        <v>0</v>
      </c>
      <c r="P378" s="607">
        <v>0</v>
      </c>
      <c r="Q378" s="607">
        <f t="shared" si="170"/>
        <v>0</v>
      </c>
      <c r="R378" s="605"/>
      <c r="S378" s="605"/>
      <c r="T378" s="605"/>
    </row>
    <row r="379" spans="2:20" x14ac:dyDescent="0.25">
      <c r="C379" s="822"/>
      <c r="D379" s="607" t="s">
        <v>362</v>
      </c>
      <c r="E379" s="607">
        <v>0</v>
      </c>
      <c r="F379" s="607">
        <v>0</v>
      </c>
      <c r="G379" s="607">
        <v>0</v>
      </c>
      <c r="H379" s="607">
        <v>0</v>
      </c>
      <c r="I379" s="607">
        <v>0</v>
      </c>
      <c r="J379" s="607">
        <v>0</v>
      </c>
      <c r="K379" s="607">
        <v>0</v>
      </c>
      <c r="L379" s="607">
        <v>0</v>
      </c>
      <c r="M379" s="607">
        <v>0</v>
      </c>
      <c r="N379" s="607">
        <v>0</v>
      </c>
      <c r="O379" s="607">
        <v>0</v>
      </c>
      <c r="P379" s="607">
        <v>0</v>
      </c>
      <c r="Q379" s="607">
        <f t="shared" si="170"/>
        <v>0</v>
      </c>
      <c r="R379" s="605"/>
      <c r="S379" s="605"/>
      <c r="T379" s="605"/>
    </row>
    <row r="380" spans="2:20" x14ac:dyDescent="0.25">
      <c r="C380" s="822"/>
      <c r="D380" s="607" t="s">
        <v>363</v>
      </c>
      <c r="E380" s="607">
        <v>0</v>
      </c>
      <c r="F380" s="607">
        <v>0</v>
      </c>
      <c r="G380" s="607">
        <v>0</v>
      </c>
      <c r="H380" s="607">
        <v>0</v>
      </c>
      <c r="I380" s="607">
        <v>0</v>
      </c>
      <c r="J380" s="607">
        <v>0</v>
      </c>
      <c r="K380" s="607">
        <v>0</v>
      </c>
      <c r="L380" s="607">
        <v>0</v>
      </c>
      <c r="M380" s="607">
        <v>0</v>
      </c>
      <c r="N380" s="607">
        <v>0</v>
      </c>
      <c r="O380" s="607">
        <v>0</v>
      </c>
      <c r="P380" s="607">
        <v>0</v>
      </c>
      <c r="Q380" s="607">
        <f t="shared" si="170"/>
        <v>0</v>
      </c>
      <c r="R380" s="605"/>
      <c r="S380" s="605"/>
      <c r="T380" s="605"/>
    </row>
    <row r="381" spans="2:20" x14ac:dyDescent="0.25">
      <c r="C381" s="822"/>
      <c r="D381" s="607" t="s">
        <v>364</v>
      </c>
      <c r="E381" s="607">
        <v>0</v>
      </c>
      <c r="F381" s="607">
        <v>0</v>
      </c>
      <c r="G381" s="607">
        <v>0</v>
      </c>
      <c r="H381" s="607">
        <v>0</v>
      </c>
      <c r="I381" s="607">
        <v>0</v>
      </c>
      <c r="J381" s="607">
        <v>0</v>
      </c>
      <c r="K381" s="607">
        <v>0</v>
      </c>
      <c r="L381" s="607">
        <v>0</v>
      </c>
      <c r="M381" s="607">
        <v>0</v>
      </c>
      <c r="N381" s="607">
        <v>0</v>
      </c>
      <c r="O381" s="607">
        <v>0</v>
      </c>
      <c r="P381" s="607">
        <v>0</v>
      </c>
      <c r="Q381" s="607">
        <f t="shared" si="170"/>
        <v>0</v>
      </c>
      <c r="R381" s="605"/>
      <c r="S381" s="605"/>
      <c r="T381" s="605"/>
    </row>
    <row r="382" spans="2:20" x14ac:dyDescent="0.25">
      <c r="C382" s="822"/>
      <c r="D382" s="596" t="s">
        <v>365</v>
      </c>
      <c r="E382" s="607">
        <v>0</v>
      </c>
      <c r="F382" s="607">
        <v>0</v>
      </c>
      <c r="G382" s="607">
        <v>0</v>
      </c>
      <c r="H382" s="607">
        <v>0</v>
      </c>
      <c r="I382" s="607">
        <v>0</v>
      </c>
      <c r="J382" s="607">
        <v>0</v>
      </c>
      <c r="K382" s="607">
        <v>0</v>
      </c>
      <c r="L382" s="607">
        <v>0</v>
      </c>
      <c r="M382" s="607">
        <v>0</v>
      </c>
      <c r="N382" s="607">
        <v>0</v>
      </c>
      <c r="O382" s="607">
        <v>0</v>
      </c>
      <c r="P382" s="607">
        <v>0</v>
      </c>
      <c r="Q382" s="607">
        <f t="shared" si="170"/>
        <v>0</v>
      </c>
      <c r="R382" s="605"/>
      <c r="S382" s="605"/>
      <c r="T382" s="605"/>
    </row>
    <row r="383" spans="2:20" x14ac:dyDescent="0.25">
      <c r="C383" s="822"/>
      <c r="D383" s="611" t="s">
        <v>448</v>
      </c>
      <c r="E383" s="607">
        <v>0</v>
      </c>
      <c r="F383" s="607">
        <v>0</v>
      </c>
      <c r="G383" s="607">
        <v>0</v>
      </c>
      <c r="H383" s="607">
        <v>0</v>
      </c>
      <c r="I383" s="607">
        <v>0</v>
      </c>
      <c r="J383" s="607">
        <v>0</v>
      </c>
      <c r="K383" s="607">
        <v>0</v>
      </c>
      <c r="L383" s="607">
        <v>0</v>
      </c>
      <c r="M383" s="607">
        <v>0</v>
      </c>
      <c r="N383" s="607">
        <v>0</v>
      </c>
      <c r="O383" s="607">
        <v>0</v>
      </c>
      <c r="P383" s="607">
        <v>0</v>
      </c>
      <c r="Q383" s="607">
        <f t="shared" si="170"/>
        <v>0</v>
      </c>
      <c r="R383" s="605"/>
      <c r="S383" s="605"/>
      <c r="T383" s="605"/>
    </row>
    <row r="384" spans="2:20" x14ac:dyDescent="0.25">
      <c r="C384" s="822"/>
      <c r="D384" s="611" t="s">
        <v>449</v>
      </c>
      <c r="E384" s="607">
        <v>0</v>
      </c>
      <c r="F384" s="607">
        <v>0</v>
      </c>
      <c r="G384" s="607">
        <v>0</v>
      </c>
      <c r="H384" s="607">
        <v>0</v>
      </c>
      <c r="I384" s="607">
        <v>0</v>
      </c>
      <c r="J384" s="607">
        <v>0</v>
      </c>
      <c r="K384" s="607">
        <v>0</v>
      </c>
      <c r="L384" s="607">
        <v>0</v>
      </c>
      <c r="M384" s="607">
        <v>0</v>
      </c>
      <c r="N384" s="607">
        <v>0</v>
      </c>
      <c r="O384" s="607">
        <v>0</v>
      </c>
      <c r="P384" s="607">
        <v>0</v>
      </c>
      <c r="Q384" s="607">
        <f t="shared" si="170"/>
        <v>0</v>
      </c>
      <c r="R384" s="605"/>
      <c r="S384" s="605"/>
      <c r="T384" s="605"/>
    </row>
    <row r="385" spans="3:20" x14ac:dyDescent="0.25">
      <c r="C385" s="822"/>
      <c r="D385" s="611" t="s">
        <v>450</v>
      </c>
      <c r="E385" s="607">
        <v>0</v>
      </c>
      <c r="F385" s="607">
        <v>0</v>
      </c>
      <c r="G385" s="607">
        <v>0</v>
      </c>
      <c r="H385" s="607">
        <v>0</v>
      </c>
      <c r="I385" s="607">
        <v>0</v>
      </c>
      <c r="J385" s="607">
        <v>0</v>
      </c>
      <c r="K385" s="607">
        <v>0</v>
      </c>
      <c r="L385" s="607">
        <v>0</v>
      </c>
      <c r="M385" s="607">
        <v>0</v>
      </c>
      <c r="N385" s="607">
        <v>0</v>
      </c>
      <c r="O385" s="607">
        <v>0</v>
      </c>
      <c r="P385" s="607">
        <v>0</v>
      </c>
      <c r="Q385" s="607">
        <f t="shared" si="170"/>
        <v>0</v>
      </c>
      <c r="R385" s="605"/>
      <c r="S385" s="605"/>
      <c r="T385" s="605"/>
    </row>
    <row r="386" spans="3:20" x14ac:dyDescent="0.25">
      <c r="C386" s="822"/>
      <c r="D386" s="611" t="s">
        <v>458</v>
      </c>
      <c r="E386" s="607">
        <v>0</v>
      </c>
      <c r="F386" s="607">
        <v>0</v>
      </c>
      <c r="G386" s="607">
        <v>0</v>
      </c>
      <c r="H386" s="607">
        <v>0</v>
      </c>
      <c r="I386" s="607">
        <v>0</v>
      </c>
      <c r="J386" s="607">
        <v>0</v>
      </c>
      <c r="K386" s="607">
        <v>0</v>
      </c>
      <c r="L386" s="607">
        <v>0</v>
      </c>
      <c r="M386" s="607">
        <v>0</v>
      </c>
      <c r="N386" s="607">
        <v>0</v>
      </c>
      <c r="O386" s="607">
        <v>0</v>
      </c>
      <c r="P386" s="607">
        <v>0</v>
      </c>
      <c r="Q386" s="607">
        <f t="shared" si="170"/>
        <v>0</v>
      </c>
      <c r="R386" s="605"/>
      <c r="S386" s="605"/>
      <c r="T386" s="605"/>
    </row>
    <row r="387" spans="3:20" x14ac:dyDescent="0.25">
      <c r="C387" s="822"/>
      <c r="D387" s="611" t="s">
        <v>459</v>
      </c>
      <c r="E387" s="607">
        <v>0</v>
      </c>
      <c r="F387" s="607">
        <v>0</v>
      </c>
      <c r="G387" s="607">
        <v>0</v>
      </c>
      <c r="H387" s="607">
        <v>0</v>
      </c>
      <c r="I387" s="607">
        <v>0</v>
      </c>
      <c r="J387" s="607">
        <v>0</v>
      </c>
      <c r="K387" s="607">
        <v>0</v>
      </c>
      <c r="L387" s="607">
        <v>0</v>
      </c>
      <c r="M387" s="607">
        <v>0</v>
      </c>
      <c r="N387" s="607">
        <v>0</v>
      </c>
      <c r="O387" s="607">
        <v>0</v>
      </c>
      <c r="P387" s="607">
        <v>0</v>
      </c>
      <c r="Q387" s="607">
        <f t="shared" si="170"/>
        <v>0</v>
      </c>
      <c r="R387" s="605"/>
      <c r="S387" s="605"/>
      <c r="T387" s="605"/>
    </row>
    <row r="388" spans="3:20" x14ac:dyDescent="0.25">
      <c r="C388" s="822"/>
      <c r="D388" s="607"/>
      <c r="E388" s="607"/>
      <c r="F388" s="607"/>
      <c r="G388" s="607"/>
      <c r="H388" s="607"/>
      <c r="I388" s="607"/>
      <c r="J388" s="607"/>
      <c r="K388" s="607"/>
      <c r="L388" s="607"/>
      <c r="M388" s="607"/>
      <c r="N388" s="607"/>
      <c r="O388" s="607"/>
      <c r="P388" s="607"/>
      <c r="Q388" s="607">
        <f t="shared" si="170"/>
        <v>0</v>
      </c>
      <c r="R388" s="605"/>
      <c r="S388" s="605"/>
      <c r="T388" s="605"/>
    </row>
    <row r="389" spans="3:20" x14ac:dyDescent="0.25">
      <c r="C389" s="822"/>
      <c r="D389" s="607"/>
      <c r="E389" s="607"/>
      <c r="F389" s="607"/>
      <c r="G389" s="607"/>
      <c r="H389" s="607"/>
      <c r="I389" s="607"/>
      <c r="J389" s="607"/>
      <c r="K389" s="607"/>
      <c r="L389" s="607"/>
      <c r="M389" s="607"/>
      <c r="N389" s="607"/>
      <c r="O389" s="607"/>
      <c r="P389" s="607"/>
      <c r="Q389" s="607">
        <f t="shared" si="170"/>
        <v>0</v>
      </c>
      <c r="R389" s="605"/>
      <c r="S389" s="605"/>
      <c r="T389" s="605"/>
    </row>
    <row r="390" spans="3:20" ht="27.6" x14ac:dyDescent="0.25">
      <c r="C390" s="822"/>
      <c r="D390" s="623" t="s">
        <v>1213</v>
      </c>
      <c r="E390" s="607"/>
      <c r="F390" s="607"/>
      <c r="G390" s="607"/>
      <c r="H390" s="607"/>
      <c r="I390" s="607"/>
      <c r="J390" s="607"/>
      <c r="K390" s="607"/>
      <c r="L390" s="607"/>
      <c r="M390" s="607"/>
      <c r="N390" s="607"/>
      <c r="O390" s="607"/>
      <c r="P390" s="607"/>
      <c r="Q390" s="607">
        <f t="shared" si="170"/>
        <v>0</v>
      </c>
      <c r="R390" s="605"/>
      <c r="S390" s="605"/>
      <c r="T390" s="605"/>
    </row>
    <row r="391" spans="3:20" x14ac:dyDescent="0.25">
      <c r="C391" s="822"/>
      <c r="D391" s="622" t="s">
        <v>642</v>
      </c>
      <c r="E391" s="607"/>
      <c r="F391" s="607"/>
      <c r="G391" s="607"/>
      <c r="H391" s="607"/>
      <c r="I391" s="607"/>
      <c r="J391" s="607"/>
      <c r="K391" s="607"/>
      <c r="L391" s="607"/>
      <c r="M391" s="607"/>
      <c r="N391" s="607"/>
      <c r="O391" s="607"/>
      <c r="P391" s="607"/>
      <c r="Q391" s="607">
        <f t="shared" si="170"/>
        <v>0</v>
      </c>
      <c r="R391" s="605"/>
      <c r="S391" s="605"/>
      <c r="T391" s="605"/>
    </row>
    <row r="392" spans="3:20" x14ac:dyDescent="0.25">
      <c r="C392" s="822"/>
      <c r="D392" s="607"/>
      <c r="E392" s="607"/>
      <c r="F392" s="607"/>
      <c r="G392" s="607"/>
      <c r="H392" s="607"/>
      <c r="I392" s="607"/>
      <c r="J392" s="607"/>
      <c r="K392" s="607"/>
      <c r="L392" s="607"/>
      <c r="M392" s="607"/>
      <c r="N392" s="607"/>
      <c r="O392" s="607"/>
      <c r="P392" s="607"/>
      <c r="Q392" s="607">
        <f t="shared" si="170"/>
        <v>0</v>
      </c>
      <c r="R392" s="605"/>
      <c r="S392" s="605"/>
      <c r="T392" s="605"/>
    </row>
    <row r="393" spans="3:20" x14ac:dyDescent="0.25">
      <c r="C393" s="822"/>
      <c r="D393" s="607"/>
      <c r="E393" s="607"/>
      <c r="F393" s="607"/>
      <c r="G393" s="607"/>
      <c r="H393" s="607"/>
      <c r="I393" s="607"/>
      <c r="J393" s="607"/>
      <c r="K393" s="607"/>
      <c r="L393" s="607"/>
      <c r="M393" s="607"/>
      <c r="N393" s="607"/>
      <c r="O393" s="607"/>
      <c r="P393" s="607"/>
      <c r="Q393" s="607">
        <f t="shared" si="170"/>
        <v>0</v>
      </c>
      <c r="R393" s="605"/>
      <c r="S393" s="605"/>
      <c r="T393" s="605"/>
    </row>
    <row r="394" spans="3:20" x14ac:dyDescent="0.25">
      <c r="C394" s="823"/>
      <c r="D394" s="612"/>
      <c r="E394" s="607"/>
      <c r="F394" s="607"/>
      <c r="G394" s="607"/>
      <c r="H394" s="607"/>
      <c r="I394" s="607"/>
      <c r="J394" s="607"/>
      <c r="K394" s="607"/>
      <c r="L394" s="607"/>
      <c r="M394" s="607"/>
      <c r="N394" s="607"/>
      <c r="O394" s="607"/>
      <c r="P394" s="607"/>
      <c r="Q394" s="607">
        <f t="shared" si="170"/>
        <v>0</v>
      </c>
      <c r="R394" s="605"/>
      <c r="S394" s="605"/>
      <c r="T394" s="605"/>
    </row>
    <row r="395" spans="3:20" x14ac:dyDescent="0.25">
      <c r="C395" s="811" t="s">
        <v>212</v>
      </c>
      <c r="D395" s="812"/>
      <c r="E395" s="607">
        <f t="shared" ref="E395:P395" si="171">SUM(E377:E394)</f>
        <v>0</v>
      </c>
      <c r="F395" s="607">
        <f t="shared" si="171"/>
        <v>0</v>
      </c>
      <c r="G395" s="607">
        <f t="shared" si="171"/>
        <v>0</v>
      </c>
      <c r="H395" s="607">
        <f t="shared" si="171"/>
        <v>0</v>
      </c>
      <c r="I395" s="607">
        <f t="shared" si="171"/>
        <v>0</v>
      </c>
      <c r="J395" s="607">
        <f t="shared" si="171"/>
        <v>0</v>
      </c>
      <c r="K395" s="607">
        <f t="shared" si="171"/>
        <v>0</v>
      </c>
      <c r="L395" s="607">
        <f t="shared" si="171"/>
        <v>0</v>
      </c>
      <c r="M395" s="607">
        <f t="shared" si="171"/>
        <v>0</v>
      </c>
      <c r="N395" s="607">
        <f t="shared" si="171"/>
        <v>0</v>
      </c>
      <c r="O395" s="607">
        <f t="shared" si="171"/>
        <v>0</v>
      </c>
      <c r="P395" s="607">
        <f t="shared" si="171"/>
        <v>0</v>
      </c>
      <c r="Q395" s="609">
        <f t="shared" si="170"/>
        <v>0</v>
      </c>
      <c r="R395" s="605"/>
      <c r="S395" s="605"/>
      <c r="T395" s="605"/>
    </row>
    <row r="396" spans="3:20" x14ac:dyDescent="0.25">
      <c r="C396" s="811" t="s">
        <v>368</v>
      </c>
      <c r="D396" s="812"/>
      <c r="E396" s="607">
        <f t="shared" ref="E396:Q396" si="172">E375+E395</f>
        <v>368.8517622862671</v>
      </c>
      <c r="F396" s="607">
        <f t="shared" si="172"/>
        <v>305.64191338513058</v>
      </c>
      <c r="G396" s="607">
        <f t="shared" si="172"/>
        <v>346.77808043317958</v>
      </c>
      <c r="H396" s="607">
        <f t="shared" si="172"/>
        <v>402.66896676540273</v>
      </c>
      <c r="I396" s="607">
        <f t="shared" si="172"/>
        <v>433.77791600498585</v>
      </c>
      <c r="J396" s="607">
        <f t="shared" si="172"/>
        <v>389.81699191742871</v>
      </c>
      <c r="K396" s="607">
        <f t="shared" si="172"/>
        <v>483.20286284052139</v>
      </c>
      <c r="L396" s="607">
        <f t="shared" si="172"/>
        <v>356.1007240200542</v>
      </c>
      <c r="M396" s="607">
        <f t="shared" si="172"/>
        <v>383.01044576361051</v>
      </c>
      <c r="N396" s="607">
        <f t="shared" si="172"/>
        <v>447.07018769092696</v>
      </c>
      <c r="O396" s="607">
        <f t="shared" si="172"/>
        <v>455.84995962676612</v>
      </c>
      <c r="P396" s="607">
        <f t="shared" si="172"/>
        <v>537.00668460917109</v>
      </c>
      <c r="Q396" s="609">
        <f t="shared" si="172"/>
        <v>4909.7764953434444</v>
      </c>
      <c r="R396" s="605"/>
      <c r="S396" s="605"/>
      <c r="T396" s="605"/>
    </row>
    <row r="397" spans="3:20" x14ac:dyDescent="0.25">
      <c r="C397" s="813" t="s">
        <v>369</v>
      </c>
      <c r="D397" s="814"/>
      <c r="E397" s="607"/>
      <c r="F397" s="607"/>
      <c r="G397" s="607"/>
      <c r="H397" s="607"/>
      <c r="I397" s="607"/>
      <c r="J397" s="607"/>
      <c r="K397" s="607"/>
      <c r="L397" s="607"/>
      <c r="M397" s="607"/>
      <c r="N397" s="607"/>
      <c r="O397" s="607"/>
      <c r="P397" s="607"/>
      <c r="Q397" s="607"/>
      <c r="R397" s="605"/>
      <c r="S397" s="605"/>
      <c r="T397" s="605"/>
    </row>
    <row r="398" spans="3:20" x14ac:dyDescent="0.25">
      <c r="C398" s="811" t="s">
        <v>349</v>
      </c>
      <c r="D398" s="812"/>
      <c r="E398" s="607"/>
      <c r="F398" s="607"/>
      <c r="G398" s="607"/>
      <c r="H398" s="607"/>
      <c r="I398" s="607"/>
      <c r="J398" s="607"/>
      <c r="K398" s="607"/>
      <c r="L398" s="607"/>
      <c r="M398" s="607"/>
      <c r="N398" s="607"/>
      <c r="O398" s="607"/>
      <c r="P398" s="607"/>
      <c r="Q398" s="607"/>
      <c r="R398" s="605"/>
      <c r="S398" s="605"/>
      <c r="T398" s="605"/>
    </row>
    <row r="399" spans="3:20" x14ac:dyDescent="0.25">
      <c r="C399" s="838" t="s">
        <v>370</v>
      </c>
      <c r="D399" s="607" t="s">
        <v>371</v>
      </c>
      <c r="E399" s="606">
        <f>SUM('[5]TGNPDCL MoD'!AJ25:AJ30)+'[5]TGNPDCL MoD'!$AW$25/12</f>
        <v>16.711953059309263</v>
      </c>
      <c r="F399" s="606">
        <f>SUM('[5]TGNPDCL MoD'!AK25:AK30)+'[5]TGNPDCL MoD'!$AW$25/12</f>
        <v>19.348109407506996</v>
      </c>
      <c r="G399" s="606">
        <f>SUM('[5]TGNPDCL MoD'!AL25:AL30)+'[5]TGNPDCL MoD'!$AW$25/12</f>
        <v>13.853329509690575</v>
      </c>
      <c r="H399" s="606">
        <f>SUM('[5]TGNPDCL MoD'!AM25:AM30)+'[5]TGNPDCL MoD'!$AW$25/12</f>
        <v>14.911569958347496</v>
      </c>
      <c r="I399" s="606">
        <f>SUM('[5]TGNPDCL MoD'!AN25:AN30)+'[5]TGNPDCL MoD'!$AW$25/12</f>
        <v>16.284339200155721</v>
      </c>
      <c r="J399" s="606">
        <f>SUM('[5]TGNPDCL MoD'!AO25:AO30)+'[5]TGNPDCL MoD'!$AW$25/12</f>
        <v>13.853329509690575</v>
      </c>
      <c r="K399" s="606">
        <f>SUM('[5]TGNPDCL MoD'!AP25:AP30)+'[5]TGNPDCL MoD'!$AW$25/12</f>
        <v>20.279735143352571</v>
      </c>
      <c r="L399" s="606">
        <f>SUM('[5]TGNPDCL MoD'!AQ25:AQ30)+'[5]TGNPDCL MoD'!$AW$25/12</f>
        <v>23.666104579054693</v>
      </c>
      <c r="M399" s="606">
        <f>SUM('[5]TGNPDCL MoD'!AR25:AR30)+'[5]TGNPDCL MoD'!$AW$25/12</f>
        <v>11.815644005090581</v>
      </c>
      <c r="N399" s="606">
        <f>SUM('[5]TGNPDCL MoD'!AS25:AS30)+'[5]TGNPDCL MoD'!$AW$25/12</f>
        <v>12.24168886104337</v>
      </c>
      <c r="O399" s="606">
        <f>SUM('[5]TGNPDCL MoD'!AT25:AT30)+'[5]TGNPDCL MoD'!$AW$25/12</f>
        <v>17.68448894691835</v>
      </c>
      <c r="P399" s="606">
        <f>SUM('[5]TGNPDCL MoD'!AU25:AU30)+'[5]TGNPDCL MoD'!$AW$25/12</f>
        <v>21.472660740020366</v>
      </c>
      <c r="Q399" s="606">
        <f t="shared" ref="Q399:Q425" si="173">SUM(E399:P399)</f>
        <v>202.12295292018055</v>
      </c>
      <c r="R399" s="605"/>
      <c r="S399" s="605"/>
      <c r="T399" s="605"/>
    </row>
    <row r="400" spans="3:20" x14ac:dyDescent="0.25">
      <c r="C400" s="839"/>
      <c r="D400" s="607" t="s">
        <v>372</v>
      </c>
      <c r="E400" s="606">
        <f>'[5]TGNPDCL MoD'!AJ31</f>
        <v>4.6046176769294593</v>
      </c>
      <c r="F400" s="606">
        <f>'[5]TGNPDCL MoD'!AK31</f>
        <v>4.903222383609168</v>
      </c>
      <c r="G400" s="606">
        <f>'[5]TGNPDCL MoD'!AL31</f>
        <v>3.4534632576970923</v>
      </c>
      <c r="H400" s="606">
        <f>'[5]TGNPDCL MoD'!AM31</f>
        <v>0</v>
      </c>
      <c r="I400" s="606">
        <f>'[5]TGNPDCL MoD'!AN31</f>
        <v>2.0073255185364305</v>
      </c>
      <c r="J400" s="606">
        <f>'[5]TGNPDCL MoD'!AO31</f>
        <v>3.4534632576970923</v>
      </c>
      <c r="K400" s="606">
        <f>'[5]TGNPDCL MoD'!AP31</f>
        <v>5.0289875157291108</v>
      </c>
      <c r="L400" s="606">
        <f>'[5]TGNPDCL MoD'!AQ31</f>
        <v>5.8996663985658726</v>
      </c>
      <c r="M400" s="606">
        <f>'[5]TGNPDCL MoD'!AR31</f>
        <v>3.865960257922024</v>
      </c>
      <c r="N400" s="606">
        <f>'[5]TGNPDCL MoD'!AS31</f>
        <v>3.865960257922024</v>
      </c>
      <c r="O400" s="606">
        <f>'[5]TGNPDCL MoD'!AT31</f>
        <v>4.5662458629550482</v>
      </c>
      <c r="P400" s="606">
        <f>'[5]TGNPDCL MoD'!AU31</f>
        <v>5.352868049430497</v>
      </c>
      <c r="Q400" s="606">
        <f t="shared" si="173"/>
        <v>47.001780436993819</v>
      </c>
      <c r="R400" s="605"/>
      <c r="S400" s="605"/>
      <c r="T400" s="605"/>
    </row>
    <row r="401" spans="3:20" x14ac:dyDescent="0.25">
      <c r="C401" s="839"/>
      <c r="D401" s="607" t="s">
        <v>373</v>
      </c>
      <c r="E401" s="606">
        <f>SUM('[5]TGNPDCL MoD'!AJ42:AJ45)</f>
        <v>7.0803347338141851</v>
      </c>
      <c r="F401" s="606">
        <f>SUM('[5]TGNPDCL MoD'!AK42:AK45)</f>
        <v>7.0197372743806392</v>
      </c>
      <c r="G401" s="606">
        <f>SUM('[5]TGNPDCL MoD'!AL42:AL45)</f>
        <v>6.7932941364973933</v>
      </c>
      <c r="H401" s="606">
        <f>SUM('[5]TGNPDCL MoD'!AM42:AM45)</f>
        <v>5.9321723445470189</v>
      </c>
      <c r="I401" s="606">
        <f>SUM('[5]TGNPDCL MoD'!AN42:AN45)</f>
        <v>5.932172344547018</v>
      </c>
      <c r="J401" s="606">
        <f>SUM('[5]TGNPDCL MoD'!AO42:AO45)</f>
        <v>7.3040159176741977</v>
      </c>
      <c r="K401" s="606">
        <f>SUM('[5]TGNPDCL MoD'!AP42:AP45)</f>
        <v>7.9095631260626913</v>
      </c>
      <c r="L401" s="606">
        <f>SUM('[5]TGNPDCL MoD'!AQ42:AQ45)</f>
        <v>5.525531498348232</v>
      </c>
      <c r="M401" s="606">
        <f>SUM('[5]TGNPDCL MoD'!AR42:AR45)</f>
        <v>4.5727161822549949</v>
      </c>
      <c r="N401" s="606">
        <f>SUM('[5]TGNPDCL MoD'!AS42:AS45)</f>
        <v>6.6613351952309241</v>
      </c>
      <c r="O401" s="606">
        <f>SUM('[5]TGNPDCL MoD'!AT42:AT45)</f>
        <v>7.1441215332179162</v>
      </c>
      <c r="P401" s="606">
        <f>SUM('[5]TGNPDCL MoD'!AU42:AU45)</f>
        <v>7.9095631260626913</v>
      </c>
      <c r="Q401" s="606">
        <f t="shared" si="173"/>
        <v>79.784557412637895</v>
      </c>
      <c r="R401" s="605"/>
      <c r="S401" s="605"/>
      <c r="T401" s="605"/>
    </row>
    <row r="402" spans="3:20" x14ac:dyDescent="0.25">
      <c r="C402" s="839"/>
      <c r="D402" s="607" t="s">
        <v>374</v>
      </c>
      <c r="E402" s="606">
        <f>'[5]TGNPDCL MoD'!AJ40</f>
        <v>29.10117272910432</v>
      </c>
      <c r="F402" s="606">
        <f>'[5]TGNPDCL MoD'!AK40</f>
        <v>24.243016312784359</v>
      </c>
      <c r="G402" s="606">
        <f>'[5]TGNPDCL MoD'!AL40</f>
        <v>22.532276772308087</v>
      </c>
      <c r="H402" s="606">
        <f>'[5]TGNPDCL MoD'!AM40</f>
        <v>23.283352664718361</v>
      </c>
      <c r="I402" s="606">
        <f>'[5]TGNPDCL MoD'!AN40</f>
        <v>24.253492359081619</v>
      </c>
      <c r="J402" s="606">
        <f>'[5]TGNPDCL MoD'!AO40</f>
        <v>22.532276772308087</v>
      </c>
      <c r="K402" s="606">
        <f>'[5]TGNPDCL MoD'!AP40</f>
        <v>29.876410714524145</v>
      </c>
      <c r="L402" s="606">
        <f>'[5]TGNPDCL MoD'!AQ40</f>
        <v>18.989937438264846</v>
      </c>
      <c r="M402" s="606">
        <f>'[5]TGNPDCL MoD'!AR40</f>
        <v>25.118458161137784</v>
      </c>
      <c r="N402" s="606">
        <f>'[5]TGNPDCL MoD'!AS40</f>
        <v>25.223632053444888</v>
      </c>
      <c r="O402" s="606">
        <f>'[5]TGNPDCL MoD'!AT40</f>
        <v>29.792677065607364</v>
      </c>
      <c r="P402" s="606">
        <f>'[5]TGNPDCL MoD'!AU40</f>
        <v>33.954889302714278</v>
      </c>
      <c r="Q402" s="606">
        <f t="shared" si="173"/>
        <v>308.90159234599821</v>
      </c>
      <c r="R402" s="605"/>
      <c r="S402" s="605"/>
      <c r="T402" s="605"/>
    </row>
    <row r="403" spans="3:20" x14ac:dyDescent="0.25">
      <c r="C403" s="839"/>
      <c r="D403" s="607" t="s">
        <v>375</v>
      </c>
      <c r="E403" s="606">
        <f>'[5]TGNPDCL MoD'!AJ41+'[5]TGNPDCL MoD'!$AW$41/12</f>
        <v>13.90641037167515</v>
      </c>
      <c r="F403" s="606">
        <f>'[5]TGNPDCL MoD'!AK41+'[5]TGNPDCL MoD'!$AW$41/12</f>
        <v>13.677950556389868</v>
      </c>
      <c r="G403" s="606">
        <f>'[5]TGNPDCL MoD'!AL41+'[5]TGNPDCL MoD'!$AW$41/12</f>
        <v>10.509773445141921</v>
      </c>
      <c r="H403" s="606">
        <f>'[5]TGNPDCL MoD'!AM41+'[5]TGNPDCL MoD'!$AW$41/12</f>
        <v>5.4300496133233249</v>
      </c>
      <c r="I403" s="606">
        <f>'[5]TGNPDCL MoD'!AN41+'[5]TGNPDCL MoD'!$AW$41/12</f>
        <v>11.891763070172541</v>
      </c>
      <c r="J403" s="606">
        <f>'[5]TGNPDCL MoD'!AO41+'[5]TGNPDCL MoD'!$AW$41/12</f>
        <v>10.509773445141921</v>
      </c>
      <c r="K403" s="606">
        <f>'[5]TGNPDCL MoD'!AP41+'[5]TGNPDCL MoD'!$AW$41/12</f>
        <v>14.501520896870812</v>
      </c>
      <c r="L403" s="606">
        <f>'[5]TGNPDCL MoD'!AQ41+'[5]TGNPDCL MoD'!$AW$41/12</f>
        <v>17.95419630211746</v>
      </c>
      <c r="M403" s="606">
        <f>'[5]TGNPDCL MoD'!AR41+'[5]TGNPDCL MoD'!$AW$41/12</f>
        <v>11.765107495533872</v>
      </c>
      <c r="N403" s="606">
        <f>'[5]TGNPDCL MoD'!AS41+'[5]TGNPDCL MoD'!$AW$41/12</f>
        <v>11.765107495533872</v>
      </c>
      <c r="O403" s="606">
        <f>'[5]TGNPDCL MoD'!AT41+'[5]TGNPDCL MoD'!$AW$41/12</f>
        <v>13.896255999687639</v>
      </c>
      <c r="P403" s="606">
        <f>'[5]TGNPDCL MoD'!AU41+'[5]TGNPDCL MoD'!$AW$41/12</f>
        <v>15.837644705526353</v>
      </c>
      <c r="Q403" s="606">
        <f t="shared" si="173"/>
        <v>151.64555339711472</v>
      </c>
      <c r="R403" s="605"/>
      <c r="S403" s="605"/>
      <c r="T403" s="605"/>
    </row>
    <row r="404" spans="3:20" x14ac:dyDescent="0.25">
      <c r="C404" s="839"/>
      <c r="D404" s="607" t="s">
        <v>376</v>
      </c>
      <c r="E404" s="606">
        <f>SUM('[5]TGNPDCL MoD'!AJ49:AJ51)</f>
        <v>16.294634656647144</v>
      </c>
      <c r="F404" s="606">
        <f>SUM('[5]TGNPDCL MoD'!AK49:AK51)</f>
        <v>16.164277579393968</v>
      </c>
      <c r="G404" s="606">
        <f>SUM('[5]TGNPDCL MoD'!AL49:AL51)</f>
        <v>10.428566180254172</v>
      </c>
      <c r="H404" s="606">
        <f>SUM('[5]TGNPDCL MoD'!AM49:AM51)</f>
        <v>8.0821387896969838</v>
      </c>
      <c r="I404" s="606">
        <f>SUM('[5]TGNPDCL MoD'!AN49:AN51)</f>
        <v>14.031490954335041</v>
      </c>
      <c r="J404" s="606">
        <f>SUM('[5]TGNPDCL MoD'!AO49:AO51)</f>
        <v>15.642849270381259</v>
      </c>
      <c r="K404" s="606">
        <f>SUM('[5]TGNPDCL MoD'!AP49:AP51)</f>
        <v>20.205346974242438</v>
      </c>
      <c r="L404" s="606">
        <f>SUM('[5]TGNPDCL MoD'!AQ49:AQ51)</f>
        <v>19.892775934452139</v>
      </c>
      <c r="M404" s="606">
        <f>SUM('[5]TGNPDCL MoD'!AR49:AR51)</f>
        <v>11.225192763468034</v>
      </c>
      <c r="N404" s="606">
        <f>SUM('[5]TGNPDCL MoD'!AS49:AS51)</f>
        <v>16.837789145202052</v>
      </c>
      <c r="O404" s="606">
        <f>SUM('[5]TGNPDCL MoD'!AT49:AT51)</f>
        <v>20.219832693343221</v>
      </c>
      <c r="P404" s="606">
        <f>SUM('[5]TGNPDCL MoD'!AU49:AU51)</f>
        <v>23.572904803282839</v>
      </c>
      <c r="Q404" s="606">
        <f t="shared" si="173"/>
        <v>192.59779974469927</v>
      </c>
      <c r="R404" s="605"/>
      <c r="S404" s="605"/>
      <c r="T404" s="605"/>
    </row>
    <row r="405" spans="3:20" x14ac:dyDescent="0.25">
      <c r="C405" s="839"/>
      <c r="D405" s="607" t="s">
        <v>377</v>
      </c>
      <c r="E405" s="606">
        <f>'[5]TGNPDCL MoD'!AJ53</f>
        <v>2.0881553197699119</v>
      </c>
      <c r="F405" s="606">
        <f>'[5]TGNPDCL MoD'!AK53</f>
        <v>2.071450077211753</v>
      </c>
      <c r="G405" s="606">
        <f>'[5]TGNPDCL MoD'!AL53</f>
        <v>2.0046291069791158</v>
      </c>
      <c r="H405" s="606">
        <f>'[5]TGNPDCL MoD'!AM53</f>
        <v>2.071450077211753</v>
      </c>
      <c r="I405" s="606">
        <f>'[5]TGNPDCL MoD'!AN53</f>
        <v>2.1577604970955759</v>
      </c>
      <c r="J405" s="606">
        <f>'[5]TGNPDCL MoD'!AO53</f>
        <v>2.0046291069791158</v>
      </c>
      <c r="K405" s="606">
        <f>'[5]TGNPDCL MoD'!AP53</f>
        <v>2.5893125965146875</v>
      </c>
      <c r="L405" s="606">
        <f>'[5]TGNPDCL MoD'!AQ53</f>
        <v>3.1739960860502583</v>
      </c>
      <c r="M405" s="606">
        <f>'[5]TGNPDCL MoD'!AR53</f>
        <v>2.1577604970955759</v>
      </c>
      <c r="N405" s="606">
        <f>'[5]TGNPDCL MoD'!AS53</f>
        <v>2.1577604970955759</v>
      </c>
      <c r="O405" s="606">
        <f>'[5]TGNPDCL MoD'!AT53</f>
        <v>2.650565152561271</v>
      </c>
      <c r="P405" s="606">
        <f>'[5]TGNPDCL MoD'!AU53</f>
        <v>3.0208646959337999</v>
      </c>
      <c r="Q405" s="606">
        <f t="shared" si="173"/>
        <v>28.148333710498395</v>
      </c>
      <c r="R405" s="605"/>
      <c r="S405" s="605"/>
      <c r="T405" s="605"/>
    </row>
    <row r="406" spans="3:20" x14ac:dyDescent="0.25">
      <c r="C406" s="839"/>
      <c r="D406" s="607" t="s">
        <v>378</v>
      </c>
      <c r="E406" s="606">
        <f>'[5]TGNPDCL MoD'!AJ54</f>
        <v>12.05376633690128</v>
      </c>
      <c r="F406" s="606">
        <f>'[5]TGNPDCL MoD'!AK54</f>
        <v>11.957336206206071</v>
      </c>
      <c r="G406" s="606">
        <f>'[5]TGNPDCL MoD'!AL54</f>
        <v>11.571615683425227</v>
      </c>
      <c r="H406" s="606">
        <f>'[5]TGNPDCL MoD'!AM54</f>
        <v>11.957336206206071</v>
      </c>
      <c r="I406" s="606">
        <f>'[5]TGNPDCL MoD'!AN54</f>
        <v>12.455558548131323</v>
      </c>
      <c r="J406" s="606">
        <f>'[5]TGNPDCL MoD'!AO54</f>
        <v>11.571615683425227</v>
      </c>
      <c r="K406" s="606">
        <f>'[5]TGNPDCL MoD'!AP54</f>
        <v>14.946670257757594</v>
      </c>
      <c r="L406" s="606">
        <f>'[5]TGNPDCL MoD'!AQ54</f>
        <v>16.807453554797583</v>
      </c>
      <c r="M406" s="606">
        <f>'[5]TGNPDCL MoD'!AR54</f>
        <v>12.024497015420783</v>
      </c>
      <c r="N406" s="606">
        <f>'[5]TGNPDCL MoD'!AS54</f>
        <v>12.455558548131323</v>
      </c>
      <c r="O406" s="606">
        <f>'[5]TGNPDCL MoD'!AT54</f>
        <v>14.850240127062387</v>
      </c>
      <c r="P406" s="606">
        <f>'[5]TGNPDCL MoD'!AU54</f>
        <v>17.437781967383863</v>
      </c>
      <c r="Q406" s="606">
        <f t="shared" si="173"/>
        <v>160.08943013484873</v>
      </c>
      <c r="R406" s="605"/>
      <c r="S406" s="605"/>
      <c r="T406" s="605"/>
    </row>
    <row r="407" spans="3:20" x14ac:dyDescent="0.25">
      <c r="C407" s="839"/>
      <c r="D407" s="607" t="s">
        <v>379</v>
      </c>
      <c r="E407" s="606">
        <f>'[5]TGNPDCL MoD'!AJ55</f>
        <v>41.084674090907541</v>
      </c>
      <c r="F407" s="606">
        <f>'[5]TGNPDCL MoD'!AK55</f>
        <v>40.475073580292069</v>
      </c>
      <c r="G407" s="606">
        <f>'[5]TGNPDCL MoD'!AL55</f>
        <v>30.935425974898255</v>
      </c>
      <c r="H407" s="606">
        <f>'[5]TGNPDCL MoD'!AM55</f>
        <v>15.939124596269668</v>
      </c>
      <c r="I407" s="606">
        <f>'[5]TGNPDCL MoD'!AN55</f>
        <v>0</v>
      </c>
      <c r="J407" s="606">
        <f>'[5]TGNPDCL MoD'!AO55</f>
        <v>30.849918573425164</v>
      </c>
      <c r="K407" s="606">
        <f>'[5]TGNPDCL MoD'!AP55</f>
        <v>42.58047190714418</v>
      </c>
      <c r="L407" s="606">
        <f>'[5]TGNPDCL MoD'!AQ55</f>
        <v>42.530955703168679</v>
      </c>
      <c r="M407" s="606">
        <f>'[5]TGNPDCL MoD'!AR55</f>
        <v>36.434259665536914</v>
      </c>
      <c r="N407" s="606">
        <f>'[5]TGNPDCL MoD'!AS55</f>
        <v>36.651695951630536</v>
      </c>
      <c r="O407" s="606">
        <f>'[5]TGNPDCL MoD'!AT55</f>
        <v>37.216179760694338</v>
      </c>
      <c r="P407" s="606">
        <f>'[5]TGNPDCL MoD'!AU55</f>
        <v>44.525792958652531</v>
      </c>
      <c r="Q407" s="606">
        <f t="shared" si="173"/>
        <v>399.22357276261982</v>
      </c>
      <c r="R407" s="605"/>
      <c r="S407" s="605"/>
      <c r="T407" s="605"/>
    </row>
    <row r="408" spans="3:20" x14ac:dyDescent="0.25">
      <c r="C408" s="840"/>
      <c r="D408" s="607" t="s">
        <v>451</v>
      </c>
      <c r="E408" s="606">
        <f>'[5]TGNPDCL MoD'!AJ56</f>
        <v>39.014818397269309</v>
      </c>
      <c r="F408" s="606">
        <f>'[5]TGNPDCL MoD'!AK56</f>
        <v>40.234683446894302</v>
      </c>
      <c r="G408" s="606">
        <f>'[5]TGNPDCL MoD'!AL56</f>
        <v>28.481454845934913</v>
      </c>
      <c r="H408" s="606">
        <f>'[5]TGNPDCL MoD'!AM56</f>
        <v>30.905757866270175</v>
      </c>
      <c r="I408" s="606">
        <f>'[5]TGNPDCL MoD'!AN56</f>
        <v>36.59339557304385</v>
      </c>
      <c r="J408" s="606">
        <f>'[5]TGNPDCL MoD'!AO56</f>
        <v>29.094107728714967</v>
      </c>
      <c r="K408" s="606">
        <f>'[5]TGNPDCL MoD'!AP56</f>
        <v>0</v>
      </c>
      <c r="L408" s="606">
        <f>'[5]TGNPDCL MoD'!AQ56</f>
        <v>42.530955703168679</v>
      </c>
      <c r="M408" s="606">
        <f>'[5]TGNPDCL MoD'!AR56</f>
        <v>17.796109986126329</v>
      </c>
      <c r="N408" s="606">
        <f>'[5]TGNPDCL MoD'!AS56</f>
        <v>35.868301986314606</v>
      </c>
      <c r="O408" s="606">
        <f>'[5]TGNPDCL MoD'!AT56</f>
        <v>35.319902640471057</v>
      </c>
      <c r="P408" s="606">
        <f>'[5]TGNPDCL MoD'!AU56</f>
        <v>42.656312314427112</v>
      </c>
      <c r="Q408" s="606">
        <f t="shared" si="173"/>
        <v>378.49580048863527</v>
      </c>
      <c r="R408" s="605"/>
      <c r="S408" s="605"/>
      <c r="T408" s="605"/>
    </row>
    <row r="409" spans="3:20" x14ac:dyDescent="0.25">
      <c r="C409" s="607"/>
      <c r="D409" s="607" t="s">
        <v>380</v>
      </c>
      <c r="E409" s="606">
        <f>'[5]TGNPDCL MoD'!AJ33</f>
        <v>0.33051932866282696</v>
      </c>
      <c r="F409" s="606">
        <f>'[5]TGNPDCL MoD'!AK33</f>
        <v>0.3138444796492067</v>
      </c>
      <c r="G409" s="606">
        <f>'[5]TGNPDCL MoD'!AL33</f>
        <v>0.30372046417665161</v>
      </c>
      <c r="H409" s="606">
        <f>'[5]TGNPDCL MoD'!AM33</f>
        <v>0.3484596796105166</v>
      </c>
      <c r="I409" s="606">
        <f>'[5]TGNPDCL MoD'!AN33</f>
        <v>0.36922879958730259</v>
      </c>
      <c r="J409" s="606">
        <f>'[5]TGNPDCL MoD'!AO33</f>
        <v>0</v>
      </c>
      <c r="K409" s="606">
        <f>'[5]TGNPDCL MoD'!AP33</f>
        <v>0.36922879958730259</v>
      </c>
      <c r="L409" s="606">
        <f>'[5]TGNPDCL MoD'!AQ33</f>
        <v>0.33721904478436737</v>
      </c>
      <c r="M409" s="606">
        <f>'[5]TGNPDCL MoD'!AR33</f>
        <v>0.32769055963373056</v>
      </c>
      <c r="N409" s="606">
        <f>'[5]TGNPDCL MoD'!AS33</f>
        <v>0.3484596796105166</v>
      </c>
      <c r="O409" s="606">
        <f>'[5]TGNPDCL MoD'!AT33</f>
        <v>0.33349698027240238</v>
      </c>
      <c r="P409" s="606">
        <f>'[5]TGNPDCL MoD'!AU33</f>
        <v>0.36922879958730259</v>
      </c>
      <c r="Q409" s="606">
        <f t="shared" si="173"/>
        <v>3.751096615162127</v>
      </c>
      <c r="R409" s="605"/>
      <c r="S409" s="605"/>
      <c r="T409" s="605"/>
    </row>
    <row r="410" spans="3:20" x14ac:dyDescent="0.25">
      <c r="C410" s="607"/>
      <c r="D410" s="607" t="s">
        <v>381</v>
      </c>
      <c r="E410" s="606">
        <f>'[5]TGNPDCL MoD'!AJ34</f>
        <v>0.43565214537684149</v>
      </c>
      <c r="F410" s="606">
        <f>'[5]TGNPDCL MoD'!AK34</f>
        <v>0.4136732984028747</v>
      </c>
      <c r="G410" s="606">
        <f>'[5]TGNPDCL MoD'!AL34</f>
        <v>0.40032899845439485</v>
      </c>
      <c r="H410" s="606">
        <f>'[5]TGNPDCL MoD'!AM34</f>
        <v>0.4592990298443681</v>
      </c>
      <c r="I410" s="606">
        <f>'[5]TGNPDCL MoD'!AN34</f>
        <v>0.48667446870926429</v>
      </c>
      <c r="J410" s="606">
        <f>'[5]TGNPDCL MoD'!AO34</f>
        <v>0</v>
      </c>
      <c r="K410" s="606">
        <f>'[5]TGNPDCL MoD'!AP34</f>
        <v>0.48667446870926429</v>
      </c>
      <c r="L410" s="606">
        <f>'[5]TGNPDCL MoD'!AQ34</f>
        <v>0.44448293210745299</v>
      </c>
      <c r="M410" s="606">
        <f>'[5]TGNPDCL MoD'!AR34</f>
        <v>0.43192359097947203</v>
      </c>
      <c r="N410" s="606">
        <f>'[5]TGNPDCL MoD'!AS34</f>
        <v>0.45929902984436444</v>
      </c>
      <c r="O410" s="606">
        <f>'[5]TGNPDCL MoD'!AT34</f>
        <v>0.43957693947933552</v>
      </c>
      <c r="P410" s="606">
        <f>'[5]TGNPDCL MoD'!AU34</f>
        <v>0.48667446870926429</v>
      </c>
      <c r="Q410" s="606">
        <f t="shared" si="173"/>
        <v>4.944259370616896</v>
      </c>
      <c r="R410" s="605"/>
      <c r="S410" s="605"/>
      <c r="T410" s="605"/>
    </row>
    <row r="411" spans="3:20" x14ac:dyDescent="0.25">
      <c r="C411" s="607"/>
      <c r="D411" s="607" t="s">
        <v>382</v>
      </c>
      <c r="E411" s="606">
        <f>'[5]TGNPDCL MoD'!AJ52</f>
        <v>3.0468754971583984</v>
      </c>
      <c r="F411" s="606">
        <f>'[5]TGNPDCL MoD'!AK52</f>
        <v>3.0207986347953311</v>
      </c>
      <c r="G411" s="606">
        <f>'[5]TGNPDCL MoD'!AL52</f>
        <v>2.9233535175438687</v>
      </c>
      <c r="H411" s="606">
        <f>'[5]TGNPDCL MoD'!AM52</f>
        <v>3.4037167716003731</v>
      </c>
      <c r="I411" s="606">
        <f>'[5]TGNPDCL MoD'!AN52</f>
        <v>0</v>
      </c>
      <c r="J411" s="606">
        <f>'[5]TGNPDCL MoD'!AO52</f>
        <v>3.1086364869656635</v>
      </c>
      <c r="K411" s="606">
        <f>'[5]TGNPDCL MoD'!AP52</f>
        <v>3.4037167716003731</v>
      </c>
      <c r="L411" s="606">
        <f>'[5]TGNPDCL MoD'!AQ52</f>
        <v>3.170397476772929</v>
      </c>
      <c r="M411" s="606">
        <f>'[5]TGNPDCL MoD'!AR52</f>
        <v>3.1484380137303458</v>
      </c>
      <c r="N411" s="606">
        <f>'[5]TGNPDCL MoD'!AS52</f>
        <v>3.2760773926653592</v>
      </c>
      <c r="O411" s="606">
        <f>'[5]TGNPDCL MoD'!AT52</f>
        <v>3.0743248259616278</v>
      </c>
      <c r="P411" s="606">
        <f>'[5]TGNPDCL MoD'!AU52</f>
        <v>3.4037167716003731</v>
      </c>
      <c r="Q411" s="606">
        <f t="shared" si="173"/>
        <v>34.980052160394649</v>
      </c>
      <c r="R411" s="605"/>
      <c r="S411" s="605"/>
      <c r="T411" s="605"/>
    </row>
    <row r="412" spans="3:20" x14ac:dyDescent="0.25">
      <c r="C412" s="607"/>
      <c r="D412" s="607" t="s">
        <v>1214</v>
      </c>
      <c r="E412" s="606">
        <f>'[5]TGNPDCL MoD'!AJ35</f>
        <v>0</v>
      </c>
      <c r="F412" s="606">
        <f>'[5]TGNPDCL MoD'!AK35</f>
        <v>0</v>
      </c>
      <c r="G412" s="606">
        <f>'[5]TGNPDCL MoD'!AL35</f>
        <v>0</v>
      </c>
      <c r="H412" s="606">
        <f>'[5]TGNPDCL MoD'!AM35</f>
        <v>0</v>
      </c>
      <c r="I412" s="606">
        <f>'[5]TGNPDCL MoD'!AN35</f>
        <v>0</v>
      </c>
      <c r="J412" s="606">
        <f>'[5]TGNPDCL MoD'!AO35</f>
        <v>0</v>
      </c>
      <c r="K412" s="606">
        <f>'[5]TGNPDCL MoD'!AP35</f>
        <v>0</v>
      </c>
      <c r="L412" s="606">
        <f>'[5]TGNPDCL MoD'!AQ35</f>
        <v>0</v>
      </c>
      <c r="M412" s="606">
        <f>'[5]TGNPDCL MoD'!AR35</f>
        <v>0</v>
      </c>
      <c r="N412" s="606">
        <f>'[5]TGNPDCL MoD'!AS35</f>
        <v>0</v>
      </c>
      <c r="O412" s="606">
        <f>'[5]TGNPDCL MoD'!AT35</f>
        <v>0</v>
      </c>
      <c r="P412" s="606">
        <f>'[5]TGNPDCL MoD'!AU35</f>
        <v>0</v>
      </c>
      <c r="Q412" s="607">
        <f t="shared" si="173"/>
        <v>0</v>
      </c>
      <c r="R412" s="605"/>
      <c r="S412" s="605"/>
      <c r="T412" s="605"/>
    </row>
    <row r="413" spans="3:20" x14ac:dyDescent="0.25">
      <c r="C413" s="607"/>
      <c r="D413" s="607" t="s">
        <v>385</v>
      </c>
      <c r="E413" s="606">
        <f>'[5]TGNPDCL MoD'!AJ46</f>
        <v>5.3996303082124681</v>
      </c>
      <c r="F413" s="606">
        <f>'[5]TGNPDCL MoD'!AK46</f>
        <v>6.0801280926593977</v>
      </c>
      <c r="G413" s="606">
        <f>'[5]TGNPDCL MoD'!AL46</f>
        <v>4.0497227311593544</v>
      </c>
      <c r="H413" s="606">
        <f>'[5]TGNPDCL MoD'!AM46</f>
        <v>4.3590765509006975</v>
      </c>
      <c r="I413" s="606">
        <f>'[5]TGNPDCL MoD'!AN46</f>
        <v>4.8821657370087825</v>
      </c>
      <c r="J413" s="606">
        <f>'[5]TGNPDCL MoD'!AO46</f>
        <v>4.0497227311593544</v>
      </c>
      <c r="K413" s="606">
        <f>'[5]TGNPDCL MoD'!AP46</f>
        <v>5.9283441092249571</v>
      </c>
      <c r="L413" s="606">
        <f>'[5]TGNPDCL MoD'!AQ46</f>
        <v>6.9182763323972214</v>
      </c>
      <c r="M413" s="606">
        <f>'[5]TGNPDCL MoD'!AR46</f>
        <v>4.533439612936724</v>
      </c>
      <c r="N413" s="606">
        <f>'[5]TGNPDCL MoD'!AS46</f>
        <v>4.6525405592690259</v>
      </c>
      <c r="O413" s="606">
        <f>'[5]TGNPDCL MoD'!AT46</f>
        <v>5.5121226063002444</v>
      </c>
      <c r="P413" s="606">
        <f>'[5]TGNPDCL MoD'!AU46</f>
        <v>6.2770702332970156</v>
      </c>
      <c r="Q413" s="606">
        <f t="shared" si="173"/>
        <v>62.642239604525251</v>
      </c>
      <c r="R413" s="605"/>
      <c r="S413" s="605"/>
      <c r="T413" s="605"/>
    </row>
    <row r="414" spans="3:20" x14ac:dyDescent="0.25">
      <c r="C414" s="607"/>
      <c r="D414" s="607" t="s">
        <v>386</v>
      </c>
      <c r="E414" s="606">
        <f>'[5]TGNPDCL MoD'!AJ47</f>
        <v>7.8497445142327766</v>
      </c>
      <c r="F414" s="606">
        <f>'[5]TGNPDCL MoD'!AK47</f>
        <v>0</v>
      </c>
      <c r="G414" s="606">
        <f>'[5]TGNPDCL MoD'!AL47</f>
        <v>2.9436541928372861</v>
      </c>
      <c r="H414" s="606">
        <f>'[5]TGNPDCL MoD'!AM47</f>
        <v>6.0963976693603534</v>
      </c>
      <c r="I414" s="606">
        <f>'[5]TGNPDCL MoD'!AN47</f>
        <v>6.8439959983466947</v>
      </c>
      <c r="J414" s="606">
        <f>'[5]TGNPDCL MoD'!AO47</f>
        <v>5.8873083856745723</v>
      </c>
      <c r="K414" s="606">
        <f>'[5]TGNPDCL MoD'!AP47</f>
        <v>8.3648839979793017</v>
      </c>
      <c r="L414" s="606">
        <f>'[5]TGNPDCL MoD'!AQ47</f>
        <v>10.057485158860725</v>
      </c>
      <c r="M414" s="606">
        <f>'[5]TGNPDCL MoD'!AR47</f>
        <v>6.5905146650745934</v>
      </c>
      <c r="N414" s="606">
        <f>'[5]TGNPDCL MoD'!AS47</f>
        <v>6.5905146650745934</v>
      </c>
      <c r="O414" s="606">
        <f>'[5]TGNPDCL MoD'!AT47</f>
        <v>7.7843299766141714</v>
      </c>
      <c r="P414" s="606">
        <f>'[5]TGNPDCL MoD'!AU47</f>
        <v>8.9543740287790747</v>
      </c>
      <c r="Q414" s="606">
        <f t="shared" si="173"/>
        <v>77.963203252834148</v>
      </c>
      <c r="R414" s="605"/>
      <c r="S414" s="605"/>
      <c r="T414" s="605"/>
    </row>
    <row r="415" spans="3:20" hidden="1" x14ac:dyDescent="0.25">
      <c r="C415" s="607"/>
      <c r="D415" s="605"/>
      <c r="E415" s="607"/>
      <c r="F415" s="607"/>
      <c r="G415" s="607"/>
      <c r="H415" s="607"/>
      <c r="I415" s="607"/>
      <c r="J415" s="607"/>
      <c r="K415" s="607"/>
      <c r="L415" s="607"/>
      <c r="M415" s="607"/>
      <c r="N415" s="607"/>
      <c r="O415" s="607"/>
      <c r="P415" s="607"/>
      <c r="Q415" s="607">
        <f t="shared" si="173"/>
        <v>0</v>
      </c>
      <c r="R415" s="605"/>
      <c r="S415" s="605"/>
      <c r="T415" s="605"/>
    </row>
    <row r="416" spans="3:20" hidden="1" x14ac:dyDescent="0.25">
      <c r="C416" s="607"/>
      <c r="D416" s="607"/>
      <c r="E416" s="607"/>
      <c r="F416" s="607"/>
      <c r="G416" s="607"/>
      <c r="H416" s="607"/>
      <c r="I416" s="607"/>
      <c r="J416" s="607"/>
      <c r="K416" s="607"/>
      <c r="L416" s="607"/>
      <c r="M416" s="607"/>
      <c r="N416" s="607"/>
      <c r="O416" s="607"/>
      <c r="P416" s="607"/>
      <c r="Q416" s="607">
        <f t="shared" si="173"/>
        <v>0</v>
      </c>
      <c r="R416" s="605"/>
      <c r="S416" s="605"/>
      <c r="T416" s="605"/>
    </row>
    <row r="417" spans="3:20" hidden="1" x14ac:dyDescent="0.25">
      <c r="C417" s="607"/>
      <c r="D417" s="607"/>
      <c r="E417" s="607"/>
      <c r="F417" s="607"/>
      <c r="G417" s="607"/>
      <c r="H417" s="607"/>
      <c r="I417" s="607"/>
      <c r="J417" s="607"/>
      <c r="K417" s="607"/>
      <c r="L417" s="607"/>
      <c r="M417" s="607"/>
      <c r="N417" s="607"/>
      <c r="O417" s="607"/>
      <c r="P417" s="607"/>
      <c r="Q417" s="607">
        <f t="shared" si="173"/>
        <v>0</v>
      </c>
      <c r="R417" s="605"/>
      <c r="S417" s="605"/>
      <c r="T417" s="605"/>
    </row>
    <row r="418" spans="3:20" hidden="1" x14ac:dyDescent="0.25">
      <c r="C418" s="607"/>
      <c r="D418" s="607"/>
      <c r="E418" s="607"/>
      <c r="F418" s="607"/>
      <c r="G418" s="607"/>
      <c r="H418" s="607"/>
      <c r="I418" s="607"/>
      <c r="J418" s="607"/>
      <c r="K418" s="607"/>
      <c r="L418" s="607"/>
      <c r="M418" s="607"/>
      <c r="N418" s="607"/>
      <c r="O418" s="607"/>
      <c r="P418" s="607"/>
      <c r="Q418" s="607">
        <f t="shared" si="173"/>
        <v>0</v>
      </c>
      <c r="R418" s="605"/>
      <c r="S418" s="605"/>
      <c r="T418" s="605"/>
    </row>
    <row r="419" spans="3:20" hidden="1" x14ac:dyDescent="0.25">
      <c r="C419" s="607"/>
      <c r="D419" s="607"/>
      <c r="E419" s="607"/>
      <c r="F419" s="607"/>
      <c r="G419" s="607"/>
      <c r="H419" s="607"/>
      <c r="I419" s="607"/>
      <c r="J419" s="607"/>
      <c r="K419" s="607"/>
      <c r="L419" s="607"/>
      <c r="M419" s="607"/>
      <c r="N419" s="607"/>
      <c r="O419" s="607"/>
      <c r="P419" s="607"/>
      <c r="Q419" s="607">
        <f t="shared" si="173"/>
        <v>0</v>
      </c>
      <c r="R419" s="605"/>
      <c r="S419" s="605"/>
      <c r="T419" s="605"/>
    </row>
    <row r="420" spans="3:20" hidden="1" x14ac:dyDescent="0.25">
      <c r="C420" s="607"/>
      <c r="D420" s="607"/>
      <c r="E420" s="607"/>
      <c r="F420" s="607"/>
      <c r="G420" s="607"/>
      <c r="H420" s="607"/>
      <c r="I420" s="607"/>
      <c r="J420" s="607"/>
      <c r="K420" s="607"/>
      <c r="L420" s="607"/>
      <c r="M420" s="607"/>
      <c r="N420" s="607"/>
      <c r="O420" s="607"/>
      <c r="P420" s="607"/>
      <c r="Q420" s="607">
        <f t="shared" si="173"/>
        <v>0</v>
      </c>
      <c r="R420" s="605"/>
      <c r="S420" s="605"/>
      <c r="T420" s="605"/>
    </row>
    <row r="421" spans="3:20" hidden="1" x14ac:dyDescent="0.25">
      <c r="C421" s="607"/>
      <c r="D421" s="607"/>
      <c r="E421" s="607"/>
      <c r="F421" s="607"/>
      <c r="G421" s="607"/>
      <c r="H421" s="607"/>
      <c r="I421" s="607"/>
      <c r="J421" s="607"/>
      <c r="K421" s="607"/>
      <c r="L421" s="607"/>
      <c r="M421" s="607"/>
      <c r="N421" s="607"/>
      <c r="O421" s="607"/>
      <c r="P421" s="607"/>
      <c r="Q421" s="607">
        <f t="shared" si="173"/>
        <v>0</v>
      </c>
      <c r="R421" s="605"/>
      <c r="S421" s="605"/>
      <c r="T421" s="605"/>
    </row>
    <row r="422" spans="3:20" hidden="1" x14ac:dyDescent="0.25">
      <c r="C422" s="607"/>
      <c r="D422" s="607"/>
      <c r="E422" s="607"/>
      <c r="F422" s="607"/>
      <c r="G422" s="607"/>
      <c r="H422" s="607"/>
      <c r="I422" s="607"/>
      <c r="J422" s="607"/>
      <c r="K422" s="607"/>
      <c r="L422" s="607"/>
      <c r="M422" s="607"/>
      <c r="N422" s="607"/>
      <c r="O422" s="607"/>
      <c r="P422" s="607"/>
      <c r="Q422" s="607">
        <f t="shared" si="173"/>
        <v>0</v>
      </c>
      <c r="R422" s="605"/>
      <c r="S422" s="605"/>
      <c r="T422" s="605"/>
    </row>
    <row r="423" spans="3:20" hidden="1" x14ac:dyDescent="0.25">
      <c r="C423" s="607"/>
      <c r="D423" s="607"/>
      <c r="E423" s="607"/>
      <c r="F423" s="607"/>
      <c r="G423" s="607"/>
      <c r="H423" s="607"/>
      <c r="I423" s="607"/>
      <c r="J423" s="607"/>
      <c r="K423" s="607"/>
      <c r="L423" s="607"/>
      <c r="M423" s="607"/>
      <c r="N423" s="607"/>
      <c r="O423" s="607"/>
      <c r="P423" s="607"/>
      <c r="Q423" s="607">
        <f t="shared" si="173"/>
        <v>0</v>
      </c>
      <c r="R423" s="605"/>
      <c r="S423" s="605"/>
      <c r="T423" s="605"/>
    </row>
    <row r="424" spans="3:20" hidden="1" x14ac:dyDescent="0.25">
      <c r="C424" s="607"/>
      <c r="D424" s="607"/>
      <c r="E424" s="607"/>
      <c r="F424" s="607"/>
      <c r="G424" s="607"/>
      <c r="H424" s="607"/>
      <c r="I424" s="607"/>
      <c r="J424" s="607"/>
      <c r="K424" s="607"/>
      <c r="L424" s="607"/>
      <c r="M424" s="607"/>
      <c r="N424" s="607"/>
      <c r="O424" s="607"/>
      <c r="P424" s="607"/>
      <c r="Q424" s="607">
        <f t="shared" si="173"/>
        <v>0</v>
      </c>
      <c r="R424" s="605"/>
      <c r="S424" s="605"/>
      <c r="T424" s="605"/>
    </row>
    <row r="425" spans="3:20" x14ac:dyDescent="0.25">
      <c r="C425" s="811" t="s">
        <v>212</v>
      </c>
      <c r="D425" s="812"/>
      <c r="E425" s="617">
        <f t="shared" ref="E425:P425" si="174">SUM(E399:E424)</f>
        <v>199.00295916597091</v>
      </c>
      <c r="F425" s="617">
        <f t="shared" si="174"/>
        <v>189.92330133017603</v>
      </c>
      <c r="G425" s="617">
        <f t="shared" si="174"/>
        <v>151.18460881699832</v>
      </c>
      <c r="H425" s="617">
        <f t="shared" si="174"/>
        <v>133.17990181790717</v>
      </c>
      <c r="I425" s="617">
        <f t="shared" si="174"/>
        <v>138.18936306875116</v>
      </c>
      <c r="J425" s="617">
        <f t="shared" si="174"/>
        <v>159.86164686923718</v>
      </c>
      <c r="K425" s="617">
        <f t="shared" si="174"/>
        <v>176.4708672792994</v>
      </c>
      <c r="L425" s="617">
        <f t="shared" si="174"/>
        <v>217.89943414291113</v>
      </c>
      <c r="M425" s="617">
        <f t="shared" si="174"/>
        <v>151.80771247194178</v>
      </c>
      <c r="N425" s="617">
        <f t="shared" si="174"/>
        <v>179.05572131801307</v>
      </c>
      <c r="O425" s="617">
        <f t="shared" si="174"/>
        <v>200.4843611111464</v>
      </c>
      <c r="P425" s="617">
        <f t="shared" si="174"/>
        <v>235.23234696540737</v>
      </c>
      <c r="Q425" s="618">
        <f t="shared" si="173"/>
        <v>2132.29222435776</v>
      </c>
      <c r="R425" s="605"/>
      <c r="S425" s="605"/>
      <c r="T425" s="605"/>
    </row>
    <row r="426" spans="3:20" x14ac:dyDescent="0.25">
      <c r="C426" s="811" t="s">
        <v>387</v>
      </c>
      <c r="D426" s="812"/>
      <c r="E426" s="607"/>
      <c r="F426" s="607"/>
      <c r="G426" s="607"/>
      <c r="H426" s="607"/>
      <c r="I426" s="607"/>
      <c r="J426" s="607"/>
      <c r="K426" s="607"/>
      <c r="L426" s="607"/>
      <c r="M426" s="607"/>
      <c r="N426" s="607"/>
      <c r="O426" s="607"/>
      <c r="P426" s="607"/>
      <c r="Q426" s="607"/>
      <c r="R426" s="605"/>
      <c r="S426" s="605"/>
      <c r="T426" s="605"/>
    </row>
    <row r="427" spans="3:20" x14ac:dyDescent="0.25">
      <c r="C427" s="821" t="s">
        <v>388</v>
      </c>
      <c r="D427" s="607" t="s">
        <v>389</v>
      </c>
      <c r="E427" s="606">
        <f>'[5]TGNPDCL MoD'!AJ32</f>
        <v>1.2786207594857313</v>
      </c>
      <c r="F427" s="606">
        <f>'[5]TGNPDCL MoD'!AK32</f>
        <v>1.3212414514685895</v>
      </c>
      <c r="G427" s="606">
        <f>'[5]TGNPDCL MoD'!AL32</f>
        <v>1.2786207594857313</v>
      </c>
      <c r="H427" s="606">
        <f>'[5]TGNPDCL MoD'!AM32</f>
        <v>1.3212414514685895</v>
      </c>
      <c r="I427" s="606">
        <f>'[5]TGNPDCL MoD'!AN32</f>
        <v>1.3212414514685895</v>
      </c>
      <c r="J427" s="606">
        <f>'[5]TGNPDCL MoD'!AO32</f>
        <v>1.2786207594857313</v>
      </c>
      <c r="K427" s="606">
        <f>'[5]TGNPDCL MoD'!AP32</f>
        <v>1.3212414514685895</v>
      </c>
      <c r="L427" s="606">
        <f>'[5]TGNPDCL MoD'!AQ32</f>
        <v>1.2786207594857313</v>
      </c>
      <c r="M427" s="606">
        <f>'[5]TGNPDCL MoD'!AR32</f>
        <v>1.3212414514685895</v>
      </c>
      <c r="N427" s="606">
        <f>'[5]TGNPDCL MoD'!AS32</f>
        <v>1.3212414514685895</v>
      </c>
      <c r="O427" s="606">
        <f>'[5]TGNPDCL MoD'!AT32</f>
        <v>1.1933793755200162</v>
      </c>
      <c r="P427" s="606">
        <f>'[5]TGNPDCL MoD'!AU32</f>
        <v>1.3212414514685895</v>
      </c>
      <c r="Q427" s="606">
        <f t="shared" ref="Q427:Q441" si="175">SUM(E427:P427)</f>
        <v>15.556552573743067</v>
      </c>
      <c r="R427" s="605"/>
      <c r="S427" s="605"/>
      <c r="T427" s="605"/>
    </row>
    <row r="428" spans="3:20" x14ac:dyDescent="0.25">
      <c r="C428" s="822"/>
      <c r="D428" s="607" t="s">
        <v>390</v>
      </c>
      <c r="E428" s="606">
        <f>'[5]TGNPDCL MoD'!AJ37+'[5]TGNPDCL MoD'!AJ36</f>
        <v>5.3073739780550451</v>
      </c>
      <c r="F428" s="606">
        <f>'[5]TGNPDCL MoD'!AK37+'[5]TGNPDCL MoD'!AK36</f>
        <v>5.4842864439902161</v>
      </c>
      <c r="G428" s="606">
        <f>'[5]TGNPDCL MoD'!AL37+'[5]TGNPDCL MoD'!AL36</f>
        <v>5.3073739780550451</v>
      </c>
      <c r="H428" s="606">
        <f>'[5]TGNPDCL MoD'!AM37+'[5]TGNPDCL MoD'!AM36</f>
        <v>5.4842864439902161</v>
      </c>
      <c r="I428" s="606">
        <f>'[5]TGNPDCL MoD'!AN37+'[5]TGNPDCL MoD'!AN36</f>
        <v>5.4842864439902161</v>
      </c>
      <c r="J428" s="606">
        <f>'[5]TGNPDCL MoD'!AO37+'[5]TGNPDCL MoD'!AO36</f>
        <v>5.3073739780550451</v>
      </c>
      <c r="K428" s="606">
        <f>'[5]TGNPDCL MoD'!AP37+'[5]TGNPDCL MoD'!AP36</f>
        <v>5.4842864439902161</v>
      </c>
      <c r="L428" s="606">
        <f>'[5]TGNPDCL MoD'!AQ37+'[5]TGNPDCL MoD'!AQ36</f>
        <v>5.3073739780550451</v>
      </c>
      <c r="M428" s="606">
        <f>'[5]TGNPDCL MoD'!AR37+'[5]TGNPDCL MoD'!AR36</f>
        <v>5.4842864439902161</v>
      </c>
      <c r="N428" s="606">
        <f>'[5]TGNPDCL MoD'!AS37+'[5]TGNPDCL MoD'!AS36</f>
        <v>5.4842864439902161</v>
      </c>
      <c r="O428" s="606">
        <f>'[5]TGNPDCL MoD'!AT37+'[5]TGNPDCL MoD'!AT36</f>
        <v>4.9535490461847109</v>
      </c>
      <c r="P428" s="606">
        <f>'[5]TGNPDCL MoD'!AU37+'[5]TGNPDCL MoD'!AU36</f>
        <v>5.4842864439902161</v>
      </c>
      <c r="Q428" s="606">
        <f t="shared" si="175"/>
        <v>64.573050066336407</v>
      </c>
      <c r="R428" s="605"/>
      <c r="S428" s="605"/>
      <c r="T428" s="605"/>
    </row>
    <row r="429" spans="3:20" x14ac:dyDescent="0.25">
      <c r="C429" s="822"/>
      <c r="D429" s="607" t="s">
        <v>391</v>
      </c>
      <c r="E429" s="606">
        <f>'[5]TGNPDCL MoD'!AJ38+'[5]TGNPDCL MoD'!AJ39</f>
        <v>4.0498822363097151</v>
      </c>
      <c r="F429" s="606">
        <f>'[5]TGNPDCL MoD'!AK38+'[5]TGNPDCL MoD'!AK39</f>
        <v>4.1848783108533727</v>
      </c>
      <c r="G429" s="606">
        <f>'[5]TGNPDCL MoD'!AL38+'[5]TGNPDCL MoD'!AL39</f>
        <v>4.0498822363097151</v>
      </c>
      <c r="H429" s="606">
        <f>'[5]TGNPDCL MoD'!AM38+'[5]TGNPDCL MoD'!AM39</f>
        <v>4.1848783108533727</v>
      </c>
      <c r="I429" s="606">
        <f>'[5]TGNPDCL MoD'!AN38+'[5]TGNPDCL MoD'!AN39</f>
        <v>4.1848783108533727</v>
      </c>
      <c r="J429" s="606">
        <f>'[5]TGNPDCL MoD'!AO38+'[5]TGNPDCL MoD'!AO39</f>
        <v>4.0498822363097151</v>
      </c>
      <c r="K429" s="606">
        <f>'[5]TGNPDCL MoD'!AP38+'[5]TGNPDCL MoD'!AP39</f>
        <v>4.1848783108533727</v>
      </c>
      <c r="L429" s="606">
        <f>'[5]TGNPDCL MoD'!AQ38+'[5]TGNPDCL MoD'!AQ39</f>
        <v>4.0498822363097151</v>
      </c>
      <c r="M429" s="606">
        <f>'[5]TGNPDCL MoD'!AR38+'[5]TGNPDCL MoD'!AR39</f>
        <v>4.1848783108533727</v>
      </c>
      <c r="N429" s="606">
        <f>'[5]TGNPDCL MoD'!AS38+'[5]TGNPDCL MoD'!AS39</f>
        <v>4.1848783108533727</v>
      </c>
      <c r="O429" s="606">
        <f>'[5]TGNPDCL MoD'!AT38+'[5]TGNPDCL MoD'!AT39</f>
        <v>3.7798900872224017</v>
      </c>
      <c r="P429" s="606">
        <f>'[5]TGNPDCL MoD'!AU38+'[5]TGNPDCL MoD'!AU39</f>
        <v>4.1848783108533727</v>
      </c>
      <c r="Q429" s="606">
        <f t="shared" si="175"/>
        <v>49.273567208434862</v>
      </c>
      <c r="R429" s="605"/>
      <c r="S429" s="605"/>
      <c r="T429" s="605"/>
    </row>
    <row r="430" spans="3:20" x14ac:dyDescent="0.25">
      <c r="C430" s="823"/>
      <c r="D430" s="607" t="s">
        <v>392</v>
      </c>
      <c r="E430" s="606">
        <f>'[5]TGNPDCL MoD'!AJ48</f>
        <v>5.1382043592673661</v>
      </c>
      <c r="F430" s="606">
        <f>'[5]TGNPDCL MoD'!AK48</f>
        <v>5.309477837909613</v>
      </c>
      <c r="G430" s="606">
        <f>'[5]TGNPDCL MoD'!AL48</f>
        <v>5.1382043592673661</v>
      </c>
      <c r="H430" s="606">
        <f>'[5]TGNPDCL MoD'!AM48</f>
        <v>5.309477837909613</v>
      </c>
      <c r="I430" s="606">
        <f>'[5]TGNPDCL MoD'!AN48</f>
        <v>5.309477837909613</v>
      </c>
      <c r="J430" s="606">
        <f>'[5]TGNPDCL MoD'!AO48</f>
        <v>5.1382043592673661</v>
      </c>
      <c r="K430" s="606">
        <f>'[5]TGNPDCL MoD'!AP48</f>
        <v>5.309477837909613</v>
      </c>
      <c r="L430" s="606">
        <f>'[5]TGNPDCL MoD'!AQ48</f>
        <v>5.1382043592673661</v>
      </c>
      <c r="M430" s="606">
        <f>'[5]TGNPDCL MoD'!AR48</f>
        <v>5.309477837909613</v>
      </c>
      <c r="N430" s="606">
        <f>'[5]TGNPDCL MoD'!AS48</f>
        <v>5.309477837909613</v>
      </c>
      <c r="O430" s="606">
        <f>'[5]TGNPDCL MoD'!AT48</f>
        <v>4.7956574019828766</v>
      </c>
      <c r="P430" s="606">
        <f>'[5]TGNPDCL MoD'!AU48</f>
        <v>5.309477837909613</v>
      </c>
      <c r="Q430" s="606">
        <f t="shared" si="175"/>
        <v>62.514819704419637</v>
      </c>
      <c r="R430" s="605"/>
      <c r="S430" s="605"/>
      <c r="T430" s="605"/>
    </row>
    <row r="431" spans="3:20" hidden="1" x14ac:dyDescent="0.25">
      <c r="C431" s="607"/>
      <c r="D431" s="607"/>
      <c r="E431" s="607"/>
      <c r="F431" s="607"/>
      <c r="G431" s="607"/>
      <c r="H431" s="607"/>
      <c r="I431" s="607"/>
      <c r="J431" s="607"/>
      <c r="K431" s="607"/>
      <c r="L431" s="607"/>
      <c r="M431" s="607"/>
      <c r="N431" s="607"/>
      <c r="O431" s="607"/>
      <c r="P431" s="607"/>
      <c r="Q431" s="607">
        <f t="shared" si="175"/>
        <v>0</v>
      </c>
      <c r="R431" s="605"/>
      <c r="S431" s="605"/>
      <c r="T431" s="605"/>
    </row>
    <row r="432" spans="3:20" hidden="1" x14ac:dyDescent="0.25">
      <c r="C432" s="607"/>
      <c r="D432" s="607"/>
      <c r="E432" s="607"/>
      <c r="F432" s="607"/>
      <c r="G432" s="607"/>
      <c r="H432" s="607"/>
      <c r="I432" s="607"/>
      <c r="J432" s="607"/>
      <c r="K432" s="607"/>
      <c r="L432" s="607"/>
      <c r="M432" s="607"/>
      <c r="N432" s="607"/>
      <c r="O432" s="607"/>
      <c r="P432" s="607"/>
      <c r="Q432" s="607">
        <f t="shared" si="175"/>
        <v>0</v>
      </c>
      <c r="R432" s="605"/>
      <c r="S432" s="605"/>
      <c r="T432" s="605"/>
    </row>
    <row r="433" spans="3:21" hidden="1" x14ac:dyDescent="0.25">
      <c r="C433" s="607"/>
      <c r="D433" s="607"/>
      <c r="E433" s="607"/>
      <c r="F433" s="607"/>
      <c r="G433" s="607"/>
      <c r="H433" s="607"/>
      <c r="I433" s="607"/>
      <c r="J433" s="607"/>
      <c r="K433" s="607"/>
      <c r="L433" s="607"/>
      <c r="M433" s="607"/>
      <c r="N433" s="607"/>
      <c r="O433" s="607"/>
      <c r="P433" s="607"/>
      <c r="Q433" s="607">
        <f t="shared" si="175"/>
        <v>0</v>
      </c>
      <c r="R433" s="605"/>
      <c r="S433" s="605"/>
      <c r="T433" s="605"/>
    </row>
    <row r="434" spans="3:21" hidden="1" x14ac:dyDescent="0.25">
      <c r="C434" s="607"/>
      <c r="D434" s="607"/>
      <c r="E434" s="607"/>
      <c r="F434" s="607"/>
      <c r="G434" s="607"/>
      <c r="H434" s="607"/>
      <c r="I434" s="607"/>
      <c r="J434" s="607"/>
      <c r="K434" s="607"/>
      <c r="L434" s="607"/>
      <c r="M434" s="607"/>
      <c r="N434" s="607"/>
      <c r="O434" s="607"/>
      <c r="P434" s="607"/>
      <c r="Q434" s="607">
        <f t="shared" si="175"/>
        <v>0</v>
      </c>
      <c r="R434" s="605"/>
      <c r="S434" s="605"/>
      <c r="T434" s="605"/>
    </row>
    <row r="435" spans="3:21" hidden="1" x14ac:dyDescent="0.25">
      <c r="C435" s="607"/>
      <c r="D435" s="607"/>
      <c r="E435" s="607"/>
      <c r="F435" s="607"/>
      <c r="G435" s="607"/>
      <c r="H435" s="607"/>
      <c r="I435" s="607"/>
      <c r="J435" s="607"/>
      <c r="K435" s="607"/>
      <c r="L435" s="607"/>
      <c r="M435" s="607"/>
      <c r="N435" s="607"/>
      <c r="O435" s="607"/>
      <c r="P435" s="607"/>
      <c r="Q435" s="607">
        <f t="shared" si="175"/>
        <v>0</v>
      </c>
      <c r="R435" s="605"/>
      <c r="S435" s="605"/>
      <c r="T435" s="605"/>
    </row>
    <row r="436" spans="3:21" hidden="1" x14ac:dyDescent="0.25">
      <c r="C436" s="607"/>
      <c r="D436" s="607"/>
      <c r="E436" s="607"/>
      <c r="F436" s="607"/>
      <c r="G436" s="607"/>
      <c r="H436" s="607"/>
      <c r="I436" s="607"/>
      <c r="J436" s="607"/>
      <c r="K436" s="607"/>
      <c r="L436" s="607"/>
      <c r="M436" s="607"/>
      <c r="N436" s="607"/>
      <c r="O436" s="607"/>
      <c r="P436" s="607"/>
      <c r="Q436" s="607">
        <f t="shared" si="175"/>
        <v>0</v>
      </c>
      <c r="R436" s="605"/>
      <c r="S436" s="605"/>
      <c r="T436" s="605"/>
    </row>
    <row r="437" spans="3:21" hidden="1" x14ac:dyDescent="0.25">
      <c r="C437" s="607"/>
      <c r="D437" s="607"/>
      <c r="E437" s="607"/>
      <c r="F437" s="607"/>
      <c r="G437" s="607"/>
      <c r="H437" s="607"/>
      <c r="I437" s="607"/>
      <c r="J437" s="607"/>
      <c r="K437" s="607"/>
      <c r="L437" s="607"/>
      <c r="M437" s="607"/>
      <c r="N437" s="607"/>
      <c r="O437" s="607"/>
      <c r="P437" s="607"/>
      <c r="Q437" s="607">
        <f t="shared" si="175"/>
        <v>0</v>
      </c>
      <c r="R437" s="605"/>
      <c r="S437" s="605"/>
      <c r="T437" s="605"/>
    </row>
    <row r="438" spans="3:21" hidden="1" x14ac:dyDescent="0.25">
      <c r="C438" s="607"/>
      <c r="D438" s="607"/>
      <c r="E438" s="607"/>
      <c r="F438" s="607"/>
      <c r="G438" s="607"/>
      <c r="H438" s="607"/>
      <c r="I438" s="607"/>
      <c r="J438" s="607"/>
      <c r="K438" s="607"/>
      <c r="L438" s="607"/>
      <c r="M438" s="607"/>
      <c r="N438" s="607"/>
      <c r="O438" s="607"/>
      <c r="P438" s="607"/>
      <c r="Q438" s="607">
        <f t="shared" si="175"/>
        <v>0</v>
      </c>
      <c r="R438" s="605"/>
      <c r="S438" s="605"/>
      <c r="T438" s="605"/>
      <c r="U438" s="4">
        <f>(5408/3439)</f>
        <v>1.5725501599302123</v>
      </c>
    </row>
    <row r="439" spans="3:21" hidden="1" x14ac:dyDescent="0.25">
      <c r="C439" s="607"/>
      <c r="D439" s="607"/>
      <c r="E439" s="607"/>
      <c r="F439" s="607"/>
      <c r="G439" s="607"/>
      <c r="H439" s="607"/>
      <c r="I439" s="607"/>
      <c r="J439" s="607"/>
      <c r="K439" s="607"/>
      <c r="L439" s="607"/>
      <c r="M439" s="607"/>
      <c r="N439" s="607"/>
      <c r="O439" s="607"/>
      <c r="P439" s="607"/>
      <c r="Q439" s="607">
        <f t="shared" si="175"/>
        <v>0</v>
      </c>
      <c r="R439" s="605"/>
      <c r="S439" s="605"/>
      <c r="T439" s="605"/>
      <c r="U439" s="4">
        <f>U438^(1/5)</f>
        <v>1.0947649924397851</v>
      </c>
    </row>
    <row r="440" spans="3:21" x14ac:dyDescent="0.25">
      <c r="C440" s="607"/>
      <c r="D440" s="607"/>
      <c r="E440" s="607"/>
      <c r="F440" s="607"/>
      <c r="G440" s="607"/>
      <c r="H440" s="607"/>
      <c r="I440" s="607"/>
      <c r="J440" s="607"/>
      <c r="K440" s="607"/>
      <c r="L440" s="607"/>
      <c r="M440" s="607"/>
      <c r="N440" s="607"/>
      <c r="O440" s="607"/>
      <c r="P440" s="607"/>
      <c r="Q440" s="607">
        <f t="shared" si="175"/>
        <v>0</v>
      </c>
      <c r="R440" s="605"/>
      <c r="S440" s="605"/>
      <c r="T440" s="605"/>
      <c r="U440" s="156"/>
    </row>
    <row r="441" spans="3:21" x14ac:dyDescent="0.25">
      <c r="C441" s="811" t="s">
        <v>212</v>
      </c>
      <c r="D441" s="812"/>
      <c r="E441" s="606">
        <f t="shared" ref="E441:P441" si="176">SUM(E427:E440)</f>
        <v>15.774081333117858</v>
      </c>
      <c r="F441" s="606">
        <f t="shared" si="176"/>
        <v>16.299884044221791</v>
      </c>
      <c r="G441" s="606">
        <f t="shared" si="176"/>
        <v>15.774081333117858</v>
      </c>
      <c r="H441" s="606">
        <f t="shared" si="176"/>
        <v>16.299884044221791</v>
      </c>
      <c r="I441" s="606">
        <f t="shared" si="176"/>
        <v>16.299884044221791</v>
      </c>
      <c r="J441" s="606">
        <f t="shared" si="176"/>
        <v>15.774081333117858</v>
      </c>
      <c r="K441" s="606">
        <f t="shared" si="176"/>
        <v>16.299884044221791</v>
      </c>
      <c r="L441" s="606">
        <f t="shared" si="176"/>
        <v>15.774081333117858</v>
      </c>
      <c r="M441" s="606">
        <f t="shared" si="176"/>
        <v>16.299884044221791</v>
      </c>
      <c r="N441" s="606">
        <f t="shared" si="176"/>
        <v>16.299884044221791</v>
      </c>
      <c r="O441" s="606">
        <f t="shared" si="176"/>
        <v>14.722475910910006</v>
      </c>
      <c r="P441" s="606">
        <f t="shared" si="176"/>
        <v>16.299884044221791</v>
      </c>
      <c r="Q441" s="609">
        <f t="shared" si="175"/>
        <v>191.91798955293396</v>
      </c>
      <c r="R441" s="605"/>
      <c r="S441" s="605"/>
      <c r="T441" s="605"/>
    </row>
    <row r="442" spans="3:21" x14ac:dyDescent="0.25">
      <c r="C442" s="811" t="s">
        <v>394</v>
      </c>
      <c r="D442" s="812"/>
      <c r="E442" s="606">
        <f t="shared" ref="E442:Q442" si="177">E425+E441</f>
        <v>214.77704049908877</v>
      </c>
      <c r="F442" s="606">
        <f t="shared" si="177"/>
        <v>206.22318537439781</v>
      </c>
      <c r="G442" s="606">
        <f t="shared" si="177"/>
        <v>166.95869015011618</v>
      </c>
      <c r="H442" s="606">
        <f t="shared" si="177"/>
        <v>149.47978586212895</v>
      </c>
      <c r="I442" s="606">
        <f t="shared" si="177"/>
        <v>154.48924711297295</v>
      </c>
      <c r="J442" s="606">
        <f t="shared" si="177"/>
        <v>175.63572820235504</v>
      </c>
      <c r="K442" s="606">
        <f t="shared" si="177"/>
        <v>192.77075132352118</v>
      </c>
      <c r="L442" s="606">
        <f t="shared" si="177"/>
        <v>233.673515476029</v>
      </c>
      <c r="M442" s="606">
        <f t="shared" si="177"/>
        <v>168.10759651616357</v>
      </c>
      <c r="N442" s="606">
        <f t="shared" si="177"/>
        <v>195.35560536223485</v>
      </c>
      <c r="O442" s="606">
        <f t="shared" si="177"/>
        <v>215.20683702205639</v>
      </c>
      <c r="P442" s="606">
        <f t="shared" si="177"/>
        <v>251.53223100962916</v>
      </c>
      <c r="Q442" s="609">
        <f t="shared" si="177"/>
        <v>2324.2102139106942</v>
      </c>
      <c r="R442" s="605"/>
      <c r="S442" s="605"/>
      <c r="T442" s="605"/>
    </row>
    <row r="443" spans="3:21" x14ac:dyDescent="0.25">
      <c r="C443" s="813" t="s">
        <v>395</v>
      </c>
      <c r="D443" s="814"/>
      <c r="E443" s="607"/>
      <c r="F443" s="607"/>
      <c r="G443" s="607"/>
      <c r="H443" s="607"/>
      <c r="I443" s="607"/>
      <c r="J443" s="607"/>
      <c r="K443" s="607"/>
      <c r="L443" s="607"/>
      <c r="M443" s="607"/>
      <c r="N443" s="607"/>
      <c r="O443" s="607"/>
      <c r="P443" s="607"/>
      <c r="Q443" s="607"/>
      <c r="R443" s="605"/>
      <c r="S443" s="605"/>
      <c r="T443" s="605"/>
    </row>
    <row r="444" spans="3:21" x14ac:dyDescent="0.25">
      <c r="C444" s="607" t="s">
        <v>396</v>
      </c>
      <c r="D444" s="607" t="s">
        <v>396</v>
      </c>
      <c r="E444" s="606">
        <f>'[5]TGNPDCL MoD'!AJ23</f>
        <v>13.57300079505421</v>
      </c>
      <c r="F444" s="606">
        <f>'[5]TGNPDCL MoD'!AK23</f>
        <v>13.230958938527133</v>
      </c>
      <c r="G444" s="606">
        <f>'[5]TGNPDCL MoD'!AL23</f>
        <v>12.844376421477875</v>
      </c>
      <c r="H444" s="606">
        <f>'[5]TGNPDCL MoD'!AM23</f>
        <v>15.022287797517532</v>
      </c>
      <c r="I444" s="606">
        <f>'[5]TGNPDCL MoD'!AN23</f>
        <v>15.162631518799298</v>
      </c>
      <c r="J444" s="606">
        <f>'[5]TGNPDCL MoD'!AO23</f>
        <v>0</v>
      </c>
      <c r="K444" s="606">
        <f>'[5]TGNPDCL MoD'!AP23</f>
        <v>15.162631518799298</v>
      </c>
      <c r="L444" s="606">
        <f>'[5]TGNPDCL MoD'!AQ23</f>
        <v>6.9601209053630528</v>
      </c>
      <c r="M444" s="606">
        <f>'[5]TGNPDCL MoD'!AR23</f>
        <v>13.987294444676952</v>
      </c>
      <c r="N444" s="606">
        <f>'[5]TGNPDCL MoD'!AS23</f>
        <v>14.40199952602398</v>
      </c>
      <c r="O444" s="606">
        <f>'[5]TGNPDCL MoD'!AT23</f>
        <v>13.695280081496136</v>
      </c>
      <c r="P444" s="606">
        <f>'[5]TGNPDCL MoD'!AU23</f>
        <v>15.162631518799298</v>
      </c>
      <c r="Q444" s="606">
        <f>SUM(E444:P444)</f>
        <v>149.20321346653475</v>
      </c>
      <c r="R444" s="605"/>
      <c r="S444" s="605"/>
      <c r="T444" s="605"/>
    </row>
    <row r="445" spans="3:21" x14ac:dyDescent="0.25">
      <c r="C445" s="607" t="s">
        <v>397</v>
      </c>
      <c r="D445" s="607" t="s">
        <v>397</v>
      </c>
      <c r="E445" s="606">
        <f>'[5]TGNPDCL MoD'!AJ24</f>
        <v>0</v>
      </c>
      <c r="F445" s="606">
        <f>'[5]TGNPDCL MoD'!AK24</f>
        <v>0</v>
      </c>
      <c r="G445" s="606">
        <f>'[5]TGNPDCL MoD'!AL24</f>
        <v>0</v>
      </c>
      <c r="H445" s="606">
        <f>'[5]TGNPDCL MoD'!AM24</f>
        <v>0</v>
      </c>
      <c r="I445" s="606">
        <f>'[5]TGNPDCL MoD'!AN24</f>
        <v>0</v>
      </c>
      <c r="J445" s="606">
        <f>'[5]TGNPDCL MoD'!AO24</f>
        <v>0</v>
      </c>
      <c r="K445" s="606">
        <f>'[5]TGNPDCL MoD'!AP24</f>
        <v>0</v>
      </c>
      <c r="L445" s="606">
        <f>'[5]TGNPDCL MoD'!AQ24</f>
        <v>0</v>
      </c>
      <c r="M445" s="606">
        <f>'[5]TGNPDCL MoD'!AR24</f>
        <v>0</v>
      </c>
      <c r="N445" s="606">
        <f>'[5]TGNPDCL MoD'!AS24</f>
        <v>0</v>
      </c>
      <c r="O445" s="606">
        <f>'[5]TGNPDCL MoD'!AT24</f>
        <v>0</v>
      </c>
      <c r="P445" s="606">
        <f>'[5]TGNPDCL MoD'!AU24</f>
        <v>0</v>
      </c>
      <c r="Q445" s="606">
        <f>SUM(E445:P445)</f>
        <v>0</v>
      </c>
      <c r="R445" s="605"/>
      <c r="S445" s="605"/>
      <c r="T445" s="605"/>
    </row>
    <row r="446" spans="3:21" x14ac:dyDescent="0.25">
      <c r="C446" s="607"/>
      <c r="D446" s="607"/>
      <c r="E446" s="606"/>
      <c r="F446" s="606"/>
      <c r="G446" s="606"/>
      <c r="H446" s="606"/>
      <c r="I446" s="606"/>
      <c r="J446" s="606"/>
      <c r="K446" s="606"/>
      <c r="L446" s="606"/>
      <c r="M446" s="606"/>
      <c r="N446" s="606"/>
      <c r="O446" s="606"/>
      <c r="P446" s="606"/>
      <c r="Q446" s="606"/>
      <c r="R446" s="605"/>
      <c r="S446" s="605"/>
      <c r="T446" s="605"/>
    </row>
    <row r="447" spans="3:21" x14ac:dyDescent="0.25">
      <c r="C447" s="607"/>
      <c r="D447" s="607"/>
      <c r="E447" s="606"/>
      <c r="F447" s="606"/>
      <c r="G447" s="606"/>
      <c r="H447" s="606"/>
      <c r="I447" s="606"/>
      <c r="J447" s="606"/>
      <c r="K447" s="606"/>
      <c r="L447" s="606"/>
      <c r="M447" s="606"/>
      <c r="N447" s="606"/>
      <c r="O447" s="606"/>
      <c r="P447" s="606"/>
      <c r="Q447" s="606"/>
      <c r="R447" s="605"/>
      <c r="S447" s="605"/>
      <c r="T447" s="605"/>
    </row>
    <row r="448" spans="3:21" x14ac:dyDescent="0.25">
      <c r="C448" s="607"/>
      <c r="D448" s="607"/>
      <c r="E448" s="606"/>
      <c r="F448" s="606"/>
      <c r="G448" s="606"/>
      <c r="H448" s="606"/>
      <c r="I448" s="606"/>
      <c r="J448" s="606"/>
      <c r="K448" s="606"/>
      <c r="L448" s="606"/>
      <c r="M448" s="606"/>
      <c r="N448" s="606"/>
      <c r="O448" s="606"/>
      <c r="P448" s="606"/>
      <c r="Q448" s="606"/>
      <c r="R448" s="605"/>
      <c r="S448" s="605"/>
      <c r="T448" s="605"/>
    </row>
    <row r="449" spans="3:20" x14ac:dyDescent="0.25">
      <c r="C449" s="607"/>
      <c r="D449" s="607"/>
      <c r="E449" s="606"/>
      <c r="F449" s="606"/>
      <c r="G449" s="606"/>
      <c r="H449" s="606"/>
      <c r="I449" s="606"/>
      <c r="J449" s="606"/>
      <c r="K449" s="606"/>
      <c r="L449" s="606"/>
      <c r="M449" s="606"/>
      <c r="N449" s="606"/>
      <c r="O449" s="606"/>
      <c r="P449" s="606"/>
      <c r="Q449" s="606"/>
      <c r="R449" s="605"/>
      <c r="S449" s="605"/>
      <c r="T449" s="605"/>
    </row>
    <row r="450" spans="3:20" x14ac:dyDescent="0.25">
      <c r="C450" s="607"/>
      <c r="D450" s="607"/>
      <c r="E450" s="606"/>
      <c r="F450" s="606"/>
      <c r="G450" s="606"/>
      <c r="H450" s="606"/>
      <c r="I450" s="606"/>
      <c r="J450" s="606"/>
      <c r="K450" s="606"/>
      <c r="L450" s="606"/>
      <c r="M450" s="606"/>
      <c r="N450" s="606"/>
      <c r="O450" s="606"/>
      <c r="P450" s="606"/>
      <c r="Q450" s="606"/>
      <c r="R450" s="605"/>
      <c r="S450" s="605"/>
      <c r="T450" s="605"/>
    </row>
    <row r="451" spans="3:20" x14ac:dyDescent="0.25">
      <c r="C451" s="811" t="s">
        <v>398</v>
      </c>
      <c r="D451" s="812"/>
      <c r="E451" s="606">
        <f t="shared" ref="E451:P451" si="178">SUM(E444:E450)</f>
        <v>13.57300079505421</v>
      </c>
      <c r="F451" s="606">
        <f t="shared" si="178"/>
        <v>13.230958938527133</v>
      </c>
      <c r="G451" s="606">
        <f t="shared" si="178"/>
        <v>12.844376421477875</v>
      </c>
      <c r="H451" s="606">
        <f t="shared" si="178"/>
        <v>15.022287797517532</v>
      </c>
      <c r="I451" s="606">
        <f t="shared" si="178"/>
        <v>15.162631518799298</v>
      </c>
      <c r="J451" s="606">
        <f t="shared" si="178"/>
        <v>0</v>
      </c>
      <c r="K451" s="606">
        <f t="shared" si="178"/>
        <v>15.162631518799298</v>
      </c>
      <c r="L451" s="606">
        <f t="shared" si="178"/>
        <v>6.9601209053630528</v>
      </c>
      <c r="M451" s="606">
        <f t="shared" si="178"/>
        <v>13.987294444676952</v>
      </c>
      <c r="N451" s="606">
        <f t="shared" si="178"/>
        <v>14.40199952602398</v>
      </c>
      <c r="O451" s="606">
        <f t="shared" si="178"/>
        <v>13.695280081496136</v>
      </c>
      <c r="P451" s="606">
        <f t="shared" si="178"/>
        <v>15.162631518799298</v>
      </c>
      <c r="Q451" s="609">
        <f>SUM(E451:P451)</f>
        <v>149.20321346653475</v>
      </c>
      <c r="R451" s="605"/>
      <c r="S451" s="605"/>
      <c r="T451" s="605"/>
    </row>
    <row r="452" spans="3:20" x14ac:dyDescent="0.25">
      <c r="C452" s="813" t="s">
        <v>399</v>
      </c>
      <c r="D452" s="814"/>
      <c r="E452" s="605"/>
      <c r="F452" s="605"/>
      <c r="G452" s="605"/>
      <c r="H452" s="605"/>
      <c r="I452" s="605"/>
      <c r="J452" s="605"/>
      <c r="K452" s="605"/>
      <c r="L452" s="605"/>
      <c r="M452" s="605"/>
      <c r="N452" s="605"/>
      <c r="O452" s="605"/>
      <c r="P452" s="605"/>
      <c r="Q452" s="605"/>
      <c r="R452" s="605"/>
      <c r="S452" s="605"/>
      <c r="T452" s="605"/>
    </row>
    <row r="453" spans="3:20" x14ac:dyDescent="0.25">
      <c r="C453" s="607" t="s">
        <v>400</v>
      </c>
      <c r="D453" s="607" t="s">
        <v>400</v>
      </c>
      <c r="E453" s="606">
        <f>SUM('[5]TGNPDCL MoD'!AJ20:AJ22)</f>
        <v>66.503844663380022</v>
      </c>
      <c r="F453" s="606">
        <f>SUM('[5]TGNPDCL MoD'!AK20:AK22)</f>
        <v>37.580145657807343</v>
      </c>
      <c r="G453" s="606">
        <f>SUM('[5]TGNPDCL MoD'!AL20:AL22)</f>
        <v>12.728759013128293</v>
      </c>
      <c r="H453" s="606">
        <f>SUM('[5]TGNPDCL MoD'!AM20:AM22)</f>
        <v>40.760004136544879</v>
      </c>
      <c r="I453" s="606">
        <f>SUM('[5]TGNPDCL MoD'!AN20:AN22)</f>
        <v>64.77306314755225</v>
      </c>
      <c r="J453" s="606">
        <f>SUM('[5]TGNPDCL MoD'!AO20:AO22)</f>
        <v>51.590115432754097</v>
      </c>
      <c r="K453" s="606">
        <f>SUM('[5]TGNPDCL MoD'!AP20:AP22)</f>
        <v>71.493607062659805</v>
      </c>
      <c r="L453" s="606">
        <f>SUM('[5]TGNPDCL MoD'!AQ20:AQ22)</f>
        <v>0</v>
      </c>
      <c r="M453" s="606">
        <f>SUM('[5]TGNPDCL MoD'!AR20:AR22)</f>
        <v>56.342280303017972</v>
      </c>
      <c r="N453" s="606">
        <f>SUM('[5]TGNPDCL MoD'!AS20:AS22)</f>
        <v>57.933796386994267</v>
      </c>
      <c r="O453" s="606">
        <f>SUM('[5]TGNPDCL MoD'!AT20:AT22)</f>
        <v>63.210867393240406</v>
      </c>
      <c r="P453" s="606">
        <f>SUM('[5]TGNPDCL MoD'!AU20:AU22)</f>
        <v>76.556229547766407</v>
      </c>
      <c r="Q453" s="606">
        <f>SUM(E453:P453)</f>
        <v>599.47271274484581</v>
      </c>
      <c r="R453" s="605"/>
      <c r="S453" s="605"/>
      <c r="T453" s="605"/>
    </row>
    <row r="454" spans="3:20" x14ac:dyDescent="0.25">
      <c r="C454" s="607" t="s">
        <v>401</v>
      </c>
      <c r="D454" s="607" t="s">
        <v>401</v>
      </c>
      <c r="E454" s="607">
        <v>0</v>
      </c>
      <c r="F454" s="607">
        <v>0</v>
      </c>
      <c r="G454" s="607">
        <v>0</v>
      </c>
      <c r="H454" s="607">
        <v>0</v>
      </c>
      <c r="I454" s="607">
        <v>0</v>
      </c>
      <c r="J454" s="607">
        <v>0</v>
      </c>
      <c r="K454" s="607">
        <v>0</v>
      </c>
      <c r="L454" s="607">
        <v>0</v>
      </c>
      <c r="M454" s="607">
        <v>0</v>
      </c>
      <c r="N454" s="607">
        <v>0</v>
      </c>
      <c r="O454" s="607">
        <v>0</v>
      </c>
      <c r="P454" s="607">
        <v>0</v>
      </c>
      <c r="Q454" s="607">
        <v>0</v>
      </c>
      <c r="R454" s="605"/>
      <c r="S454" s="605"/>
      <c r="T454" s="605"/>
    </row>
    <row r="455" spans="3:20" x14ac:dyDescent="0.25">
      <c r="C455" s="607" t="s">
        <v>402</v>
      </c>
      <c r="D455" s="607" t="s">
        <v>402</v>
      </c>
      <c r="E455" s="607">
        <v>0</v>
      </c>
      <c r="F455" s="607">
        <v>0</v>
      </c>
      <c r="G455" s="607">
        <v>0</v>
      </c>
      <c r="H455" s="607">
        <v>0</v>
      </c>
      <c r="I455" s="607">
        <v>0</v>
      </c>
      <c r="J455" s="607">
        <v>0</v>
      </c>
      <c r="K455" s="607">
        <v>0</v>
      </c>
      <c r="L455" s="607">
        <v>0</v>
      </c>
      <c r="M455" s="607">
        <v>0</v>
      </c>
      <c r="N455" s="607">
        <v>0</v>
      </c>
      <c r="O455" s="607">
        <v>0</v>
      </c>
      <c r="P455" s="607">
        <v>0</v>
      </c>
      <c r="Q455" s="607">
        <v>0</v>
      </c>
      <c r="R455" s="605"/>
      <c r="S455" s="605"/>
      <c r="T455" s="605"/>
    </row>
    <row r="456" spans="3:20" x14ac:dyDescent="0.25">
      <c r="C456" s="607"/>
      <c r="D456" s="607"/>
      <c r="E456" s="607"/>
      <c r="F456" s="607"/>
      <c r="G456" s="607"/>
      <c r="H456" s="607"/>
      <c r="I456" s="607"/>
      <c r="J456" s="607"/>
      <c r="K456" s="607"/>
      <c r="L456" s="607"/>
      <c r="M456" s="607"/>
      <c r="N456" s="607"/>
      <c r="O456" s="607"/>
      <c r="P456" s="607"/>
      <c r="Q456" s="607">
        <f t="shared" ref="Q456:Q461" si="179">SUM(E456:P456)</f>
        <v>0</v>
      </c>
      <c r="R456" s="605"/>
      <c r="S456" s="605"/>
      <c r="T456" s="605"/>
    </row>
    <row r="457" spans="3:20" x14ac:dyDescent="0.25">
      <c r="C457" s="607"/>
      <c r="D457" s="607"/>
      <c r="E457" s="607"/>
      <c r="F457" s="607"/>
      <c r="G457" s="607"/>
      <c r="H457" s="607"/>
      <c r="I457" s="607"/>
      <c r="J457" s="607"/>
      <c r="K457" s="607"/>
      <c r="L457" s="607"/>
      <c r="M457" s="607"/>
      <c r="N457" s="607"/>
      <c r="O457" s="607"/>
      <c r="P457" s="607"/>
      <c r="Q457" s="607">
        <f t="shared" si="179"/>
        <v>0</v>
      </c>
      <c r="R457" s="605"/>
      <c r="S457" s="605"/>
      <c r="T457" s="605"/>
    </row>
    <row r="458" spans="3:20" x14ac:dyDescent="0.25">
      <c r="C458" s="607"/>
      <c r="D458" s="607"/>
      <c r="E458" s="607"/>
      <c r="F458" s="607"/>
      <c r="G458" s="607"/>
      <c r="H458" s="607"/>
      <c r="I458" s="607"/>
      <c r="J458" s="607"/>
      <c r="K458" s="607"/>
      <c r="L458" s="607"/>
      <c r="M458" s="607"/>
      <c r="N458" s="607"/>
      <c r="O458" s="607"/>
      <c r="P458" s="607"/>
      <c r="Q458" s="607">
        <f t="shared" si="179"/>
        <v>0</v>
      </c>
      <c r="R458" s="605"/>
      <c r="S458" s="605"/>
      <c r="T458" s="605"/>
    </row>
    <row r="459" spans="3:20" x14ac:dyDescent="0.25">
      <c r="C459" s="607"/>
      <c r="D459" s="607"/>
      <c r="E459" s="607"/>
      <c r="F459" s="607"/>
      <c r="G459" s="607"/>
      <c r="H459" s="607"/>
      <c r="I459" s="607"/>
      <c r="J459" s="607"/>
      <c r="K459" s="607"/>
      <c r="L459" s="607"/>
      <c r="M459" s="607"/>
      <c r="N459" s="607"/>
      <c r="O459" s="607"/>
      <c r="P459" s="607"/>
      <c r="Q459" s="607">
        <f t="shared" si="179"/>
        <v>0</v>
      </c>
      <c r="R459" s="605"/>
      <c r="S459" s="605"/>
      <c r="T459" s="605"/>
    </row>
    <row r="460" spans="3:20" x14ac:dyDescent="0.25">
      <c r="C460" s="607"/>
      <c r="D460" s="607"/>
      <c r="E460" s="607"/>
      <c r="F460" s="607"/>
      <c r="G460" s="607"/>
      <c r="H460" s="607"/>
      <c r="I460" s="607"/>
      <c r="J460" s="607"/>
      <c r="K460" s="607"/>
      <c r="L460" s="607"/>
      <c r="M460" s="607"/>
      <c r="N460" s="607"/>
      <c r="O460" s="607"/>
      <c r="P460" s="607"/>
      <c r="Q460" s="607">
        <f t="shared" si="179"/>
        <v>0</v>
      </c>
      <c r="R460" s="605"/>
      <c r="S460" s="605"/>
      <c r="T460" s="605"/>
    </row>
    <row r="461" spans="3:20" x14ac:dyDescent="0.25">
      <c r="C461" s="811" t="s">
        <v>403</v>
      </c>
      <c r="D461" s="812"/>
      <c r="E461" s="606">
        <f t="shared" ref="E461:P461" si="180">SUM(E453:E460)</f>
        <v>66.503844663380022</v>
      </c>
      <c r="F461" s="606">
        <f t="shared" si="180"/>
        <v>37.580145657807343</v>
      </c>
      <c r="G461" s="606">
        <f t="shared" si="180"/>
        <v>12.728759013128293</v>
      </c>
      <c r="H461" s="606">
        <f t="shared" si="180"/>
        <v>40.760004136544879</v>
      </c>
      <c r="I461" s="606">
        <f t="shared" si="180"/>
        <v>64.77306314755225</v>
      </c>
      <c r="J461" s="606">
        <f t="shared" si="180"/>
        <v>51.590115432754097</v>
      </c>
      <c r="K461" s="606">
        <f t="shared" si="180"/>
        <v>71.493607062659805</v>
      </c>
      <c r="L461" s="606">
        <f t="shared" si="180"/>
        <v>0</v>
      </c>
      <c r="M461" s="606">
        <f t="shared" si="180"/>
        <v>56.342280303017972</v>
      </c>
      <c r="N461" s="606">
        <f t="shared" si="180"/>
        <v>57.933796386994267</v>
      </c>
      <c r="O461" s="606">
        <f t="shared" si="180"/>
        <v>63.210867393240406</v>
      </c>
      <c r="P461" s="606">
        <f t="shared" si="180"/>
        <v>76.556229547766407</v>
      </c>
      <c r="Q461" s="609">
        <f t="shared" si="179"/>
        <v>599.47271274484581</v>
      </c>
      <c r="R461" s="605"/>
      <c r="S461" s="605"/>
      <c r="T461" s="605"/>
    </row>
    <row r="462" spans="3:20" x14ac:dyDescent="0.25">
      <c r="C462" s="813" t="s">
        <v>404</v>
      </c>
      <c r="D462" s="814"/>
      <c r="E462" s="607"/>
      <c r="F462" s="607"/>
      <c r="G462" s="607"/>
      <c r="H462" s="607"/>
      <c r="I462" s="607"/>
      <c r="J462" s="607"/>
      <c r="K462" s="607"/>
      <c r="L462" s="607"/>
      <c r="M462" s="607"/>
      <c r="N462" s="607"/>
      <c r="O462" s="607"/>
      <c r="P462" s="607"/>
      <c r="Q462" s="607"/>
      <c r="R462" s="605"/>
      <c r="S462" s="605"/>
      <c r="T462" s="605"/>
    </row>
    <row r="463" spans="3:20" x14ac:dyDescent="0.25">
      <c r="C463" s="607"/>
      <c r="D463" s="607" t="s">
        <v>405</v>
      </c>
      <c r="E463" s="606">
        <f>'[5]TGNPDCL MoD'!F104*[5]Gen_Cost!$BN359/10</f>
        <v>3.2885878160141005E-2</v>
      </c>
      <c r="F463" s="606">
        <f>'[5]TGNPDCL MoD'!G104*[5]Gen_Cost!$BN359/10</f>
        <v>2.8200827327226397E-2</v>
      </c>
      <c r="G463" s="606">
        <f>'[5]TGNPDCL MoD'!H104*[5]Gen_Cost!$BN359/10</f>
        <v>6.7080261732356053E-2</v>
      </c>
      <c r="H463" s="606">
        <f>'[5]TGNPDCL MoD'!I104*[5]Gen_Cost!$BN359/10</f>
        <v>9.7572389198128218E-2</v>
      </c>
      <c r="I463" s="606">
        <f>'[5]TGNPDCL MoD'!J104*[5]Gen_Cost!$BN359/10</f>
        <v>5.324328278551408E-2</v>
      </c>
      <c r="J463" s="606">
        <f>'[5]TGNPDCL MoD'!K104*[5]Gen_Cost!$BN359/10</f>
        <v>3.9153551382025926E-2</v>
      </c>
      <c r="K463" s="606">
        <f>'[5]TGNPDCL MoD'!L104*[5]Gen_Cost!$BN359/10</f>
        <v>2.3743859718127331E-2</v>
      </c>
      <c r="L463" s="606">
        <f>'[5]TGNPDCL MoD'!M104*[5]Gen_Cost!$BN359/10</f>
        <v>3.2970228715844201E-2</v>
      </c>
      <c r="M463" s="606">
        <f>'[5]TGNPDCL MoD'!N104*[5]Gen_Cost!$BN359/10</f>
        <v>3.7700455862899732E-2</v>
      </c>
      <c r="N463" s="606">
        <f>'[5]TGNPDCL MoD'!O104*[5]Gen_Cost!$BN359/10</f>
        <v>3.646150571898945E-2</v>
      </c>
      <c r="O463" s="606">
        <f>'[5]TGNPDCL MoD'!P104*[5]Gen_Cost!$BN359/10</f>
        <v>2.4999663896198114E-2</v>
      </c>
      <c r="P463" s="606">
        <f>'[5]TGNPDCL MoD'!Q104*[5]Gen_Cost!$BN359/10</f>
        <v>3.2468095502549539E-2</v>
      </c>
      <c r="Q463" s="606">
        <f>SUM(E463:P463)</f>
        <v>0.50648000000000004</v>
      </c>
      <c r="R463" s="605"/>
      <c r="S463" s="605"/>
      <c r="T463" s="605"/>
    </row>
    <row r="464" spans="3:20" x14ac:dyDescent="0.25">
      <c r="C464" s="607"/>
      <c r="D464" s="607" t="s">
        <v>406</v>
      </c>
      <c r="E464" s="606">
        <v>0</v>
      </c>
      <c r="F464" s="606">
        <v>0</v>
      </c>
      <c r="G464" s="606">
        <v>0</v>
      </c>
      <c r="H464" s="606">
        <v>0</v>
      </c>
      <c r="I464" s="606">
        <v>0</v>
      </c>
      <c r="J464" s="606">
        <v>0</v>
      </c>
      <c r="K464" s="606">
        <v>0</v>
      </c>
      <c r="L464" s="606">
        <v>0</v>
      </c>
      <c r="M464" s="606">
        <v>0</v>
      </c>
      <c r="N464" s="606">
        <v>0</v>
      </c>
      <c r="O464" s="606">
        <v>0</v>
      </c>
      <c r="P464" s="606">
        <v>0</v>
      </c>
      <c r="Q464" s="606">
        <v>0</v>
      </c>
      <c r="R464" s="605"/>
      <c r="S464" s="605"/>
      <c r="T464" s="605"/>
    </row>
    <row r="465" spans="3:20" x14ac:dyDescent="0.25">
      <c r="C465" s="607"/>
      <c r="D465" s="607" t="s">
        <v>407</v>
      </c>
      <c r="E465" s="606">
        <f>'[5]TGNPDCL MoD'!F101*[5]Gen_Cost!$BN$233/10</f>
        <v>0</v>
      </c>
      <c r="F465" s="606">
        <f>'[5]TGNPDCL MoD'!G101*[5]Gen_Cost!$BN$233/10</f>
        <v>0</v>
      </c>
      <c r="G465" s="606">
        <f>'[5]TGNPDCL MoD'!H101*[5]Gen_Cost!$BN$233/10</f>
        <v>0</v>
      </c>
      <c r="H465" s="606">
        <f>'[5]TGNPDCL MoD'!I101*[5]Gen_Cost!$BN$233/10</f>
        <v>0</v>
      </c>
      <c r="I465" s="606">
        <f>'[5]TGNPDCL MoD'!J101*[5]Gen_Cost!$BN$233/10</f>
        <v>0</v>
      </c>
      <c r="J465" s="606">
        <f>'[5]TGNPDCL MoD'!K101*[5]Gen_Cost!$BN$233/10</f>
        <v>0</v>
      </c>
      <c r="K465" s="606">
        <f>'[5]TGNPDCL MoD'!L101*[5]Gen_Cost!$BN$233/10</f>
        <v>0</v>
      </c>
      <c r="L465" s="606">
        <f>'[5]TGNPDCL MoD'!M101*[5]Gen_Cost!$BN$233/10</f>
        <v>0</v>
      </c>
      <c r="M465" s="606">
        <f>'[5]TGNPDCL MoD'!N101*[5]Gen_Cost!$BN$233/10</f>
        <v>0</v>
      </c>
      <c r="N465" s="606">
        <f>'[5]TGNPDCL MoD'!O101*[5]Gen_Cost!$BN$233/10</f>
        <v>0</v>
      </c>
      <c r="O465" s="606">
        <f>'[5]TGNPDCL MoD'!P101*[5]Gen_Cost!$BN$233/10</f>
        <v>0</v>
      </c>
      <c r="P465" s="606">
        <f>'[5]TGNPDCL MoD'!Q101*[5]Gen_Cost!$BN$233/10</f>
        <v>0</v>
      </c>
      <c r="Q465" s="606">
        <f t="shared" ref="Q465:Q487" si="181">SUM(E465:P465)</f>
        <v>0</v>
      </c>
      <c r="R465" s="605"/>
      <c r="S465" s="605"/>
      <c r="T465" s="605"/>
    </row>
    <row r="466" spans="3:20" x14ac:dyDescent="0.25">
      <c r="C466" s="607"/>
      <c r="D466" s="607" t="s">
        <v>408</v>
      </c>
      <c r="E466" s="606">
        <f>'[5]TGNPDCL MoD'!F102*[5]Gen_Cost!$BN$234/10</f>
        <v>2.024869569505392</v>
      </c>
      <c r="F466" s="606">
        <f>'[5]TGNPDCL MoD'!G102*[5]Gen_Cost!$BN$234/10</f>
        <v>1.4237704246691198</v>
      </c>
      <c r="G466" s="606">
        <f>'[5]TGNPDCL MoD'!H102*[5]Gen_Cost!$BN$234/10</f>
        <v>1.1837874981916685</v>
      </c>
      <c r="H466" s="606">
        <f>'[5]TGNPDCL MoD'!I102*[5]Gen_Cost!$BN$234/10</f>
        <v>1.6715300266256121</v>
      </c>
      <c r="I466" s="606">
        <f>'[5]TGNPDCL MoD'!J102*[5]Gen_Cost!$BN$234/10</f>
        <v>1.6715300266256121</v>
      </c>
      <c r="J466" s="606">
        <f>'[5]TGNPDCL MoD'!K102*[5]Gen_Cost!$BN$234/10</f>
        <v>1.1915603484491268</v>
      </c>
      <c r="K466" s="606">
        <f>'[5]TGNPDCL MoD'!L102*[5]Gen_Cost!$BN$234/10</f>
        <v>1.6715300266256121</v>
      </c>
      <c r="L466" s="606">
        <f>'[5]TGNPDCL MoD'!M102*[5]Gen_Cost!$BN$234/10</f>
        <v>1.5705970923892241</v>
      </c>
      <c r="M466" s="606">
        <f>'[5]TGNPDCL MoD'!N102*[5]Gen_Cost!$BN$234/10</f>
        <v>2.5632529314080452</v>
      </c>
      <c r="N466" s="606">
        <f>'[5]TGNPDCL MoD'!O102*[5]Gen_Cost!$BN$234/10</f>
        <v>2.6060839374773184</v>
      </c>
      <c r="O466" s="606">
        <f>'[5]TGNPDCL MoD'!P102*[5]Gen_Cost!$BN$234/10</f>
        <v>2.7487965793844813</v>
      </c>
      <c r="P466" s="606">
        <f>'[5]TGNPDCL MoD'!Q102*[5]Gen_Cost!$BN$234/10</f>
        <v>2.7604227028502786</v>
      </c>
      <c r="Q466" s="606">
        <f t="shared" si="181"/>
        <v>23.087731164201493</v>
      </c>
      <c r="R466" s="605"/>
      <c r="S466" s="605"/>
      <c r="T466" s="605"/>
    </row>
    <row r="467" spans="3:20" x14ac:dyDescent="0.25">
      <c r="C467" s="607"/>
      <c r="D467" s="607" t="s">
        <v>409</v>
      </c>
      <c r="E467" s="606">
        <f>SUM('[5]TGNPDCL MoD'!F99:F100)*[5]Gen_Cost!$BN$235/10</f>
        <v>0</v>
      </c>
      <c r="F467" s="606">
        <f>SUM('[5]TGNPDCL MoD'!G99:G100)*[5]Gen_Cost!$BN$235/10</f>
        <v>0</v>
      </c>
      <c r="G467" s="606">
        <f>SUM('[5]TGNPDCL MoD'!H99:H100)*[5]Gen_Cost!$BN$235/10</f>
        <v>0</v>
      </c>
      <c r="H467" s="606">
        <f>SUM('[5]TGNPDCL MoD'!I99:I100)*[5]Gen_Cost!$BN$235/10</f>
        <v>0</v>
      </c>
      <c r="I467" s="606">
        <f>SUM('[5]TGNPDCL MoD'!J99:J100)*[5]Gen_Cost!$BN$235/10</f>
        <v>0</v>
      </c>
      <c r="J467" s="606">
        <f>SUM('[5]TGNPDCL MoD'!K99:K100)*[5]Gen_Cost!$BN$235/10</f>
        <v>0</v>
      </c>
      <c r="K467" s="606">
        <f>SUM('[5]TGNPDCL MoD'!L99:L100)*[5]Gen_Cost!$BN$235/10</f>
        <v>0</v>
      </c>
      <c r="L467" s="606">
        <f>SUM('[5]TGNPDCL MoD'!M99:M100)*[5]Gen_Cost!$BN$235/10</f>
        <v>0</v>
      </c>
      <c r="M467" s="606">
        <f>SUM('[5]TGNPDCL MoD'!N99:N100)*[5]Gen_Cost!$BN$235/10</f>
        <v>0</v>
      </c>
      <c r="N467" s="606">
        <f>SUM('[5]TGNPDCL MoD'!O99:O100)*[5]Gen_Cost!$BN$235/10</f>
        <v>0</v>
      </c>
      <c r="O467" s="606">
        <f>SUM('[5]TGNPDCL MoD'!P99:P100)*[5]Gen_Cost!$BN$235/10</f>
        <v>0</v>
      </c>
      <c r="P467" s="606">
        <f>SUM('[5]TGNPDCL MoD'!Q99:Q100)*[5]Gen_Cost!$BN$235/10</f>
        <v>0</v>
      </c>
      <c r="Q467" s="606">
        <f t="shared" si="181"/>
        <v>0</v>
      </c>
      <c r="R467" s="605"/>
      <c r="S467" s="605"/>
      <c r="T467" s="605"/>
    </row>
    <row r="468" spans="3:20" x14ac:dyDescent="0.25">
      <c r="C468" s="607"/>
      <c r="D468" s="607" t="s">
        <v>367</v>
      </c>
      <c r="E468" s="606">
        <f>'[5]TGNPDCL MoD'!F103*[5]Gen_Cost!$BN$236/10</f>
        <v>5.3400464278792522E-3</v>
      </c>
      <c r="F468" s="606">
        <f>'[5]TGNPDCL MoD'!G103*[5]Gen_Cost!$BN$236/10</f>
        <v>5.7222249201296978E-3</v>
      </c>
      <c r="G468" s="606">
        <f>'[5]TGNPDCL MoD'!H103*[5]Gen_Cost!$BN$236/10</f>
        <v>5.9285021118214857E-3</v>
      </c>
      <c r="H468" s="606">
        <f>'[5]TGNPDCL MoD'!I103*[5]Gen_Cost!$BN$236/10</f>
        <v>1.2961044991452309E-2</v>
      </c>
      <c r="I468" s="606">
        <f>'[5]TGNPDCL MoD'!J103*[5]Gen_Cost!$BN$236/10</f>
        <v>3.0430167587268325E-2</v>
      </c>
      <c r="J468" s="606">
        <f>'[5]TGNPDCL MoD'!K103*[5]Gen_Cost!$BN$236/10</f>
        <v>1.5369254218569439E-2</v>
      </c>
      <c r="K468" s="606">
        <f>'[5]TGNPDCL MoD'!L103*[5]Gen_Cost!$BN$236/10</f>
        <v>1.6940805859191069E-2</v>
      </c>
      <c r="L468" s="606">
        <f>'[5]TGNPDCL MoD'!M103*[5]Gen_Cost!$BN$236/10</f>
        <v>5.810346248556671E-3</v>
      </c>
      <c r="M468" s="606">
        <f>'[5]TGNPDCL MoD'!N103*[5]Gen_Cost!$BN$236/10</f>
        <v>9.9676779838010973E-3</v>
      </c>
      <c r="N468" s="606">
        <f>'[5]TGNPDCL MoD'!O103*[5]Gen_Cost!$BN$236/10</f>
        <v>1.9019700770194166E-2</v>
      </c>
      <c r="O468" s="606">
        <f>'[5]TGNPDCL MoD'!P103*[5]Gen_Cost!$BN$236/10</f>
        <v>1.7081817601336376E-2</v>
      </c>
      <c r="P468" s="606">
        <f>'[5]TGNPDCL MoD'!Q103*[5]Gen_Cost!$BN$236/10</f>
        <v>7.9345521248705107E-3</v>
      </c>
      <c r="Q468" s="606">
        <f t="shared" si="181"/>
        <v>0.15250614084507039</v>
      </c>
      <c r="R468" s="605"/>
      <c r="S468" s="605"/>
      <c r="T468" s="605"/>
    </row>
    <row r="469" spans="3:20" x14ac:dyDescent="0.25">
      <c r="C469" s="607"/>
      <c r="D469" s="607" t="s">
        <v>410</v>
      </c>
      <c r="E469" s="617">
        <f>'[5]TGNPDCL MoD'!F114*[5]Gen_Cost!$BN237/10</f>
        <v>109.43983854157707</v>
      </c>
      <c r="F469" s="617">
        <f>'[5]TGNPDCL MoD'!G114*[5]Gen_Cost!$BN237/10</f>
        <v>112.84991203377596</v>
      </c>
      <c r="G469" s="617">
        <f>'[5]TGNPDCL MoD'!H114*[5]Gen_Cost!$BN237/10</f>
        <v>105.65581368307501</v>
      </c>
      <c r="H469" s="617">
        <f>'[5]TGNPDCL MoD'!I114*[5]Gen_Cost!$BN237/10</f>
        <v>82.751047446622664</v>
      </c>
      <c r="I469" s="617">
        <f>'[5]TGNPDCL MoD'!J114*[5]Gen_Cost!$BN237/10</f>
        <v>101.77795324245749</v>
      </c>
      <c r="J469" s="617">
        <f>'[5]TGNPDCL MoD'!K114*[5]Gen_Cost!$BN237/10</f>
        <v>89.713984685927571</v>
      </c>
      <c r="K469" s="617">
        <f>'[5]TGNPDCL MoD'!L114*[5]Gen_Cost!$BN237/10</f>
        <v>109.98729483601862</v>
      </c>
      <c r="L469" s="617">
        <f>'[5]TGNPDCL MoD'!M114*[5]Gen_Cost!$BN237/10</f>
        <v>84.808049679395296</v>
      </c>
      <c r="M469" s="617">
        <f>'[5]TGNPDCL MoD'!N114*[5]Gen_Cost!$BN237/10</f>
        <v>92.968301959797685</v>
      </c>
      <c r="N469" s="617">
        <f>'[5]TGNPDCL MoD'!O114*[5]Gen_Cost!$BN237/10</f>
        <v>99.117827095447922</v>
      </c>
      <c r="O469" s="617">
        <f>'[5]TGNPDCL MoD'!P114*[5]Gen_Cost!$BN237/10</f>
        <v>101.73810916659467</v>
      </c>
      <c r="P469" s="617">
        <f>'[5]TGNPDCL MoD'!Q114*[5]Gen_Cost!$BN237/10</f>
        <v>109.09187292497722</v>
      </c>
      <c r="Q469" s="617">
        <f t="shared" si="181"/>
        <v>1199.9000052956671</v>
      </c>
      <c r="R469" s="605"/>
      <c r="S469" s="605"/>
      <c r="T469" s="605"/>
    </row>
    <row r="470" spans="3:20" x14ac:dyDescent="0.25">
      <c r="C470" s="607"/>
      <c r="D470" s="607" t="s">
        <v>411</v>
      </c>
      <c r="E470" s="606">
        <f>'[5]TGNPDCL MoD'!F107*[5]Gen_Cost!$BN$242/10</f>
        <v>5.153137348473102</v>
      </c>
      <c r="F470" s="606">
        <f>'[5]TGNPDCL MoD'!G107*[5]Gen_Cost!$BN$242/10</f>
        <v>5.3137057238276784</v>
      </c>
      <c r="G470" s="606">
        <f>'[5]TGNPDCL MoD'!H107*[5]Gen_Cost!$BN$242/10</f>
        <v>4.9749609176070289</v>
      </c>
      <c r="H470" s="606">
        <f>'[5]TGNPDCL MoD'!I107*[5]Gen_Cost!$BN$242/10</f>
        <v>3.8964559789665416</v>
      </c>
      <c r="I470" s="606">
        <f>'[5]TGNPDCL MoD'!J107*[5]Gen_Cost!$BN$242/10</f>
        <v>4.7923660989832708</v>
      </c>
      <c r="J470" s="606">
        <f>'[5]TGNPDCL MoD'!K107*[5]Gen_Cost!$BN$242/10</f>
        <v>4.2243162209140372</v>
      </c>
      <c r="K470" s="606">
        <f>'[5]TGNPDCL MoD'!L107*[5]Gen_Cost!$BN$242/10</f>
        <v>5.1789151412324692</v>
      </c>
      <c r="L470" s="606">
        <f>'[5]TGNPDCL MoD'!M107*[5]Gen_Cost!$BN$242/10</f>
        <v>3.9933129843573725</v>
      </c>
      <c r="M470" s="606">
        <f>'[5]TGNPDCL MoD'!N107*[5]Gen_Cost!$BN$242/10</f>
        <v>4.377550583384247</v>
      </c>
      <c r="N470" s="606">
        <f>'[5]TGNPDCL MoD'!O107*[5]Gen_Cost!$BN$242/10</f>
        <v>4.6671101082720163</v>
      </c>
      <c r="O470" s="606">
        <f>'[5]TGNPDCL MoD'!P107*[5]Gen_Cost!$BN$242/10</f>
        <v>4.7904899814909552</v>
      </c>
      <c r="P470" s="606">
        <f>'[5]TGNPDCL MoD'!Q107*[5]Gen_Cost!$BN$242/10</f>
        <v>5.136752870582959</v>
      </c>
      <c r="Q470" s="606">
        <f t="shared" si="181"/>
        <v>56.499073958091685</v>
      </c>
      <c r="R470" s="605"/>
      <c r="S470" s="605"/>
      <c r="T470" s="605"/>
    </row>
    <row r="471" spans="3:20" x14ac:dyDescent="0.25">
      <c r="C471" s="607"/>
      <c r="D471" s="607" t="s">
        <v>412</v>
      </c>
      <c r="E471" s="606">
        <f>'[5]TGNPDCL MoD'!F108*[5]Gen_Cost!$BN$243/10</f>
        <v>11.775923573320409</v>
      </c>
      <c r="F471" s="606">
        <f>'[5]TGNPDCL MoD'!G108*[5]Gen_Cost!$BN$243/10</f>
        <v>12.142853617796707</v>
      </c>
      <c r="G471" s="606">
        <f>'[5]TGNPDCL MoD'!H108*[5]Gen_Cost!$BN$243/10</f>
        <v>11.368755688872772</v>
      </c>
      <c r="H471" s="606">
        <f>'[5]TGNPDCL MoD'!I108*[5]Gen_Cost!$BN$243/10</f>
        <v>8.9041616227661944</v>
      </c>
      <c r="I471" s="606">
        <f>'[5]TGNPDCL MoD'!J108*[5]Gen_Cost!$BN$243/10</f>
        <v>10.951490926924444</v>
      </c>
      <c r="J471" s="606">
        <f>'[5]TGNPDCL MoD'!K108*[5]Gen_Cost!$BN$243/10</f>
        <v>9.6533862001099457</v>
      </c>
      <c r="K471" s="606">
        <f>'[5]TGNPDCL MoD'!L108*[5]Gen_Cost!$BN$243/10</f>
        <v>11.834830855796229</v>
      </c>
      <c r="L471" s="606">
        <f>'[5]TGNPDCL MoD'!M108*[5]Gen_Cost!$BN$243/10</f>
        <v>9.125498764762046</v>
      </c>
      <c r="M471" s="606">
        <f>'[5]TGNPDCL MoD'!N108*[5]Gen_Cost!$BN$243/10</f>
        <v>10.003556595197578</v>
      </c>
      <c r="N471" s="606">
        <f>'[5]TGNPDCL MoD'!O108*[5]Gen_Cost!$BN$243/10</f>
        <v>10.665256566384199</v>
      </c>
      <c r="O471" s="606">
        <f>'[5]TGNPDCL MoD'!P108*[5]Gen_Cost!$BN$243/10</f>
        <v>10.947203632658816</v>
      </c>
      <c r="P471" s="606">
        <f>'[5]TGNPDCL MoD'!Q108*[5]Gen_Cost!$BN$243/10</f>
        <v>11.738481846780703</v>
      </c>
      <c r="Q471" s="606">
        <f t="shared" si="181"/>
        <v>129.11139989137004</v>
      </c>
      <c r="R471" s="605"/>
      <c r="S471" s="605"/>
      <c r="T471" s="605"/>
    </row>
    <row r="472" spans="3:20" x14ac:dyDescent="0.25">
      <c r="C472" s="607"/>
      <c r="D472" s="607" t="s">
        <v>413</v>
      </c>
      <c r="E472" s="617">
        <f>'[5]TGNPDCL MoD'!F109*[5]Gen_Cost!$BN$240/10</f>
        <v>10.204584694134279</v>
      </c>
      <c r="F472" s="617">
        <f>'[5]TGNPDCL MoD'!G109*[5]Gen_Cost!$BN$240/10</f>
        <v>10.522552851142713</v>
      </c>
      <c r="G472" s="617">
        <f>'[5]TGNPDCL MoD'!H109*[5]Gen_Cost!$BN$240/10</f>
        <v>9.8517478966035181</v>
      </c>
      <c r="H472" s="617">
        <f>'[5]TGNPDCL MoD'!I109*[5]Gen_Cost!$BN$240/10</f>
        <v>7.7160208151858312</v>
      </c>
      <c r="I472" s="617">
        <f>'[5]TGNPDCL MoD'!J109*[5]Gen_Cost!$BN$240/10</f>
        <v>9.4901615142983129</v>
      </c>
      <c r="J472" s="617">
        <f>'[5]TGNPDCL MoD'!K109*[5]Gen_Cost!$BN$240/10</f>
        <v>8.3652714329253151</v>
      </c>
      <c r="K472" s="617">
        <f>'[5]TGNPDCL MoD'!L109*[5]Gen_Cost!$BN$240/10</f>
        <v>10.255631590743537</v>
      </c>
      <c r="L472" s="617">
        <f>'[5]TGNPDCL MoD'!M109*[5]Gen_Cost!$BN$240/10</f>
        <v>7.907823487595449</v>
      </c>
      <c r="M472" s="617">
        <f>'[5]TGNPDCL MoD'!N109*[5]Gen_Cost!$BN$240/10</f>
        <v>8.6687162907151531</v>
      </c>
      <c r="N472" s="617">
        <f>'[5]TGNPDCL MoD'!O109*[5]Gen_Cost!$BN$240/10</f>
        <v>9.242121285749116</v>
      </c>
      <c r="O472" s="617">
        <f>'[5]TGNPDCL MoD'!P109*[5]Gen_Cost!$BN$240/10</f>
        <v>9.4864463018846248</v>
      </c>
      <c r="P472" s="617">
        <f>'[5]TGNPDCL MoD'!Q109*[5]Gen_Cost!$BN$240/10</f>
        <v>10.172139063251052</v>
      </c>
      <c r="Q472" s="617">
        <f t="shared" si="181"/>
        <v>111.8832172242289</v>
      </c>
      <c r="R472" s="605"/>
      <c r="S472" s="605"/>
      <c r="T472" s="605"/>
    </row>
    <row r="473" spans="3:20" x14ac:dyDescent="0.25">
      <c r="C473" s="607"/>
      <c r="D473" s="607" t="s">
        <v>414</v>
      </c>
      <c r="E473" s="606">
        <f>'[5]TGNPDCL MoD'!F110*[5]Gen_Cost!$BN$239/10</f>
        <v>24.284975065422447</v>
      </c>
      <c r="F473" s="606">
        <f>'[5]TGNPDCL MoD'!G110*[5]Gen_Cost!$BN$239/10</f>
        <v>25.041678938828163</v>
      </c>
      <c r="G473" s="606">
        <f>'[5]TGNPDCL MoD'!H110*[5]Gen_Cost!$BN$239/10</f>
        <v>23.445290444535978</v>
      </c>
      <c r="H473" s="606">
        <f>'[5]TGNPDCL MoD'!I110*[5]Gen_Cost!$BN$239/10</f>
        <v>18.362665284044215</v>
      </c>
      <c r="I473" s="606">
        <f>'[5]TGNPDCL MoD'!J110*[5]Gen_Cost!$BN$239/10</f>
        <v>22.584783472280094</v>
      </c>
      <c r="J473" s="606">
        <f>'[5]TGNPDCL MoD'!K110*[5]Gen_Cost!$BN$239/10</f>
        <v>19.9077585470828</v>
      </c>
      <c r="K473" s="606">
        <f>'[5]TGNPDCL MoD'!L110*[5]Gen_Cost!$BN$239/10</f>
        <v>24.406456992270058</v>
      </c>
      <c r="L473" s="606">
        <f>'[5]TGNPDCL MoD'!M110*[5]Gen_Cost!$BN$239/10</f>
        <v>18.819119246313392</v>
      </c>
      <c r="M473" s="606">
        <f>'[5]TGNPDCL MoD'!N110*[5]Gen_Cost!$BN$239/10</f>
        <v>20.629899724409963</v>
      </c>
      <c r="N473" s="606">
        <f>'[5]TGNPDCL MoD'!O110*[5]Gen_Cost!$BN$239/10</f>
        <v>21.994494798503744</v>
      </c>
      <c r="O473" s="606">
        <f>'[5]TGNPDCL MoD'!P110*[5]Gen_Cost!$BN$239/10</f>
        <v>22.575941971765037</v>
      </c>
      <c r="P473" s="606">
        <f>'[5]TGNPDCL MoD'!Q110*[5]Gen_Cost!$BN$239/10</f>
        <v>24.207760621072357</v>
      </c>
      <c r="Q473" s="606">
        <f t="shared" si="181"/>
        <v>266.26082510652827</v>
      </c>
      <c r="R473" s="605"/>
      <c r="S473" s="605"/>
      <c r="T473" s="605"/>
    </row>
    <row r="474" spans="3:20" x14ac:dyDescent="0.25">
      <c r="C474" s="607"/>
      <c r="D474" s="607" t="s">
        <v>415</v>
      </c>
      <c r="E474" s="607"/>
      <c r="F474" s="607"/>
      <c r="G474" s="607"/>
      <c r="H474" s="607"/>
      <c r="I474" s="607"/>
      <c r="J474" s="607"/>
      <c r="K474" s="607"/>
      <c r="L474" s="607"/>
      <c r="M474" s="607"/>
      <c r="N474" s="607"/>
      <c r="O474" s="607"/>
      <c r="P474" s="607"/>
      <c r="Q474" s="607">
        <f t="shared" si="181"/>
        <v>0</v>
      </c>
      <c r="R474" s="605"/>
      <c r="S474" s="605"/>
      <c r="T474" s="605"/>
    </row>
    <row r="475" spans="3:20" x14ac:dyDescent="0.25">
      <c r="C475" s="607"/>
      <c r="D475" s="607" t="s">
        <v>416</v>
      </c>
      <c r="E475" s="606">
        <f>[5]Gen_Cost!$BN238*'[5]TGNPDCL MoD'!F112/10</f>
        <v>29.683862107382065</v>
      </c>
      <c r="F475" s="606">
        <f>[5]Gen_Cost!$BN238*'[5]TGNPDCL MoD'!G112/10</f>
        <v>30.608791755190481</v>
      </c>
      <c r="G475" s="606">
        <f>[5]Gen_Cost!$BN238*'[5]TGNPDCL MoD'!H112/10</f>
        <v>28.657503940122826</v>
      </c>
      <c r="H475" s="606">
        <f>[5]Gen_Cost!$BN238*'[5]TGNPDCL MoD'!I112/10</f>
        <v>22.444940657636142</v>
      </c>
      <c r="I475" s="606">
        <f>[5]Gen_Cost!$BN238*'[5]TGNPDCL MoD'!J112/10</f>
        <v>27.6056943237624</v>
      </c>
      <c r="J475" s="606">
        <f>[5]Gen_Cost!$BN238*'[5]TGNPDCL MoD'!K112/10</f>
        <v>24.333529599544718</v>
      </c>
      <c r="K475" s="606">
        <f>[5]Gen_Cost!$BN238*'[5]TGNPDCL MoD'!L112/10</f>
        <v>29.832351152784376</v>
      </c>
      <c r="L475" s="606">
        <f>[5]Gen_Cost!$BN238*'[5]TGNPDCL MoD'!M112/10</f>
        <v>23.0028706714766</v>
      </c>
      <c r="M475" s="606">
        <f>[5]Gen_Cost!$BN238*'[5]TGNPDCL MoD'!N112/10</f>
        <v>25.216212784192628</v>
      </c>
      <c r="N475" s="606">
        <f>[5]Gen_Cost!$BN238*'[5]TGNPDCL MoD'!O112/10</f>
        <v>26.88417628436877</v>
      </c>
      <c r="O475" s="606">
        <f>[5]Gen_Cost!$BN238*'[5]TGNPDCL MoD'!P112/10</f>
        <v>27.594887234959362</v>
      </c>
      <c r="P475" s="606">
        <f>[5]Gen_Cost!$BN238*'[5]TGNPDCL MoD'!Q112/10</f>
        <v>29.58948182028637</v>
      </c>
      <c r="Q475" s="606">
        <f t="shared" si="181"/>
        <v>325.45430233170674</v>
      </c>
      <c r="R475" s="605"/>
      <c r="S475" s="605"/>
      <c r="T475" s="605"/>
    </row>
    <row r="476" spans="3:20" x14ac:dyDescent="0.25">
      <c r="C476" s="607"/>
      <c r="D476" s="607" t="s">
        <v>417</v>
      </c>
      <c r="E476" s="606">
        <f>'[5]TGNPDCL MoD'!F113*[5]Gen_Cost!$BN241/10</f>
        <v>15.191289249105386</v>
      </c>
      <c r="F476" s="606">
        <f>'[5]TGNPDCL MoD'!G113*[5]Gen_Cost!$BN241/10</f>
        <v>15.664639844930869</v>
      </c>
      <c r="G476" s="606">
        <f>'[5]TGNPDCL MoD'!H113*[5]Gen_Cost!$BN241/10</f>
        <v>14.666030651163737</v>
      </c>
      <c r="H476" s="606">
        <f>'[5]TGNPDCL MoD'!I113*[5]Gen_Cost!$BN241/10</f>
        <v>11.486631506227123</v>
      </c>
      <c r="I476" s="606">
        <f>'[5]TGNPDCL MoD'!J113*[5]Gen_Cost!$BN241/10</f>
        <v>14.127746783002658</v>
      </c>
      <c r="J476" s="606">
        <f>'[5]TGNPDCL MoD'!K113*[5]Gen_Cost!$BN241/10</f>
        <v>12.453153341741924</v>
      </c>
      <c r="K476" s="606">
        <f>'[5]TGNPDCL MoD'!L113*[5]Gen_Cost!$BN241/10</f>
        <v>15.267281383513971</v>
      </c>
      <c r="L476" s="606">
        <f>'[5]TGNPDCL MoD'!M113*[5]Gen_Cost!$BN241/10</f>
        <v>11.772162957301346</v>
      </c>
      <c r="M476" s="606">
        <f>'[5]TGNPDCL MoD'!N113*[5]Gen_Cost!$BN241/10</f>
        <v>12.904883494806246</v>
      </c>
      <c r="N476" s="606">
        <f>'[5]TGNPDCL MoD'!O113*[5]Gen_Cost!$BN241/10</f>
        <v>13.7584960030595</v>
      </c>
      <c r="O476" s="606">
        <f>'[5]TGNPDCL MoD'!P113*[5]Gen_Cost!$BN241/10</f>
        <v>14.122216046761068</v>
      </c>
      <c r="P476" s="606">
        <f>'[5]TGNPDCL MoD'!Q113*[5]Gen_Cost!$BN241/10</f>
        <v>15.142988315908166</v>
      </c>
      <c r="Q476" s="606">
        <f t="shared" si="181"/>
        <v>166.55751957752199</v>
      </c>
      <c r="R476" s="605"/>
      <c r="S476" s="605"/>
      <c r="T476" s="605"/>
    </row>
    <row r="477" spans="3:20" x14ac:dyDescent="0.25">
      <c r="C477" s="607"/>
      <c r="D477" s="622" t="s">
        <v>418</v>
      </c>
      <c r="E477" s="607"/>
      <c r="F477" s="607"/>
      <c r="G477" s="607"/>
      <c r="H477" s="607"/>
      <c r="I477" s="607"/>
      <c r="J477" s="607"/>
      <c r="K477" s="607"/>
      <c r="L477" s="607"/>
      <c r="M477" s="607"/>
      <c r="N477" s="607"/>
      <c r="O477" s="607"/>
      <c r="P477" s="607"/>
      <c r="Q477" s="607">
        <f t="shared" si="181"/>
        <v>0</v>
      </c>
      <c r="R477" s="605"/>
      <c r="S477" s="605"/>
      <c r="T477" s="605"/>
    </row>
    <row r="478" spans="3:20" x14ac:dyDescent="0.25">
      <c r="C478" s="607"/>
      <c r="D478" s="622" t="s">
        <v>419</v>
      </c>
      <c r="E478" s="607"/>
      <c r="F478" s="607"/>
      <c r="G478" s="607"/>
      <c r="H478" s="607"/>
      <c r="I478" s="607"/>
      <c r="J478" s="607"/>
      <c r="K478" s="607"/>
      <c r="L478" s="607"/>
      <c r="M478" s="607"/>
      <c r="N478" s="607"/>
      <c r="O478" s="607"/>
      <c r="P478" s="607"/>
      <c r="Q478" s="607">
        <f t="shared" si="181"/>
        <v>0</v>
      </c>
      <c r="R478" s="605"/>
      <c r="S478" s="605"/>
      <c r="T478" s="605"/>
    </row>
    <row r="479" spans="3:20" x14ac:dyDescent="0.25">
      <c r="C479" s="607"/>
      <c r="D479" s="607"/>
      <c r="E479" s="607"/>
      <c r="F479" s="607"/>
      <c r="G479" s="607"/>
      <c r="H479" s="607"/>
      <c r="I479" s="607"/>
      <c r="J479" s="607"/>
      <c r="K479" s="607"/>
      <c r="L479" s="607"/>
      <c r="M479" s="607"/>
      <c r="N479" s="607"/>
      <c r="O479" s="607"/>
      <c r="P479" s="607"/>
      <c r="Q479" s="607">
        <f t="shared" si="181"/>
        <v>0</v>
      </c>
      <c r="R479" s="605"/>
      <c r="S479" s="605"/>
      <c r="T479" s="605"/>
    </row>
    <row r="480" spans="3:20" hidden="1" x14ac:dyDescent="0.25">
      <c r="C480" s="607"/>
      <c r="D480" s="607"/>
      <c r="E480" s="607"/>
      <c r="F480" s="607"/>
      <c r="G480" s="607"/>
      <c r="H480" s="607"/>
      <c r="I480" s="607"/>
      <c r="J480" s="607"/>
      <c r="K480" s="607"/>
      <c r="L480" s="607"/>
      <c r="M480" s="607"/>
      <c r="N480" s="607"/>
      <c r="O480" s="607"/>
      <c r="P480" s="607"/>
      <c r="Q480" s="607">
        <f t="shared" si="181"/>
        <v>0</v>
      </c>
      <c r="R480" s="605"/>
      <c r="S480" s="605"/>
      <c r="T480" s="605"/>
    </row>
    <row r="481" spans="3:20" hidden="1" x14ac:dyDescent="0.25">
      <c r="C481" s="607"/>
      <c r="D481" s="607"/>
      <c r="E481" s="607"/>
      <c r="F481" s="607"/>
      <c r="G481" s="607"/>
      <c r="H481" s="607"/>
      <c r="I481" s="607"/>
      <c r="J481" s="607"/>
      <c r="K481" s="607"/>
      <c r="L481" s="607"/>
      <c r="M481" s="607"/>
      <c r="N481" s="607"/>
      <c r="O481" s="607"/>
      <c r="P481" s="607"/>
      <c r="Q481" s="607">
        <f t="shared" si="181"/>
        <v>0</v>
      </c>
      <c r="R481" s="605"/>
      <c r="S481" s="605"/>
      <c r="T481" s="605"/>
    </row>
    <row r="482" spans="3:20" hidden="1" x14ac:dyDescent="0.25">
      <c r="C482" s="607"/>
      <c r="D482" s="607"/>
      <c r="E482" s="607"/>
      <c r="F482" s="607"/>
      <c r="G482" s="607"/>
      <c r="H482" s="607"/>
      <c r="I482" s="607"/>
      <c r="J482" s="607"/>
      <c r="K482" s="607"/>
      <c r="L482" s="607"/>
      <c r="M482" s="607"/>
      <c r="N482" s="607"/>
      <c r="O482" s="607"/>
      <c r="P482" s="607"/>
      <c r="Q482" s="607">
        <f t="shared" si="181"/>
        <v>0</v>
      </c>
      <c r="R482" s="605"/>
      <c r="S482" s="605"/>
      <c r="T482" s="605"/>
    </row>
    <row r="483" spans="3:20" hidden="1" x14ac:dyDescent="0.25">
      <c r="C483" s="607"/>
      <c r="D483" s="607"/>
      <c r="E483" s="607"/>
      <c r="F483" s="607"/>
      <c r="G483" s="607"/>
      <c r="H483" s="607"/>
      <c r="I483" s="607"/>
      <c r="J483" s="607"/>
      <c r="K483" s="607"/>
      <c r="L483" s="607"/>
      <c r="M483" s="607"/>
      <c r="N483" s="607"/>
      <c r="O483" s="607"/>
      <c r="P483" s="607"/>
      <c r="Q483" s="607">
        <f t="shared" si="181"/>
        <v>0</v>
      </c>
      <c r="R483" s="605"/>
      <c r="S483" s="605"/>
      <c r="T483" s="605"/>
    </row>
    <row r="484" spans="3:20" hidden="1" x14ac:dyDescent="0.25">
      <c r="C484" s="607"/>
      <c r="D484" s="607"/>
      <c r="E484" s="607"/>
      <c r="F484" s="607"/>
      <c r="G484" s="607"/>
      <c r="H484" s="607"/>
      <c r="I484" s="607"/>
      <c r="J484" s="607"/>
      <c r="K484" s="607"/>
      <c r="L484" s="607"/>
      <c r="M484" s="607"/>
      <c r="N484" s="607"/>
      <c r="O484" s="607"/>
      <c r="P484" s="607"/>
      <c r="Q484" s="607">
        <f t="shared" si="181"/>
        <v>0</v>
      </c>
      <c r="R484" s="605"/>
      <c r="S484" s="605"/>
      <c r="T484" s="605"/>
    </row>
    <row r="485" spans="3:20" hidden="1" x14ac:dyDescent="0.25">
      <c r="C485" s="607"/>
      <c r="D485" s="607"/>
      <c r="E485" s="607"/>
      <c r="F485" s="607"/>
      <c r="G485" s="607"/>
      <c r="H485" s="607"/>
      <c r="I485" s="607"/>
      <c r="J485" s="607"/>
      <c r="K485" s="607"/>
      <c r="L485" s="607"/>
      <c r="M485" s="607"/>
      <c r="N485" s="607"/>
      <c r="O485" s="607"/>
      <c r="P485" s="607"/>
      <c r="Q485" s="607">
        <f t="shared" si="181"/>
        <v>0</v>
      </c>
      <c r="R485" s="605"/>
      <c r="S485" s="605"/>
      <c r="T485" s="605"/>
    </row>
    <row r="486" spans="3:20" hidden="1" x14ac:dyDescent="0.25">
      <c r="C486" s="607"/>
      <c r="D486" s="607"/>
      <c r="E486" s="607"/>
      <c r="F486" s="607"/>
      <c r="G486" s="607"/>
      <c r="H486" s="607"/>
      <c r="I486" s="607"/>
      <c r="J486" s="607"/>
      <c r="K486" s="607"/>
      <c r="L486" s="607"/>
      <c r="M486" s="607"/>
      <c r="N486" s="607"/>
      <c r="O486" s="607"/>
      <c r="P486" s="607"/>
      <c r="Q486" s="607">
        <f t="shared" si="181"/>
        <v>0</v>
      </c>
      <c r="R486" s="605"/>
      <c r="S486" s="605"/>
      <c r="T486" s="605"/>
    </row>
    <row r="487" spans="3:20" x14ac:dyDescent="0.25">
      <c r="C487" s="811" t="s">
        <v>420</v>
      </c>
      <c r="D487" s="812"/>
      <c r="E487" s="606">
        <f t="shared" ref="E487:P487" si="182">SUM(E463:E486)</f>
        <v>207.79670607350815</v>
      </c>
      <c r="F487" s="606">
        <f t="shared" si="182"/>
        <v>213.60182824240906</v>
      </c>
      <c r="G487" s="606">
        <f t="shared" si="182"/>
        <v>199.87689948401672</v>
      </c>
      <c r="H487" s="606">
        <f t="shared" si="182"/>
        <v>157.34398677226392</v>
      </c>
      <c r="I487" s="606">
        <f t="shared" si="182"/>
        <v>193.08539983870708</v>
      </c>
      <c r="J487" s="606">
        <f t="shared" si="182"/>
        <v>169.89748318229607</v>
      </c>
      <c r="K487" s="606">
        <f t="shared" si="182"/>
        <v>208.47497664456219</v>
      </c>
      <c r="L487" s="606">
        <f t="shared" si="182"/>
        <v>161.03821545855513</v>
      </c>
      <c r="M487" s="606">
        <f t="shared" si="182"/>
        <v>177.38004249775827</v>
      </c>
      <c r="N487" s="606">
        <f t="shared" si="182"/>
        <v>188.99104728575176</v>
      </c>
      <c r="O487" s="606">
        <f t="shared" si="182"/>
        <v>194.04617239699655</v>
      </c>
      <c r="P487" s="606">
        <f t="shared" si="182"/>
        <v>207.88030281333653</v>
      </c>
      <c r="Q487" s="609">
        <f t="shared" si="181"/>
        <v>2279.4130606901617</v>
      </c>
      <c r="R487" s="605"/>
      <c r="S487" s="605"/>
      <c r="T487" s="605"/>
    </row>
    <row r="488" spans="3:20" x14ac:dyDescent="0.25">
      <c r="C488" s="813" t="s">
        <v>421</v>
      </c>
      <c r="D488" s="814"/>
      <c r="E488" s="607"/>
      <c r="F488" s="607"/>
      <c r="G488" s="607"/>
      <c r="H488" s="607"/>
      <c r="I488" s="607"/>
      <c r="J488" s="607"/>
      <c r="K488" s="607"/>
      <c r="L488" s="607"/>
      <c r="M488" s="607"/>
      <c r="N488" s="607"/>
      <c r="O488" s="607"/>
      <c r="P488" s="607"/>
      <c r="Q488" s="607"/>
      <c r="R488" s="605"/>
      <c r="S488" s="605"/>
      <c r="T488" s="605"/>
    </row>
    <row r="489" spans="3:20" x14ac:dyDescent="0.25">
      <c r="C489" s="607"/>
      <c r="D489" s="607" t="s">
        <v>663</v>
      </c>
      <c r="E489" s="606">
        <f>'[5]ST,D-D'!D28</f>
        <v>0</v>
      </c>
      <c r="F489" s="606">
        <f>'[5]ST,D-D'!E28</f>
        <v>0</v>
      </c>
      <c r="G489" s="606">
        <f>'[5]ST,D-D'!F28</f>
        <v>0</v>
      </c>
      <c r="H489" s="606">
        <f>'[5]ST,D-D'!G28</f>
        <v>0</v>
      </c>
      <c r="I489" s="606">
        <f>'[5]ST,D-D'!H28</f>
        <v>0</v>
      </c>
      <c r="J489" s="606">
        <f>'[5]ST,D-D'!I28</f>
        <v>0</v>
      </c>
      <c r="K489" s="606">
        <f>'[5]ST,D-D'!J28</f>
        <v>0</v>
      </c>
      <c r="L489" s="606">
        <f>'[5]ST,D-D'!K28</f>
        <v>0</v>
      </c>
      <c r="M489" s="606">
        <f>'[5]ST,D-D'!L28</f>
        <v>0</v>
      </c>
      <c r="N489" s="606">
        <f>'[5]ST,D-D'!M28</f>
        <v>0</v>
      </c>
      <c r="O489" s="606">
        <f>'[5]ST,D-D'!N28</f>
        <v>96.667630350943483</v>
      </c>
      <c r="P489" s="606">
        <f>'[5]ST,D-D'!O28</f>
        <v>147.09020977169345</v>
      </c>
      <c r="Q489" s="606">
        <f>SUM(E489:P489)</f>
        <v>243.75784012263694</v>
      </c>
      <c r="R489" s="605"/>
      <c r="S489" s="605"/>
      <c r="T489" s="605"/>
    </row>
    <row r="490" spans="3:20" x14ac:dyDescent="0.25">
      <c r="C490" s="607"/>
      <c r="D490" s="607" t="s">
        <v>664</v>
      </c>
      <c r="E490" s="606">
        <f>-'[5]ST,D-D'!D30</f>
        <v>-21.031000461913205</v>
      </c>
      <c r="F490" s="606">
        <f>-'[5]ST,D-D'!E30</f>
        <v>-181.65043285009725</v>
      </c>
      <c r="G490" s="606">
        <f>-'[5]ST,D-D'!F30</f>
        <v>-179.6970762452253</v>
      </c>
      <c r="H490" s="606">
        <f>-'[5]ST,D-D'!G30</f>
        <v>-0.22214604314527581</v>
      </c>
      <c r="I490" s="606">
        <f>-'[5]ST,D-D'!H30</f>
        <v>-6.2610418470709445E-2</v>
      </c>
      <c r="J490" s="606">
        <f>-'[5]ST,D-D'!I30</f>
        <v>-1.2901529079442506</v>
      </c>
      <c r="K490" s="606">
        <f>-'[5]ST,D-D'!J30</f>
        <v>-3.1493345504967206E-2</v>
      </c>
      <c r="L490" s="606">
        <f>-'[5]ST,D-D'!K30</f>
        <v>-2.4957432918196035E-2</v>
      </c>
      <c r="M490" s="606">
        <f>-'[5]ST,D-D'!L30</f>
        <v>-33.601511112866561</v>
      </c>
      <c r="N490" s="606">
        <f>-'[5]ST,D-D'!M30</f>
        <v>-4.4429208629055159</v>
      </c>
      <c r="O490" s="606">
        <f>-'[5]ST,D-D'!N30</f>
        <v>0</v>
      </c>
      <c r="P490" s="606">
        <f>-'[5]ST,D-D'!O30</f>
        <v>0</v>
      </c>
      <c r="Q490" s="606">
        <f>SUM(E490:P490)</f>
        <v>-422.05430168099122</v>
      </c>
      <c r="R490" s="605"/>
      <c r="S490" s="605"/>
      <c r="T490" s="605"/>
    </row>
    <row r="491" spans="3:20" x14ac:dyDescent="0.25">
      <c r="C491" s="607"/>
      <c r="D491" s="607" t="s">
        <v>1223</v>
      </c>
      <c r="E491" s="606">
        <f>'[5]PP summary'!$J$63/12</f>
        <v>-96.273635353022357</v>
      </c>
      <c r="F491" s="606">
        <f>'[5]PP summary'!$J$63/12</f>
        <v>-96.273635353022357</v>
      </c>
      <c r="G491" s="606">
        <f>'[5]PP summary'!$J$63/12</f>
        <v>-96.273635353022357</v>
      </c>
      <c r="H491" s="606">
        <f>'[5]PP summary'!$J$63/12</f>
        <v>-96.273635353022357</v>
      </c>
      <c r="I491" s="606">
        <f>'[5]PP summary'!$J$63/12</f>
        <v>-96.273635353022357</v>
      </c>
      <c r="J491" s="606">
        <f>'[5]PP summary'!$J$63/12</f>
        <v>-96.273635353022357</v>
      </c>
      <c r="K491" s="606">
        <f>'[5]PP summary'!$J$63/12</f>
        <v>-96.273635353022357</v>
      </c>
      <c r="L491" s="606">
        <f>'[5]PP summary'!$J$63/12</f>
        <v>-96.273635353022357</v>
      </c>
      <c r="M491" s="606">
        <f>'[5]PP summary'!$J$63/12</f>
        <v>-96.273635353022357</v>
      </c>
      <c r="N491" s="606">
        <f>'[5]PP summary'!$J$63/12</f>
        <v>-96.273635353022357</v>
      </c>
      <c r="O491" s="606">
        <f>'[5]PP summary'!$J$63/12</f>
        <v>-96.273635353022357</v>
      </c>
      <c r="P491" s="606">
        <f>'[5]PP summary'!$J$63/12</f>
        <v>-96.273635353022357</v>
      </c>
      <c r="Q491" s="606">
        <f>SUM(E491:P491)</f>
        <v>-1155.2836242362682</v>
      </c>
      <c r="R491" s="605"/>
      <c r="S491" s="605"/>
      <c r="T491" s="605"/>
    </row>
    <row r="492" spans="3:20" x14ac:dyDescent="0.25">
      <c r="C492" s="607"/>
      <c r="D492" s="607"/>
      <c r="E492" s="607"/>
      <c r="F492" s="607"/>
      <c r="G492" s="607"/>
      <c r="H492" s="607"/>
      <c r="I492" s="607"/>
      <c r="J492" s="607"/>
      <c r="K492" s="607"/>
      <c r="L492" s="607"/>
      <c r="M492" s="607"/>
      <c r="N492" s="607"/>
      <c r="O492" s="607"/>
      <c r="P492" s="607"/>
      <c r="Q492" s="607">
        <v>0</v>
      </c>
      <c r="R492" s="605"/>
      <c r="S492" s="605"/>
      <c r="T492" s="605"/>
    </row>
    <row r="493" spans="3:20" x14ac:dyDescent="0.25">
      <c r="C493" s="607"/>
      <c r="D493" s="622" t="s">
        <v>665</v>
      </c>
      <c r="E493" s="607">
        <v>0</v>
      </c>
      <c r="F493" s="607">
        <v>0</v>
      </c>
      <c r="G493" s="607">
        <v>0</v>
      </c>
      <c r="H493" s="607">
        <v>0</v>
      </c>
      <c r="I493" s="607">
        <v>0</v>
      </c>
      <c r="J493" s="607">
        <v>0</v>
      </c>
      <c r="K493" s="607">
        <v>0</v>
      </c>
      <c r="L493" s="607">
        <v>0</v>
      </c>
      <c r="M493" s="607">
        <v>0</v>
      </c>
      <c r="N493" s="607">
        <v>0</v>
      </c>
      <c r="O493" s="607">
        <v>0</v>
      </c>
      <c r="P493" s="607">
        <v>0</v>
      </c>
      <c r="Q493" s="607">
        <v>0</v>
      </c>
      <c r="R493" s="605"/>
      <c r="S493" s="605"/>
      <c r="T493" s="605"/>
    </row>
    <row r="494" spans="3:20" x14ac:dyDescent="0.25">
      <c r="C494" s="607"/>
      <c r="D494" s="622" t="s">
        <v>666</v>
      </c>
      <c r="E494" s="607">
        <v>0</v>
      </c>
      <c r="F494" s="607">
        <v>0</v>
      </c>
      <c r="G494" s="607">
        <v>0</v>
      </c>
      <c r="H494" s="607">
        <v>0</v>
      </c>
      <c r="I494" s="607">
        <v>0</v>
      </c>
      <c r="J494" s="607">
        <v>0</v>
      </c>
      <c r="K494" s="607">
        <v>0</v>
      </c>
      <c r="L494" s="607">
        <v>0</v>
      </c>
      <c r="M494" s="607">
        <v>0</v>
      </c>
      <c r="N494" s="607">
        <v>0</v>
      </c>
      <c r="O494" s="607">
        <v>0</v>
      </c>
      <c r="P494" s="607">
        <v>0</v>
      </c>
      <c r="Q494" s="607">
        <v>0</v>
      </c>
      <c r="R494" s="605"/>
      <c r="S494" s="605"/>
      <c r="T494" s="605"/>
    </row>
    <row r="495" spans="3:20" x14ac:dyDescent="0.25">
      <c r="C495" s="607"/>
      <c r="D495" s="622" t="s">
        <v>629</v>
      </c>
      <c r="E495" s="607">
        <v>0</v>
      </c>
      <c r="F495" s="607">
        <v>0</v>
      </c>
      <c r="G495" s="607">
        <v>0</v>
      </c>
      <c r="H495" s="607">
        <v>0</v>
      </c>
      <c r="I495" s="607">
        <v>0</v>
      </c>
      <c r="J495" s="607">
        <v>0</v>
      </c>
      <c r="K495" s="607">
        <v>0</v>
      </c>
      <c r="L495" s="607">
        <v>0</v>
      </c>
      <c r="M495" s="607">
        <v>0</v>
      </c>
      <c r="N495" s="607">
        <v>0</v>
      </c>
      <c r="O495" s="607">
        <v>0</v>
      </c>
      <c r="P495" s="607">
        <v>0</v>
      </c>
      <c r="Q495" s="607">
        <v>0</v>
      </c>
      <c r="R495" s="605"/>
      <c r="S495" s="605"/>
      <c r="T495" s="605"/>
    </row>
    <row r="496" spans="3:20" x14ac:dyDescent="0.25">
      <c r="C496" s="607"/>
      <c r="D496" s="622" t="s">
        <v>630</v>
      </c>
      <c r="E496" s="607">
        <v>0</v>
      </c>
      <c r="F496" s="607">
        <v>0</v>
      </c>
      <c r="G496" s="607">
        <v>0</v>
      </c>
      <c r="H496" s="607">
        <v>0</v>
      </c>
      <c r="I496" s="607">
        <v>0</v>
      </c>
      <c r="J496" s="607">
        <v>0</v>
      </c>
      <c r="K496" s="607">
        <v>0</v>
      </c>
      <c r="L496" s="607">
        <v>0</v>
      </c>
      <c r="M496" s="607">
        <v>0</v>
      </c>
      <c r="N496" s="607">
        <v>0</v>
      </c>
      <c r="O496" s="607">
        <v>0</v>
      </c>
      <c r="P496" s="607">
        <v>0</v>
      </c>
      <c r="Q496" s="607">
        <v>0</v>
      </c>
      <c r="R496" s="605"/>
      <c r="S496" s="605"/>
      <c r="T496" s="605"/>
    </row>
    <row r="497" spans="3:20" x14ac:dyDescent="0.25">
      <c r="C497" s="607"/>
      <c r="D497" s="622" t="s">
        <v>631</v>
      </c>
      <c r="E497" s="607">
        <v>0</v>
      </c>
      <c r="F497" s="607">
        <v>0</v>
      </c>
      <c r="G497" s="607">
        <v>0</v>
      </c>
      <c r="H497" s="607">
        <v>0</v>
      </c>
      <c r="I497" s="607">
        <v>0</v>
      </c>
      <c r="J497" s="607">
        <v>0</v>
      </c>
      <c r="K497" s="607">
        <v>0</v>
      </c>
      <c r="L497" s="607">
        <v>0</v>
      </c>
      <c r="M497" s="607">
        <v>0</v>
      </c>
      <c r="N497" s="607">
        <v>0</v>
      </c>
      <c r="O497" s="607">
        <v>0</v>
      </c>
      <c r="P497" s="607">
        <v>0</v>
      </c>
      <c r="Q497" s="607">
        <v>0</v>
      </c>
      <c r="R497" s="605"/>
      <c r="S497" s="605"/>
      <c r="T497" s="605"/>
    </row>
    <row r="498" spans="3:20" x14ac:dyDescent="0.25">
      <c r="C498" s="607"/>
      <c r="D498" s="622" t="s">
        <v>632</v>
      </c>
      <c r="E498" s="607">
        <v>0</v>
      </c>
      <c r="F498" s="607">
        <v>0</v>
      </c>
      <c r="G498" s="607">
        <v>0</v>
      </c>
      <c r="H498" s="607">
        <v>0</v>
      </c>
      <c r="I498" s="607">
        <v>0</v>
      </c>
      <c r="J498" s="607">
        <v>0</v>
      </c>
      <c r="K498" s="607">
        <v>0</v>
      </c>
      <c r="L498" s="607">
        <v>0</v>
      </c>
      <c r="M498" s="607">
        <v>0</v>
      </c>
      <c r="N498" s="607">
        <v>0</v>
      </c>
      <c r="O498" s="607">
        <v>0</v>
      </c>
      <c r="P498" s="607">
        <v>0</v>
      </c>
      <c r="Q498" s="607">
        <v>0</v>
      </c>
      <c r="R498" s="605"/>
      <c r="S498" s="605"/>
      <c r="T498" s="605"/>
    </row>
    <row r="499" spans="3:20" x14ac:dyDescent="0.25">
      <c r="C499" s="607"/>
      <c r="D499" s="622" t="s">
        <v>633</v>
      </c>
      <c r="E499" s="607">
        <v>0</v>
      </c>
      <c r="F499" s="607">
        <v>0</v>
      </c>
      <c r="G499" s="607">
        <v>0</v>
      </c>
      <c r="H499" s="607">
        <v>0</v>
      </c>
      <c r="I499" s="607">
        <v>0</v>
      </c>
      <c r="J499" s="607">
        <v>0</v>
      </c>
      <c r="K499" s="607">
        <v>0</v>
      </c>
      <c r="L499" s="607">
        <v>0</v>
      </c>
      <c r="M499" s="607">
        <v>0</v>
      </c>
      <c r="N499" s="607">
        <v>0</v>
      </c>
      <c r="O499" s="607">
        <v>0</v>
      </c>
      <c r="P499" s="607">
        <v>0</v>
      </c>
      <c r="Q499" s="607">
        <v>0</v>
      </c>
      <c r="R499" s="605"/>
      <c r="S499" s="605"/>
      <c r="T499" s="605"/>
    </row>
    <row r="500" spans="3:20" x14ac:dyDescent="0.25">
      <c r="C500" s="607"/>
      <c r="D500" s="622" t="s">
        <v>634</v>
      </c>
      <c r="E500" s="607">
        <v>0</v>
      </c>
      <c r="F500" s="607">
        <v>0</v>
      </c>
      <c r="G500" s="607">
        <v>0</v>
      </c>
      <c r="H500" s="607">
        <v>0</v>
      </c>
      <c r="I500" s="607">
        <v>0</v>
      </c>
      <c r="J500" s="607">
        <v>0</v>
      </c>
      <c r="K500" s="607">
        <v>0</v>
      </c>
      <c r="L500" s="607">
        <v>0</v>
      </c>
      <c r="M500" s="607">
        <v>0</v>
      </c>
      <c r="N500" s="607">
        <v>0</v>
      </c>
      <c r="O500" s="607">
        <v>0</v>
      </c>
      <c r="P500" s="607">
        <v>0</v>
      </c>
      <c r="Q500" s="607">
        <v>0</v>
      </c>
      <c r="R500" s="605"/>
      <c r="S500" s="605"/>
      <c r="T500" s="605"/>
    </row>
    <row r="501" spans="3:20" x14ac:dyDescent="0.25">
      <c r="C501" s="607"/>
      <c r="D501" s="622" t="s">
        <v>635</v>
      </c>
      <c r="E501" s="607">
        <v>0</v>
      </c>
      <c r="F501" s="607">
        <v>0</v>
      </c>
      <c r="G501" s="607">
        <v>0</v>
      </c>
      <c r="H501" s="607">
        <v>0</v>
      </c>
      <c r="I501" s="607">
        <v>0</v>
      </c>
      <c r="J501" s="607">
        <v>0</v>
      </c>
      <c r="K501" s="607">
        <v>0</v>
      </c>
      <c r="L501" s="607">
        <v>0</v>
      </c>
      <c r="M501" s="607">
        <v>0</v>
      </c>
      <c r="N501" s="607">
        <v>0</v>
      </c>
      <c r="O501" s="607">
        <v>0</v>
      </c>
      <c r="P501" s="607">
        <v>0</v>
      </c>
      <c r="Q501" s="607">
        <v>0</v>
      </c>
      <c r="R501" s="605"/>
      <c r="S501" s="605"/>
      <c r="T501" s="605"/>
    </row>
    <row r="502" spans="3:20" x14ac:dyDescent="0.25">
      <c r="C502" s="607"/>
      <c r="D502" s="622" t="s">
        <v>636</v>
      </c>
      <c r="E502" s="607">
        <v>0</v>
      </c>
      <c r="F502" s="607">
        <v>0</v>
      </c>
      <c r="G502" s="607">
        <v>0</v>
      </c>
      <c r="H502" s="607">
        <v>0</v>
      </c>
      <c r="I502" s="607">
        <v>0</v>
      </c>
      <c r="J502" s="607">
        <v>0</v>
      </c>
      <c r="K502" s="607">
        <v>0</v>
      </c>
      <c r="L502" s="607">
        <v>0</v>
      </c>
      <c r="M502" s="607">
        <v>0</v>
      </c>
      <c r="N502" s="607">
        <v>0</v>
      </c>
      <c r="O502" s="607">
        <v>0</v>
      </c>
      <c r="P502" s="607">
        <v>0</v>
      </c>
      <c r="Q502" s="607">
        <v>0</v>
      </c>
      <c r="R502" s="605"/>
      <c r="S502" s="605"/>
      <c r="T502" s="605"/>
    </row>
    <row r="503" spans="3:20" x14ac:dyDescent="0.25">
      <c r="C503" s="607"/>
      <c r="D503" s="622" t="s">
        <v>637</v>
      </c>
      <c r="E503" s="607">
        <v>0</v>
      </c>
      <c r="F503" s="607">
        <v>0</v>
      </c>
      <c r="G503" s="607">
        <v>0</v>
      </c>
      <c r="H503" s="607">
        <v>0</v>
      </c>
      <c r="I503" s="607">
        <v>0</v>
      </c>
      <c r="J503" s="607">
        <v>0</v>
      </c>
      <c r="K503" s="607">
        <v>0</v>
      </c>
      <c r="L503" s="607">
        <v>0</v>
      </c>
      <c r="M503" s="607">
        <v>0</v>
      </c>
      <c r="N503" s="607">
        <v>0</v>
      </c>
      <c r="O503" s="607">
        <v>0</v>
      </c>
      <c r="P503" s="607">
        <v>0</v>
      </c>
      <c r="Q503" s="607">
        <v>0</v>
      </c>
      <c r="R503" s="605"/>
      <c r="S503" s="605"/>
      <c r="T503" s="605"/>
    </row>
    <row r="504" spans="3:20" x14ac:dyDescent="0.25">
      <c r="C504" s="607"/>
      <c r="D504" s="622" t="s">
        <v>638</v>
      </c>
      <c r="E504" s="607">
        <v>0</v>
      </c>
      <c r="F504" s="607">
        <v>0</v>
      </c>
      <c r="G504" s="607">
        <v>0</v>
      </c>
      <c r="H504" s="607">
        <v>0</v>
      </c>
      <c r="I504" s="607">
        <v>0</v>
      </c>
      <c r="J504" s="607">
        <v>0</v>
      </c>
      <c r="K504" s="607">
        <v>0</v>
      </c>
      <c r="L504" s="607">
        <v>0</v>
      </c>
      <c r="M504" s="607">
        <v>0</v>
      </c>
      <c r="N504" s="607">
        <v>0</v>
      </c>
      <c r="O504" s="607">
        <v>0</v>
      </c>
      <c r="P504" s="607">
        <v>0</v>
      </c>
      <c r="Q504" s="607">
        <v>0</v>
      </c>
      <c r="R504" s="605"/>
      <c r="S504" s="605"/>
      <c r="T504" s="605"/>
    </row>
    <row r="505" spans="3:20" x14ac:dyDescent="0.25">
      <c r="C505" s="607"/>
      <c r="D505" s="622" t="s">
        <v>639</v>
      </c>
      <c r="E505" s="607">
        <v>0</v>
      </c>
      <c r="F505" s="607">
        <v>0</v>
      </c>
      <c r="G505" s="607">
        <v>0</v>
      </c>
      <c r="H505" s="607">
        <v>0</v>
      </c>
      <c r="I505" s="607">
        <v>0</v>
      </c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5"/>
      <c r="S505" s="605"/>
      <c r="T505" s="605"/>
    </row>
    <row r="506" spans="3:20" hidden="1" x14ac:dyDescent="0.25">
      <c r="C506" s="607"/>
      <c r="D506" s="607"/>
      <c r="E506" s="607"/>
      <c r="F506" s="607"/>
      <c r="G506" s="607"/>
      <c r="H506" s="607"/>
      <c r="I506" s="607"/>
      <c r="J506" s="607"/>
      <c r="K506" s="607"/>
      <c r="L506" s="607"/>
      <c r="M506" s="607"/>
      <c r="N506" s="607"/>
      <c r="O506" s="607"/>
      <c r="P506" s="607"/>
      <c r="Q506" s="607">
        <v>0</v>
      </c>
      <c r="R506" s="605"/>
      <c r="S506" s="605"/>
      <c r="T506" s="605"/>
    </row>
    <row r="507" spans="3:20" hidden="1" x14ac:dyDescent="0.25">
      <c r="C507" s="607"/>
      <c r="D507" s="607"/>
      <c r="E507" s="607"/>
      <c r="F507" s="607"/>
      <c r="G507" s="607"/>
      <c r="H507" s="607"/>
      <c r="I507" s="607"/>
      <c r="J507" s="607"/>
      <c r="K507" s="607"/>
      <c r="L507" s="607"/>
      <c r="M507" s="607"/>
      <c r="N507" s="607"/>
      <c r="O507" s="607"/>
      <c r="P507" s="607"/>
      <c r="Q507" s="607">
        <v>0</v>
      </c>
      <c r="R507" s="605"/>
      <c r="S507" s="605"/>
      <c r="T507" s="605"/>
    </row>
    <row r="508" spans="3:20" hidden="1" x14ac:dyDescent="0.25">
      <c r="C508" s="607"/>
      <c r="D508" s="607"/>
      <c r="E508" s="607"/>
      <c r="F508" s="607"/>
      <c r="G508" s="607"/>
      <c r="H508" s="607"/>
      <c r="I508" s="607"/>
      <c r="J508" s="607"/>
      <c r="K508" s="607"/>
      <c r="L508" s="607"/>
      <c r="M508" s="607"/>
      <c r="N508" s="607"/>
      <c r="O508" s="607"/>
      <c r="P508" s="607"/>
      <c r="Q508" s="607">
        <v>0</v>
      </c>
      <c r="R508" s="605"/>
      <c r="S508" s="605"/>
      <c r="T508" s="605"/>
    </row>
    <row r="509" spans="3:20" hidden="1" x14ac:dyDescent="0.25">
      <c r="C509" s="607"/>
      <c r="D509" s="607"/>
      <c r="E509" s="607"/>
      <c r="F509" s="607"/>
      <c r="G509" s="607"/>
      <c r="H509" s="607"/>
      <c r="I509" s="607"/>
      <c r="J509" s="607"/>
      <c r="K509" s="607"/>
      <c r="L509" s="607"/>
      <c r="M509" s="607"/>
      <c r="N509" s="607"/>
      <c r="O509" s="607"/>
      <c r="P509" s="607"/>
      <c r="Q509" s="607">
        <f t="shared" ref="Q509:Q517" si="183">SUM(E509:P509)</f>
        <v>0</v>
      </c>
      <c r="R509" s="605"/>
      <c r="S509" s="605"/>
      <c r="T509" s="605"/>
    </row>
    <row r="510" spans="3:20" hidden="1" x14ac:dyDescent="0.25">
      <c r="C510" s="607"/>
      <c r="D510" s="607"/>
      <c r="E510" s="607"/>
      <c r="F510" s="607"/>
      <c r="G510" s="607"/>
      <c r="H510" s="607"/>
      <c r="I510" s="607"/>
      <c r="J510" s="607"/>
      <c r="K510" s="607"/>
      <c r="L510" s="607"/>
      <c r="M510" s="607"/>
      <c r="N510" s="607"/>
      <c r="O510" s="607"/>
      <c r="P510" s="607"/>
      <c r="Q510" s="607">
        <f t="shared" si="183"/>
        <v>0</v>
      </c>
      <c r="R510" s="605"/>
      <c r="S510" s="605"/>
      <c r="T510" s="605"/>
    </row>
    <row r="511" spans="3:20" hidden="1" x14ac:dyDescent="0.25">
      <c r="C511" s="607"/>
      <c r="D511" s="607"/>
      <c r="E511" s="607"/>
      <c r="F511" s="607"/>
      <c r="G511" s="607"/>
      <c r="H511" s="607"/>
      <c r="I511" s="607"/>
      <c r="J511" s="607"/>
      <c r="K511" s="607"/>
      <c r="L511" s="607"/>
      <c r="M511" s="607"/>
      <c r="N511" s="607"/>
      <c r="O511" s="607"/>
      <c r="P511" s="607"/>
      <c r="Q511" s="607">
        <f t="shared" si="183"/>
        <v>0</v>
      </c>
      <c r="R511" s="605"/>
      <c r="S511" s="605"/>
      <c r="T511" s="605"/>
    </row>
    <row r="512" spans="3:20" hidden="1" x14ac:dyDescent="0.25">
      <c r="C512" s="607"/>
      <c r="D512" s="607"/>
      <c r="E512" s="607"/>
      <c r="F512" s="607"/>
      <c r="G512" s="607"/>
      <c r="H512" s="607"/>
      <c r="I512" s="607"/>
      <c r="J512" s="607"/>
      <c r="K512" s="607"/>
      <c r="L512" s="607"/>
      <c r="M512" s="607"/>
      <c r="N512" s="607"/>
      <c r="O512" s="607"/>
      <c r="P512" s="607"/>
      <c r="Q512" s="607">
        <f t="shared" si="183"/>
        <v>0</v>
      </c>
      <c r="R512" s="605"/>
      <c r="S512" s="605"/>
      <c r="T512" s="605"/>
    </row>
    <row r="513" spans="3:20" hidden="1" x14ac:dyDescent="0.25">
      <c r="C513" s="607"/>
      <c r="D513" s="607"/>
      <c r="E513" s="607"/>
      <c r="F513" s="607"/>
      <c r="G513" s="607"/>
      <c r="H513" s="607"/>
      <c r="I513" s="607"/>
      <c r="J513" s="607"/>
      <c r="K513" s="607"/>
      <c r="L513" s="607"/>
      <c r="M513" s="607"/>
      <c r="N513" s="607"/>
      <c r="O513" s="607"/>
      <c r="P513" s="607"/>
      <c r="Q513" s="607">
        <f t="shared" si="183"/>
        <v>0</v>
      </c>
      <c r="R513" s="605"/>
      <c r="S513" s="605"/>
      <c r="T513" s="605"/>
    </row>
    <row r="514" spans="3:20" hidden="1" x14ac:dyDescent="0.25">
      <c r="C514" s="607"/>
      <c r="D514" s="607"/>
      <c r="E514" s="607"/>
      <c r="F514" s="607"/>
      <c r="G514" s="607"/>
      <c r="H514" s="607"/>
      <c r="I514" s="607"/>
      <c r="J514" s="607"/>
      <c r="K514" s="607"/>
      <c r="L514" s="607"/>
      <c r="M514" s="607"/>
      <c r="N514" s="607"/>
      <c r="O514" s="607"/>
      <c r="P514" s="607"/>
      <c r="Q514" s="607">
        <f t="shared" si="183"/>
        <v>0</v>
      </c>
      <c r="R514" s="605"/>
      <c r="S514" s="605"/>
      <c r="T514" s="605"/>
    </row>
    <row r="515" spans="3:20" hidden="1" x14ac:dyDescent="0.25">
      <c r="C515" s="607"/>
      <c r="D515" s="607"/>
      <c r="E515" s="607"/>
      <c r="F515" s="607"/>
      <c r="G515" s="607"/>
      <c r="H515" s="607"/>
      <c r="I515" s="607"/>
      <c r="J515" s="607"/>
      <c r="K515" s="607"/>
      <c r="L515" s="607"/>
      <c r="M515" s="607"/>
      <c r="N515" s="607"/>
      <c r="O515" s="607"/>
      <c r="P515" s="607"/>
      <c r="Q515" s="607">
        <f t="shared" si="183"/>
        <v>0</v>
      </c>
      <c r="R515" s="605"/>
      <c r="S515" s="605"/>
      <c r="T515" s="605"/>
    </row>
    <row r="516" spans="3:20" hidden="1" x14ac:dyDescent="0.25">
      <c r="C516" s="607"/>
      <c r="D516" s="607"/>
      <c r="E516" s="607"/>
      <c r="F516" s="607"/>
      <c r="G516" s="607"/>
      <c r="H516" s="607"/>
      <c r="I516" s="607"/>
      <c r="J516" s="607"/>
      <c r="K516" s="607"/>
      <c r="L516" s="607"/>
      <c r="M516" s="607"/>
      <c r="N516" s="607"/>
      <c r="O516" s="607"/>
      <c r="P516" s="607"/>
      <c r="Q516" s="607">
        <f t="shared" si="183"/>
        <v>0</v>
      </c>
      <c r="R516" s="605"/>
      <c r="S516" s="605"/>
      <c r="T516" s="605"/>
    </row>
    <row r="517" spans="3:20" x14ac:dyDescent="0.25">
      <c r="C517" s="811" t="s">
        <v>423</v>
      </c>
      <c r="D517" s="812"/>
      <c r="E517" s="606">
        <f t="shared" ref="E517:P517" si="184">SUM(E489:E516)</f>
        <v>-117.30463581493557</v>
      </c>
      <c r="F517" s="606">
        <f t="shared" si="184"/>
        <v>-277.92406820311959</v>
      </c>
      <c r="G517" s="606">
        <f t="shared" si="184"/>
        <v>-275.97071159824765</v>
      </c>
      <c r="H517" s="606">
        <f t="shared" si="184"/>
        <v>-96.495781396167629</v>
      </c>
      <c r="I517" s="606">
        <f t="shared" si="184"/>
        <v>-96.336245771493068</v>
      </c>
      <c r="J517" s="606">
        <f t="shared" si="184"/>
        <v>-97.563788260966604</v>
      </c>
      <c r="K517" s="606">
        <f t="shared" si="184"/>
        <v>-96.305128698527326</v>
      </c>
      <c r="L517" s="606">
        <f t="shared" si="184"/>
        <v>-96.298592785940556</v>
      </c>
      <c r="M517" s="606">
        <f t="shared" si="184"/>
        <v>-129.87514646588892</v>
      </c>
      <c r="N517" s="606">
        <f t="shared" si="184"/>
        <v>-100.71655621592787</v>
      </c>
      <c r="O517" s="606">
        <f t="shared" si="184"/>
        <v>0.39399499792112636</v>
      </c>
      <c r="P517" s="606">
        <f t="shared" si="184"/>
        <v>50.816574418671095</v>
      </c>
      <c r="Q517" s="609">
        <f t="shared" si="183"/>
        <v>-1333.5800857946226</v>
      </c>
      <c r="R517" s="605"/>
      <c r="S517" s="605"/>
      <c r="T517" s="605"/>
    </row>
    <row r="518" spans="3:20" x14ac:dyDescent="0.25">
      <c r="C518" s="813" t="s">
        <v>424</v>
      </c>
      <c r="D518" s="814"/>
      <c r="E518" s="607"/>
      <c r="F518" s="607"/>
      <c r="G518" s="607"/>
      <c r="H518" s="607"/>
      <c r="I518" s="607"/>
      <c r="J518" s="607"/>
      <c r="K518" s="607"/>
      <c r="L518" s="607"/>
      <c r="M518" s="607"/>
      <c r="N518" s="607"/>
      <c r="O518" s="607"/>
      <c r="P518" s="607"/>
      <c r="Q518" s="607"/>
      <c r="R518" s="605"/>
      <c r="S518" s="605"/>
      <c r="T518" s="605"/>
    </row>
    <row r="519" spans="3:20" x14ac:dyDescent="0.25">
      <c r="C519" s="607" t="s">
        <v>425</v>
      </c>
      <c r="D519" s="607" t="s">
        <v>426</v>
      </c>
      <c r="E519" s="606">
        <f>-IF('[5]ST,D-D'!D19&gt;0,'[5]ST,D-D'!D19,0)</f>
        <v>0</v>
      </c>
      <c r="F519" s="606">
        <f>-IF('[5]ST,D-D'!E19&gt;0,'[5]ST,D-D'!E19,0)</f>
        <v>0</v>
      </c>
      <c r="G519" s="606">
        <f>-IF('[5]ST,D-D'!F19&gt;0,'[5]ST,D-D'!F19,0)</f>
        <v>0</v>
      </c>
      <c r="H519" s="606">
        <f>-IF('[5]ST,D-D'!G19&gt;0,'[5]ST,D-D'!G19,0)</f>
        <v>0</v>
      </c>
      <c r="I519" s="606">
        <f>-IF('[5]ST,D-D'!H19&gt;0,'[5]ST,D-D'!H19,0)</f>
        <v>0</v>
      </c>
      <c r="J519" s="606">
        <f>-IF('[5]ST,D-D'!I19&gt;0,'[5]ST,D-D'!I19,0)</f>
        <v>0</v>
      </c>
      <c r="K519" s="606">
        <f>-IF('[5]ST,D-D'!J19&gt;0,'[5]ST,D-D'!J19,0)</f>
        <v>0</v>
      </c>
      <c r="L519" s="606">
        <f>-IF('[5]ST,D-D'!K19&gt;0,'[5]ST,D-D'!K19,0)</f>
        <v>0</v>
      </c>
      <c r="M519" s="606">
        <f>-IF('[5]ST,D-D'!L19&gt;0,'[5]ST,D-D'!L19,0)</f>
        <v>0</v>
      </c>
      <c r="N519" s="606">
        <f>-IF('[5]ST,D-D'!M19&gt;0,'[5]ST,D-D'!M19,0)</f>
        <v>0</v>
      </c>
      <c r="O519" s="606">
        <f>-IF('[5]ST,D-D'!N19&gt;0,'[5]ST,D-D'!N19,0)</f>
        <v>0</v>
      </c>
      <c r="P519" s="606">
        <f>-IF('[5]ST,D-D'!O19&gt;0,'[5]ST,D-D'!O19,0)</f>
        <v>0</v>
      </c>
      <c r="Q519" s="606">
        <f>SUM(E519:P519)</f>
        <v>0</v>
      </c>
      <c r="R519" s="605"/>
      <c r="S519" s="605"/>
      <c r="T519" s="605"/>
    </row>
    <row r="520" spans="3:20" x14ac:dyDescent="0.25">
      <c r="C520" s="607" t="s">
        <v>425</v>
      </c>
      <c r="D520" s="607" t="s">
        <v>427</v>
      </c>
      <c r="E520" s="606">
        <f>'[5]ST,D-D'!D32</f>
        <v>-141.65698319472114</v>
      </c>
      <c r="F520" s="606">
        <f>'[5]ST,D-D'!E32</f>
        <v>-111.13907305178888</v>
      </c>
      <c r="G520" s="606">
        <f>'[5]ST,D-D'!F32</f>
        <v>-44.895720919969008</v>
      </c>
      <c r="H520" s="606">
        <f>'[5]ST,D-D'!G32</f>
        <v>-99.670071587903649</v>
      </c>
      <c r="I520" s="606">
        <f>'[5]ST,D-D'!H32</f>
        <v>0</v>
      </c>
      <c r="J520" s="606">
        <f>'[5]ST,D-D'!I32</f>
        <v>-75.913436128780305</v>
      </c>
      <c r="K520" s="606">
        <f>'[5]ST,D-D'!J32</f>
        <v>-37.033177285370741</v>
      </c>
      <c r="L520" s="606">
        <f>'[5]ST,D-D'!K32</f>
        <v>-92.222692902545447</v>
      </c>
      <c r="M520" s="606">
        <f>'[5]ST,D-D'!L32</f>
        <v>-74.288354412370879</v>
      </c>
      <c r="N520" s="606">
        <f>'[5]ST,D-D'!M32</f>
        <v>21.266684128901133</v>
      </c>
      <c r="O520" s="606">
        <f>'[5]ST,D-D'!N32</f>
        <v>0</v>
      </c>
      <c r="P520" s="606">
        <f>'[5]ST,D-D'!O32</f>
        <v>0</v>
      </c>
      <c r="Q520" s="606">
        <f>SUM(E520:P520)</f>
        <v>-655.55282535454887</v>
      </c>
      <c r="R520" s="605"/>
      <c r="S520" s="605"/>
      <c r="T520" s="605"/>
    </row>
    <row r="521" spans="3:20" x14ac:dyDescent="0.25">
      <c r="C521" s="811" t="s">
        <v>428</v>
      </c>
      <c r="D521" s="812"/>
      <c r="E521" s="606">
        <f t="shared" ref="E521:Q521" si="185">E519+E520</f>
        <v>-141.65698319472114</v>
      </c>
      <c r="F521" s="606">
        <f t="shared" si="185"/>
        <v>-111.13907305178888</v>
      </c>
      <c r="G521" s="606">
        <f t="shared" si="185"/>
        <v>-44.895720919969008</v>
      </c>
      <c r="H521" s="606">
        <f t="shared" si="185"/>
        <v>-99.670071587903649</v>
      </c>
      <c r="I521" s="606">
        <f t="shared" si="185"/>
        <v>0</v>
      </c>
      <c r="J521" s="606">
        <f t="shared" si="185"/>
        <v>-75.913436128780305</v>
      </c>
      <c r="K521" s="606">
        <f t="shared" si="185"/>
        <v>-37.033177285370741</v>
      </c>
      <c r="L521" s="606">
        <f t="shared" si="185"/>
        <v>-92.222692902545447</v>
      </c>
      <c r="M521" s="606">
        <f t="shared" si="185"/>
        <v>-74.288354412370879</v>
      </c>
      <c r="N521" s="606">
        <f t="shared" si="185"/>
        <v>21.266684128901133</v>
      </c>
      <c r="O521" s="606">
        <f t="shared" si="185"/>
        <v>0</v>
      </c>
      <c r="P521" s="606">
        <f t="shared" si="185"/>
        <v>0</v>
      </c>
      <c r="Q521" s="606">
        <f t="shared" si="185"/>
        <v>-655.55282535454887</v>
      </c>
      <c r="R521" s="605"/>
      <c r="S521" s="605"/>
      <c r="T521" s="605"/>
    </row>
    <row r="522" spans="3:20" x14ac:dyDescent="0.25">
      <c r="C522" s="811" t="s">
        <v>220</v>
      </c>
      <c r="D522" s="812"/>
      <c r="E522" s="618">
        <f t="shared" ref="E522:Q522" si="186">E396+E442+E451+E461+E487+E517+E521</f>
        <v>612.54073530764163</v>
      </c>
      <c r="F522" s="618">
        <f t="shared" si="186"/>
        <v>387.21489034336344</v>
      </c>
      <c r="G522" s="618">
        <f t="shared" si="186"/>
        <v>418.32037298370193</v>
      </c>
      <c r="H522" s="618">
        <f t="shared" si="186"/>
        <v>569.10917834978659</v>
      </c>
      <c r="I522" s="618">
        <f t="shared" si="186"/>
        <v>764.9520118515245</v>
      </c>
      <c r="J522" s="618">
        <f t="shared" si="186"/>
        <v>613.46309434508703</v>
      </c>
      <c r="K522" s="618">
        <f t="shared" si="186"/>
        <v>837.76652340616579</v>
      </c>
      <c r="L522" s="618">
        <f t="shared" si="186"/>
        <v>569.25129017151539</v>
      </c>
      <c r="M522" s="618">
        <f t="shared" si="186"/>
        <v>594.66415864696751</v>
      </c>
      <c r="N522" s="618">
        <f t="shared" si="186"/>
        <v>824.30276416490494</v>
      </c>
      <c r="O522" s="618">
        <f t="shared" si="186"/>
        <v>942.40311151847663</v>
      </c>
      <c r="P522" s="618">
        <f t="shared" si="186"/>
        <v>1138.9546539173737</v>
      </c>
      <c r="Q522" s="618">
        <f t="shared" si="186"/>
        <v>8272.9427850065094</v>
      </c>
      <c r="R522" s="605"/>
      <c r="S522" s="605"/>
      <c r="T522" s="605"/>
    </row>
    <row r="523" spans="3:20" x14ac:dyDescent="0.25">
      <c r="C523" s="605"/>
      <c r="D523" s="627"/>
      <c r="E523" s="627"/>
      <c r="F523" s="605"/>
      <c r="G523" s="605"/>
      <c r="H523" s="605"/>
      <c r="I523" s="605"/>
      <c r="J523" s="605"/>
      <c r="K523" s="605"/>
      <c r="L523" s="605"/>
      <c r="M523" s="605"/>
      <c r="N523" s="605"/>
      <c r="O523" s="605"/>
      <c r="P523" s="605"/>
      <c r="Q523" s="605"/>
      <c r="R523" s="605"/>
      <c r="S523" s="605"/>
      <c r="T523" s="605"/>
    </row>
    <row r="524" spans="3:20" x14ac:dyDescent="0.25">
      <c r="E524" s="24"/>
    </row>
    <row r="525" spans="3:20" x14ac:dyDescent="0.25">
      <c r="E525" s="24"/>
    </row>
  </sheetData>
  <mergeCells count="91"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49:D49"/>
    <mergeCell ref="C31:C48"/>
    <mergeCell ref="C50:D50"/>
    <mergeCell ref="C51:D51"/>
    <mergeCell ref="C52:D52"/>
    <mergeCell ref="C78:D78"/>
    <mergeCell ref="C79:D79"/>
    <mergeCell ref="C80:C83"/>
    <mergeCell ref="C95:D95"/>
    <mergeCell ref="C94:D94"/>
    <mergeCell ref="C104:D104"/>
    <mergeCell ref="C105:D105"/>
    <mergeCell ref="C114:D114"/>
    <mergeCell ref="C115:D115"/>
    <mergeCell ref="C96:D96"/>
    <mergeCell ref="C355:D355"/>
    <mergeCell ref="C356:D356"/>
    <mergeCell ref="C357:C374"/>
    <mergeCell ref="C375:D375"/>
    <mergeCell ref="E181:Q181"/>
    <mergeCell ref="C184:D184"/>
    <mergeCell ref="C185:D185"/>
    <mergeCell ref="C186:C203"/>
    <mergeCell ref="C204:D204"/>
    <mergeCell ref="C206:C223"/>
    <mergeCell ref="C224:D224"/>
    <mergeCell ref="C225:D225"/>
    <mergeCell ref="C181:C183"/>
    <mergeCell ref="D181:D183"/>
    <mergeCell ref="C205:D205"/>
    <mergeCell ref="C376:D376"/>
    <mergeCell ref="C377:C394"/>
    <mergeCell ref="C395:D395"/>
    <mergeCell ref="C396:D396"/>
    <mergeCell ref="C442:D442"/>
    <mergeCell ref="C426:D426"/>
    <mergeCell ref="C427:C430"/>
    <mergeCell ref="C441:D441"/>
    <mergeCell ref="C425:D425"/>
    <mergeCell ref="C399:C408"/>
    <mergeCell ref="C398:D398"/>
    <mergeCell ref="C397:D397"/>
    <mergeCell ref="C521:D521"/>
    <mergeCell ref="C522:D522"/>
    <mergeCell ref="C461:D461"/>
    <mergeCell ref="C462:D462"/>
    <mergeCell ref="C487:D487"/>
    <mergeCell ref="C488:D488"/>
    <mergeCell ref="C517:D517"/>
    <mergeCell ref="C518:D518"/>
    <mergeCell ref="C443:D443"/>
    <mergeCell ref="C451:D451"/>
    <mergeCell ref="C452:D452"/>
    <mergeCell ref="C226:D226"/>
    <mergeCell ref="C227:D227"/>
    <mergeCell ref="C316:D316"/>
    <mergeCell ref="C253:D253"/>
    <mergeCell ref="C254:D254"/>
    <mergeCell ref="C255:C258"/>
    <mergeCell ref="C269:D269"/>
    <mergeCell ref="C270:D270"/>
    <mergeCell ref="C271:D271"/>
    <mergeCell ref="C279:D279"/>
    <mergeCell ref="C280:D280"/>
    <mergeCell ref="C289:D289"/>
    <mergeCell ref="C290:D290"/>
    <mergeCell ref="C2:Q2"/>
    <mergeCell ref="C347:D347"/>
    <mergeCell ref="C348:D348"/>
    <mergeCell ref="C352:C354"/>
    <mergeCell ref="D352:D354"/>
    <mergeCell ref="C315:D315"/>
    <mergeCell ref="C343:D343"/>
    <mergeCell ref="C344:D344"/>
    <mergeCell ref="C228:C236"/>
    <mergeCell ref="E352:Q352"/>
    <mergeCell ref="C172:D172"/>
    <mergeCell ref="C173:D173"/>
    <mergeCell ref="C176:D176"/>
    <mergeCell ref="C177:D177"/>
    <mergeCell ref="C141:D141"/>
    <mergeCell ref="C140:D140"/>
  </mergeCells>
  <pageMargins left="0.7" right="0.7" top="0.75" bottom="0.75" header="0.3" footer="0.3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Q58"/>
  <sheetViews>
    <sheetView showGridLines="0" topLeftCell="A13" zoomScale="67" zoomScaleNormal="90" workbookViewId="0">
      <selection activeCell="K17" sqref="K17"/>
    </sheetView>
  </sheetViews>
  <sheetFormatPr defaultColWidth="9.33203125" defaultRowHeight="13.8" x14ac:dyDescent="0.25"/>
  <cols>
    <col min="1" max="1" width="6.6640625" style="5" customWidth="1"/>
    <col min="2" max="2" width="6.33203125" style="5" customWidth="1"/>
    <col min="3" max="3" width="47.5546875" style="5" customWidth="1"/>
    <col min="4" max="4" width="19.44140625" style="5" customWidth="1"/>
    <col min="5" max="5" width="14.6640625" style="5" hidden="1" customWidth="1"/>
    <col min="6" max="6" width="14" style="5" hidden="1" customWidth="1"/>
    <col min="7" max="7" width="14.33203125" style="5" hidden="1" customWidth="1"/>
    <col min="8" max="8" width="15.5546875" style="5" hidden="1" customWidth="1"/>
    <col min="9" max="10" width="15.6640625" style="5" hidden="1" customWidth="1"/>
    <col min="11" max="11" width="0.33203125" style="5" customWidth="1"/>
    <col min="12" max="13" width="18.5546875" style="5" customWidth="1"/>
    <col min="14" max="16" width="14.6640625" style="5" hidden="1" customWidth="1"/>
    <col min="17" max="17" width="15.6640625" style="5" hidden="1" customWidth="1"/>
    <col min="18" max="16384" width="9.33203125" style="5"/>
  </cols>
  <sheetData>
    <row r="2" spans="2:17" x14ac:dyDescent="0.25">
      <c r="C2" s="4"/>
      <c r="D2" s="4"/>
      <c r="E2" s="4"/>
      <c r="F2" s="4"/>
      <c r="G2" s="4"/>
      <c r="H2" s="4"/>
      <c r="I2" s="23" t="s">
        <v>38</v>
      </c>
      <c r="J2" s="4"/>
      <c r="K2" s="4"/>
      <c r="L2" s="4"/>
      <c r="M2" s="4"/>
      <c r="N2" s="4"/>
      <c r="O2" s="4"/>
      <c r="P2" s="4"/>
      <c r="Q2" s="4"/>
    </row>
    <row r="3" spans="2:17" s="3" customFormat="1" x14ac:dyDescent="0.25">
      <c r="C3" s="4"/>
      <c r="D3" s="4"/>
      <c r="E3" s="4"/>
      <c r="F3" s="4"/>
      <c r="G3" s="4"/>
      <c r="H3" s="4"/>
      <c r="I3" s="25" t="s">
        <v>128</v>
      </c>
      <c r="J3" s="4"/>
      <c r="K3" s="4"/>
      <c r="L3" s="4"/>
      <c r="M3" s="4"/>
      <c r="N3" s="4"/>
      <c r="O3" s="4"/>
      <c r="P3" s="4"/>
      <c r="Q3" s="4"/>
    </row>
    <row r="4" spans="2:17" x14ac:dyDescent="0.25">
      <c r="B4" s="23" t="s">
        <v>129</v>
      </c>
      <c r="C4" s="26" t="s">
        <v>130</v>
      </c>
    </row>
    <row r="5" spans="2:17" x14ac:dyDescent="0.25">
      <c r="Q5" s="16" t="s">
        <v>3</v>
      </c>
    </row>
    <row r="6" spans="2:17" ht="12.75" customHeight="1" x14ac:dyDescent="0.25">
      <c r="B6" s="731" t="s">
        <v>4</v>
      </c>
      <c r="C6" s="734" t="s">
        <v>5</v>
      </c>
      <c r="D6" s="734" t="s">
        <v>6</v>
      </c>
      <c r="E6" s="736" t="s">
        <v>7</v>
      </c>
      <c r="F6" s="737"/>
      <c r="G6" s="738"/>
      <c r="H6" s="736" t="s">
        <v>131</v>
      </c>
      <c r="I6" s="737"/>
      <c r="J6" s="737"/>
      <c r="K6" s="737"/>
      <c r="L6" s="728" t="s">
        <v>9</v>
      </c>
      <c r="M6" s="728"/>
      <c r="N6" s="728"/>
      <c r="O6" s="728"/>
      <c r="P6" s="728"/>
      <c r="Q6" s="729" t="s">
        <v>132</v>
      </c>
    </row>
    <row r="7" spans="2:17" ht="30" customHeight="1" x14ac:dyDescent="0.25">
      <c r="B7" s="732"/>
      <c r="C7" s="734"/>
      <c r="D7" s="734"/>
      <c r="E7" s="518" t="s">
        <v>10</v>
      </c>
      <c r="F7" s="518" t="s">
        <v>133</v>
      </c>
      <c r="G7" s="518" t="s">
        <v>12</v>
      </c>
      <c r="H7" s="518" t="s">
        <v>10</v>
      </c>
      <c r="I7" s="518" t="s">
        <v>13</v>
      </c>
      <c r="J7" s="518" t="s">
        <v>14</v>
      </c>
      <c r="K7" s="518" t="s">
        <v>134</v>
      </c>
      <c r="L7" s="518" t="s">
        <v>135</v>
      </c>
      <c r="M7" s="518" t="s">
        <v>136</v>
      </c>
      <c r="N7" s="518" t="s">
        <v>137</v>
      </c>
      <c r="O7" s="518" t="s">
        <v>138</v>
      </c>
      <c r="P7" s="518" t="s">
        <v>139</v>
      </c>
      <c r="Q7" s="729"/>
    </row>
    <row r="8" spans="2:17" ht="28.95" customHeight="1" x14ac:dyDescent="0.25">
      <c r="B8" s="733"/>
      <c r="C8" s="735"/>
      <c r="D8" s="735"/>
      <c r="E8" s="518" t="s">
        <v>21</v>
      </c>
      <c r="F8" s="518" t="s">
        <v>22</v>
      </c>
      <c r="G8" s="518" t="s">
        <v>23</v>
      </c>
      <c r="H8" s="518" t="s">
        <v>21</v>
      </c>
      <c r="I8" s="518" t="s">
        <v>140</v>
      </c>
      <c r="J8" s="518" t="s">
        <v>140</v>
      </c>
      <c r="K8" s="518" t="s">
        <v>140</v>
      </c>
      <c r="L8" s="518" t="s">
        <v>26</v>
      </c>
      <c r="M8" s="518" t="s">
        <v>26</v>
      </c>
      <c r="N8" s="518" t="s">
        <v>26</v>
      </c>
      <c r="O8" s="518" t="s">
        <v>26</v>
      </c>
      <c r="P8" s="518" t="s">
        <v>26</v>
      </c>
      <c r="Q8" s="730"/>
    </row>
    <row r="9" spans="2:17" x14ac:dyDescent="0.25">
      <c r="B9" s="519">
        <v>1</v>
      </c>
      <c r="C9" s="520" t="s">
        <v>141</v>
      </c>
      <c r="D9" s="517" t="s">
        <v>70</v>
      </c>
      <c r="E9" s="517"/>
      <c r="F9" s="521" t="e">
        <f>F47</f>
        <v>#REF!</v>
      </c>
      <c r="G9" s="521" t="e">
        <f>F9-E9</f>
        <v>#REF!</v>
      </c>
      <c r="H9" s="522">
        <f>H47</f>
        <v>10750.47</v>
      </c>
      <c r="I9" s="522">
        <f t="shared" ref="I9:P9" si="0">I47</f>
        <v>6431.6733456433776</v>
      </c>
      <c r="J9" s="522">
        <f t="shared" si="0"/>
        <v>7254.0392850392118</v>
      </c>
      <c r="K9" s="522">
        <f t="shared" si="0"/>
        <v>13685.71263068259</v>
      </c>
      <c r="L9" s="522">
        <f>L47</f>
        <v>11494</v>
      </c>
      <c r="M9" s="522">
        <f>M47</f>
        <v>14041.67559620373</v>
      </c>
      <c r="N9" s="522">
        <f t="shared" si="0"/>
        <v>14736.327872289767</v>
      </c>
      <c r="O9" s="522">
        <f t="shared" si="0"/>
        <v>15750.551087096273</v>
      </c>
      <c r="P9" s="522">
        <f t="shared" si="0"/>
        <v>16359.855569823594</v>
      </c>
      <c r="Q9" s="2"/>
    </row>
    <row r="10" spans="2:17" x14ac:dyDescent="0.25">
      <c r="B10" s="519">
        <f>B9+1</f>
        <v>2</v>
      </c>
      <c r="C10" s="520" t="s">
        <v>142</v>
      </c>
      <c r="D10" s="517" t="s">
        <v>74</v>
      </c>
      <c r="E10" s="517"/>
      <c r="F10" s="521" t="e">
        <f>F48</f>
        <v>#REF!</v>
      </c>
      <c r="G10" s="521" t="e">
        <f t="shared" ref="G10:G20" si="1">F10-E10</f>
        <v>#REF!</v>
      </c>
      <c r="H10" s="522">
        <f>H48</f>
        <v>451.19</v>
      </c>
      <c r="I10" s="522">
        <f t="shared" ref="I10:P10" si="2">I48</f>
        <v>0</v>
      </c>
      <c r="J10" s="522">
        <f t="shared" si="2"/>
        <v>0</v>
      </c>
      <c r="K10" s="522">
        <f t="shared" si="2"/>
        <v>715.66519036669627</v>
      </c>
      <c r="L10" s="522">
        <f t="shared" si="2"/>
        <v>678</v>
      </c>
      <c r="M10" s="522">
        <f t="shared" si="2"/>
        <v>711</v>
      </c>
      <c r="N10" s="522">
        <f t="shared" si="2"/>
        <v>747.25819841824193</v>
      </c>
      <c r="O10" s="522">
        <f t="shared" si="2"/>
        <v>784.62110833915415</v>
      </c>
      <c r="P10" s="522">
        <f t="shared" si="2"/>
        <v>823.85216375611185</v>
      </c>
      <c r="Q10" s="2"/>
    </row>
    <row r="11" spans="2:17" x14ac:dyDescent="0.25">
      <c r="B11" s="519">
        <f>B10+1</f>
        <v>3</v>
      </c>
      <c r="C11" s="520" t="s">
        <v>143</v>
      </c>
      <c r="D11" s="517" t="s">
        <v>74</v>
      </c>
      <c r="E11" s="517"/>
      <c r="F11" s="521">
        <f>F49</f>
        <v>1005.9486699</v>
      </c>
      <c r="G11" s="521">
        <f t="shared" si="1"/>
        <v>1005.9486699</v>
      </c>
      <c r="H11" s="522">
        <f>H49</f>
        <v>1126.29</v>
      </c>
      <c r="I11" s="522">
        <f t="shared" ref="I11:P11" si="3">I49</f>
        <v>0</v>
      </c>
      <c r="J11" s="522">
        <f t="shared" si="3"/>
        <v>0</v>
      </c>
      <c r="K11" s="522">
        <f t="shared" si="3"/>
        <v>1126.2939468</v>
      </c>
      <c r="L11" s="522">
        <f t="shared" si="3"/>
        <v>919</v>
      </c>
      <c r="M11" s="522">
        <f t="shared" si="3"/>
        <v>613</v>
      </c>
      <c r="N11" s="522">
        <f t="shared" si="3"/>
        <v>1313.3875400000002</v>
      </c>
      <c r="O11" s="522">
        <f t="shared" si="3"/>
        <v>1475.3949349999998</v>
      </c>
      <c r="P11" s="522">
        <f t="shared" si="3"/>
        <v>1617.6207650000001</v>
      </c>
      <c r="Q11" s="2"/>
    </row>
    <row r="12" spans="2:17" x14ac:dyDescent="0.25">
      <c r="B12" s="519">
        <f>B11+1</f>
        <v>4</v>
      </c>
      <c r="C12" s="520" t="s">
        <v>144</v>
      </c>
      <c r="D12" s="517" t="s">
        <v>74</v>
      </c>
      <c r="E12" s="517"/>
      <c r="F12" s="521">
        <f>F50</f>
        <v>13.235678800000001</v>
      </c>
      <c r="G12" s="521">
        <f t="shared" si="1"/>
        <v>13.235678800000001</v>
      </c>
      <c r="H12" s="522">
        <f>H50</f>
        <v>13.69</v>
      </c>
      <c r="I12" s="522">
        <f t="shared" ref="I12:P12" si="4">I50</f>
        <v>0</v>
      </c>
      <c r="J12" s="522">
        <f t="shared" si="4"/>
        <v>0</v>
      </c>
      <c r="K12" s="522">
        <f t="shared" si="4"/>
        <v>13.689398799999999</v>
      </c>
      <c r="L12" s="522">
        <f t="shared" si="4"/>
        <v>25</v>
      </c>
      <c r="M12" s="522">
        <f t="shared" si="4"/>
        <v>22</v>
      </c>
      <c r="N12" s="522">
        <f t="shared" si="4"/>
        <v>32.47157</v>
      </c>
      <c r="O12" s="522">
        <f t="shared" si="4"/>
        <v>33.596559999999997</v>
      </c>
      <c r="P12" s="522">
        <f t="shared" si="4"/>
        <v>34.783394999999999</v>
      </c>
      <c r="Q12" s="2"/>
    </row>
    <row r="13" spans="2:17" x14ac:dyDescent="0.25">
      <c r="B13" s="519">
        <f t="shared" ref="B13:B21" si="5">B12+1</f>
        <v>5</v>
      </c>
      <c r="C13" s="520" t="s">
        <v>145</v>
      </c>
      <c r="D13" s="517"/>
      <c r="E13" s="517"/>
      <c r="F13" s="521"/>
      <c r="G13" s="521"/>
      <c r="H13" s="522">
        <f>H40</f>
        <v>4081.4166</v>
      </c>
      <c r="I13" s="522">
        <f t="shared" ref="I13:P13" si="6">I40</f>
        <v>0</v>
      </c>
      <c r="J13" s="522">
        <f t="shared" si="6"/>
        <v>0</v>
      </c>
      <c r="K13" s="522">
        <f t="shared" si="6"/>
        <v>4081.4166</v>
      </c>
      <c r="L13" s="522">
        <f t="shared" si="6"/>
        <v>3546.8956388474453</v>
      </c>
      <c r="M13" s="522">
        <f t="shared" si="6"/>
        <v>3927.9433475205828</v>
      </c>
      <c r="N13" s="522">
        <f t="shared" si="6"/>
        <v>4198.2120470037771</v>
      </c>
      <c r="O13" s="522">
        <f t="shared" si="6"/>
        <v>4591.9277170310443</v>
      </c>
      <c r="P13" s="522">
        <f t="shared" si="6"/>
        <v>5025.8428334630853</v>
      </c>
      <c r="Q13" s="2"/>
    </row>
    <row r="14" spans="2:17" x14ac:dyDescent="0.25">
      <c r="B14" s="519">
        <f t="shared" si="5"/>
        <v>6</v>
      </c>
      <c r="C14" s="520" t="s">
        <v>146</v>
      </c>
      <c r="D14" s="517" t="s">
        <v>76</v>
      </c>
      <c r="E14" s="517"/>
      <c r="F14" s="521" t="e">
        <f>F29+F51</f>
        <v>#REF!</v>
      </c>
      <c r="G14" s="521" t="e">
        <f t="shared" si="1"/>
        <v>#REF!</v>
      </c>
      <c r="H14" s="522">
        <f>H51</f>
        <v>0</v>
      </c>
      <c r="I14" s="522">
        <f t="shared" ref="I14:P14" si="7">I51</f>
        <v>0</v>
      </c>
      <c r="J14" s="522">
        <f t="shared" si="7"/>
        <v>0</v>
      </c>
      <c r="K14" s="522">
        <f t="shared" si="7"/>
        <v>0</v>
      </c>
      <c r="L14" s="522">
        <f t="shared" si="7"/>
        <v>314.56002199458635</v>
      </c>
      <c r="M14" s="522">
        <f t="shared" si="7"/>
        <v>333.64380090908094</v>
      </c>
      <c r="N14" s="522">
        <f t="shared" si="7"/>
        <v>391.83088416858629</v>
      </c>
      <c r="O14" s="522">
        <f t="shared" si="7"/>
        <v>421.2683027094476</v>
      </c>
      <c r="P14" s="522">
        <f t="shared" si="7"/>
        <v>452.76356072975051</v>
      </c>
      <c r="Q14" s="2"/>
    </row>
    <row r="15" spans="2:17" x14ac:dyDescent="0.25">
      <c r="B15" s="519">
        <f t="shared" si="5"/>
        <v>7</v>
      </c>
      <c r="C15" s="523" t="s">
        <v>147</v>
      </c>
      <c r="D15" s="517" t="s">
        <v>87</v>
      </c>
      <c r="E15" s="517"/>
      <c r="F15" s="521" t="e">
        <f>F30+F52</f>
        <v>#REF!</v>
      </c>
      <c r="G15" s="521" t="e">
        <f t="shared" si="1"/>
        <v>#REF!</v>
      </c>
      <c r="H15" s="522">
        <f>H52</f>
        <v>0</v>
      </c>
      <c r="I15" s="522">
        <f t="shared" ref="I15:P15" si="8">I52</f>
        <v>0</v>
      </c>
      <c r="J15" s="522">
        <f t="shared" si="8"/>
        <v>0</v>
      </c>
      <c r="K15" s="522">
        <f t="shared" si="8"/>
        <v>0</v>
      </c>
      <c r="L15" s="522">
        <f t="shared" si="8"/>
        <v>41.4177201197733</v>
      </c>
      <c r="M15" s="522">
        <f t="shared" si="8"/>
        <v>45.976523851538531</v>
      </c>
      <c r="N15" s="522">
        <f t="shared" si="8"/>
        <v>64.510271313819672</v>
      </c>
      <c r="O15" s="522">
        <f t="shared" si="8"/>
        <v>79.033300309158108</v>
      </c>
      <c r="P15" s="522">
        <f t="shared" si="8"/>
        <v>95.558905976621844</v>
      </c>
      <c r="Q15" s="2"/>
    </row>
    <row r="16" spans="2:17" x14ac:dyDescent="0.25">
      <c r="B16" s="519">
        <f t="shared" si="5"/>
        <v>8</v>
      </c>
      <c r="C16" s="520" t="s">
        <v>90</v>
      </c>
      <c r="D16" s="517" t="s">
        <v>89</v>
      </c>
      <c r="E16" s="517"/>
      <c r="F16" s="521" t="e">
        <f>F31+F53</f>
        <v>#REF!</v>
      </c>
      <c r="G16" s="521" t="e">
        <f t="shared" si="1"/>
        <v>#REF!</v>
      </c>
      <c r="H16" s="522">
        <f>H53</f>
        <v>0</v>
      </c>
      <c r="I16" s="522">
        <f t="shared" ref="I16:P16" si="9">I53</f>
        <v>0</v>
      </c>
      <c r="J16" s="522">
        <f t="shared" si="9"/>
        <v>0</v>
      </c>
      <c r="K16" s="522">
        <f t="shared" si="9"/>
        <v>0</v>
      </c>
      <c r="L16" s="522">
        <f t="shared" si="9"/>
        <v>34.878130420350907</v>
      </c>
      <c r="M16" s="522">
        <f t="shared" si="9"/>
        <v>42.49248684955267</v>
      </c>
      <c r="N16" s="522">
        <f t="shared" si="9"/>
        <v>56.084153166087745</v>
      </c>
      <c r="O16" s="522">
        <f t="shared" si="9"/>
        <v>68.503225759357392</v>
      </c>
      <c r="P16" s="522">
        <f t="shared" si="9"/>
        <v>80.15005972141455</v>
      </c>
      <c r="Q16" s="2"/>
    </row>
    <row r="17" spans="2:17" x14ac:dyDescent="0.25">
      <c r="B17" s="519">
        <f t="shared" si="5"/>
        <v>9</v>
      </c>
      <c r="C17" s="520" t="s">
        <v>94</v>
      </c>
      <c r="D17" s="517" t="s">
        <v>93</v>
      </c>
      <c r="E17" s="517"/>
      <c r="F17" s="521"/>
      <c r="G17" s="521"/>
      <c r="H17" s="522">
        <f>H55</f>
        <v>0</v>
      </c>
      <c r="I17" s="522">
        <f t="shared" ref="I17:P17" si="10">I55</f>
        <v>0</v>
      </c>
      <c r="J17" s="522">
        <f t="shared" si="10"/>
        <v>0</v>
      </c>
      <c r="K17" s="522">
        <f t="shared" si="10"/>
        <v>0</v>
      </c>
      <c r="L17" s="522">
        <f t="shared" si="10"/>
        <v>12.692639524144136</v>
      </c>
      <c r="M17" s="522">
        <f t="shared" si="10"/>
        <v>23.232351902881419</v>
      </c>
      <c r="N17" s="522">
        <f t="shared" si="10"/>
        <v>22.244890926740194</v>
      </c>
      <c r="O17" s="522">
        <f t="shared" si="10"/>
        <v>30.025917018560872</v>
      </c>
      <c r="P17" s="522">
        <f t="shared" si="10"/>
        <v>38.020278342051192</v>
      </c>
      <c r="Q17" s="2"/>
    </row>
    <row r="18" spans="2:17" x14ac:dyDescent="0.25">
      <c r="B18" s="519">
        <f t="shared" si="5"/>
        <v>10</v>
      </c>
      <c r="C18" s="524" t="s">
        <v>148</v>
      </c>
      <c r="D18" s="517" t="s">
        <v>91</v>
      </c>
      <c r="E18" s="517"/>
      <c r="F18" s="521" t="e">
        <f>F32+F54</f>
        <v>#REF!</v>
      </c>
      <c r="G18" s="521" t="e">
        <f t="shared" si="1"/>
        <v>#REF!</v>
      </c>
      <c r="H18" s="522">
        <f>H54</f>
        <v>0</v>
      </c>
      <c r="I18" s="522">
        <f t="shared" ref="I18:P18" si="11">I54</f>
        <v>0</v>
      </c>
      <c r="J18" s="522">
        <f t="shared" si="11"/>
        <v>0</v>
      </c>
      <c r="K18" s="522">
        <f t="shared" si="11"/>
        <v>0</v>
      </c>
      <c r="L18" s="522">
        <f t="shared" si="11"/>
        <v>0</v>
      </c>
      <c r="M18" s="522">
        <f t="shared" si="11"/>
        <v>0</v>
      </c>
      <c r="N18" s="522">
        <f t="shared" si="11"/>
        <v>12.154252237671599</v>
      </c>
      <c r="O18" s="522">
        <f t="shared" si="11"/>
        <v>25.330347382287684</v>
      </c>
      <c r="P18" s="522">
        <f t="shared" si="11"/>
        <v>37.290751917263925</v>
      </c>
      <c r="Q18" s="2"/>
    </row>
    <row r="19" spans="2:17" x14ac:dyDescent="0.25">
      <c r="B19" s="519">
        <f t="shared" si="5"/>
        <v>11</v>
      </c>
      <c r="C19" s="525" t="s">
        <v>149</v>
      </c>
      <c r="D19" s="517" t="s">
        <v>91</v>
      </c>
      <c r="E19" s="517"/>
      <c r="F19" s="521" t="e">
        <f>F56</f>
        <v>#REF!</v>
      </c>
      <c r="G19" s="521" t="e">
        <f t="shared" si="1"/>
        <v>#REF!</v>
      </c>
      <c r="H19" s="522">
        <f>H56</f>
        <v>78.77</v>
      </c>
      <c r="I19" s="522">
        <f t="shared" ref="I19:P19" si="12">I56</f>
        <v>0</v>
      </c>
      <c r="J19" s="522">
        <f t="shared" si="12"/>
        <v>0</v>
      </c>
      <c r="K19" s="522" t="e">
        <f t="shared" si="12"/>
        <v>#REF!</v>
      </c>
      <c r="L19" s="522">
        <f t="shared" si="12"/>
        <v>99.203014954797041</v>
      </c>
      <c r="M19" s="522">
        <f t="shared" si="12"/>
        <v>105.36778073914364</v>
      </c>
      <c r="N19" s="522" t="e">
        <f t="shared" si="12"/>
        <v>#REF!</v>
      </c>
      <c r="O19" s="522" t="e">
        <f t="shared" si="12"/>
        <v>#REF!</v>
      </c>
      <c r="P19" s="522" t="e">
        <f t="shared" si="12"/>
        <v>#REF!</v>
      </c>
      <c r="Q19" s="2"/>
    </row>
    <row r="20" spans="2:17" x14ac:dyDescent="0.25">
      <c r="B20" s="519">
        <f t="shared" si="5"/>
        <v>12</v>
      </c>
      <c r="C20" s="520" t="s">
        <v>1231</v>
      </c>
      <c r="D20" s="520"/>
      <c r="E20" s="517"/>
      <c r="F20" s="521" t="e">
        <f>F33+#REF!</f>
        <v>#REF!</v>
      </c>
      <c r="G20" s="521" t="e">
        <f t="shared" si="1"/>
        <v>#REF!</v>
      </c>
      <c r="H20" s="522">
        <v>31.27</v>
      </c>
      <c r="I20" s="522"/>
      <c r="J20" s="522"/>
      <c r="K20" s="522">
        <v>31</v>
      </c>
      <c r="L20" s="522">
        <v>-120</v>
      </c>
      <c r="M20" s="522">
        <v>-52</v>
      </c>
      <c r="N20" s="522">
        <v>0</v>
      </c>
      <c r="O20" s="522">
        <v>0</v>
      </c>
      <c r="P20" s="522">
        <v>0</v>
      </c>
      <c r="Q20" s="2"/>
    </row>
    <row r="21" spans="2:17" x14ac:dyDescent="0.25">
      <c r="B21" s="519">
        <f t="shared" si="5"/>
        <v>13</v>
      </c>
      <c r="C21" s="526" t="s">
        <v>45</v>
      </c>
      <c r="D21" s="517"/>
      <c r="E21" s="527" t="e">
        <f>SUM(E9:E20)-SUM(#REF!)+#REF!</f>
        <v>#REF!</v>
      </c>
      <c r="F21" s="527" t="e">
        <f>SUM(F9:F20)-SUM(#REF!)+#REF!</f>
        <v>#REF!</v>
      </c>
      <c r="G21" s="527" t="e">
        <f>SUM(G9:G20)-SUM(#REF!)+#REF!</f>
        <v>#REF!</v>
      </c>
      <c r="H21" s="528">
        <f>SUM(H9:H20)</f>
        <v>16533.096600000001</v>
      </c>
      <c r="I21" s="528">
        <f t="shared" ref="I21:P21" si="13">SUM(I9:I20)</f>
        <v>6431.6733456433776</v>
      </c>
      <c r="J21" s="528">
        <f t="shared" si="13"/>
        <v>7254.0392850392118</v>
      </c>
      <c r="K21" s="528" t="e">
        <f t="shared" si="13"/>
        <v>#REF!</v>
      </c>
      <c r="L21" s="528">
        <f t="shared" si="13"/>
        <v>17045.647165861097</v>
      </c>
      <c r="M21" s="528">
        <f t="shared" si="13"/>
        <v>19814.331887976507</v>
      </c>
      <c r="N21" s="528" t="e">
        <f t="shared" si="13"/>
        <v>#REF!</v>
      </c>
      <c r="O21" s="528" t="e">
        <f t="shared" si="13"/>
        <v>#REF!</v>
      </c>
      <c r="P21" s="528" t="e">
        <f t="shared" si="13"/>
        <v>#REF!</v>
      </c>
      <c r="Q21" s="2"/>
    </row>
    <row r="22" spans="2:17" x14ac:dyDescent="0.25">
      <c r="B22" s="529"/>
      <c r="C22" s="530"/>
      <c r="D22" s="531"/>
      <c r="E22" s="531"/>
      <c r="F22" s="532"/>
      <c r="G22" s="532"/>
      <c r="H22" s="533"/>
      <c r="I22" s="532"/>
      <c r="J22" s="532"/>
      <c r="K22" s="533"/>
      <c r="L22" s="532"/>
      <c r="M22" s="532"/>
      <c r="N22" s="532"/>
      <c r="O22" s="532"/>
      <c r="P22" s="532"/>
    </row>
    <row r="23" spans="2:17" x14ac:dyDescent="0.25">
      <c r="B23" s="532"/>
      <c r="C23" s="532"/>
      <c r="D23" s="532"/>
      <c r="E23" s="532"/>
      <c r="F23" s="532"/>
      <c r="G23" s="532"/>
      <c r="H23" s="532"/>
      <c r="I23" s="532"/>
      <c r="J23" s="532"/>
      <c r="K23" s="533"/>
      <c r="L23" s="533"/>
      <c r="M23" s="533"/>
      <c r="N23" s="533"/>
      <c r="O23" s="533"/>
      <c r="P23" s="533"/>
    </row>
    <row r="24" spans="2:17" x14ac:dyDescent="0.25">
      <c r="B24" s="534" t="s">
        <v>150</v>
      </c>
      <c r="C24" s="535" t="s">
        <v>151</v>
      </c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</row>
    <row r="25" spans="2:17" x14ac:dyDescent="0.25">
      <c r="B25" s="532"/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532"/>
      <c r="O25" s="532"/>
      <c r="P25" s="532"/>
      <c r="Q25" s="16" t="s">
        <v>3</v>
      </c>
    </row>
    <row r="26" spans="2:17" x14ac:dyDescent="0.25">
      <c r="B26" s="731" t="s">
        <v>4</v>
      </c>
      <c r="C26" s="734" t="s">
        <v>5</v>
      </c>
      <c r="D26" s="734" t="s">
        <v>6</v>
      </c>
      <c r="E26" s="736" t="s">
        <v>7</v>
      </c>
      <c r="F26" s="737"/>
      <c r="G26" s="738"/>
      <c r="H26" s="736" t="s">
        <v>131</v>
      </c>
      <c r="I26" s="737"/>
      <c r="J26" s="737"/>
      <c r="K26" s="737"/>
      <c r="L26" s="728" t="s">
        <v>9</v>
      </c>
      <c r="M26" s="728"/>
      <c r="N26" s="728"/>
      <c r="O26" s="728"/>
      <c r="P26" s="728"/>
      <c r="Q26" s="729" t="s">
        <v>132</v>
      </c>
    </row>
    <row r="27" spans="2:17" ht="25.95" customHeight="1" x14ac:dyDescent="0.25">
      <c r="B27" s="732"/>
      <c r="C27" s="734"/>
      <c r="D27" s="734"/>
      <c r="E27" s="518" t="s">
        <v>10</v>
      </c>
      <c r="F27" s="518" t="s">
        <v>133</v>
      </c>
      <c r="G27" s="518" t="s">
        <v>12</v>
      </c>
      <c r="H27" s="518" t="s">
        <v>10</v>
      </c>
      <c r="I27" s="518" t="s">
        <v>13</v>
      </c>
      <c r="J27" s="518" t="s">
        <v>14</v>
      </c>
      <c r="K27" s="518" t="s">
        <v>134</v>
      </c>
      <c r="L27" s="518" t="s">
        <v>135</v>
      </c>
      <c r="M27" s="518" t="s">
        <v>136</v>
      </c>
      <c r="N27" s="518" t="s">
        <v>137</v>
      </c>
      <c r="O27" s="518" t="s">
        <v>138</v>
      </c>
      <c r="P27" s="518" t="s">
        <v>139</v>
      </c>
      <c r="Q27" s="729"/>
    </row>
    <row r="28" spans="2:17" ht="24" customHeight="1" x14ac:dyDescent="0.25">
      <c r="B28" s="733"/>
      <c r="C28" s="735"/>
      <c r="D28" s="735"/>
      <c r="E28" s="518" t="s">
        <v>21</v>
      </c>
      <c r="F28" s="518" t="s">
        <v>22</v>
      </c>
      <c r="G28" s="518" t="s">
        <v>23</v>
      </c>
      <c r="H28" s="518" t="s">
        <v>21</v>
      </c>
      <c r="I28" s="518" t="s">
        <v>24</v>
      </c>
      <c r="J28" s="518" t="s">
        <v>25</v>
      </c>
      <c r="K28" s="518" t="s">
        <v>25</v>
      </c>
      <c r="L28" s="518" t="s">
        <v>26</v>
      </c>
      <c r="M28" s="518" t="s">
        <v>26</v>
      </c>
      <c r="N28" s="518" t="s">
        <v>26</v>
      </c>
      <c r="O28" s="518" t="s">
        <v>26</v>
      </c>
      <c r="P28" s="518" t="s">
        <v>26</v>
      </c>
      <c r="Q28" s="730"/>
    </row>
    <row r="29" spans="2:17" x14ac:dyDescent="0.25">
      <c r="B29" s="519">
        <v>1</v>
      </c>
      <c r="C29" s="520" t="s">
        <v>146</v>
      </c>
      <c r="D29" s="517" t="s">
        <v>76</v>
      </c>
      <c r="E29" s="517"/>
      <c r="F29" s="521" t="e">
        <f>#REF!</f>
        <v>#REF!</v>
      </c>
      <c r="G29" s="521" t="e">
        <f>F29-E29</f>
        <v>#REF!</v>
      </c>
      <c r="H29" s="536">
        <v>2867.6565999999998</v>
      </c>
      <c r="I29" s="521"/>
      <c r="J29" s="521"/>
      <c r="K29" s="537">
        <f>H29</f>
        <v>2867.6565999999998</v>
      </c>
      <c r="L29" s="522">
        <f>[4]F1!L33</f>
        <v>2831.0401979512767</v>
      </c>
      <c r="M29" s="522">
        <f>[4]F1!M33</f>
        <v>3002.7942081817282</v>
      </c>
      <c r="N29" s="538">
        <f>[4]F1!N33</f>
        <v>3252.7952934315822</v>
      </c>
      <c r="O29" s="538">
        <f>[4]F1!O33</f>
        <v>3487.4987533921289</v>
      </c>
      <c r="P29" s="538">
        <f>[4]F1!P33</f>
        <v>3739.4238485265923</v>
      </c>
      <c r="Q29" s="432">
        <f>[4]F1!Q33</f>
        <v>0</v>
      </c>
    </row>
    <row r="30" spans="2:17" x14ac:dyDescent="0.25">
      <c r="B30" s="539">
        <f t="shared" ref="B30:B34" si="14">B29+1</f>
        <v>2</v>
      </c>
      <c r="C30" s="523" t="s">
        <v>147</v>
      </c>
      <c r="D30" s="517" t="s">
        <v>87</v>
      </c>
      <c r="E30" s="517"/>
      <c r="F30" s="521" t="e">
        <f>#REF!</f>
        <v>#REF!</v>
      </c>
      <c r="G30" s="521" t="e">
        <f t="shared" ref="G30:G39" si="15">F30-E30</f>
        <v>#REF!</v>
      </c>
      <c r="H30" s="540">
        <v>654.91999999999996</v>
      </c>
      <c r="I30" s="521"/>
      <c r="J30" s="521"/>
      <c r="K30" s="537">
        <f>H30</f>
        <v>654.91999999999996</v>
      </c>
      <c r="L30" s="522">
        <f>[4]F1!L34</f>
        <v>372.75948107795972</v>
      </c>
      <c r="M30" s="522">
        <f>[4]F1!M34</f>
        <v>413.78871466384675</v>
      </c>
      <c r="N30" s="538">
        <f>[4]F1!N34</f>
        <v>431.19167524981003</v>
      </c>
      <c r="O30" s="538">
        <f>[4]F1!O34</f>
        <v>487.56894996150265</v>
      </c>
      <c r="P30" s="538">
        <f>[4]F1!P34</f>
        <v>560.31062575476972</v>
      </c>
      <c r="Q30" s="432">
        <f>[4]F1!Q34</f>
        <v>0</v>
      </c>
    </row>
    <row r="31" spans="2:17" x14ac:dyDescent="0.25">
      <c r="B31" s="539">
        <f t="shared" si="14"/>
        <v>3</v>
      </c>
      <c r="C31" s="520" t="s">
        <v>90</v>
      </c>
      <c r="D31" s="517" t="s">
        <v>89</v>
      </c>
      <c r="E31" s="517"/>
      <c r="F31" s="521" t="e">
        <f>#REF!</f>
        <v>#REF!</v>
      </c>
      <c r="G31" s="521" t="e">
        <f t="shared" si="15"/>
        <v>#REF!</v>
      </c>
      <c r="H31" s="722">
        <f>680.94+46.34+20</f>
        <v>747.28000000000009</v>
      </c>
      <c r="I31" s="521"/>
      <c r="J31" s="521"/>
      <c r="K31" s="725">
        <f>H31</f>
        <v>747.28000000000009</v>
      </c>
      <c r="L31" s="522">
        <f>[4]F1!L35</f>
        <v>313.90317378315819</v>
      </c>
      <c r="M31" s="522">
        <f>[4]F1!M35</f>
        <v>382.43238164597398</v>
      </c>
      <c r="N31" s="538">
        <f>[4]F1!N35</f>
        <v>400.85431786294504</v>
      </c>
      <c r="O31" s="538">
        <f>[4]F1!O35</f>
        <v>458.78745266745506</v>
      </c>
      <c r="P31" s="538">
        <f>[4]F1!P35</f>
        <v>520.00650182078698</v>
      </c>
      <c r="Q31" s="432">
        <f>[4]F1!Q35</f>
        <v>0</v>
      </c>
    </row>
    <row r="32" spans="2:17" x14ac:dyDescent="0.25">
      <c r="B32" s="539">
        <f t="shared" si="14"/>
        <v>4</v>
      </c>
      <c r="C32" s="523" t="s">
        <v>148</v>
      </c>
      <c r="D32" s="517" t="s">
        <v>91</v>
      </c>
      <c r="E32" s="517"/>
      <c r="F32" s="521" t="e">
        <f>#REF!</f>
        <v>#REF!</v>
      </c>
      <c r="G32" s="521" t="e">
        <f t="shared" si="15"/>
        <v>#REF!</v>
      </c>
      <c r="H32" s="723"/>
      <c r="I32" s="521"/>
      <c r="J32" s="521"/>
      <c r="K32" s="726"/>
      <c r="L32" s="522">
        <f>[4]F1!L36</f>
        <v>89.46</v>
      </c>
      <c r="M32" s="522">
        <f>[4]F1!M36</f>
        <v>98.250496523005694</v>
      </c>
      <c r="N32" s="538">
        <f>[4]F1!N36</f>
        <v>101.36276786568246</v>
      </c>
      <c r="O32" s="538">
        <f>[4]F1!O36</f>
        <v>112.48086271833098</v>
      </c>
      <c r="P32" s="538">
        <f>[4]F1!P36</f>
        <v>124.28928445261499</v>
      </c>
      <c r="Q32" s="432">
        <f>[4]F1!Q36</f>
        <v>0</v>
      </c>
    </row>
    <row r="33" spans="2:17" x14ac:dyDescent="0.25">
      <c r="B33" s="539">
        <f t="shared" si="14"/>
        <v>5</v>
      </c>
      <c r="C33" s="520" t="s">
        <v>94</v>
      </c>
      <c r="D33" s="517" t="s">
        <v>93</v>
      </c>
      <c r="E33" s="517"/>
      <c r="F33" s="521" t="e">
        <f>#REF!</f>
        <v>#REF!</v>
      </c>
      <c r="G33" s="521" t="e">
        <f t="shared" si="15"/>
        <v>#REF!</v>
      </c>
      <c r="H33" s="724"/>
      <c r="I33" s="521"/>
      <c r="J33" s="521"/>
      <c r="K33" s="727"/>
      <c r="L33" s="522">
        <f>[4]F1!L37</f>
        <v>114.23375571729723</v>
      </c>
      <c r="M33" s="522">
        <f>[4]F1!M37</f>
        <v>209.09116712593274</v>
      </c>
      <c r="N33" s="538">
        <f>[4]F1!N37</f>
        <v>199.97629578668878</v>
      </c>
      <c r="O33" s="538">
        <f>[4]F1!O37</f>
        <v>238.48258318713266</v>
      </c>
      <c r="P33" s="538">
        <f>[4]F1!P37</f>
        <v>279.81096937100187</v>
      </c>
      <c r="Q33" s="432">
        <f>[4]F1!Q37</f>
        <v>0</v>
      </c>
    </row>
    <row r="34" spans="2:17" x14ac:dyDescent="0.25">
      <c r="B34" s="539">
        <f t="shared" si="14"/>
        <v>6</v>
      </c>
      <c r="C34" s="520" t="s">
        <v>152</v>
      </c>
      <c r="D34" s="517"/>
      <c r="E34" s="517"/>
      <c r="F34" s="520"/>
      <c r="G34" s="521"/>
      <c r="H34" s="541"/>
      <c r="I34" s="520"/>
      <c r="J34" s="520"/>
      <c r="K34" s="542"/>
      <c r="L34" s="522"/>
      <c r="M34" s="522"/>
      <c r="N34" s="538">
        <f>[4]F1!N38</f>
        <v>0</v>
      </c>
      <c r="O34" s="538">
        <f>[4]F1!O38</f>
        <v>0</v>
      </c>
      <c r="P34" s="538">
        <f>[4]F1!P38</f>
        <v>0</v>
      </c>
      <c r="Q34" s="432">
        <f>[4]F1!Q38</f>
        <v>0</v>
      </c>
    </row>
    <row r="35" spans="2:17" x14ac:dyDescent="0.25">
      <c r="B35" s="539">
        <v>6.1</v>
      </c>
      <c r="C35" s="520" t="s">
        <v>153</v>
      </c>
      <c r="D35" s="517" t="s">
        <v>99</v>
      </c>
      <c r="E35" s="517"/>
      <c r="F35" s="521">
        <f>'F23'!E9</f>
        <v>0</v>
      </c>
      <c r="G35" s="521">
        <f t="shared" si="15"/>
        <v>0</v>
      </c>
      <c r="H35" s="722">
        <v>188.44</v>
      </c>
      <c r="I35" s="521"/>
      <c r="J35" s="521"/>
      <c r="K35" s="725">
        <f>H35</f>
        <v>188.44</v>
      </c>
      <c r="L35" s="522">
        <f>[4]F1!L39</f>
        <v>2.6768858268067359</v>
      </c>
      <c r="M35" s="522">
        <f>[4]F1!M39</f>
        <v>3.1530550873553875</v>
      </c>
      <c r="N35" s="538">
        <f>[4]F1!N39</f>
        <v>9.2025263497320857</v>
      </c>
      <c r="O35" s="538">
        <f>[4]F1!O39</f>
        <v>10.549792515443476</v>
      </c>
      <c r="P35" s="538">
        <f>[4]F1!P39</f>
        <v>12.010482235016001</v>
      </c>
      <c r="Q35" s="432">
        <f>[4]F1!Q39</f>
        <v>0</v>
      </c>
    </row>
    <row r="36" spans="2:17" x14ac:dyDescent="0.25">
      <c r="B36" s="539">
        <v>6.2</v>
      </c>
      <c r="C36" s="520" t="s">
        <v>96</v>
      </c>
      <c r="D36" s="517" t="s">
        <v>95</v>
      </c>
      <c r="E36" s="517"/>
      <c r="F36" s="521" t="e">
        <f>#REF!</f>
        <v>#REF!</v>
      </c>
      <c r="G36" s="521" t="e">
        <f t="shared" si="15"/>
        <v>#REF!</v>
      </c>
      <c r="H36" s="723"/>
      <c r="I36" s="521"/>
      <c r="J36" s="521"/>
      <c r="K36" s="726"/>
      <c r="L36" s="522">
        <f>[4]F1!L40</f>
        <v>171.82408385544005</v>
      </c>
      <c r="M36" s="522">
        <f>[4]F1!M40</f>
        <v>175.26056553254884</v>
      </c>
      <c r="N36" s="538">
        <f>[4]F1!N40</f>
        <v>178.76577684319983</v>
      </c>
      <c r="O36" s="538">
        <f>[4]F1!O40</f>
        <v>182.34109238006383</v>
      </c>
      <c r="P36" s="538">
        <f>[4]F1!P40</f>
        <v>185.98791422766513</v>
      </c>
      <c r="Q36" s="432">
        <f>[4]F1!Q40</f>
        <v>0</v>
      </c>
    </row>
    <row r="37" spans="2:17" x14ac:dyDescent="0.25">
      <c r="B37" s="539">
        <v>6.3</v>
      </c>
      <c r="C37" s="520" t="s">
        <v>154</v>
      </c>
      <c r="D37" s="517" t="s">
        <v>97</v>
      </c>
      <c r="E37" s="517"/>
      <c r="F37" s="521">
        <f>'F22'!E19</f>
        <v>0</v>
      </c>
      <c r="G37" s="521">
        <f t="shared" si="15"/>
        <v>0</v>
      </c>
      <c r="H37" s="724"/>
      <c r="I37" s="521"/>
      <c r="J37" s="521"/>
      <c r="K37" s="727"/>
      <c r="L37" s="522">
        <f>[4]F1!L41</f>
        <v>0</v>
      </c>
      <c r="M37" s="522">
        <f>[4]F1!M41</f>
        <v>0</v>
      </c>
      <c r="N37" s="538">
        <f>[4]F1!N41</f>
        <v>0</v>
      </c>
      <c r="O37" s="538">
        <f>[4]F1!O41</f>
        <v>0</v>
      </c>
      <c r="P37" s="538">
        <f>[4]F1!P41</f>
        <v>0</v>
      </c>
      <c r="Q37" s="432">
        <f>[4]F1!Q41</f>
        <v>0</v>
      </c>
    </row>
    <row r="38" spans="2:17" hidden="1" x14ac:dyDescent="0.25">
      <c r="B38" s="539">
        <f>B34+1</f>
        <v>7</v>
      </c>
      <c r="C38" s="520" t="s">
        <v>155</v>
      </c>
      <c r="D38" s="517"/>
      <c r="E38" s="517"/>
      <c r="F38" s="520"/>
      <c r="G38" s="521"/>
      <c r="H38" s="543"/>
      <c r="I38" s="520"/>
      <c r="J38" s="520"/>
      <c r="K38" s="542"/>
      <c r="L38" s="522"/>
      <c r="M38" s="522"/>
      <c r="N38" s="538">
        <f>[4]F1!N42</f>
        <v>0</v>
      </c>
      <c r="O38" s="538">
        <f>[4]F1!O42</f>
        <v>0</v>
      </c>
      <c r="P38" s="538">
        <f>[4]F1!P42</f>
        <v>0</v>
      </c>
      <c r="Q38" s="432">
        <f>[4]F1!Q42</f>
        <v>0</v>
      </c>
    </row>
    <row r="39" spans="2:17" hidden="1" x14ac:dyDescent="0.25">
      <c r="B39" s="539">
        <v>7.1</v>
      </c>
      <c r="C39" s="520" t="s">
        <v>156</v>
      </c>
      <c r="D39" s="517" t="s">
        <v>125</v>
      </c>
      <c r="E39" s="517"/>
      <c r="F39" s="521" t="e">
        <f>#REF!</f>
        <v>#REF!</v>
      </c>
      <c r="G39" s="521" t="e">
        <f t="shared" si="15"/>
        <v>#REF!</v>
      </c>
      <c r="H39" s="543"/>
      <c r="I39" s="520"/>
      <c r="J39" s="520"/>
      <c r="K39" s="542"/>
      <c r="L39" s="522">
        <f>[4]F1!L43</f>
        <v>0</v>
      </c>
      <c r="M39" s="522">
        <f>[4]F1!M43</f>
        <v>0</v>
      </c>
      <c r="N39" s="538">
        <f>[4]F1!N43</f>
        <v>0</v>
      </c>
      <c r="O39" s="538">
        <f>[4]F1!O43</f>
        <v>0</v>
      </c>
      <c r="P39" s="538">
        <f>[4]F1!P43</f>
        <v>0</v>
      </c>
      <c r="Q39" s="432">
        <f>[4]F1!Q43</f>
        <v>0</v>
      </c>
    </row>
    <row r="40" spans="2:17" x14ac:dyDescent="0.25">
      <c r="B40" s="544">
        <f>B38+1</f>
        <v>8</v>
      </c>
      <c r="C40" s="526" t="s">
        <v>45</v>
      </c>
      <c r="D40" s="517"/>
      <c r="E40" s="545">
        <f>SUM(E29:E33)-SUM(E35:E37)+E39</f>
        <v>0</v>
      </c>
      <c r="F40" s="545" t="e">
        <f t="shared" ref="F40:K40" si="16">SUM(F29:F33)-SUM(F35:F37)+F39</f>
        <v>#REF!</v>
      </c>
      <c r="G40" s="545" t="e">
        <f t="shared" si="16"/>
        <v>#REF!</v>
      </c>
      <c r="H40" s="545">
        <f t="shared" si="16"/>
        <v>4081.4166</v>
      </c>
      <c r="I40" s="546">
        <f t="shared" si="16"/>
        <v>0</v>
      </c>
      <c r="J40" s="546">
        <f t="shared" si="16"/>
        <v>0</v>
      </c>
      <c r="K40" s="545">
        <f t="shared" si="16"/>
        <v>4081.4166</v>
      </c>
      <c r="L40" s="528">
        <f>SUM(L29:L33)-SUM(L35:L37)+L39</f>
        <v>3546.8956388474453</v>
      </c>
      <c r="M40" s="528">
        <f>SUM(M29:M33)-SUM(M35:M37)+M39</f>
        <v>3927.9433475205828</v>
      </c>
      <c r="N40" s="547">
        <f>SUM(N29:N33)-SUM(N35:N37)+N39</f>
        <v>4198.2120470037771</v>
      </c>
      <c r="O40" s="547">
        <f>SUM(O29:O33)-SUM(O35:O37)+O39</f>
        <v>4591.9277170310443</v>
      </c>
      <c r="P40" s="547">
        <f>SUM(P29:P33)-SUM(P35:P37)+P39</f>
        <v>5025.8428334630853</v>
      </c>
      <c r="Q40" s="2"/>
    </row>
    <row r="41" spans="2:17" x14ac:dyDescent="0.25"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</row>
    <row r="42" spans="2:17" x14ac:dyDescent="0.25">
      <c r="B42" s="534" t="s">
        <v>157</v>
      </c>
      <c r="C42" s="535" t="s">
        <v>158</v>
      </c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</row>
    <row r="43" spans="2:17" x14ac:dyDescent="0.25"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16" t="s">
        <v>3</v>
      </c>
    </row>
    <row r="44" spans="2:17" ht="12.75" customHeight="1" x14ac:dyDescent="0.25">
      <c r="B44" s="731" t="s">
        <v>4</v>
      </c>
      <c r="C44" s="734" t="s">
        <v>5</v>
      </c>
      <c r="D44" s="734" t="s">
        <v>6</v>
      </c>
      <c r="E44" s="736" t="s">
        <v>7</v>
      </c>
      <c r="F44" s="737"/>
      <c r="G44" s="738"/>
      <c r="H44" s="736" t="s">
        <v>131</v>
      </c>
      <c r="I44" s="737"/>
      <c r="J44" s="737"/>
      <c r="K44" s="737"/>
      <c r="L44" s="728" t="s">
        <v>9</v>
      </c>
      <c r="M44" s="728"/>
      <c r="N44" s="728"/>
      <c r="O44" s="728"/>
      <c r="P44" s="728"/>
      <c r="Q44" s="729" t="s">
        <v>132</v>
      </c>
    </row>
    <row r="45" spans="2:17" ht="30" customHeight="1" x14ac:dyDescent="0.25">
      <c r="B45" s="732"/>
      <c r="C45" s="734"/>
      <c r="D45" s="734"/>
      <c r="E45" s="518" t="s">
        <v>10</v>
      </c>
      <c r="F45" s="518" t="s">
        <v>133</v>
      </c>
      <c r="G45" s="518" t="s">
        <v>12</v>
      </c>
      <c r="H45" s="518" t="s">
        <v>10</v>
      </c>
      <c r="I45" s="518" t="s">
        <v>13</v>
      </c>
      <c r="J45" s="518" t="s">
        <v>14</v>
      </c>
      <c r="K45" s="518" t="s">
        <v>134</v>
      </c>
      <c r="L45" s="518" t="s">
        <v>135</v>
      </c>
      <c r="M45" s="518" t="s">
        <v>136</v>
      </c>
      <c r="N45" s="518" t="s">
        <v>137</v>
      </c>
      <c r="O45" s="518" t="s">
        <v>138</v>
      </c>
      <c r="P45" s="518" t="s">
        <v>139</v>
      </c>
      <c r="Q45" s="729"/>
    </row>
    <row r="46" spans="2:17" ht="34.950000000000003" customHeight="1" x14ac:dyDescent="0.25">
      <c r="B46" s="733"/>
      <c r="C46" s="735"/>
      <c r="D46" s="735"/>
      <c r="E46" s="518" t="s">
        <v>21</v>
      </c>
      <c r="F46" s="518" t="s">
        <v>22</v>
      </c>
      <c r="G46" s="518" t="s">
        <v>23</v>
      </c>
      <c r="H46" s="518" t="s">
        <v>21</v>
      </c>
      <c r="I46" s="518" t="s">
        <v>140</v>
      </c>
      <c r="J46" s="518" t="s">
        <v>140</v>
      </c>
      <c r="K46" s="518" t="s">
        <v>140</v>
      </c>
      <c r="L46" s="518" t="s">
        <v>26</v>
      </c>
      <c r="M46" s="518" t="s">
        <v>26</v>
      </c>
      <c r="N46" s="518" t="s">
        <v>26</v>
      </c>
      <c r="O46" s="518" t="s">
        <v>26</v>
      </c>
      <c r="P46" s="518" t="s">
        <v>26</v>
      </c>
      <c r="Q46" s="730"/>
    </row>
    <row r="47" spans="2:17" x14ac:dyDescent="0.25">
      <c r="B47" s="519">
        <v>1</v>
      </c>
      <c r="C47" s="520" t="s">
        <v>141</v>
      </c>
      <c r="D47" s="517" t="s">
        <v>70</v>
      </c>
      <c r="E47" s="517"/>
      <c r="F47" s="521" t="e">
        <f>#REF!</f>
        <v>#REF!</v>
      </c>
      <c r="G47" s="521" t="e">
        <f t="shared" ref="G47:G56" si="17">F47-E47</f>
        <v>#REF!</v>
      </c>
      <c r="H47" s="539">
        <v>10750.47</v>
      </c>
      <c r="I47" s="548">
        <f>SUM('F13-Year(n)'!E171:J171)</f>
        <v>6431.6733456433776</v>
      </c>
      <c r="J47" s="548">
        <f>SUM('F13-Year(n)'!K171:P171)</f>
        <v>7254.0392850392118</v>
      </c>
      <c r="K47" s="548">
        <f>'F13-Year(n)'!Q171</f>
        <v>13685.71263068259</v>
      </c>
      <c r="L47" s="529">
        <v>11494</v>
      </c>
      <c r="M47" s="522">
        <f>'[5]PP summary'!$J$64</f>
        <v>14041.67559620373</v>
      </c>
      <c r="N47" s="548">
        <f>'F13-Year(n+3)'!Q178</f>
        <v>14736.327872289767</v>
      </c>
      <c r="O47" s="548">
        <f>'F13-Year(n+4)'!Q178</f>
        <v>15750.551087096273</v>
      </c>
      <c r="P47" s="548">
        <f>'F13-Year(n+5)'!Q178</f>
        <v>16359.855569823594</v>
      </c>
      <c r="Q47" s="2"/>
    </row>
    <row r="48" spans="2:17" x14ac:dyDescent="0.25">
      <c r="B48" s="519">
        <f>B47+1</f>
        <v>2</v>
      </c>
      <c r="C48" s="520" t="s">
        <v>142</v>
      </c>
      <c r="D48" s="517" t="s">
        <v>74</v>
      </c>
      <c r="E48" s="517"/>
      <c r="F48" s="521" t="e">
        <f>'F14'!#REF!</f>
        <v>#REF!</v>
      </c>
      <c r="G48" s="521" t="e">
        <f t="shared" si="17"/>
        <v>#REF!</v>
      </c>
      <c r="H48" s="522">
        <f>'F14'!I9</f>
        <v>451.19</v>
      </c>
      <c r="I48" s="522"/>
      <c r="J48" s="522"/>
      <c r="K48" s="522">
        <f>'F14'!L9</f>
        <v>715.66519036669627</v>
      </c>
      <c r="L48" s="522">
        <v>678</v>
      </c>
      <c r="M48" s="522">
        <v>711</v>
      </c>
      <c r="N48" s="522">
        <f>'F14'!O9</f>
        <v>747.25819841824193</v>
      </c>
      <c r="O48" s="522">
        <f>'F14'!P9</f>
        <v>784.62110833915415</v>
      </c>
      <c r="P48" s="522">
        <f>'F14'!Q9</f>
        <v>823.85216375611185</v>
      </c>
      <c r="Q48" s="2"/>
    </row>
    <row r="49" spans="2:17" x14ac:dyDescent="0.25">
      <c r="B49" s="519">
        <f>B48+1</f>
        <v>3</v>
      </c>
      <c r="C49" s="520" t="s">
        <v>143</v>
      </c>
      <c r="D49" s="517" t="s">
        <v>74</v>
      </c>
      <c r="E49" s="517"/>
      <c r="F49" s="521">
        <f>'F14'!G14</f>
        <v>1005.9486699</v>
      </c>
      <c r="G49" s="521">
        <f t="shared" si="17"/>
        <v>1005.9486699</v>
      </c>
      <c r="H49" s="539">
        <f>'F14'!I14</f>
        <v>1126.29</v>
      </c>
      <c r="I49" s="548"/>
      <c r="J49" s="548"/>
      <c r="K49" s="548">
        <f>'F14'!L14</f>
        <v>1126.2939468</v>
      </c>
      <c r="L49" s="548">
        <v>919</v>
      </c>
      <c r="M49" s="548">
        <v>613</v>
      </c>
      <c r="N49" s="548">
        <f>'F14'!O14</f>
        <v>1313.3875400000002</v>
      </c>
      <c r="O49" s="548">
        <f>'F14'!P14</f>
        <v>1475.3949349999998</v>
      </c>
      <c r="P49" s="548">
        <f>'F14'!Q14</f>
        <v>1617.6207650000001</v>
      </c>
      <c r="Q49" s="2"/>
    </row>
    <row r="50" spans="2:17" x14ac:dyDescent="0.25">
      <c r="B50" s="519">
        <f>B49+1</f>
        <v>4</v>
      </c>
      <c r="C50" s="520" t="s">
        <v>144</v>
      </c>
      <c r="D50" s="517" t="s">
        <v>74</v>
      </c>
      <c r="E50" s="517"/>
      <c r="F50" s="521">
        <f>'F14'!G19</f>
        <v>13.235678800000001</v>
      </c>
      <c r="G50" s="521">
        <f t="shared" si="17"/>
        <v>13.235678800000001</v>
      </c>
      <c r="H50" s="539">
        <f>'F14'!I19</f>
        <v>13.69</v>
      </c>
      <c r="I50" s="539"/>
      <c r="J50" s="539"/>
      <c r="K50" s="548">
        <f>'F14'!L19</f>
        <v>13.689398799999999</v>
      </c>
      <c r="L50" s="522">
        <v>25</v>
      </c>
      <c r="M50" s="522">
        <v>22</v>
      </c>
      <c r="N50" s="522">
        <f>'F14'!O19</f>
        <v>32.47157</v>
      </c>
      <c r="O50" s="522">
        <f>'F14'!P19</f>
        <v>33.596559999999997</v>
      </c>
      <c r="P50" s="522">
        <f>'F14'!Q19</f>
        <v>34.783394999999999</v>
      </c>
      <c r="Q50" s="2"/>
    </row>
    <row r="51" spans="2:17" x14ac:dyDescent="0.25">
      <c r="B51" s="519">
        <f>B50+1</f>
        <v>5</v>
      </c>
      <c r="C51" s="520" t="s">
        <v>146</v>
      </c>
      <c r="D51" s="517" t="s">
        <v>76</v>
      </c>
      <c r="E51" s="517"/>
      <c r="F51" s="520"/>
      <c r="G51" s="521">
        <f t="shared" si="17"/>
        <v>0</v>
      </c>
      <c r="H51" s="539"/>
      <c r="I51" s="539"/>
      <c r="J51" s="539"/>
      <c r="K51" s="539"/>
      <c r="L51" s="548">
        <f>[4]F1!L55</f>
        <v>314.56002199458635</v>
      </c>
      <c r="M51" s="548">
        <f>[4]F1!M55</f>
        <v>333.64380090908094</v>
      </c>
      <c r="N51" s="548">
        <f>[6]F1!N51</f>
        <v>391.83088416858629</v>
      </c>
      <c r="O51" s="548">
        <f>[6]F1!O51</f>
        <v>421.2683027094476</v>
      </c>
      <c r="P51" s="548">
        <f>[6]F1!P51</f>
        <v>452.76356072975051</v>
      </c>
      <c r="Q51" s="2"/>
    </row>
    <row r="52" spans="2:17" x14ac:dyDescent="0.25">
      <c r="B52" s="539">
        <f t="shared" ref="B52:B54" si="18">B51+1</f>
        <v>6</v>
      </c>
      <c r="C52" s="523" t="s">
        <v>147</v>
      </c>
      <c r="D52" s="517" t="s">
        <v>87</v>
      </c>
      <c r="E52" s="517"/>
      <c r="F52" s="520"/>
      <c r="G52" s="521">
        <f t="shared" si="17"/>
        <v>0</v>
      </c>
      <c r="H52" s="539"/>
      <c r="I52" s="539"/>
      <c r="J52" s="539"/>
      <c r="K52" s="539"/>
      <c r="L52" s="548">
        <f>[4]F1!L56</f>
        <v>41.4177201197733</v>
      </c>
      <c r="M52" s="548">
        <f>[4]F1!M56</f>
        <v>45.976523851538531</v>
      </c>
      <c r="N52" s="548">
        <f>[6]F1!N52</f>
        <v>64.510271313819672</v>
      </c>
      <c r="O52" s="548">
        <f>[6]F1!O52</f>
        <v>79.033300309158108</v>
      </c>
      <c r="P52" s="548">
        <f>[6]F1!P52</f>
        <v>95.558905976621844</v>
      </c>
      <c r="Q52" s="2"/>
    </row>
    <row r="53" spans="2:17" x14ac:dyDescent="0.25">
      <c r="B53" s="539">
        <f t="shared" si="18"/>
        <v>7</v>
      </c>
      <c r="C53" s="520" t="s">
        <v>90</v>
      </c>
      <c r="D53" s="517" t="s">
        <v>89</v>
      </c>
      <c r="E53" s="517"/>
      <c r="F53" s="520"/>
      <c r="G53" s="521">
        <f t="shared" si="17"/>
        <v>0</v>
      </c>
      <c r="H53" s="539"/>
      <c r="I53" s="539"/>
      <c r="J53" s="539"/>
      <c r="K53" s="539"/>
      <c r="L53" s="548">
        <f>[4]F1!L57</f>
        <v>34.878130420350907</v>
      </c>
      <c r="M53" s="548">
        <f>[4]F1!M57</f>
        <v>42.49248684955267</v>
      </c>
      <c r="N53" s="548">
        <f>[6]F1!N53</f>
        <v>56.084153166087745</v>
      </c>
      <c r="O53" s="548">
        <f>[6]F1!O53</f>
        <v>68.503225759357392</v>
      </c>
      <c r="P53" s="548">
        <f>[6]F1!P53</f>
        <v>80.15005972141455</v>
      </c>
      <c r="Q53" s="2"/>
    </row>
    <row r="54" spans="2:17" x14ac:dyDescent="0.25">
      <c r="B54" s="539">
        <f t="shared" si="18"/>
        <v>8</v>
      </c>
      <c r="C54" s="523" t="s">
        <v>148</v>
      </c>
      <c r="D54" s="517" t="s">
        <v>91</v>
      </c>
      <c r="E54" s="517"/>
      <c r="F54" s="520"/>
      <c r="G54" s="521">
        <f t="shared" si="17"/>
        <v>0</v>
      </c>
      <c r="H54" s="539"/>
      <c r="I54" s="539"/>
      <c r="J54" s="539"/>
      <c r="K54" s="539"/>
      <c r="L54" s="548">
        <f>[4]F1!L58</f>
        <v>0</v>
      </c>
      <c r="M54" s="548">
        <f>[4]F1!M58</f>
        <v>0</v>
      </c>
      <c r="N54" s="548">
        <f>[6]F1!N54</f>
        <v>12.154252237671599</v>
      </c>
      <c r="O54" s="548">
        <f>[6]F1!O54</f>
        <v>25.330347382287684</v>
      </c>
      <c r="P54" s="548">
        <f>[6]F1!P54</f>
        <v>37.290751917263925</v>
      </c>
      <c r="Q54" s="2"/>
    </row>
    <row r="55" spans="2:17" x14ac:dyDescent="0.25">
      <c r="B55" s="539">
        <v>9</v>
      </c>
      <c r="C55" s="520" t="s">
        <v>94</v>
      </c>
      <c r="D55" s="517" t="s">
        <v>93</v>
      </c>
      <c r="E55" s="517"/>
      <c r="F55" s="520"/>
      <c r="G55" s="521"/>
      <c r="H55" s="539"/>
      <c r="I55" s="539"/>
      <c r="J55" s="539"/>
      <c r="K55" s="539"/>
      <c r="L55" s="548">
        <f>[4]F1!L60</f>
        <v>12.692639524144136</v>
      </c>
      <c r="M55" s="548">
        <f>[4]F1!M60</f>
        <v>23.232351902881419</v>
      </c>
      <c r="N55" s="548">
        <f>[6]F1!N55</f>
        <v>22.244890926740194</v>
      </c>
      <c r="O55" s="548">
        <f>[6]F1!O55</f>
        <v>30.025917018560872</v>
      </c>
      <c r="P55" s="548">
        <f>[6]F1!P55</f>
        <v>38.020278342051192</v>
      </c>
      <c r="Q55" s="2"/>
    </row>
    <row r="56" spans="2:17" x14ac:dyDescent="0.25">
      <c r="B56" s="539">
        <v>10</v>
      </c>
      <c r="C56" s="549" t="s">
        <v>149</v>
      </c>
      <c r="D56" s="517" t="s">
        <v>91</v>
      </c>
      <c r="E56" s="517"/>
      <c r="F56" s="521" t="e">
        <f>#REF!</f>
        <v>#REF!</v>
      </c>
      <c r="G56" s="521" t="e">
        <f t="shared" si="17"/>
        <v>#REF!</v>
      </c>
      <c r="H56" s="539">
        <v>78.77</v>
      </c>
      <c r="I56" s="548"/>
      <c r="J56" s="548"/>
      <c r="K56" s="548" t="e">
        <f>#REF!</f>
        <v>#REF!</v>
      </c>
      <c r="L56" s="548">
        <f>[7]TGNPDCL!G13</f>
        <v>99.203014954797041</v>
      </c>
      <c r="M56" s="548">
        <f>[7]TGNPDCL!H13</f>
        <v>105.36778073914364</v>
      </c>
      <c r="N56" s="548" t="e">
        <f>#REF!</f>
        <v>#REF!</v>
      </c>
      <c r="O56" s="548" t="e">
        <f>#REF!</f>
        <v>#REF!</v>
      </c>
      <c r="P56" s="548" t="e">
        <f>#REF!</f>
        <v>#REF!</v>
      </c>
      <c r="Q56" s="2"/>
    </row>
    <row r="57" spans="2:17" x14ac:dyDescent="0.25">
      <c r="B57" s="544">
        <v>11</v>
      </c>
      <c r="C57" s="526" t="s">
        <v>45</v>
      </c>
      <c r="D57" s="517"/>
      <c r="E57" s="545" t="e">
        <f>SUM(E47:E56)-SUM(#REF!)-#REF!</f>
        <v>#REF!</v>
      </c>
      <c r="F57" s="545" t="e">
        <f>SUM(F47:F56)-SUM(#REF!)-#REF!</f>
        <v>#REF!</v>
      </c>
      <c r="G57" s="545" t="e">
        <f>SUM(G47:G56)-SUM(#REF!)-#REF!</f>
        <v>#REF!</v>
      </c>
      <c r="H57" s="546">
        <f>SUM(H47:H56)</f>
        <v>12420.410000000002</v>
      </c>
      <c r="I57" s="546">
        <f t="shared" ref="I57:P57" si="19">SUM(I47:I56)</f>
        <v>6431.6733456433776</v>
      </c>
      <c r="J57" s="546">
        <f t="shared" si="19"/>
        <v>7254.0392850392118</v>
      </c>
      <c r="K57" s="546" t="e">
        <f t="shared" si="19"/>
        <v>#REF!</v>
      </c>
      <c r="L57" s="546">
        <f t="shared" si="19"/>
        <v>13618.751527013652</v>
      </c>
      <c r="M57" s="546">
        <f>SUM(M47:M56)</f>
        <v>15938.388540455928</v>
      </c>
      <c r="N57" s="546" t="e">
        <f t="shared" si="19"/>
        <v>#REF!</v>
      </c>
      <c r="O57" s="546" t="e">
        <f t="shared" si="19"/>
        <v>#REF!</v>
      </c>
      <c r="P57" s="546" t="e">
        <f t="shared" si="19"/>
        <v>#REF!</v>
      </c>
      <c r="Q57" s="2"/>
    </row>
    <row r="58" spans="2:17" hidden="1" x14ac:dyDescent="0.25">
      <c r="C58" s="368" t="s">
        <v>159</v>
      </c>
    </row>
  </sheetData>
  <mergeCells count="25">
    <mergeCell ref="L26:P26"/>
    <mergeCell ref="Q26:Q28"/>
    <mergeCell ref="B6:B8"/>
    <mergeCell ref="C6:C8"/>
    <mergeCell ref="D6:D8"/>
    <mergeCell ref="Q6:Q8"/>
    <mergeCell ref="E6:G6"/>
    <mergeCell ref="H6:K6"/>
    <mergeCell ref="L6:P6"/>
    <mergeCell ref="B26:B28"/>
    <mergeCell ref="C26:C28"/>
    <mergeCell ref="D26:D28"/>
    <mergeCell ref="E26:G26"/>
    <mergeCell ref="H26:K26"/>
    <mergeCell ref="Q44:Q46"/>
    <mergeCell ref="B44:B46"/>
    <mergeCell ref="C44:C46"/>
    <mergeCell ref="D44:D46"/>
    <mergeCell ref="E44:G44"/>
    <mergeCell ref="H44:K44"/>
    <mergeCell ref="H31:H33"/>
    <mergeCell ref="H35:H37"/>
    <mergeCell ref="K31:K33"/>
    <mergeCell ref="K35:K37"/>
    <mergeCell ref="L44:P44"/>
  </mergeCells>
  <pageMargins left="1.23" right="0.23" top="1.17" bottom="1" header="0.5" footer="0.5"/>
  <pageSetup paperSize="9" scale="4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U528"/>
  <sheetViews>
    <sheetView showGridLines="0" topLeftCell="A195" zoomScale="58" workbookViewId="0">
      <selection activeCell="P237" sqref="P237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0.33203125" style="4" bestFit="1" customWidth="1"/>
    <col min="5" max="5" width="15.109375" style="4" bestFit="1" customWidth="1"/>
    <col min="6" max="6" width="14.33203125" style="4" bestFit="1" customWidth="1"/>
    <col min="7" max="8" width="15.109375" style="4" bestFit="1" customWidth="1"/>
    <col min="9" max="9" width="14.6640625" style="4" bestFit="1" customWidth="1"/>
    <col min="10" max="10" width="14.88671875" style="4" customWidth="1"/>
    <col min="11" max="11" width="12.5546875" style="4" customWidth="1"/>
    <col min="12" max="12" width="15.109375" style="4" bestFit="1" customWidth="1"/>
    <col min="13" max="13" width="14.6640625" style="4" bestFit="1" customWidth="1"/>
    <col min="14" max="14" width="14.33203125" style="4" bestFit="1" customWidth="1"/>
    <col min="15" max="16" width="15.109375" style="4" bestFit="1" customWidth="1"/>
    <col min="17" max="17" width="16.33203125" style="4" bestFit="1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</row>
    <row r="3" spans="2:17" x14ac:dyDescent="0.25">
      <c r="J3" s="25" t="s">
        <v>668</v>
      </c>
    </row>
    <row r="4" spans="2:17" x14ac:dyDescent="0.25">
      <c r="C4" s="22" t="s">
        <v>648</v>
      </c>
      <c r="J4" s="25"/>
    </row>
    <row r="5" spans="2:17" x14ac:dyDescent="0.25">
      <c r="C5" s="14"/>
      <c r="Q5" s="25" t="s">
        <v>3</v>
      </c>
    </row>
    <row r="6" spans="2:17" ht="15" customHeight="1" x14ac:dyDescent="0.25">
      <c r="C6" s="827" t="s">
        <v>346</v>
      </c>
      <c r="D6" s="762" t="s">
        <v>347</v>
      </c>
      <c r="E6" s="768" t="s">
        <v>256</v>
      </c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</row>
    <row r="7" spans="2:17" x14ac:dyDescent="0.25">
      <c r="C7" s="828"/>
      <c r="D7" s="764"/>
      <c r="E7" s="13" t="s">
        <v>239</v>
      </c>
      <c r="F7" s="13" t="s">
        <v>240</v>
      </c>
      <c r="G7" s="13" t="s">
        <v>241</v>
      </c>
      <c r="H7" s="13" t="s">
        <v>242</v>
      </c>
      <c r="I7" s="13" t="s">
        <v>243</v>
      </c>
      <c r="J7" s="13" t="s">
        <v>244</v>
      </c>
      <c r="K7" s="13" t="s">
        <v>245</v>
      </c>
      <c r="L7" s="13" t="s">
        <v>246</v>
      </c>
      <c r="M7" s="13" t="s">
        <v>247</v>
      </c>
      <c r="N7" s="13" t="s">
        <v>248</v>
      </c>
      <c r="O7" s="13" t="s">
        <v>249</v>
      </c>
      <c r="P7" s="13" t="s">
        <v>250</v>
      </c>
      <c r="Q7" s="13" t="s">
        <v>251</v>
      </c>
    </row>
    <row r="8" spans="2:17" ht="14.25" customHeight="1" x14ac:dyDescent="0.25">
      <c r="C8" s="829"/>
      <c r="D8" s="7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2:17" x14ac:dyDescent="0.25">
      <c r="B9" s="60"/>
      <c r="C9" s="800" t="s">
        <v>348</v>
      </c>
      <c r="D9" s="801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x14ac:dyDescent="0.25">
      <c r="C10" s="753" t="s">
        <v>349</v>
      </c>
      <c r="D10" s="75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2:17" ht="14.25" customHeight="1" x14ac:dyDescent="0.25">
      <c r="B11" s="60"/>
      <c r="C11" s="802" t="s">
        <v>350</v>
      </c>
      <c r="D11" s="59" t="s">
        <v>351</v>
      </c>
      <c r="E11" s="291">
        <f t="shared" ref="E11:P11" si="0">E187+E359</f>
        <v>40.401246313113049</v>
      </c>
      <c r="F11" s="291">
        <f t="shared" si="0"/>
        <v>49.575695996715801</v>
      </c>
      <c r="G11" s="291">
        <f t="shared" si="0"/>
        <v>47.976479996821737</v>
      </c>
      <c r="H11" s="291">
        <f t="shared" si="0"/>
        <v>0</v>
      </c>
      <c r="I11" s="291">
        <f t="shared" si="0"/>
        <v>16.400982134251848</v>
      </c>
      <c r="J11" s="291">
        <f t="shared" si="0"/>
        <v>33.368153281630157</v>
      </c>
      <c r="K11" s="291">
        <f t="shared" si="0"/>
        <v>32.801964268503696</v>
      </c>
      <c r="L11" s="291">
        <f t="shared" si="0"/>
        <v>39.31907007258323</v>
      </c>
      <c r="M11" s="291">
        <f t="shared" si="0"/>
        <v>35.850047817009795</v>
      </c>
      <c r="N11" s="291">
        <f t="shared" si="0"/>
        <v>35.74106002907039</v>
      </c>
      <c r="O11" s="291">
        <f t="shared" si="0"/>
        <v>38.108960983866766</v>
      </c>
      <c r="P11" s="291">
        <f t="shared" si="0"/>
        <v>45.10270086919256</v>
      </c>
      <c r="Q11" s="291">
        <f t="shared" ref="Q11:Q29" si="1">SUM(E11:P11)</f>
        <v>414.64636176275906</v>
      </c>
    </row>
    <row r="12" spans="2:17" x14ac:dyDescent="0.25">
      <c r="B12" s="60"/>
      <c r="C12" s="803"/>
      <c r="D12" s="59" t="s">
        <v>352</v>
      </c>
      <c r="E12" s="291">
        <f t="shared" ref="E12:P12" si="2">E188+E360</f>
        <v>41.356510599623682</v>
      </c>
      <c r="F12" s="291">
        <f t="shared" si="2"/>
        <v>0</v>
      </c>
      <c r="G12" s="291">
        <f t="shared" si="2"/>
        <v>24.661334100431702</v>
      </c>
      <c r="H12" s="291">
        <f t="shared" si="2"/>
        <v>37.475556721244267</v>
      </c>
      <c r="I12" s="291">
        <f t="shared" si="2"/>
        <v>32.978489914694961</v>
      </c>
      <c r="J12" s="291">
        <f t="shared" si="2"/>
        <v>34.09066772706737</v>
      </c>
      <c r="K12" s="291">
        <f t="shared" si="2"/>
        <v>32.978489914694961</v>
      </c>
      <c r="L12" s="291">
        <f t="shared" si="2"/>
        <v>46.927931928139991</v>
      </c>
      <c r="M12" s="291">
        <f t="shared" si="2"/>
        <v>37.523241512040606</v>
      </c>
      <c r="N12" s="291">
        <f t="shared" si="2"/>
        <v>40.17439386630577</v>
      </c>
      <c r="O12" s="291">
        <f t="shared" si="2"/>
        <v>39.94169013128743</v>
      </c>
      <c r="P12" s="291">
        <f t="shared" si="2"/>
        <v>45.345423632705554</v>
      </c>
      <c r="Q12" s="291">
        <f t="shared" si="1"/>
        <v>413.45373004823625</v>
      </c>
    </row>
    <row r="13" spans="2:17" x14ac:dyDescent="0.25">
      <c r="B13" s="60"/>
      <c r="C13" s="803"/>
      <c r="D13" s="59" t="s">
        <v>353</v>
      </c>
      <c r="E13" s="291">
        <f t="shared" ref="E13:P13" si="3">E189+E361</f>
        <v>85.461183401131734</v>
      </c>
      <c r="F13" s="291">
        <f t="shared" si="3"/>
        <v>0</v>
      </c>
      <c r="G13" s="291">
        <f t="shared" si="3"/>
        <v>48.272781133133449</v>
      </c>
      <c r="H13" s="291">
        <f t="shared" si="3"/>
        <v>78.388406900335468</v>
      </c>
      <c r="I13" s="291">
        <f t="shared" si="3"/>
        <v>65.785321769642351</v>
      </c>
      <c r="J13" s="291">
        <f t="shared" si="3"/>
        <v>69.265667910962094</v>
      </c>
      <c r="K13" s="291">
        <f t="shared" si="3"/>
        <v>64.553013201562749</v>
      </c>
      <c r="L13" s="291">
        <f t="shared" si="3"/>
        <v>96.297792411909086</v>
      </c>
      <c r="M13" s="291">
        <f t="shared" si="3"/>
        <v>84.287386909297467</v>
      </c>
      <c r="N13" s="291">
        <f t="shared" si="3"/>
        <v>82.158380438352566</v>
      </c>
      <c r="O13" s="291">
        <f t="shared" si="3"/>
        <v>78.182974933271026</v>
      </c>
      <c r="P13" s="291">
        <f t="shared" si="3"/>
        <v>89.017528282720576</v>
      </c>
      <c r="Q13" s="291">
        <f t="shared" si="1"/>
        <v>841.67043729231852</v>
      </c>
    </row>
    <row r="14" spans="2:17" x14ac:dyDescent="0.25">
      <c r="B14" s="60"/>
      <c r="C14" s="803"/>
      <c r="D14" s="59" t="s">
        <v>354</v>
      </c>
      <c r="E14" s="291">
        <f t="shared" ref="E14:P14" si="4">E190+E362</f>
        <v>7.796740495876251</v>
      </c>
      <c r="F14" s="291">
        <f t="shared" si="4"/>
        <v>0</v>
      </c>
      <c r="G14" s="291">
        <f t="shared" si="4"/>
        <v>4.6782357565623229</v>
      </c>
      <c r="H14" s="291">
        <f t="shared" si="4"/>
        <v>6.833272679008795</v>
      </c>
      <c r="I14" s="291">
        <f t="shared" si="4"/>
        <v>6.3971063377954627</v>
      </c>
      <c r="J14" s="291">
        <f t="shared" si="4"/>
        <v>6.4017962984536734</v>
      </c>
      <c r="K14" s="291">
        <f t="shared" si="4"/>
        <v>6.3971063377954627</v>
      </c>
      <c r="L14" s="291">
        <f t="shared" si="4"/>
        <v>7.4570374465504514</v>
      </c>
      <c r="M14" s="291">
        <f t="shared" si="4"/>
        <v>6.833272679008795</v>
      </c>
      <c r="N14" s="291">
        <f t="shared" si="4"/>
        <v>6.833272679008795</v>
      </c>
      <c r="O14" s="291">
        <f t="shared" si="4"/>
        <v>7.3538583120698817</v>
      </c>
      <c r="P14" s="291">
        <f t="shared" si="4"/>
        <v>8.7960212144688015</v>
      </c>
      <c r="Q14" s="291">
        <f t="shared" si="1"/>
        <v>75.777720236598697</v>
      </c>
    </row>
    <row r="15" spans="2:17" x14ac:dyDescent="0.25">
      <c r="B15" s="60"/>
      <c r="C15" s="803"/>
      <c r="D15" s="59" t="s">
        <v>355</v>
      </c>
      <c r="E15" s="291">
        <f t="shared" ref="E15:P15" si="5">E191+E363</f>
        <v>41.771095859728085</v>
      </c>
      <c r="F15" s="291">
        <f t="shared" si="5"/>
        <v>42.231880130602811</v>
      </c>
      <c r="G15" s="291">
        <f t="shared" si="5"/>
        <v>40.869561416712386</v>
      </c>
      <c r="H15" s="291">
        <f t="shared" si="5"/>
        <v>42.383998235350646</v>
      </c>
      <c r="I15" s="291">
        <f t="shared" si="5"/>
        <v>34.779195401672894</v>
      </c>
      <c r="J15" s="291">
        <f t="shared" si="5"/>
        <v>36.853507795595874</v>
      </c>
      <c r="K15" s="291">
        <f t="shared" si="5"/>
        <v>0</v>
      </c>
      <c r="L15" s="291">
        <f t="shared" si="5"/>
        <v>21.241028308172407</v>
      </c>
      <c r="M15" s="291">
        <f t="shared" si="5"/>
        <v>41.300294539486558</v>
      </c>
      <c r="N15" s="291">
        <f t="shared" si="5"/>
        <v>37.573952175021596</v>
      </c>
      <c r="O15" s="291">
        <f t="shared" si="5"/>
        <v>36.462059695302223</v>
      </c>
      <c r="P15" s="291">
        <f t="shared" si="5"/>
        <v>44.393574087598495</v>
      </c>
      <c r="Q15" s="291">
        <f t="shared" si="1"/>
        <v>419.86014764524401</v>
      </c>
    </row>
    <row r="16" spans="2:17" x14ac:dyDescent="0.25">
      <c r="B16" s="60"/>
      <c r="C16" s="803"/>
      <c r="D16" s="59" t="s">
        <v>356</v>
      </c>
      <c r="E16" s="291">
        <f t="shared" ref="E16:P16" si="6">E192+E364</f>
        <v>56.830969952524072</v>
      </c>
      <c r="F16" s="291">
        <f t="shared" si="6"/>
        <v>56.455759147788932</v>
      </c>
      <c r="G16" s="291">
        <f t="shared" si="6"/>
        <v>56.830969952524072</v>
      </c>
      <c r="H16" s="291">
        <f t="shared" si="6"/>
        <v>59.966011722205579</v>
      </c>
      <c r="I16" s="291">
        <f t="shared" si="6"/>
        <v>48.799926780829367</v>
      </c>
      <c r="J16" s="291">
        <f t="shared" si="6"/>
        <v>54.205133605527706</v>
      </c>
      <c r="K16" s="291">
        <f t="shared" si="6"/>
        <v>46.318574571634642</v>
      </c>
      <c r="L16" s="291">
        <f t="shared" si="6"/>
        <v>0</v>
      </c>
      <c r="M16" s="291">
        <f t="shared" si="6"/>
        <v>29.029482195833157</v>
      </c>
      <c r="N16" s="291">
        <f t="shared" si="6"/>
        <v>53.762631199218802</v>
      </c>
      <c r="O16" s="291">
        <f t="shared" si="6"/>
        <v>49.680406596995233</v>
      </c>
      <c r="P16" s="291">
        <f t="shared" si="6"/>
        <v>59.966011722205579</v>
      </c>
      <c r="Q16" s="291">
        <f t="shared" si="1"/>
        <v>571.84587744728719</v>
      </c>
    </row>
    <row r="17" spans="2:18" x14ac:dyDescent="0.25">
      <c r="B17" s="60"/>
      <c r="C17" s="803"/>
      <c r="D17" s="59" t="s">
        <v>357</v>
      </c>
      <c r="E17" s="291">
        <f t="shared" ref="E17:P17" si="7">E193+E365</f>
        <v>121.6074265011992</v>
      </c>
      <c r="F17" s="291">
        <f t="shared" si="7"/>
        <v>60.666165397183619</v>
      </c>
      <c r="G17" s="291">
        <f t="shared" si="7"/>
        <v>90.265302838534495</v>
      </c>
      <c r="H17" s="291">
        <f t="shared" si="7"/>
        <v>126.43591029848636</v>
      </c>
      <c r="I17" s="291">
        <f t="shared" si="7"/>
        <v>90.561967349868823</v>
      </c>
      <c r="J17" s="291">
        <f t="shared" si="7"/>
        <v>82.347533370956612</v>
      </c>
      <c r="K17" s="291">
        <f t="shared" si="7"/>
        <v>97.883691574333426</v>
      </c>
      <c r="L17" s="291">
        <f t="shared" si="7"/>
        <v>92.065817641781877</v>
      </c>
      <c r="M17" s="291">
        <f t="shared" si="7"/>
        <v>105.5485469335558</v>
      </c>
      <c r="N17" s="291">
        <f t="shared" si="7"/>
        <v>111.36897679787427</v>
      </c>
      <c r="O17" s="291">
        <f t="shared" si="7"/>
        <v>105.09114380983573</v>
      </c>
      <c r="P17" s="291">
        <f t="shared" si="7"/>
        <v>129.77601412780541</v>
      </c>
      <c r="Q17" s="291">
        <f t="shared" si="1"/>
        <v>1213.6184966414157</v>
      </c>
    </row>
    <row r="18" spans="2:18" x14ac:dyDescent="0.25">
      <c r="B18" s="60"/>
      <c r="C18" s="803"/>
      <c r="D18" s="59" t="s">
        <v>358</v>
      </c>
      <c r="E18" s="291">
        <f t="shared" ref="E18:P18" si="8">E194+E366</f>
        <v>371.71310196764887</v>
      </c>
      <c r="F18" s="291">
        <f t="shared" si="8"/>
        <v>225.7584243046029</v>
      </c>
      <c r="G18" s="291">
        <f t="shared" si="8"/>
        <v>220.13091118526972</v>
      </c>
      <c r="H18" s="291">
        <f t="shared" si="8"/>
        <v>237.89090974566648</v>
      </c>
      <c r="I18" s="291">
        <f t="shared" si="8"/>
        <v>334.98641835351418</v>
      </c>
      <c r="J18" s="291">
        <f t="shared" si="8"/>
        <v>376.93348840051465</v>
      </c>
      <c r="K18" s="291">
        <f t="shared" si="8"/>
        <v>340.95419122424983</v>
      </c>
      <c r="L18" s="291">
        <f t="shared" si="8"/>
        <v>295.10774023385466</v>
      </c>
      <c r="M18" s="291">
        <f t="shared" si="8"/>
        <v>342.29972714453891</v>
      </c>
      <c r="N18" s="291">
        <f t="shared" si="8"/>
        <v>377.95454754850476</v>
      </c>
      <c r="O18" s="291">
        <f t="shared" si="8"/>
        <v>347.22071271393736</v>
      </c>
      <c r="P18" s="291">
        <f t="shared" si="8"/>
        <v>414.97409050852991</v>
      </c>
      <c r="Q18" s="291">
        <f t="shared" si="1"/>
        <v>3885.9242633308322</v>
      </c>
    </row>
    <row r="19" spans="2:18" x14ac:dyDescent="0.25">
      <c r="B19" s="60"/>
      <c r="C19" s="803"/>
      <c r="D19" s="325" t="s">
        <v>620</v>
      </c>
      <c r="E19" s="291">
        <f t="shared" ref="E19:P19" si="9">E195+E367</f>
        <v>0</v>
      </c>
      <c r="F19" s="291">
        <f t="shared" si="9"/>
        <v>0</v>
      </c>
      <c r="G19" s="291">
        <f t="shared" si="9"/>
        <v>0</v>
      </c>
      <c r="H19" s="291">
        <f t="shared" si="9"/>
        <v>0</v>
      </c>
      <c r="I19" s="291">
        <f t="shared" si="9"/>
        <v>0</v>
      </c>
      <c r="J19" s="291">
        <f t="shared" si="9"/>
        <v>0</v>
      </c>
      <c r="K19" s="291">
        <f t="shared" si="9"/>
        <v>0</v>
      </c>
      <c r="L19" s="291">
        <f t="shared" si="9"/>
        <v>0</v>
      </c>
      <c r="M19" s="291">
        <f t="shared" si="9"/>
        <v>0</v>
      </c>
      <c r="N19" s="291">
        <f t="shared" si="9"/>
        <v>0</v>
      </c>
      <c r="O19" s="291">
        <f t="shared" si="9"/>
        <v>0</v>
      </c>
      <c r="P19" s="291">
        <f t="shared" si="9"/>
        <v>0</v>
      </c>
      <c r="Q19" s="291">
        <f t="shared" si="1"/>
        <v>0</v>
      </c>
    </row>
    <row r="20" spans="2:18" x14ac:dyDescent="0.25">
      <c r="B20" s="60"/>
      <c r="C20" s="803"/>
      <c r="D20" s="59"/>
      <c r="E20" s="291">
        <f t="shared" ref="E20:P20" si="10">E196+E368</f>
        <v>0</v>
      </c>
      <c r="F20" s="291">
        <f t="shared" si="10"/>
        <v>0</v>
      </c>
      <c r="G20" s="291">
        <f t="shared" si="10"/>
        <v>0</v>
      </c>
      <c r="H20" s="291">
        <f t="shared" si="10"/>
        <v>0</v>
      </c>
      <c r="I20" s="291">
        <f t="shared" si="10"/>
        <v>0</v>
      </c>
      <c r="J20" s="291">
        <f t="shared" si="10"/>
        <v>0</v>
      </c>
      <c r="K20" s="291">
        <f t="shared" si="10"/>
        <v>0</v>
      </c>
      <c r="L20" s="291">
        <f t="shared" si="10"/>
        <v>0</v>
      </c>
      <c r="M20" s="291">
        <f t="shared" si="10"/>
        <v>0</v>
      </c>
      <c r="N20" s="291">
        <f t="shared" si="10"/>
        <v>0</v>
      </c>
      <c r="O20" s="291">
        <f t="shared" si="10"/>
        <v>0</v>
      </c>
      <c r="P20" s="291">
        <f t="shared" si="10"/>
        <v>0</v>
      </c>
      <c r="Q20" s="291">
        <f t="shared" si="1"/>
        <v>0</v>
      </c>
    </row>
    <row r="21" spans="2:18" x14ac:dyDescent="0.25">
      <c r="B21" s="60"/>
      <c r="C21" s="803"/>
      <c r="D21" s="59"/>
      <c r="E21" s="291">
        <f t="shared" ref="E21:P21" si="11">E197+E369</f>
        <v>0</v>
      </c>
      <c r="F21" s="291">
        <f t="shared" si="11"/>
        <v>0</v>
      </c>
      <c r="G21" s="291">
        <f t="shared" si="11"/>
        <v>0</v>
      </c>
      <c r="H21" s="291">
        <f t="shared" si="11"/>
        <v>0</v>
      </c>
      <c r="I21" s="291">
        <f t="shared" si="11"/>
        <v>0</v>
      </c>
      <c r="J21" s="291">
        <f t="shared" si="11"/>
        <v>0</v>
      </c>
      <c r="K21" s="291">
        <f t="shared" si="11"/>
        <v>0</v>
      </c>
      <c r="L21" s="291">
        <f t="shared" si="11"/>
        <v>0</v>
      </c>
      <c r="M21" s="291">
        <f t="shared" si="11"/>
        <v>0</v>
      </c>
      <c r="N21" s="291">
        <f t="shared" si="11"/>
        <v>0</v>
      </c>
      <c r="O21" s="291">
        <f t="shared" si="11"/>
        <v>0</v>
      </c>
      <c r="P21" s="291">
        <f t="shared" si="11"/>
        <v>0</v>
      </c>
      <c r="Q21" s="291">
        <f t="shared" si="1"/>
        <v>0</v>
      </c>
    </row>
    <row r="22" spans="2:18" x14ac:dyDescent="0.25">
      <c r="B22" s="60"/>
      <c r="C22" s="803"/>
      <c r="D22" s="59"/>
      <c r="E22" s="291">
        <f t="shared" ref="E22:P22" si="12">E198+E370</f>
        <v>0</v>
      </c>
      <c r="F22" s="291">
        <f t="shared" si="12"/>
        <v>0</v>
      </c>
      <c r="G22" s="291">
        <f t="shared" si="12"/>
        <v>0</v>
      </c>
      <c r="H22" s="291">
        <f t="shared" si="12"/>
        <v>0</v>
      </c>
      <c r="I22" s="291">
        <f t="shared" si="12"/>
        <v>0</v>
      </c>
      <c r="J22" s="291">
        <f t="shared" si="12"/>
        <v>0</v>
      </c>
      <c r="K22" s="291">
        <f t="shared" si="12"/>
        <v>0</v>
      </c>
      <c r="L22" s="291">
        <f t="shared" si="12"/>
        <v>0</v>
      </c>
      <c r="M22" s="291">
        <f t="shared" si="12"/>
        <v>0</v>
      </c>
      <c r="N22" s="291">
        <f t="shared" si="12"/>
        <v>0</v>
      </c>
      <c r="O22" s="291">
        <f t="shared" si="12"/>
        <v>0</v>
      </c>
      <c r="P22" s="291">
        <f t="shared" si="12"/>
        <v>0</v>
      </c>
      <c r="Q22" s="291">
        <f t="shared" si="1"/>
        <v>0</v>
      </c>
    </row>
    <row r="23" spans="2:18" x14ac:dyDescent="0.25">
      <c r="B23" s="60"/>
      <c r="C23" s="803"/>
      <c r="D23" s="59"/>
      <c r="E23" s="291">
        <f t="shared" ref="E23:P23" si="13">E199+E371</f>
        <v>0</v>
      </c>
      <c r="F23" s="291">
        <f t="shared" si="13"/>
        <v>0</v>
      </c>
      <c r="G23" s="291">
        <f t="shared" si="13"/>
        <v>0</v>
      </c>
      <c r="H23" s="291">
        <f t="shared" si="13"/>
        <v>0</v>
      </c>
      <c r="I23" s="291">
        <f t="shared" si="13"/>
        <v>0</v>
      </c>
      <c r="J23" s="291">
        <f t="shared" si="13"/>
        <v>0</v>
      </c>
      <c r="K23" s="291">
        <f t="shared" si="13"/>
        <v>0</v>
      </c>
      <c r="L23" s="291">
        <f t="shared" si="13"/>
        <v>0</v>
      </c>
      <c r="M23" s="291">
        <f t="shared" si="13"/>
        <v>0</v>
      </c>
      <c r="N23" s="291">
        <f t="shared" si="13"/>
        <v>0</v>
      </c>
      <c r="O23" s="291">
        <f t="shared" si="13"/>
        <v>0</v>
      </c>
      <c r="P23" s="291">
        <f t="shared" si="13"/>
        <v>0</v>
      </c>
      <c r="Q23" s="291">
        <f t="shared" si="1"/>
        <v>0</v>
      </c>
    </row>
    <row r="24" spans="2:18" x14ac:dyDescent="0.25">
      <c r="B24" s="60"/>
      <c r="C24" s="803"/>
      <c r="D24" s="59"/>
      <c r="E24" s="291">
        <f t="shared" ref="E24:P24" si="14">E200+E372</f>
        <v>0</v>
      </c>
      <c r="F24" s="291">
        <f t="shared" si="14"/>
        <v>0</v>
      </c>
      <c r="G24" s="291">
        <f t="shared" si="14"/>
        <v>0</v>
      </c>
      <c r="H24" s="291">
        <f t="shared" si="14"/>
        <v>0</v>
      </c>
      <c r="I24" s="291">
        <f t="shared" si="14"/>
        <v>0</v>
      </c>
      <c r="J24" s="291">
        <f t="shared" si="14"/>
        <v>0</v>
      </c>
      <c r="K24" s="291">
        <f t="shared" si="14"/>
        <v>0</v>
      </c>
      <c r="L24" s="291">
        <f t="shared" si="14"/>
        <v>0</v>
      </c>
      <c r="M24" s="291">
        <f t="shared" si="14"/>
        <v>0</v>
      </c>
      <c r="N24" s="291">
        <f t="shared" si="14"/>
        <v>0</v>
      </c>
      <c r="O24" s="291">
        <f t="shared" si="14"/>
        <v>0</v>
      </c>
      <c r="P24" s="291">
        <f t="shared" si="14"/>
        <v>0</v>
      </c>
      <c r="Q24" s="291">
        <f t="shared" si="1"/>
        <v>0</v>
      </c>
    </row>
    <row r="25" spans="2:18" x14ac:dyDescent="0.25">
      <c r="B25" s="60"/>
      <c r="C25" s="803"/>
      <c r="D25" s="59"/>
      <c r="E25" s="291">
        <f t="shared" ref="E25:P25" si="15">E201+E373</f>
        <v>0</v>
      </c>
      <c r="F25" s="291">
        <f t="shared" si="15"/>
        <v>0</v>
      </c>
      <c r="G25" s="291">
        <f t="shared" si="15"/>
        <v>0</v>
      </c>
      <c r="H25" s="291">
        <f t="shared" si="15"/>
        <v>0</v>
      </c>
      <c r="I25" s="291">
        <f t="shared" si="15"/>
        <v>0</v>
      </c>
      <c r="J25" s="291">
        <f t="shared" si="15"/>
        <v>0</v>
      </c>
      <c r="K25" s="291">
        <f t="shared" si="15"/>
        <v>0</v>
      </c>
      <c r="L25" s="291">
        <f t="shared" si="15"/>
        <v>0</v>
      </c>
      <c r="M25" s="291">
        <f t="shared" si="15"/>
        <v>0</v>
      </c>
      <c r="N25" s="291">
        <f t="shared" si="15"/>
        <v>0</v>
      </c>
      <c r="O25" s="291">
        <f t="shared" si="15"/>
        <v>0</v>
      </c>
      <c r="P25" s="291">
        <f t="shared" si="15"/>
        <v>0</v>
      </c>
      <c r="Q25" s="291">
        <f t="shared" si="1"/>
        <v>0</v>
      </c>
    </row>
    <row r="26" spans="2:18" x14ac:dyDescent="0.25">
      <c r="B26" s="60"/>
      <c r="C26" s="803"/>
      <c r="D26" s="59"/>
      <c r="E26" s="291">
        <f t="shared" ref="E26:P26" si="16">E202+E374</f>
        <v>0</v>
      </c>
      <c r="F26" s="291">
        <f t="shared" si="16"/>
        <v>0</v>
      </c>
      <c r="G26" s="291">
        <f t="shared" si="16"/>
        <v>0</v>
      </c>
      <c r="H26" s="291">
        <f t="shared" si="16"/>
        <v>0</v>
      </c>
      <c r="I26" s="291">
        <f t="shared" si="16"/>
        <v>0</v>
      </c>
      <c r="J26" s="291">
        <f t="shared" si="16"/>
        <v>0</v>
      </c>
      <c r="K26" s="291">
        <f t="shared" si="16"/>
        <v>0</v>
      </c>
      <c r="L26" s="291">
        <f t="shared" si="16"/>
        <v>0</v>
      </c>
      <c r="M26" s="291">
        <f t="shared" si="16"/>
        <v>0</v>
      </c>
      <c r="N26" s="291">
        <f t="shared" si="16"/>
        <v>0</v>
      </c>
      <c r="O26" s="291">
        <f t="shared" si="16"/>
        <v>0</v>
      </c>
      <c r="P26" s="291">
        <f t="shared" si="16"/>
        <v>0</v>
      </c>
      <c r="Q26" s="291">
        <f t="shared" si="1"/>
        <v>0</v>
      </c>
    </row>
    <row r="27" spans="2:18" x14ac:dyDescent="0.25">
      <c r="B27" s="60"/>
      <c r="C27" s="803"/>
      <c r="D27" s="59"/>
      <c r="E27" s="291">
        <f t="shared" ref="E27:P27" si="17">E203+E375</f>
        <v>0</v>
      </c>
      <c r="F27" s="291">
        <f t="shared" si="17"/>
        <v>0</v>
      </c>
      <c r="G27" s="291">
        <f t="shared" si="17"/>
        <v>0</v>
      </c>
      <c r="H27" s="291">
        <f t="shared" si="17"/>
        <v>0</v>
      </c>
      <c r="I27" s="291">
        <f t="shared" si="17"/>
        <v>0</v>
      </c>
      <c r="J27" s="291">
        <f t="shared" si="17"/>
        <v>0</v>
      </c>
      <c r="K27" s="291">
        <f t="shared" si="17"/>
        <v>0</v>
      </c>
      <c r="L27" s="291">
        <f t="shared" si="17"/>
        <v>0</v>
      </c>
      <c r="M27" s="291">
        <f t="shared" si="17"/>
        <v>0</v>
      </c>
      <c r="N27" s="291">
        <f t="shared" si="17"/>
        <v>0</v>
      </c>
      <c r="O27" s="291">
        <f t="shared" si="17"/>
        <v>0</v>
      </c>
      <c r="P27" s="291">
        <f t="shared" si="17"/>
        <v>0</v>
      </c>
      <c r="Q27" s="291">
        <f t="shared" si="1"/>
        <v>0</v>
      </c>
    </row>
    <row r="28" spans="2:18" x14ac:dyDescent="0.25">
      <c r="B28" s="60"/>
      <c r="C28" s="804"/>
      <c r="D28" s="59"/>
      <c r="E28" s="291">
        <f t="shared" ref="E28:P28" si="18">E204+E376</f>
        <v>0</v>
      </c>
      <c r="F28" s="291">
        <f t="shared" si="18"/>
        <v>0</v>
      </c>
      <c r="G28" s="291">
        <f t="shared" si="18"/>
        <v>0</v>
      </c>
      <c r="H28" s="291">
        <f t="shared" si="18"/>
        <v>0</v>
      </c>
      <c r="I28" s="291">
        <f t="shared" si="18"/>
        <v>0</v>
      </c>
      <c r="J28" s="291">
        <f t="shared" si="18"/>
        <v>0</v>
      </c>
      <c r="K28" s="291">
        <f t="shared" si="18"/>
        <v>0</v>
      </c>
      <c r="L28" s="291">
        <f t="shared" si="18"/>
        <v>0</v>
      </c>
      <c r="M28" s="291">
        <f t="shared" si="18"/>
        <v>0</v>
      </c>
      <c r="N28" s="291">
        <f t="shared" si="18"/>
        <v>0</v>
      </c>
      <c r="O28" s="291">
        <f t="shared" si="18"/>
        <v>0</v>
      </c>
      <c r="P28" s="291">
        <f t="shared" si="18"/>
        <v>0</v>
      </c>
      <c r="Q28" s="291">
        <f t="shared" si="1"/>
        <v>0</v>
      </c>
    </row>
    <row r="29" spans="2:18" x14ac:dyDescent="0.25">
      <c r="C29" s="751" t="s">
        <v>212</v>
      </c>
      <c r="D29" s="752"/>
      <c r="E29" s="329">
        <f t="shared" ref="E29:P29" si="19">SUM(E11:E28)</f>
        <v>766.93827509084497</v>
      </c>
      <c r="F29" s="329">
        <f t="shared" si="19"/>
        <v>434.68792497689407</v>
      </c>
      <c r="G29" s="329">
        <f t="shared" si="19"/>
        <v>533.68557637998993</v>
      </c>
      <c r="H29" s="329">
        <f t="shared" si="19"/>
        <v>589.37406630229759</v>
      </c>
      <c r="I29" s="329">
        <f t="shared" si="19"/>
        <v>630.68940804226986</v>
      </c>
      <c r="J29" s="329">
        <f t="shared" si="19"/>
        <v>693.46594839070815</v>
      </c>
      <c r="K29" s="329">
        <f t="shared" si="19"/>
        <v>621.88703109277481</v>
      </c>
      <c r="L29" s="329">
        <f t="shared" si="19"/>
        <v>598.41641804299172</v>
      </c>
      <c r="M29" s="329">
        <f t="shared" si="19"/>
        <v>682.67199973077106</v>
      </c>
      <c r="N29" s="329">
        <f t="shared" si="19"/>
        <v>745.56721473335688</v>
      </c>
      <c r="O29" s="329">
        <f t="shared" si="19"/>
        <v>702.04180717656561</v>
      </c>
      <c r="P29" s="329">
        <f t="shared" si="19"/>
        <v>837.37136444522685</v>
      </c>
      <c r="Q29" s="329">
        <f t="shared" si="1"/>
        <v>7836.7970344046917</v>
      </c>
      <c r="R29" s="427"/>
    </row>
    <row r="30" spans="2:18" x14ac:dyDescent="0.25">
      <c r="C30" s="753" t="s">
        <v>359</v>
      </c>
      <c r="D30" s="754"/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</row>
    <row r="31" spans="2:18" x14ac:dyDescent="0.25">
      <c r="C31" s="805" t="s">
        <v>350</v>
      </c>
      <c r="D31" s="17" t="s">
        <v>360</v>
      </c>
      <c r="E31" s="291">
        <f t="shared" ref="E31:P31" si="20">E207+E379</f>
        <v>0</v>
      </c>
      <c r="F31" s="291">
        <f t="shared" si="20"/>
        <v>0</v>
      </c>
      <c r="G31" s="291">
        <f t="shared" si="20"/>
        <v>0</v>
      </c>
      <c r="H31" s="291">
        <f t="shared" si="20"/>
        <v>0</v>
      </c>
      <c r="I31" s="291">
        <f t="shared" si="20"/>
        <v>0</v>
      </c>
      <c r="J31" s="291">
        <f t="shared" si="20"/>
        <v>0</v>
      </c>
      <c r="K31" s="291">
        <f t="shared" si="20"/>
        <v>0</v>
      </c>
      <c r="L31" s="291">
        <f t="shared" si="20"/>
        <v>0</v>
      </c>
      <c r="M31" s="291">
        <f t="shared" si="20"/>
        <v>0</v>
      </c>
      <c r="N31" s="291">
        <f t="shared" si="20"/>
        <v>0</v>
      </c>
      <c r="O31" s="291">
        <f t="shared" si="20"/>
        <v>0</v>
      </c>
      <c r="P31" s="291">
        <f t="shared" si="20"/>
        <v>0</v>
      </c>
      <c r="Q31" s="291">
        <f t="shared" ref="Q31:Q48" si="21">SUM(E31:P31)</f>
        <v>0</v>
      </c>
    </row>
    <row r="32" spans="2:18" x14ac:dyDescent="0.25">
      <c r="C32" s="806"/>
      <c r="D32" s="17" t="s">
        <v>361</v>
      </c>
      <c r="E32" s="291">
        <f t="shared" ref="E32:P32" si="22">E208+E380</f>
        <v>0</v>
      </c>
      <c r="F32" s="291">
        <f t="shared" si="22"/>
        <v>0</v>
      </c>
      <c r="G32" s="291">
        <f t="shared" si="22"/>
        <v>0</v>
      </c>
      <c r="H32" s="291">
        <f t="shared" si="22"/>
        <v>0</v>
      </c>
      <c r="I32" s="291">
        <f t="shared" si="22"/>
        <v>0</v>
      </c>
      <c r="J32" s="291">
        <f t="shared" si="22"/>
        <v>0</v>
      </c>
      <c r="K32" s="291">
        <f t="shared" si="22"/>
        <v>0</v>
      </c>
      <c r="L32" s="291">
        <f t="shared" si="22"/>
        <v>0</v>
      </c>
      <c r="M32" s="291">
        <f t="shared" si="22"/>
        <v>0</v>
      </c>
      <c r="N32" s="291">
        <f t="shared" si="22"/>
        <v>0</v>
      </c>
      <c r="O32" s="291">
        <f t="shared" si="22"/>
        <v>0</v>
      </c>
      <c r="P32" s="291">
        <f t="shared" si="22"/>
        <v>0</v>
      </c>
      <c r="Q32" s="291">
        <f t="shared" si="21"/>
        <v>0</v>
      </c>
    </row>
    <row r="33" spans="3:17" x14ac:dyDescent="0.25">
      <c r="C33" s="806"/>
      <c r="D33" s="17" t="s">
        <v>362</v>
      </c>
      <c r="E33" s="291">
        <f t="shared" ref="E33:P33" si="23">E209+E381</f>
        <v>0</v>
      </c>
      <c r="F33" s="291">
        <f t="shared" si="23"/>
        <v>0</v>
      </c>
      <c r="G33" s="291">
        <f t="shared" si="23"/>
        <v>0</v>
      </c>
      <c r="H33" s="291">
        <f t="shared" si="23"/>
        <v>0</v>
      </c>
      <c r="I33" s="291">
        <f t="shared" si="23"/>
        <v>0</v>
      </c>
      <c r="J33" s="291">
        <f t="shared" si="23"/>
        <v>0</v>
      </c>
      <c r="K33" s="291">
        <f t="shared" si="23"/>
        <v>0</v>
      </c>
      <c r="L33" s="291">
        <f t="shared" si="23"/>
        <v>0</v>
      </c>
      <c r="M33" s="291">
        <f t="shared" si="23"/>
        <v>0</v>
      </c>
      <c r="N33" s="291">
        <f t="shared" si="23"/>
        <v>0</v>
      </c>
      <c r="O33" s="291">
        <f t="shared" si="23"/>
        <v>0</v>
      </c>
      <c r="P33" s="291">
        <f t="shared" si="23"/>
        <v>0</v>
      </c>
      <c r="Q33" s="291">
        <f t="shared" si="21"/>
        <v>0</v>
      </c>
    </row>
    <row r="34" spans="3:17" x14ac:dyDescent="0.25">
      <c r="C34" s="806"/>
      <c r="D34" s="17" t="s">
        <v>363</v>
      </c>
      <c r="E34" s="291">
        <f t="shared" ref="E34:P34" si="24">E210+E382</f>
        <v>0</v>
      </c>
      <c r="F34" s="291">
        <f t="shared" si="24"/>
        <v>0</v>
      </c>
      <c r="G34" s="291">
        <f t="shared" si="24"/>
        <v>0</v>
      </c>
      <c r="H34" s="291">
        <f t="shared" si="24"/>
        <v>0</v>
      </c>
      <c r="I34" s="291">
        <f t="shared" si="24"/>
        <v>0</v>
      </c>
      <c r="J34" s="291">
        <f t="shared" si="24"/>
        <v>0</v>
      </c>
      <c r="K34" s="291">
        <f t="shared" si="24"/>
        <v>0</v>
      </c>
      <c r="L34" s="291">
        <f t="shared" si="24"/>
        <v>0</v>
      </c>
      <c r="M34" s="291">
        <f t="shared" si="24"/>
        <v>0</v>
      </c>
      <c r="N34" s="291">
        <f t="shared" si="24"/>
        <v>0</v>
      </c>
      <c r="O34" s="291">
        <f t="shared" si="24"/>
        <v>0</v>
      </c>
      <c r="P34" s="291">
        <f t="shared" si="24"/>
        <v>0</v>
      </c>
      <c r="Q34" s="291">
        <f t="shared" si="21"/>
        <v>0</v>
      </c>
    </row>
    <row r="35" spans="3:17" x14ac:dyDescent="0.25">
      <c r="C35" s="806"/>
      <c r="D35" s="17" t="s">
        <v>364</v>
      </c>
      <c r="E35" s="291">
        <f t="shared" ref="E35:P35" si="25">E211+E383</f>
        <v>0</v>
      </c>
      <c r="F35" s="291">
        <f t="shared" si="25"/>
        <v>0</v>
      </c>
      <c r="G35" s="291">
        <f t="shared" si="25"/>
        <v>0</v>
      </c>
      <c r="H35" s="291">
        <f t="shared" si="25"/>
        <v>0</v>
      </c>
      <c r="I35" s="291">
        <f t="shared" si="25"/>
        <v>0</v>
      </c>
      <c r="J35" s="291">
        <f t="shared" si="25"/>
        <v>0</v>
      </c>
      <c r="K35" s="291">
        <f t="shared" si="25"/>
        <v>0</v>
      </c>
      <c r="L35" s="291">
        <f t="shared" si="25"/>
        <v>0</v>
      </c>
      <c r="M35" s="291">
        <f t="shared" si="25"/>
        <v>0</v>
      </c>
      <c r="N35" s="291">
        <f t="shared" si="25"/>
        <v>0</v>
      </c>
      <c r="O35" s="291">
        <f t="shared" si="25"/>
        <v>0</v>
      </c>
      <c r="P35" s="291">
        <f t="shared" si="25"/>
        <v>0</v>
      </c>
      <c r="Q35" s="291">
        <f t="shared" si="21"/>
        <v>0</v>
      </c>
    </row>
    <row r="36" spans="3:17" x14ac:dyDescent="0.25">
      <c r="C36" s="806"/>
      <c r="D36" s="17" t="s">
        <v>365</v>
      </c>
      <c r="E36" s="291">
        <f t="shared" ref="E36:P36" si="26">E212+E384</f>
        <v>0</v>
      </c>
      <c r="F36" s="291">
        <f t="shared" si="26"/>
        <v>0</v>
      </c>
      <c r="G36" s="291">
        <f t="shared" si="26"/>
        <v>0</v>
      </c>
      <c r="H36" s="291">
        <f t="shared" si="26"/>
        <v>0</v>
      </c>
      <c r="I36" s="291">
        <f t="shared" si="26"/>
        <v>0</v>
      </c>
      <c r="J36" s="291">
        <f t="shared" si="26"/>
        <v>0</v>
      </c>
      <c r="K36" s="291">
        <f t="shared" si="26"/>
        <v>0</v>
      </c>
      <c r="L36" s="291">
        <f t="shared" si="26"/>
        <v>0</v>
      </c>
      <c r="M36" s="291">
        <f t="shared" si="26"/>
        <v>0</v>
      </c>
      <c r="N36" s="291">
        <f t="shared" si="26"/>
        <v>0</v>
      </c>
      <c r="O36" s="291">
        <f t="shared" si="26"/>
        <v>0</v>
      </c>
      <c r="P36" s="291">
        <f t="shared" si="26"/>
        <v>0</v>
      </c>
      <c r="Q36" s="291">
        <f t="shared" si="21"/>
        <v>0</v>
      </c>
    </row>
    <row r="37" spans="3:17" x14ac:dyDescent="0.25">
      <c r="C37" s="806"/>
      <c r="D37" s="17" t="s">
        <v>366</v>
      </c>
      <c r="E37" s="291">
        <f t="shared" ref="E37:P37" si="27">E213+E385</f>
        <v>0</v>
      </c>
      <c r="F37" s="291">
        <f t="shared" si="27"/>
        <v>0</v>
      </c>
      <c r="G37" s="291">
        <f t="shared" si="27"/>
        <v>0</v>
      </c>
      <c r="H37" s="291">
        <f t="shared" si="27"/>
        <v>0</v>
      </c>
      <c r="I37" s="291">
        <f t="shared" si="27"/>
        <v>0</v>
      </c>
      <c r="J37" s="291">
        <f t="shared" si="27"/>
        <v>0</v>
      </c>
      <c r="K37" s="291">
        <f t="shared" si="27"/>
        <v>0</v>
      </c>
      <c r="L37" s="291">
        <f t="shared" si="27"/>
        <v>0</v>
      </c>
      <c r="M37" s="291">
        <f t="shared" si="27"/>
        <v>0</v>
      </c>
      <c r="N37" s="291">
        <f t="shared" si="27"/>
        <v>0</v>
      </c>
      <c r="O37" s="291">
        <f t="shared" si="27"/>
        <v>0</v>
      </c>
      <c r="P37" s="291">
        <f t="shared" si="27"/>
        <v>0</v>
      </c>
      <c r="Q37" s="291">
        <f t="shared" si="21"/>
        <v>0</v>
      </c>
    </row>
    <row r="38" spans="3:17" x14ac:dyDescent="0.25">
      <c r="C38" s="806"/>
      <c r="D38" s="17" t="s">
        <v>367</v>
      </c>
      <c r="E38" s="291">
        <f t="shared" ref="E38:P38" si="28">E214+E386</f>
        <v>0</v>
      </c>
      <c r="F38" s="291">
        <f t="shared" si="28"/>
        <v>0</v>
      </c>
      <c r="G38" s="291">
        <f t="shared" si="28"/>
        <v>0</v>
      </c>
      <c r="H38" s="291">
        <f t="shared" si="28"/>
        <v>0</v>
      </c>
      <c r="I38" s="291">
        <f t="shared" si="28"/>
        <v>0</v>
      </c>
      <c r="J38" s="291">
        <f t="shared" si="28"/>
        <v>0</v>
      </c>
      <c r="K38" s="291">
        <f t="shared" si="28"/>
        <v>0</v>
      </c>
      <c r="L38" s="291">
        <f t="shared" si="28"/>
        <v>0</v>
      </c>
      <c r="M38" s="291">
        <f t="shared" si="28"/>
        <v>0</v>
      </c>
      <c r="N38" s="291">
        <f t="shared" si="28"/>
        <v>0</v>
      </c>
      <c r="O38" s="291">
        <f t="shared" si="28"/>
        <v>0</v>
      </c>
      <c r="P38" s="291">
        <f t="shared" si="28"/>
        <v>0</v>
      </c>
      <c r="Q38" s="291">
        <f t="shared" si="21"/>
        <v>0</v>
      </c>
    </row>
    <row r="39" spans="3:17" x14ac:dyDescent="0.25">
      <c r="C39" s="806"/>
      <c r="D39" s="17"/>
      <c r="E39" s="291">
        <f t="shared" ref="E39:P39" si="29">E215+E387</f>
        <v>0</v>
      </c>
      <c r="F39" s="291">
        <f t="shared" si="29"/>
        <v>0</v>
      </c>
      <c r="G39" s="291">
        <f t="shared" si="29"/>
        <v>0</v>
      </c>
      <c r="H39" s="291">
        <f t="shared" si="29"/>
        <v>0</v>
      </c>
      <c r="I39" s="291">
        <f t="shared" si="29"/>
        <v>0</v>
      </c>
      <c r="J39" s="291">
        <f t="shared" si="29"/>
        <v>0</v>
      </c>
      <c r="K39" s="291">
        <f t="shared" si="29"/>
        <v>0</v>
      </c>
      <c r="L39" s="291">
        <f t="shared" si="29"/>
        <v>0</v>
      </c>
      <c r="M39" s="291">
        <f t="shared" si="29"/>
        <v>0</v>
      </c>
      <c r="N39" s="291">
        <f t="shared" si="29"/>
        <v>0</v>
      </c>
      <c r="O39" s="291">
        <f t="shared" si="29"/>
        <v>0</v>
      </c>
      <c r="P39" s="291">
        <f t="shared" si="29"/>
        <v>0</v>
      </c>
      <c r="Q39" s="291">
        <f t="shared" si="21"/>
        <v>0</v>
      </c>
    </row>
    <row r="40" spans="3:17" x14ac:dyDescent="0.25">
      <c r="C40" s="806"/>
      <c r="D40" s="325" t="s">
        <v>621</v>
      </c>
      <c r="E40" s="291">
        <f t="shared" ref="E40:P40" si="30">E216+E388</f>
        <v>0</v>
      </c>
      <c r="F40" s="291">
        <f t="shared" si="30"/>
        <v>0</v>
      </c>
      <c r="G40" s="291">
        <f t="shared" si="30"/>
        <v>0</v>
      </c>
      <c r="H40" s="291">
        <f t="shared" si="30"/>
        <v>0</v>
      </c>
      <c r="I40" s="291">
        <f t="shared" si="30"/>
        <v>0</v>
      </c>
      <c r="J40" s="291">
        <f t="shared" si="30"/>
        <v>0</v>
      </c>
      <c r="K40" s="291">
        <f t="shared" si="30"/>
        <v>0</v>
      </c>
      <c r="L40" s="291">
        <f t="shared" si="30"/>
        <v>0</v>
      </c>
      <c r="M40" s="291">
        <f t="shared" si="30"/>
        <v>0</v>
      </c>
      <c r="N40" s="291">
        <f t="shared" si="30"/>
        <v>0</v>
      </c>
      <c r="O40" s="291">
        <f t="shared" si="30"/>
        <v>0</v>
      </c>
      <c r="P40" s="291">
        <f t="shared" si="30"/>
        <v>0</v>
      </c>
      <c r="Q40" s="291">
        <f t="shared" si="21"/>
        <v>0</v>
      </c>
    </row>
    <row r="41" spans="3:17" x14ac:dyDescent="0.25">
      <c r="C41" s="806"/>
      <c r="D41" s="325" t="s">
        <v>622</v>
      </c>
      <c r="E41" s="291">
        <f t="shared" ref="E41:P41" si="31">E217+E389</f>
        <v>0</v>
      </c>
      <c r="F41" s="291">
        <f t="shared" si="31"/>
        <v>0</v>
      </c>
      <c r="G41" s="291">
        <f t="shared" si="31"/>
        <v>0</v>
      </c>
      <c r="H41" s="291">
        <f t="shared" si="31"/>
        <v>0</v>
      </c>
      <c r="I41" s="291">
        <f t="shared" si="31"/>
        <v>0</v>
      </c>
      <c r="J41" s="291">
        <f t="shared" si="31"/>
        <v>0</v>
      </c>
      <c r="K41" s="291">
        <f t="shared" si="31"/>
        <v>0</v>
      </c>
      <c r="L41" s="291">
        <f t="shared" si="31"/>
        <v>0</v>
      </c>
      <c r="M41" s="291">
        <f t="shared" si="31"/>
        <v>0</v>
      </c>
      <c r="N41" s="291">
        <f t="shared" si="31"/>
        <v>0</v>
      </c>
      <c r="O41" s="291">
        <f t="shared" si="31"/>
        <v>0</v>
      </c>
      <c r="P41" s="291">
        <f t="shared" si="31"/>
        <v>0</v>
      </c>
      <c r="Q41" s="291">
        <f t="shared" si="21"/>
        <v>0</v>
      </c>
    </row>
    <row r="42" spans="3:17" x14ac:dyDescent="0.25">
      <c r="C42" s="806"/>
      <c r="D42" s="325"/>
      <c r="E42" s="291">
        <f t="shared" ref="E42:P42" si="32">E218+E390</f>
        <v>0</v>
      </c>
      <c r="F42" s="291">
        <f t="shared" si="32"/>
        <v>0</v>
      </c>
      <c r="G42" s="291">
        <f t="shared" si="32"/>
        <v>0</v>
      </c>
      <c r="H42" s="291">
        <f t="shared" si="32"/>
        <v>0</v>
      </c>
      <c r="I42" s="291">
        <f t="shared" si="32"/>
        <v>0</v>
      </c>
      <c r="J42" s="291">
        <f t="shared" si="32"/>
        <v>0</v>
      </c>
      <c r="K42" s="291">
        <f t="shared" si="32"/>
        <v>0</v>
      </c>
      <c r="L42" s="291">
        <f t="shared" si="32"/>
        <v>0</v>
      </c>
      <c r="M42" s="291">
        <f t="shared" si="32"/>
        <v>0</v>
      </c>
      <c r="N42" s="291">
        <f t="shared" si="32"/>
        <v>0</v>
      </c>
      <c r="O42" s="291">
        <f t="shared" si="32"/>
        <v>0</v>
      </c>
      <c r="P42" s="291">
        <f t="shared" si="32"/>
        <v>0</v>
      </c>
      <c r="Q42" s="291">
        <f t="shared" si="21"/>
        <v>0</v>
      </c>
    </row>
    <row r="43" spans="3:17" x14ac:dyDescent="0.25">
      <c r="C43" s="806"/>
      <c r="D43" s="17"/>
      <c r="E43" s="291">
        <f t="shared" ref="E43:P43" si="33">E219+E391</f>
        <v>0</v>
      </c>
      <c r="F43" s="291">
        <f t="shared" si="33"/>
        <v>0</v>
      </c>
      <c r="G43" s="291">
        <f t="shared" si="33"/>
        <v>0</v>
      </c>
      <c r="H43" s="291">
        <f t="shared" si="33"/>
        <v>0</v>
      </c>
      <c r="I43" s="291">
        <f t="shared" si="33"/>
        <v>0</v>
      </c>
      <c r="J43" s="291">
        <f t="shared" si="33"/>
        <v>0</v>
      </c>
      <c r="K43" s="291">
        <f t="shared" si="33"/>
        <v>0</v>
      </c>
      <c r="L43" s="291">
        <f t="shared" si="33"/>
        <v>0</v>
      </c>
      <c r="M43" s="291">
        <f t="shared" si="33"/>
        <v>0</v>
      </c>
      <c r="N43" s="291">
        <f t="shared" si="33"/>
        <v>0</v>
      </c>
      <c r="O43" s="291">
        <f t="shared" si="33"/>
        <v>0</v>
      </c>
      <c r="P43" s="291">
        <f t="shared" si="33"/>
        <v>0</v>
      </c>
      <c r="Q43" s="291">
        <f t="shared" si="21"/>
        <v>0</v>
      </c>
    </row>
    <row r="44" spans="3:17" x14ac:dyDescent="0.25">
      <c r="C44" s="806"/>
      <c r="D44" s="17"/>
      <c r="E44" s="291">
        <f t="shared" ref="E44:P44" si="34">E220+E392</f>
        <v>0</v>
      </c>
      <c r="F44" s="291">
        <f t="shared" si="34"/>
        <v>0</v>
      </c>
      <c r="G44" s="291">
        <f t="shared" si="34"/>
        <v>0</v>
      </c>
      <c r="H44" s="291">
        <f t="shared" si="34"/>
        <v>0</v>
      </c>
      <c r="I44" s="291">
        <f t="shared" si="34"/>
        <v>0</v>
      </c>
      <c r="J44" s="291">
        <f t="shared" si="34"/>
        <v>0</v>
      </c>
      <c r="K44" s="291">
        <f t="shared" si="34"/>
        <v>0</v>
      </c>
      <c r="L44" s="291">
        <f t="shared" si="34"/>
        <v>0</v>
      </c>
      <c r="M44" s="291">
        <f t="shared" si="34"/>
        <v>0</v>
      </c>
      <c r="N44" s="291">
        <f t="shared" si="34"/>
        <v>0</v>
      </c>
      <c r="O44" s="291">
        <f t="shared" si="34"/>
        <v>0</v>
      </c>
      <c r="P44" s="291">
        <f t="shared" si="34"/>
        <v>0</v>
      </c>
      <c r="Q44" s="291">
        <f t="shared" si="21"/>
        <v>0</v>
      </c>
    </row>
    <row r="45" spans="3:17" x14ac:dyDescent="0.25">
      <c r="C45" s="806"/>
      <c r="D45" s="17"/>
      <c r="E45" s="291">
        <f t="shared" ref="E45:P45" si="35">E221+E393</f>
        <v>0</v>
      </c>
      <c r="F45" s="291">
        <f t="shared" si="35"/>
        <v>0</v>
      </c>
      <c r="G45" s="291">
        <f t="shared" si="35"/>
        <v>0</v>
      </c>
      <c r="H45" s="291">
        <f t="shared" si="35"/>
        <v>0</v>
      </c>
      <c r="I45" s="291">
        <f t="shared" si="35"/>
        <v>0</v>
      </c>
      <c r="J45" s="291">
        <f t="shared" si="35"/>
        <v>0</v>
      </c>
      <c r="K45" s="291">
        <f t="shared" si="35"/>
        <v>0</v>
      </c>
      <c r="L45" s="291">
        <f t="shared" si="35"/>
        <v>0</v>
      </c>
      <c r="M45" s="291">
        <f t="shared" si="35"/>
        <v>0</v>
      </c>
      <c r="N45" s="291">
        <f t="shared" si="35"/>
        <v>0</v>
      </c>
      <c r="O45" s="291">
        <f t="shared" si="35"/>
        <v>0</v>
      </c>
      <c r="P45" s="291">
        <f t="shared" si="35"/>
        <v>0</v>
      </c>
      <c r="Q45" s="291">
        <f t="shared" si="21"/>
        <v>0</v>
      </c>
    </row>
    <row r="46" spans="3:17" x14ac:dyDescent="0.25">
      <c r="C46" s="806"/>
      <c r="D46" s="17"/>
      <c r="E46" s="291">
        <f t="shared" ref="E46:P46" si="36">E222+E394</f>
        <v>0</v>
      </c>
      <c r="F46" s="291">
        <f t="shared" si="36"/>
        <v>0</v>
      </c>
      <c r="G46" s="291">
        <f t="shared" si="36"/>
        <v>0</v>
      </c>
      <c r="H46" s="291">
        <f t="shared" si="36"/>
        <v>0</v>
      </c>
      <c r="I46" s="291">
        <f t="shared" si="36"/>
        <v>0</v>
      </c>
      <c r="J46" s="291">
        <f t="shared" si="36"/>
        <v>0</v>
      </c>
      <c r="K46" s="291">
        <f t="shared" si="36"/>
        <v>0</v>
      </c>
      <c r="L46" s="291">
        <f t="shared" si="36"/>
        <v>0</v>
      </c>
      <c r="M46" s="291">
        <f t="shared" si="36"/>
        <v>0</v>
      </c>
      <c r="N46" s="291">
        <f t="shared" si="36"/>
        <v>0</v>
      </c>
      <c r="O46" s="291">
        <f t="shared" si="36"/>
        <v>0</v>
      </c>
      <c r="P46" s="291">
        <f t="shared" si="36"/>
        <v>0</v>
      </c>
      <c r="Q46" s="291">
        <f t="shared" si="21"/>
        <v>0</v>
      </c>
    </row>
    <row r="47" spans="3:17" x14ac:dyDescent="0.25">
      <c r="C47" s="806"/>
      <c r="D47" s="17"/>
      <c r="E47" s="291">
        <f t="shared" ref="E47:P47" si="37">E223+E395</f>
        <v>0</v>
      </c>
      <c r="F47" s="291">
        <f t="shared" si="37"/>
        <v>0</v>
      </c>
      <c r="G47" s="291">
        <f t="shared" si="37"/>
        <v>0</v>
      </c>
      <c r="H47" s="291">
        <f t="shared" si="37"/>
        <v>0</v>
      </c>
      <c r="I47" s="291">
        <f t="shared" si="37"/>
        <v>0</v>
      </c>
      <c r="J47" s="291">
        <f t="shared" si="37"/>
        <v>0</v>
      </c>
      <c r="K47" s="291">
        <f t="shared" si="37"/>
        <v>0</v>
      </c>
      <c r="L47" s="291">
        <f t="shared" si="37"/>
        <v>0</v>
      </c>
      <c r="M47" s="291">
        <f t="shared" si="37"/>
        <v>0</v>
      </c>
      <c r="N47" s="291">
        <f t="shared" si="37"/>
        <v>0</v>
      </c>
      <c r="O47" s="291">
        <f t="shared" si="37"/>
        <v>0</v>
      </c>
      <c r="P47" s="291">
        <f t="shared" si="37"/>
        <v>0</v>
      </c>
      <c r="Q47" s="291">
        <f t="shared" si="21"/>
        <v>0</v>
      </c>
    </row>
    <row r="48" spans="3:17" x14ac:dyDescent="0.25">
      <c r="C48" s="807"/>
      <c r="D48" s="107"/>
      <c r="E48" s="291">
        <f t="shared" ref="E48:P48" si="38">E224+E396</f>
        <v>0</v>
      </c>
      <c r="F48" s="291">
        <f t="shared" si="38"/>
        <v>0</v>
      </c>
      <c r="G48" s="291">
        <f t="shared" si="38"/>
        <v>0</v>
      </c>
      <c r="H48" s="291">
        <f t="shared" si="38"/>
        <v>0</v>
      </c>
      <c r="I48" s="291">
        <f t="shared" si="38"/>
        <v>0</v>
      </c>
      <c r="J48" s="291">
        <f t="shared" si="38"/>
        <v>0</v>
      </c>
      <c r="K48" s="291">
        <f t="shared" si="38"/>
        <v>0</v>
      </c>
      <c r="L48" s="291">
        <f t="shared" si="38"/>
        <v>0</v>
      </c>
      <c r="M48" s="291">
        <f t="shared" si="38"/>
        <v>0</v>
      </c>
      <c r="N48" s="291">
        <f t="shared" si="38"/>
        <v>0</v>
      </c>
      <c r="O48" s="291">
        <f t="shared" si="38"/>
        <v>0</v>
      </c>
      <c r="P48" s="291">
        <f t="shared" si="38"/>
        <v>0</v>
      </c>
      <c r="Q48" s="291">
        <f t="shared" si="21"/>
        <v>0</v>
      </c>
    </row>
    <row r="49" spans="3:18" x14ac:dyDescent="0.25">
      <c r="C49" s="751" t="s">
        <v>212</v>
      </c>
      <c r="D49" s="752"/>
      <c r="E49" s="291">
        <f t="shared" ref="E49:P49" si="39">E225+E397</f>
        <v>17.278378550187721</v>
      </c>
      <c r="F49" s="291">
        <f t="shared" si="39"/>
        <v>18.514964177677435</v>
      </c>
      <c r="G49" s="291">
        <f t="shared" si="39"/>
        <v>19.182399461706542</v>
      </c>
      <c r="H49" s="291">
        <f t="shared" si="39"/>
        <v>41.937058936258275</v>
      </c>
      <c r="I49" s="291">
        <f t="shared" si="39"/>
        <v>98.460558727255233</v>
      </c>
      <c r="J49" s="291">
        <f t="shared" si="39"/>
        <v>49.729116779978135</v>
      </c>
      <c r="K49" s="291">
        <f t="shared" si="39"/>
        <v>54.814065857586272</v>
      </c>
      <c r="L49" s="291">
        <f t="shared" si="39"/>
        <v>18.800091599595998</v>
      </c>
      <c r="M49" s="291">
        <f t="shared" si="39"/>
        <v>32.25165095406949</v>
      </c>
      <c r="N49" s="291">
        <f t="shared" si="39"/>
        <v>61.540586632918831</v>
      </c>
      <c r="O49" s="291">
        <f t="shared" si="39"/>
        <v>55.270326733538141</v>
      </c>
      <c r="P49" s="291">
        <f t="shared" si="39"/>
        <v>25.673221589227921</v>
      </c>
      <c r="Q49" s="291">
        <f>Q225+Q397</f>
        <v>981.60089499999992</v>
      </c>
      <c r="R49" s="427"/>
    </row>
    <row r="50" spans="3:18" x14ac:dyDescent="0.25">
      <c r="C50" s="753" t="s">
        <v>368</v>
      </c>
      <c r="D50" s="754"/>
      <c r="E50" s="329">
        <f t="shared" ref="E50:Q50" si="40">E29+E49</f>
        <v>784.21665364103274</v>
      </c>
      <c r="F50" s="329">
        <f t="shared" si="40"/>
        <v>453.20288915457149</v>
      </c>
      <c r="G50" s="329">
        <f t="shared" si="40"/>
        <v>552.86797584169642</v>
      </c>
      <c r="H50" s="329">
        <f t="shared" si="40"/>
        <v>631.31112523855586</v>
      </c>
      <c r="I50" s="329">
        <f t="shared" si="40"/>
        <v>729.14996676952512</v>
      </c>
      <c r="J50" s="329">
        <f t="shared" si="40"/>
        <v>743.19506517068623</v>
      </c>
      <c r="K50" s="329">
        <f t="shared" si="40"/>
        <v>676.70109695036103</v>
      </c>
      <c r="L50" s="329">
        <f t="shared" si="40"/>
        <v>617.21650964258777</v>
      </c>
      <c r="M50" s="329">
        <f t="shared" si="40"/>
        <v>714.9236506848406</v>
      </c>
      <c r="N50" s="329">
        <f t="shared" si="40"/>
        <v>807.10780136627568</v>
      </c>
      <c r="O50" s="329">
        <f t="shared" si="40"/>
        <v>757.31213391010374</v>
      </c>
      <c r="P50" s="329">
        <f t="shared" si="40"/>
        <v>863.04458603445482</v>
      </c>
      <c r="Q50" s="329">
        <f t="shared" si="40"/>
        <v>8818.3979294046912</v>
      </c>
      <c r="R50" s="427"/>
    </row>
    <row r="51" spans="3:18" x14ac:dyDescent="0.25">
      <c r="C51" s="800" t="s">
        <v>369</v>
      </c>
      <c r="D51" s="80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</row>
    <row r="52" spans="3:18" x14ac:dyDescent="0.25">
      <c r="C52" s="753" t="s">
        <v>349</v>
      </c>
      <c r="D52" s="754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</row>
    <row r="53" spans="3:18" ht="15" customHeight="1" x14ac:dyDescent="0.25">
      <c r="C53" s="805" t="s">
        <v>370</v>
      </c>
      <c r="D53" s="17" t="s">
        <v>371</v>
      </c>
      <c r="E53" s="291">
        <f t="shared" ref="E53:P53" si="41">E229+E401</f>
        <v>21.168920520818492</v>
      </c>
      <c r="F53" s="291">
        <f t="shared" si="41"/>
        <v>28.36533217158798</v>
      </c>
      <c r="G53" s="291">
        <f t="shared" si="41"/>
        <v>28.865063440917933</v>
      </c>
      <c r="H53" s="291">
        <f t="shared" si="41"/>
        <v>20.956216586843524</v>
      </c>
      <c r="I53" s="291">
        <f t="shared" si="41"/>
        <v>18.277223744185228</v>
      </c>
      <c r="J53" s="291">
        <f t="shared" si="41"/>
        <v>19.089298154628608</v>
      </c>
      <c r="K53" s="291">
        <f t="shared" si="41"/>
        <v>18.277223744185228</v>
      </c>
      <c r="L53" s="291">
        <f t="shared" si="41"/>
        <v>26.17386835849868</v>
      </c>
      <c r="M53" s="291">
        <f t="shared" si="41"/>
        <v>16.172409084576152</v>
      </c>
      <c r="N53" s="291">
        <f t="shared" si="41"/>
        <v>16.985104393178787</v>
      </c>
      <c r="O53" s="291">
        <f t="shared" si="41"/>
        <v>21.929882188894364</v>
      </c>
      <c r="P53" s="291">
        <f t="shared" si="41"/>
        <v>26.214214131386825</v>
      </c>
      <c r="Q53" s="291">
        <f t="shared" ref="Q53:Q79" si="42">SUM(E53:P53)</f>
        <v>262.47475651970183</v>
      </c>
    </row>
    <row r="54" spans="3:18" x14ac:dyDescent="0.25">
      <c r="C54" s="806"/>
      <c r="D54" s="17" t="s">
        <v>372</v>
      </c>
      <c r="E54" s="291">
        <f t="shared" ref="E54:P54" si="43">E230+E402</f>
        <v>5.9176955745134929</v>
      </c>
      <c r="F54" s="291">
        <f t="shared" si="43"/>
        <v>7.2315955194634256</v>
      </c>
      <c r="G54" s="291">
        <f t="shared" si="43"/>
        <v>6.998318244642026</v>
      </c>
      <c r="H54" s="291">
        <f t="shared" si="43"/>
        <v>0</v>
      </c>
      <c r="I54" s="291">
        <f t="shared" si="43"/>
        <v>2.3396338445322828</v>
      </c>
      <c r="J54" s="291">
        <f t="shared" si="43"/>
        <v>4.8370729043849261</v>
      </c>
      <c r="K54" s="291">
        <f t="shared" si="43"/>
        <v>4.6792676890645657</v>
      </c>
      <c r="L54" s="291">
        <f t="shared" si="43"/>
        <v>6.6895689103195828</v>
      </c>
      <c r="M54" s="291">
        <f t="shared" si="43"/>
        <v>5.7959111148640661</v>
      </c>
      <c r="N54" s="291">
        <f t="shared" si="43"/>
        <v>5.9554316042640121</v>
      </c>
      <c r="O54" s="291">
        <f t="shared" si="43"/>
        <v>5.6672655588964034</v>
      </c>
      <c r="P54" s="291">
        <f t="shared" si="43"/>
        <v>6.4339930724638048</v>
      </c>
      <c r="Q54" s="291">
        <f t="shared" si="42"/>
        <v>62.545754037408592</v>
      </c>
    </row>
    <row r="55" spans="3:18" ht="14.25" customHeight="1" x14ac:dyDescent="0.25">
      <c r="C55" s="806"/>
      <c r="D55" s="17" t="s">
        <v>373</v>
      </c>
      <c r="E55" s="291">
        <f t="shared" ref="E55:P55" si="44">E231+E403</f>
        <v>11.967842698854088</v>
      </c>
      <c r="F55" s="291">
        <f t="shared" si="44"/>
        <v>11.865415216296331</v>
      </c>
      <c r="G55" s="291">
        <f t="shared" si="44"/>
        <v>11.725251292796235</v>
      </c>
      <c r="H55" s="291">
        <f t="shared" si="44"/>
        <v>12.617448575075672</v>
      </c>
      <c r="I55" s="291">
        <f t="shared" si="44"/>
        <v>11.364059643776766</v>
      </c>
      <c r="J55" s="291">
        <f t="shared" si="44"/>
        <v>12.838240100969808</v>
      </c>
      <c r="K55" s="291">
        <f t="shared" si="44"/>
        <v>11.865415216296331</v>
      </c>
      <c r="L55" s="291">
        <f t="shared" si="44"/>
        <v>8.7054977275620615</v>
      </c>
      <c r="M55" s="291">
        <f t="shared" si="44"/>
        <v>7.5828547333804659</v>
      </c>
      <c r="N55" s="291">
        <f t="shared" si="44"/>
        <v>10.77105582760935</v>
      </c>
      <c r="O55" s="291">
        <f t="shared" si="44"/>
        <v>11.279706775418365</v>
      </c>
      <c r="P55" s="291">
        <f t="shared" si="44"/>
        <v>13.369481933855017</v>
      </c>
      <c r="Q55" s="291">
        <f t="shared" si="42"/>
        <v>135.95226974189049</v>
      </c>
    </row>
    <row r="56" spans="3:18" x14ac:dyDescent="0.25">
      <c r="C56" s="806"/>
      <c r="D56" s="17" t="s">
        <v>374</v>
      </c>
      <c r="E56" s="291">
        <f t="shared" ref="E56:P56" si="45">E232+E404</f>
        <v>38.519565535187439</v>
      </c>
      <c r="F56" s="291">
        <f t="shared" si="45"/>
        <v>48.538278089242951</v>
      </c>
      <c r="G56" s="291">
        <f t="shared" si="45"/>
        <v>47.666125543449439</v>
      </c>
      <c r="H56" s="291">
        <f t="shared" si="45"/>
        <v>32.340385230584452</v>
      </c>
      <c r="I56" s="291">
        <f t="shared" si="45"/>
        <v>29.852663289770263</v>
      </c>
      <c r="J56" s="291">
        <f t="shared" si="45"/>
        <v>31.297146997339791</v>
      </c>
      <c r="K56" s="291">
        <f t="shared" si="45"/>
        <v>29.852663289770263</v>
      </c>
      <c r="L56" s="291">
        <f t="shared" si="45"/>
        <v>0</v>
      </c>
      <c r="M56" s="291">
        <f t="shared" si="45"/>
        <v>16.792123100495772</v>
      </c>
      <c r="N56" s="291">
        <f t="shared" si="45"/>
        <v>33.584246200991544</v>
      </c>
      <c r="O56" s="291">
        <f t="shared" si="45"/>
        <v>37.090317602852622</v>
      </c>
      <c r="P56" s="291">
        <f t="shared" si="45"/>
        <v>43.535133964248303</v>
      </c>
      <c r="Q56" s="291">
        <f t="shared" si="42"/>
        <v>389.06864884393275</v>
      </c>
    </row>
    <row r="57" spans="3:18" x14ac:dyDescent="0.25">
      <c r="C57" s="806"/>
      <c r="D57" s="17" t="s">
        <v>375</v>
      </c>
      <c r="E57" s="291">
        <f t="shared" ref="E57:P57" si="46">E233+E405</f>
        <v>24.160474562881859</v>
      </c>
      <c r="F57" s="291">
        <f t="shared" si="46"/>
        <v>31.144643955148368</v>
      </c>
      <c r="G57" s="291">
        <f t="shared" si="46"/>
        <v>0.21475093225382125</v>
      </c>
      <c r="H57" s="291">
        <f t="shared" si="46"/>
        <v>10.266966164694541</v>
      </c>
      <c r="I57" s="291">
        <f t="shared" si="46"/>
        <v>18.772686745990548</v>
      </c>
      <c r="J57" s="291">
        <f t="shared" si="46"/>
        <v>19.670651382139095</v>
      </c>
      <c r="K57" s="291">
        <f t="shared" si="46"/>
        <v>18.772686745990548</v>
      </c>
      <c r="L57" s="291">
        <f t="shared" si="46"/>
        <v>25.42531670026014</v>
      </c>
      <c r="M57" s="291">
        <f t="shared" si="46"/>
        <v>21.092428722707631</v>
      </c>
      <c r="N57" s="291">
        <f t="shared" si="46"/>
        <v>21.092428722707631</v>
      </c>
      <c r="O57" s="291">
        <f t="shared" si="46"/>
        <v>23.960926865959948</v>
      </c>
      <c r="P57" s="291">
        <f t="shared" si="46"/>
        <v>27.278407327286541</v>
      </c>
      <c r="Q57" s="291">
        <f t="shared" si="42"/>
        <v>241.8523688280207</v>
      </c>
    </row>
    <row r="58" spans="3:18" ht="14.25" customHeight="1" x14ac:dyDescent="0.25">
      <c r="C58" s="806"/>
      <c r="D58" s="17" t="s">
        <v>376</v>
      </c>
      <c r="E58" s="291">
        <f t="shared" ref="E58:P58" si="47">E234+E406</f>
        <v>27.277947646027446</v>
      </c>
      <c r="F58" s="291">
        <f t="shared" si="47"/>
        <v>35.409878683772448</v>
      </c>
      <c r="G58" s="291">
        <f t="shared" si="47"/>
        <v>22.656464186141015</v>
      </c>
      <c r="H58" s="291">
        <f t="shared" si="47"/>
        <v>19.624337199616022</v>
      </c>
      <c r="I58" s="291">
        <f t="shared" si="47"/>
        <v>21.822358116821921</v>
      </c>
      <c r="J58" s="291">
        <f t="shared" si="47"/>
        <v>21.539026783242655</v>
      </c>
      <c r="K58" s="291">
        <f t="shared" si="47"/>
        <v>21.822358116821921</v>
      </c>
      <c r="L58" s="291">
        <f t="shared" si="47"/>
        <v>17.615041421517734</v>
      </c>
      <c r="M58" s="291">
        <f t="shared" si="47"/>
        <v>19.695402127476807</v>
      </c>
      <c r="N58" s="291">
        <f t="shared" si="47"/>
        <v>23.640887959890428</v>
      </c>
      <c r="O58" s="291">
        <f t="shared" si="47"/>
        <v>26.280689344989895</v>
      </c>
      <c r="P58" s="291">
        <f t="shared" si="47"/>
        <v>31.824272253698716</v>
      </c>
      <c r="Q58" s="291">
        <f t="shared" si="42"/>
        <v>289.20866384001704</v>
      </c>
    </row>
    <row r="59" spans="3:18" x14ac:dyDescent="0.25">
      <c r="C59" s="806"/>
      <c r="D59" s="17" t="s">
        <v>377</v>
      </c>
      <c r="E59" s="291">
        <f t="shared" ref="E59:P59" si="48">E235+E407</f>
        <v>2.4515252177837352</v>
      </c>
      <c r="F59" s="291">
        <f t="shared" si="48"/>
        <v>3.0873895711463897</v>
      </c>
      <c r="G59" s="291">
        <f t="shared" si="48"/>
        <v>2.9877963591739256</v>
      </c>
      <c r="H59" s="291">
        <f t="shared" si="48"/>
        <v>2.0582597140975962</v>
      </c>
      <c r="I59" s="291">
        <f t="shared" si="48"/>
        <v>1.8999320437823972</v>
      </c>
      <c r="J59" s="291">
        <f t="shared" si="48"/>
        <v>1.9152540763935448</v>
      </c>
      <c r="K59" s="291">
        <f t="shared" si="48"/>
        <v>1.8999320437823972</v>
      </c>
      <c r="L59" s="291">
        <f t="shared" si="48"/>
        <v>2.3406022173536472</v>
      </c>
      <c r="M59" s="291">
        <f t="shared" si="48"/>
        <v>2.0582597140975962</v>
      </c>
      <c r="N59" s="291">
        <f t="shared" si="48"/>
        <v>2.0582597140975962</v>
      </c>
      <c r="O59" s="291">
        <f t="shared" si="48"/>
        <v>2.2880902032648196</v>
      </c>
      <c r="P59" s="291">
        <f t="shared" si="48"/>
        <v>2.7707342305159917</v>
      </c>
      <c r="Q59" s="291">
        <f t="shared" si="42"/>
        <v>27.816035105489636</v>
      </c>
    </row>
    <row r="60" spans="3:18" x14ac:dyDescent="0.25">
      <c r="C60" s="806"/>
      <c r="D60" s="17" t="s">
        <v>378</v>
      </c>
      <c r="E60" s="291">
        <f t="shared" ref="E60:P60" si="49">E236+E408</f>
        <v>13.708872557586933</v>
      </c>
      <c r="F60" s="291">
        <f t="shared" si="49"/>
        <v>17.364571906276783</v>
      </c>
      <c r="G60" s="291">
        <f t="shared" si="49"/>
        <v>17.246646120835173</v>
      </c>
      <c r="H60" s="291">
        <f t="shared" si="49"/>
        <v>11.881022883242009</v>
      </c>
      <c r="I60" s="291">
        <f t="shared" si="49"/>
        <v>10.967098046069548</v>
      </c>
      <c r="J60" s="291">
        <f t="shared" si="49"/>
        <v>10.613320689744722</v>
      </c>
      <c r="K60" s="291">
        <f t="shared" si="49"/>
        <v>10.967098046069548</v>
      </c>
      <c r="L60" s="291">
        <f t="shared" si="49"/>
        <v>13.266650862180905</v>
      </c>
      <c r="M60" s="291">
        <f t="shared" si="49"/>
        <v>11.881022883242009</v>
      </c>
      <c r="N60" s="291">
        <f t="shared" si="49"/>
        <v>11.881022883242009</v>
      </c>
      <c r="O60" s="291">
        <f t="shared" si="49"/>
        <v>13.207687969460101</v>
      </c>
      <c r="P60" s="291">
        <f t="shared" si="49"/>
        <v>15.685642192721849</v>
      </c>
      <c r="Q60" s="291">
        <f t="shared" si="42"/>
        <v>158.67065704067159</v>
      </c>
    </row>
    <row r="61" spans="3:18" x14ac:dyDescent="0.25">
      <c r="C61" s="807"/>
      <c r="D61" s="17" t="s">
        <v>379</v>
      </c>
      <c r="E61" s="291">
        <f t="shared" ref="E61:P61" si="50">E237+E409</f>
        <v>67.672833342032447</v>
      </c>
      <c r="F61" s="291">
        <f t="shared" si="50"/>
        <v>69.514273185497615</v>
      </c>
      <c r="G61" s="291">
        <f t="shared" si="50"/>
        <v>67.271877276287995</v>
      </c>
      <c r="H61" s="291">
        <f t="shared" si="50"/>
        <v>67.170995797151349</v>
      </c>
      <c r="I61" s="291">
        <f t="shared" si="50"/>
        <v>54.197665944683997</v>
      </c>
      <c r="J61" s="291">
        <f t="shared" si="50"/>
        <v>59.113747206556852</v>
      </c>
      <c r="K61" s="291">
        <f t="shared" si="50"/>
        <v>54.133197828642977</v>
      </c>
      <c r="L61" s="291">
        <f t="shared" si="50"/>
        <v>68.755815745617923</v>
      </c>
      <c r="M61" s="291">
        <f t="shared" si="50"/>
        <v>67.735889949002228</v>
      </c>
      <c r="N61" s="291">
        <f t="shared" si="50"/>
        <v>60.879187773619492</v>
      </c>
      <c r="O61" s="291">
        <f t="shared" si="50"/>
        <v>59.80843142691262</v>
      </c>
      <c r="P61" s="291">
        <f t="shared" si="50"/>
        <v>71.266030879334679</v>
      </c>
      <c r="Q61" s="291">
        <f t="shared" si="42"/>
        <v>767.51994635534027</v>
      </c>
    </row>
    <row r="62" spans="3:18" x14ac:dyDescent="0.25">
      <c r="C62" s="17"/>
      <c r="D62" s="17" t="s">
        <v>451</v>
      </c>
      <c r="E62" s="291">
        <f t="shared" ref="E62:P62" si="51">E238+E410</f>
        <v>67.115014319393339</v>
      </c>
      <c r="F62" s="291">
        <f t="shared" si="51"/>
        <v>70.390693291029237</v>
      </c>
      <c r="G62" s="291">
        <f t="shared" si="51"/>
        <v>68.120025765512139</v>
      </c>
      <c r="H62" s="291">
        <f t="shared" si="51"/>
        <v>66.818472581691353</v>
      </c>
      <c r="I62" s="291">
        <f t="shared" si="51"/>
        <v>51.698107309406851</v>
      </c>
      <c r="J62" s="291">
        <f t="shared" si="51"/>
        <v>54.195512285437651</v>
      </c>
      <c r="K62" s="291">
        <f t="shared" si="51"/>
        <v>53.201292774888636</v>
      </c>
      <c r="L62" s="291">
        <f t="shared" si="51"/>
        <v>69.622673392692562</v>
      </c>
      <c r="M62" s="291">
        <f t="shared" si="51"/>
        <v>63.361352368640112</v>
      </c>
      <c r="N62" s="291">
        <f t="shared" si="51"/>
        <v>61.074278002510667</v>
      </c>
      <c r="O62" s="291">
        <f t="shared" si="51"/>
        <v>59.216396304323268</v>
      </c>
      <c r="P62" s="291">
        <f t="shared" si="51"/>
        <v>70.390693291029237</v>
      </c>
      <c r="Q62" s="291">
        <f t="shared" si="42"/>
        <v>755.20451168655518</v>
      </c>
    </row>
    <row r="63" spans="3:18" x14ac:dyDescent="0.25">
      <c r="C63" s="17"/>
      <c r="D63" s="17" t="s">
        <v>380</v>
      </c>
      <c r="E63" s="291">
        <f t="shared" ref="E63:P63" si="52">E239+E411</f>
        <v>0.48104460301146423</v>
      </c>
      <c r="F63" s="291">
        <f t="shared" si="52"/>
        <v>0.6093231638145461</v>
      </c>
      <c r="G63" s="291">
        <f t="shared" si="52"/>
        <v>0.60518514572408455</v>
      </c>
      <c r="H63" s="291">
        <f t="shared" si="52"/>
        <v>0.41690532260994584</v>
      </c>
      <c r="I63" s="291">
        <f t="shared" si="52"/>
        <v>0.38483568240918548</v>
      </c>
      <c r="J63" s="291">
        <f t="shared" si="52"/>
        <v>0.37242162813792146</v>
      </c>
      <c r="K63" s="291">
        <f t="shared" si="52"/>
        <v>0.38483568240918548</v>
      </c>
      <c r="L63" s="291">
        <f t="shared" si="52"/>
        <v>0.46552703517238675</v>
      </c>
      <c r="M63" s="291">
        <f t="shared" si="52"/>
        <v>0.41690532260994584</v>
      </c>
      <c r="N63" s="291">
        <f t="shared" si="52"/>
        <v>0.41690532260994584</v>
      </c>
      <c r="O63" s="291">
        <f t="shared" si="52"/>
        <v>0.46345802612717241</v>
      </c>
      <c r="P63" s="291">
        <f t="shared" si="52"/>
        <v>0.54518388341298674</v>
      </c>
      <c r="Q63" s="291">
        <f t="shared" si="42"/>
        <v>5.5625308180487707</v>
      </c>
    </row>
    <row r="64" spans="3:18" x14ac:dyDescent="0.25">
      <c r="C64" s="17"/>
      <c r="D64" s="17" t="s">
        <v>381</v>
      </c>
      <c r="E64" s="291">
        <f t="shared" ref="E64:P64" si="53">E240+E412</f>
        <v>0.40812403810697068</v>
      </c>
      <c r="F64" s="291">
        <f t="shared" si="53"/>
        <v>0.40390867245516143</v>
      </c>
      <c r="G64" s="291">
        <f t="shared" si="53"/>
        <v>0.40812403810697068</v>
      </c>
      <c r="H64" s="291">
        <f t="shared" si="53"/>
        <v>0.43063792283822372</v>
      </c>
      <c r="I64" s="291">
        <f t="shared" si="53"/>
        <v>0.35045017168903714</v>
      </c>
      <c r="J64" s="291">
        <f t="shared" si="53"/>
        <v>0.37732328984625252</v>
      </c>
      <c r="K64" s="291">
        <f t="shared" si="53"/>
        <v>0.33263067143366237</v>
      </c>
      <c r="L64" s="291">
        <f t="shared" si="53"/>
        <v>0.40812403810697068</v>
      </c>
      <c r="M64" s="291">
        <f t="shared" si="53"/>
        <v>0.41281842258284895</v>
      </c>
      <c r="N64" s="291">
        <f t="shared" si="53"/>
        <v>0.38608917219978678</v>
      </c>
      <c r="O64" s="291">
        <f t="shared" si="53"/>
        <v>0.35345058914779648</v>
      </c>
      <c r="P64" s="291">
        <f t="shared" si="53"/>
        <v>0.43063792283822372</v>
      </c>
      <c r="Q64" s="291">
        <f t="shared" si="42"/>
        <v>4.7023189493519055</v>
      </c>
    </row>
    <row r="65" spans="3:17" x14ac:dyDescent="0.25">
      <c r="C65" s="17"/>
      <c r="D65" s="17" t="s">
        <v>382</v>
      </c>
      <c r="E65" s="291">
        <f t="shared" ref="E65:P65" si="54">E241+E413</f>
        <v>5.0936395759716632E-2</v>
      </c>
      <c r="F65" s="291">
        <f t="shared" si="54"/>
        <v>6.451943462897701E-2</v>
      </c>
      <c r="G65" s="291">
        <f t="shared" si="54"/>
        <v>6.4081272084803131E-2</v>
      </c>
      <c r="H65" s="291">
        <f t="shared" si="54"/>
        <v>4.4144876325088817E-2</v>
      </c>
      <c r="I65" s="291">
        <f t="shared" si="54"/>
        <v>4.0749116607774791E-2</v>
      </c>
      <c r="J65" s="291">
        <f t="shared" si="54"/>
        <v>3.9434628975265937E-2</v>
      </c>
      <c r="K65" s="291">
        <f t="shared" si="54"/>
        <v>4.0749116607774791E-2</v>
      </c>
      <c r="L65" s="291">
        <f t="shared" si="54"/>
        <v>4.9293286219080822E-2</v>
      </c>
      <c r="M65" s="291">
        <f t="shared" si="54"/>
        <v>4.4144876325088817E-2</v>
      </c>
      <c r="N65" s="291">
        <f t="shared" si="54"/>
        <v>4.4144876325088817E-2</v>
      </c>
      <c r="O65" s="291">
        <f t="shared" si="54"/>
        <v>4.9074204946995617E-2</v>
      </c>
      <c r="P65" s="291">
        <f t="shared" si="54"/>
        <v>5.7727915194344878E-2</v>
      </c>
      <c r="Q65" s="291">
        <f t="shared" si="42"/>
        <v>0.58900000000000008</v>
      </c>
    </row>
    <row r="66" spans="3:17" x14ac:dyDescent="0.25">
      <c r="C66" s="17"/>
      <c r="D66" s="17" t="s">
        <v>383</v>
      </c>
      <c r="E66" s="291">
        <f t="shared" ref="E66:P66" si="55">E242+E414</f>
        <v>2.8697205572015347</v>
      </c>
      <c r="F66" s="291">
        <f t="shared" si="55"/>
        <v>2.9653779091082528</v>
      </c>
      <c r="G66" s="291">
        <f t="shared" si="55"/>
        <v>2.8697205572015347</v>
      </c>
      <c r="H66" s="291">
        <f t="shared" si="55"/>
        <v>3.0280267381739203</v>
      </c>
      <c r="I66" s="291">
        <f t="shared" si="55"/>
        <v>2.4901223074190821</v>
      </c>
      <c r="J66" s="291">
        <f t="shared" si="55"/>
        <v>2.7484647590099209</v>
      </c>
      <c r="K66" s="291">
        <f t="shared" si="55"/>
        <v>2.3388896184515802</v>
      </c>
      <c r="L66" s="291">
        <f t="shared" si="55"/>
        <v>2.8697205572015347</v>
      </c>
      <c r="M66" s="291">
        <f t="shared" si="55"/>
        <v>2.9653779091082528</v>
      </c>
      <c r="N66" s="291">
        <f t="shared" si="55"/>
        <v>2.7774314219112513</v>
      </c>
      <c r="O66" s="291">
        <f t="shared" si="55"/>
        <v>2.5652337750759262</v>
      </c>
      <c r="P66" s="291">
        <f t="shared" si="55"/>
        <v>3.1533243963052553</v>
      </c>
      <c r="Q66" s="291">
        <f t="shared" si="42"/>
        <v>33.64141050616805</v>
      </c>
    </row>
    <row r="67" spans="3:17" x14ac:dyDescent="0.25">
      <c r="C67" s="17"/>
      <c r="D67" s="17" t="s">
        <v>384</v>
      </c>
      <c r="E67" s="291">
        <f t="shared" ref="E67:P67" si="56">E243+E415</f>
        <v>1.9595002090471259</v>
      </c>
      <c r="F67" s="291">
        <f t="shared" si="56"/>
        <v>2.0248168826820296</v>
      </c>
      <c r="G67" s="291">
        <f t="shared" si="56"/>
        <v>1.9595002090471259</v>
      </c>
      <c r="H67" s="291">
        <f t="shared" si="56"/>
        <v>2.067594704147143</v>
      </c>
      <c r="I67" s="291">
        <f t="shared" si="56"/>
        <v>1.7003032471910231</v>
      </c>
      <c r="J67" s="291">
        <f t="shared" si="56"/>
        <v>1.876704425566261</v>
      </c>
      <c r="K67" s="291">
        <f t="shared" si="56"/>
        <v>1.5970386680308972</v>
      </c>
      <c r="L67" s="291">
        <f t="shared" si="56"/>
        <v>1.9595002090471259</v>
      </c>
      <c r="M67" s="291">
        <f t="shared" si="56"/>
        <v>2.0248168826820296</v>
      </c>
      <c r="N67" s="291">
        <f t="shared" si="56"/>
        <v>1.8964834182866901</v>
      </c>
      <c r="O67" s="291">
        <f t="shared" si="56"/>
        <v>1.7515907971951772</v>
      </c>
      <c r="P67" s="291">
        <f t="shared" si="56"/>
        <v>2.1531503470773701</v>
      </c>
      <c r="Q67" s="291">
        <f t="shared" si="42"/>
        <v>22.971</v>
      </c>
    </row>
    <row r="68" spans="3:17" x14ac:dyDescent="0.25">
      <c r="C68" s="17"/>
      <c r="D68" s="17" t="s">
        <v>379</v>
      </c>
      <c r="E68" s="291">
        <f t="shared" ref="E68:P68" si="57">E244+E416</f>
        <v>9.2930957843768134</v>
      </c>
      <c r="F68" s="291">
        <f t="shared" si="57"/>
        <v>7.0146078410714994</v>
      </c>
      <c r="G68" s="291">
        <f t="shared" si="57"/>
        <v>8.7835514669945365</v>
      </c>
      <c r="H68" s="291">
        <f t="shared" si="57"/>
        <v>8.4100765923215199</v>
      </c>
      <c r="I68" s="291">
        <f t="shared" si="57"/>
        <v>7.0588014021921435</v>
      </c>
      <c r="J68" s="291">
        <f t="shared" si="57"/>
        <v>7.5226125157483388</v>
      </c>
      <c r="K68" s="291">
        <f t="shared" si="57"/>
        <v>7.2407186382059239</v>
      </c>
      <c r="L68" s="291">
        <f t="shared" si="57"/>
        <v>9.4174109951147145</v>
      </c>
      <c r="M68" s="291">
        <f t="shared" si="57"/>
        <v>8.312565934327635</v>
      </c>
      <c r="N68" s="291">
        <f t="shared" si="57"/>
        <v>8.312565934327635</v>
      </c>
      <c r="O68" s="291">
        <f t="shared" si="57"/>
        <v>8.7811970061551641</v>
      </c>
      <c r="P68" s="291">
        <f t="shared" si="57"/>
        <v>10.209192126319158</v>
      </c>
      <c r="Q68" s="291">
        <f t="shared" si="42"/>
        <v>100.35639623715508</v>
      </c>
    </row>
    <row r="69" spans="3:17" x14ac:dyDescent="0.25">
      <c r="C69" s="17"/>
      <c r="D69" s="17" t="s">
        <v>385</v>
      </c>
      <c r="E69" s="291">
        <f t="shared" ref="E69:P69" si="58">E245+E417</f>
        <v>8.0688858776167045</v>
      </c>
      <c r="F69" s="291">
        <f t="shared" si="58"/>
        <v>0</v>
      </c>
      <c r="G69" s="291">
        <f t="shared" si="58"/>
        <v>4.1681547836804471</v>
      </c>
      <c r="H69" s="291">
        <f t="shared" si="58"/>
        <v>8.0441300898774326</v>
      </c>
      <c r="I69" s="291">
        <f t="shared" si="58"/>
        <v>5.9539230586494396</v>
      </c>
      <c r="J69" s="291">
        <f t="shared" si="58"/>
        <v>6.4974177510313025</v>
      </c>
      <c r="K69" s="291">
        <f t="shared" si="58"/>
        <v>6.3339607006908913</v>
      </c>
      <c r="L69" s="291">
        <f t="shared" si="58"/>
        <v>8.5201987489938791</v>
      </c>
      <c r="M69" s="291">
        <f t="shared" si="58"/>
        <v>7.4740736268152528</v>
      </c>
      <c r="N69" s="291">
        <f t="shared" si="58"/>
        <v>7.4740736268152528</v>
      </c>
      <c r="O69" s="291">
        <f t="shared" si="58"/>
        <v>7.0940359847737993</v>
      </c>
      <c r="P69" s="291">
        <f t="shared" si="58"/>
        <v>8.5054566073209763</v>
      </c>
      <c r="Q69" s="291">
        <f t="shared" si="42"/>
        <v>78.134310856265387</v>
      </c>
    </row>
    <row r="70" spans="3:17" x14ac:dyDescent="0.25">
      <c r="C70" s="17"/>
      <c r="D70" s="17"/>
      <c r="E70" s="291">
        <f t="shared" ref="E70:P70" si="59">E246+E419</f>
        <v>0</v>
      </c>
      <c r="F70" s="291">
        <f t="shared" si="59"/>
        <v>0</v>
      </c>
      <c r="G70" s="291">
        <f t="shared" si="59"/>
        <v>0</v>
      </c>
      <c r="H70" s="291">
        <f t="shared" si="59"/>
        <v>0</v>
      </c>
      <c r="I70" s="291">
        <f t="shared" si="59"/>
        <v>0</v>
      </c>
      <c r="J70" s="291">
        <f t="shared" si="59"/>
        <v>0</v>
      </c>
      <c r="K70" s="291">
        <f t="shared" si="59"/>
        <v>0</v>
      </c>
      <c r="L70" s="291">
        <f t="shared" si="59"/>
        <v>0</v>
      </c>
      <c r="M70" s="291">
        <f t="shared" si="59"/>
        <v>0</v>
      </c>
      <c r="N70" s="291">
        <f t="shared" si="59"/>
        <v>0</v>
      </c>
      <c r="O70" s="291">
        <f t="shared" si="59"/>
        <v>0</v>
      </c>
      <c r="P70" s="291">
        <f t="shared" si="59"/>
        <v>0</v>
      </c>
      <c r="Q70" s="291">
        <f t="shared" si="42"/>
        <v>0</v>
      </c>
    </row>
    <row r="71" spans="3:17" x14ac:dyDescent="0.25">
      <c r="C71" s="17"/>
      <c r="D71" s="17"/>
      <c r="E71" s="291">
        <f t="shared" ref="E71:P71" si="60">E247+E420</f>
        <v>0</v>
      </c>
      <c r="F71" s="291">
        <f t="shared" si="60"/>
        <v>0</v>
      </c>
      <c r="G71" s="291">
        <f t="shared" si="60"/>
        <v>0</v>
      </c>
      <c r="H71" s="291">
        <f t="shared" si="60"/>
        <v>0</v>
      </c>
      <c r="I71" s="291">
        <f t="shared" si="60"/>
        <v>0</v>
      </c>
      <c r="J71" s="291">
        <f t="shared" si="60"/>
        <v>0</v>
      </c>
      <c r="K71" s="291">
        <f t="shared" si="60"/>
        <v>0</v>
      </c>
      <c r="L71" s="291">
        <f t="shared" si="60"/>
        <v>0</v>
      </c>
      <c r="M71" s="291">
        <f t="shared" si="60"/>
        <v>0</v>
      </c>
      <c r="N71" s="291">
        <f t="shared" si="60"/>
        <v>0</v>
      </c>
      <c r="O71" s="291">
        <f t="shared" si="60"/>
        <v>0</v>
      </c>
      <c r="P71" s="291">
        <f t="shared" si="60"/>
        <v>0</v>
      </c>
      <c r="Q71" s="291">
        <f t="shared" si="42"/>
        <v>0</v>
      </c>
    </row>
    <row r="72" spans="3:17" x14ac:dyDescent="0.25">
      <c r="C72" s="17"/>
      <c r="D72" s="17"/>
      <c r="E72" s="291">
        <f t="shared" ref="E72:P72" si="61">E248+E421</f>
        <v>0</v>
      </c>
      <c r="F72" s="291">
        <f t="shared" si="61"/>
        <v>0</v>
      </c>
      <c r="G72" s="291">
        <f t="shared" si="61"/>
        <v>0</v>
      </c>
      <c r="H72" s="291">
        <f t="shared" si="61"/>
        <v>0</v>
      </c>
      <c r="I72" s="291">
        <f t="shared" si="61"/>
        <v>0</v>
      </c>
      <c r="J72" s="291">
        <f t="shared" si="61"/>
        <v>0</v>
      </c>
      <c r="K72" s="291">
        <f t="shared" si="61"/>
        <v>0</v>
      </c>
      <c r="L72" s="291">
        <f t="shared" si="61"/>
        <v>0</v>
      </c>
      <c r="M72" s="291">
        <f t="shared" si="61"/>
        <v>0</v>
      </c>
      <c r="N72" s="291">
        <f t="shared" si="61"/>
        <v>0</v>
      </c>
      <c r="O72" s="291">
        <f t="shared" si="61"/>
        <v>0</v>
      </c>
      <c r="P72" s="291">
        <f t="shared" si="61"/>
        <v>0</v>
      </c>
      <c r="Q72" s="291">
        <f t="shared" si="42"/>
        <v>0</v>
      </c>
    </row>
    <row r="73" spans="3:17" x14ac:dyDescent="0.25">
      <c r="C73" s="17"/>
      <c r="D73" s="17"/>
      <c r="E73" s="291">
        <f t="shared" ref="E73:P73" si="62">E249+E422</f>
        <v>0</v>
      </c>
      <c r="F73" s="291">
        <f t="shared" si="62"/>
        <v>0</v>
      </c>
      <c r="G73" s="291">
        <f t="shared" si="62"/>
        <v>0</v>
      </c>
      <c r="H73" s="291">
        <f t="shared" si="62"/>
        <v>0</v>
      </c>
      <c r="I73" s="291">
        <f t="shared" si="62"/>
        <v>0</v>
      </c>
      <c r="J73" s="291">
        <f t="shared" si="62"/>
        <v>0</v>
      </c>
      <c r="K73" s="291">
        <f t="shared" si="62"/>
        <v>0</v>
      </c>
      <c r="L73" s="291">
        <f t="shared" si="62"/>
        <v>0</v>
      </c>
      <c r="M73" s="291">
        <f t="shared" si="62"/>
        <v>0</v>
      </c>
      <c r="N73" s="291">
        <f t="shared" si="62"/>
        <v>0</v>
      </c>
      <c r="O73" s="291">
        <f t="shared" si="62"/>
        <v>0</v>
      </c>
      <c r="P73" s="291">
        <f t="shared" si="62"/>
        <v>0</v>
      </c>
      <c r="Q73" s="291">
        <f t="shared" si="42"/>
        <v>0</v>
      </c>
    </row>
    <row r="74" spans="3:17" x14ac:dyDescent="0.25">
      <c r="C74" s="17"/>
      <c r="D74" s="17"/>
      <c r="E74" s="291">
        <f t="shared" ref="E74:P74" si="63">E250+E423</f>
        <v>0</v>
      </c>
      <c r="F74" s="291">
        <f t="shared" si="63"/>
        <v>0</v>
      </c>
      <c r="G74" s="291">
        <f t="shared" si="63"/>
        <v>0</v>
      </c>
      <c r="H74" s="291">
        <f t="shared" si="63"/>
        <v>0</v>
      </c>
      <c r="I74" s="291">
        <f t="shared" si="63"/>
        <v>0</v>
      </c>
      <c r="J74" s="291">
        <f t="shared" si="63"/>
        <v>0</v>
      </c>
      <c r="K74" s="291">
        <f t="shared" si="63"/>
        <v>0</v>
      </c>
      <c r="L74" s="291">
        <f t="shared" si="63"/>
        <v>0</v>
      </c>
      <c r="M74" s="291">
        <f t="shared" si="63"/>
        <v>0</v>
      </c>
      <c r="N74" s="291">
        <f t="shared" si="63"/>
        <v>0</v>
      </c>
      <c r="O74" s="291">
        <f t="shared" si="63"/>
        <v>0</v>
      </c>
      <c r="P74" s="291">
        <f t="shared" si="63"/>
        <v>0</v>
      </c>
      <c r="Q74" s="291">
        <f t="shared" si="42"/>
        <v>0</v>
      </c>
    </row>
    <row r="75" spans="3:17" x14ac:dyDescent="0.25">
      <c r="C75" s="17"/>
      <c r="D75" s="17"/>
      <c r="E75" s="291">
        <f t="shared" ref="E75:P75" si="64">E251+E424</f>
        <v>0</v>
      </c>
      <c r="F75" s="291">
        <f t="shared" si="64"/>
        <v>0</v>
      </c>
      <c r="G75" s="291">
        <f t="shared" si="64"/>
        <v>0</v>
      </c>
      <c r="H75" s="291">
        <f t="shared" si="64"/>
        <v>0</v>
      </c>
      <c r="I75" s="291">
        <f t="shared" si="64"/>
        <v>0</v>
      </c>
      <c r="J75" s="291">
        <f t="shared" si="64"/>
        <v>0</v>
      </c>
      <c r="K75" s="291">
        <f t="shared" si="64"/>
        <v>0</v>
      </c>
      <c r="L75" s="291">
        <f t="shared" si="64"/>
        <v>0</v>
      </c>
      <c r="M75" s="291">
        <f t="shared" si="64"/>
        <v>0</v>
      </c>
      <c r="N75" s="291">
        <f t="shared" si="64"/>
        <v>0</v>
      </c>
      <c r="O75" s="291">
        <f t="shared" si="64"/>
        <v>0</v>
      </c>
      <c r="P75" s="291">
        <f t="shared" si="64"/>
        <v>0</v>
      </c>
      <c r="Q75" s="291">
        <f t="shared" si="42"/>
        <v>0</v>
      </c>
    </row>
    <row r="76" spans="3:17" x14ac:dyDescent="0.25">
      <c r="C76" s="17"/>
      <c r="D76" s="17"/>
      <c r="E76" s="291">
        <f t="shared" ref="E76:P76" si="65">E252+E425</f>
        <v>0</v>
      </c>
      <c r="F76" s="291">
        <f t="shared" si="65"/>
        <v>0</v>
      </c>
      <c r="G76" s="291">
        <f t="shared" si="65"/>
        <v>0</v>
      </c>
      <c r="H76" s="291">
        <f t="shared" si="65"/>
        <v>0</v>
      </c>
      <c r="I76" s="291">
        <f t="shared" si="65"/>
        <v>0</v>
      </c>
      <c r="J76" s="291">
        <f t="shared" si="65"/>
        <v>0</v>
      </c>
      <c r="K76" s="291">
        <f t="shared" si="65"/>
        <v>0</v>
      </c>
      <c r="L76" s="291">
        <f t="shared" si="65"/>
        <v>0</v>
      </c>
      <c r="M76" s="291">
        <f t="shared" si="65"/>
        <v>0</v>
      </c>
      <c r="N76" s="291">
        <f t="shared" si="65"/>
        <v>0</v>
      </c>
      <c r="O76" s="291">
        <f t="shared" si="65"/>
        <v>0</v>
      </c>
      <c r="P76" s="291">
        <f t="shared" si="65"/>
        <v>0</v>
      </c>
      <c r="Q76" s="291">
        <f t="shared" si="42"/>
        <v>0</v>
      </c>
    </row>
    <row r="77" spans="3:17" x14ac:dyDescent="0.25">
      <c r="C77" s="17"/>
      <c r="D77" s="17"/>
      <c r="E77" s="291">
        <f t="shared" ref="E77:P77" si="66">E253+E426</f>
        <v>0</v>
      </c>
      <c r="F77" s="291">
        <f t="shared" si="66"/>
        <v>0</v>
      </c>
      <c r="G77" s="291">
        <f t="shared" si="66"/>
        <v>0</v>
      </c>
      <c r="H77" s="291">
        <f t="shared" si="66"/>
        <v>0</v>
      </c>
      <c r="I77" s="291">
        <f t="shared" si="66"/>
        <v>0</v>
      </c>
      <c r="J77" s="291">
        <f t="shared" si="66"/>
        <v>0</v>
      </c>
      <c r="K77" s="291">
        <f t="shared" si="66"/>
        <v>0</v>
      </c>
      <c r="L77" s="291">
        <f t="shared" si="66"/>
        <v>0</v>
      </c>
      <c r="M77" s="291">
        <f t="shared" si="66"/>
        <v>0</v>
      </c>
      <c r="N77" s="291">
        <f t="shared" si="66"/>
        <v>0</v>
      </c>
      <c r="O77" s="291">
        <f t="shared" si="66"/>
        <v>0</v>
      </c>
      <c r="P77" s="291">
        <f t="shared" si="66"/>
        <v>0</v>
      </c>
      <c r="Q77" s="291">
        <f t="shared" si="42"/>
        <v>0</v>
      </c>
    </row>
    <row r="78" spans="3:17" x14ac:dyDescent="0.25">
      <c r="C78" s="17"/>
      <c r="D78" s="17"/>
      <c r="E78" s="291">
        <f t="shared" ref="E78:P78" si="67">E254+E427</f>
        <v>0</v>
      </c>
      <c r="F78" s="291">
        <f t="shared" si="67"/>
        <v>0</v>
      </c>
      <c r="G78" s="291">
        <f t="shared" si="67"/>
        <v>0</v>
      </c>
      <c r="H78" s="291">
        <f t="shared" si="67"/>
        <v>0</v>
      </c>
      <c r="I78" s="291">
        <f t="shared" si="67"/>
        <v>0</v>
      </c>
      <c r="J78" s="291">
        <f t="shared" si="67"/>
        <v>0</v>
      </c>
      <c r="K78" s="291">
        <f t="shared" si="67"/>
        <v>0</v>
      </c>
      <c r="L78" s="291">
        <f t="shared" si="67"/>
        <v>0</v>
      </c>
      <c r="M78" s="291">
        <f t="shared" si="67"/>
        <v>0</v>
      </c>
      <c r="N78" s="291">
        <f t="shared" si="67"/>
        <v>0</v>
      </c>
      <c r="O78" s="291">
        <f t="shared" si="67"/>
        <v>0</v>
      </c>
      <c r="P78" s="291">
        <f t="shared" si="67"/>
        <v>0</v>
      </c>
      <c r="Q78" s="291">
        <f t="shared" si="42"/>
        <v>0</v>
      </c>
    </row>
    <row r="79" spans="3:17" x14ac:dyDescent="0.25">
      <c r="C79" s="751" t="s">
        <v>212</v>
      </c>
      <c r="D79" s="752"/>
      <c r="E79" s="329">
        <f t="shared" ref="E79:P79" si="68">SUM(E53:E78)</f>
        <v>303.09199944019963</v>
      </c>
      <c r="F79" s="329">
        <f t="shared" si="68"/>
        <v>335.99462549322209</v>
      </c>
      <c r="G79" s="329">
        <f t="shared" si="68"/>
        <v>292.61063663484924</v>
      </c>
      <c r="H79" s="329">
        <f t="shared" si="68"/>
        <v>266.17562097928982</v>
      </c>
      <c r="I79" s="329">
        <f t="shared" si="68"/>
        <v>239.17061371517747</v>
      </c>
      <c r="J79" s="329">
        <f t="shared" si="68"/>
        <v>254.54364957915291</v>
      </c>
      <c r="K79" s="329">
        <f t="shared" si="68"/>
        <v>243.73995859134232</v>
      </c>
      <c r="L79" s="329">
        <f t="shared" si="68"/>
        <v>262.28481020585889</v>
      </c>
      <c r="M79" s="329">
        <f t="shared" si="68"/>
        <v>253.81835677293387</v>
      </c>
      <c r="N79" s="329">
        <f t="shared" si="68"/>
        <v>269.2295968545871</v>
      </c>
      <c r="O79" s="329">
        <f t="shared" si="68"/>
        <v>281.78743462439434</v>
      </c>
      <c r="P79" s="329">
        <f t="shared" si="68"/>
        <v>333.82327647500927</v>
      </c>
      <c r="Q79" s="329">
        <f t="shared" si="42"/>
        <v>3336.270579366017</v>
      </c>
    </row>
    <row r="80" spans="3:17" x14ac:dyDescent="0.25">
      <c r="C80" s="753" t="s">
        <v>387</v>
      </c>
      <c r="D80" s="754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</row>
    <row r="81" spans="3:18" x14ac:dyDescent="0.25">
      <c r="C81" s="805" t="s">
        <v>388</v>
      </c>
      <c r="D81" s="17" t="s">
        <v>389</v>
      </c>
      <c r="E81" s="291">
        <f t="shared" ref="E81:P81" si="69">E257+E430</f>
        <v>1.1625094640129006</v>
      </c>
      <c r="F81" s="291">
        <f t="shared" si="69"/>
        <v>1.2012597794799973</v>
      </c>
      <c r="G81" s="291">
        <f t="shared" si="69"/>
        <v>1.1625094640129006</v>
      </c>
      <c r="H81" s="291">
        <f t="shared" si="69"/>
        <v>1.2012597794799973</v>
      </c>
      <c r="I81" s="291">
        <f t="shared" si="69"/>
        <v>1.2012597794799973</v>
      </c>
      <c r="J81" s="291">
        <f t="shared" si="69"/>
        <v>1.1625094640129006</v>
      </c>
      <c r="K81" s="291">
        <f t="shared" si="69"/>
        <v>1.2012597794799973</v>
      </c>
      <c r="L81" s="291">
        <f t="shared" si="69"/>
        <v>1.1625094640129006</v>
      </c>
      <c r="M81" s="291">
        <f t="shared" si="69"/>
        <v>1.2012597794799973</v>
      </c>
      <c r="N81" s="291">
        <f t="shared" si="69"/>
        <v>1.2012597794799973</v>
      </c>
      <c r="O81" s="291">
        <f t="shared" si="69"/>
        <v>1.0850088330787071</v>
      </c>
      <c r="P81" s="291">
        <f t="shared" si="69"/>
        <v>1.2012597794799973</v>
      </c>
      <c r="Q81" s="291">
        <f t="shared" ref="Q81:Q96" si="70">SUM(E81:P81)</f>
        <v>14.14386514549029</v>
      </c>
    </row>
    <row r="82" spans="3:18" x14ac:dyDescent="0.25">
      <c r="C82" s="806"/>
      <c r="D82" s="17" t="s">
        <v>390</v>
      </c>
      <c r="E82" s="291">
        <f t="shared" ref="E82:P82" si="71">E258+E431</f>
        <v>4.9814989016412579</v>
      </c>
      <c r="F82" s="291">
        <f t="shared" si="71"/>
        <v>5.147548865029302</v>
      </c>
      <c r="G82" s="291">
        <f t="shared" si="71"/>
        <v>4.9814989016412579</v>
      </c>
      <c r="H82" s="291">
        <f t="shared" si="71"/>
        <v>5.147548865029302</v>
      </c>
      <c r="I82" s="291">
        <f t="shared" si="71"/>
        <v>5.147548865029302</v>
      </c>
      <c r="J82" s="291">
        <f t="shared" si="71"/>
        <v>4.9814989016412579</v>
      </c>
      <c r="K82" s="291">
        <f t="shared" si="71"/>
        <v>5.147548865029302</v>
      </c>
      <c r="L82" s="291">
        <f t="shared" si="71"/>
        <v>4.9814989016412579</v>
      </c>
      <c r="M82" s="291">
        <f t="shared" si="71"/>
        <v>5.147548865029302</v>
      </c>
      <c r="N82" s="291">
        <f t="shared" si="71"/>
        <v>5.147548865029302</v>
      </c>
      <c r="O82" s="291">
        <f t="shared" si="71"/>
        <v>4.6493989748651732</v>
      </c>
      <c r="P82" s="291">
        <f t="shared" si="71"/>
        <v>5.147548865029302</v>
      </c>
      <c r="Q82" s="291">
        <f t="shared" si="70"/>
        <v>60.608236636635311</v>
      </c>
    </row>
    <row r="83" spans="3:18" x14ac:dyDescent="0.25">
      <c r="C83" s="806"/>
      <c r="D83" s="17" t="s">
        <v>391</v>
      </c>
      <c r="E83" s="291">
        <f t="shared" ref="E83:P83" si="72">E259+E432</f>
        <v>4.9814989016412579</v>
      </c>
      <c r="F83" s="291">
        <f t="shared" si="72"/>
        <v>5.147548865029302</v>
      </c>
      <c r="G83" s="291">
        <f t="shared" si="72"/>
        <v>4.9814989016412579</v>
      </c>
      <c r="H83" s="291">
        <f t="shared" si="72"/>
        <v>5.147548865029302</v>
      </c>
      <c r="I83" s="291">
        <f t="shared" si="72"/>
        <v>5.147548865029302</v>
      </c>
      <c r="J83" s="291">
        <f t="shared" si="72"/>
        <v>4.9814989016412579</v>
      </c>
      <c r="K83" s="291">
        <f t="shared" si="72"/>
        <v>5.147548865029302</v>
      </c>
      <c r="L83" s="291">
        <f t="shared" si="72"/>
        <v>4.9814989016412579</v>
      </c>
      <c r="M83" s="291">
        <f t="shared" si="72"/>
        <v>5.147548865029302</v>
      </c>
      <c r="N83" s="291">
        <f t="shared" si="72"/>
        <v>5.147548865029302</v>
      </c>
      <c r="O83" s="291">
        <f t="shared" si="72"/>
        <v>4.6493989748651732</v>
      </c>
      <c r="P83" s="291">
        <f t="shared" si="72"/>
        <v>5.147548865029302</v>
      </c>
      <c r="Q83" s="291">
        <f t="shared" si="70"/>
        <v>60.608236636635311</v>
      </c>
    </row>
    <row r="84" spans="3:18" x14ac:dyDescent="0.25">
      <c r="C84" s="807"/>
      <c r="D84" s="17" t="s">
        <v>392</v>
      </c>
      <c r="E84" s="291">
        <f t="shared" ref="E84:P84" si="73">E260+E433</f>
        <v>4.6707472068531395</v>
      </c>
      <c r="F84" s="291">
        <f t="shared" si="73"/>
        <v>4.8264387804149109</v>
      </c>
      <c r="G84" s="291">
        <f t="shared" si="73"/>
        <v>4.6707472068531395</v>
      </c>
      <c r="H84" s="291">
        <f t="shared" si="73"/>
        <v>4.8264387804149109</v>
      </c>
      <c r="I84" s="291">
        <f t="shared" si="73"/>
        <v>4.8264387804149109</v>
      </c>
      <c r="J84" s="291">
        <f t="shared" si="73"/>
        <v>4.6707472068531395</v>
      </c>
      <c r="K84" s="291">
        <f t="shared" si="73"/>
        <v>4.8264387804149109</v>
      </c>
      <c r="L84" s="291">
        <f t="shared" si="73"/>
        <v>4.6707472068531395</v>
      </c>
      <c r="M84" s="291">
        <f t="shared" si="73"/>
        <v>4.8264387804149109</v>
      </c>
      <c r="N84" s="291">
        <f t="shared" si="73"/>
        <v>4.8264387804149109</v>
      </c>
      <c r="O84" s="291">
        <f t="shared" si="73"/>
        <v>4.3593640597295957</v>
      </c>
      <c r="P84" s="291">
        <f t="shared" si="73"/>
        <v>4.8264387804149109</v>
      </c>
      <c r="Q84" s="291">
        <f t="shared" si="70"/>
        <v>56.827424350046527</v>
      </c>
    </row>
    <row r="85" spans="3:18" x14ac:dyDescent="0.25">
      <c r="C85" s="17"/>
      <c r="D85" s="17"/>
      <c r="E85" s="291">
        <f t="shared" ref="E85:P85" si="74">E261+E434</f>
        <v>0</v>
      </c>
      <c r="F85" s="291">
        <f t="shared" si="74"/>
        <v>0</v>
      </c>
      <c r="G85" s="291">
        <f t="shared" si="74"/>
        <v>0</v>
      </c>
      <c r="H85" s="291">
        <f t="shared" si="74"/>
        <v>0</v>
      </c>
      <c r="I85" s="291">
        <f t="shared" si="74"/>
        <v>0</v>
      </c>
      <c r="J85" s="291">
        <f t="shared" si="74"/>
        <v>0</v>
      </c>
      <c r="K85" s="291">
        <f t="shared" si="74"/>
        <v>0</v>
      </c>
      <c r="L85" s="291">
        <f t="shared" si="74"/>
        <v>0</v>
      </c>
      <c r="M85" s="291">
        <f t="shared" si="74"/>
        <v>0</v>
      </c>
      <c r="N85" s="291">
        <f t="shared" si="74"/>
        <v>0</v>
      </c>
      <c r="O85" s="291">
        <f t="shared" si="74"/>
        <v>0</v>
      </c>
      <c r="P85" s="291">
        <f t="shared" si="74"/>
        <v>0</v>
      </c>
      <c r="Q85" s="291">
        <f t="shared" si="70"/>
        <v>0</v>
      </c>
    </row>
    <row r="86" spans="3:18" x14ac:dyDescent="0.25">
      <c r="C86" s="17"/>
      <c r="D86" s="17"/>
      <c r="E86" s="291">
        <f t="shared" ref="E86:P86" si="75">E262+E435</f>
        <v>0</v>
      </c>
      <c r="F86" s="291">
        <f t="shared" si="75"/>
        <v>0</v>
      </c>
      <c r="G86" s="291">
        <f t="shared" si="75"/>
        <v>0</v>
      </c>
      <c r="H86" s="291">
        <f t="shared" si="75"/>
        <v>0</v>
      </c>
      <c r="I86" s="291">
        <f t="shared" si="75"/>
        <v>0</v>
      </c>
      <c r="J86" s="291">
        <f t="shared" si="75"/>
        <v>0</v>
      </c>
      <c r="K86" s="291">
        <f t="shared" si="75"/>
        <v>0</v>
      </c>
      <c r="L86" s="291">
        <f t="shared" si="75"/>
        <v>0</v>
      </c>
      <c r="M86" s="291">
        <f t="shared" si="75"/>
        <v>0</v>
      </c>
      <c r="N86" s="291">
        <f t="shared" si="75"/>
        <v>0</v>
      </c>
      <c r="O86" s="291">
        <f t="shared" si="75"/>
        <v>0</v>
      </c>
      <c r="P86" s="291">
        <f t="shared" si="75"/>
        <v>0</v>
      </c>
      <c r="Q86" s="291">
        <f t="shared" si="70"/>
        <v>0</v>
      </c>
    </row>
    <row r="87" spans="3:18" x14ac:dyDescent="0.25">
      <c r="C87" s="17"/>
      <c r="D87" s="17"/>
      <c r="E87" s="291">
        <f t="shared" ref="E87:P87" si="76">E263+E436</f>
        <v>0</v>
      </c>
      <c r="F87" s="291">
        <f t="shared" si="76"/>
        <v>0</v>
      </c>
      <c r="G87" s="291">
        <f t="shared" si="76"/>
        <v>0</v>
      </c>
      <c r="H87" s="291">
        <f t="shared" si="76"/>
        <v>0</v>
      </c>
      <c r="I87" s="291">
        <f t="shared" si="76"/>
        <v>0</v>
      </c>
      <c r="J87" s="291">
        <f t="shared" si="76"/>
        <v>0</v>
      </c>
      <c r="K87" s="291">
        <f t="shared" si="76"/>
        <v>0</v>
      </c>
      <c r="L87" s="291">
        <f t="shared" si="76"/>
        <v>0</v>
      </c>
      <c r="M87" s="291">
        <f t="shared" si="76"/>
        <v>0</v>
      </c>
      <c r="N87" s="291">
        <f t="shared" si="76"/>
        <v>0</v>
      </c>
      <c r="O87" s="291">
        <f t="shared" si="76"/>
        <v>0</v>
      </c>
      <c r="P87" s="291">
        <f t="shared" si="76"/>
        <v>0</v>
      </c>
      <c r="Q87" s="291">
        <f t="shared" si="70"/>
        <v>0</v>
      </c>
    </row>
    <row r="88" spans="3:18" x14ac:dyDescent="0.25">
      <c r="C88" s="17"/>
      <c r="D88" s="17"/>
      <c r="E88" s="291">
        <f t="shared" ref="E88:P88" si="77">E264+E437</f>
        <v>0</v>
      </c>
      <c r="F88" s="291">
        <f t="shared" si="77"/>
        <v>0</v>
      </c>
      <c r="G88" s="291">
        <f t="shared" si="77"/>
        <v>0</v>
      </c>
      <c r="H88" s="291">
        <f t="shared" si="77"/>
        <v>0</v>
      </c>
      <c r="I88" s="291">
        <f t="shared" si="77"/>
        <v>0</v>
      </c>
      <c r="J88" s="291">
        <f t="shared" si="77"/>
        <v>0</v>
      </c>
      <c r="K88" s="291">
        <f t="shared" si="77"/>
        <v>0</v>
      </c>
      <c r="L88" s="291">
        <f t="shared" si="77"/>
        <v>0</v>
      </c>
      <c r="M88" s="291">
        <f t="shared" si="77"/>
        <v>0</v>
      </c>
      <c r="N88" s="291">
        <f t="shared" si="77"/>
        <v>0</v>
      </c>
      <c r="O88" s="291">
        <f t="shared" si="77"/>
        <v>0</v>
      </c>
      <c r="P88" s="291">
        <f t="shared" si="77"/>
        <v>0</v>
      </c>
      <c r="Q88" s="291">
        <f t="shared" si="70"/>
        <v>0</v>
      </c>
    </row>
    <row r="89" spans="3:18" x14ac:dyDescent="0.25">
      <c r="C89" s="17"/>
      <c r="D89" s="17"/>
      <c r="E89" s="291">
        <f t="shared" ref="E89:P89" si="78">E265+E438</f>
        <v>0</v>
      </c>
      <c r="F89" s="291">
        <f t="shared" si="78"/>
        <v>0</v>
      </c>
      <c r="G89" s="291">
        <f t="shared" si="78"/>
        <v>0</v>
      </c>
      <c r="H89" s="291">
        <f t="shared" si="78"/>
        <v>0</v>
      </c>
      <c r="I89" s="291">
        <f t="shared" si="78"/>
        <v>0</v>
      </c>
      <c r="J89" s="291">
        <f t="shared" si="78"/>
        <v>0</v>
      </c>
      <c r="K89" s="291">
        <f t="shared" si="78"/>
        <v>0</v>
      </c>
      <c r="L89" s="291">
        <f t="shared" si="78"/>
        <v>0</v>
      </c>
      <c r="M89" s="291">
        <f t="shared" si="78"/>
        <v>0</v>
      </c>
      <c r="N89" s="291">
        <f t="shared" si="78"/>
        <v>0</v>
      </c>
      <c r="O89" s="291">
        <f t="shared" si="78"/>
        <v>0</v>
      </c>
      <c r="P89" s="291">
        <f t="shared" si="78"/>
        <v>0</v>
      </c>
      <c r="Q89" s="291">
        <f t="shared" si="70"/>
        <v>0</v>
      </c>
    </row>
    <row r="90" spans="3:18" x14ac:dyDescent="0.25">
      <c r="C90" s="17"/>
      <c r="D90" s="17"/>
      <c r="E90" s="291">
        <f t="shared" ref="E90:P90" si="79">E266+E439</f>
        <v>0</v>
      </c>
      <c r="F90" s="291">
        <f t="shared" si="79"/>
        <v>0</v>
      </c>
      <c r="G90" s="291">
        <f t="shared" si="79"/>
        <v>0</v>
      </c>
      <c r="H90" s="291">
        <f t="shared" si="79"/>
        <v>0</v>
      </c>
      <c r="I90" s="291">
        <f t="shared" si="79"/>
        <v>0</v>
      </c>
      <c r="J90" s="291">
        <f t="shared" si="79"/>
        <v>0</v>
      </c>
      <c r="K90" s="291">
        <f t="shared" si="79"/>
        <v>0</v>
      </c>
      <c r="L90" s="291">
        <f t="shared" si="79"/>
        <v>0</v>
      </c>
      <c r="M90" s="291">
        <f t="shared" si="79"/>
        <v>0</v>
      </c>
      <c r="N90" s="291">
        <f t="shared" si="79"/>
        <v>0</v>
      </c>
      <c r="O90" s="291">
        <f t="shared" si="79"/>
        <v>0</v>
      </c>
      <c r="P90" s="291">
        <f t="shared" si="79"/>
        <v>0</v>
      </c>
      <c r="Q90" s="291">
        <f t="shared" si="70"/>
        <v>0</v>
      </c>
    </row>
    <row r="91" spans="3:18" x14ac:dyDescent="0.25">
      <c r="C91" s="17"/>
      <c r="D91" s="17"/>
      <c r="E91" s="291">
        <f t="shared" ref="E91:P91" si="80">E267+E440</f>
        <v>0</v>
      </c>
      <c r="F91" s="291">
        <f t="shared" si="80"/>
        <v>0</v>
      </c>
      <c r="G91" s="291">
        <f t="shared" si="80"/>
        <v>0</v>
      </c>
      <c r="H91" s="291">
        <f t="shared" si="80"/>
        <v>0</v>
      </c>
      <c r="I91" s="291">
        <f t="shared" si="80"/>
        <v>0</v>
      </c>
      <c r="J91" s="291">
        <f t="shared" si="80"/>
        <v>0</v>
      </c>
      <c r="K91" s="291">
        <f t="shared" si="80"/>
        <v>0</v>
      </c>
      <c r="L91" s="291">
        <f t="shared" si="80"/>
        <v>0</v>
      </c>
      <c r="M91" s="291">
        <f t="shared" si="80"/>
        <v>0</v>
      </c>
      <c r="N91" s="291">
        <f t="shared" si="80"/>
        <v>0</v>
      </c>
      <c r="O91" s="291">
        <f t="shared" si="80"/>
        <v>0</v>
      </c>
      <c r="P91" s="291">
        <f t="shared" si="80"/>
        <v>0</v>
      </c>
      <c r="Q91" s="291">
        <f t="shared" si="70"/>
        <v>0</v>
      </c>
    </row>
    <row r="92" spans="3:18" x14ac:dyDescent="0.25">
      <c r="C92" s="17"/>
      <c r="D92" s="17"/>
      <c r="E92" s="291">
        <f t="shared" ref="E92:P92" si="81">E268+E441</f>
        <v>0</v>
      </c>
      <c r="F92" s="291">
        <f t="shared" si="81"/>
        <v>0</v>
      </c>
      <c r="G92" s="291">
        <f t="shared" si="81"/>
        <v>0</v>
      </c>
      <c r="H92" s="291">
        <f t="shared" si="81"/>
        <v>0</v>
      </c>
      <c r="I92" s="291">
        <f t="shared" si="81"/>
        <v>0</v>
      </c>
      <c r="J92" s="291">
        <f t="shared" si="81"/>
        <v>0</v>
      </c>
      <c r="K92" s="291">
        <f t="shared" si="81"/>
        <v>0</v>
      </c>
      <c r="L92" s="291">
        <f t="shared" si="81"/>
        <v>0</v>
      </c>
      <c r="M92" s="291">
        <f t="shared" si="81"/>
        <v>0</v>
      </c>
      <c r="N92" s="291">
        <f t="shared" si="81"/>
        <v>0</v>
      </c>
      <c r="O92" s="291">
        <f t="shared" si="81"/>
        <v>0</v>
      </c>
      <c r="P92" s="291">
        <f t="shared" si="81"/>
        <v>0</v>
      </c>
      <c r="Q92" s="291">
        <f t="shared" si="70"/>
        <v>0</v>
      </c>
    </row>
    <row r="93" spans="3:18" x14ac:dyDescent="0.25">
      <c r="C93" s="17"/>
      <c r="D93" s="17"/>
      <c r="E93" s="291">
        <f t="shared" ref="E93:P93" si="82">E269+E442</f>
        <v>0</v>
      </c>
      <c r="F93" s="291">
        <f t="shared" si="82"/>
        <v>0</v>
      </c>
      <c r="G93" s="291">
        <f t="shared" si="82"/>
        <v>0</v>
      </c>
      <c r="H93" s="291">
        <f t="shared" si="82"/>
        <v>0</v>
      </c>
      <c r="I93" s="291">
        <f t="shared" si="82"/>
        <v>0</v>
      </c>
      <c r="J93" s="291">
        <f t="shared" si="82"/>
        <v>0</v>
      </c>
      <c r="K93" s="291">
        <f t="shared" si="82"/>
        <v>0</v>
      </c>
      <c r="L93" s="291">
        <f t="shared" si="82"/>
        <v>0</v>
      </c>
      <c r="M93" s="291">
        <f t="shared" si="82"/>
        <v>0</v>
      </c>
      <c r="N93" s="291">
        <f t="shared" si="82"/>
        <v>0</v>
      </c>
      <c r="O93" s="291">
        <f t="shared" si="82"/>
        <v>0</v>
      </c>
      <c r="P93" s="291">
        <f t="shared" si="82"/>
        <v>0</v>
      </c>
      <c r="Q93" s="291">
        <f t="shared" si="70"/>
        <v>0</v>
      </c>
    </row>
    <row r="94" spans="3:18" x14ac:dyDescent="0.25">
      <c r="C94" s="17"/>
      <c r="D94" s="17"/>
      <c r="E94" s="291">
        <f t="shared" ref="E94:P94" si="83">E270+E443</f>
        <v>0</v>
      </c>
      <c r="F94" s="291">
        <f t="shared" si="83"/>
        <v>0</v>
      </c>
      <c r="G94" s="291">
        <f t="shared" si="83"/>
        <v>0</v>
      </c>
      <c r="H94" s="291">
        <f t="shared" si="83"/>
        <v>0</v>
      </c>
      <c r="I94" s="291">
        <f t="shared" si="83"/>
        <v>0</v>
      </c>
      <c r="J94" s="291">
        <f t="shared" si="83"/>
        <v>0</v>
      </c>
      <c r="K94" s="291">
        <f t="shared" si="83"/>
        <v>0</v>
      </c>
      <c r="L94" s="291">
        <f t="shared" si="83"/>
        <v>0</v>
      </c>
      <c r="M94" s="291">
        <f t="shared" si="83"/>
        <v>0</v>
      </c>
      <c r="N94" s="291">
        <f t="shared" si="83"/>
        <v>0</v>
      </c>
      <c r="O94" s="291">
        <f t="shared" si="83"/>
        <v>0</v>
      </c>
      <c r="P94" s="291">
        <f t="shared" si="83"/>
        <v>0</v>
      </c>
      <c r="Q94" s="291">
        <f t="shared" si="70"/>
        <v>0</v>
      </c>
    </row>
    <row r="95" spans="3:18" x14ac:dyDescent="0.25">
      <c r="C95" s="751" t="s">
        <v>212</v>
      </c>
      <c r="D95" s="752"/>
      <c r="E95" s="329">
        <f t="shared" ref="E95:P95" si="84">SUM(E81:E94)</f>
        <v>15.796254474148556</v>
      </c>
      <c r="F95" s="329">
        <f t="shared" si="84"/>
        <v>16.322796289953512</v>
      </c>
      <c r="G95" s="329">
        <f t="shared" si="84"/>
        <v>15.796254474148556</v>
      </c>
      <c r="H95" s="329">
        <f t="shared" si="84"/>
        <v>16.322796289953512</v>
      </c>
      <c r="I95" s="329">
        <f t="shared" si="84"/>
        <v>16.322796289953512</v>
      </c>
      <c r="J95" s="329">
        <f t="shared" si="84"/>
        <v>15.796254474148556</v>
      </c>
      <c r="K95" s="329">
        <f t="shared" si="84"/>
        <v>16.322796289953512</v>
      </c>
      <c r="L95" s="329">
        <f t="shared" si="84"/>
        <v>15.796254474148556</v>
      </c>
      <c r="M95" s="329">
        <f t="shared" si="84"/>
        <v>16.322796289953512</v>
      </c>
      <c r="N95" s="329">
        <f t="shared" si="84"/>
        <v>16.322796289953512</v>
      </c>
      <c r="O95" s="329">
        <f t="shared" si="84"/>
        <v>14.74317084253865</v>
      </c>
      <c r="P95" s="329">
        <f t="shared" si="84"/>
        <v>16.322796289953512</v>
      </c>
      <c r="Q95" s="329">
        <f t="shared" si="70"/>
        <v>192.18776276880749</v>
      </c>
      <c r="R95" s="427"/>
    </row>
    <row r="96" spans="3:18" x14ac:dyDescent="0.25">
      <c r="C96" s="753" t="s">
        <v>394</v>
      </c>
      <c r="D96" s="754"/>
      <c r="E96" s="329">
        <f t="shared" ref="E96:P96" si="85">E79+E95</f>
        <v>318.88825391434818</v>
      </c>
      <c r="F96" s="329">
        <f t="shared" si="85"/>
        <v>352.31742178317558</v>
      </c>
      <c r="G96" s="329">
        <f t="shared" si="85"/>
        <v>308.4068911089978</v>
      </c>
      <c r="H96" s="329">
        <f t="shared" si="85"/>
        <v>282.4984172692433</v>
      </c>
      <c r="I96" s="329">
        <f t="shared" si="85"/>
        <v>255.49341000513098</v>
      </c>
      <c r="J96" s="329">
        <f t="shared" si="85"/>
        <v>270.3399040533015</v>
      </c>
      <c r="K96" s="329">
        <f t="shared" si="85"/>
        <v>260.0627548812958</v>
      </c>
      <c r="L96" s="329">
        <f t="shared" si="85"/>
        <v>278.08106468000744</v>
      </c>
      <c r="M96" s="329">
        <f t="shared" si="85"/>
        <v>270.14115306288738</v>
      </c>
      <c r="N96" s="329">
        <f t="shared" si="85"/>
        <v>285.55239314454059</v>
      </c>
      <c r="O96" s="329">
        <f t="shared" si="85"/>
        <v>296.53060546693297</v>
      </c>
      <c r="P96" s="329">
        <f t="shared" si="85"/>
        <v>350.14607276496275</v>
      </c>
      <c r="Q96" s="329">
        <f t="shared" si="70"/>
        <v>3528.4583421348243</v>
      </c>
      <c r="R96" s="427"/>
    </row>
    <row r="97" spans="3:18" x14ac:dyDescent="0.25">
      <c r="C97" s="800" t="s">
        <v>395</v>
      </c>
      <c r="D97" s="80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</row>
    <row r="98" spans="3:18" x14ac:dyDescent="0.25">
      <c r="C98" s="17" t="s">
        <v>396</v>
      </c>
      <c r="D98" s="17" t="s">
        <v>396</v>
      </c>
      <c r="E98" s="291">
        <f t="shared" ref="E98:P98" si="86">E274+E447</f>
        <v>20.196403029060622</v>
      </c>
      <c r="F98" s="291">
        <f t="shared" si="86"/>
        <v>20.755083321788788</v>
      </c>
      <c r="G98" s="291">
        <f t="shared" si="86"/>
        <v>20.196403029060601</v>
      </c>
      <c r="H98" s="291">
        <f t="shared" si="86"/>
        <v>21.310523853433661</v>
      </c>
      <c r="I98" s="291">
        <f t="shared" si="86"/>
        <v>17.342357342794301</v>
      </c>
      <c r="J98" s="291">
        <f t="shared" si="86"/>
        <v>19.343033886987634</v>
      </c>
      <c r="K98" s="291">
        <f t="shared" si="86"/>
        <v>16.460542562652222</v>
      </c>
      <c r="L98" s="291">
        <f t="shared" si="86"/>
        <v>20.196403029060601</v>
      </c>
      <c r="M98" s="291">
        <f t="shared" si="86"/>
        <v>20.869616463362618</v>
      </c>
      <c r="N98" s="291">
        <f t="shared" si="86"/>
        <v>19.36611897532293</v>
      </c>
      <c r="O98" s="291">
        <f t="shared" si="86"/>
        <v>17.919997376857268</v>
      </c>
      <c r="P98" s="291">
        <f t="shared" si="86"/>
        <v>22.130716995477417</v>
      </c>
      <c r="Q98" s="291">
        <f t="shared" ref="Q98:Q105" si="87">SUM(E98:P98)</f>
        <v>236.08719986585868</v>
      </c>
    </row>
    <row r="99" spans="3:18" x14ac:dyDescent="0.25">
      <c r="C99" s="17" t="s">
        <v>397</v>
      </c>
      <c r="D99" s="17" t="s">
        <v>397</v>
      </c>
      <c r="E99" s="291">
        <f t="shared" ref="E99:P99" si="88">E275+E448</f>
        <v>0</v>
      </c>
      <c r="F99" s="291">
        <f t="shared" si="88"/>
        <v>0</v>
      </c>
      <c r="G99" s="291">
        <f t="shared" si="88"/>
        <v>0</v>
      </c>
      <c r="H99" s="291">
        <f t="shared" si="88"/>
        <v>0</v>
      </c>
      <c r="I99" s="291">
        <f t="shared" si="88"/>
        <v>0</v>
      </c>
      <c r="J99" s="291">
        <f t="shared" si="88"/>
        <v>0</v>
      </c>
      <c r="K99" s="291">
        <f t="shared" si="88"/>
        <v>0</v>
      </c>
      <c r="L99" s="291">
        <f t="shared" si="88"/>
        <v>0</v>
      </c>
      <c r="M99" s="291">
        <f t="shared" si="88"/>
        <v>0</v>
      </c>
      <c r="N99" s="291">
        <f t="shared" si="88"/>
        <v>0</v>
      </c>
      <c r="O99" s="291">
        <f t="shared" si="88"/>
        <v>0</v>
      </c>
      <c r="P99" s="291">
        <f t="shared" si="88"/>
        <v>0</v>
      </c>
      <c r="Q99" s="291">
        <f t="shared" si="87"/>
        <v>0</v>
      </c>
    </row>
    <row r="100" spans="3:18" ht="15" customHeight="1" x14ac:dyDescent="0.25">
      <c r="C100" s="17"/>
      <c r="D100" s="17"/>
      <c r="E100" s="291">
        <f t="shared" ref="E100:P100" si="89">E276+E449</f>
        <v>0</v>
      </c>
      <c r="F100" s="291">
        <f t="shared" si="89"/>
        <v>0</v>
      </c>
      <c r="G100" s="291">
        <f t="shared" si="89"/>
        <v>0</v>
      </c>
      <c r="H100" s="291">
        <f t="shared" si="89"/>
        <v>0</v>
      </c>
      <c r="I100" s="291">
        <f t="shared" si="89"/>
        <v>0</v>
      </c>
      <c r="J100" s="291">
        <f t="shared" si="89"/>
        <v>0</v>
      </c>
      <c r="K100" s="291">
        <f t="shared" si="89"/>
        <v>0</v>
      </c>
      <c r="L100" s="291">
        <f t="shared" si="89"/>
        <v>0</v>
      </c>
      <c r="M100" s="291">
        <f t="shared" si="89"/>
        <v>0</v>
      </c>
      <c r="N100" s="291">
        <f t="shared" si="89"/>
        <v>0</v>
      </c>
      <c r="O100" s="291">
        <f t="shared" si="89"/>
        <v>0</v>
      </c>
      <c r="P100" s="291">
        <f t="shared" si="89"/>
        <v>0</v>
      </c>
      <c r="Q100" s="291">
        <f t="shared" si="87"/>
        <v>0</v>
      </c>
    </row>
    <row r="101" spans="3:18" x14ac:dyDescent="0.25">
      <c r="C101" s="17"/>
      <c r="D101" s="17"/>
      <c r="E101" s="291">
        <f t="shared" ref="E101:P101" si="90">E277+E450</f>
        <v>0</v>
      </c>
      <c r="F101" s="291">
        <f t="shared" si="90"/>
        <v>0</v>
      </c>
      <c r="G101" s="291">
        <f t="shared" si="90"/>
        <v>0</v>
      </c>
      <c r="H101" s="291">
        <f t="shared" si="90"/>
        <v>0</v>
      </c>
      <c r="I101" s="291">
        <f t="shared" si="90"/>
        <v>0</v>
      </c>
      <c r="J101" s="291">
        <f t="shared" si="90"/>
        <v>0</v>
      </c>
      <c r="K101" s="291">
        <f t="shared" si="90"/>
        <v>0</v>
      </c>
      <c r="L101" s="291">
        <f t="shared" si="90"/>
        <v>0</v>
      </c>
      <c r="M101" s="291">
        <f t="shared" si="90"/>
        <v>0</v>
      </c>
      <c r="N101" s="291">
        <f t="shared" si="90"/>
        <v>0</v>
      </c>
      <c r="O101" s="291">
        <f t="shared" si="90"/>
        <v>0</v>
      </c>
      <c r="P101" s="291">
        <f t="shared" si="90"/>
        <v>0</v>
      </c>
      <c r="Q101" s="291">
        <f t="shared" si="87"/>
        <v>0</v>
      </c>
    </row>
    <row r="102" spans="3:18" ht="14.25" customHeight="1" x14ac:dyDescent="0.25">
      <c r="C102" s="17"/>
      <c r="D102" s="17"/>
      <c r="E102" s="291">
        <f t="shared" ref="E102:P102" si="91">E278+E451</f>
        <v>0</v>
      </c>
      <c r="F102" s="291">
        <f t="shared" si="91"/>
        <v>0</v>
      </c>
      <c r="G102" s="291">
        <f t="shared" si="91"/>
        <v>0</v>
      </c>
      <c r="H102" s="291">
        <f t="shared" si="91"/>
        <v>0</v>
      </c>
      <c r="I102" s="291">
        <f t="shared" si="91"/>
        <v>0</v>
      </c>
      <c r="J102" s="291">
        <f t="shared" si="91"/>
        <v>0</v>
      </c>
      <c r="K102" s="291">
        <f t="shared" si="91"/>
        <v>0</v>
      </c>
      <c r="L102" s="291">
        <f t="shared" si="91"/>
        <v>0</v>
      </c>
      <c r="M102" s="291">
        <f t="shared" si="91"/>
        <v>0</v>
      </c>
      <c r="N102" s="291">
        <f t="shared" si="91"/>
        <v>0</v>
      </c>
      <c r="O102" s="291">
        <f t="shared" si="91"/>
        <v>0</v>
      </c>
      <c r="P102" s="291">
        <f t="shared" si="91"/>
        <v>0</v>
      </c>
      <c r="Q102" s="291">
        <f t="shared" si="87"/>
        <v>0</v>
      </c>
    </row>
    <row r="103" spans="3:18" x14ac:dyDescent="0.25">
      <c r="C103" s="17"/>
      <c r="D103" s="17"/>
      <c r="E103" s="291">
        <f t="shared" ref="E103:P103" si="92">E279+E452</f>
        <v>0</v>
      </c>
      <c r="F103" s="291">
        <f t="shared" si="92"/>
        <v>0</v>
      </c>
      <c r="G103" s="291">
        <f t="shared" si="92"/>
        <v>0</v>
      </c>
      <c r="H103" s="291">
        <f t="shared" si="92"/>
        <v>0</v>
      </c>
      <c r="I103" s="291">
        <f t="shared" si="92"/>
        <v>0</v>
      </c>
      <c r="J103" s="291">
        <f t="shared" si="92"/>
        <v>0</v>
      </c>
      <c r="K103" s="291">
        <f t="shared" si="92"/>
        <v>0</v>
      </c>
      <c r="L103" s="291">
        <f t="shared" si="92"/>
        <v>0</v>
      </c>
      <c r="M103" s="291">
        <f t="shared" si="92"/>
        <v>0</v>
      </c>
      <c r="N103" s="291">
        <f t="shared" si="92"/>
        <v>0</v>
      </c>
      <c r="O103" s="291">
        <f t="shared" si="92"/>
        <v>0</v>
      </c>
      <c r="P103" s="291">
        <f t="shared" si="92"/>
        <v>0</v>
      </c>
      <c r="Q103" s="291">
        <f t="shared" si="87"/>
        <v>0</v>
      </c>
    </row>
    <row r="104" spans="3:18" x14ac:dyDescent="0.25">
      <c r="C104" s="17"/>
      <c r="D104" s="17"/>
      <c r="E104" s="291">
        <f t="shared" ref="E104:P104" si="93">E280+E453</f>
        <v>0</v>
      </c>
      <c r="F104" s="291">
        <f t="shared" si="93"/>
        <v>0</v>
      </c>
      <c r="G104" s="291">
        <f t="shared" si="93"/>
        <v>0</v>
      </c>
      <c r="H104" s="291">
        <f t="shared" si="93"/>
        <v>0</v>
      </c>
      <c r="I104" s="291">
        <f t="shared" si="93"/>
        <v>0</v>
      </c>
      <c r="J104" s="291">
        <f t="shared" si="93"/>
        <v>0</v>
      </c>
      <c r="K104" s="291">
        <f t="shared" si="93"/>
        <v>0</v>
      </c>
      <c r="L104" s="291">
        <f t="shared" si="93"/>
        <v>0</v>
      </c>
      <c r="M104" s="291">
        <f t="shared" si="93"/>
        <v>0</v>
      </c>
      <c r="N104" s="291">
        <f t="shared" si="93"/>
        <v>0</v>
      </c>
      <c r="O104" s="291">
        <f t="shared" si="93"/>
        <v>0</v>
      </c>
      <c r="P104" s="291">
        <f t="shared" si="93"/>
        <v>0</v>
      </c>
      <c r="Q104" s="291">
        <f t="shared" si="87"/>
        <v>0</v>
      </c>
    </row>
    <row r="105" spans="3:18" ht="14.25" customHeight="1" x14ac:dyDescent="0.25">
      <c r="C105" s="753" t="s">
        <v>398</v>
      </c>
      <c r="D105" s="754"/>
      <c r="E105" s="329">
        <f t="shared" ref="E105:P105" si="94">SUM(E98:E104)</f>
        <v>20.196403029060622</v>
      </c>
      <c r="F105" s="329">
        <f t="shared" si="94"/>
        <v>20.755083321788788</v>
      </c>
      <c r="G105" s="329">
        <f t="shared" si="94"/>
        <v>20.196403029060601</v>
      </c>
      <c r="H105" s="329">
        <f t="shared" si="94"/>
        <v>21.310523853433661</v>
      </c>
      <c r="I105" s="329">
        <f t="shared" si="94"/>
        <v>17.342357342794301</v>
      </c>
      <c r="J105" s="329">
        <f t="shared" si="94"/>
        <v>19.343033886987634</v>
      </c>
      <c r="K105" s="329">
        <f t="shared" si="94"/>
        <v>16.460542562652222</v>
      </c>
      <c r="L105" s="329">
        <f t="shared" si="94"/>
        <v>20.196403029060601</v>
      </c>
      <c r="M105" s="329">
        <f t="shared" si="94"/>
        <v>20.869616463362618</v>
      </c>
      <c r="N105" s="329">
        <f t="shared" si="94"/>
        <v>19.36611897532293</v>
      </c>
      <c r="O105" s="329">
        <f t="shared" si="94"/>
        <v>17.919997376857268</v>
      </c>
      <c r="P105" s="329">
        <f t="shared" si="94"/>
        <v>22.130716995477417</v>
      </c>
      <c r="Q105" s="329">
        <f t="shared" si="87"/>
        <v>236.08719986585868</v>
      </c>
      <c r="R105" s="427"/>
    </row>
    <row r="106" spans="3:18" x14ac:dyDescent="0.25">
      <c r="C106" s="800" t="s">
        <v>399</v>
      </c>
      <c r="D106" s="80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</row>
    <row r="107" spans="3:18" x14ac:dyDescent="0.25">
      <c r="C107" s="17" t="s">
        <v>400</v>
      </c>
      <c r="D107" s="17" t="s">
        <v>400</v>
      </c>
      <c r="E107" s="291">
        <f t="shared" ref="E107:P107" si="95">E283+E456</f>
        <v>101.97162257510657</v>
      </c>
      <c r="F107" s="291">
        <f t="shared" si="95"/>
        <v>58.264452369395741</v>
      </c>
      <c r="G107" s="291">
        <f t="shared" si="95"/>
        <v>28.005588718812227</v>
      </c>
      <c r="H107" s="291">
        <f t="shared" si="95"/>
        <v>73.493332211617002</v>
      </c>
      <c r="I107" s="291">
        <f t="shared" si="95"/>
        <v>77.744972139140899</v>
      </c>
      <c r="J107" s="291">
        <f t="shared" si="95"/>
        <v>86.745038245172836</v>
      </c>
      <c r="K107" s="291">
        <f t="shared" si="95"/>
        <v>80.774922915679781</v>
      </c>
      <c r="L107" s="291">
        <f t="shared" si="95"/>
        <v>113.75347074605399</v>
      </c>
      <c r="M107" s="291">
        <f t="shared" si="95"/>
        <v>100.73160075495525</v>
      </c>
      <c r="N107" s="291">
        <f t="shared" si="95"/>
        <v>98.189998672819854</v>
      </c>
      <c r="O107" s="291">
        <f t="shared" si="95"/>
        <v>165.81527010679218</v>
      </c>
      <c r="P107" s="291">
        <f t="shared" si="95"/>
        <v>198.45464796975341</v>
      </c>
      <c r="Q107" s="291">
        <f t="shared" ref="Q107:Q115" si="96">SUM(E107:P107)</f>
        <v>1183.9449174253</v>
      </c>
    </row>
    <row r="108" spans="3:18" x14ac:dyDescent="0.25">
      <c r="C108" s="17" t="s">
        <v>401</v>
      </c>
      <c r="D108" s="17" t="s">
        <v>401</v>
      </c>
      <c r="E108" s="291">
        <f t="shared" ref="E108:P108" si="97">E284+E457</f>
        <v>0</v>
      </c>
      <c r="F108" s="291">
        <f t="shared" si="97"/>
        <v>0</v>
      </c>
      <c r="G108" s="291">
        <f t="shared" si="97"/>
        <v>0</v>
      </c>
      <c r="H108" s="291">
        <f t="shared" si="97"/>
        <v>0</v>
      </c>
      <c r="I108" s="291">
        <f t="shared" si="97"/>
        <v>0</v>
      </c>
      <c r="J108" s="291">
        <f t="shared" si="97"/>
        <v>0</v>
      </c>
      <c r="K108" s="291">
        <f t="shared" si="97"/>
        <v>0</v>
      </c>
      <c r="L108" s="291">
        <f t="shared" si="97"/>
        <v>0</v>
      </c>
      <c r="M108" s="291">
        <f t="shared" si="97"/>
        <v>0</v>
      </c>
      <c r="N108" s="291">
        <f t="shared" si="97"/>
        <v>0</v>
      </c>
      <c r="O108" s="291">
        <f t="shared" si="97"/>
        <v>0</v>
      </c>
      <c r="P108" s="291">
        <f t="shared" si="97"/>
        <v>0</v>
      </c>
      <c r="Q108" s="291">
        <f t="shared" si="96"/>
        <v>0</v>
      </c>
    </row>
    <row r="109" spans="3:18" x14ac:dyDescent="0.25">
      <c r="C109" s="17" t="s">
        <v>402</v>
      </c>
      <c r="D109" s="17" t="s">
        <v>402</v>
      </c>
      <c r="E109" s="291">
        <f t="shared" ref="E109:P109" si="98">E285+E458</f>
        <v>0</v>
      </c>
      <c r="F109" s="291">
        <f t="shared" si="98"/>
        <v>0</v>
      </c>
      <c r="G109" s="291">
        <f t="shared" si="98"/>
        <v>0</v>
      </c>
      <c r="H109" s="291">
        <f t="shared" si="98"/>
        <v>0</v>
      </c>
      <c r="I109" s="291">
        <f t="shared" si="98"/>
        <v>0</v>
      </c>
      <c r="J109" s="291">
        <f t="shared" si="98"/>
        <v>0</v>
      </c>
      <c r="K109" s="291">
        <f t="shared" si="98"/>
        <v>0</v>
      </c>
      <c r="L109" s="291">
        <f t="shared" si="98"/>
        <v>0</v>
      </c>
      <c r="M109" s="291">
        <f t="shared" si="98"/>
        <v>0</v>
      </c>
      <c r="N109" s="291">
        <f t="shared" si="98"/>
        <v>0</v>
      </c>
      <c r="O109" s="291">
        <f t="shared" si="98"/>
        <v>0</v>
      </c>
      <c r="P109" s="291">
        <f t="shared" si="98"/>
        <v>0</v>
      </c>
      <c r="Q109" s="291">
        <f t="shared" si="96"/>
        <v>0</v>
      </c>
    </row>
    <row r="110" spans="3:18" x14ac:dyDescent="0.25">
      <c r="C110" s="17"/>
      <c r="D110" s="17"/>
      <c r="E110" s="291">
        <f t="shared" ref="E110:P110" si="99">E286+E459</f>
        <v>0</v>
      </c>
      <c r="F110" s="291">
        <f t="shared" si="99"/>
        <v>0</v>
      </c>
      <c r="G110" s="291">
        <f t="shared" si="99"/>
        <v>0</v>
      </c>
      <c r="H110" s="291">
        <f t="shared" si="99"/>
        <v>0</v>
      </c>
      <c r="I110" s="291">
        <f t="shared" si="99"/>
        <v>0</v>
      </c>
      <c r="J110" s="291">
        <f t="shared" si="99"/>
        <v>0</v>
      </c>
      <c r="K110" s="291">
        <f t="shared" si="99"/>
        <v>0</v>
      </c>
      <c r="L110" s="291">
        <f t="shared" si="99"/>
        <v>0</v>
      </c>
      <c r="M110" s="291">
        <f t="shared" si="99"/>
        <v>0</v>
      </c>
      <c r="N110" s="291">
        <f t="shared" si="99"/>
        <v>0</v>
      </c>
      <c r="O110" s="291">
        <f t="shared" si="99"/>
        <v>0</v>
      </c>
      <c r="P110" s="291">
        <f t="shared" si="99"/>
        <v>0</v>
      </c>
      <c r="Q110" s="291">
        <f t="shared" si="96"/>
        <v>0</v>
      </c>
    </row>
    <row r="111" spans="3:18" x14ac:dyDescent="0.25">
      <c r="C111" s="17"/>
      <c r="D111" s="17"/>
      <c r="E111" s="291">
        <f t="shared" ref="E111:P111" si="100">E287+E460</f>
        <v>0</v>
      </c>
      <c r="F111" s="291">
        <f t="shared" si="100"/>
        <v>0</v>
      </c>
      <c r="G111" s="291">
        <f t="shared" si="100"/>
        <v>0</v>
      </c>
      <c r="H111" s="291">
        <f t="shared" si="100"/>
        <v>0</v>
      </c>
      <c r="I111" s="291">
        <f t="shared" si="100"/>
        <v>0</v>
      </c>
      <c r="J111" s="291">
        <f t="shared" si="100"/>
        <v>0</v>
      </c>
      <c r="K111" s="291">
        <f t="shared" si="100"/>
        <v>0</v>
      </c>
      <c r="L111" s="291">
        <f t="shared" si="100"/>
        <v>0</v>
      </c>
      <c r="M111" s="291">
        <f t="shared" si="100"/>
        <v>0</v>
      </c>
      <c r="N111" s="291">
        <f t="shared" si="100"/>
        <v>0</v>
      </c>
      <c r="O111" s="291">
        <f t="shared" si="100"/>
        <v>0</v>
      </c>
      <c r="P111" s="291">
        <f t="shared" si="100"/>
        <v>0</v>
      </c>
      <c r="Q111" s="291">
        <f t="shared" si="96"/>
        <v>0</v>
      </c>
    </row>
    <row r="112" spans="3:18" x14ac:dyDescent="0.25">
      <c r="C112" s="17"/>
      <c r="D112" s="17"/>
      <c r="E112" s="291">
        <f t="shared" ref="E112:P112" si="101">E288+E461</f>
        <v>0</v>
      </c>
      <c r="F112" s="291">
        <f t="shared" si="101"/>
        <v>0</v>
      </c>
      <c r="G112" s="291">
        <f t="shared" si="101"/>
        <v>0</v>
      </c>
      <c r="H112" s="291">
        <f t="shared" si="101"/>
        <v>0</v>
      </c>
      <c r="I112" s="291">
        <f t="shared" si="101"/>
        <v>0</v>
      </c>
      <c r="J112" s="291">
        <f t="shared" si="101"/>
        <v>0</v>
      </c>
      <c r="K112" s="291">
        <f t="shared" si="101"/>
        <v>0</v>
      </c>
      <c r="L112" s="291">
        <f t="shared" si="101"/>
        <v>0</v>
      </c>
      <c r="M112" s="291">
        <f t="shared" si="101"/>
        <v>0</v>
      </c>
      <c r="N112" s="291">
        <f t="shared" si="101"/>
        <v>0</v>
      </c>
      <c r="O112" s="291">
        <f t="shared" si="101"/>
        <v>0</v>
      </c>
      <c r="P112" s="291">
        <f t="shared" si="101"/>
        <v>0</v>
      </c>
      <c r="Q112" s="291">
        <f t="shared" si="96"/>
        <v>0</v>
      </c>
    </row>
    <row r="113" spans="3:18" x14ac:dyDescent="0.25">
      <c r="C113" s="17"/>
      <c r="D113" s="17"/>
      <c r="E113" s="291">
        <f t="shared" ref="E113:P113" si="102">E289+E462</f>
        <v>0</v>
      </c>
      <c r="F113" s="291">
        <f t="shared" si="102"/>
        <v>0</v>
      </c>
      <c r="G113" s="291">
        <f t="shared" si="102"/>
        <v>0</v>
      </c>
      <c r="H113" s="291">
        <f t="shared" si="102"/>
        <v>0</v>
      </c>
      <c r="I113" s="291">
        <f t="shared" si="102"/>
        <v>0</v>
      </c>
      <c r="J113" s="291">
        <f t="shared" si="102"/>
        <v>0</v>
      </c>
      <c r="K113" s="291">
        <f t="shared" si="102"/>
        <v>0</v>
      </c>
      <c r="L113" s="291">
        <f t="shared" si="102"/>
        <v>0</v>
      </c>
      <c r="M113" s="291">
        <f t="shared" si="102"/>
        <v>0</v>
      </c>
      <c r="N113" s="291">
        <f t="shared" si="102"/>
        <v>0</v>
      </c>
      <c r="O113" s="291">
        <f t="shared" si="102"/>
        <v>0</v>
      </c>
      <c r="P113" s="291">
        <f t="shared" si="102"/>
        <v>0</v>
      </c>
      <c r="Q113" s="291">
        <f t="shared" si="96"/>
        <v>0</v>
      </c>
    </row>
    <row r="114" spans="3:18" x14ac:dyDescent="0.25">
      <c r="C114" s="17"/>
      <c r="D114" s="17"/>
      <c r="E114" s="291">
        <f t="shared" ref="E114:P114" si="103">E290+E463</f>
        <v>0</v>
      </c>
      <c r="F114" s="291">
        <f t="shared" si="103"/>
        <v>0</v>
      </c>
      <c r="G114" s="291">
        <f t="shared" si="103"/>
        <v>0</v>
      </c>
      <c r="H114" s="291">
        <f t="shared" si="103"/>
        <v>0</v>
      </c>
      <c r="I114" s="291">
        <f t="shared" si="103"/>
        <v>0</v>
      </c>
      <c r="J114" s="291">
        <f t="shared" si="103"/>
        <v>0</v>
      </c>
      <c r="K114" s="291">
        <f t="shared" si="103"/>
        <v>0</v>
      </c>
      <c r="L114" s="291">
        <f t="shared" si="103"/>
        <v>0</v>
      </c>
      <c r="M114" s="291">
        <f t="shared" si="103"/>
        <v>0</v>
      </c>
      <c r="N114" s="291">
        <f t="shared" si="103"/>
        <v>0</v>
      </c>
      <c r="O114" s="291">
        <f t="shared" si="103"/>
        <v>0</v>
      </c>
      <c r="P114" s="291">
        <f t="shared" si="103"/>
        <v>0</v>
      </c>
      <c r="Q114" s="291">
        <f t="shared" si="96"/>
        <v>0</v>
      </c>
    </row>
    <row r="115" spans="3:18" x14ac:dyDescent="0.25">
      <c r="C115" s="753" t="s">
        <v>403</v>
      </c>
      <c r="D115" s="754"/>
      <c r="E115" s="329">
        <f t="shared" ref="E115:P115" si="104">SUM(E107:E114)</f>
        <v>101.97162257510657</v>
      </c>
      <c r="F115" s="329">
        <f t="shared" si="104"/>
        <v>58.264452369395741</v>
      </c>
      <c r="G115" s="329">
        <f t="shared" si="104"/>
        <v>28.005588718812227</v>
      </c>
      <c r="H115" s="329">
        <f t="shared" si="104"/>
        <v>73.493332211617002</v>
      </c>
      <c r="I115" s="329">
        <f t="shared" si="104"/>
        <v>77.744972139140899</v>
      </c>
      <c r="J115" s="329">
        <f t="shared" si="104"/>
        <v>86.745038245172836</v>
      </c>
      <c r="K115" s="329">
        <f t="shared" si="104"/>
        <v>80.774922915679781</v>
      </c>
      <c r="L115" s="329">
        <f t="shared" si="104"/>
        <v>113.75347074605399</v>
      </c>
      <c r="M115" s="329">
        <f t="shared" si="104"/>
        <v>100.73160075495525</v>
      </c>
      <c r="N115" s="329">
        <f t="shared" si="104"/>
        <v>98.189998672819854</v>
      </c>
      <c r="O115" s="329">
        <f t="shared" si="104"/>
        <v>165.81527010679218</v>
      </c>
      <c r="P115" s="329">
        <f t="shared" si="104"/>
        <v>198.45464796975341</v>
      </c>
      <c r="Q115" s="329">
        <f t="shared" si="96"/>
        <v>1183.9449174253</v>
      </c>
      <c r="R115" s="427"/>
    </row>
    <row r="116" spans="3:18" x14ac:dyDescent="0.25">
      <c r="C116" s="800" t="s">
        <v>404</v>
      </c>
      <c r="D116" s="80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</row>
    <row r="117" spans="3:18" x14ac:dyDescent="0.25">
      <c r="C117" s="17"/>
      <c r="D117" s="17" t="s">
        <v>405</v>
      </c>
      <c r="E117" s="291">
        <f t="shared" ref="E117:P117" si="105">E293+E466</f>
        <v>2.4381312685857193E-2</v>
      </c>
      <c r="F117" s="291">
        <f t="shared" si="105"/>
        <v>2.0907855515269132E-2</v>
      </c>
      <c r="G117" s="291">
        <f t="shared" si="105"/>
        <v>4.973274024739318E-2</v>
      </c>
      <c r="H117" s="291">
        <f t="shared" si="105"/>
        <v>7.2339346358981885E-2</v>
      </c>
      <c r="I117" s="291">
        <f t="shared" si="105"/>
        <v>3.9474120766783555E-2</v>
      </c>
      <c r="J117" s="291">
        <f t="shared" si="105"/>
        <v>2.9028112746704193E-2</v>
      </c>
      <c r="K117" s="291">
        <f t="shared" si="105"/>
        <v>1.7603497323007453E-2</v>
      </c>
      <c r="L117" s="291">
        <f t="shared" si="105"/>
        <v>2.4443849476385046E-2</v>
      </c>
      <c r="M117" s="291">
        <f t="shared" si="105"/>
        <v>2.7950799985229126E-2</v>
      </c>
      <c r="N117" s="291">
        <f t="shared" si="105"/>
        <v>2.7032252798690065E-2</v>
      </c>
      <c r="O117" s="291">
        <f t="shared" si="105"/>
        <v>1.8534539948314627E-2</v>
      </c>
      <c r="P117" s="291">
        <f t="shared" si="105"/>
        <v>2.4071572147384597E-2</v>
      </c>
      <c r="Q117" s="291">
        <f t="shared" ref="Q117:Q141" si="106">SUM(E117:P117)</f>
        <v>0.37550000000000006</v>
      </c>
    </row>
    <row r="118" spans="3:18" x14ac:dyDescent="0.25">
      <c r="C118" s="17"/>
      <c r="D118" s="17" t="s">
        <v>406</v>
      </c>
      <c r="E118" s="291">
        <f t="shared" ref="E118:P118" si="107">E294+E467</f>
        <v>0</v>
      </c>
      <c r="F118" s="291">
        <f t="shared" si="107"/>
        <v>0</v>
      </c>
      <c r="G118" s="291">
        <f t="shared" si="107"/>
        <v>0</v>
      </c>
      <c r="H118" s="291">
        <f t="shared" si="107"/>
        <v>0</v>
      </c>
      <c r="I118" s="291">
        <f t="shared" si="107"/>
        <v>0</v>
      </c>
      <c r="J118" s="291">
        <f t="shared" si="107"/>
        <v>0</v>
      </c>
      <c r="K118" s="291">
        <f t="shared" si="107"/>
        <v>0</v>
      </c>
      <c r="L118" s="291">
        <f t="shared" si="107"/>
        <v>0</v>
      </c>
      <c r="M118" s="291">
        <f t="shared" si="107"/>
        <v>0</v>
      </c>
      <c r="N118" s="291">
        <f t="shared" si="107"/>
        <v>0</v>
      </c>
      <c r="O118" s="291">
        <f t="shared" si="107"/>
        <v>0</v>
      </c>
      <c r="P118" s="291">
        <f t="shared" si="107"/>
        <v>0</v>
      </c>
      <c r="Q118" s="291">
        <f t="shared" si="106"/>
        <v>0</v>
      </c>
    </row>
    <row r="119" spans="3:18" x14ac:dyDescent="0.25">
      <c r="C119" s="17"/>
      <c r="D119" s="17" t="s">
        <v>407</v>
      </c>
      <c r="E119" s="291">
        <f t="shared" ref="E119:P119" si="108">E295+E468</f>
        <v>0</v>
      </c>
      <c r="F119" s="291">
        <f t="shared" si="108"/>
        <v>0</v>
      </c>
      <c r="G119" s="291">
        <f t="shared" si="108"/>
        <v>0</v>
      </c>
      <c r="H119" s="291">
        <f t="shared" si="108"/>
        <v>0</v>
      </c>
      <c r="I119" s="291">
        <f t="shared" si="108"/>
        <v>0</v>
      </c>
      <c r="J119" s="291">
        <f t="shared" si="108"/>
        <v>0</v>
      </c>
      <c r="K119" s="291">
        <f t="shared" si="108"/>
        <v>0</v>
      </c>
      <c r="L119" s="291">
        <f t="shared" si="108"/>
        <v>0</v>
      </c>
      <c r="M119" s="291">
        <f t="shared" si="108"/>
        <v>0</v>
      </c>
      <c r="N119" s="291">
        <f t="shared" si="108"/>
        <v>0</v>
      </c>
      <c r="O119" s="291">
        <f t="shared" si="108"/>
        <v>0</v>
      </c>
      <c r="P119" s="291">
        <f t="shared" si="108"/>
        <v>0</v>
      </c>
      <c r="Q119" s="291">
        <f t="shared" si="106"/>
        <v>0</v>
      </c>
    </row>
    <row r="120" spans="3:18" x14ac:dyDescent="0.25">
      <c r="C120" s="17"/>
      <c r="D120" s="17" t="s">
        <v>408</v>
      </c>
      <c r="E120" s="291">
        <f t="shared" ref="E120:P120" si="109">E296+E469</f>
        <v>0</v>
      </c>
      <c r="F120" s="291">
        <f t="shared" si="109"/>
        <v>0</v>
      </c>
      <c r="G120" s="291">
        <f t="shared" si="109"/>
        <v>0</v>
      </c>
      <c r="H120" s="291">
        <f t="shared" si="109"/>
        <v>0</v>
      </c>
      <c r="I120" s="291">
        <f t="shared" si="109"/>
        <v>0</v>
      </c>
      <c r="J120" s="291">
        <f t="shared" si="109"/>
        <v>0</v>
      </c>
      <c r="K120" s="291">
        <f t="shared" si="109"/>
        <v>0</v>
      </c>
      <c r="L120" s="291">
        <f t="shared" si="109"/>
        <v>0</v>
      </c>
      <c r="M120" s="291">
        <f t="shared" si="109"/>
        <v>0</v>
      </c>
      <c r="N120" s="291">
        <f t="shared" si="109"/>
        <v>0</v>
      </c>
      <c r="O120" s="291">
        <f t="shared" si="109"/>
        <v>0</v>
      </c>
      <c r="P120" s="291">
        <f t="shared" si="109"/>
        <v>0</v>
      </c>
      <c r="Q120" s="291">
        <f t="shared" si="106"/>
        <v>0</v>
      </c>
    </row>
    <row r="121" spans="3:18" x14ac:dyDescent="0.25">
      <c r="C121" s="17"/>
      <c r="D121" s="17" t="s">
        <v>409</v>
      </c>
      <c r="E121" s="291">
        <f t="shared" ref="E121:P121" si="110">E297+E470</f>
        <v>0</v>
      </c>
      <c r="F121" s="291">
        <f t="shared" si="110"/>
        <v>0</v>
      </c>
      <c r="G121" s="291">
        <f t="shared" si="110"/>
        <v>0</v>
      </c>
      <c r="H121" s="291">
        <f t="shared" si="110"/>
        <v>0</v>
      </c>
      <c r="I121" s="291">
        <f t="shared" si="110"/>
        <v>0</v>
      </c>
      <c r="J121" s="291">
        <f t="shared" si="110"/>
        <v>0</v>
      </c>
      <c r="K121" s="291">
        <f t="shared" si="110"/>
        <v>0</v>
      </c>
      <c r="L121" s="291">
        <f t="shared" si="110"/>
        <v>0</v>
      </c>
      <c r="M121" s="291">
        <f t="shared" si="110"/>
        <v>0</v>
      </c>
      <c r="N121" s="291">
        <f t="shared" si="110"/>
        <v>0</v>
      </c>
      <c r="O121" s="291">
        <f t="shared" si="110"/>
        <v>0</v>
      </c>
      <c r="P121" s="291">
        <f t="shared" si="110"/>
        <v>0</v>
      </c>
      <c r="Q121" s="291">
        <f t="shared" si="106"/>
        <v>0</v>
      </c>
    </row>
    <row r="122" spans="3:18" x14ac:dyDescent="0.25">
      <c r="C122" s="17"/>
      <c r="D122" s="17" t="s">
        <v>367</v>
      </c>
      <c r="E122" s="291">
        <f t="shared" ref="E122:P122" si="111">E298+E471</f>
        <v>2.191049583958089E-3</v>
      </c>
      <c r="F122" s="291">
        <f t="shared" si="111"/>
        <v>2.3478594615035974E-3</v>
      </c>
      <c r="G122" s="291">
        <f t="shared" si="111"/>
        <v>2.4324960954992727E-3</v>
      </c>
      <c r="H122" s="291">
        <f t="shared" si="111"/>
        <v>5.3179860174852028E-3</v>
      </c>
      <c r="I122" s="291">
        <f t="shared" si="111"/>
        <v>1.2485660365005128E-2</v>
      </c>
      <c r="J122" s="291">
        <f t="shared" si="111"/>
        <v>6.3060871316649378E-3</v>
      </c>
      <c r="K122" s="291">
        <f t="shared" si="111"/>
        <v>6.9509031674161821E-3</v>
      </c>
      <c r="L122" s="291">
        <f t="shared" si="111"/>
        <v>2.3840161134345119E-3</v>
      </c>
      <c r="M122" s="291">
        <f t="shared" si="111"/>
        <v>4.0897915391550303E-3</v>
      </c>
      <c r="N122" s="291">
        <f t="shared" si="111"/>
        <v>7.8038848579995088E-3</v>
      </c>
      <c r="O122" s="291">
        <f t="shared" si="111"/>
        <v>7.0087610387162633E-3</v>
      </c>
      <c r="P122" s="291">
        <f t="shared" si="111"/>
        <v>3.2555891352045022E-3</v>
      </c>
      <c r="Q122" s="291">
        <f t="shared" si="106"/>
        <v>6.2574084507042216E-2</v>
      </c>
    </row>
    <row r="123" spans="3:18" x14ac:dyDescent="0.25">
      <c r="C123" s="17"/>
      <c r="D123" s="17" t="s">
        <v>410</v>
      </c>
      <c r="E123" s="291">
        <f t="shared" ref="E123:P123" si="112">E299+E472</f>
        <v>128.57032565329729</v>
      </c>
      <c r="F123" s="291">
        <f t="shared" si="112"/>
        <v>132.57649255957546</v>
      </c>
      <c r="G123" s="291">
        <f t="shared" si="112"/>
        <v>124.12483930370858</v>
      </c>
      <c r="H123" s="291">
        <f t="shared" si="112"/>
        <v>97.216235514837393</v>
      </c>
      <c r="I123" s="291">
        <f t="shared" si="112"/>
        <v>119.56911456642449</v>
      </c>
      <c r="J123" s="291">
        <f t="shared" si="112"/>
        <v>105.39631984510436</v>
      </c>
      <c r="K123" s="291">
        <f t="shared" si="112"/>
        <v>129.21347932562804</v>
      </c>
      <c r="L123" s="291">
        <f t="shared" si="112"/>
        <v>99.632809318870031</v>
      </c>
      <c r="M123" s="291">
        <f t="shared" si="112"/>
        <v>109.21950377205869</v>
      </c>
      <c r="N123" s="291">
        <f t="shared" si="112"/>
        <v>116.44398856516545</v>
      </c>
      <c r="O123" s="291">
        <f t="shared" si="112"/>
        <v>119.52230559925763</v>
      </c>
      <c r="P123" s="291">
        <f t="shared" si="112"/>
        <v>128.16153436450725</v>
      </c>
      <c r="Q123" s="291">
        <f t="shared" si="106"/>
        <v>1409.6469483884343</v>
      </c>
    </row>
    <row r="124" spans="3:18" x14ac:dyDescent="0.25">
      <c r="C124" s="17"/>
      <c r="D124" s="17" t="s">
        <v>411</v>
      </c>
      <c r="E124" s="291">
        <f t="shared" ref="E124:P124" si="113">E300+E473</f>
        <v>6.1233063313479033</v>
      </c>
      <c r="F124" s="291">
        <f t="shared" si="113"/>
        <v>6.3141045350313849</v>
      </c>
      <c r="G124" s="291">
        <f t="shared" si="113"/>
        <v>5.9115850451798817</v>
      </c>
      <c r="H124" s="291">
        <f t="shared" si="113"/>
        <v>4.63003253210276</v>
      </c>
      <c r="I124" s="291">
        <f t="shared" si="113"/>
        <v>5.6946135318392805</v>
      </c>
      <c r="J124" s="291">
        <f t="shared" si="113"/>
        <v>5.0196182465043391</v>
      </c>
      <c r="K124" s="291">
        <f t="shared" si="113"/>
        <v>6.1539372481928378</v>
      </c>
      <c r="L124" s="291">
        <f t="shared" si="113"/>
        <v>4.7451245768589141</v>
      </c>
      <c r="M124" s="291">
        <f t="shared" si="113"/>
        <v>5.2017016800405944</v>
      </c>
      <c r="N124" s="291">
        <f t="shared" si="113"/>
        <v>5.5457758919520499</v>
      </c>
      <c r="O124" s="291">
        <f t="shared" si="113"/>
        <v>5.6923842021431756</v>
      </c>
      <c r="P124" s="291">
        <f t="shared" si="113"/>
        <v>6.1038371865500736</v>
      </c>
      <c r="Q124" s="291">
        <f t="shared" si="106"/>
        <v>67.136021007743182</v>
      </c>
    </row>
    <row r="125" spans="3:18" x14ac:dyDescent="0.25">
      <c r="C125" s="17"/>
      <c r="D125" s="17" t="s">
        <v>412</v>
      </c>
      <c r="E125" s="291">
        <f t="shared" ref="E125:P125" si="114">E301+E474</f>
        <v>13.993139842937609</v>
      </c>
      <c r="F125" s="291">
        <f t="shared" si="114"/>
        <v>14.429156890174994</v>
      </c>
      <c r="G125" s="291">
        <f t="shared" si="114"/>
        <v>13.509308820160161</v>
      </c>
      <c r="H125" s="291">
        <f t="shared" si="114"/>
        <v>10.580671485825002</v>
      </c>
      <c r="I125" s="291">
        <f t="shared" si="114"/>
        <v>13.013479840877244</v>
      </c>
      <c r="J125" s="291">
        <f t="shared" si="114"/>
        <v>11.470962953773174</v>
      </c>
      <c r="K125" s="291">
        <f t="shared" si="114"/>
        <v>14.063138415560749</v>
      </c>
      <c r="L125" s="291">
        <f t="shared" si="114"/>
        <v>10.843682837851869</v>
      </c>
      <c r="M125" s="291">
        <f t="shared" si="114"/>
        <v>11.887064780250666</v>
      </c>
      <c r="N125" s="291">
        <f t="shared" si="114"/>
        <v>12.673352171913091</v>
      </c>
      <c r="O125" s="291">
        <f t="shared" si="114"/>
        <v>13.008385318325935</v>
      </c>
      <c r="P125" s="291">
        <f t="shared" si="114"/>
        <v>13.94864844384106</v>
      </c>
      <c r="Q125" s="291">
        <f t="shared" si="106"/>
        <v>153.42099180149157</v>
      </c>
    </row>
    <row r="126" spans="3:18" x14ac:dyDescent="0.25">
      <c r="C126" s="17"/>
      <c r="D126" s="17" t="s">
        <v>413</v>
      </c>
      <c r="E126" s="291">
        <f t="shared" ref="E126:P126" si="115">E302+E475</f>
        <v>12.125708347718115</v>
      </c>
      <c r="F126" s="291">
        <f t="shared" si="115"/>
        <v>12.503537456036652</v>
      </c>
      <c r="G126" s="291">
        <f t="shared" si="115"/>
        <v>11.706446199434893</v>
      </c>
      <c r="H126" s="291">
        <f t="shared" si="115"/>
        <v>9.168645350520368</v>
      </c>
      <c r="I126" s="291">
        <f t="shared" si="115"/>
        <v>11.276787262226042</v>
      </c>
      <c r="J126" s="291">
        <f t="shared" si="115"/>
        <v>9.9401244328401113</v>
      </c>
      <c r="K126" s="291">
        <f t="shared" si="115"/>
        <v>12.186365375798422</v>
      </c>
      <c r="L126" s="291">
        <f t="shared" si="115"/>
        <v>9.396556954535848</v>
      </c>
      <c r="M126" s="291">
        <f t="shared" si="115"/>
        <v>10.300696073476249</v>
      </c>
      <c r="N126" s="291">
        <f t="shared" si="115"/>
        <v>10.982050772693274</v>
      </c>
      <c r="O126" s="291">
        <f t="shared" si="115"/>
        <v>11.272372620814508</v>
      </c>
      <c r="P126" s="291">
        <f t="shared" si="115"/>
        <v>12.087154475214728</v>
      </c>
      <c r="Q126" s="291">
        <f t="shared" si="106"/>
        <v>132.9464453213092</v>
      </c>
    </row>
    <row r="127" spans="3:18" x14ac:dyDescent="0.25">
      <c r="C127" s="17"/>
      <c r="D127" s="17" t="s">
        <v>414</v>
      </c>
      <c r="E127" s="291">
        <f t="shared" ref="E127:P127" si="116">E303+E476</f>
        <v>28.857308650004388</v>
      </c>
      <c r="F127" s="291">
        <f t="shared" si="116"/>
        <v>29.756483434936094</v>
      </c>
      <c r="G127" s="291">
        <f t="shared" si="116"/>
        <v>27.859529644330912</v>
      </c>
      <c r="H127" s="291">
        <f t="shared" si="116"/>
        <v>21.819956508535405</v>
      </c>
      <c r="I127" s="291">
        <f t="shared" si="116"/>
        <v>26.83700789057275</v>
      </c>
      <c r="J127" s="291">
        <f t="shared" si="116"/>
        <v>23.655957289447521</v>
      </c>
      <c r="K127" s="291">
        <f t="shared" si="116"/>
        <v>29.001662986337646</v>
      </c>
      <c r="L127" s="291">
        <f t="shared" si="116"/>
        <v>22.362350842407867</v>
      </c>
      <c r="M127" s="291">
        <f t="shared" si="116"/>
        <v>24.514061972975842</v>
      </c>
      <c r="N127" s="291">
        <f t="shared" si="116"/>
        <v>26.135580674531685</v>
      </c>
      <c r="O127" s="291">
        <f t="shared" si="116"/>
        <v>26.826501727457288</v>
      </c>
      <c r="P127" s="291">
        <f t="shared" si="116"/>
        <v>28.765556402087874</v>
      </c>
      <c r="Q127" s="291">
        <f t="shared" si="106"/>
        <v>316.39195802362525</v>
      </c>
    </row>
    <row r="128" spans="3:18" x14ac:dyDescent="0.25">
      <c r="C128" s="17"/>
      <c r="D128" s="17" t="s">
        <v>415</v>
      </c>
      <c r="E128" s="291">
        <f t="shared" ref="E128:P128" si="117">E304+E477</f>
        <v>0</v>
      </c>
      <c r="F128" s="291">
        <f t="shared" si="117"/>
        <v>0</v>
      </c>
      <c r="G128" s="291">
        <f t="shared" si="117"/>
        <v>0</v>
      </c>
      <c r="H128" s="291">
        <f t="shared" si="117"/>
        <v>0</v>
      </c>
      <c r="I128" s="291">
        <f t="shared" si="117"/>
        <v>0</v>
      </c>
      <c r="J128" s="291">
        <f t="shared" si="117"/>
        <v>0</v>
      </c>
      <c r="K128" s="291">
        <f t="shared" si="117"/>
        <v>0</v>
      </c>
      <c r="L128" s="291">
        <f t="shared" si="117"/>
        <v>0</v>
      </c>
      <c r="M128" s="291">
        <f t="shared" si="117"/>
        <v>0</v>
      </c>
      <c r="N128" s="291">
        <f t="shared" si="117"/>
        <v>0</v>
      </c>
      <c r="O128" s="291">
        <f t="shared" si="117"/>
        <v>0</v>
      </c>
      <c r="P128" s="291">
        <f t="shared" si="117"/>
        <v>0</v>
      </c>
      <c r="Q128" s="291">
        <f t="shared" si="106"/>
        <v>0</v>
      </c>
    </row>
    <row r="129" spans="3:18" x14ac:dyDescent="0.25">
      <c r="C129" s="17"/>
      <c r="D129" s="17" t="s">
        <v>416</v>
      </c>
      <c r="E129" s="291">
        <f t="shared" ref="E129:P129" si="118">E305+E478</f>
        <v>35.272969995976538</v>
      </c>
      <c r="F129" s="291">
        <f t="shared" si="118"/>
        <v>36.372052574837532</v>
      </c>
      <c r="G129" s="291">
        <f t="shared" si="118"/>
        <v>34.053361148991065</v>
      </c>
      <c r="H129" s="291">
        <f t="shared" si="118"/>
        <v>26.671048245483739</v>
      </c>
      <c r="I129" s="291">
        <f t="shared" si="118"/>
        <v>32.803508656577876</v>
      </c>
      <c r="J129" s="291">
        <f t="shared" si="118"/>
        <v>28.915235367822778</v>
      </c>
      <c r="K129" s="291">
        <f t="shared" si="118"/>
        <v>35.449417711043388</v>
      </c>
      <c r="L129" s="291">
        <f t="shared" si="118"/>
        <v>27.334029651570905</v>
      </c>
      <c r="M129" s="291">
        <f t="shared" si="118"/>
        <v>29.964116991629261</v>
      </c>
      <c r="N129" s="291">
        <f t="shared" si="118"/>
        <v>31.946137602130129</v>
      </c>
      <c r="O129" s="291">
        <f t="shared" si="118"/>
        <v>32.79066672523772</v>
      </c>
      <c r="P129" s="291">
        <f t="shared" si="118"/>
        <v>35.160819056085543</v>
      </c>
      <c r="Q129" s="291">
        <f t="shared" si="106"/>
        <v>386.73336372738652</v>
      </c>
    </row>
    <row r="130" spans="3:18" x14ac:dyDescent="0.25">
      <c r="C130" s="17"/>
      <c r="D130" s="17" t="s">
        <v>417</v>
      </c>
      <c r="E130" s="291">
        <f t="shared" ref="E130:P130" si="119">E306+E479</f>
        <v>18.051104366983434</v>
      </c>
      <c r="F130" s="291">
        <f t="shared" si="119"/>
        <v>18.613564923642436</v>
      </c>
      <c r="G130" s="291">
        <f t="shared" si="119"/>
        <v>17.426963939161723</v>
      </c>
      <c r="H130" s="291">
        <f t="shared" si="119"/>
        <v>13.649031411616139</v>
      </c>
      <c r="I130" s="291">
        <f t="shared" si="119"/>
        <v>16.787346186915219</v>
      </c>
      <c r="J130" s="291">
        <f t="shared" si="119"/>
        <v>14.797504476657243</v>
      </c>
      <c r="K130" s="291">
        <f t="shared" si="119"/>
        <v>18.141402295407115</v>
      </c>
      <c r="L130" s="291">
        <f t="shared" si="119"/>
        <v>13.988315190555477</v>
      </c>
      <c r="M130" s="291">
        <f t="shared" si="119"/>
        <v>15.334274464047065</v>
      </c>
      <c r="N130" s="291">
        <f t="shared" si="119"/>
        <v>16.348582612800762</v>
      </c>
      <c r="O130" s="291">
        <f t="shared" si="119"/>
        <v>16.780774269582455</v>
      </c>
      <c r="P130" s="291">
        <f t="shared" si="119"/>
        <v>17.993710608503257</v>
      </c>
      <c r="Q130" s="291">
        <f t="shared" si="106"/>
        <v>197.91257474587229</v>
      </c>
    </row>
    <row r="131" spans="3:18" x14ac:dyDescent="0.25">
      <c r="C131" s="17"/>
      <c r="D131" s="327" t="s">
        <v>418</v>
      </c>
      <c r="E131" s="291">
        <f t="shared" ref="E131:P131" si="120">E307+E480</f>
        <v>0</v>
      </c>
      <c r="F131" s="291">
        <f t="shared" si="120"/>
        <v>0</v>
      </c>
      <c r="G131" s="291">
        <f t="shared" si="120"/>
        <v>0</v>
      </c>
      <c r="H131" s="291">
        <f t="shared" si="120"/>
        <v>0</v>
      </c>
      <c r="I131" s="291">
        <f t="shared" si="120"/>
        <v>0</v>
      </c>
      <c r="J131" s="291">
        <f t="shared" si="120"/>
        <v>0</v>
      </c>
      <c r="K131" s="291">
        <f t="shared" si="120"/>
        <v>0</v>
      </c>
      <c r="L131" s="291">
        <f t="shared" si="120"/>
        <v>0</v>
      </c>
      <c r="M131" s="291">
        <f t="shared" si="120"/>
        <v>0</v>
      </c>
      <c r="N131" s="291">
        <f t="shared" si="120"/>
        <v>0</v>
      </c>
      <c r="O131" s="291">
        <f t="shared" si="120"/>
        <v>0</v>
      </c>
      <c r="P131" s="291">
        <f t="shared" si="120"/>
        <v>0</v>
      </c>
      <c r="Q131" s="291">
        <f t="shared" si="106"/>
        <v>0</v>
      </c>
    </row>
    <row r="132" spans="3:18" x14ac:dyDescent="0.25">
      <c r="C132" s="17"/>
      <c r="D132" s="327" t="s">
        <v>419</v>
      </c>
      <c r="E132" s="291">
        <f t="shared" ref="E132:P132" si="121">E308+E481</f>
        <v>0</v>
      </c>
      <c r="F132" s="291">
        <f t="shared" si="121"/>
        <v>0</v>
      </c>
      <c r="G132" s="291">
        <f t="shared" si="121"/>
        <v>0</v>
      </c>
      <c r="H132" s="291">
        <f t="shared" si="121"/>
        <v>0</v>
      </c>
      <c r="I132" s="291">
        <f t="shared" si="121"/>
        <v>0</v>
      </c>
      <c r="J132" s="291">
        <f t="shared" si="121"/>
        <v>0</v>
      </c>
      <c r="K132" s="291">
        <f t="shared" si="121"/>
        <v>0</v>
      </c>
      <c r="L132" s="291">
        <f t="shared" si="121"/>
        <v>0</v>
      </c>
      <c r="M132" s="291">
        <f t="shared" si="121"/>
        <v>0</v>
      </c>
      <c r="N132" s="291">
        <f t="shared" si="121"/>
        <v>0</v>
      </c>
      <c r="O132" s="291">
        <f t="shared" si="121"/>
        <v>0</v>
      </c>
      <c r="P132" s="291">
        <f t="shared" si="121"/>
        <v>0</v>
      </c>
      <c r="Q132" s="291">
        <f t="shared" si="106"/>
        <v>0</v>
      </c>
    </row>
    <row r="133" spans="3:18" x14ac:dyDescent="0.25">
      <c r="C133" s="17"/>
      <c r="D133" s="17"/>
      <c r="E133" s="291">
        <f t="shared" ref="E133:P133" si="122">E309+E482</f>
        <v>0</v>
      </c>
      <c r="F133" s="291">
        <f t="shared" si="122"/>
        <v>0</v>
      </c>
      <c r="G133" s="291">
        <f t="shared" si="122"/>
        <v>0</v>
      </c>
      <c r="H133" s="291">
        <f t="shared" si="122"/>
        <v>0</v>
      </c>
      <c r="I133" s="291">
        <f t="shared" si="122"/>
        <v>0</v>
      </c>
      <c r="J133" s="291">
        <f t="shared" si="122"/>
        <v>0</v>
      </c>
      <c r="K133" s="291">
        <f t="shared" si="122"/>
        <v>0</v>
      </c>
      <c r="L133" s="291">
        <f t="shared" si="122"/>
        <v>0</v>
      </c>
      <c r="M133" s="291">
        <f t="shared" si="122"/>
        <v>0</v>
      </c>
      <c r="N133" s="291">
        <f t="shared" si="122"/>
        <v>0</v>
      </c>
      <c r="O133" s="291">
        <f t="shared" si="122"/>
        <v>0</v>
      </c>
      <c r="P133" s="291">
        <f t="shared" si="122"/>
        <v>0</v>
      </c>
      <c r="Q133" s="291">
        <f t="shared" si="106"/>
        <v>0</v>
      </c>
    </row>
    <row r="134" spans="3:18" x14ac:dyDescent="0.25">
      <c r="C134" s="17"/>
      <c r="D134" s="17"/>
      <c r="E134" s="291">
        <f t="shared" ref="E134:P134" si="123">E310+E483</f>
        <v>0</v>
      </c>
      <c r="F134" s="291">
        <f t="shared" si="123"/>
        <v>0</v>
      </c>
      <c r="G134" s="291">
        <f t="shared" si="123"/>
        <v>0</v>
      </c>
      <c r="H134" s="291">
        <f t="shared" si="123"/>
        <v>0</v>
      </c>
      <c r="I134" s="291">
        <f t="shared" si="123"/>
        <v>0</v>
      </c>
      <c r="J134" s="291">
        <f t="shared" si="123"/>
        <v>0</v>
      </c>
      <c r="K134" s="291">
        <f t="shared" si="123"/>
        <v>0</v>
      </c>
      <c r="L134" s="291">
        <f t="shared" si="123"/>
        <v>0</v>
      </c>
      <c r="M134" s="291">
        <f t="shared" si="123"/>
        <v>0</v>
      </c>
      <c r="N134" s="291">
        <f t="shared" si="123"/>
        <v>0</v>
      </c>
      <c r="O134" s="291">
        <f t="shared" si="123"/>
        <v>0</v>
      </c>
      <c r="P134" s="291">
        <f t="shared" si="123"/>
        <v>0</v>
      </c>
      <c r="Q134" s="291">
        <f t="shared" si="106"/>
        <v>0</v>
      </c>
    </row>
    <row r="135" spans="3:18" x14ac:dyDescent="0.25">
      <c r="C135" s="17"/>
      <c r="D135" s="17"/>
      <c r="E135" s="291">
        <f t="shared" ref="E135:P135" si="124">E311+E484</f>
        <v>0</v>
      </c>
      <c r="F135" s="291">
        <f t="shared" si="124"/>
        <v>0</v>
      </c>
      <c r="G135" s="291">
        <f t="shared" si="124"/>
        <v>0</v>
      </c>
      <c r="H135" s="291">
        <f t="shared" si="124"/>
        <v>0</v>
      </c>
      <c r="I135" s="291">
        <f t="shared" si="124"/>
        <v>0</v>
      </c>
      <c r="J135" s="291">
        <f t="shared" si="124"/>
        <v>0</v>
      </c>
      <c r="K135" s="291">
        <f t="shared" si="124"/>
        <v>0</v>
      </c>
      <c r="L135" s="291">
        <f t="shared" si="124"/>
        <v>0</v>
      </c>
      <c r="M135" s="291">
        <f t="shared" si="124"/>
        <v>0</v>
      </c>
      <c r="N135" s="291">
        <f t="shared" si="124"/>
        <v>0</v>
      </c>
      <c r="O135" s="291">
        <f t="shared" si="124"/>
        <v>0</v>
      </c>
      <c r="P135" s="291">
        <f t="shared" si="124"/>
        <v>0</v>
      </c>
      <c r="Q135" s="291">
        <f t="shared" si="106"/>
        <v>0</v>
      </c>
    </row>
    <row r="136" spans="3:18" x14ac:dyDescent="0.25">
      <c r="C136" s="17"/>
      <c r="D136" s="17"/>
      <c r="E136" s="291">
        <f t="shared" ref="E136:P136" si="125">E312+E485</f>
        <v>0</v>
      </c>
      <c r="F136" s="291">
        <f t="shared" si="125"/>
        <v>0</v>
      </c>
      <c r="G136" s="291">
        <f t="shared" si="125"/>
        <v>0</v>
      </c>
      <c r="H136" s="291">
        <f t="shared" si="125"/>
        <v>0</v>
      </c>
      <c r="I136" s="291">
        <f t="shared" si="125"/>
        <v>0</v>
      </c>
      <c r="J136" s="291">
        <f t="shared" si="125"/>
        <v>0</v>
      </c>
      <c r="K136" s="291">
        <f t="shared" si="125"/>
        <v>0</v>
      </c>
      <c r="L136" s="291">
        <f t="shared" si="125"/>
        <v>0</v>
      </c>
      <c r="M136" s="291">
        <f t="shared" si="125"/>
        <v>0</v>
      </c>
      <c r="N136" s="291">
        <f t="shared" si="125"/>
        <v>0</v>
      </c>
      <c r="O136" s="291">
        <f t="shared" si="125"/>
        <v>0</v>
      </c>
      <c r="P136" s="291">
        <f t="shared" si="125"/>
        <v>0</v>
      </c>
      <c r="Q136" s="291">
        <f t="shared" si="106"/>
        <v>0</v>
      </c>
    </row>
    <row r="137" spans="3:18" x14ac:dyDescent="0.25">
      <c r="C137" s="17"/>
      <c r="D137" s="17"/>
      <c r="E137" s="291">
        <f t="shared" ref="E137:P137" si="126">E313+E486</f>
        <v>0</v>
      </c>
      <c r="F137" s="291">
        <f t="shared" si="126"/>
        <v>0</v>
      </c>
      <c r="G137" s="291">
        <f t="shared" si="126"/>
        <v>0</v>
      </c>
      <c r="H137" s="291">
        <f t="shared" si="126"/>
        <v>0</v>
      </c>
      <c r="I137" s="291">
        <f t="shared" si="126"/>
        <v>0</v>
      </c>
      <c r="J137" s="291">
        <f t="shared" si="126"/>
        <v>0</v>
      </c>
      <c r="K137" s="291">
        <f t="shared" si="126"/>
        <v>0</v>
      </c>
      <c r="L137" s="291">
        <f t="shared" si="126"/>
        <v>0</v>
      </c>
      <c r="M137" s="291">
        <f t="shared" si="126"/>
        <v>0</v>
      </c>
      <c r="N137" s="291">
        <f t="shared" si="126"/>
        <v>0</v>
      </c>
      <c r="O137" s="291">
        <f t="shared" si="126"/>
        <v>0</v>
      </c>
      <c r="P137" s="291">
        <f t="shared" si="126"/>
        <v>0</v>
      </c>
      <c r="Q137" s="291">
        <f t="shared" si="106"/>
        <v>0</v>
      </c>
    </row>
    <row r="138" spans="3:18" x14ac:dyDescent="0.25">
      <c r="C138" s="17"/>
      <c r="D138" s="17"/>
      <c r="E138" s="291">
        <f t="shared" ref="E138:P138" si="127">E314+E487</f>
        <v>0</v>
      </c>
      <c r="F138" s="291">
        <f t="shared" si="127"/>
        <v>0</v>
      </c>
      <c r="G138" s="291">
        <f t="shared" si="127"/>
        <v>0</v>
      </c>
      <c r="H138" s="291">
        <f t="shared" si="127"/>
        <v>0</v>
      </c>
      <c r="I138" s="291">
        <f t="shared" si="127"/>
        <v>0</v>
      </c>
      <c r="J138" s="291">
        <f t="shared" si="127"/>
        <v>0</v>
      </c>
      <c r="K138" s="291">
        <f t="shared" si="127"/>
        <v>0</v>
      </c>
      <c r="L138" s="291">
        <f t="shared" si="127"/>
        <v>0</v>
      </c>
      <c r="M138" s="291">
        <f t="shared" si="127"/>
        <v>0</v>
      </c>
      <c r="N138" s="291">
        <f t="shared" si="127"/>
        <v>0</v>
      </c>
      <c r="O138" s="291">
        <f t="shared" si="127"/>
        <v>0</v>
      </c>
      <c r="P138" s="291">
        <f t="shared" si="127"/>
        <v>0</v>
      </c>
      <c r="Q138" s="291">
        <f t="shared" si="106"/>
        <v>0</v>
      </c>
    </row>
    <row r="139" spans="3:18" x14ac:dyDescent="0.25">
      <c r="C139" s="17"/>
      <c r="D139" s="17"/>
      <c r="E139" s="291">
        <f t="shared" ref="E139:P139" si="128">E315+E488</f>
        <v>0</v>
      </c>
      <c r="F139" s="291">
        <f t="shared" si="128"/>
        <v>0</v>
      </c>
      <c r="G139" s="291">
        <f t="shared" si="128"/>
        <v>0</v>
      </c>
      <c r="H139" s="291">
        <f t="shared" si="128"/>
        <v>0</v>
      </c>
      <c r="I139" s="291">
        <f t="shared" si="128"/>
        <v>0</v>
      </c>
      <c r="J139" s="291">
        <f t="shared" si="128"/>
        <v>0</v>
      </c>
      <c r="K139" s="291">
        <f t="shared" si="128"/>
        <v>0</v>
      </c>
      <c r="L139" s="291">
        <f t="shared" si="128"/>
        <v>0</v>
      </c>
      <c r="M139" s="291">
        <f t="shared" si="128"/>
        <v>0</v>
      </c>
      <c r="N139" s="291">
        <f t="shared" si="128"/>
        <v>0</v>
      </c>
      <c r="O139" s="291">
        <f t="shared" si="128"/>
        <v>0</v>
      </c>
      <c r="P139" s="291">
        <f t="shared" si="128"/>
        <v>0</v>
      </c>
      <c r="Q139" s="291">
        <f t="shared" si="106"/>
        <v>0</v>
      </c>
    </row>
    <row r="140" spans="3:18" x14ac:dyDescent="0.25">
      <c r="C140" s="17"/>
      <c r="D140" s="17"/>
      <c r="E140" s="291">
        <f t="shared" ref="E140:P140" si="129">E316+E489</f>
        <v>0</v>
      </c>
      <c r="F140" s="291">
        <f t="shared" si="129"/>
        <v>0</v>
      </c>
      <c r="G140" s="291">
        <f t="shared" si="129"/>
        <v>0</v>
      </c>
      <c r="H140" s="291">
        <f t="shared" si="129"/>
        <v>0</v>
      </c>
      <c r="I140" s="291">
        <f t="shared" si="129"/>
        <v>0</v>
      </c>
      <c r="J140" s="291">
        <f t="shared" si="129"/>
        <v>0</v>
      </c>
      <c r="K140" s="291">
        <f t="shared" si="129"/>
        <v>0</v>
      </c>
      <c r="L140" s="291">
        <f t="shared" si="129"/>
        <v>0</v>
      </c>
      <c r="M140" s="291">
        <f t="shared" si="129"/>
        <v>0</v>
      </c>
      <c r="N140" s="291">
        <f t="shared" si="129"/>
        <v>0</v>
      </c>
      <c r="O140" s="291">
        <f t="shared" si="129"/>
        <v>0</v>
      </c>
      <c r="P140" s="291">
        <f t="shared" si="129"/>
        <v>0</v>
      </c>
      <c r="Q140" s="291">
        <f t="shared" si="106"/>
        <v>0</v>
      </c>
    </row>
    <row r="141" spans="3:18" x14ac:dyDescent="0.25">
      <c r="C141" s="753" t="s">
        <v>420</v>
      </c>
      <c r="D141" s="754"/>
      <c r="E141" s="329">
        <f t="shared" ref="E141:P141" si="130">SUM(E117:E140)</f>
        <v>243.02043555053504</v>
      </c>
      <c r="F141" s="329">
        <f t="shared" si="130"/>
        <v>250.58864808921132</v>
      </c>
      <c r="G141" s="329">
        <f t="shared" si="130"/>
        <v>234.64419933731006</v>
      </c>
      <c r="H141" s="329">
        <f t="shared" si="130"/>
        <v>183.81327838129727</v>
      </c>
      <c r="I141" s="329">
        <f t="shared" si="130"/>
        <v>226.03381771656467</v>
      </c>
      <c r="J141" s="329">
        <f t="shared" si="130"/>
        <v>199.2310568120279</v>
      </c>
      <c r="K141" s="329">
        <f t="shared" si="130"/>
        <v>244.23395775845864</v>
      </c>
      <c r="L141" s="329">
        <f t="shared" si="130"/>
        <v>188.32969723824075</v>
      </c>
      <c r="M141" s="329">
        <f t="shared" si="130"/>
        <v>206.45346032600276</v>
      </c>
      <c r="N141" s="329">
        <f t="shared" si="130"/>
        <v>220.11030442884314</v>
      </c>
      <c r="O141" s="329">
        <f t="shared" si="130"/>
        <v>225.91893376380574</v>
      </c>
      <c r="P141" s="329">
        <f t="shared" si="130"/>
        <v>242.24858769807236</v>
      </c>
      <c r="Q141" s="329">
        <f t="shared" si="106"/>
        <v>2664.6263771003696</v>
      </c>
      <c r="R141" s="427"/>
    </row>
    <row r="142" spans="3:18" x14ac:dyDescent="0.25">
      <c r="C142" s="800" t="s">
        <v>421</v>
      </c>
      <c r="D142" s="80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</row>
    <row r="143" spans="3:18" x14ac:dyDescent="0.25">
      <c r="C143" s="17"/>
      <c r="D143" s="17" t="s">
        <v>422</v>
      </c>
      <c r="E143" s="291">
        <f t="shared" ref="E143:P143" si="131">E319+E492</f>
        <v>-7.771170827888719</v>
      </c>
      <c r="F143" s="291">
        <f t="shared" si="131"/>
        <v>0</v>
      </c>
      <c r="G143" s="291">
        <f t="shared" si="131"/>
        <v>0</v>
      </c>
      <c r="H143" s="291">
        <f t="shared" si="131"/>
        <v>0</v>
      </c>
      <c r="I143" s="291">
        <f t="shared" si="131"/>
        <v>-70.374045831277812</v>
      </c>
      <c r="J143" s="291">
        <f t="shared" si="131"/>
        <v>-2.6383041664434715E-2</v>
      </c>
      <c r="K143" s="291">
        <f t="shared" si="131"/>
        <v>-170.75098195118517</v>
      </c>
      <c r="L143" s="291">
        <f t="shared" si="131"/>
        <v>-21.442463525335789</v>
      </c>
      <c r="M143" s="291">
        <f t="shared" si="131"/>
        <v>-17.648217333020302</v>
      </c>
      <c r="N143" s="291">
        <f t="shared" si="131"/>
        <v>-27.36704542540857</v>
      </c>
      <c r="O143" s="291">
        <f t="shared" si="131"/>
        <v>0</v>
      </c>
      <c r="P143" s="291">
        <f t="shared" si="131"/>
        <v>0</v>
      </c>
      <c r="Q143" s="291">
        <f>SUM(E143:P143)</f>
        <v>-315.38030793578076</v>
      </c>
      <c r="R143" s="427"/>
    </row>
    <row r="144" spans="3:18" x14ac:dyDescent="0.25">
      <c r="C144" s="17"/>
      <c r="D144" s="17" t="s">
        <v>669</v>
      </c>
      <c r="E144" s="291">
        <f t="shared" ref="E144:P144" si="132">E320+E493</f>
        <v>0</v>
      </c>
      <c r="F144" s="291">
        <f t="shared" si="132"/>
        <v>0</v>
      </c>
      <c r="G144" s="291">
        <f t="shared" si="132"/>
        <v>0</v>
      </c>
      <c r="H144" s="291">
        <f t="shared" si="132"/>
        <v>0</v>
      </c>
      <c r="I144" s="291">
        <f t="shared" si="132"/>
        <v>0</v>
      </c>
      <c r="J144" s="291">
        <f t="shared" si="132"/>
        <v>0</v>
      </c>
      <c r="K144" s="291">
        <f t="shared" si="132"/>
        <v>0</v>
      </c>
      <c r="L144" s="291">
        <f t="shared" si="132"/>
        <v>0</v>
      </c>
      <c r="M144" s="291">
        <f t="shared" si="132"/>
        <v>0</v>
      </c>
      <c r="N144" s="291">
        <f t="shared" si="132"/>
        <v>0</v>
      </c>
      <c r="O144" s="291">
        <f t="shared" si="132"/>
        <v>12.546188879585776</v>
      </c>
      <c r="P144" s="291">
        <f t="shared" si="132"/>
        <v>11.199424711291833</v>
      </c>
      <c r="Q144" s="291">
        <f>SUM(E144:P144)</f>
        <v>23.74561359087761</v>
      </c>
      <c r="R144" s="427"/>
    </row>
    <row r="145" spans="3:17" x14ac:dyDescent="0.25">
      <c r="C145" s="17"/>
      <c r="D145" s="17"/>
      <c r="E145" s="291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</row>
    <row r="146" spans="3:17" x14ac:dyDescent="0.25">
      <c r="C146" s="17"/>
      <c r="D146" s="17"/>
      <c r="E146" s="291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</row>
    <row r="147" spans="3:17" x14ac:dyDescent="0.25">
      <c r="C147" s="17"/>
      <c r="D147" s="17"/>
      <c r="E147" s="291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</row>
    <row r="148" spans="3:17" x14ac:dyDescent="0.25">
      <c r="C148" s="17"/>
      <c r="D148" s="325" t="s">
        <v>665</v>
      </c>
      <c r="E148" s="291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</row>
    <row r="149" spans="3:17" x14ac:dyDescent="0.25">
      <c r="C149" s="17"/>
      <c r="D149" s="325" t="s">
        <v>666</v>
      </c>
      <c r="E149" s="291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</row>
    <row r="150" spans="3:17" x14ac:dyDescent="0.25">
      <c r="C150" s="17"/>
      <c r="D150" s="325" t="s">
        <v>629</v>
      </c>
      <c r="E150" s="291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</row>
    <row r="151" spans="3:17" x14ac:dyDescent="0.25">
      <c r="C151" s="17"/>
      <c r="D151" s="325" t="s">
        <v>630</v>
      </c>
      <c r="E151" s="291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</row>
    <row r="152" spans="3:17" x14ac:dyDescent="0.25">
      <c r="C152" s="17"/>
      <c r="D152" s="326" t="s">
        <v>631</v>
      </c>
      <c r="E152" s="291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</row>
    <row r="153" spans="3:17" x14ac:dyDescent="0.25">
      <c r="C153" s="17"/>
      <c r="D153" s="325" t="s">
        <v>632</v>
      </c>
      <c r="E153" s="291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</row>
    <row r="154" spans="3:17" x14ac:dyDescent="0.25">
      <c r="C154" s="17"/>
      <c r="D154" s="325" t="s">
        <v>633</v>
      </c>
      <c r="E154" s="291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</row>
    <row r="155" spans="3:17" x14ac:dyDescent="0.25">
      <c r="C155" s="17"/>
      <c r="D155" s="325" t="s">
        <v>634</v>
      </c>
      <c r="E155" s="291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</row>
    <row r="156" spans="3:17" x14ac:dyDescent="0.25">
      <c r="C156" s="17"/>
      <c r="D156" s="325" t="s">
        <v>635</v>
      </c>
      <c r="E156" s="291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</row>
    <row r="157" spans="3:17" x14ac:dyDescent="0.25">
      <c r="C157" s="17"/>
      <c r="D157" s="325" t="s">
        <v>636</v>
      </c>
      <c r="E157" s="291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</row>
    <row r="158" spans="3:17" x14ac:dyDescent="0.25">
      <c r="C158" s="17"/>
      <c r="D158" s="325" t="s">
        <v>637</v>
      </c>
      <c r="E158" s="291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</row>
    <row r="159" spans="3:17" x14ac:dyDescent="0.25">
      <c r="C159" s="17"/>
      <c r="D159" s="325" t="s">
        <v>638</v>
      </c>
      <c r="E159" s="291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</row>
    <row r="160" spans="3:17" x14ac:dyDescent="0.25">
      <c r="C160" s="17"/>
      <c r="D160" s="325" t="s">
        <v>639</v>
      </c>
      <c r="E160" s="291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</row>
    <row r="161" spans="3:18" x14ac:dyDescent="0.25">
      <c r="C161" s="17"/>
      <c r="D161" s="17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</row>
    <row r="162" spans="3:18" x14ac:dyDescent="0.25">
      <c r="C162" s="17"/>
      <c r="D162" s="17"/>
      <c r="E162" s="291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</row>
    <row r="163" spans="3:18" x14ac:dyDescent="0.25">
      <c r="C163" s="17"/>
      <c r="D163" s="17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</row>
    <row r="164" spans="3:18" x14ac:dyDescent="0.25">
      <c r="C164" s="17"/>
      <c r="D164" s="17"/>
      <c r="E164" s="291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</row>
    <row r="165" spans="3:18" x14ac:dyDescent="0.25">
      <c r="C165" s="17"/>
      <c r="D165" s="17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</row>
    <row r="166" spans="3:18" x14ac:dyDescent="0.25">
      <c r="C166" s="17"/>
      <c r="D166" s="17"/>
      <c r="E166" s="291">
        <f t="shared" ref="E166:P166" si="133">E338+E513</f>
        <v>0</v>
      </c>
      <c r="F166" s="291">
        <f t="shared" si="133"/>
        <v>0</v>
      </c>
      <c r="G166" s="291">
        <f t="shared" si="133"/>
        <v>0</v>
      </c>
      <c r="H166" s="291">
        <f t="shared" si="133"/>
        <v>0</v>
      </c>
      <c r="I166" s="291">
        <f t="shared" si="133"/>
        <v>0</v>
      </c>
      <c r="J166" s="291">
        <f t="shared" si="133"/>
        <v>0</v>
      </c>
      <c r="K166" s="291">
        <f t="shared" si="133"/>
        <v>0</v>
      </c>
      <c r="L166" s="291">
        <f t="shared" si="133"/>
        <v>0</v>
      </c>
      <c r="M166" s="291">
        <f t="shared" si="133"/>
        <v>0</v>
      </c>
      <c r="N166" s="291">
        <f t="shared" si="133"/>
        <v>0</v>
      </c>
      <c r="O166" s="291">
        <f t="shared" si="133"/>
        <v>0</v>
      </c>
      <c r="P166" s="291">
        <f t="shared" si="133"/>
        <v>0</v>
      </c>
      <c r="Q166" s="291">
        <f t="shared" ref="Q166:Q173" si="134">SUM(E166:P166)</f>
        <v>0</v>
      </c>
    </row>
    <row r="167" spans="3:18" x14ac:dyDescent="0.25">
      <c r="C167" s="17"/>
      <c r="D167" s="17"/>
      <c r="E167" s="291">
        <f t="shared" ref="E167:P167" si="135">E339+E514</f>
        <v>0</v>
      </c>
      <c r="F167" s="291">
        <f t="shared" si="135"/>
        <v>0</v>
      </c>
      <c r="G167" s="291">
        <f t="shared" si="135"/>
        <v>0</v>
      </c>
      <c r="H167" s="291">
        <f t="shared" si="135"/>
        <v>0</v>
      </c>
      <c r="I167" s="291">
        <f t="shared" si="135"/>
        <v>0</v>
      </c>
      <c r="J167" s="291">
        <f t="shared" si="135"/>
        <v>0</v>
      </c>
      <c r="K167" s="291">
        <f t="shared" si="135"/>
        <v>0</v>
      </c>
      <c r="L167" s="291">
        <f t="shared" si="135"/>
        <v>0</v>
      </c>
      <c r="M167" s="291">
        <f t="shared" si="135"/>
        <v>0</v>
      </c>
      <c r="N167" s="291">
        <f t="shared" si="135"/>
        <v>0</v>
      </c>
      <c r="O167" s="291">
        <f t="shared" si="135"/>
        <v>0</v>
      </c>
      <c r="P167" s="291">
        <f t="shared" si="135"/>
        <v>0</v>
      </c>
      <c r="Q167" s="291">
        <f t="shared" si="134"/>
        <v>0</v>
      </c>
    </row>
    <row r="168" spans="3:18" x14ac:dyDescent="0.25">
      <c r="C168" s="17"/>
      <c r="D168" s="17"/>
      <c r="E168" s="291">
        <f t="shared" ref="E168:P168" si="136">E340+E515</f>
        <v>0</v>
      </c>
      <c r="F168" s="291">
        <f t="shared" si="136"/>
        <v>0</v>
      </c>
      <c r="G168" s="291">
        <f t="shared" si="136"/>
        <v>0</v>
      </c>
      <c r="H168" s="291">
        <f t="shared" si="136"/>
        <v>0</v>
      </c>
      <c r="I168" s="291">
        <f t="shared" si="136"/>
        <v>0</v>
      </c>
      <c r="J168" s="291">
        <f t="shared" si="136"/>
        <v>0</v>
      </c>
      <c r="K168" s="291">
        <f t="shared" si="136"/>
        <v>0</v>
      </c>
      <c r="L168" s="291">
        <f t="shared" si="136"/>
        <v>0</v>
      </c>
      <c r="M168" s="291">
        <f t="shared" si="136"/>
        <v>0</v>
      </c>
      <c r="N168" s="291">
        <f t="shared" si="136"/>
        <v>0</v>
      </c>
      <c r="O168" s="291">
        <f t="shared" si="136"/>
        <v>0</v>
      </c>
      <c r="P168" s="291">
        <f t="shared" si="136"/>
        <v>0</v>
      </c>
      <c r="Q168" s="291">
        <f t="shared" si="134"/>
        <v>0</v>
      </c>
    </row>
    <row r="169" spans="3:18" x14ac:dyDescent="0.25">
      <c r="C169" s="17"/>
      <c r="D169" s="17"/>
      <c r="E169" s="291">
        <f t="shared" ref="E169:P169" si="137">E341+E516</f>
        <v>0</v>
      </c>
      <c r="F169" s="291">
        <f t="shared" si="137"/>
        <v>0</v>
      </c>
      <c r="G169" s="291">
        <f t="shared" si="137"/>
        <v>0</v>
      </c>
      <c r="H169" s="291">
        <f t="shared" si="137"/>
        <v>0</v>
      </c>
      <c r="I169" s="291">
        <f t="shared" si="137"/>
        <v>0</v>
      </c>
      <c r="J169" s="291">
        <f t="shared" si="137"/>
        <v>0</v>
      </c>
      <c r="K169" s="291">
        <f t="shared" si="137"/>
        <v>0</v>
      </c>
      <c r="L169" s="291">
        <f t="shared" si="137"/>
        <v>0</v>
      </c>
      <c r="M169" s="291">
        <f t="shared" si="137"/>
        <v>0</v>
      </c>
      <c r="N169" s="291">
        <f t="shared" si="137"/>
        <v>0</v>
      </c>
      <c r="O169" s="291">
        <f t="shared" si="137"/>
        <v>0</v>
      </c>
      <c r="P169" s="291">
        <f t="shared" si="137"/>
        <v>0</v>
      </c>
      <c r="Q169" s="291">
        <f t="shared" si="134"/>
        <v>0</v>
      </c>
    </row>
    <row r="170" spans="3:18" x14ac:dyDescent="0.25">
      <c r="C170" s="17"/>
      <c r="D170" s="17"/>
      <c r="E170" s="291">
        <f t="shared" ref="E170:P170" si="138">E342+E517</f>
        <v>0</v>
      </c>
      <c r="F170" s="291">
        <f t="shared" si="138"/>
        <v>0</v>
      </c>
      <c r="G170" s="291">
        <f t="shared" si="138"/>
        <v>0</v>
      </c>
      <c r="H170" s="291">
        <f t="shared" si="138"/>
        <v>0</v>
      </c>
      <c r="I170" s="291">
        <f t="shared" si="138"/>
        <v>0</v>
      </c>
      <c r="J170" s="291">
        <f t="shared" si="138"/>
        <v>0</v>
      </c>
      <c r="K170" s="291">
        <f t="shared" si="138"/>
        <v>0</v>
      </c>
      <c r="L170" s="291">
        <f t="shared" si="138"/>
        <v>0</v>
      </c>
      <c r="M170" s="291">
        <f t="shared" si="138"/>
        <v>0</v>
      </c>
      <c r="N170" s="291">
        <f t="shared" si="138"/>
        <v>0</v>
      </c>
      <c r="O170" s="291">
        <f t="shared" si="138"/>
        <v>0</v>
      </c>
      <c r="P170" s="291">
        <f t="shared" si="138"/>
        <v>0</v>
      </c>
      <c r="Q170" s="291">
        <f t="shared" si="134"/>
        <v>0</v>
      </c>
    </row>
    <row r="171" spans="3:18" x14ac:dyDescent="0.25">
      <c r="C171" s="17"/>
      <c r="D171" s="17"/>
      <c r="E171" s="291">
        <f t="shared" ref="E171:P171" si="139">E343+E518</f>
        <v>0</v>
      </c>
      <c r="F171" s="291">
        <f t="shared" si="139"/>
        <v>0</v>
      </c>
      <c r="G171" s="291">
        <f t="shared" si="139"/>
        <v>0</v>
      </c>
      <c r="H171" s="291">
        <f t="shared" si="139"/>
        <v>0</v>
      </c>
      <c r="I171" s="291">
        <f t="shared" si="139"/>
        <v>0</v>
      </c>
      <c r="J171" s="291">
        <f t="shared" si="139"/>
        <v>0</v>
      </c>
      <c r="K171" s="291">
        <f t="shared" si="139"/>
        <v>0</v>
      </c>
      <c r="L171" s="291">
        <f t="shared" si="139"/>
        <v>0</v>
      </c>
      <c r="M171" s="291">
        <f t="shared" si="139"/>
        <v>0</v>
      </c>
      <c r="N171" s="291">
        <f t="shared" si="139"/>
        <v>0</v>
      </c>
      <c r="O171" s="291">
        <f t="shared" si="139"/>
        <v>0</v>
      </c>
      <c r="P171" s="291">
        <f t="shared" si="139"/>
        <v>0</v>
      </c>
      <c r="Q171" s="291">
        <f t="shared" si="134"/>
        <v>0</v>
      </c>
    </row>
    <row r="172" spans="3:18" x14ac:dyDescent="0.25">
      <c r="C172" s="17"/>
      <c r="D172" s="17"/>
      <c r="E172" s="291">
        <f t="shared" ref="E172:P172" si="140">E344+E519</f>
        <v>0</v>
      </c>
      <c r="F172" s="291">
        <f t="shared" si="140"/>
        <v>0</v>
      </c>
      <c r="G172" s="291">
        <f t="shared" si="140"/>
        <v>0</v>
      </c>
      <c r="H172" s="291">
        <f t="shared" si="140"/>
        <v>0</v>
      </c>
      <c r="I172" s="291">
        <f t="shared" si="140"/>
        <v>0</v>
      </c>
      <c r="J172" s="291">
        <f t="shared" si="140"/>
        <v>0</v>
      </c>
      <c r="K172" s="291">
        <f t="shared" si="140"/>
        <v>0</v>
      </c>
      <c r="L172" s="291">
        <f t="shared" si="140"/>
        <v>0</v>
      </c>
      <c r="M172" s="291">
        <f t="shared" si="140"/>
        <v>0</v>
      </c>
      <c r="N172" s="291">
        <f t="shared" si="140"/>
        <v>0</v>
      </c>
      <c r="O172" s="291">
        <f t="shared" si="140"/>
        <v>0</v>
      </c>
      <c r="P172" s="291">
        <f t="shared" si="140"/>
        <v>0</v>
      </c>
      <c r="Q172" s="291">
        <f t="shared" si="134"/>
        <v>0</v>
      </c>
    </row>
    <row r="173" spans="3:18" x14ac:dyDescent="0.25">
      <c r="C173" s="753" t="s">
        <v>423</v>
      </c>
      <c r="D173" s="754"/>
      <c r="E173" s="329">
        <f t="shared" ref="E173:P173" si="141">SUM(E143:E172)</f>
        <v>-7.771170827888719</v>
      </c>
      <c r="F173" s="329">
        <f t="shared" si="141"/>
        <v>0</v>
      </c>
      <c r="G173" s="329">
        <f t="shared" si="141"/>
        <v>0</v>
      </c>
      <c r="H173" s="329">
        <f t="shared" si="141"/>
        <v>0</v>
      </c>
      <c r="I173" s="329">
        <f t="shared" si="141"/>
        <v>-70.374045831277812</v>
      </c>
      <c r="J173" s="329">
        <f t="shared" si="141"/>
        <v>-2.6383041664434715E-2</v>
      </c>
      <c r="K173" s="329">
        <f t="shared" si="141"/>
        <v>-170.75098195118517</v>
      </c>
      <c r="L173" s="329">
        <f t="shared" si="141"/>
        <v>-21.442463525335789</v>
      </c>
      <c r="M173" s="329">
        <f t="shared" si="141"/>
        <v>-17.648217333020302</v>
      </c>
      <c r="N173" s="329">
        <f t="shared" si="141"/>
        <v>-27.36704542540857</v>
      </c>
      <c r="O173" s="329">
        <f t="shared" si="141"/>
        <v>12.546188879585776</v>
      </c>
      <c r="P173" s="329">
        <f t="shared" si="141"/>
        <v>11.199424711291833</v>
      </c>
      <c r="Q173" s="329">
        <f t="shared" si="134"/>
        <v>-291.63469434490315</v>
      </c>
    </row>
    <row r="174" spans="3:18" x14ac:dyDescent="0.25">
      <c r="C174" s="800" t="s">
        <v>424</v>
      </c>
      <c r="D174" s="801"/>
      <c r="E174" s="291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</row>
    <row r="175" spans="3:18" x14ac:dyDescent="0.25">
      <c r="C175" s="17" t="s">
        <v>425</v>
      </c>
      <c r="D175" s="17" t="s">
        <v>426</v>
      </c>
      <c r="E175" s="291">
        <f t="shared" ref="E175:P175" si="142">E347+E522</f>
        <v>0</v>
      </c>
      <c r="F175" s="291">
        <f t="shared" si="142"/>
        <v>0</v>
      </c>
      <c r="G175" s="291">
        <f t="shared" si="142"/>
        <v>0</v>
      </c>
      <c r="H175" s="291">
        <f t="shared" si="142"/>
        <v>0</v>
      </c>
      <c r="I175" s="291">
        <f t="shared" si="142"/>
        <v>0</v>
      </c>
      <c r="J175" s="291">
        <f t="shared" si="142"/>
        <v>0</v>
      </c>
      <c r="K175" s="291">
        <f t="shared" si="142"/>
        <v>0</v>
      </c>
      <c r="L175" s="291">
        <f t="shared" si="142"/>
        <v>0</v>
      </c>
      <c r="M175" s="291">
        <f t="shared" si="142"/>
        <v>0</v>
      </c>
      <c r="N175" s="291">
        <f t="shared" si="142"/>
        <v>0</v>
      </c>
      <c r="O175" s="291">
        <f t="shared" si="142"/>
        <v>0</v>
      </c>
      <c r="P175" s="291">
        <f t="shared" si="142"/>
        <v>0</v>
      </c>
      <c r="Q175" s="291">
        <f>SUM(E175:P175)</f>
        <v>0</v>
      </c>
    </row>
    <row r="176" spans="3:18" x14ac:dyDescent="0.25">
      <c r="C176" s="17" t="s">
        <v>425</v>
      </c>
      <c r="D176" s="17" t="s">
        <v>427</v>
      </c>
      <c r="E176" s="291">
        <f t="shared" ref="E176:P176" si="143">E348+E523</f>
        <v>-83.955887969624001</v>
      </c>
      <c r="F176" s="291">
        <f t="shared" si="143"/>
        <v>-250.88192363869672</v>
      </c>
      <c r="G176" s="291">
        <f t="shared" si="143"/>
        <v>-234.45915876922044</v>
      </c>
      <c r="H176" s="291">
        <f t="shared" si="143"/>
        <v>-130.21950802150238</v>
      </c>
      <c r="I176" s="291">
        <f t="shared" si="143"/>
        <v>-125.82956587640024</v>
      </c>
      <c r="J176" s="291">
        <f t="shared" si="143"/>
        <v>-162.26814062283211</v>
      </c>
      <c r="K176" s="291">
        <f t="shared" si="143"/>
        <v>-90.53515625247735</v>
      </c>
      <c r="L176" s="291">
        <f t="shared" si="143"/>
        <v>-157.66765065217572</v>
      </c>
      <c r="M176" s="291">
        <f t="shared" si="143"/>
        <v>-92.735480025009835</v>
      </c>
      <c r="N176" s="291">
        <f t="shared" si="143"/>
        <v>-74.99972746843882</v>
      </c>
      <c r="O176" s="291">
        <f t="shared" si="143"/>
        <v>0</v>
      </c>
      <c r="P176" s="291">
        <f t="shared" si="143"/>
        <v>0</v>
      </c>
      <c r="Q176" s="291">
        <f>SUM(E176:P176)</f>
        <v>-1403.5521992963775</v>
      </c>
      <c r="R176" s="427"/>
    </row>
    <row r="177" spans="2:18" x14ac:dyDescent="0.25">
      <c r="C177" s="753" t="s">
        <v>428</v>
      </c>
      <c r="D177" s="754"/>
      <c r="E177" s="329">
        <f t="shared" ref="E177:P177" si="144">E175+E176</f>
        <v>-83.955887969624001</v>
      </c>
      <c r="F177" s="329">
        <f t="shared" si="144"/>
        <v>-250.88192363869672</v>
      </c>
      <c r="G177" s="329">
        <f t="shared" si="144"/>
        <v>-234.45915876922044</v>
      </c>
      <c r="H177" s="329">
        <f t="shared" si="144"/>
        <v>-130.21950802150238</v>
      </c>
      <c r="I177" s="329">
        <f t="shared" si="144"/>
        <v>-125.82956587640024</v>
      </c>
      <c r="J177" s="329">
        <f t="shared" si="144"/>
        <v>-162.26814062283211</v>
      </c>
      <c r="K177" s="329">
        <f t="shared" si="144"/>
        <v>-90.53515625247735</v>
      </c>
      <c r="L177" s="329">
        <f t="shared" si="144"/>
        <v>-157.66765065217572</v>
      </c>
      <c r="M177" s="329">
        <f t="shared" si="144"/>
        <v>-92.735480025009835</v>
      </c>
      <c r="N177" s="329">
        <f t="shared" si="144"/>
        <v>-74.99972746843882</v>
      </c>
      <c r="O177" s="329">
        <f t="shared" si="144"/>
        <v>0</v>
      </c>
      <c r="P177" s="329">
        <f t="shared" si="144"/>
        <v>0</v>
      </c>
      <c r="Q177" s="329">
        <f>SUM(E177:P177)</f>
        <v>-1403.5521992963775</v>
      </c>
      <c r="R177" s="427"/>
    </row>
    <row r="178" spans="2:18" x14ac:dyDescent="0.25">
      <c r="C178" s="753" t="s">
        <v>220</v>
      </c>
      <c r="D178" s="754"/>
      <c r="E178" s="329">
        <f t="shared" ref="E178:Q178" si="145">E50+E96+E105+E115+E141+E173+E177</f>
        <v>1376.5663099125704</v>
      </c>
      <c r="F178" s="329">
        <f t="shared" si="145"/>
        <v>884.24657107944631</v>
      </c>
      <c r="G178" s="329">
        <f t="shared" si="145"/>
        <v>909.66189926665652</v>
      </c>
      <c r="H178" s="329">
        <f t="shared" si="145"/>
        <v>1062.2071689326447</v>
      </c>
      <c r="I178" s="329">
        <f t="shared" si="145"/>
        <v>1109.560912265478</v>
      </c>
      <c r="J178" s="329">
        <f t="shared" si="145"/>
        <v>1156.5595745036792</v>
      </c>
      <c r="K178" s="329">
        <f t="shared" si="145"/>
        <v>1016.947136864785</v>
      </c>
      <c r="L178" s="329">
        <f t="shared" si="145"/>
        <v>1038.4670311584389</v>
      </c>
      <c r="M178" s="329">
        <f t="shared" si="145"/>
        <v>1202.7357839340184</v>
      </c>
      <c r="N178" s="329">
        <f t="shared" si="145"/>
        <v>1327.959843693955</v>
      </c>
      <c r="O178" s="329">
        <f t="shared" si="145"/>
        <v>1476.0431295040776</v>
      </c>
      <c r="P178" s="329">
        <f t="shared" si="145"/>
        <v>1687.2240361740126</v>
      </c>
      <c r="Q178" s="424">
        <f t="shared" si="145"/>
        <v>14736.327872289767</v>
      </c>
      <c r="R178" s="427"/>
    </row>
    <row r="180" spans="2:18" x14ac:dyDescent="0.25">
      <c r="C180" s="22" t="s">
        <v>641</v>
      </c>
      <c r="J180" s="25"/>
    </row>
    <row r="181" spans="2:18" x14ac:dyDescent="0.25">
      <c r="C181" s="14"/>
      <c r="Q181" s="25" t="s">
        <v>3</v>
      </c>
    </row>
    <row r="182" spans="2:18" x14ac:dyDescent="0.25">
      <c r="C182" s="762" t="s">
        <v>346</v>
      </c>
      <c r="D182" s="762" t="s">
        <v>347</v>
      </c>
      <c r="E182" s="768" t="s">
        <v>256</v>
      </c>
      <c r="F182" s="768"/>
      <c r="G182" s="768"/>
      <c r="H182" s="768"/>
      <c r="I182" s="768"/>
      <c r="J182" s="768"/>
      <c r="K182" s="768"/>
      <c r="L182" s="768"/>
      <c r="M182" s="768"/>
      <c r="N182" s="768"/>
      <c r="O182" s="768"/>
      <c r="P182" s="768"/>
      <c r="Q182" s="768"/>
    </row>
    <row r="183" spans="2:18" x14ac:dyDescent="0.25">
      <c r="C183" s="764"/>
      <c r="D183" s="764"/>
      <c r="E183" s="13" t="s">
        <v>239</v>
      </c>
      <c r="F183" s="13" t="s">
        <v>240</v>
      </c>
      <c r="G183" s="13" t="s">
        <v>241</v>
      </c>
      <c r="H183" s="13" t="s">
        <v>242</v>
      </c>
      <c r="I183" s="13" t="s">
        <v>243</v>
      </c>
      <c r="J183" s="13" t="s">
        <v>244</v>
      </c>
      <c r="K183" s="13" t="s">
        <v>245</v>
      </c>
      <c r="L183" s="13" t="s">
        <v>246</v>
      </c>
      <c r="M183" s="13" t="s">
        <v>247</v>
      </c>
      <c r="N183" s="13" t="s">
        <v>248</v>
      </c>
      <c r="O183" s="13" t="s">
        <v>249</v>
      </c>
      <c r="P183" s="13" t="s">
        <v>250</v>
      </c>
      <c r="Q183" s="13" t="s">
        <v>251</v>
      </c>
    </row>
    <row r="184" spans="2:18" x14ac:dyDescent="0.25">
      <c r="C184" s="766"/>
      <c r="D184" s="7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2:18" x14ac:dyDescent="0.25">
      <c r="B185" s="60"/>
      <c r="C185" s="800" t="s">
        <v>348</v>
      </c>
      <c r="D185" s="801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</row>
    <row r="186" spans="2:18" x14ac:dyDescent="0.25">
      <c r="C186" s="753" t="s">
        <v>349</v>
      </c>
      <c r="D186" s="754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</row>
    <row r="187" spans="2:18" x14ac:dyDescent="0.25">
      <c r="B187" s="60"/>
      <c r="C187" s="846" t="s">
        <v>350</v>
      </c>
      <c r="D187" s="59" t="s">
        <v>351</v>
      </c>
      <c r="E187" s="291">
        <f>'[33]TGNPDCL MoD'!U4+'[33]TGNPDCL MoD'!U5</f>
        <v>12.488070357763878</v>
      </c>
      <c r="F187" s="291">
        <f>'[33]TGNPDCL MoD'!V4+'[33]TGNPDCL MoD'!V5</f>
        <v>15.323903001506089</v>
      </c>
      <c r="G187" s="291">
        <f>'[33]TGNPDCL MoD'!W4+'[33]TGNPDCL MoD'!W5</f>
        <v>14.829583549844603</v>
      </c>
      <c r="H187" s="291">
        <f>'[33]TGNPDCL MoD'!X4+'[33]TGNPDCL MoD'!X5</f>
        <v>0</v>
      </c>
      <c r="I187" s="291">
        <f>'[33]TGNPDCL MoD'!Y4+'[33]TGNPDCL MoD'!Y5</f>
        <v>5.0695618952350987</v>
      </c>
      <c r="J187" s="291">
        <f>'[33]TGNPDCL MoD'!Z4+'[33]TGNPDCL MoD'!Z5</f>
        <v>10.313726809195256</v>
      </c>
      <c r="K187" s="291">
        <f>'[33]TGNPDCL MoD'!AA4+'[33]TGNPDCL MoD'!AA5</f>
        <v>10.139123790470197</v>
      </c>
      <c r="L187" s="291">
        <f>'[33]TGNPDCL MoD'!AB4+'[33]TGNPDCL MoD'!AB5</f>
        <v>12.153568473180915</v>
      </c>
      <c r="M187" s="291">
        <f>'[33]TGNPDCL MoD'!AC4+'[33]TGNPDCL MoD'!AC5</f>
        <v>11.081058907730281</v>
      </c>
      <c r="N187" s="291">
        <f>'[33]TGNPDCL MoD'!AD4+'[33]TGNPDCL MoD'!AD5</f>
        <v>11.047288594809737</v>
      </c>
      <c r="O187" s="291">
        <f>'[33]TGNPDCL MoD'!AE4+'[33]TGNPDCL MoD'!AE5</f>
        <v>11.779219408367403</v>
      </c>
      <c r="P187" s="291">
        <f>'[33]TGNPDCL MoD'!AF4+'[33]TGNPDCL MoD'!AF5</f>
        <v>13.941295211896513</v>
      </c>
      <c r="Q187" s="291">
        <f t="shared" ref="Q187:Q205" si="146">SUM(E187:P187)</f>
        <v>128.16639999999998</v>
      </c>
    </row>
    <row r="188" spans="2:18" x14ac:dyDescent="0.25">
      <c r="B188" s="60"/>
      <c r="C188" s="847"/>
      <c r="D188" s="59" t="s">
        <v>352</v>
      </c>
      <c r="E188" s="291">
        <f>'[33]TGNPDCL MoD'!U6</f>
        <v>15.973564291519935</v>
      </c>
      <c r="F188" s="291">
        <f>'[33]TGNPDCL MoD'!V6</f>
        <v>0</v>
      </c>
      <c r="G188" s="291">
        <f>'[33]TGNPDCL MoD'!W6</f>
        <v>9.5252089708816783</v>
      </c>
      <c r="H188" s="291">
        <f>'[33]TGNPDCL MoD'!X6</f>
        <v>14.474582259673145</v>
      </c>
      <c r="I188" s="291">
        <f>'[33]TGNPDCL MoD'!Y6</f>
        <v>12.737632388512369</v>
      </c>
      <c r="J188" s="291">
        <f>'[33]TGNPDCL MoD'!Z6</f>
        <v>13.167200636218798</v>
      </c>
      <c r="K188" s="291">
        <f>'[33]TGNPDCL MoD'!AA6</f>
        <v>12.737632388512369</v>
      </c>
      <c r="L188" s="291">
        <f>'[33]TGNPDCL MoD'!AB6</f>
        <v>18.125473519253728</v>
      </c>
      <c r="M188" s="291">
        <f>'[33]TGNPDCL MoD'!AC6</f>
        <v>14.49300006283084</v>
      </c>
      <c r="N188" s="291">
        <f>'[33]TGNPDCL MoD'!AD6</f>
        <v>15.51698279163133</v>
      </c>
      <c r="O188" s="291">
        <f>'[33]TGNPDCL MoD'!AE6</f>
        <v>15.42710315676131</v>
      </c>
      <c r="P188" s="291">
        <f>'[33]TGNPDCL MoD'!AF6</f>
        <v>17.514244534204501</v>
      </c>
      <c r="Q188" s="291">
        <f t="shared" si="146"/>
        <v>159.69262499999999</v>
      </c>
    </row>
    <row r="189" spans="2:18" x14ac:dyDescent="0.25">
      <c r="B189" s="60"/>
      <c r="C189" s="847"/>
      <c r="D189" s="59" t="s">
        <v>353</v>
      </c>
      <c r="E189" s="291">
        <f>'[33]TGNPDCL MoD'!U7</f>
        <v>44.086622729234549</v>
      </c>
      <c r="F189" s="291">
        <f>'[33]TGNPDCL MoD'!V7</f>
        <v>0</v>
      </c>
      <c r="G189" s="291">
        <f>'[33]TGNPDCL MoD'!W7</f>
        <v>24.90234519592649</v>
      </c>
      <c r="H189" s="291">
        <f>'[33]TGNPDCL MoD'!X7</f>
        <v>40.438009208693579</v>
      </c>
      <c r="I189" s="291">
        <f>'[33]TGNPDCL MoD'!Y7</f>
        <v>33.9364907734371</v>
      </c>
      <c r="J189" s="291">
        <f>'[33]TGNPDCL MoD'!Z7</f>
        <v>35.731887246936893</v>
      </c>
      <c r="K189" s="291">
        <f>'[33]TGNPDCL MoD'!AA7</f>
        <v>33.300783183572278</v>
      </c>
      <c r="L189" s="291">
        <f>'[33]TGNPDCL MoD'!AB7</f>
        <v>49.676874046957792</v>
      </c>
      <c r="M189" s="291">
        <f>'[33]TGNPDCL MoD'!AC7</f>
        <v>43.481099601225637</v>
      </c>
      <c r="N189" s="291">
        <f>'[33]TGNPDCL MoD'!AD7</f>
        <v>42.38281496091016</v>
      </c>
      <c r="O189" s="291">
        <f>'[33]TGNPDCL MoD'!AE7</f>
        <v>40.332033591833877</v>
      </c>
      <c r="P189" s="291">
        <f>'[33]TGNPDCL MoD'!AF7</f>
        <v>45.921224461271592</v>
      </c>
      <c r="Q189" s="291">
        <f t="shared" si="146"/>
        <v>434.19018499999993</v>
      </c>
    </row>
    <row r="190" spans="2:18" x14ac:dyDescent="0.25">
      <c r="B190" s="60"/>
      <c r="C190" s="847"/>
      <c r="D190" s="59" t="s">
        <v>354</v>
      </c>
      <c r="E190" s="291">
        <f>'[33]TGNPDCL MoD'!U8</f>
        <v>3.9800352669042951</v>
      </c>
      <c r="F190" s="291">
        <f>'[33]TGNPDCL MoD'!V8</f>
        <v>0</v>
      </c>
      <c r="G190" s="291">
        <f>'[33]TGNPDCL MoD'!W8</f>
        <v>2.3881188950509187</v>
      </c>
      <c r="H190" s="291">
        <f>'[33]TGNPDCL MoD'!X8</f>
        <v>3.4882097544753607</v>
      </c>
      <c r="I190" s="291">
        <f>'[33]TGNPDCL MoD'!Y8</f>
        <v>3.2655580680194838</v>
      </c>
      <c r="J190" s="291">
        <f>'[33]TGNPDCL MoD'!Z8</f>
        <v>3.2679521721749247</v>
      </c>
      <c r="K190" s="291">
        <f>'[33]TGNPDCL MoD'!AA8</f>
        <v>3.2655580680194838</v>
      </c>
      <c r="L190" s="291">
        <f>'[33]TGNPDCL MoD'!AB8</f>
        <v>3.8066256071488231</v>
      </c>
      <c r="M190" s="291">
        <f>'[33]TGNPDCL MoD'!AC8</f>
        <v>3.4882097544753607</v>
      </c>
      <c r="N190" s="291">
        <f>'[33]TGNPDCL MoD'!AD8</f>
        <v>3.4882097544753607</v>
      </c>
      <c r="O190" s="291">
        <f>'[33]TGNPDCL MoD'!AE8</f>
        <v>3.7539553157291556</v>
      </c>
      <c r="P190" s="291">
        <f>'[33]TGNPDCL MoD'!AF8</f>
        <v>4.4901423435268111</v>
      </c>
      <c r="Q190" s="291">
        <f t="shared" si="146"/>
        <v>38.682574999999979</v>
      </c>
    </row>
    <row r="191" spans="2:18" x14ac:dyDescent="0.25">
      <c r="B191" s="60"/>
      <c r="C191" s="847"/>
      <c r="D191" s="59" t="s">
        <v>355</v>
      </c>
      <c r="E191" s="291">
        <f>'[33]TGNPDCL MoD'!U9</f>
        <v>13.930035759480983</v>
      </c>
      <c r="F191" s="291">
        <f>'[33]TGNPDCL MoD'!V9</f>
        <v>14.08370042253522</v>
      </c>
      <c r="G191" s="291">
        <f>'[33]TGNPDCL MoD'!W9</f>
        <v>13.629387505679242</v>
      </c>
      <c r="H191" s="291">
        <f>'[33]TGNPDCL MoD'!X9</f>
        <v>14.134429535458608</v>
      </c>
      <c r="I191" s="291">
        <f>'[33]TGNPDCL MoD'!Y9</f>
        <v>11.598341524440766</v>
      </c>
      <c r="J191" s="291">
        <f>'[33]TGNPDCL MoD'!Z9</f>
        <v>12.290093685330081</v>
      </c>
      <c r="K191" s="291">
        <f>'[33]TGNPDCL MoD'!AA9</f>
        <v>0</v>
      </c>
      <c r="L191" s="291">
        <f>'[33]TGNPDCL MoD'!AB9</f>
        <v>7.0835652695015412</v>
      </c>
      <c r="M191" s="291">
        <f>'[33]TGNPDCL MoD'!AC9</f>
        <v>13.773030560273408</v>
      </c>
      <c r="N191" s="291">
        <f>'[33]TGNPDCL MoD'!AD9</f>
        <v>12.530351111226182</v>
      </c>
      <c r="O191" s="291">
        <f>'[33]TGNPDCL MoD'!AE9</f>
        <v>12.159551598204027</v>
      </c>
      <c r="P191" s="291">
        <f>'[33]TGNPDCL MoD'!AF9</f>
        <v>14.804593027869894</v>
      </c>
      <c r="Q191" s="291">
        <f t="shared" si="146"/>
        <v>140.01707999999994</v>
      </c>
    </row>
    <row r="192" spans="2:18" x14ac:dyDescent="0.25">
      <c r="B192" s="60"/>
      <c r="C192" s="847"/>
      <c r="D192" s="59" t="s">
        <v>356</v>
      </c>
      <c r="E192" s="291">
        <f>'[33]TGNPDCL MoD'!U10</f>
        <v>24.787559048315568</v>
      </c>
      <c r="F192" s="291">
        <f>'[33]TGNPDCL MoD'!V10</f>
        <v>24.623906026280086</v>
      </c>
      <c r="G192" s="291">
        <f>'[33]TGNPDCL MoD'!W10</f>
        <v>24.787559048315568</v>
      </c>
      <c r="H192" s="291">
        <f>'[33]TGNPDCL MoD'!X10</f>
        <v>26.154947869055984</v>
      </c>
      <c r="I192" s="291">
        <f>'[33]TGNPDCL MoD'!Y10</f>
        <v>21.28471619688694</v>
      </c>
      <c r="J192" s="291">
        <f>'[33]TGNPDCL MoD'!Z10</f>
        <v>23.642266726949952</v>
      </c>
      <c r="K192" s="291">
        <f>'[33]TGNPDCL MoD'!AA10</f>
        <v>20.202442491960483</v>
      </c>
      <c r="L192" s="291">
        <f>'[33]TGNPDCL MoD'!AB10</f>
        <v>0</v>
      </c>
      <c r="M192" s="291">
        <f>'[33]TGNPDCL MoD'!AC10</f>
        <v>12.661582314578833</v>
      </c>
      <c r="N192" s="291">
        <f>'[33]TGNPDCL MoD'!AD10</f>
        <v>23.449263606739855</v>
      </c>
      <c r="O192" s="291">
        <f>'[33]TGNPDCL MoD'!AE10</f>
        <v>21.668748801860843</v>
      </c>
      <c r="P192" s="291">
        <f>'[33]TGNPDCL MoD'!AF10</f>
        <v>26.154947869055984</v>
      </c>
      <c r="Q192" s="291">
        <f t="shared" si="146"/>
        <v>249.41794000000007</v>
      </c>
    </row>
    <row r="193" spans="2:18" x14ac:dyDescent="0.25">
      <c r="B193" s="60"/>
      <c r="C193" s="847"/>
      <c r="D193" s="59" t="s">
        <v>357</v>
      </c>
      <c r="E193" s="291">
        <f>SUM('[33]TGNPDCL MoD'!U11:U14)</f>
        <v>61.418687255547951</v>
      </c>
      <c r="F193" s="291">
        <f>SUM('[33]TGNPDCL MoD'!V11:V14)</f>
        <v>30.545858548037877</v>
      </c>
      <c r="G193" s="291">
        <f>SUM('[33]TGNPDCL MoD'!W11:W14)</f>
        <v>45.538264817216572</v>
      </c>
      <c r="H193" s="291">
        <f>SUM('[33]TGNPDCL MoD'!X11:X14)</f>
        <v>63.853255861952626</v>
      </c>
      <c r="I193" s="291">
        <f>SUM('[33]TGNPDCL MoD'!Y11:Y14)</f>
        <v>45.814791303501238</v>
      </c>
      <c r="J193" s="291">
        <f>SUM('[33]TGNPDCL MoD'!Z11:Z14)</f>
        <v>41.754461461738643</v>
      </c>
      <c r="K193" s="291">
        <f>SUM('[33]TGNPDCL MoD'!AA11:AA14)</f>
        <v>49.438318555654057</v>
      </c>
      <c r="L193" s="291">
        <f>SUM('[33]TGNPDCL MoD'!AB11:AB14)</f>
        <v>46.413834537882153</v>
      </c>
      <c r="M193" s="291">
        <f>SUM('[33]TGNPDCL MoD'!AC11:AC14)</f>
        <v>53.264866802412207</v>
      </c>
      <c r="N193" s="291">
        <f>SUM('[33]TGNPDCL MoD'!AD11:AD14)</f>
        <v>56.244369843368219</v>
      </c>
      <c r="O193" s="291">
        <f>SUM('[33]TGNPDCL MoD'!AE11:AE14)</f>
        <v>53.080746783796641</v>
      </c>
      <c r="P193" s="291">
        <f>SUM('[33]TGNPDCL MoD'!AF11:AF14)</f>
        <v>65.548889228891738</v>
      </c>
      <c r="Q193" s="291">
        <f t="shared" si="146"/>
        <v>612.91634499999986</v>
      </c>
    </row>
    <row r="194" spans="2:18" x14ac:dyDescent="0.25">
      <c r="B194" s="60"/>
      <c r="C194" s="847"/>
      <c r="D194" s="59" t="s">
        <v>358</v>
      </c>
      <c r="E194" s="291">
        <f>SUM('[33]TGNPDCL MoD'!U15:U19)</f>
        <v>197.43320584541371</v>
      </c>
      <c r="F194" s="291">
        <f>SUM('[33]TGNPDCL MoD'!V15:V19)</f>
        <v>119.33340781811184</v>
      </c>
      <c r="G194" s="291">
        <f>SUM('[33]TGNPDCL MoD'!W15:W19)</f>
        <v>117.06873480992344</v>
      </c>
      <c r="H194" s="291">
        <f>SUM('[33]TGNPDCL MoD'!X15:X19)</f>
        <v>127.26295044591686</v>
      </c>
      <c r="I194" s="291">
        <f>SUM('[33]TGNPDCL MoD'!Y15:Y19)</f>
        <v>177.87791467537878</v>
      </c>
      <c r="J194" s="291">
        <f>SUM('[33]TGNPDCL MoD'!Z15:Z19)</f>
        <v>200.17012501800974</v>
      </c>
      <c r="K194" s="291">
        <f>SUM('[33]TGNPDCL MoD'!AA15:AA19)</f>
        <v>180.98404940946818</v>
      </c>
      <c r="L194" s="291">
        <f>SUM('[33]TGNPDCL MoD'!AB15:AB19)</f>
        <v>156.46157485360709</v>
      </c>
      <c r="M194" s="291">
        <f>SUM('[33]TGNPDCL MoD'!AC15:AC19)</f>
        <v>181.67622879966646</v>
      </c>
      <c r="N194" s="291">
        <f>SUM('[33]TGNPDCL MoD'!AD15:AD19)</f>
        <v>200.72185449482441</v>
      </c>
      <c r="O194" s="291">
        <f>SUM('[33]TGNPDCL MoD'!AE15:AE19)</f>
        <v>184.41595905100252</v>
      </c>
      <c r="P194" s="291">
        <f>SUM('[33]TGNPDCL MoD'!AF15:AF19)</f>
        <v>220.39551542041488</v>
      </c>
      <c r="Q194" s="291">
        <f t="shared" si="146"/>
        <v>2063.8015206417381</v>
      </c>
    </row>
    <row r="195" spans="2:18" x14ac:dyDescent="0.25">
      <c r="B195" s="60"/>
      <c r="C195" s="847"/>
      <c r="D195" s="325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>
        <f t="shared" si="146"/>
        <v>0</v>
      </c>
    </row>
    <row r="196" spans="2:18" x14ac:dyDescent="0.25">
      <c r="B196" s="60"/>
      <c r="C196" s="847"/>
      <c r="D196" s="59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>
        <f t="shared" si="146"/>
        <v>0</v>
      </c>
    </row>
    <row r="197" spans="2:18" x14ac:dyDescent="0.25">
      <c r="B197" s="60"/>
      <c r="C197" s="847"/>
      <c r="D197" s="59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>
        <f t="shared" si="146"/>
        <v>0</v>
      </c>
    </row>
    <row r="198" spans="2:18" x14ac:dyDescent="0.25">
      <c r="B198" s="60"/>
      <c r="C198" s="847"/>
      <c r="D198" s="59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>
        <f t="shared" si="146"/>
        <v>0</v>
      </c>
    </row>
    <row r="199" spans="2:18" x14ac:dyDescent="0.25">
      <c r="B199" s="60"/>
      <c r="C199" s="847"/>
      <c r="D199" s="59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>
        <f t="shared" si="146"/>
        <v>0</v>
      </c>
    </row>
    <row r="200" spans="2:18" x14ac:dyDescent="0.25">
      <c r="B200" s="60"/>
      <c r="C200" s="847"/>
      <c r="D200" s="59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>
        <f t="shared" si="146"/>
        <v>0</v>
      </c>
    </row>
    <row r="201" spans="2:18" x14ac:dyDescent="0.25">
      <c r="B201" s="60"/>
      <c r="C201" s="847"/>
      <c r="D201" s="59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>
        <f t="shared" si="146"/>
        <v>0</v>
      </c>
    </row>
    <row r="202" spans="2:18" x14ac:dyDescent="0.25">
      <c r="B202" s="60"/>
      <c r="C202" s="847"/>
      <c r="D202" s="59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>
        <f t="shared" si="146"/>
        <v>0</v>
      </c>
    </row>
    <row r="203" spans="2:18" x14ac:dyDescent="0.25">
      <c r="B203" s="60"/>
      <c r="C203" s="847"/>
      <c r="D203" s="59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>
        <f t="shared" si="146"/>
        <v>0</v>
      </c>
    </row>
    <row r="204" spans="2:18" x14ac:dyDescent="0.25">
      <c r="B204" s="60"/>
      <c r="C204" s="848"/>
      <c r="D204" s="59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>
        <f t="shared" si="146"/>
        <v>0</v>
      </c>
    </row>
    <row r="205" spans="2:18" x14ac:dyDescent="0.25">
      <c r="C205" s="751" t="s">
        <v>212</v>
      </c>
      <c r="D205" s="752"/>
      <c r="E205" s="291">
        <f t="shared" ref="E205:P205" si="147">SUM(E187:E204)</f>
        <v>374.09778055418087</v>
      </c>
      <c r="F205" s="291">
        <f t="shared" si="147"/>
        <v>203.91077581647113</v>
      </c>
      <c r="G205" s="291">
        <f t="shared" si="147"/>
        <v>252.66920279283852</v>
      </c>
      <c r="H205" s="291">
        <f t="shared" si="147"/>
        <v>289.80638493522616</v>
      </c>
      <c r="I205" s="291">
        <f t="shared" si="147"/>
        <v>311.58500682541177</v>
      </c>
      <c r="J205" s="291">
        <f t="shared" si="147"/>
        <v>340.33771375655431</v>
      </c>
      <c r="K205" s="291">
        <f t="shared" si="147"/>
        <v>310.06790788765704</v>
      </c>
      <c r="L205" s="291">
        <f t="shared" si="147"/>
        <v>293.72151630753206</v>
      </c>
      <c r="M205" s="291">
        <f t="shared" si="147"/>
        <v>333.91907680319304</v>
      </c>
      <c r="N205" s="291">
        <f t="shared" si="147"/>
        <v>365.38113515798523</v>
      </c>
      <c r="O205" s="291">
        <f t="shared" si="147"/>
        <v>342.6173177075558</v>
      </c>
      <c r="P205" s="291">
        <f t="shared" si="147"/>
        <v>408.77085209713192</v>
      </c>
      <c r="Q205" s="323">
        <f t="shared" si="146"/>
        <v>3826.8846706417376</v>
      </c>
      <c r="R205" s="427"/>
    </row>
    <row r="206" spans="2:18" x14ac:dyDescent="0.25">
      <c r="C206" s="753" t="s">
        <v>359</v>
      </c>
      <c r="D206" s="754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</row>
    <row r="207" spans="2:18" x14ac:dyDescent="0.25">
      <c r="C207" s="805" t="s">
        <v>350</v>
      </c>
      <c r="D207" s="17" t="s">
        <v>360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>
        <f t="shared" ref="Q207:Q217" si="148">SUM(E207:P207)</f>
        <v>0</v>
      </c>
    </row>
    <row r="208" spans="2:18" x14ac:dyDescent="0.25">
      <c r="C208" s="806"/>
      <c r="D208" s="17" t="s">
        <v>361</v>
      </c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>
        <f t="shared" si="148"/>
        <v>0</v>
      </c>
    </row>
    <row r="209" spans="3:18" x14ac:dyDescent="0.25">
      <c r="C209" s="806"/>
      <c r="D209" s="17" t="s">
        <v>362</v>
      </c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>
        <f t="shared" si="148"/>
        <v>0</v>
      </c>
    </row>
    <row r="210" spans="3:18" x14ac:dyDescent="0.25">
      <c r="C210" s="806"/>
      <c r="D210" s="17" t="s">
        <v>363</v>
      </c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>
        <f t="shared" si="148"/>
        <v>0</v>
      </c>
    </row>
    <row r="211" spans="3:18" x14ac:dyDescent="0.25">
      <c r="C211" s="806"/>
      <c r="D211" s="17" t="s">
        <v>364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>
        <f t="shared" si="148"/>
        <v>0</v>
      </c>
    </row>
    <row r="212" spans="3:18" x14ac:dyDescent="0.25">
      <c r="C212" s="806"/>
      <c r="D212" s="17" t="s">
        <v>365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>
        <f t="shared" si="148"/>
        <v>0</v>
      </c>
    </row>
    <row r="213" spans="3:18" x14ac:dyDescent="0.25">
      <c r="C213" s="806"/>
      <c r="D213" s="17" t="s">
        <v>366</v>
      </c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>
        <f t="shared" si="148"/>
        <v>0</v>
      </c>
    </row>
    <row r="214" spans="3:18" x14ac:dyDescent="0.25">
      <c r="C214" s="806"/>
      <c r="D214" s="17" t="s">
        <v>367</v>
      </c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>
        <f t="shared" si="148"/>
        <v>0</v>
      </c>
    </row>
    <row r="215" spans="3:18" x14ac:dyDescent="0.25">
      <c r="C215" s="80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>
        <f t="shared" si="148"/>
        <v>0</v>
      </c>
    </row>
    <row r="216" spans="3:18" x14ac:dyDescent="0.25">
      <c r="C216" s="806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>
        <f t="shared" si="148"/>
        <v>0</v>
      </c>
    </row>
    <row r="217" spans="3:18" x14ac:dyDescent="0.25">
      <c r="C217" s="806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>
        <f t="shared" si="148"/>
        <v>0</v>
      </c>
    </row>
    <row r="218" spans="3:18" x14ac:dyDescent="0.25">
      <c r="C218" s="806"/>
      <c r="D218" s="325" t="s">
        <v>621</v>
      </c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>
        <f>'[33]PP summary'!$J$59+'[33]PP summary'!$J$60</f>
        <v>488.14847500000002</v>
      </c>
      <c r="R218" s="427"/>
    </row>
    <row r="219" spans="3:18" x14ac:dyDescent="0.25">
      <c r="C219" s="806"/>
      <c r="D219" s="325" t="s">
        <v>622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f t="shared" ref="Q219:Q224" si="149">SUM(E219:P219)</f>
        <v>0</v>
      </c>
    </row>
    <row r="220" spans="3:18" x14ac:dyDescent="0.25">
      <c r="C220" s="806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>
        <f t="shared" si="149"/>
        <v>0</v>
      </c>
    </row>
    <row r="221" spans="3:18" x14ac:dyDescent="0.25">
      <c r="C221" s="806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>
        <f t="shared" si="149"/>
        <v>0</v>
      </c>
    </row>
    <row r="222" spans="3:18" x14ac:dyDescent="0.25">
      <c r="C222" s="806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>
        <f t="shared" si="149"/>
        <v>0</v>
      </c>
    </row>
    <row r="223" spans="3:18" x14ac:dyDescent="0.25">
      <c r="C223" s="806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>
        <f t="shared" si="149"/>
        <v>0</v>
      </c>
    </row>
    <row r="224" spans="3:18" x14ac:dyDescent="0.25">
      <c r="C224" s="807"/>
      <c r="D224" s="10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>
        <f t="shared" si="149"/>
        <v>0</v>
      </c>
    </row>
    <row r="225" spans="3:18" x14ac:dyDescent="0.25">
      <c r="C225" s="751" t="s">
        <v>212</v>
      </c>
      <c r="D225" s="752"/>
      <c r="E225" s="66">
        <f>SUM('[33]TGNPDCL MoD'!U57:U96)</f>
        <v>17.278378550187721</v>
      </c>
      <c r="F225" s="66">
        <f>SUM('[33]TGNPDCL MoD'!V57:V96)</f>
        <v>18.514964177677435</v>
      </c>
      <c r="G225" s="66">
        <f>SUM('[33]TGNPDCL MoD'!W57:W96)</f>
        <v>19.182399461706542</v>
      </c>
      <c r="H225" s="66">
        <f>SUM('[33]TGNPDCL MoD'!X57:X96)</f>
        <v>41.937058936258275</v>
      </c>
      <c r="I225" s="66">
        <f>SUM('[33]TGNPDCL MoD'!Y57:Y96)</f>
        <v>98.460558727255233</v>
      </c>
      <c r="J225" s="66">
        <f>SUM('[33]TGNPDCL MoD'!Z57:Z96)</f>
        <v>49.729116779978135</v>
      </c>
      <c r="K225" s="66">
        <f>SUM('[33]TGNPDCL MoD'!AA57:AA96)</f>
        <v>54.814065857586272</v>
      </c>
      <c r="L225" s="66">
        <f>SUM('[33]TGNPDCL MoD'!AB57:AB96)</f>
        <v>18.800091599595998</v>
      </c>
      <c r="M225" s="66">
        <f>SUM('[33]TGNPDCL MoD'!AC57:AC96)</f>
        <v>32.25165095406949</v>
      </c>
      <c r="N225" s="66">
        <f>SUM('[33]TGNPDCL MoD'!AD57:AD96)</f>
        <v>61.540586632918831</v>
      </c>
      <c r="O225" s="66">
        <f>SUM('[33]TGNPDCL MoD'!AE57:AE96)</f>
        <v>55.270326733538141</v>
      </c>
      <c r="P225" s="66">
        <f>SUM('[33]TGNPDCL MoD'!AF57:AF96)</f>
        <v>25.673221589227921</v>
      </c>
      <c r="Q225" s="86">
        <f>SUM(E225:P225)+Q218</f>
        <v>981.60089499999992</v>
      </c>
      <c r="R225" s="427"/>
    </row>
    <row r="226" spans="3:18" x14ac:dyDescent="0.25">
      <c r="C226" s="753" t="s">
        <v>368</v>
      </c>
      <c r="D226" s="754"/>
      <c r="E226" s="17">
        <f t="shared" ref="E226:Q226" si="150">E205+E225</f>
        <v>391.37615910436858</v>
      </c>
      <c r="F226" s="17">
        <f t="shared" si="150"/>
        <v>222.42573999414856</v>
      </c>
      <c r="G226" s="17">
        <f t="shared" si="150"/>
        <v>271.85160225454507</v>
      </c>
      <c r="H226" s="17">
        <f t="shared" si="150"/>
        <v>331.74344387148443</v>
      </c>
      <c r="I226" s="17">
        <f t="shared" si="150"/>
        <v>410.04556555266697</v>
      </c>
      <c r="J226" s="17">
        <f t="shared" si="150"/>
        <v>390.06683053653245</v>
      </c>
      <c r="K226" s="17">
        <f t="shared" si="150"/>
        <v>364.88197374524333</v>
      </c>
      <c r="L226" s="17">
        <f t="shared" si="150"/>
        <v>312.52160790712804</v>
      </c>
      <c r="M226" s="17">
        <f t="shared" si="150"/>
        <v>366.17072775726251</v>
      </c>
      <c r="N226" s="17">
        <f t="shared" si="150"/>
        <v>426.92172179090403</v>
      </c>
      <c r="O226" s="17">
        <f t="shared" si="150"/>
        <v>397.88764444109393</v>
      </c>
      <c r="P226" s="17">
        <f t="shared" si="150"/>
        <v>434.44407368635984</v>
      </c>
      <c r="Q226" s="86">
        <f t="shared" si="150"/>
        <v>4808.4855656417376</v>
      </c>
      <c r="R226" s="427"/>
    </row>
    <row r="227" spans="3:18" x14ac:dyDescent="0.25">
      <c r="C227" s="800" t="s">
        <v>369</v>
      </c>
      <c r="D227" s="801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</row>
    <row r="228" spans="3:18" x14ac:dyDescent="0.25">
      <c r="C228" s="753" t="s">
        <v>349</v>
      </c>
      <c r="D228" s="754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</row>
    <row r="229" spans="3:18" x14ac:dyDescent="0.25">
      <c r="C229" s="805" t="s">
        <v>370</v>
      </c>
      <c r="D229" s="17" t="s">
        <v>371</v>
      </c>
      <c r="E229" s="66">
        <f>SUM('[33]TGNPDCL MoD'!U25:U30)</f>
        <v>5.40292772815872</v>
      </c>
      <c r="F229" s="66">
        <f>SUM('[33]TGNPDCL MoD'!V25:V30)</f>
        <v>7.2909862646111776</v>
      </c>
      <c r="G229" s="66">
        <f>SUM('[33]TGNPDCL MoD'!W25:W30)</f>
        <v>7.4489538524623518</v>
      </c>
      <c r="H229" s="66">
        <f>SUM('[33]TGNPDCL MoD'!X25:X30)</f>
        <v>5.3894782336922695</v>
      </c>
      <c r="I229" s="66">
        <f>SUM('[33]TGNPDCL MoD'!Y25:Y30)</f>
        <v>4.6960279274565426</v>
      </c>
      <c r="J229" s="66">
        <f>SUM('[33]TGNPDCL MoD'!Z25:Z30)</f>
        <v>4.907594492710512</v>
      </c>
      <c r="K229" s="66">
        <f>SUM('[33]TGNPDCL MoD'!AA25:AA30)</f>
        <v>4.6960279274565426</v>
      </c>
      <c r="L229" s="66">
        <f>SUM('[33]TGNPDCL MoD'!AB25:AB30)</f>
        <v>6.742206044283078</v>
      </c>
      <c r="M229" s="66">
        <f>SUM('[33]TGNPDCL MoD'!AC25:AC30)</f>
        <v>4.0673741883009313</v>
      </c>
      <c r="N229" s="66">
        <f>SUM('[33]TGNPDCL MoD'!AD25:AD30)</f>
        <v>4.2838831050614692</v>
      </c>
      <c r="O229" s="66">
        <f>SUM('[33]TGNPDCL MoD'!AE25:AE30)</f>
        <v>5.6310743886099415</v>
      </c>
      <c r="P229" s="66">
        <f>SUM('[33]TGNPDCL MoD'!AF25:AF30)</f>
        <v>6.7593696933503029</v>
      </c>
      <c r="Q229" s="66">
        <f t="shared" ref="Q229:Q255" si="151">SUM(E229:P229)</f>
        <v>67.315903846153844</v>
      </c>
    </row>
    <row r="230" spans="3:18" x14ac:dyDescent="0.25">
      <c r="C230" s="806"/>
      <c r="D230" s="17" t="s">
        <v>372</v>
      </c>
      <c r="E230" s="66">
        <f>'[33]TGNPDCL MoD'!U31</f>
        <v>1.5164328304840207</v>
      </c>
      <c r="F230" s="66">
        <f>'[33]TGNPDCL MoD'!V31</f>
        <v>1.8531248734262646</v>
      </c>
      <c r="G230" s="66">
        <f>'[33]TGNPDCL MoD'!W31</f>
        <v>1.7933466517028371</v>
      </c>
      <c r="H230" s="66">
        <f>'[33]TGNPDCL MoD'!X31</f>
        <v>0</v>
      </c>
      <c r="I230" s="66">
        <f>'[33]TGNPDCL MoD'!Y31</f>
        <v>0.59954040022614397</v>
      </c>
      <c r="J230" s="66">
        <f>'[33]TGNPDCL MoD'!Z31</f>
        <v>1.2395190092651953</v>
      </c>
      <c r="K230" s="66">
        <f>'[33]TGNPDCL MoD'!AA31</f>
        <v>1.1990808004522879</v>
      </c>
      <c r="L230" s="66">
        <f>'[33]TGNPDCL MoD'!AB31</f>
        <v>1.7142284170688882</v>
      </c>
      <c r="M230" s="66">
        <f>'[33]TGNPDCL MoD'!AC31</f>
        <v>1.4852250823784023</v>
      </c>
      <c r="N230" s="66">
        <f>'[33]TGNPDCL MoD'!AD31</f>
        <v>1.5261028369392804</v>
      </c>
      <c r="O230" s="66">
        <f>'[33]TGNPDCL MoD'!AE31</f>
        <v>1.4522591512809293</v>
      </c>
      <c r="P230" s="66">
        <f>'[33]TGNPDCL MoD'!AF31</f>
        <v>1.6487361006219028</v>
      </c>
      <c r="Q230" s="66">
        <f t="shared" si="151"/>
        <v>16.027596153846151</v>
      </c>
    </row>
    <row r="231" spans="3:18" x14ac:dyDescent="0.25">
      <c r="C231" s="806"/>
      <c r="D231" s="17" t="s">
        <v>373</v>
      </c>
      <c r="E231" s="66">
        <f>SUM('[33]TGNPDCL MoD'!U42:U45)</f>
        <v>5.4581434322148494</v>
      </c>
      <c r="F231" s="66">
        <f>SUM('[33]TGNPDCL MoD'!V42:V45)</f>
        <v>5.4114295920292275</v>
      </c>
      <c r="G231" s="66">
        <f>SUM('[33]TGNPDCL MoD'!W42:W45)</f>
        <v>5.3475053896699531</v>
      </c>
      <c r="H231" s="66">
        <f>SUM('[33]TGNPDCL MoD'!X42:X45)</f>
        <v>5.7544075239184025</v>
      </c>
      <c r="I231" s="66">
        <f>SUM('[33]TGNPDCL MoD'!Y42:Y45)</f>
        <v>5.1827776374364429</v>
      </c>
      <c r="J231" s="66">
        <f>SUM('[33]TGNPDCL MoD'!Z42:Z45)</f>
        <v>5.8534707656979617</v>
      </c>
      <c r="K231" s="66">
        <f>SUM('[33]TGNPDCL MoD'!AA42:AA45)</f>
        <v>5.4114295920292275</v>
      </c>
      <c r="L231" s="66">
        <f>SUM('[33]TGNPDCL MoD'!AB42:AB45)</f>
        <v>3.9221883002173499</v>
      </c>
      <c r="M231" s="66">
        <f>SUM('[33]TGNPDCL MoD'!AC42:AC45)</f>
        <v>3.3786739570092896</v>
      </c>
      <c r="N231" s="66">
        <f>SUM('[33]TGNPDCL MoD'!AD42:AD45)</f>
        <v>4.8852027406897047</v>
      </c>
      <c r="O231" s="66">
        <f>SUM('[33]TGNPDCL MoD'!AE42:AE45)</f>
        <v>5.1423856132800232</v>
      </c>
      <c r="P231" s="66">
        <f>SUM('[33]TGNPDCL MoD'!AF42:AF45)</f>
        <v>6.0973854558075784</v>
      </c>
      <c r="Q231" s="66">
        <f t="shared" si="151"/>
        <v>61.84500000000002</v>
      </c>
    </row>
    <row r="232" spans="3:18" x14ac:dyDescent="0.25">
      <c r="C232" s="806"/>
      <c r="D232" s="17" t="s">
        <v>374</v>
      </c>
      <c r="E232" s="66">
        <f>'[33]TGNPDCL MoD'!U40</f>
        <v>10.964449168493669</v>
      </c>
      <c r="F232" s="66">
        <f>'[33]TGNPDCL MoD'!V40</f>
        <v>13.816237941457477</v>
      </c>
      <c r="G232" s="66">
        <f>'[33]TGNPDCL MoD'!W40</f>
        <v>13.567983006006816</v>
      </c>
      <c r="H232" s="66">
        <f>'[33]TGNPDCL MoD'!X40</f>
        <v>9.2055687810478091</v>
      </c>
      <c r="I232" s="66">
        <f>'[33]TGNPDCL MoD'!Y40</f>
        <v>8.4974481055825937</v>
      </c>
      <c r="J232" s="66">
        <f>'[33]TGNPDCL MoD'!Z40</f>
        <v>8.9086149494011053</v>
      </c>
      <c r="K232" s="66">
        <f>'[33]TGNPDCL MoD'!AA40</f>
        <v>8.4974481055825937</v>
      </c>
      <c r="L232" s="66">
        <f>'[33]TGNPDCL MoD'!AB40</f>
        <v>0</v>
      </c>
      <c r="M232" s="66">
        <f>'[33]TGNPDCL MoD'!AC40</f>
        <v>4.7798145593902079</v>
      </c>
      <c r="N232" s="66">
        <f>'[33]TGNPDCL MoD'!AD40</f>
        <v>9.5596291187804159</v>
      </c>
      <c r="O232" s="66">
        <f>'[33]TGNPDCL MoD'!AE40</f>
        <v>10.557619130679653</v>
      </c>
      <c r="P232" s="66">
        <f>'[33]TGNPDCL MoD'!AF40</f>
        <v>12.392111820641283</v>
      </c>
      <c r="Q232" s="66">
        <f t="shared" si="151"/>
        <v>110.74692468706363</v>
      </c>
    </row>
    <row r="233" spans="3:18" x14ac:dyDescent="0.25">
      <c r="C233" s="806"/>
      <c r="D233" s="17" t="s">
        <v>375</v>
      </c>
      <c r="E233" s="66">
        <f>'[33]TGNPDCL MoD'!U41</f>
        <v>11.083110595440079</v>
      </c>
      <c r="F233" s="66">
        <f>'[33]TGNPDCL MoD'!V41</f>
        <v>14.315684519110102</v>
      </c>
      <c r="G233" s="66">
        <f>'[33]TGNPDCL MoD'!W41</f>
        <v>0</v>
      </c>
      <c r="H233" s="66">
        <f>'[33]TGNPDCL MoD'!X41</f>
        <v>4.6525974687107787</v>
      </c>
      <c r="I233" s="66">
        <f>'[33]TGNPDCL MoD'!Y41</f>
        <v>8.5894107114660603</v>
      </c>
      <c r="J233" s="66">
        <f>'[33]TGNPDCL MoD'!Z41</f>
        <v>9.0050273587950613</v>
      </c>
      <c r="K233" s="66">
        <f>'[33]TGNPDCL MoD'!AA41</f>
        <v>8.5894107114660603</v>
      </c>
      <c r="L233" s="66">
        <f>'[33]TGNPDCL MoD'!AB41</f>
        <v>11.668533926577416</v>
      </c>
      <c r="M233" s="66">
        <f>'[33]TGNPDCL MoD'!AC41</f>
        <v>9.6630870503993158</v>
      </c>
      <c r="N233" s="66">
        <f>'[33]TGNPDCL MoD'!AD41</f>
        <v>9.6630870503993158</v>
      </c>
      <c r="O233" s="66">
        <f>'[33]TGNPDCL MoD'!AE41</f>
        <v>10.990751340478074</v>
      </c>
      <c r="P233" s="66">
        <f>'[33]TGNPDCL MoD'!AF41</f>
        <v>12.526223954221336</v>
      </c>
      <c r="Q233" s="66">
        <f t="shared" si="151"/>
        <v>110.74692468706358</v>
      </c>
    </row>
    <row r="234" spans="3:18" x14ac:dyDescent="0.25">
      <c r="C234" s="806"/>
      <c r="D234" s="17" t="s">
        <v>376</v>
      </c>
      <c r="E234" s="66">
        <f>SUM('[33]TGNPDCL MoD'!U49:U51)</f>
        <v>8.6566756902068569</v>
      </c>
      <c r="F234" s="66">
        <f>SUM('[33]TGNPDCL MoD'!V49:V51)</f>
        <v>11.238167528323782</v>
      </c>
      <c r="G234" s="66">
        <f>SUM('[33]TGNPDCL MoD'!W49:W51)</f>
        <v>7.0386231909366899</v>
      </c>
      <c r="H234" s="66">
        <f>SUM('[33]TGNPDCL MoD'!X49:X51)</f>
        <v>6.175640787078942</v>
      </c>
      <c r="I234" s="66">
        <f>SUM('[33]TGNPDCL MoD'!Y49:Y51)</f>
        <v>6.9253405521654745</v>
      </c>
      <c r="J234" s="66">
        <f>SUM('[33]TGNPDCL MoD'!Z49:Z51)</f>
        <v>6.8395860948006026</v>
      </c>
      <c r="K234" s="66">
        <f>SUM('[33]TGNPDCL MoD'!AA49:AA51)</f>
        <v>6.9253405521654745</v>
      </c>
      <c r="L234" s="66">
        <f>SUM('[33]TGNPDCL MoD'!AB49:AB51)</f>
        <v>5.6013175790528393</v>
      </c>
      <c r="M234" s="66">
        <f>SUM('[33]TGNPDCL MoD'!AC49:AC51)</f>
        <v>6.2467057149397291</v>
      </c>
      <c r="N234" s="66">
        <f>SUM('[33]TGNPDCL MoD'!AD49:AD51)</f>
        <v>7.5024522648459353</v>
      </c>
      <c r="O234" s="66">
        <f>SUM('[33]TGNPDCL MoD'!AE49:AE51)</f>
        <v>8.3401950735756429</v>
      </c>
      <c r="P234" s="66">
        <f>SUM('[33]TGNPDCL MoD'!AF49:AF51)</f>
        <v>10.099454971908008</v>
      </c>
      <c r="Q234" s="66">
        <f t="shared" si="151"/>
        <v>91.589499999999973</v>
      </c>
    </row>
    <row r="235" spans="3:18" x14ac:dyDescent="0.25">
      <c r="C235" s="806"/>
      <c r="D235" s="17" t="s">
        <v>377</v>
      </c>
      <c r="E235" s="17">
        <f>'[33]TGNPDCL MoD'!U53</f>
        <v>0</v>
      </c>
      <c r="F235" s="17">
        <f>'[33]TGNPDCL MoD'!V53</f>
        <v>0</v>
      </c>
      <c r="G235" s="17">
        <f>'[33]TGNPDCL MoD'!W53</f>
        <v>0</v>
      </c>
      <c r="H235" s="17">
        <f>'[33]TGNPDCL MoD'!X53</f>
        <v>0</v>
      </c>
      <c r="I235" s="17">
        <f>'[33]TGNPDCL MoD'!Y53</f>
        <v>0</v>
      </c>
      <c r="J235" s="17">
        <f>'[33]TGNPDCL MoD'!Z53</f>
        <v>0</v>
      </c>
      <c r="K235" s="17">
        <f>'[33]TGNPDCL MoD'!AA53</f>
        <v>0</v>
      </c>
      <c r="L235" s="17">
        <f>'[33]TGNPDCL MoD'!AB53</f>
        <v>0</v>
      </c>
      <c r="M235" s="17">
        <f>'[33]TGNPDCL MoD'!AC53</f>
        <v>0</v>
      </c>
      <c r="N235" s="17">
        <f>'[33]TGNPDCL MoD'!AD53</f>
        <v>0</v>
      </c>
      <c r="O235" s="17">
        <f>'[33]TGNPDCL MoD'!AE53</f>
        <v>0</v>
      </c>
      <c r="P235" s="17">
        <f>'[33]TGNPDCL MoD'!AF53</f>
        <v>0</v>
      </c>
      <c r="Q235" s="17">
        <f t="shared" si="151"/>
        <v>0</v>
      </c>
    </row>
    <row r="236" spans="3:18" x14ac:dyDescent="0.25">
      <c r="C236" s="806"/>
      <c r="D236" s="17" t="s">
        <v>378</v>
      </c>
      <c r="E236" s="17">
        <f>'[33]TGNPDCL MoD'!U54</f>
        <v>0</v>
      </c>
      <c r="F236" s="17">
        <f>'[33]TGNPDCL MoD'!V54</f>
        <v>0</v>
      </c>
      <c r="G236" s="17">
        <f>'[33]TGNPDCL MoD'!W54</f>
        <v>0</v>
      </c>
      <c r="H236" s="17">
        <f>'[33]TGNPDCL MoD'!X54</f>
        <v>0</v>
      </c>
      <c r="I236" s="17">
        <f>'[33]TGNPDCL MoD'!Y54</f>
        <v>0</v>
      </c>
      <c r="J236" s="17">
        <f>'[33]TGNPDCL MoD'!Z54</f>
        <v>0</v>
      </c>
      <c r="K236" s="17">
        <f>'[33]TGNPDCL MoD'!AA54</f>
        <v>0</v>
      </c>
      <c r="L236" s="17">
        <f>'[33]TGNPDCL MoD'!AB54</f>
        <v>0</v>
      </c>
      <c r="M236" s="17">
        <f>'[33]TGNPDCL MoD'!AC54</f>
        <v>0</v>
      </c>
      <c r="N236" s="17">
        <f>'[33]TGNPDCL MoD'!AD54</f>
        <v>0</v>
      </c>
      <c r="O236" s="17">
        <f>'[33]TGNPDCL MoD'!AE54</f>
        <v>0</v>
      </c>
      <c r="P236" s="17">
        <f>'[33]TGNPDCL MoD'!AF54</f>
        <v>0</v>
      </c>
      <c r="Q236" s="17">
        <f t="shared" si="151"/>
        <v>0</v>
      </c>
    </row>
    <row r="237" spans="3:18" x14ac:dyDescent="0.25">
      <c r="C237" s="807"/>
      <c r="D237" s="17" t="s">
        <v>379</v>
      </c>
      <c r="E237" s="66">
        <f>'[33]TGNPDCL MoD'!U55</f>
        <v>29.238048278242267</v>
      </c>
      <c r="F237" s="66">
        <f>'[33]TGNPDCL MoD'!V55</f>
        <v>30.033642379830923</v>
      </c>
      <c r="G237" s="66">
        <f>'[33]TGNPDCL MoD'!W55</f>
        <v>29.064815206287989</v>
      </c>
      <c r="H237" s="66">
        <f>'[33]TGNPDCL MoD'!X55</f>
        <v>29.021229362283641</v>
      </c>
      <c r="I237" s="66">
        <f>'[33]TGNPDCL MoD'!Y55</f>
        <v>23.416102078209889</v>
      </c>
      <c r="J237" s="66">
        <f>'[33]TGNPDCL MoD'!Z55</f>
        <v>25.540095033372946</v>
      </c>
      <c r="K237" s="66">
        <f>'[33]TGNPDCL MoD'!AA55</f>
        <v>23.388248628071516</v>
      </c>
      <c r="L237" s="66">
        <f>'[33]TGNPDCL MoD'!AB55</f>
        <v>29.705950835838472</v>
      </c>
      <c r="M237" s="66">
        <f>'[33]TGNPDCL MoD'!AC55</f>
        <v>29.265291885873204</v>
      </c>
      <c r="N237" s="66">
        <f>'[33]TGNPDCL MoD'!AD55</f>
        <v>26.302853646881214</v>
      </c>
      <c r="O237" s="66">
        <f>'[33]TGNPDCL MoD'!AE55</f>
        <v>25.840233357273735</v>
      </c>
      <c r="P237" s="66">
        <f>'[33]TGNPDCL MoD'!AF55</f>
        <v>30.790489307834132</v>
      </c>
      <c r="Q237" s="66">
        <f t="shared" si="151"/>
        <v>331.60699999999997</v>
      </c>
    </row>
    <row r="238" spans="3:18" x14ac:dyDescent="0.25">
      <c r="C238" s="17"/>
      <c r="D238" s="125" t="s">
        <v>451</v>
      </c>
      <c r="E238" s="66">
        <f>'[33]TGNPDCL MoD'!U56</f>
        <v>29.469909420573298</v>
      </c>
      <c r="F238" s="66">
        <f>'[33]TGNPDCL MoD'!V56</f>
        <v>30.908245738667357</v>
      </c>
      <c r="G238" s="66">
        <f>'[33]TGNPDCL MoD'!W56</f>
        <v>29.911205553549046</v>
      </c>
      <c r="H238" s="66">
        <f>'[33]TGNPDCL MoD'!X56</f>
        <v>29.339699239764741</v>
      </c>
      <c r="I238" s="66">
        <f>'[33]TGNPDCL MoD'!Y56</f>
        <v>22.700412941475921</v>
      </c>
      <c r="J238" s="66">
        <f>'[33]TGNPDCL MoD'!Z56</f>
        <v>23.79701255002059</v>
      </c>
      <c r="K238" s="66">
        <f>'[33]TGNPDCL MoD'!AA56</f>
        <v>23.360455108780798</v>
      </c>
      <c r="L238" s="66">
        <f>'[33]TGNPDCL MoD'!AB56</f>
        <v>30.571011558406752</v>
      </c>
      <c r="M238" s="66">
        <f>'[33]TGNPDCL MoD'!AC56</f>
        <v>27.821692865664723</v>
      </c>
      <c r="N238" s="66">
        <f>'[33]TGNPDCL MoD'!AD56</f>
        <v>26.817448508549624</v>
      </c>
      <c r="O238" s="66">
        <f>'[33]TGNPDCL MoD'!AE56</f>
        <v>26.001660775879753</v>
      </c>
      <c r="P238" s="66">
        <f>'[33]TGNPDCL MoD'!AF56</f>
        <v>30.908245738667357</v>
      </c>
      <c r="Q238" s="66">
        <f t="shared" si="151"/>
        <v>331.60699999999997</v>
      </c>
    </row>
    <row r="239" spans="3:18" x14ac:dyDescent="0.25">
      <c r="C239" s="17"/>
      <c r="D239" s="17" t="s">
        <v>385</v>
      </c>
      <c r="E239" s="17">
        <f>'[33]TGNPDCL MoD'!U46</f>
        <v>0</v>
      </c>
      <c r="F239" s="17">
        <f>'[33]TGNPDCL MoD'!V46</f>
        <v>0</v>
      </c>
      <c r="G239" s="17">
        <f>'[33]TGNPDCL MoD'!W46</f>
        <v>0</v>
      </c>
      <c r="H239" s="17">
        <f>'[33]TGNPDCL MoD'!X46</f>
        <v>0</v>
      </c>
      <c r="I239" s="17">
        <f>'[33]TGNPDCL MoD'!Y46</f>
        <v>0</v>
      </c>
      <c r="J239" s="17">
        <f>'[33]TGNPDCL MoD'!Z46</f>
        <v>0</v>
      </c>
      <c r="K239" s="17">
        <f>'[33]TGNPDCL MoD'!AA46</f>
        <v>0</v>
      </c>
      <c r="L239" s="17">
        <f>'[33]TGNPDCL MoD'!AB46</f>
        <v>0</v>
      </c>
      <c r="M239" s="17">
        <f>'[33]TGNPDCL MoD'!AC46</f>
        <v>0</v>
      </c>
      <c r="N239" s="17">
        <f>'[33]TGNPDCL MoD'!AD46</f>
        <v>0</v>
      </c>
      <c r="O239" s="17">
        <f>'[33]TGNPDCL MoD'!AE46</f>
        <v>0</v>
      </c>
      <c r="P239" s="17">
        <f>'[33]TGNPDCL MoD'!AF46</f>
        <v>0</v>
      </c>
      <c r="Q239" s="17">
        <f t="shared" si="151"/>
        <v>0</v>
      </c>
    </row>
    <row r="240" spans="3:18" x14ac:dyDescent="0.25">
      <c r="C240" s="17"/>
      <c r="D240" s="17" t="s">
        <v>386</v>
      </c>
      <c r="E240" s="17">
        <f>'[33]TGNPDCL MoD'!U35</f>
        <v>0</v>
      </c>
      <c r="F240" s="17">
        <f>'[33]TGNPDCL MoD'!V35</f>
        <v>0</v>
      </c>
      <c r="G240" s="17">
        <f>'[33]TGNPDCL MoD'!W35</f>
        <v>0</v>
      </c>
      <c r="H240" s="17">
        <f>'[33]TGNPDCL MoD'!X35</f>
        <v>0</v>
      </c>
      <c r="I240" s="17">
        <f>'[33]TGNPDCL MoD'!Y35</f>
        <v>0</v>
      </c>
      <c r="J240" s="17">
        <f>'[33]TGNPDCL MoD'!Z35</f>
        <v>0</v>
      </c>
      <c r="K240" s="17">
        <f>'[33]TGNPDCL MoD'!AA35</f>
        <v>0</v>
      </c>
      <c r="L240" s="17">
        <f>'[33]TGNPDCL MoD'!AB35</f>
        <v>0</v>
      </c>
      <c r="M240" s="17">
        <f>'[33]TGNPDCL MoD'!AC35</f>
        <v>0</v>
      </c>
      <c r="N240" s="17">
        <f>'[33]TGNPDCL MoD'!AD35</f>
        <v>0</v>
      </c>
      <c r="O240" s="17">
        <f>'[33]TGNPDCL MoD'!AE35</f>
        <v>0</v>
      </c>
      <c r="P240" s="17">
        <f>'[33]TGNPDCL MoD'!AF35</f>
        <v>0</v>
      </c>
      <c r="Q240" s="17">
        <f t="shared" si="151"/>
        <v>0</v>
      </c>
    </row>
    <row r="241" spans="3:18" x14ac:dyDescent="0.25">
      <c r="C241" s="17"/>
      <c r="D241" s="17" t="s">
        <v>380</v>
      </c>
      <c r="E241" s="66">
        <f>'[33]TGNPDCL MoD'!U33</f>
        <v>5.0936395759716632E-2</v>
      </c>
      <c r="F241" s="66">
        <f>'[33]TGNPDCL MoD'!V33</f>
        <v>6.451943462897701E-2</v>
      </c>
      <c r="G241" s="66">
        <f>'[33]TGNPDCL MoD'!W33</f>
        <v>6.4081272084803131E-2</v>
      </c>
      <c r="H241" s="66">
        <f>'[33]TGNPDCL MoD'!X33</f>
        <v>4.4144876325088817E-2</v>
      </c>
      <c r="I241" s="66">
        <f>'[33]TGNPDCL MoD'!Y33</f>
        <v>4.0749116607774791E-2</v>
      </c>
      <c r="J241" s="66">
        <f>'[33]TGNPDCL MoD'!Z33</f>
        <v>3.9434628975265937E-2</v>
      </c>
      <c r="K241" s="66">
        <f>'[33]TGNPDCL MoD'!AA33</f>
        <v>4.0749116607774791E-2</v>
      </c>
      <c r="L241" s="66">
        <f>'[33]TGNPDCL MoD'!AB33</f>
        <v>4.9293286219080822E-2</v>
      </c>
      <c r="M241" s="66">
        <f>'[33]TGNPDCL MoD'!AC33</f>
        <v>4.4144876325088817E-2</v>
      </c>
      <c r="N241" s="66">
        <f>'[33]TGNPDCL MoD'!AD33</f>
        <v>4.4144876325088817E-2</v>
      </c>
      <c r="O241" s="66">
        <f>'[33]TGNPDCL MoD'!AE33</f>
        <v>4.9074204946995617E-2</v>
      </c>
      <c r="P241" s="66">
        <f>'[33]TGNPDCL MoD'!AF33</f>
        <v>5.7727915194344878E-2</v>
      </c>
      <c r="Q241" s="66">
        <f t="shared" si="151"/>
        <v>0.58900000000000008</v>
      </c>
    </row>
    <row r="242" spans="3:18" x14ac:dyDescent="0.25">
      <c r="C242" s="17"/>
      <c r="D242" s="17" t="s">
        <v>381</v>
      </c>
      <c r="E242" s="17">
        <f>'[33]TGNPDCL MoD'!U34</f>
        <v>0</v>
      </c>
      <c r="F242" s="17">
        <f>'[33]TGNPDCL MoD'!V34</f>
        <v>0</v>
      </c>
      <c r="G242" s="17">
        <f>'[33]TGNPDCL MoD'!W34</f>
        <v>0</v>
      </c>
      <c r="H242" s="17">
        <f>'[33]TGNPDCL MoD'!X34</f>
        <v>0</v>
      </c>
      <c r="I242" s="17">
        <f>'[33]TGNPDCL MoD'!Y34</f>
        <v>0</v>
      </c>
      <c r="J242" s="17">
        <f>'[33]TGNPDCL MoD'!Z34</f>
        <v>0</v>
      </c>
      <c r="K242" s="17">
        <f>'[33]TGNPDCL MoD'!AA34</f>
        <v>0</v>
      </c>
      <c r="L242" s="17">
        <f>'[33]TGNPDCL MoD'!AB34</f>
        <v>0</v>
      </c>
      <c r="M242" s="17">
        <f>'[33]TGNPDCL MoD'!AC34</f>
        <v>0</v>
      </c>
      <c r="N242" s="17">
        <f>'[33]TGNPDCL MoD'!AD34</f>
        <v>0</v>
      </c>
      <c r="O242" s="17">
        <f>'[33]TGNPDCL MoD'!AE34</f>
        <v>0</v>
      </c>
      <c r="P242" s="17">
        <f>'[33]TGNPDCL MoD'!AF34</f>
        <v>0</v>
      </c>
      <c r="Q242" s="17">
        <f t="shared" si="151"/>
        <v>0</v>
      </c>
    </row>
    <row r="243" spans="3:18" x14ac:dyDescent="0.25">
      <c r="C243" s="17"/>
      <c r="D243" s="17" t="s">
        <v>382</v>
      </c>
      <c r="E243" s="66">
        <f>'[33]TGNPDCL MoD'!U52</f>
        <v>1.9595002090471259</v>
      </c>
      <c r="F243" s="66">
        <f>'[33]TGNPDCL MoD'!V52</f>
        <v>2.0248168826820296</v>
      </c>
      <c r="G243" s="66">
        <f>'[33]TGNPDCL MoD'!W52</f>
        <v>1.9595002090471259</v>
      </c>
      <c r="H243" s="66">
        <f>'[33]TGNPDCL MoD'!X52</f>
        <v>2.067594704147143</v>
      </c>
      <c r="I243" s="66">
        <f>'[33]TGNPDCL MoD'!Y52</f>
        <v>1.7003032471910231</v>
      </c>
      <c r="J243" s="66">
        <f>'[33]TGNPDCL MoD'!Z52</f>
        <v>1.876704425566261</v>
      </c>
      <c r="K243" s="66">
        <f>'[33]TGNPDCL MoD'!AA52</f>
        <v>1.5970386680308972</v>
      </c>
      <c r="L243" s="66">
        <f>'[33]TGNPDCL MoD'!AB52</f>
        <v>1.9595002090471259</v>
      </c>
      <c r="M243" s="66">
        <f>'[33]TGNPDCL MoD'!AC52</f>
        <v>2.0248168826820296</v>
      </c>
      <c r="N243" s="66">
        <f>'[33]TGNPDCL MoD'!AD52</f>
        <v>1.8964834182866901</v>
      </c>
      <c r="O243" s="66">
        <f>'[33]TGNPDCL MoD'!AE52</f>
        <v>1.7515907971951772</v>
      </c>
      <c r="P243" s="66">
        <f>'[33]TGNPDCL MoD'!AF52</f>
        <v>2.1531503470773701</v>
      </c>
      <c r="Q243" s="66">
        <f t="shared" si="151"/>
        <v>22.971</v>
      </c>
    </row>
    <row r="244" spans="3:18" x14ac:dyDescent="0.25">
      <c r="C244" s="17"/>
      <c r="D244" s="17" t="s">
        <v>667</v>
      </c>
      <c r="E244" s="66">
        <f>'[33]TGNPDCL MoD'!U47</f>
        <v>3.8624316493537174</v>
      </c>
      <c r="F244" s="66">
        <f>'[33]TGNPDCL MoD'!V47</f>
        <v>0</v>
      </c>
      <c r="G244" s="66">
        <f>'[33]TGNPDCL MoD'!W47</f>
        <v>1.9952212982156656</v>
      </c>
      <c r="H244" s="66">
        <f>'[33]TGNPDCL MoD'!X47</f>
        <v>3.8505814956250477</v>
      </c>
      <c r="I244" s="66">
        <f>'[33]TGNPDCL MoD'!Y47</f>
        <v>2.8500366975492484</v>
      </c>
      <c r="J244" s="66">
        <f>'[33]TGNPDCL MoD'!Z47</f>
        <v>3.1101979060420759</v>
      </c>
      <c r="K244" s="66">
        <f>'[33]TGNPDCL MoD'!AA47</f>
        <v>3.0319539335630292</v>
      </c>
      <c r="L244" s="66">
        <f>'[33]TGNPDCL MoD'!AB47</f>
        <v>4.078467065470269</v>
      </c>
      <c r="M244" s="66">
        <f>'[33]TGNPDCL MoD'!AC47</f>
        <v>3.5777056416043758</v>
      </c>
      <c r="N244" s="66">
        <f>'[33]TGNPDCL MoD'!AD47</f>
        <v>3.5777056416043758</v>
      </c>
      <c r="O244" s="66">
        <f>'[33]TGNPDCL MoD'!AE47</f>
        <v>3.3957884055905936</v>
      </c>
      <c r="P244" s="66">
        <f>'[33]TGNPDCL MoD'!AF47</f>
        <v>4.0714102653815942</v>
      </c>
      <c r="Q244" s="66">
        <f t="shared" si="151"/>
        <v>37.401499999999992</v>
      </c>
    </row>
    <row r="245" spans="3:18" x14ac:dyDescent="0.2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>
        <f t="shared" si="151"/>
        <v>0</v>
      </c>
    </row>
    <row r="246" spans="3:18" x14ac:dyDescent="0.25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>
        <f t="shared" si="151"/>
        <v>0</v>
      </c>
    </row>
    <row r="247" spans="3:18" x14ac:dyDescent="0.25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>
        <f t="shared" si="151"/>
        <v>0</v>
      </c>
    </row>
    <row r="248" spans="3:18" x14ac:dyDescent="0.25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>
        <f t="shared" si="151"/>
        <v>0</v>
      </c>
    </row>
    <row r="249" spans="3:18" x14ac:dyDescent="0.25"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>
        <f t="shared" si="151"/>
        <v>0</v>
      </c>
    </row>
    <row r="250" spans="3:18" x14ac:dyDescent="0.25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>
        <f t="shared" si="151"/>
        <v>0</v>
      </c>
    </row>
    <row r="251" spans="3:18" x14ac:dyDescent="0.25"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>
        <f t="shared" si="151"/>
        <v>0</v>
      </c>
    </row>
    <row r="252" spans="3:18" x14ac:dyDescent="0.25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>
        <f t="shared" si="151"/>
        <v>0</v>
      </c>
    </row>
    <row r="253" spans="3:18" x14ac:dyDescent="0.25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>
        <f t="shared" si="151"/>
        <v>0</v>
      </c>
    </row>
    <row r="254" spans="3:18" x14ac:dyDescent="0.25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>
        <f t="shared" si="151"/>
        <v>0</v>
      </c>
    </row>
    <row r="255" spans="3:18" x14ac:dyDescent="0.25">
      <c r="C255" s="751" t="s">
        <v>212</v>
      </c>
      <c r="D255" s="752"/>
      <c r="E255" s="66">
        <f t="shared" ref="E255:P255" si="152">SUM(E229:E254)</f>
        <v>107.66256539797433</v>
      </c>
      <c r="F255" s="66">
        <f t="shared" si="152"/>
        <v>116.95685515476733</v>
      </c>
      <c r="G255" s="66">
        <f t="shared" si="152"/>
        <v>98.191235629963273</v>
      </c>
      <c r="H255" s="66">
        <f t="shared" si="152"/>
        <v>95.500942472593863</v>
      </c>
      <c r="I255" s="66">
        <f t="shared" si="152"/>
        <v>85.198149415367098</v>
      </c>
      <c r="J255" s="66">
        <f t="shared" si="152"/>
        <v>91.11725721464758</v>
      </c>
      <c r="K255" s="66">
        <f t="shared" si="152"/>
        <v>86.737183144206199</v>
      </c>
      <c r="L255" s="66">
        <f t="shared" si="152"/>
        <v>96.012697222181259</v>
      </c>
      <c r="M255" s="66">
        <f t="shared" si="152"/>
        <v>92.354532704567305</v>
      </c>
      <c r="N255" s="66">
        <f t="shared" si="152"/>
        <v>96.058993208363134</v>
      </c>
      <c r="O255" s="66">
        <f t="shared" si="152"/>
        <v>99.152632238790517</v>
      </c>
      <c r="P255" s="66">
        <f t="shared" si="152"/>
        <v>117.50430557070521</v>
      </c>
      <c r="Q255" s="86">
        <f t="shared" si="151"/>
        <v>1182.447349374127</v>
      </c>
      <c r="R255" s="427"/>
    </row>
    <row r="256" spans="3:18" x14ac:dyDescent="0.25">
      <c r="C256" s="753" t="s">
        <v>387</v>
      </c>
      <c r="D256" s="754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</row>
    <row r="257" spans="3:18" x14ac:dyDescent="0.25">
      <c r="C257" s="805" t="s">
        <v>388</v>
      </c>
      <c r="D257" s="17" t="s">
        <v>389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f t="shared" ref="Q257:Q271" si="153">SUM(E257:P257)</f>
        <v>0</v>
      </c>
    </row>
    <row r="258" spans="3:18" x14ac:dyDescent="0.25">
      <c r="C258" s="806"/>
      <c r="D258" s="17" t="s">
        <v>390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f t="shared" si="153"/>
        <v>0</v>
      </c>
    </row>
    <row r="259" spans="3:18" x14ac:dyDescent="0.25">
      <c r="C259" s="806"/>
      <c r="D259" s="17" t="s">
        <v>391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f t="shared" si="153"/>
        <v>0</v>
      </c>
    </row>
    <row r="260" spans="3:18" x14ac:dyDescent="0.25">
      <c r="C260" s="807"/>
      <c r="D260" s="17" t="s">
        <v>392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f t="shared" si="153"/>
        <v>0</v>
      </c>
    </row>
    <row r="261" spans="3:18" x14ac:dyDescent="0.25">
      <c r="C261" s="17"/>
      <c r="D261" s="17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>
        <f t="shared" si="153"/>
        <v>0</v>
      </c>
    </row>
    <row r="262" spans="3:18" x14ac:dyDescent="0.25">
      <c r="C262" s="17"/>
      <c r="D262" s="17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>
        <f t="shared" si="153"/>
        <v>0</v>
      </c>
    </row>
    <row r="263" spans="3:18" x14ac:dyDescent="0.25">
      <c r="C263" s="17"/>
      <c r="D263" s="17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>
        <f t="shared" si="153"/>
        <v>0</v>
      </c>
    </row>
    <row r="264" spans="3:18" x14ac:dyDescent="0.25">
      <c r="C264" s="17"/>
      <c r="D264" s="17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>
        <f t="shared" si="153"/>
        <v>0</v>
      </c>
    </row>
    <row r="265" spans="3:18" x14ac:dyDescent="0.25">
      <c r="C265" s="17"/>
      <c r="D265" s="17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>
        <f t="shared" si="153"/>
        <v>0</v>
      </c>
    </row>
    <row r="266" spans="3:18" x14ac:dyDescent="0.25">
      <c r="C266" s="17"/>
      <c r="D266" s="17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>
        <f t="shared" si="153"/>
        <v>0</v>
      </c>
    </row>
    <row r="267" spans="3:18" x14ac:dyDescent="0.25">
      <c r="C267" s="17"/>
      <c r="D267" s="17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>
        <f t="shared" si="153"/>
        <v>0</v>
      </c>
    </row>
    <row r="268" spans="3:18" x14ac:dyDescent="0.25">
      <c r="C268" s="17"/>
      <c r="D268" s="17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>
        <f t="shared" si="153"/>
        <v>0</v>
      </c>
    </row>
    <row r="269" spans="3:18" x14ac:dyDescent="0.25">
      <c r="C269" s="17"/>
      <c r="D269" s="17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>
        <f t="shared" si="153"/>
        <v>0</v>
      </c>
    </row>
    <row r="270" spans="3:18" x14ac:dyDescent="0.25">
      <c r="C270" s="17"/>
      <c r="D270" s="17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>
        <f t="shared" si="153"/>
        <v>0</v>
      </c>
    </row>
    <row r="271" spans="3:18" x14ac:dyDescent="0.25">
      <c r="C271" s="751" t="s">
        <v>212</v>
      </c>
      <c r="D271" s="752"/>
      <c r="E271" s="66">
        <f t="shared" ref="E271:P271" si="154">SUM(E257:E270)</f>
        <v>0</v>
      </c>
      <c r="F271" s="66">
        <f t="shared" si="154"/>
        <v>0</v>
      </c>
      <c r="G271" s="66">
        <f t="shared" si="154"/>
        <v>0</v>
      </c>
      <c r="H271" s="66">
        <f t="shared" si="154"/>
        <v>0</v>
      </c>
      <c r="I271" s="66">
        <f t="shared" si="154"/>
        <v>0</v>
      </c>
      <c r="J271" s="66">
        <f t="shared" si="154"/>
        <v>0</v>
      </c>
      <c r="K271" s="66">
        <f t="shared" si="154"/>
        <v>0</v>
      </c>
      <c r="L271" s="66">
        <f t="shared" si="154"/>
        <v>0</v>
      </c>
      <c r="M271" s="66">
        <f t="shared" si="154"/>
        <v>0</v>
      </c>
      <c r="N271" s="66">
        <f t="shared" si="154"/>
        <v>0</v>
      </c>
      <c r="O271" s="66">
        <f t="shared" si="154"/>
        <v>0</v>
      </c>
      <c r="P271" s="66">
        <f t="shared" si="154"/>
        <v>0</v>
      </c>
      <c r="Q271" s="86">
        <f t="shared" si="153"/>
        <v>0</v>
      </c>
    </row>
    <row r="272" spans="3:18" x14ac:dyDescent="0.25">
      <c r="C272" s="753" t="s">
        <v>394</v>
      </c>
      <c r="D272" s="754"/>
      <c r="E272" s="66">
        <f t="shared" ref="E272:Q272" si="155">E255+E271</f>
        <v>107.66256539797433</v>
      </c>
      <c r="F272" s="66">
        <f t="shared" si="155"/>
        <v>116.95685515476733</v>
      </c>
      <c r="G272" s="66">
        <f t="shared" si="155"/>
        <v>98.191235629963273</v>
      </c>
      <c r="H272" s="66">
        <f t="shared" si="155"/>
        <v>95.500942472593863</v>
      </c>
      <c r="I272" s="66">
        <f t="shared" si="155"/>
        <v>85.198149415367098</v>
      </c>
      <c r="J272" s="66">
        <f t="shared" si="155"/>
        <v>91.11725721464758</v>
      </c>
      <c r="K272" s="66">
        <f t="shared" si="155"/>
        <v>86.737183144206199</v>
      </c>
      <c r="L272" s="66">
        <f t="shared" si="155"/>
        <v>96.012697222181259</v>
      </c>
      <c r="M272" s="66">
        <f t="shared" si="155"/>
        <v>92.354532704567305</v>
      </c>
      <c r="N272" s="66">
        <f t="shared" si="155"/>
        <v>96.058993208363134</v>
      </c>
      <c r="O272" s="66">
        <f t="shared" si="155"/>
        <v>99.152632238790517</v>
      </c>
      <c r="P272" s="66">
        <f t="shared" si="155"/>
        <v>117.50430557070521</v>
      </c>
      <c r="Q272" s="86">
        <f t="shared" si="155"/>
        <v>1182.447349374127</v>
      </c>
      <c r="R272" s="427"/>
    </row>
    <row r="273" spans="3:18" x14ac:dyDescent="0.25">
      <c r="C273" s="800" t="s">
        <v>395</v>
      </c>
      <c r="D273" s="801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</row>
    <row r="274" spans="3:18" x14ac:dyDescent="0.25">
      <c r="C274" s="17" t="s">
        <v>396</v>
      </c>
      <c r="D274" s="17" t="s">
        <v>396</v>
      </c>
      <c r="E274" s="66">
        <f>'[33]TGNPDCL MoD'!U23</f>
        <v>7.9144898881273793</v>
      </c>
      <c r="F274" s="66">
        <f>'[33]TGNPDCL MoD'!V23</f>
        <v>8.1334234042159004</v>
      </c>
      <c r="G274" s="66">
        <f>'[33]TGNPDCL MoD'!W23</f>
        <v>7.9144898881273704</v>
      </c>
      <c r="H274" s="66">
        <f>'[33]TGNPDCL MoD'!X23</f>
        <v>8.3510873350076356</v>
      </c>
      <c r="I274" s="66">
        <f>'[33]TGNPDCL MoD'!Y23</f>
        <v>6.7960572795234597</v>
      </c>
      <c r="J274" s="66">
        <f>'[33]TGNPDCL MoD'!Z23</f>
        <v>7.5800748224318539</v>
      </c>
      <c r="K274" s="66">
        <f>'[33]TGNPDCL MoD'!AA23</f>
        <v>6.4504950449714205</v>
      </c>
      <c r="L274" s="66">
        <f>'[33]TGNPDCL MoD'!AB23</f>
        <v>7.9144898881273704</v>
      </c>
      <c r="M274" s="66">
        <f>'[33]TGNPDCL MoD'!AC23</f>
        <v>8.178306217731615</v>
      </c>
      <c r="N274" s="66">
        <f>'[33]TGNPDCL MoD'!AD23</f>
        <v>7.5891213193715981</v>
      </c>
      <c r="O274" s="66">
        <f>'[33]TGNPDCL MoD'!AE23</f>
        <v>7.0224206672014855</v>
      </c>
      <c r="P274" s="66">
        <f>'[33]TGNPDCL MoD'!AF23</f>
        <v>8.6725015155266227</v>
      </c>
      <c r="Q274" s="17">
        <f t="shared" ref="Q274:Q281" si="156">SUM(E274:P274)</f>
        <v>92.516957270363704</v>
      </c>
    </row>
    <row r="275" spans="3:18" x14ac:dyDescent="0.25">
      <c r="C275" s="17" t="s">
        <v>397</v>
      </c>
      <c r="D275" s="17" t="s">
        <v>397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f t="shared" si="156"/>
        <v>0</v>
      </c>
    </row>
    <row r="276" spans="3:18" x14ac:dyDescent="0.25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>
        <f t="shared" si="156"/>
        <v>0</v>
      </c>
    </row>
    <row r="277" spans="3:18" x14ac:dyDescent="0.25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>
        <f t="shared" si="156"/>
        <v>0</v>
      </c>
    </row>
    <row r="278" spans="3:18" x14ac:dyDescent="0.25"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>
        <f t="shared" si="156"/>
        <v>0</v>
      </c>
    </row>
    <row r="279" spans="3:18" x14ac:dyDescent="0.25"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>
        <f t="shared" si="156"/>
        <v>0</v>
      </c>
    </row>
    <row r="280" spans="3:18" x14ac:dyDescent="0.25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>
        <f t="shared" si="156"/>
        <v>0</v>
      </c>
    </row>
    <row r="281" spans="3:18" x14ac:dyDescent="0.25">
      <c r="C281" s="753" t="s">
        <v>398</v>
      </c>
      <c r="D281" s="754"/>
      <c r="E281" s="66">
        <f t="shared" ref="E281:P281" si="157">SUM(E274:E280)</f>
        <v>7.9144898881273793</v>
      </c>
      <c r="F281" s="66">
        <f t="shared" si="157"/>
        <v>8.1334234042159004</v>
      </c>
      <c r="G281" s="66">
        <f t="shared" si="157"/>
        <v>7.9144898881273704</v>
      </c>
      <c r="H281" s="66">
        <f t="shared" si="157"/>
        <v>8.3510873350076356</v>
      </c>
      <c r="I281" s="66">
        <f t="shared" si="157"/>
        <v>6.7960572795234597</v>
      </c>
      <c r="J281" s="66">
        <f t="shared" si="157"/>
        <v>7.5800748224318539</v>
      </c>
      <c r="K281" s="66">
        <f t="shared" si="157"/>
        <v>6.4504950449714205</v>
      </c>
      <c r="L281" s="66">
        <f t="shared" si="157"/>
        <v>7.9144898881273704</v>
      </c>
      <c r="M281" s="66">
        <f t="shared" si="157"/>
        <v>8.178306217731615</v>
      </c>
      <c r="N281" s="66">
        <f t="shared" si="157"/>
        <v>7.5891213193715981</v>
      </c>
      <c r="O281" s="66">
        <f t="shared" si="157"/>
        <v>7.0224206672014855</v>
      </c>
      <c r="P281" s="66">
        <f t="shared" si="157"/>
        <v>8.6725015155266227</v>
      </c>
      <c r="Q281" s="86">
        <f t="shared" si="156"/>
        <v>92.516957270363704</v>
      </c>
      <c r="R281" s="427"/>
    </row>
    <row r="282" spans="3:18" x14ac:dyDescent="0.25">
      <c r="C282" s="800" t="s">
        <v>399</v>
      </c>
      <c r="D282" s="801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</row>
    <row r="283" spans="3:18" x14ac:dyDescent="0.25">
      <c r="C283" s="17" t="s">
        <v>400</v>
      </c>
      <c r="D283" s="17" t="s">
        <v>400</v>
      </c>
      <c r="E283" s="66">
        <f>'[33]TGNPDCL MoD'!U20+'[33]TGNPDCL MoD'!U21+'[33]TGNPDCL MoD'!U22</f>
        <v>39.238999408115163</v>
      </c>
      <c r="F283" s="66">
        <f>'[33]TGNPDCL MoD'!V20+'[33]TGNPDCL MoD'!V21+'[33]TGNPDCL MoD'!V22</f>
        <v>22.541454264241665</v>
      </c>
      <c r="G283" s="66">
        <f>'[33]TGNPDCL MoD'!W20+'[33]TGNPDCL MoD'!W21+'[33]TGNPDCL MoD'!W22</f>
        <v>10.720267055028</v>
      </c>
      <c r="H283" s="66">
        <f>'[33]TGNPDCL MoD'!X20+'[33]TGNPDCL MoD'!X21+'[33]TGNPDCL MoD'!X22</f>
        <v>28.228660089687764</v>
      </c>
      <c r="I283" s="66">
        <f>'[33]TGNPDCL MoD'!Y20+'[33]TGNPDCL MoD'!Y21+'[33]TGNPDCL MoD'!Y22</f>
        <v>29.919529296130239</v>
      </c>
      <c r="J283" s="66">
        <f>'[33]TGNPDCL MoD'!Z20+'[33]TGNPDCL MoD'!Z21+'[33]TGNPDCL MoD'!Z22</f>
        <v>33.381456496884212</v>
      </c>
      <c r="K283" s="66">
        <f>'[33]TGNPDCL MoD'!AA20+'[33]TGNPDCL MoD'!AA21+'[33]TGNPDCL MoD'!AA22</f>
        <v>31.077359139710897</v>
      </c>
      <c r="L283" s="66">
        <f>'[33]TGNPDCL MoD'!AB20+'[33]TGNPDCL MoD'!AB21+'[33]TGNPDCL MoD'!AB22</f>
        <v>43.774919352097868</v>
      </c>
      <c r="M283" s="66">
        <f>'[33]TGNPDCL MoD'!AC20+'[33]TGNPDCL MoD'!AC21+'[33]TGNPDCL MoD'!AC22</f>
        <v>38.765753768964117</v>
      </c>
      <c r="N283" s="66">
        <f>'[33]TGNPDCL MoD'!AD20+'[33]TGNPDCL MoD'!AD21+'[33]TGNPDCL MoD'!AD22</f>
        <v>37.785052110608149</v>
      </c>
      <c r="O283" s="66">
        <f>'[33]TGNPDCL MoD'!AE20+'[33]TGNPDCL MoD'!AE21+'[33]TGNPDCL MoD'!AE22</f>
        <v>71.267031601860381</v>
      </c>
      <c r="P283" s="66">
        <f>'[33]TGNPDCL MoD'!AF20+'[33]TGNPDCL MoD'!AF21+'[33]TGNPDCL MoD'!AF22</f>
        <v>85.250492416671392</v>
      </c>
      <c r="Q283" s="66">
        <f t="shared" ref="Q283:Q291" si="158">SUM(E283:P283)</f>
        <v>471.95097499999986</v>
      </c>
    </row>
    <row r="284" spans="3:18" x14ac:dyDescent="0.25">
      <c r="C284" s="17" t="s">
        <v>401</v>
      </c>
      <c r="D284" s="17" t="s">
        <v>401</v>
      </c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>
        <f t="shared" si="158"/>
        <v>0</v>
      </c>
    </row>
    <row r="285" spans="3:18" x14ac:dyDescent="0.25">
      <c r="C285" s="17" t="s">
        <v>402</v>
      </c>
      <c r="D285" s="17" t="s">
        <v>402</v>
      </c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>
        <f t="shared" si="158"/>
        <v>0</v>
      </c>
    </row>
    <row r="286" spans="3:18" x14ac:dyDescent="0.25"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>
        <f t="shared" si="158"/>
        <v>0</v>
      </c>
    </row>
    <row r="287" spans="3:18" x14ac:dyDescent="0.25"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>
        <f t="shared" si="158"/>
        <v>0</v>
      </c>
    </row>
    <row r="288" spans="3:18" x14ac:dyDescent="0.25"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>
        <f t="shared" si="158"/>
        <v>0</v>
      </c>
    </row>
    <row r="289" spans="3:18" x14ac:dyDescent="0.25"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>
        <f t="shared" si="158"/>
        <v>0</v>
      </c>
    </row>
    <row r="290" spans="3:18" x14ac:dyDescent="0.25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>
        <f t="shared" si="158"/>
        <v>0</v>
      </c>
    </row>
    <row r="291" spans="3:18" x14ac:dyDescent="0.25">
      <c r="C291" s="753" t="s">
        <v>403</v>
      </c>
      <c r="D291" s="754"/>
      <c r="E291" s="66">
        <f t="shared" ref="E291:P291" si="159">SUM(E283:E290)</f>
        <v>39.238999408115163</v>
      </c>
      <c r="F291" s="66">
        <f t="shared" si="159"/>
        <v>22.541454264241665</v>
      </c>
      <c r="G291" s="66">
        <f t="shared" si="159"/>
        <v>10.720267055028</v>
      </c>
      <c r="H291" s="66">
        <f t="shared" si="159"/>
        <v>28.228660089687764</v>
      </c>
      <c r="I291" s="66">
        <f t="shared" si="159"/>
        <v>29.919529296130239</v>
      </c>
      <c r="J291" s="66">
        <f t="shared" si="159"/>
        <v>33.381456496884212</v>
      </c>
      <c r="K291" s="66">
        <f t="shared" si="159"/>
        <v>31.077359139710897</v>
      </c>
      <c r="L291" s="66">
        <f t="shared" si="159"/>
        <v>43.774919352097868</v>
      </c>
      <c r="M291" s="66">
        <f t="shared" si="159"/>
        <v>38.765753768964117</v>
      </c>
      <c r="N291" s="66">
        <f t="shared" si="159"/>
        <v>37.785052110608149</v>
      </c>
      <c r="O291" s="66">
        <f t="shared" si="159"/>
        <v>71.267031601860381</v>
      </c>
      <c r="P291" s="66">
        <f t="shared" si="159"/>
        <v>85.250492416671392</v>
      </c>
      <c r="Q291" s="86">
        <f t="shared" si="158"/>
        <v>471.95097499999986</v>
      </c>
      <c r="R291" s="427"/>
    </row>
    <row r="292" spans="3:18" x14ac:dyDescent="0.25">
      <c r="C292" s="800" t="s">
        <v>404</v>
      </c>
      <c r="D292" s="801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</row>
    <row r="293" spans="3:18" x14ac:dyDescent="0.25">
      <c r="C293" s="17"/>
      <c r="D293" s="17" t="s">
        <v>405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f t="shared" ref="Q293:Q317" si="160">SUM(E293:P293)</f>
        <v>0</v>
      </c>
    </row>
    <row r="294" spans="3:18" x14ac:dyDescent="0.25">
      <c r="C294" s="17"/>
      <c r="D294" s="17" t="s">
        <v>406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f t="shared" si="160"/>
        <v>0</v>
      </c>
    </row>
    <row r="295" spans="3:18" x14ac:dyDescent="0.25">
      <c r="C295" s="17"/>
      <c r="D295" s="17" t="s">
        <v>407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f t="shared" si="160"/>
        <v>0</v>
      </c>
    </row>
    <row r="296" spans="3:18" x14ac:dyDescent="0.25">
      <c r="C296" s="17"/>
      <c r="D296" s="17" t="s">
        <v>408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f t="shared" si="160"/>
        <v>0</v>
      </c>
    </row>
    <row r="297" spans="3:18" x14ac:dyDescent="0.25">
      <c r="C297" s="17"/>
      <c r="D297" s="17" t="s">
        <v>409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f t="shared" si="160"/>
        <v>0</v>
      </c>
    </row>
    <row r="298" spans="3:18" x14ac:dyDescent="0.25">
      <c r="C298" s="17"/>
      <c r="D298" s="17" t="s">
        <v>367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f t="shared" si="160"/>
        <v>0</v>
      </c>
    </row>
    <row r="299" spans="3:18" x14ac:dyDescent="0.25">
      <c r="C299" s="17"/>
      <c r="D299" s="17" t="s">
        <v>410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f t="shared" si="160"/>
        <v>0</v>
      </c>
    </row>
    <row r="300" spans="3:18" x14ac:dyDescent="0.25">
      <c r="C300" s="17"/>
      <c r="D300" s="17" t="s">
        <v>411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f t="shared" si="160"/>
        <v>0</v>
      </c>
    </row>
    <row r="301" spans="3:18" x14ac:dyDescent="0.25">
      <c r="C301" s="17"/>
      <c r="D301" s="17" t="s">
        <v>412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f t="shared" si="160"/>
        <v>0</v>
      </c>
    </row>
    <row r="302" spans="3:18" x14ac:dyDescent="0.25">
      <c r="C302" s="17"/>
      <c r="D302" s="17" t="s">
        <v>413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f t="shared" si="160"/>
        <v>0</v>
      </c>
    </row>
    <row r="303" spans="3:18" x14ac:dyDescent="0.25">
      <c r="C303" s="17"/>
      <c r="D303" s="17" t="s">
        <v>414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f t="shared" si="160"/>
        <v>0</v>
      </c>
    </row>
    <row r="304" spans="3:18" x14ac:dyDescent="0.25">
      <c r="C304" s="17"/>
      <c r="D304" s="17" t="s">
        <v>415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f t="shared" si="160"/>
        <v>0</v>
      </c>
    </row>
    <row r="305" spans="3:18" x14ac:dyDescent="0.25">
      <c r="C305" s="17"/>
      <c r="D305" s="17" t="s">
        <v>416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f t="shared" si="160"/>
        <v>0</v>
      </c>
    </row>
    <row r="306" spans="3:18" x14ac:dyDescent="0.25">
      <c r="C306" s="17"/>
      <c r="D306" s="17" t="s">
        <v>417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f t="shared" si="160"/>
        <v>0</v>
      </c>
    </row>
    <row r="307" spans="3:18" x14ac:dyDescent="0.25">
      <c r="C307" s="17"/>
      <c r="D307" s="327" t="s">
        <v>418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f t="shared" si="160"/>
        <v>0</v>
      </c>
    </row>
    <row r="308" spans="3:18" x14ac:dyDescent="0.25">
      <c r="C308" s="17"/>
      <c r="D308" s="327" t="s">
        <v>419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f t="shared" si="160"/>
        <v>0</v>
      </c>
    </row>
    <row r="309" spans="3:18" x14ac:dyDescent="0.25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>
        <f t="shared" si="160"/>
        <v>0</v>
      </c>
    </row>
    <row r="310" spans="3:18" x14ac:dyDescent="0.25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>
        <f t="shared" si="160"/>
        <v>0</v>
      </c>
    </row>
    <row r="311" spans="3:18" x14ac:dyDescent="0.25"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>
        <f t="shared" si="160"/>
        <v>0</v>
      </c>
    </row>
    <row r="312" spans="3:18" x14ac:dyDescent="0.25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>
        <f t="shared" si="160"/>
        <v>0</v>
      </c>
    </row>
    <row r="313" spans="3:18" x14ac:dyDescent="0.25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>
        <f t="shared" si="160"/>
        <v>0</v>
      </c>
    </row>
    <row r="314" spans="3:18" x14ac:dyDescent="0.25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>
        <f t="shared" si="160"/>
        <v>0</v>
      </c>
    </row>
    <row r="315" spans="3:18" x14ac:dyDescent="0.2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>
        <f t="shared" si="160"/>
        <v>0</v>
      </c>
    </row>
    <row r="316" spans="3:18" x14ac:dyDescent="0.25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>
        <f t="shared" si="160"/>
        <v>0</v>
      </c>
    </row>
    <row r="317" spans="3:18" x14ac:dyDescent="0.25">
      <c r="C317" s="753" t="s">
        <v>420</v>
      </c>
      <c r="D317" s="754"/>
      <c r="E317" s="17">
        <f t="shared" ref="E317:P317" si="161">SUM(E293:E316)</f>
        <v>0</v>
      </c>
      <c r="F317" s="17">
        <f t="shared" si="161"/>
        <v>0</v>
      </c>
      <c r="G317" s="17">
        <f t="shared" si="161"/>
        <v>0</v>
      </c>
      <c r="H317" s="17">
        <f t="shared" si="161"/>
        <v>0</v>
      </c>
      <c r="I317" s="17">
        <f t="shared" si="161"/>
        <v>0</v>
      </c>
      <c r="J317" s="17">
        <f t="shared" si="161"/>
        <v>0</v>
      </c>
      <c r="K317" s="17">
        <f t="shared" si="161"/>
        <v>0</v>
      </c>
      <c r="L317" s="17">
        <f t="shared" si="161"/>
        <v>0</v>
      </c>
      <c r="M317" s="17">
        <f t="shared" si="161"/>
        <v>0</v>
      </c>
      <c r="N317" s="17">
        <f t="shared" si="161"/>
        <v>0</v>
      </c>
      <c r="O317" s="17">
        <f t="shared" si="161"/>
        <v>0</v>
      </c>
      <c r="P317" s="17">
        <f t="shared" si="161"/>
        <v>0</v>
      </c>
      <c r="Q317" s="86">
        <f t="shared" si="160"/>
        <v>0</v>
      </c>
      <c r="R317" s="427"/>
    </row>
    <row r="318" spans="3:18" x14ac:dyDescent="0.25">
      <c r="C318" s="800" t="s">
        <v>421</v>
      </c>
      <c r="D318" s="801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</row>
    <row r="319" spans="3:18" x14ac:dyDescent="0.25">
      <c r="C319" s="17"/>
      <c r="D319" s="17" t="s">
        <v>422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f>SUM(E319:P319)</f>
        <v>0</v>
      </c>
    </row>
    <row r="320" spans="3:18" x14ac:dyDescent="0.25"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>
        <f>SUM(E320:P320)</f>
        <v>0</v>
      </c>
    </row>
    <row r="321" spans="3:17" x14ac:dyDescent="0.25"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>
        <f>SUM(E321:P321)</f>
        <v>0</v>
      </c>
    </row>
    <row r="322" spans="3:17" x14ac:dyDescent="0.25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>
        <f>SUM(E322:P322)</f>
        <v>0</v>
      </c>
    </row>
    <row r="323" spans="3:17" x14ac:dyDescent="0.25"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</row>
    <row r="324" spans="3:17" x14ac:dyDescent="0.25">
      <c r="C324" s="17"/>
      <c r="D324" s="325" t="s">
        <v>665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/>
    </row>
    <row r="325" spans="3:17" x14ac:dyDescent="0.25">
      <c r="C325" s="17"/>
      <c r="D325" s="325" t="s">
        <v>666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/>
    </row>
    <row r="326" spans="3:17" x14ac:dyDescent="0.25">
      <c r="C326" s="17"/>
      <c r="D326" s="325" t="s">
        <v>629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/>
    </row>
    <row r="327" spans="3:17" x14ac:dyDescent="0.25">
      <c r="C327" s="17"/>
      <c r="D327" s="325" t="s">
        <v>630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/>
    </row>
    <row r="328" spans="3:17" x14ac:dyDescent="0.25">
      <c r="C328" s="17"/>
      <c r="D328" s="326" t="s">
        <v>631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/>
    </row>
    <row r="329" spans="3:17" x14ac:dyDescent="0.25">
      <c r="C329" s="17"/>
      <c r="D329" s="325" t="s">
        <v>632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/>
    </row>
    <row r="330" spans="3:17" x14ac:dyDescent="0.25">
      <c r="C330" s="17"/>
      <c r="D330" s="325" t="s">
        <v>633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/>
    </row>
    <row r="331" spans="3:17" x14ac:dyDescent="0.25">
      <c r="C331" s="17"/>
      <c r="D331" s="325" t="s">
        <v>634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/>
    </row>
    <row r="332" spans="3:17" x14ac:dyDescent="0.25">
      <c r="C332" s="17"/>
      <c r="D332" s="325" t="s">
        <v>635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/>
    </row>
    <row r="333" spans="3:17" x14ac:dyDescent="0.25">
      <c r="C333" s="17"/>
      <c r="D333" s="325" t="s">
        <v>636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/>
    </row>
    <row r="334" spans="3:17" x14ac:dyDescent="0.25">
      <c r="C334" s="17"/>
      <c r="D334" s="325" t="s">
        <v>637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/>
    </row>
    <row r="335" spans="3:17" x14ac:dyDescent="0.25">
      <c r="C335" s="17"/>
      <c r="D335" s="325" t="s">
        <v>638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/>
    </row>
    <row r="336" spans="3:17" x14ac:dyDescent="0.25">
      <c r="C336" s="17"/>
      <c r="D336" s="325" t="s">
        <v>639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/>
    </row>
    <row r="337" spans="3:18" x14ac:dyDescent="0.25"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</row>
    <row r="338" spans="3:18" x14ac:dyDescent="0.25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>
        <f t="shared" ref="Q338:Q345" si="162">SUM(E338:P338)</f>
        <v>0</v>
      </c>
    </row>
    <row r="339" spans="3:18" x14ac:dyDescent="0.25"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>
        <f t="shared" si="162"/>
        <v>0</v>
      </c>
    </row>
    <row r="340" spans="3:18" x14ac:dyDescent="0.25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>
        <f t="shared" si="162"/>
        <v>0</v>
      </c>
    </row>
    <row r="341" spans="3:18" x14ac:dyDescent="0.25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>
        <f t="shared" si="162"/>
        <v>0</v>
      </c>
    </row>
    <row r="342" spans="3:18" x14ac:dyDescent="0.25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>
        <f t="shared" si="162"/>
        <v>0</v>
      </c>
    </row>
    <row r="343" spans="3:18" x14ac:dyDescent="0.25"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>
        <f t="shared" si="162"/>
        <v>0</v>
      </c>
    </row>
    <row r="344" spans="3:18" x14ac:dyDescent="0.25"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>
        <f t="shared" si="162"/>
        <v>0</v>
      </c>
    </row>
    <row r="345" spans="3:18" x14ac:dyDescent="0.25">
      <c r="C345" s="753" t="s">
        <v>423</v>
      </c>
      <c r="D345" s="754"/>
      <c r="E345" s="17">
        <f t="shared" ref="E345:P345" si="163">SUM(E319:E344)</f>
        <v>0</v>
      </c>
      <c r="F345" s="17">
        <f t="shared" si="163"/>
        <v>0</v>
      </c>
      <c r="G345" s="17">
        <f t="shared" si="163"/>
        <v>0</v>
      </c>
      <c r="H345" s="17">
        <f t="shared" si="163"/>
        <v>0</v>
      </c>
      <c r="I345" s="17">
        <f t="shared" si="163"/>
        <v>0</v>
      </c>
      <c r="J345" s="17">
        <f t="shared" si="163"/>
        <v>0</v>
      </c>
      <c r="K345" s="17">
        <f t="shared" si="163"/>
        <v>0</v>
      </c>
      <c r="L345" s="17">
        <f t="shared" si="163"/>
        <v>0</v>
      </c>
      <c r="M345" s="17">
        <f t="shared" si="163"/>
        <v>0</v>
      </c>
      <c r="N345" s="17">
        <f t="shared" si="163"/>
        <v>0</v>
      </c>
      <c r="O345" s="17">
        <f t="shared" si="163"/>
        <v>0</v>
      </c>
      <c r="P345" s="17">
        <f t="shared" si="163"/>
        <v>0</v>
      </c>
      <c r="Q345" s="86">
        <f t="shared" si="162"/>
        <v>0</v>
      </c>
      <c r="R345" s="427"/>
    </row>
    <row r="346" spans="3:18" x14ac:dyDescent="0.25">
      <c r="C346" s="800" t="s">
        <v>424</v>
      </c>
      <c r="D346" s="801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</row>
    <row r="347" spans="3:18" x14ac:dyDescent="0.25">
      <c r="C347" s="17" t="s">
        <v>425</v>
      </c>
      <c r="D347" s="17" t="s">
        <v>426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17">
        <f>SUM(E347:P347)</f>
        <v>0</v>
      </c>
    </row>
    <row r="348" spans="3:18" x14ac:dyDescent="0.25">
      <c r="C348" s="17" t="s">
        <v>425</v>
      </c>
      <c r="D348" s="17" t="s">
        <v>427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17">
        <f>SUM(E348:P348)</f>
        <v>0</v>
      </c>
    </row>
    <row r="349" spans="3:18" x14ac:dyDescent="0.25">
      <c r="C349" s="753" t="s">
        <v>428</v>
      </c>
      <c r="D349" s="754"/>
      <c r="E349" s="17">
        <f t="shared" ref="E349:Q349" si="164">E347+E348</f>
        <v>0</v>
      </c>
      <c r="F349" s="17">
        <f t="shared" si="164"/>
        <v>0</v>
      </c>
      <c r="G349" s="17">
        <f t="shared" si="164"/>
        <v>0</v>
      </c>
      <c r="H349" s="17">
        <f t="shared" si="164"/>
        <v>0</v>
      </c>
      <c r="I349" s="17">
        <f t="shared" si="164"/>
        <v>0</v>
      </c>
      <c r="J349" s="17">
        <f t="shared" si="164"/>
        <v>0</v>
      </c>
      <c r="K349" s="17">
        <f t="shared" si="164"/>
        <v>0</v>
      </c>
      <c r="L349" s="17">
        <f t="shared" si="164"/>
        <v>0</v>
      </c>
      <c r="M349" s="17">
        <f t="shared" si="164"/>
        <v>0</v>
      </c>
      <c r="N349" s="17">
        <f t="shared" si="164"/>
        <v>0</v>
      </c>
      <c r="O349" s="17">
        <f t="shared" si="164"/>
        <v>0</v>
      </c>
      <c r="P349" s="17">
        <f t="shared" si="164"/>
        <v>0</v>
      </c>
      <c r="Q349" s="17">
        <f t="shared" si="164"/>
        <v>0</v>
      </c>
    </row>
    <row r="350" spans="3:18" x14ac:dyDescent="0.25">
      <c r="C350" s="753" t="s">
        <v>220</v>
      </c>
      <c r="D350" s="754"/>
      <c r="E350" s="66">
        <f t="shared" ref="E350:Q350" si="165">E226+E272+E281+E291+E317+E345+E349</f>
        <v>546.1922137985855</v>
      </c>
      <c r="F350" s="66">
        <f t="shared" si="165"/>
        <v>370.05747281737342</v>
      </c>
      <c r="G350" s="66">
        <f t="shared" si="165"/>
        <v>388.67759482766371</v>
      </c>
      <c r="H350" s="66">
        <f t="shared" si="165"/>
        <v>463.82413376877372</v>
      </c>
      <c r="I350" s="66">
        <f t="shared" si="165"/>
        <v>531.95930154368773</v>
      </c>
      <c r="J350" s="66">
        <f t="shared" si="165"/>
        <v>522.14561907049608</v>
      </c>
      <c r="K350" s="66">
        <f t="shared" si="165"/>
        <v>489.14701107413185</v>
      </c>
      <c r="L350" s="66">
        <f t="shared" si="165"/>
        <v>460.22371436953455</v>
      </c>
      <c r="M350" s="66">
        <f t="shared" si="165"/>
        <v>505.46932044852554</v>
      </c>
      <c r="N350" s="66">
        <f t="shared" si="165"/>
        <v>568.3548884292469</v>
      </c>
      <c r="O350" s="66">
        <f t="shared" si="165"/>
        <v>575.32972894894624</v>
      </c>
      <c r="P350" s="66">
        <f t="shared" si="165"/>
        <v>645.87137318926307</v>
      </c>
      <c r="Q350" s="86">
        <f t="shared" si="165"/>
        <v>6555.4008472862279</v>
      </c>
      <c r="R350" s="427"/>
    </row>
    <row r="351" spans="3:18" x14ac:dyDescent="0.25">
      <c r="D351" s="22"/>
      <c r="E351" s="22"/>
    </row>
    <row r="352" spans="3:18" x14ac:dyDescent="0.25">
      <c r="C352" s="22" t="s">
        <v>649</v>
      </c>
      <c r="J352" s="25"/>
    </row>
    <row r="353" spans="2:17" x14ac:dyDescent="0.25">
      <c r="C353" s="14"/>
      <c r="Q353" s="25" t="s">
        <v>3</v>
      </c>
    </row>
    <row r="354" spans="2:17" x14ac:dyDescent="0.25">
      <c r="C354" s="762" t="s">
        <v>346</v>
      </c>
      <c r="D354" s="762" t="s">
        <v>347</v>
      </c>
      <c r="E354" s="768" t="s">
        <v>256</v>
      </c>
      <c r="F354" s="768"/>
      <c r="G354" s="768"/>
      <c r="H354" s="768"/>
      <c r="I354" s="768"/>
      <c r="J354" s="768"/>
      <c r="K354" s="768"/>
      <c r="L354" s="768"/>
      <c r="M354" s="768"/>
      <c r="N354" s="768"/>
      <c r="O354" s="768"/>
      <c r="P354" s="768"/>
      <c r="Q354" s="768"/>
    </row>
    <row r="355" spans="2:17" x14ac:dyDescent="0.25">
      <c r="C355" s="764"/>
      <c r="D355" s="764"/>
      <c r="E355" s="13" t="s">
        <v>239</v>
      </c>
      <c r="F355" s="13" t="s">
        <v>240</v>
      </c>
      <c r="G355" s="13" t="s">
        <v>241</v>
      </c>
      <c r="H355" s="13" t="s">
        <v>242</v>
      </c>
      <c r="I355" s="13" t="s">
        <v>243</v>
      </c>
      <c r="J355" s="13" t="s">
        <v>244</v>
      </c>
      <c r="K355" s="13" t="s">
        <v>245</v>
      </c>
      <c r="L355" s="13" t="s">
        <v>246</v>
      </c>
      <c r="M355" s="13" t="s">
        <v>247</v>
      </c>
      <c r="N355" s="13" t="s">
        <v>248</v>
      </c>
      <c r="O355" s="13" t="s">
        <v>249</v>
      </c>
      <c r="P355" s="13" t="s">
        <v>250</v>
      </c>
      <c r="Q355" s="13" t="s">
        <v>251</v>
      </c>
    </row>
    <row r="356" spans="2:17" x14ac:dyDescent="0.25">
      <c r="C356" s="766"/>
      <c r="D356" s="7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2:17" x14ac:dyDescent="0.25">
      <c r="B357" s="60"/>
      <c r="C357" s="800" t="s">
        <v>348</v>
      </c>
      <c r="D357" s="801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</row>
    <row r="358" spans="2:17" x14ac:dyDescent="0.25">
      <c r="C358" s="753" t="s">
        <v>349</v>
      </c>
      <c r="D358" s="754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</row>
    <row r="359" spans="2:17" x14ac:dyDescent="0.25">
      <c r="B359" s="60"/>
      <c r="C359" s="802" t="s">
        <v>350</v>
      </c>
      <c r="D359" s="59" t="s">
        <v>351</v>
      </c>
      <c r="E359" s="291">
        <f>'[33]TGNPDCL MoD'!AJ4+'[33]TGNPDCL MoD'!AJ5</f>
        <v>27.913175955349168</v>
      </c>
      <c r="F359" s="291">
        <f>'[33]TGNPDCL MoD'!AK4+'[33]TGNPDCL MoD'!AK5</f>
        <v>34.251792995209712</v>
      </c>
      <c r="G359" s="291">
        <f>'[33]TGNPDCL MoD'!AL4+'[33]TGNPDCL MoD'!AL5</f>
        <v>33.146896446977138</v>
      </c>
      <c r="H359" s="291">
        <f>'[33]TGNPDCL MoD'!AM4+'[33]TGNPDCL MoD'!AM5</f>
        <v>0</v>
      </c>
      <c r="I359" s="291">
        <f>'[33]TGNPDCL MoD'!AN4+'[33]TGNPDCL MoD'!AN5</f>
        <v>11.331420239016747</v>
      </c>
      <c r="J359" s="291">
        <f>'[33]TGNPDCL MoD'!AO4+'[33]TGNPDCL MoD'!AO5</f>
        <v>23.054426472434905</v>
      </c>
      <c r="K359" s="291">
        <f>'[33]TGNPDCL MoD'!AP4+'[33]TGNPDCL MoD'!AP5</f>
        <v>22.662840478033495</v>
      </c>
      <c r="L359" s="291">
        <f>'[33]TGNPDCL MoD'!AQ4+'[33]TGNPDCL MoD'!AQ5</f>
        <v>27.165501599402315</v>
      </c>
      <c r="M359" s="291">
        <f>'[33]TGNPDCL MoD'!AR4+'[33]TGNPDCL MoD'!AR5</f>
        <v>24.768988909279514</v>
      </c>
      <c r="N359" s="291">
        <f>'[33]TGNPDCL MoD'!AS4+'[33]TGNPDCL MoD'!AS5</f>
        <v>24.693771434260654</v>
      </c>
      <c r="O359" s="291">
        <f>'[33]TGNPDCL MoD'!AT4+'[33]TGNPDCL MoD'!AT5</f>
        <v>26.329741575499362</v>
      </c>
      <c r="P359" s="291">
        <f>'[33]TGNPDCL MoD'!AU4+'[33]TGNPDCL MoD'!AU5</f>
        <v>31.161405657296051</v>
      </c>
      <c r="Q359" s="291">
        <f t="shared" ref="Q359:Q377" si="166">SUM(E359:P359)</f>
        <v>286.4799617627591</v>
      </c>
    </row>
    <row r="360" spans="2:17" x14ac:dyDescent="0.25">
      <c r="B360" s="60"/>
      <c r="C360" s="803"/>
      <c r="D360" s="59" t="s">
        <v>352</v>
      </c>
      <c r="E360" s="291">
        <f>'[33]TGNPDCL MoD'!AJ6</f>
        <v>25.382946308103747</v>
      </c>
      <c r="F360" s="291">
        <f>'[33]TGNPDCL MoD'!AK6</f>
        <v>0</v>
      </c>
      <c r="G360" s="291">
        <f>'[33]TGNPDCL MoD'!AL6</f>
        <v>15.136125129550024</v>
      </c>
      <c r="H360" s="291">
        <f>'[33]TGNPDCL MoD'!AM6</f>
        <v>23.000974461571122</v>
      </c>
      <c r="I360" s="291">
        <f>'[33]TGNPDCL MoD'!AN6</f>
        <v>20.240857526182591</v>
      </c>
      <c r="J360" s="291">
        <f>'[33]TGNPDCL MoD'!AO6</f>
        <v>20.923467090848572</v>
      </c>
      <c r="K360" s="291">
        <f>'[33]TGNPDCL MoD'!AP6</f>
        <v>20.240857526182591</v>
      </c>
      <c r="L360" s="291">
        <f>'[33]TGNPDCL MoD'!AQ6</f>
        <v>28.802458408886263</v>
      </c>
      <c r="M360" s="291">
        <f>'[33]TGNPDCL MoD'!AR6</f>
        <v>23.030241449209768</v>
      </c>
      <c r="N360" s="291">
        <f>'[33]TGNPDCL MoD'!AS6</f>
        <v>24.657411074674442</v>
      </c>
      <c r="O360" s="291">
        <f>'[33]TGNPDCL MoD'!AT6</f>
        <v>24.514586974526122</v>
      </c>
      <c r="P360" s="291">
        <f>'[33]TGNPDCL MoD'!AU6</f>
        <v>27.831179098501053</v>
      </c>
      <c r="Q360" s="291">
        <f t="shared" si="166"/>
        <v>253.76110504823629</v>
      </c>
    </row>
    <row r="361" spans="2:17" x14ac:dyDescent="0.25">
      <c r="B361" s="60"/>
      <c r="C361" s="803"/>
      <c r="D361" s="59" t="s">
        <v>353</v>
      </c>
      <c r="E361" s="291">
        <f>'[33]TGNPDCL MoD'!AJ7</f>
        <v>41.374560671897186</v>
      </c>
      <c r="F361" s="291">
        <f>'[33]TGNPDCL MoD'!AK7</f>
        <v>0</v>
      </c>
      <c r="G361" s="291">
        <f>'[33]TGNPDCL MoD'!AL7</f>
        <v>23.370435937206956</v>
      </c>
      <c r="H361" s="291">
        <f>'[33]TGNPDCL MoD'!AM7</f>
        <v>37.950397691641889</v>
      </c>
      <c r="I361" s="291">
        <f>'[33]TGNPDCL MoD'!AN7</f>
        <v>31.848830996205255</v>
      </c>
      <c r="J361" s="291">
        <f>'[33]TGNPDCL MoD'!AO7</f>
        <v>33.533780664025208</v>
      </c>
      <c r="K361" s="291">
        <f>'[33]TGNPDCL MoD'!AP7</f>
        <v>31.252230017990467</v>
      </c>
      <c r="L361" s="291">
        <f>'[33]TGNPDCL MoD'!AQ7</f>
        <v>46.620918364951294</v>
      </c>
      <c r="M361" s="291">
        <f>'[33]TGNPDCL MoD'!AR7</f>
        <v>40.80628730807183</v>
      </c>
      <c r="N361" s="291">
        <f>'[33]TGNPDCL MoD'!AS7</f>
        <v>39.775565477442406</v>
      </c>
      <c r="O361" s="291">
        <f>'[33]TGNPDCL MoD'!AT7</f>
        <v>37.850941341437142</v>
      </c>
      <c r="P361" s="291">
        <f>'[33]TGNPDCL MoD'!AU7</f>
        <v>43.096303821448991</v>
      </c>
      <c r="Q361" s="291">
        <f t="shared" si="166"/>
        <v>407.4802522923186</v>
      </c>
    </row>
    <row r="362" spans="2:17" x14ac:dyDescent="0.25">
      <c r="B362" s="60"/>
      <c r="C362" s="803"/>
      <c r="D362" s="59" t="s">
        <v>354</v>
      </c>
      <c r="E362" s="291">
        <f>'[33]TGNPDCL MoD'!AJ8</f>
        <v>3.8167052289719559</v>
      </c>
      <c r="F362" s="291">
        <f>'[33]TGNPDCL MoD'!AK8</f>
        <v>0</v>
      </c>
      <c r="G362" s="291">
        <f>'[33]TGNPDCL MoD'!AL8</f>
        <v>2.2901168615114047</v>
      </c>
      <c r="H362" s="291">
        <f>'[33]TGNPDCL MoD'!AM8</f>
        <v>3.3450629245334347</v>
      </c>
      <c r="I362" s="291">
        <f>'[33]TGNPDCL MoD'!AN8</f>
        <v>3.1315482697759789</v>
      </c>
      <c r="J362" s="291">
        <f>'[33]TGNPDCL MoD'!AO8</f>
        <v>3.1338441262787486</v>
      </c>
      <c r="K362" s="291">
        <f>'[33]TGNPDCL MoD'!AP8</f>
        <v>3.1315482697759789</v>
      </c>
      <c r="L362" s="291">
        <f>'[33]TGNPDCL MoD'!AQ8</f>
        <v>3.6504118394016287</v>
      </c>
      <c r="M362" s="291">
        <f>'[33]TGNPDCL MoD'!AR8</f>
        <v>3.3450629245334347</v>
      </c>
      <c r="N362" s="291">
        <f>'[33]TGNPDCL MoD'!AS8</f>
        <v>3.3450629245334347</v>
      </c>
      <c r="O362" s="291">
        <f>'[33]TGNPDCL MoD'!AT8</f>
        <v>3.5999029963407265</v>
      </c>
      <c r="P362" s="291">
        <f>'[33]TGNPDCL MoD'!AU8</f>
        <v>4.3058788709419904</v>
      </c>
      <c r="Q362" s="291">
        <f t="shared" si="166"/>
        <v>37.095145236598711</v>
      </c>
    </row>
    <row r="363" spans="2:17" x14ac:dyDescent="0.25">
      <c r="B363" s="60"/>
      <c r="C363" s="803"/>
      <c r="D363" s="59" t="s">
        <v>355</v>
      </c>
      <c r="E363" s="291">
        <f>'[33]TGNPDCL MoD'!AJ9</f>
        <v>27.841060100247102</v>
      </c>
      <c r="F363" s="291">
        <f>'[33]TGNPDCL MoD'!AK9</f>
        <v>28.148179708067591</v>
      </c>
      <c r="G363" s="291">
        <f>'[33]TGNPDCL MoD'!AL9</f>
        <v>27.240173911033146</v>
      </c>
      <c r="H363" s="291">
        <f>'[33]TGNPDCL MoD'!AM9</f>
        <v>28.249568699892041</v>
      </c>
      <c r="I363" s="291">
        <f>'[33]TGNPDCL MoD'!AN9</f>
        <v>23.180853877232131</v>
      </c>
      <c r="J363" s="291">
        <f>'[33]TGNPDCL MoD'!AO9</f>
        <v>24.563414110265789</v>
      </c>
      <c r="K363" s="291">
        <f>'[33]TGNPDCL MoD'!AP9</f>
        <v>0</v>
      </c>
      <c r="L363" s="291">
        <f>'[33]TGNPDCL MoD'!AQ9</f>
        <v>14.157463038670866</v>
      </c>
      <c r="M363" s="291">
        <f>'[33]TGNPDCL MoD'!AR9</f>
        <v>27.527263979213149</v>
      </c>
      <c r="N363" s="291">
        <f>'[33]TGNPDCL MoD'!AS9</f>
        <v>25.043601063795414</v>
      </c>
      <c r="O363" s="291">
        <f>'[33]TGNPDCL MoD'!AT9</f>
        <v>24.302508097098194</v>
      </c>
      <c r="P363" s="291">
        <f>'[33]TGNPDCL MoD'!AU9</f>
        <v>29.588981059728599</v>
      </c>
      <c r="Q363" s="291">
        <f t="shared" si="166"/>
        <v>279.84306764524405</v>
      </c>
    </row>
    <row r="364" spans="2:17" x14ac:dyDescent="0.25">
      <c r="B364" s="60"/>
      <c r="C364" s="803"/>
      <c r="D364" s="59" t="s">
        <v>356</v>
      </c>
      <c r="E364" s="291">
        <f>'[33]TGNPDCL MoD'!AJ10</f>
        <v>32.043410904208507</v>
      </c>
      <c r="F364" s="291">
        <f>'[33]TGNPDCL MoD'!AK10</f>
        <v>31.831853121508846</v>
      </c>
      <c r="G364" s="291">
        <f>'[33]TGNPDCL MoD'!AL10</f>
        <v>32.043410904208507</v>
      </c>
      <c r="H364" s="291">
        <f>'[33]TGNPDCL MoD'!AM10</f>
        <v>33.811063853149591</v>
      </c>
      <c r="I364" s="291">
        <f>'[33]TGNPDCL MoD'!AN10</f>
        <v>27.515210583942423</v>
      </c>
      <c r="J364" s="291">
        <f>'[33]TGNPDCL MoD'!AO10</f>
        <v>30.562866878577751</v>
      </c>
      <c r="K364" s="291">
        <f>'[33]TGNPDCL MoD'!AP10</f>
        <v>26.116132079674163</v>
      </c>
      <c r="L364" s="291">
        <f>'[33]TGNPDCL MoD'!AQ10</f>
        <v>0</v>
      </c>
      <c r="M364" s="291">
        <f>'[33]TGNPDCL MoD'!AR10</f>
        <v>16.367899881254324</v>
      </c>
      <c r="N364" s="291">
        <f>'[33]TGNPDCL MoD'!AS10</f>
        <v>30.313367592478947</v>
      </c>
      <c r="O364" s="291">
        <f>'[33]TGNPDCL MoD'!AT10</f>
        <v>28.01165779513439</v>
      </c>
      <c r="P364" s="291">
        <f>'[33]TGNPDCL MoD'!AU10</f>
        <v>33.811063853149591</v>
      </c>
      <c r="Q364" s="291">
        <f t="shared" si="166"/>
        <v>322.42793744728704</v>
      </c>
    </row>
    <row r="365" spans="2:17" x14ac:dyDescent="0.25">
      <c r="B365" s="60"/>
      <c r="C365" s="803"/>
      <c r="D365" s="59" t="s">
        <v>357</v>
      </c>
      <c r="E365" s="291">
        <f>SUM('[33]TGNPDCL MoD'!AJ11:AJ14)</f>
        <v>60.188739245651242</v>
      </c>
      <c r="F365" s="291">
        <f>SUM('[33]TGNPDCL MoD'!AK11:AK14)</f>
        <v>30.120306849145738</v>
      </c>
      <c r="G365" s="291">
        <f>SUM('[33]TGNPDCL MoD'!AL11:AL14)</f>
        <v>44.727038021317924</v>
      </c>
      <c r="H365" s="291">
        <f>SUM('[33]TGNPDCL MoD'!AM11:AM14)</f>
        <v>62.58265443653373</v>
      </c>
      <c r="I365" s="291">
        <f>SUM('[33]TGNPDCL MoD'!AN11:AN14)</f>
        <v>44.747176046367585</v>
      </c>
      <c r="J365" s="291">
        <f>SUM('[33]TGNPDCL MoD'!AO11:AO14)</f>
        <v>40.593071909217969</v>
      </c>
      <c r="K365" s="291">
        <f>SUM('[33]TGNPDCL MoD'!AP11:AP14)</f>
        <v>48.445373018679376</v>
      </c>
      <c r="L365" s="291">
        <f>SUM('[33]TGNPDCL MoD'!AQ11:AQ14)</f>
        <v>45.651983103899731</v>
      </c>
      <c r="M365" s="291">
        <f>SUM('[33]TGNPDCL MoD'!AR11:AR14)</f>
        <v>52.283680131143583</v>
      </c>
      <c r="N365" s="291">
        <f>SUM('[33]TGNPDCL MoD'!AS11:AS14)</f>
        <v>55.124606954506056</v>
      </c>
      <c r="O365" s="291">
        <f>SUM('[33]TGNPDCL MoD'!AT11:AT14)</f>
        <v>52.010397026039087</v>
      </c>
      <c r="P365" s="291">
        <f>SUM('[33]TGNPDCL MoD'!AU11:AU14)</f>
        <v>64.227124898913658</v>
      </c>
      <c r="Q365" s="291">
        <f t="shared" si="166"/>
        <v>600.70215164141575</v>
      </c>
    </row>
    <row r="366" spans="2:17" x14ac:dyDescent="0.25">
      <c r="B366" s="60"/>
      <c r="C366" s="803"/>
      <c r="D366" s="59" t="s">
        <v>358</v>
      </c>
      <c r="E366" s="291">
        <f>SUM('[33]TGNPDCL MoD'!AJ15:AJ19)+'[33]TGNPDCL MoD'!$AW$15/12</f>
        <v>174.27989612223519</v>
      </c>
      <c r="F366" s="291">
        <f>SUM('[33]TGNPDCL MoD'!AK15:AK19)+'[33]TGNPDCL MoD'!$AW$15/12</f>
        <v>106.42501648649106</v>
      </c>
      <c r="G366" s="291">
        <f>SUM('[33]TGNPDCL MoD'!AL15:AL19)+'[33]TGNPDCL MoD'!$AW$15/12</f>
        <v>103.0621763753463</v>
      </c>
      <c r="H366" s="291">
        <f>SUM('[33]TGNPDCL MoD'!AM15:AM19)+'[33]TGNPDCL MoD'!$AW$15/12</f>
        <v>110.62795929974961</v>
      </c>
      <c r="I366" s="291">
        <f>SUM('[33]TGNPDCL MoD'!AN15:AN19)+'[33]TGNPDCL MoD'!$AW$15/12</f>
        <v>157.10850367813538</v>
      </c>
      <c r="J366" s="291">
        <f>SUM('[33]TGNPDCL MoD'!AO15:AO19)+'[33]TGNPDCL MoD'!$AW$15/12</f>
        <v>176.76336338250493</v>
      </c>
      <c r="K366" s="291">
        <f>SUM('[33]TGNPDCL MoD'!AP15:AP19)+'[33]TGNPDCL MoD'!$AW$15/12</f>
        <v>159.97014181478161</v>
      </c>
      <c r="L366" s="291">
        <f>SUM('[33]TGNPDCL MoD'!AQ15:AQ19)+'[33]TGNPDCL MoD'!$AW$15/12</f>
        <v>138.64616538024757</v>
      </c>
      <c r="M366" s="291">
        <f>SUM('[33]TGNPDCL MoD'!AR15:AR19)+'[33]TGNPDCL MoD'!$AW$15/12</f>
        <v>160.62349834487247</v>
      </c>
      <c r="N366" s="291">
        <f>SUM('[33]TGNPDCL MoD'!AS15:AS19)+'[33]TGNPDCL MoD'!$AW$15/12</f>
        <v>177.23269305368035</v>
      </c>
      <c r="O366" s="291">
        <f>SUM('[33]TGNPDCL MoD'!AT15:AT19)+'[33]TGNPDCL MoD'!$AW$15/12</f>
        <v>162.80475366293481</v>
      </c>
      <c r="P366" s="291">
        <f>SUM('[33]TGNPDCL MoD'!AU15:AU19)+'[33]TGNPDCL MoD'!$AW$15/12</f>
        <v>194.57857508811503</v>
      </c>
      <c r="Q366" s="291">
        <f t="shared" si="166"/>
        <v>1822.1227426890946</v>
      </c>
    </row>
    <row r="367" spans="2:17" x14ac:dyDescent="0.25">
      <c r="B367" s="60"/>
      <c r="C367" s="803"/>
      <c r="D367" s="325" t="s">
        <v>620</v>
      </c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>
        <f t="shared" si="166"/>
        <v>0</v>
      </c>
    </row>
    <row r="368" spans="2:17" x14ac:dyDescent="0.25">
      <c r="B368" s="60"/>
      <c r="C368" s="803"/>
      <c r="D368" s="59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>
        <f t="shared" si="166"/>
        <v>0</v>
      </c>
    </row>
    <row r="369" spans="2:18" x14ac:dyDescent="0.25">
      <c r="B369" s="60"/>
      <c r="C369" s="803"/>
      <c r="D369" s="59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>
        <f t="shared" si="166"/>
        <v>0</v>
      </c>
    </row>
    <row r="370" spans="2:18" x14ac:dyDescent="0.25">
      <c r="B370" s="60"/>
      <c r="C370" s="803"/>
      <c r="D370" s="59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>
        <f t="shared" si="166"/>
        <v>0</v>
      </c>
    </row>
    <row r="371" spans="2:18" x14ac:dyDescent="0.25">
      <c r="B371" s="60"/>
      <c r="C371" s="803"/>
      <c r="D371" s="59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>
        <f t="shared" si="166"/>
        <v>0</v>
      </c>
    </row>
    <row r="372" spans="2:18" x14ac:dyDescent="0.25">
      <c r="B372" s="60"/>
      <c r="C372" s="803"/>
      <c r="D372" s="59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>
        <f t="shared" si="166"/>
        <v>0</v>
      </c>
    </row>
    <row r="373" spans="2:18" x14ac:dyDescent="0.25">
      <c r="B373" s="60"/>
      <c r="C373" s="803"/>
      <c r="D373" s="59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>
        <f t="shared" si="166"/>
        <v>0</v>
      </c>
    </row>
    <row r="374" spans="2:18" x14ac:dyDescent="0.25">
      <c r="B374" s="60"/>
      <c r="C374" s="803"/>
      <c r="D374" s="59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>
        <f t="shared" si="166"/>
        <v>0</v>
      </c>
    </row>
    <row r="375" spans="2:18" x14ac:dyDescent="0.25">
      <c r="B375" s="60"/>
      <c r="C375" s="803"/>
      <c r="D375" s="59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>
        <f t="shared" si="166"/>
        <v>0</v>
      </c>
    </row>
    <row r="376" spans="2:18" x14ac:dyDescent="0.25">
      <c r="B376" s="60"/>
      <c r="C376" s="804"/>
      <c r="D376" s="59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>
        <f t="shared" si="166"/>
        <v>0</v>
      </c>
    </row>
    <row r="377" spans="2:18" x14ac:dyDescent="0.25">
      <c r="C377" s="751" t="s">
        <v>212</v>
      </c>
      <c r="D377" s="752"/>
      <c r="E377" s="291">
        <f t="shared" ref="E377:P377" si="167">SUM(E359:E376)</f>
        <v>392.8404945366641</v>
      </c>
      <c r="F377" s="291">
        <f t="shared" si="167"/>
        <v>230.77714916042294</v>
      </c>
      <c r="G377" s="291">
        <f t="shared" si="167"/>
        <v>281.01637358715141</v>
      </c>
      <c r="H377" s="291">
        <f t="shared" si="167"/>
        <v>299.56768136707143</v>
      </c>
      <c r="I377" s="291">
        <f t="shared" si="167"/>
        <v>319.10440121685809</v>
      </c>
      <c r="J377" s="291">
        <f t="shared" si="167"/>
        <v>353.12823463415384</v>
      </c>
      <c r="K377" s="291">
        <f t="shared" si="167"/>
        <v>311.81912320511765</v>
      </c>
      <c r="L377" s="291">
        <f t="shared" si="167"/>
        <v>304.69490173545967</v>
      </c>
      <c r="M377" s="291">
        <f t="shared" si="167"/>
        <v>348.75292292757808</v>
      </c>
      <c r="N377" s="291">
        <f t="shared" si="167"/>
        <v>380.18607957537171</v>
      </c>
      <c r="O377" s="291">
        <f t="shared" si="167"/>
        <v>359.42448946900981</v>
      </c>
      <c r="P377" s="291">
        <f t="shared" si="167"/>
        <v>428.60051234809498</v>
      </c>
      <c r="Q377" s="323">
        <f t="shared" si="166"/>
        <v>4009.9123637629541</v>
      </c>
      <c r="R377" s="427"/>
    </row>
    <row r="378" spans="2:18" x14ac:dyDescent="0.25">
      <c r="C378" s="753" t="s">
        <v>359</v>
      </c>
      <c r="D378" s="754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</row>
    <row r="379" spans="2:18" x14ac:dyDescent="0.25">
      <c r="C379" s="805" t="s">
        <v>350</v>
      </c>
      <c r="D379" s="17" t="s">
        <v>360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f t="shared" ref="Q379:Q397" si="168">SUM(E379:P379)</f>
        <v>0</v>
      </c>
    </row>
    <row r="380" spans="2:18" x14ac:dyDescent="0.25">
      <c r="C380" s="806"/>
      <c r="D380" s="17" t="s">
        <v>361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f t="shared" si="168"/>
        <v>0</v>
      </c>
    </row>
    <row r="381" spans="2:18" x14ac:dyDescent="0.25">
      <c r="C381" s="806"/>
      <c r="D381" s="17" t="s">
        <v>362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f t="shared" si="168"/>
        <v>0</v>
      </c>
    </row>
    <row r="382" spans="2:18" x14ac:dyDescent="0.25">
      <c r="C382" s="806"/>
      <c r="D382" s="17" t="s">
        <v>363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f t="shared" si="168"/>
        <v>0</v>
      </c>
    </row>
    <row r="383" spans="2:18" x14ac:dyDescent="0.25">
      <c r="C383" s="806"/>
      <c r="D383" s="17" t="s">
        <v>364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f t="shared" si="168"/>
        <v>0</v>
      </c>
    </row>
    <row r="384" spans="2:18" x14ac:dyDescent="0.25">
      <c r="C384" s="806"/>
      <c r="D384" s="17" t="s">
        <v>365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f t="shared" si="168"/>
        <v>0</v>
      </c>
    </row>
    <row r="385" spans="3:18" x14ac:dyDescent="0.25">
      <c r="C385" s="806"/>
      <c r="D385" s="17" t="s">
        <v>366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f t="shared" si="168"/>
        <v>0</v>
      </c>
    </row>
    <row r="386" spans="3:18" x14ac:dyDescent="0.25">
      <c r="C386" s="806"/>
      <c r="D386" s="17" t="s">
        <v>367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f t="shared" si="168"/>
        <v>0</v>
      </c>
    </row>
    <row r="387" spans="3:18" x14ac:dyDescent="0.25">
      <c r="C387" s="80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>
        <f t="shared" si="168"/>
        <v>0</v>
      </c>
    </row>
    <row r="388" spans="3:18" x14ac:dyDescent="0.25">
      <c r="C388" s="80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>
        <f t="shared" si="168"/>
        <v>0</v>
      </c>
    </row>
    <row r="389" spans="3:18" x14ac:dyDescent="0.25">
      <c r="C389" s="80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>
        <f t="shared" si="168"/>
        <v>0</v>
      </c>
    </row>
    <row r="390" spans="3:18" x14ac:dyDescent="0.25">
      <c r="C390" s="806"/>
      <c r="D390" s="325" t="s">
        <v>621</v>
      </c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>
        <f t="shared" si="168"/>
        <v>0</v>
      </c>
    </row>
    <row r="391" spans="3:18" x14ac:dyDescent="0.25">
      <c r="C391" s="806"/>
      <c r="D391" s="325" t="s">
        <v>622</v>
      </c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>
        <f t="shared" si="168"/>
        <v>0</v>
      </c>
    </row>
    <row r="392" spans="3:18" x14ac:dyDescent="0.25">
      <c r="C392" s="806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>
        <f t="shared" si="168"/>
        <v>0</v>
      </c>
    </row>
    <row r="393" spans="3:18" x14ac:dyDescent="0.25">
      <c r="C393" s="806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>
        <f t="shared" si="168"/>
        <v>0</v>
      </c>
    </row>
    <row r="394" spans="3:18" x14ac:dyDescent="0.25">
      <c r="C394" s="806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>
        <f t="shared" si="168"/>
        <v>0</v>
      </c>
    </row>
    <row r="395" spans="3:18" x14ac:dyDescent="0.25">
      <c r="C395" s="806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>
        <f t="shared" si="168"/>
        <v>0</v>
      </c>
    </row>
    <row r="396" spans="3:18" x14ac:dyDescent="0.25">
      <c r="C396" s="807"/>
      <c r="D396" s="10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>
        <f t="shared" si="168"/>
        <v>0</v>
      </c>
    </row>
    <row r="397" spans="3:18" x14ac:dyDescent="0.25">
      <c r="C397" s="751" t="s">
        <v>212</v>
      </c>
      <c r="D397" s="752"/>
      <c r="E397" s="17">
        <f t="shared" ref="E397:P397" si="169">SUM(E379:E396)</f>
        <v>0</v>
      </c>
      <c r="F397" s="17">
        <f t="shared" si="169"/>
        <v>0</v>
      </c>
      <c r="G397" s="17">
        <f t="shared" si="169"/>
        <v>0</v>
      </c>
      <c r="H397" s="17">
        <f t="shared" si="169"/>
        <v>0</v>
      </c>
      <c r="I397" s="17">
        <f t="shared" si="169"/>
        <v>0</v>
      </c>
      <c r="J397" s="17">
        <f t="shared" si="169"/>
        <v>0</v>
      </c>
      <c r="K397" s="17">
        <f t="shared" si="169"/>
        <v>0</v>
      </c>
      <c r="L397" s="17">
        <f t="shared" si="169"/>
        <v>0</v>
      </c>
      <c r="M397" s="17">
        <f t="shared" si="169"/>
        <v>0</v>
      </c>
      <c r="N397" s="17">
        <f t="shared" si="169"/>
        <v>0</v>
      </c>
      <c r="O397" s="17">
        <f t="shared" si="169"/>
        <v>0</v>
      </c>
      <c r="P397" s="17">
        <f t="shared" si="169"/>
        <v>0</v>
      </c>
      <c r="Q397" s="86">
        <f t="shared" si="168"/>
        <v>0</v>
      </c>
      <c r="R397" s="427"/>
    </row>
    <row r="398" spans="3:18" x14ac:dyDescent="0.25">
      <c r="C398" s="753" t="s">
        <v>368</v>
      </c>
      <c r="D398" s="754"/>
      <c r="E398" s="17">
        <f t="shared" ref="E398:Q398" si="170">E377+E397</f>
        <v>392.8404945366641</v>
      </c>
      <c r="F398" s="17">
        <f t="shared" si="170"/>
        <v>230.77714916042294</v>
      </c>
      <c r="G398" s="17">
        <f t="shared" si="170"/>
        <v>281.01637358715141</v>
      </c>
      <c r="H398" s="17">
        <f t="shared" si="170"/>
        <v>299.56768136707143</v>
      </c>
      <c r="I398" s="17">
        <f t="shared" si="170"/>
        <v>319.10440121685809</v>
      </c>
      <c r="J398" s="17">
        <f t="shared" si="170"/>
        <v>353.12823463415384</v>
      </c>
      <c r="K398" s="17">
        <f t="shared" si="170"/>
        <v>311.81912320511765</v>
      </c>
      <c r="L398" s="17">
        <f t="shared" si="170"/>
        <v>304.69490173545967</v>
      </c>
      <c r="M398" s="17">
        <f t="shared" si="170"/>
        <v>348.75292292757808</v>
      </c>
      <c r="N398" s="17">
        <f t="shared" si="170"/>
        <v>380.18607957537171</v>
      </c>
      <c r="O398" s="17">
        <f t="shared" si="170"/>
        <v>359.42448946900981</v>
      </c>
      <c r="P398" s="17">
        <f t="shared" si="170"/>
        <v>428.60051234809498</v>
      </c>
      <c r="Q398" s="86">
        <f t="shared" si="170"/>
        <v>4009.9123637629541</v>
      </c>
      <c r="R398" s="427"/>
    </row>
    <row r="399" spans="3:18" x14ac:dyDescent="0.25">
      <c r="C399" s="800" t="s">
        <v>369</v>
      </c>
      <c r="D399" s="801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</row>
    <row r="400" spans="3:18" x14ac:dyDescent="0.25">
      <c r="C400" s="753" t="s">
        <v>349</v>
      </c>
      <c r="D400" s="754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</row>
    <row r="401" spans="3:17" x14ac:dyDescent="0.25">
      <c r="C401" s="843" t="s">
        <v>370</v>
      </c>
      <c r="D401" s="17" t="s">
        <v>371</v>
      </c>
      <c r="E401" s="66">
        <f>SUM('[33]TGNPDCL MoD'!AJ25:AJ30)+'[33]TGNPDCL MoD'!$AW$25/12</f>
        <v>15.765992792659773</v>
      </c>
      <c r="F401" s="66">
        <f>SUM('[33]TGNPDCL MoD'!AK25:AK30)+'[33]TGNPDCL MoD'!$AW$25/12</f>
        <v>21.074345906976802</v>
      </c>
      <c r="G401" s="66">
        <f>SUM('[33]TGNPDCL MoD'!AL25:AL30)+'[33]TGNPDCL MoD'!$AW$25/12</f>
        <v>21.41610958845558</v>
      </c>
      <c r="H401" s="66">
        <f>SUM('[33]TGNPDCL MoD'!AM25:AM30)+'[33]TGNPDCL MoD'!$AW$25/12</f>
        <v>15.566738353151257</v>
      </c>
      <c r="I401" s="66">
        <f>SUM('[33]TGNPDCL MoD'!AN25:AN30)+'[33]TGNPDCL MoD'!$AW$25/12</f>
        <v>13.581195816728686</v>
      </c>
      <c r="J401" s="66">
        <f>SUM('[33]TGNPDCL MoD'!AO25:AO30)+'[33]TGNPDCL MoD'!$AW$25/12</f>
        <v>14.181703661918098</v>
      </c>
      <c r="K401" s="66">
        <f>SUM('[33]TGNPDCL MoD'!AP25:AP30)+'[33]TGNPDCL MoD'!$AW$25/12</f>
        <v>13.581195816728686</v>
      </c>
      <c r="L401" s="66">
        <f>SUM('[33]TGNPDCL MoD'!AQ25:AQ30)+'[33]TGNPDCL MoD'!$AW$25/12</f>
        <v>19.4316623142156</v>
      </c>
      <c r="M401" s="66">
        <f>SUM('[33]TGNPDCL MoD'!AR25:AR30)+'[33]TGNPDCL MoD'!$AW$25/12</f>
        <v>12.105034896275221</v>
      </c>
      <c r="N401" s="66">
        <f>SUM('[33]TGNPDCL MoD'!AS25:AS30)+'[33]TGNPDCL MoD'!$AW$25/12</f>
        <v>12.701221288117319</v>
      </c>
      <c r="O401" s="66">
        <f>SUM('[33]TGNPDCL MoD'!AT25:AT30)+'[33]TGNPDCL MoD'!$AW$25/12</f>
        <v>16.298807800284422</v>
      </c>
      <c r="P401" s="66">
        <f>SUM('[33]TGNPDCL MoD'!AU25:AU30)+'[33]TGNPDCL MoD'!$AW$25/12</f>
        <v>19.45484443803652</v>
      </c>
      <c r="Q401" s="66">
        <f t="shared" ref="Q401:Q428" si="171">SUM(E401:P401)</f>
        <v>195.15885267354795</v>
      </c>
    </row>
    <row r="402" spans="3:17" x14ac:dyDescent="0.25">
      <c r="C402" s="844"/>
      <c r="D402" s="17" t="s">
        <v>372</v>
      </c>
      <c r="E402" s="66">
        <f>'[33]TGNPDCL MoD'!AJ31</f>
        <v>4.4012627440294727</v>
      </c>
      <c r="F402" s="66">
        <f>'[33]TGNPDCL MoD'!AK31</f>
        <v>5.3784706460371607</v>
      </c>
      <c r="G402" s="66">
        <f>'[33]TGNPDCL MoD'!AL31</f>
        <v>5.2049715929391889</v>
      </c>
      <c r="H402" s="66">
        <f>'[33]TGNPDCL MoD'!AM31</f>
        <v>0</v>
      </c>
      <c r="I402" s="66">
        <f>'[33]TGNPDCL MoD'!AN31</f>
        <v>1.7400934443061389</v>
      </c>
      <c r="J402" s="66">
        <f>'[33]TGNPDCL MoD'!AO31</f>
        <v>3.5975538951197308</v>
      </c>
      <c r="K402" s="66">
        <f>'[33]TGNPDCL MoD'!AP31</f>
        <v>3.4801868886122778</v>
      </c>
      <c r="L402" s="66">
        <f>'[33]TGNPDCL MoD'!AQ31</f>
        <v>4.9753404932506946</v>
      </c>
      <c r="M402" s="66">
        <f>'[33]TGNPDCL MoD'!AR31</f>
        <v>4.3106860324856635</v>
      </c>
      <c r="N402" s="66">
        <f>'[33]TGNPDCL MoD'!AS31</f>
        <v>4.4293287673247317</v>
      </c>
      <c r="O402" s="66">
        <f>'[33]TGNPDCL MoD'!AT31</f>
        <v>4.2150064076154736</v>
      </c>
      <c r="P402" s="66">
        <f>'[33]TGNPDCL MoD'!AU31</f>
        <v>4.7852569718419016</v>
      </c>
      <c r="Q402" s="66">
        <f t="shared" si="171"/>
        <v>46.518157883562445</v>
      </c>
    </row>
    <row r="403" spans="3:17" x14ac:dyDescent="0.25">
      <c r="C403" s="844"/>
      <c r="D403" s="17" t="s">
        <v>373</v>
      </c>
      <c r="E403" s="66">
        <f>SUM('[33]TGNPDCL MoD'!AJ42:AJ45)</f>
        <v>6.5096992666392399</v>
      </c>
      <c r="F403" s="66">
        <f>SUM('[33]TGNPDCL MoD'!AK42:AK45)</f>
        <v>6.4539856242671023</v>
      </c>
      <c r="G403" s="66">
        <f>SUM('[33]TGNPDCL MoD'!AL42:AL45)</f>
        <v>6.3777459031262822</v>
      </c>
      <c r="H403" s="66">
        <f>SUM('[33]TGNPDCL MoD'!AM42:AM45)</f>
        <v>6.8630410511572695</v>
      </c>
      <c r="I403" s="66">
        <f>SUM('[33]TGNPDCL MoD'!AN42:AN45)</f>
        <v>6.1812820063403224</v>
      </c>
      <c r="J403" s="66">
        <f>SUM('[33]TGNPDCL MoD'!AO42:AO45)</f>
        <v>6.9847693352718458</v>
      </c>
      <c r="K403" s="66">
        <f>SUM('[33]TGNPDCL MoD'!AP42:AP45)</f>
        <v>6.4539856242671023</v>
      </c>
      <c r="L403" s="66">
        <f>SUM('[33]TGNPDCL MoD'!AQ42:AQ45)</f>
        <v>4.7833094273447117</v>
      </c>
      <c r="M403" s="66">
        <f>SUM('[33]TGNPDCL MoD'!AR42:AR45)</f>
        <v>4.2041807763711763</v>
      </c>
      <c r="N403" s="66">
        <f>SUM('[33]TGNPDCL MoD'!AS42:AS45)</f>
        <v>5.8858530869196457</v>
      </c>
      <c r="O403" s="66">
        <f>SUM('[33]TGNPDCL MoD'!AT42:AT45)</f>
        <v>6.1373211621383419</v>
      </c>
      <c r="P403" s="66">
        <f>SUM('[33]TGNPDCL MoD'!AU42:AU45)</f>
        <v>7.2720964780474375</v>
      </c>
      <c r="Q403" s="66">
        <f t="shared" si="171"/>
        <v>74.107269741890491</v>
      </c>
    </row>
    <row r="404" spans="3:17" x14ac:dyDescent="0.25">
      <c r="C404" s="844"/>
      <c r="D404" s="17" t="s">
        <v>374</v>
      </c>
      <c r="E404" s="66">
        <f>'[33]TGNPDCL MoD'!AJ40</f>
        <v>27.555116366693767</v>
      </c>
      <c r="F404" s="66">
        <f>'[33]TGNPDCL MoD'!AK40</f>
        <v>34.722040147785478</v>
      </c>
      <c r="G404" s="66">
        <f>'[33]TGNPDCL MoD'!AL40</f>
        <v>34.098142537442619</v>
      </c>
      <c r="H404" s="66">
        <f>'[33]TGNPDCL MoD'!AM40</f>
        <v>23.134816449536643</v>
      </c>
      <c r="I404" s="66">
        <f>'[33]TGNPDCL MoD'!AN40</f>
        <v>21.355215184187667</v>
      </c>
      <c r="J404" s="66">
        <f>'[33]TGNPDCL MoD'!AO40</f>
        <v>22.388532047938686</v>
      </c>
      <c r="K404" s="66">
        <f>'[33]TGNPDCL MoD'!AP40</f>
        <v>21.355215184187667</v>
      </c>
      <c r="L404" s="66">
        <f>'[33]TGNPDCL MoD'!AQ40</f>
        <v>0</v>
      </c>
      <c r="M404" s="66">
        <f>'[33]TGNPDCL MoD'!AR40</f>
        <v>12.012308541105563</v>
      </c>
      <c r="N404" s="66">
        <f>'[33]TGNPDCL MoD'!AS40</f>
        <v>24.024617082211126</v>
      </c>
      <c r="O404" s="66">
        <f>'[33]TGNPDCL MoD'!AT40</f>
        <v>26.532698472172967</v>
      </c>
      <c r="P404" s="66">
        <f>'[33]TGNPDCL MoD'!AU40</f>
        <v>31.14302214360702</v>
      </c>
      <c r="Q404" s="66">
        <f t="shared" si="171"/>
        <v>278.32172415686921</v>
      </c>
    </row>
    <row r="405" spans="3:17" x14ac:dyDescent="0.25">
      <c r="C405" s="844"/>
      <c r="D405" s="17" t="s">
        <v>375</v>
      </c>
      <c r="E405" s="66">
        <f>'[33]TGNPDCL MoD'!AJ41+'[33]TGNPDCL MoD'!$AW$41/12</f>
        <v>13.077363967441778</v>
      </c>
      <c r="F405" s="66">
        <f>'[33]TGNPDCL MoD'!AK41+'[33]TGNPDCL MoD'!$AW$41/12</f>
        <v>16.828959436038264</v>
      </c>
      <c r="G405" s="66">
        <f>'[33]TGNPDCL MoD'!AL41+'[33]TGNPDCL MoD'!$AW$41/12</f>
        <v>0.21475093225382125</v>
      </c>
      <c r="H405" s="66">
        <f>'[33]TGNPDCL MoD'!AM41+'[33]TGNPDCL MoD'!$AW$41/12</f>
        <v>5.6143686959837611</v>
      </c>
      <c r="I405" s="66">
        <f>'[33]TGNPDCL MoD'!AN41+'[33]TGNPDCL MoD'!$AW$41/12</f>
        <v>10.183276034524486</v>
      </c>
      <c r="J405" s="66">
        <f>'[33]TGNPDCL MoD'!AO41+'[33]TGNPDCL MoD'!$AW$41/12</f>
        <v>10.665624023344034</v>
      </c>
      <c r="K405" s="66">
        <f>'[33]TGNPDCL MoD'!AP41+'[33]TGNPDCL MoD'!$AW$41/12</f>
        <v>10.183276034524486</v>
      </c>
      <c r="L405" s="66">
        <f>'[33]TGNPDCL MoD'!AQ41+'[33]TGNPDCL MoD'!$AW$41/12</f>
        <v>13.756782773682724</v>
      </c>
      <c r="M405" s="66">
        <f>'[33]TGNPDCL MoD'!AR41+'[33]TGNPDCL MoD'!$AW$41/12</f>
        <v>11.429341672308317</v>
      </c>
      <c r="N405" s="66">
        <f>'[33]TGNPDCL MoD'!AS41+'[33]TGNPDCL MoD'!$AW$41/12</f>
        <v>11.429341672308317</v>
      </c>
      <c r="O405" s="66">
        <f>'[33]TGNPDCL MoD'!AT41+'[33]TGNPDCL MoD'!$AW$41/12</f>
        <v>12.970175525481874</v>
      </c>
      <c r="P405" s="66">
        <f>'[33]TGNPDCL MoD'!AU41+'[33]TGNPDCL MoD'!$AW$41/12</f>
        <v>14.752183373065204</v>
      </c>
      <c r="Q405" s="66">
        <f t="shared" si="171"/>
        <v>131.10544414095708</v>
      </c>
    </row>
    <row r="406" spans="3:17" x14ac:dyDescent="0.25">
      <c r="C406" s="844"/>
      <c r="D406" s="17" t="s">
        <v>376</v>
      </c>
      <c r="E406" s="66">
        <f>SUM('[33]TGNPDCL MoD'!AJ49:AJ51)</f>
        <v>18.621271955820589</v>
      </c>
      <c r="F406" s="66">
        <f>SUM('[33]TGNPDCL MoD'!AK49:AK51)</f>
        <v>24.171711155448666</v>
      </c>
      <c r="G406" s="66">
        <f>SUM('[33]TGNPDCL MoD'!AL49:AL51)</f>
        <v>15.617840995204325</v>
      </c>
      <c r="H406" s="66">
        <f>SUM('[33]TGNPDCL MoD'!AM49:AM51)</f>
        <v>13.448696412537078</v>
      </c>
      <c r="I406" s="66">
        <f>SUM('[33]TGNPDCL MoD'!AN49:AN51)</f>
        <v>14.897017564656446</v>
      </c>
      <c r="J406" s="66">
        <f>SUM('[33]TGNPDCL MoD'!AO49:AO51)</f>
        <v>14.699440688442053</v>
      </c>
      <c r="K406" s="66">
        <f>SUM('[33]TGNPDCL MoD'!AP49:AP51)</f>
        <v>14.897017564656446</v>
      </c>
      <c r="L406" s="66">
        <f>SUM('[33]TGNPDCL MoD'!AQ49:AQ51)</f>
        <v>12.013723842464895</v>
      </c>
      <c r="M406" s="66">
        <f>SUM('[33]TGNPDCL MoD'!AR49:AR51)</f>
        <v>13.448696412537078</v>
      </c>
      <c r="N406" s="66">
        <f>SUM('[33]TGNPDCL MoD'!AS49:AS51)</f>
        <v>16.138435695044492</v>
      </c>
      <c r="O406" s="66">
        <f>SUM('[33]TGNPDCL MoD'!AT49:AT51)</f>
        <v>17.940494271414252</v>
      </c>
      <c r="P406" s="66">
        <f>SUM('[33]TGNPDCL MoD'!AU49:AU51)</f>
        <v>21.724817281790706</v>
      </c>
      <c r="Q406" s="66">
        <f t="shared" si="171"/>
        <v>197.61916384001705</v>
      </c>
    </row>
    <row r="407" spans="3:17" x14ac:dyDescent="0.25">
      <c r="C407" s="844"/>
      <c r="D407" s="17" t="s">
        <v>377</v>
      </c>
      <c r="E407" s="66">
        <f>'[33]TGNPDCL MoD'!AJ53</f>
        <v>2.4515252177837352</v>
      </c>
      <c r="F407" s="66">
        <f>'[33]TGNPDCL MoD'!AK53</f>
        <v>3.0873895711463897</v>
      </c>
      <c r="G407" s="66">
        <f>'[33]TGNPDCL MoD'!AL53</f>
        <v>2.9877963591739256</v>
      </c>
      <c r="H407" s="66">
        <f>'[33]TGNPDCL MoD'!AM53</f>
        <v>2.0582597140975962</v>
      </c>
      <c r="I407" s="66">
        <f>'[33]TGNPDCL MoD'!AN53</f>
        <v>1.8999320437823972</v>
      </c>
      <c r="J407" s="66">
        <f>'[33]TGNPDCL MoD'!AO53</f>
        <v>1.9152540763935448</v>
      </c>
      <c r="K407" s="66">
        <f>'[33]TGNPDCL MoD'!AP53</f>
        <v>1.8999320437823972</v>
      </c>
      <c r="L407" s="66">
        <f>'[33]TGNPDCL MoD'!AQ53</f>
        <v>2.3406022173536472</v>
      </c>
      <c r="M407" s="66">
        <f>'[33]TGNPDCL MoD'!AR53</f>
        <v>2.0582597140975962</v>
      </c>
      <c r="N407" s="66">
        <f>'[33]TGNPDCL MoD'!AS53</f>
        <v>2.0582597140975962</v>
      </c>
      <c r="O407" s="66">
        <f>'[33]TGNPDCL MoD'!AT53</f>
        <v>2.2880902032648196</v>
      </c>
      <c r="P407" s="66">
        <f>'[33]TGNPDCL MoD'!AU53</f>
        <v>2.7707342305159917</v>
      </c>
      <c r="Q407" s="66">
        <f t="shared" si="171"/>
        <v>27.816035105489636</v>
      </c>
    </row>
    <row r="408" spans="3:17" x14ac:dyDescent="0.25">
      <c r="C408" s="844"/>
      <c r="D408" s="17" t="s">
        <v>378</v>
      </c>
      <c r="E408" s="66">
        <f>'[33]TGNPDCL MoD'!AJ54</f>
        <v>13.708872557586933</v>
      </c>
      <c r="F408" s="66">
        <f>'[33]TGNPDCL MoD'!AK54</f>
        <v>17.364571906276783</v>
      </c>
      <c r="G408" s="66">
        <f>'[33]TGNPDCL MoD'!AL54</f>
        <v>17.246646120835173</v>
      </c>
      <c r="H408" s="66">
        <f>'[33]TGNPDCL MoD'!AM54</f>
        <v>11.881022883242009</v>
      </c>
      <c r="I408" s="66">
        <f>'[33]TGNPDCL MoD'!AN54</f>
        <v>10.967098046069548</v>
      </c>
      <c r="J408" s="66">
        <f>'[33]TGNPDCL MoD'!AO54</f>
        <v>10.613320689744722</v>
      </c>
      <c r="K408" s="66">
        <f>'[33]TGNPDCL MoD'!AP54</f>
        <v>10.967098046069548</v>
      </c>
      <c r="L408" s="66">
        <f>'[33]TGNPDCL MoD'!AQ54</f>
        <v>13.266650862180905</v>
      </c>
      <c r="M408" s="66">
        <f>'[33]TGNPDCL MoD'!AR54</f>
        <v>11.881022883242009</v>
      </c>
      <c r="N408" s="66">
        <f>'[33]TGNPDCL MoD'!AS54</f>
        <v>11.881022883242009</v>
      </c>
      <c r="O408" s="66">
        <f>'[33]TGNPDCL MoD'!AT54</f>
        <v>13.207687969460101</v>
      </c>
      <c r="P408" s="66">
        <f>'[33]TGNPDCL MoD'!AU54</f>
        <v>15.685642192721849</v>
      </c>
      <c r="Q408" s="66">
        <f t="shared" si="171"/>
        <v>158.67065704067159</v>
      </c>
    </row>
    <row r="409" spans="3:17" x14ac:dyDescent="0.25">
      <c r="C409" s="844"/>
      <c r="D409" s="125" t="s">
        <v>379</v>
      </c>
      <c r="E409" s="66">
        <f>'[33]TGNPDCL MoD'!AJ55</f>
        <v>38.434785063790187</v>
      </c>
      <c r="F409" s="66">
        <f>'[33]TGNPDCL MoD'!AK55</f>
        <v>39.480630805666685</v>
      </c>
      <c r="G409" s="66">
        <f>'[33]TGNPDCL MoD'!AL55</f>
        <v>38.207062070000013</v>
      </c>
      <c r="H409" s="66">
        <f>'[33]TGNPDCL MoD'!AM55</f>
        <v>38.149766434867708</v>
      </c>
      <c r="I409" s="66">
        <f>'[33]TGNPDCL MoD'!AN55</f>
        <v>30.781563866474109</v>
      </c>
      <c r="J409" s="66">
        <f>'[33]TGNPDCL MoD'!AO55</f>
        <v>33.573652173183902</v>
      </c>
      <c r="K409" s="66">
        <f>'[33]TGNPDCL MoD'!AP55</f>
        <v>30.744949200571462</v>
      </c>
      <c r="L409" s="66">
        <f>'[33]TGNPDCL MoD'!AQ55</f>
        <v>39.049864909779451</v>
      </c>
      <c r="M409" s="66">
        <f>'[33]TGNPDCL MoD'!AR55</f>
        <v>38.470598063129017</v>
      </c>
      <c r="N409" s="66">
        <f>'[33]TGNPDCL MoD'!AS55</f>
        <v>34.576334126738274</v>
      </c>
      <c r="O409" s="66">
        <f>'[33]TGNPDCL MoD'!AT55</f>
        <v>33.968198069638888</v>
      </c>
      <c r="P409" s="66">
        <f>'[33]TGNPDCL MoD'!AU55</f>
        <v>40.475541571500543</v>
      </c>
      <c r="Q409" s="66">
        <f t="shared" si="171"/>
        <v>435.9129463553403</v>
      </c>
    </row>
    <row r="410" spans="3:17" x14ac:dyDescent="0.25">
      <c r="C410" s="845"/>
      <c r="D410" s="125" t="s">
        <v>451</v>
      </c>
      <c r="E410" s="66">
        <f>'[33]TGNPDCL MoD'!AJ56</f>
        <v>37.645104898820044</v>
      </c>
      <c r="F410" s="66">
        <f>'[33]TGNPDCL MoD'!AK56</f>
        <v>39.482447552361876</v>
      </c>
      <c r="G410" s="66">
        <f>'[33]TGNPDCL MoD'!AL56</f>
        <v>38.208820211963094</v>
      </c>
      <c r="H410" s="66">
        <f>'[33]TGNPDCL MoD'!AM56</f>
        <v>37.478773341926612</v>
      </c>
      <c r="I410" s="66">
        <f>'[33]TGNPDCL MoD'!AN56</f>
        <v>28.997694367930933</v>
      </c>
      <c r="J410" s="66">
        <f>'[33]TGNPDCL MoD'!AO56</f>
        <v>30.398499735417062</v>
      </c>
      <c r="K410" s="66">
        <f>'[33]TGNPDCL MoD'!AP56</f>
        <v>29.840837666107838</v>
      </c>
      <c r="L410" s="66">
        <f>'[33]TGNPDCL MoD'!AQ56</f>
        <v>39.05166183428581</v>
      </c>
      <c r="M410" s="66">
        <f>'[33]TGNPDCL MoD'!AR56</f>
        <v>35.53965950297539</v>
      </c>
      <c r="N410" s="66">
        <f>'[33]TGNPDCL MoD'!AS56</f>
        <v>34.256829493961042</v>
      </c>
      <c r="O410" s="66">
        <f>'[33]TGNPDCL MoD'!AT56</f>
        <v>33.214735528443512</v>
      </c>
      <c r="P410" s="66">
        <f>'[33]TGNPDCL MoD'!AU56</f>
        <v>39.482447552361876</v>
      </c>
      <c r="Q410" s="66">
        <f t="shared" si="171"/>
        <v>423.59751168655504</v>
      </c>
    </row>
    <row r="411" spans="3:17" x14ac:dyDescent="0.25">
      <c r="C411" s="17"/>
      <c r="D411" s="17" t="s">
        <v>380</v>
      </c>
      <c r="E411" s="66">
        <f>'[33]TGNPDCL MoD'!AJ33</f>
        <v>0.48104460301146423</v>
      </c>
      <c r="F411" s="66">
        <f>'[33]TGNPDCL MoD'!AK33</f>
        <v>0.6093231638145461</v>
      </c>
      <c r="G411" s="66">
        <f>'[33]TGNPDCL MoD'!AL33</f>
        <v>0.60518514572408455</v>
      </c>
      <c r="H411" s="66">
        <f>'[33]TGNPDCL MoD'!AM33</f>
        <v>0.41690532260994584</v>
      </c>
      <c r="I411" s="66">
        <f>'[33]TGNPDCL MoD'!AN33</f>
        <v>0.38483568240918548</v>
      </c>
      <c r="J411" s="66">
        <f>'[33]TGNPDCL MoD'!AO33</f>
        <v>0.37242162813792146</v>
      </c>
      <c r="K411" s="66">
        <f>'[33]TGNPDCL MoD'!AP33</f>
        <v>0.38483568240918548</v>
      </c>
      <c r="L411" s="66">
        <f>'[33]TGNPDCL MoD'!AQ33</f>
        <v>0.46552703517238675</v>
      </c>
      <c r="M411" s="66">
        <f>'[33]TGNPDCL MoD'!AR33</f>
        <v>0.41690532260994584</v>
      </c>
      <c r="N411" s="66">
        <f>'[33]TGNPDCL MoD'!AS33</f>
        <v>0.41690532260994584</v>
      </c>
      <c r="O411" s="66">
        <f>'[33]TGNPDCL MoD'!AT33</f>
        <v>0.46345802612717241</v>
      </c>
      <c r="P411" s="66">
        <f>'[33]TGNPDCL MoD'!AU33</f>
        <v>0.54518388341298674</v>
      </c>
      <c r="Q411" s="66">
        <f t="shared" si="171"/>
        <v>5.5625308180487707</v>
      </c>
    </row>
    <row r="412" spans="3:17" x14ac:dyDescent="0.25">
      <c r="C412" s="17"/>
      <c r="D412" s="17" t="s">
        <v>381</v>
      </c>
      <c r="E412" s="66">
        <f>'[33]TGNPDCL MoD'!AJ34</f>
        <v>0.40812403810697068</v>
      </c>
      <c r="F412" s="66">
        <f>'[33]TGNPDCL MoD'!AK34</f>
        <v>0.40390867245516143</v>
      </c>
      <c r="G412" s="66">
        <f>'[33]TGNPDCL MoD'!AL34</f>
        <v>0.40812403810697068</v>
      </c>
      <c r="H412" s="66">
        <f>'[33]TGNPDCL MoD'!AM34</f>
        <v>0.43063792283822372</v>
      </c>
      <c r="I412" s="66">
        <f>'[33]TGNPDCL MoD'!AN34</f>
        <v>0.35045017168903714</v>
      </c>
      <c r="J412" s="66">
        <f>'[33]TGNPDCL MoD'!AO34</f>
        <v>0.37732328984625252</v>
      </c>
      <c r="K412" s="66">
        <f>'[33]TGNPDCL MoD'!AP34</f>
        <v>0.33263067143366237</v>
      </c>
      <c r="L412" s="66">
        <f>'[33]TGNPDCL MoD'!AQ34</f>
        <v>0.40812403810697068</v>
      </c>
      <c r="M412" s="66">
        <f>'[33]TGNPDCL MoD'!AR34</f>
        <v>0.41281842258284895</v>
      </c>
      <c r="N412" s="66">
        <f>'[33]TGNPDCL MoD'!AS34</f>
        <v>0.38608917219978678</v>
      </c>
      <c r="O412" s="66">
        <f>'[33]TGNPDCL MoD'!AT34</f>
        <v>0.35345058914779648</v>
      </c>
      <c r="P412" s="66">
        <f>'[33]TGNPDCL MoD'!AU34</f>
        <v>0.43063792283822372</v>
      </c>
      <c r="Q412" s="66">
        <f t="shared" si="171"/>
        <v>4.7023189493519055</v>
      </c>
    </row>
    <row r="413" spans="3:17" x14ac:dyDescent="0.25">
      <c r="C413" s="17"/>
      <c r="D413" s="17" t="s">
        <v>382</v>
      </c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17">
        <f t="shared" si="171"/>
        <v>0</v>
      </c>
    </row>
    <row r="414" spans="3:17" x14ac:dyDescent="0.25">
      <c r="C414" s="17"/>
      <c r="D414" s="17" t="s">
        <v>383</v>
      </c>
      <c r="E414" s="66">
        <f>'[33]TGNPDCL MoD'!AJ52</f>
        <v>2.8697205572015347</v>
      </c>
      <c r="F414" s="66">
        <f>'[33]TGNPDCL MoD'!AK52</f>
        <v>2.9653779091082528</v>
      </c>
      <c r="G414" s="66">
        <f>'[33]TGNPDCL MoD'!AL52</f>
        <v>2.8697205572015347</v>
      </c>
      <c r="H414" s="66">
        <f>'[33]TGNPDCL MoD'!AM52</f>
        <v>3.0280267381739203</v>
      </c>
      <c r="I414" s="66">
        <f>'[33]TGNPDCL MoD'!AN52</f>
        <v>2.4901223074190821</v>
      </c>
      <c r="J414" s="66">
        <f>'[33]TGNPDCL MoD'!AO52</f>
        <v>2.7484647590099209</v>
      </c>
      <c r="K414" s="66">
        <f>'[33]TGNPDCL MoD'!AP52</f>
        <v>2.3388896184515802</v>
      </c>
      <c r="L414" s="66">
        <f>'[33]TGNPDCL MoD'!AQ52</f>
        <v>2.8697205572015347</v>
      </c>
      <c r="M414" s="66">
        <f>'[33]TGNPDCL MoD'!AR52</f>
        <v>2.9653779091082528</v>
      </c>
      <c r="N414" s="66">
        <f>'[33]TGNPDCL MoD'!AS52</f>
        <v>2.7774314219112513</v>
      </c>
      <c r="O414" s="66">
        <f>'[33]TGNPDCL MoD'!AT52</f>
        <v>2.5652337750759262</v>
      </c>
      <c r="P414" s="66">
        <f>'[33]TGNPDCL MoD'!AU52</f>
        <v>3.1533243963052553</v>
      </c>
      <c r="Q414" s="17">
        <f t="shared" si="171"/>
        <v>33.64141050616805</v>
      </c>
    </row>
    <row r="415" spans="3:17" x14ac:dyDescent="0.25">
      <c r="C415" s="17"/>
      <c r="D415" s="17" t="s">
        <v>384</v>
      </c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>
        <f t="shared" si="171"/>
        <v>0</v>
      </c>
    </row>
    <row r="416" spans="3:17" x14ac:dyDescent="0.25">
      <c r="C416" s="17"/>
      <c r="D416" s="17" t="s">
        <v>385</v>
      </c>
      <c r="E416" s="66">
        <f>'[33]TGNPDCL MoD'!AJ46</f>
        <v>5.4306641350230951</v>
      </c>
      <c r="F416" s="66">
        <f>'[33]TGNPDCL MoD'!AK46</f>
        <v>7.0146078410714994</v>
      </c>
      <c r="G416" s="66">
        <f>'[33]TGNPDCL MoD'!AL46</f>
        <v>6.7883301687788702</v>
      </c>
      <c r="H416" s="66">
        <f>'[33]TGNPDCL MoD'!AM46</f>
        <v>4.5594950966964714</v>
      </c>
      <c r="I416" s="66">
        <f>'[33]TGNPDCL MoD'!AN46</f>
        <v>4.2087647046428946</v>
      </c>
      <c r="J416" s="66">
        <f>'[33]TGNPDCL MoD'!AO46</f>
        <v>4.4124146097062624</v>
      </c>
      <c r="K416" s="66">
        <f>'[33]TGNPDCL MoD'!AP46</f>
        <v>4.2087647046428946</v>
      </c>
      <c r="L416" s="66">
        <f>'[33]TGNPDCL MoD'!AQ46</f>
        <v>5.3389439296444463</v>
      </c>
      <c r="M416" s="66">
        <f>'[33]TGNPDCL MoD'!AR46</f>
        <v>4.7348602927232593</v>
      </c>
      <c r="N416" s="66">
        <f>'[33]TGNPDCL MoD'!AS46</f>
        <v>4.7348602927232593</v>
      </c>
      <c r="O416" s="66">
        <f>'[33]TGNPDCL MoD'!AT46</f>
        <v>5.3854086005645696</v>
      </c>
      <c r="P416" s="66">
        <f>'[33]TGNPDCL MoD'!AU46</f>
        <v>6.1377818609375634</v>
      </c>
      <c r="Q416" s="66">
        <f t="shared" si="171"/>
        <v>62.95489623715509</v>
      </c>
    </row>
    <row r="417" spans="3:17" x14ac:dyDescent="0.25">
      <c r="C417" s="17"/>
      <c r="D417" s="17" t="s">
        <v>386</v>
      </c>
      <c r="E417" s="66">
        <f>'[33]TGNPDCL MoD'!AJ47</f>
        <v>8.0688858776167045</v>
      </c>
      <c r="F417" s="66">
        <f>'[33]TGNPDCL MoD'!AK47</f>
        <v>0</v>
      </c>
      <c r="G417" s="66">
        <f>'[33]TGNPDCL MoD'!AL47</f>
        <v>4.1681547836804471</v>
      </c>
      <c r="H417" s="66">
        <f>'[33]TGNPDCL MoD'!AM47</f>
        <v>8.0441300898774326</v>
      </c>
      <c r="I417" s="66">
        <f>'[33]TGNPDCL MoD'!AN47</f>
        <v>5.9539230586494396</v>
      </c>
      <c r="J417" s="66">
        <f>'[33]TGNPDCL MoD'!AO47</f>
        <v>6.4974177510313025</v>
      </c>
      <c r="K417" s="66">
        <f>'[33]TGNPDCL MoD'!AP47</f>
        <v>6.3339607006908913</v>
      </c>
      <c r="L417" s="66">
        <f>'[33]TGNPDCL MoD'!AQ47</f>
        <v>8.5201987489938791</v>
      </c>
      <c r="M417" s="66">
        <f>'[33]TGNPDCL MoD'!AR47</f>
        <v>7.4740736268152528</v>
      </c>
      <c r="N417" s="66">
        <f>'[33]TGNPDCL MoD'!AS47</f>
        <v>7.4740736268152528</v>
      </c>
      <c r="O417" s="66">
        <f>'[33]TGNPDCL MoD'!AT47</f>
        <v>7.0940359847737993</v>
      </c>
      <c r="P417" s="66">
        <f>'[33]TGNPDCL MoD'!AU47</f>
        <v>8.5054566073209763</v>
      </c>
      <c r="Q417" s="66">
        <f t="shared" si="171"/>
        <v>78.134310856265387</v>
      </c>
    </row>
    <row r="418" spans="3:17" x14ac:dyDescent="0.25">
      <c r="C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>
        <f t="shared" si="171"/>
        <v>0</v>
      </c>
    </row>
    <row r="419" spans="3:17" x14ac:dyDescent="0.25"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>
        <f t="shared" si="171"/>
        <v>0</v>
      </c>
    </row>
    <row r="420" spans="3:17" x14ac:dyDescent="0.25"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>
        <f t="shared" si="171"/>
        <v>0</v>
      </c>
    </row>
    <row r="421" spans="3:17" x14ac:dyDescent="0.25"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>
        <f t="shared" si="171"/>
        <v>0</v>
      </c>
    </row>
    <row r="422" spans="3:17" x14ac:dyDescent="0.25"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>
        <f t="shared" si="171"/>
        <v>0</v>
      </c>
    </row>
    <row r="423" spans="3:17" x14ac:dyDescent="0.25"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>
        <f t="shared" si="171"/>
        <v>0</v>
      </c>
    </row>
    <row r="424" spans="3:17" x14ac:dyDescent="0.25"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>
        <f t="shared" si="171"/>
        <v>0</v>
      </c>
    </row>
    <row r="425" spans="3:17" x14ac:dyDescent="0.25"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>
        <f t="shared" si="171"/>
        <v>0</v>
      </c>
    </row>
    <row r="426" spans="3:17" x14ac:dyDescent="0.25"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>
        <f t="shared" si="171"/>
        <v>0</v>
      </c>
    </row>
    <row r="427" spans="3:17" x14ac:dyDescent="0.25"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>
        <f t="shared" si="171"/>
        <v>0</v>
      </c>
    </row>
    <row r="428" spans="3:17" x14ac:dyDescent="0.25">
      <c r="C428" s="751" t="s">
        <v>212</v>
      </c>
      <c r="D428" s="752"/>
      <c r="E428" s="291">
        <f t="shared" ref="E428:P428" si="172">SUM(E401:E427)</f>
        <v>195.4294340422253</v>
      </c>
      <c r="F428" s="291">
        <f t="shared" si="172"/>
        <v>219.03777033845464</v>
      </c>
      <c r="G428" s="291">
        <f t="shared" si="172"/>
        <v>194.41940100488591</v>
      </c>
      <c r="H428" s="291">
        <f t="shared" si="172"/>
        <v>170.67467850669593</v>
      </c>
      <c r="I428" s="291">
        <f t="shared" si="172"/>
        <v>153.97246429981038</v>
      </c>
      <c r="J428" s="291">
        <f t="shared" si="172"/>
        <v>163.42639236450535</v>
      </c>
      <c r="K428" s="291">
        <f t="shared" si="172"/>
        <v>157.00277544713612</v>
      </c>
      <c r="L428" s="291">
        <f t="shared" si="172"/>
        <v>166.27211298367769</v>
      </c>
      <c r="M428" s="291">
        <f t="shared" si="172"/>
        <v>161.46382406836659</v>
      </c>
      <c r="N428" s="291">
        <f t="shared" si="172"/>
        <v>173.17060364622404</v>
      </c>
      <c r="O428" s="291">
        <f t="shared" si="172"/>
        <v>182.63480238560393</v>
      </c>
      <c r="P428" s="291">
        <f t="shared" si="172"/>
        <v>216.31897090430408</v>
      </c>
      <c r="Q428" s="323">
        <f t="shared" si="171"/>
        <v>2153.82322999189</v>
      </c>
    </row>
    <row r="429" spans="3:17" x14ac:dyDescent="0.25">
      <c r="C429" s="753" t="s">
        <v>387</v>
      </c>
      <c r="D429" s="754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</row>
    <row r="430" spans="3:17" x14ac:dyDescent="0.25">
      <c r="C430" s="805" t="s">
        <v>388</v>
      </c>
      <c r="D430" s="125" t="s">
        <v>389</v>
      </c>
      <c r="E430" s="66">
        <f>'[33]TGNPDCL MoD'!AJ32</f>
        <v>1.1625094640129006</v>
      </c>
      <c r="F430" s="66">
        <f>'[33]TGNPDCL MoD'!AK32</f>
        <v>1.2012597794799973</v>
      </c>
      <c r="G430" s="66">
        <f>'[33]TGNPDCL MoD'!AL32</f>
        <v>1.1625094640129006</v>
      </c>
      <c r="H430" s="66">
        <f>'[33]TGNPDCL MoD'!AM32</f>
        <v>1.2012597794799973</v>
      </c>
      <c r="I430" s="66">
        <f>'[33]TGNPDCL MoD'!AN32</f>
        <v>1.2012597794799973</v>
      </c>
      <c r="J430" s="66">
        <f>'[33]TGNPDCL MoD'!AO32</f>
        <v>1.1625094640129006</v>
      </c>
      <c r="K430" s="66">
        <f>'[33]TGNPDCL MoD'!AP32</f>
        <v>1.2012597794799973</v>
      </c>
      <c r="L430" s="66">
        <f>'[33]TGNPDCL MoD'!AQ32</f>
        <v>1.1625094640129006</v>
      </c>
      <c r="M430" s="66">
        <f>'[33]TGNPDCL MoD'!AR32</f>
        <v>1.2012597794799973</v>
      </c>
      <c r="N430" s="66">
        <f>'[33]TGNPDCL MoD'!AS32</f>
        <v>1.2012597794799973</v>
      </c>
      <c r="O430" s="66">
        <f>'[33]TGNPDCL MoD'!AT32</f>
        <v>1.0850088330787071</v>
      </c>
      <c r="P430" s="66">
        <f>'[33]TGNPDCL MoD'!AU32</f>
        <v>1.2012597794799973</v>
      </c>
      <c r="Q430" s="66">
        <f t="shared" ref="Q430:Q444" si="173">SUM(E430:P430)</f>
        <v>14.14386514549029</v>
      </c>
    </row>
    <row r="431" spans="3:17" x14ac:dyDescent="0.25">
      <c r="C431" s="806"/>
      <c r="D431" s="125" t="s">
        <v>390</v>
      </c>
      <c r="E431" s="66">
        <f>'[33]TGNPDCL MoD'!AJ37+'[33]TGNPDCL MoD'!AJ36</f>
        <v>4.9814989016412579</v>
      </c>
      <c r="F431" s="66">
        <f>'[33]TGNPDCL MoD'!AK37+'[33]TGNPDCL MoD'!AK36</f>
        <v>5.147548865029302</v>
      </c>
      <c r="G431" s="66">
        <f>'[33]TGNPDCL MoD'!AL37+'[33]TGNPDCL MoD'!AL36</f>
        <v>4.9814989016412579</v>
      </c>
      <c r="H431" s="66">
        <f>'[33]TGNPDCL MoD'!AM37+'[33]TGNPDCL MoD'!AM36</f>
        <v>5.147548865029302</v>
      </c>
      <c r="I431" s="66">
        <f>'[33]TGNPDCL MoD'!AN37+'[33]TGNPDCL MoD'!AN36</f>
        <v>5.147548865029302</v>
      </c>
      <c r="J431" s="66">
        <f>'[33]TGNPDCL MoD'!AO37+'[33]TGNPDCL MoD'!AO36</f>
        <v>4.9814989016412579</v>
      </c>
      <c r="K431" s="66">
        <f>'[33]TGNPDCL MoD'!AP37+'[33]TGNPDCL MoD'!AP36</f>
        <v>5.147548865029302</v>
      </c>
      <c r="L431" s="66">
        <f>'[33]TGNPDCL MoD'!AQ37+'[33]TGNPDCL MoD'!AQ36</f>
        <v>4.9814989016412579</v>
      </c>
      <c r="M431" s="66">
        <f>'[33]TGNPDCL MoD'!AR37+'[33]TGNPDCL MoD'!AR36</f>
        <v>5.147548865029302</v>
      </c>
      <c r="N431" s="66">
        <f>'[33]TGNPDCL MoD'!AS37+'[33]TGNPDCL MoD'!AS36</f>
        <v>5.147548865029302</v>
      </c>
      <c r="O431" s="66">
        <f>'[33]TGNPDCL MoD'!AT37+'[33]TGNPDCL MoD'!AT36</f>
        <v>4.6493989748651732</v>
      </c>
      <c r="P431" s="66">
        <f>'[33]TGNPDCL MoD'!AU37+'[33]TGNPDCL MoD'!AU36</f>
        <v>5.147548865029302</v>
      </c>
      <c r="Q431" s="66">
        <f t="shared" si="173"/>
        <v>60.608236636635311</v>
      </c>
    </row>
    <row r="432" spans="3:17" x14ac:dyDescent="0.25">
      <c r="C432" s="806"/>
      <c r="D432" s="125" t="s">
        <v>391</v>
      </c>
      <c r="E432" s="66">
        <f>'[33]TGNPDCL MoD'!AJ38+'[33]TGNPDCL MoD'!AJ39</f>
        <v>4.9814989016412579</v>
      </c>
      <c r="F432" s="66">
        <f>'[33]TGNPDCL MoD'!AK38+'[33]TGNPDCL MoD'!AK39</f>
        <v>5.147548865029302</v>
      </c>
      <c r="G432" s="66">
        <f>'[33]TGNPDCL MoD'!AL38+'[33]TGNPDCL MoD'!AL39</f>
        <v>4.9814989016412579</v>
      </c>
      <c r="H432" s="66">
        <f>'[33]TGNPDCL MoD'!AM38+'[33]TGNPDCL MoD'!AM39</f>
        <v>5.147548865029302</v>
      </c>
      <c r="I432" s="66">
        <f>'[33]TGNPDCL MoD'!AN38+'[33]TGNPDCL MoD'!AN39</f>
        <v>5.147548865029302</v>
      </c>
      <c r="J432" s="66">
        <f>'[33]TGNPDCL MoD'!AO38+'[33]TGNPDCL MoD'!AO39</f>
        <v>4.9814989016412579</v>
      </c>
      <c r="K432" s="66">
        <f>'[33]TGNPDCL MoD'!AP38+'[33]TGNPDCL MoD'!AP39</f>
        <v>5.147548865029302</v>
      </c>
      <c r="L432" s="66">
        <f>'[33]TGNPDCL MoD'!AQ38+'[33]TGNPDCL MoD'!AQ39</f>
        <v>4.9814989016412579</v>
      </c>
      <c r="M432" s="66">
        <f>'[33]TGNPDCL MoD'!AR38+'[33]TGNPDCL MoD'!AR39</f>
        <v>5.147548865029302</v>
      </c>
      <c r="N432" s="66">
        <f>'[33]TGNPDCL MoD'!AS38+'[33]TGNPDCL MoD'!AS39</f>
        <v>5.147548865029302</v>
      </c>
      <c r="O432" s="66">
        <f>'[33]TGNPDCL MoD'!AT38+'[33]TGNPDCL MoD'!AT39</f>
        <v>4.6493989748651732</v>
      </c>
      <c r="P432" s="66">
        <f>'[33]TGNPDCL MoD'!AU38+'[33]TGNPDCL MoD'!AU39</f>
        <v>5.147548865029302</v>
      </c>
      <c r="Q432" s="66">
        <f t="shared" si="173"/>
        <v>60.608236636635311</v>
      </c>
    </row>
    <row r="433" spans="3:21" x14ac:dyDescent="0.25">
      <c r="C433" s="807"/>
      <c r="D433" s="125" t="s">
        <v>392</v>
      </c>
      <c r="E433" s="66">
        <f>'[33]TGNPDCL MoD'!AJ48</f>
        <v>4.6707472068531395</v>
      </c>
      <c r="F433" s="66">
        <f>'[33]TGNPDCL MoD'!AK48</f>
        <v>4.8264387804149109</v>
      </c>
      <c r="G433" s="66">
        <f>'[33]TGNPDCL MoD'!AL48</f>
        <v>4.6707472068531395</v>
      </c>
      <c r="H433" s="66">
        <f>'[33]TGNPDCL MoD'!AM48</f>
        <v>4.8264387804149109</v>
      </c>
      <c r="I433" s="66">
        <f>'[33]TGNPDCL MoD'!AN48</f>
        <v>4.8264387804149109</v>
      </c>
      <c r="J433" s="66">
        <f>'[33]TGNPDCL MoD'!AO48</f>
        <v>4.6707472068531395</v>
      </c>
      <c r="K433" s="66">
        <f>'[33]TGNPDCL MoD'!AP48</f>
        <v>4.8264387804149109</v>
      </c>
      <c r="L433" s="66">
        <f>'[33]TGNPDCL MoD'!AQ48</f>
        <v>4.6707472068531395</v>
      </c>
      <c r="M433" s="66">
        <f>'[33]TGNPDCL MoD'!AR48</f>
        <v>4.8264387804149109</v>
      </c>
      <c r="N433" s="66">
        <f>'[33]TGNPDCL MoD'!AS48</f>
        <v>4.8264387804149109</v>
      </c>
      <c r="O433" s="66">
        <f>'[33]TGNPDCL MoD'!AT48</f>
        <v>4.3593640597295957</v>
      </c>
      <c r="P433" s="66">
        <f>'[33]TGNPDCL MoD'!AU48</f>
        <v>4.8264387804149109</v>
      </c>
      <c r="Q433" s="66">
        <f t="shared" si="173"/>
        <v>56.827424350046527</v>
      </c>
    </row>
    <row r="434" spans="3:21" x14ac:dyDescent="0.25">
      <c r="C434" s="17"/>
      <c r="D434" s="17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>
        <f t="shared" si="173"/>
        <v>0</v>
      </c>
    </row>
    <row r="435" spans="3:21" x14ac:dyDescent="0.25">
      <c r="C435" s="17"/>
      <c r="D435" s="17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>
        <f t="shared" si="173"/>
        <v>0</v>
      </c>
    </row>
    <row r="436" spans="3:21" x14ac:dyDescent="0.25">
      <c r="C436" s="17"/>
      <c r="D436" s="17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>
        <f t="shared" si="173"/>
        <v>0</v>
      </c>
    </row>
    <row r="437" spans="3:21" x14ac:dyDescent="0.25">
      <c r="C437" s="17"/>
      <c r="D437" s="17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>
        <f t="shared" si="173"/>
        <v>0</v>
      </c>
    </row>
    <row r="438" spans="3:21" x14ac:dyDescent="0.25">
      <c r="C438" s="17"/>
      <c r="D438" s="17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>
        <f t="shared" si="173"/>
        <v>0</v>
      </c>
    </row>
    <row r="439" spans="3:21" x14ac:dyDescent="0.25">
      <c r="C439" s="17"/>
      <c r="D439" s="17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>
        <f t="shared" si="173"/>
        <v>0</v>
      </c>
    </row>
    <row r="440" spans="3:21" x14ac:dyDescent="0.25">
      <c r="C440" s="17"/>
      <c r="D440" s="17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>
        <f t="shared" si="173"/>
        <v>0</v>
      </c>
    </row>
    <row r="441" spans="3:21" x14ac:dyDescent="0.25">
      <c r="C441" s="17"/>
      <c r="D441" s="17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>
        <f t="shared" si="173"/>
        <v>0</v>
      </c>
      <c r="U441" s="4">
        <f>(5408/3439)</f>
        <v>1.5725501599302123</v>
      </c>
    </row>
    <row r="442" spans="3:21" x14ac:dyDescent="0.25">
      <c r="C442" s="17"/>
      <c r="D442" s="17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>
        <f t="shared" si="173"/>
        <v>0</v>
      </c>
      <c r="U442" s="4">
        <f>U441^(1/5)</f>
        <v>1.0947649924397851</v>
      </c>
    </row>
    <row r="443" spans="3:21" x14ac:dyDescent="0.25">
      <c r="C443" s="17"/>
      <c r="D443" s="17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>
        <f t="shared" si="173"/>
        <v>0</v>
      </c>
      <c r="U443" s="156">
        <f>U442-1</f>
        <v>9.476499243978509E-2</v>
      </c>
    </row>
    <row r="444" spans="3:21" x14ac:dyDescent="0.25">
      <c r="C444" s="751" t="s">
        <v>212</v>
      </c>
      <c r="D444" s="752"/>
      <c r="E444" s="66">
        <f t="shared" ref="E444:P444" si="174">SUM(E430:E443)</f>
        <v>15.796254474148556</v>
      </c>
      <c r="F444" s="66">
        <f t="shared" si="174"/>
        <v>16.322796289953512</v>
      </c>
      <c r="G444" s="66">
        <f t="shared" si="174"/>
        <v>15.796254474148556</v>
      </c>
      <c r="H444" s="66">
        <f t="shared" si="174"/>
        <v>16.322796289953512</v>
      </c>
      <c r="I444" s="66">
        <f t="shared" si="174"/>
        <v>16.322796289953512</v>
      </c>
      <c r="J444" s="66">
        <f t="shared" si="174"/>
        <v>15.796254474148556</v>
      </c>
      <c r="K444" s="66">
        <f t="shared" si="174"/>
        <v>16.322796289953512</v>
      </c>
      <c r="L444" s="66">
        <f t="shared" si="174"/>
        <v>15.796254474148556</v>
      </c>
      <c r="M444" s="66">
        <f t="shared" si="174"/>
        <v>16.322796289953512</v>
      </c>
      <c r="N444" s="66">
        <f t="shared" si="174"/>
        <v>16.322796289953512</v>
      </c>
      <c r="O444" s="66">
        <f t="shared" si="174"/>
        <v>14.74317084253865</v>
      </c>
      <c r="P444" s="66">
        <f t="shared" si="174"/>
        <v>16.322796289953512</v>
      </c>
      <c r="Q444" s="86">
        <f t="shared" si="173"/>
        <v>192.18776276880749</v>
      </c>
      <c r="R444" s="427"/>
    </row>
    <row r="445" spans="3:21" x14ac:dyDescent="0.25">
      <c r="C445" s="753" t="s">
        <v>394</v>
      </c>
      <c r="D445" s="754"/>
      <c r="E445" s="66">
        <f t="shared" ref="E445:Q445" si="175">E428+E444</f>
        <v>211.22568851637385</v>
      </c>
      <c r="F445" s="66">
        <f t="shared" si="175"/>
        <v>235.36056662840815</v>
      </c>
      <c r="G445" s="66">
        <f t="shared" si="175"/>
        <v>210.21565547903447</v>
      </c>
      <c r="H445" s="66">
        <f t="shared" si="175"/>
        <v>186.99747479664944</v>
      </c>
      <c r="I445" s="66">
        <f t="shared" si="175"/>
        <v>170.2952605897639</v>
      </c>
      <c r="J445" s="66">
        <f t="shared" si="175"/>
        <v>179.2226468386539</v>
      </c>
      <c r="K445" s="66">
        <f t="shared" si="175"/>
        <v>173.32557173708963</v>
      </c>
      <c r="L445" s="66">
        <f t="shared" si="175"/>
        <v>182.06836745782624</v>
      </c>
      <c r="M445" s="66">
        <f t="shared" si="175"/>
        <v>177.78662035832011</v>
      </c>
      <c r="N445" s="66">
        <f t="shared" si="175"/>
        <v>189.49339993617755</v>
      </c>
      <c r="O445" s="66">
        <f t="shared" si="175"/>
        <v>197.37797322814259</v>
      </c>
      <c r="P445" s="66">
        <f t="shared" si="175"/>
        <v>232.6417671942576</v>
      </c>
      <c r="Q445" s="86">
        <f t="shared" si="175"/>
        <v>2346.0109927606973</v>
      </c>
      <c r="R445" s="427"/>
    </row>
    <row r="446" spans="3:21" x14ac:dyDescent="0.25">
      <c r="C446" s="800" t="s">
        <v>395</v>
      </c>
      <c r="D446" s="801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</row>
    <row r="447" spans="3:21" x14ac:dyDescent="0.25">
      <c r="C447" s="17" t="s">
        <v>396</v>
      </c>
      <c r="D447" s="17" t="s">
        <v>396</v>
      </c>
      <c r="E447" s="66">
        <f>'[33]TGNPDCL MoD'!AJ23</f>
        <v>12.281913140933243</v>
      </c>
      <c r="F447" s="66">
        <f>'[33]TGNPDCL MoD'!AK23</f>
        <v>12.621659917572888</v>
      </c>
      <c r="G447" s="66">
        <f>'[33]TGNPDCL MoD'!AL23</f>
        <v>12.281913140933231</v>
      </c>
      <c r="H447" s="66">
        <f>'[33]TGNPDCL MoD'!AM23</f>
        <v>12.959436518426026</v>
      </c>
      <c r="I447" s="66">
        <f>'[33]TGNPDCL MoD'!AN23</f>
        <v>10.546300063270841</v>
      </c>
      <c r="J447" s="66">
        <f>'[33]TGNPDCL MoD'!AO23</f>
        <v>11.76295906455578</v>
      </c>
      <c r="K447" s="66">
        <f>'[33]TGNPDCL MoD'!AP23</f>
        <v>10.0100475176808</v>
      </c>
      <c r="L447" s="66">
        <f>'[33]TGNPDCL MoD'!AQ23</f>
        <v>12.281913140933231</v>
      </c>
      <c r="M447" s="66">
        <f>'[33]TGNPDCL MoD'!AR23</f>
        <v>12.691310245631005</v>
      </c>
      <c r="N447" s="66">
        <f>'[33]TGNPDCL MoD'!AS23</f>
        <v>11.776997655951332</v>
      </c>
      <c r="O447" s="66">
        <f>'[33]TGNPDCL MoD'!AT23</f>
        <v>10.897576709655782</v>
      </c>
      <c r="P447" s="66">
        <f>'[33]TGNPDCL MoD'!AU23</f>
        <v>13.458215479950795</v>
      </c>
      <c r="Q447" s="66">
        <f>SUM(E447:P447)</f>
        <v>143.57024259549496</v>
      </c>
    </row>
    <row r="448" spans="3:21" x14ac:dyDescent="0.25">
      <c r="C448" s="17" t="s">
        <v>397</v>
      </c>
      <c r="D448" s="17" t="s">
        <v>397</v>
      </c>
      <c r="E448" s="66">
        <f>'[33]TGNPDCL MoD'!AJ24</f>
        <v>0</v>
      </c>
      <c r="F448" s="66">
        <f>'[33]TGNPDCL MoD'!AK24</f>
        <v>0</v>
      </c>
      <c r="G448" s="66">
        <f>'[33]TGNPDCL MoD'!AL24</f>
        <v>0</v>
      </c>
      <c r="H448" s="66">
        <f>'[33]TGNPDCL MoD'!AM24</f>
        <v>0</v>
      </c>
      <c r="I448" s="66">
        <f>'[33]TGNPDCL MoD'!AN24</f>
        <v>0</v>
      </c>
      <c r="J448" s="66">
        <f>'[33]TGNPDCL MoD'!AO24</f>
        <v>0</v>
      </c>
      <c r="K448" s="66">
        <f>'[33]TGNPDCL MoD'!AP24</f>
        <v>0</v>
      </c>
      <c r="L448" s="66">
        <f>'[33]TGNPDCL MoD'!AQ24</f>
        <v>0</v>
      </c>
      <c r="M448" s="66">
        <f>'[33]TGNPDCL MoD'!AR24</f>
        <v>0</v>
      </c>
      <c r="N448" s="66">
        <f>'[33]TGNPDCL MoD'!AS24</f>
        <v>0</v>
      </c>
      <c r="O448" s="66">
        <f>'[33]TGNPDCL MoD'!AT24</f>
        <v>0</v>
      </c>
      <c r="P448" s="66">
        <f>'[33]TGNPDCL MoD'!AU24</f>
        <v>0</v>
      </c>
      <c r="Q448" s="66">
        <f>SUM(E448:P448)</f>
        <v>0</v>
      </c>
    </row>
    <row r="449" spans="3:18" x14ac:dyDescent="0.25">
      <c r="C449" s="17"/>
      <c r="D449" s="17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</row>
    <row r="450" spans="3:18" x14ac:dyDescent="0.25">
      <c r="C450" s="17"/>
      <c r="D450" s="17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</row>
    <row r="451" spans="3:18" x14ac:dyDescent="0.25">
      <c r="C451" s="17"/>
      <c r="D451" s="17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</row>
    <row r="452" spans="3:18" x14ac:dyDescent="0.25">
      <c r="C452" s="17"/>
      <c r="D452" s="17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</row>
    <row r="453" spans="3:18" x14ac:dyDescent="0.25">
      <c r="C453" s="17"/>
      <c r="D453" s="17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</row>
    <row r="454" spans="3:18" x14ac:dyDescent="0.25">
      <c r="C454" s="753" t="s">
        <v>398</v>
      </c>
      <c r="D454" s="754"/>
      <c r="E454" s="66">
        <f t="shared" ref="E454:P454" si="176">SUM(E447:E453)</f>
        <v>12.281913140933243</v>
      </c>
      <c r="F454" s="66">
        <f t="shared" si="176"/>
        <v>12.621659917572888</v>
      </c>
      <c r="G454" s="66">
        <f t="shared" si="176"/>
        <v>12.281913140933231</v>
      </c>
      <c r="H454" s="66">
        <f t="shared" si="176"/>
        <v>12.959436518426026</v>
      </c>
      <c r="I454" s="66">
        <f t="shared" si="176"/>
        <v>10.546300063270841</v>
      </c>
      <c r="J454" s="66">
        <f t="shared" si="176"/>
        <v>11.76295906455578</v>
      </c>
      <c r="K454" s="66">
        <f t="shared" si="176"/>
        <v>10.0100475176808</v>
      </c>
      <c r="L454" s="66">
        <f t="shared" si="176"/>
        <v>12.281913140933231</v>
      </c>
      <c r="M454" s="66">
        <f t="shared" si="176"/>
        <v>12.691310245631005</v>
      </c>
      <c r="N454" s="66">
        <f t="shared" si="176"/>
        <v>11.776997655951332</v>
      </c>
      <c r="O454" s="66">
        <f t="shared" si="176"/>
        <v>10.897576709655782</v>
      </c>
      <c r="P454" s="66">
        <f t="shared" si="176"/>
        <v>13.458215479950795</v>
      </c>
      <c r="Q454" s="86">
        <f>SUM(E454:P454)</f>
        <v>143.57024259549496</v>
      </c>
      <c r="R454" s="427"/>
    </row>
    <row r="455" spans="3:18" x14ac:dyDescent="0.25">
      <c r="C455" s="800" t="s">
        <v>399</v>
      </c>
      <c r="D455" s="801"/>
    </row>
    <row r="456" spans="3:18" x14ac:dyDescent="0.25">
      <c r="C456" s="17" t="s">
        <v>400</v>
      </c>
      <c r="D456" s="17" t="s">
        <v>400</v>
      </c>
      <c r="E456" s="66">
        <f>SUM('[33]TGNPDCL MoD'!AJ20:AJ22)</f>
        <v>62.732623166991402</v>
      </c>
      <c r="F456" s="66">
        <f>SUM('[33]TGNPDCL MoD'!AK20:AK22)</f>
        <v>35.722998105154076</v>
      </c>
      <c r="G456" s="66">
        <f>SUM('[33]TGNPDCL MoD'!AL20:AL22)</f>
        <v>17.285321663784227</v>
      </c>
      <c r="H456" s="66">
        <f>SUM('[33]TGNPDCL MoD'!AM20:AM22)</f>
        <v>45.26467212192923</v>
      </c>
      <c r="I456" s="66">
        <f>SUM('[33]TGNPDCL MoD'!AN20:AN22)</f>
        <v>47.825442843010663</v>
      </c>
      <c r="J456" s="66">
        <f>SUM('[33]TGNPDCL MoD'!AO20:AO22)</f>
        <v>53.363581748288624</v>
      </c>
      <c r="K456" s="66">
        <f>SUM('[33]TGNPDCL MoD'!AP20:AP22)</f>
        <v>49.697563775968888</v>
      </c>
      <c r="L456" s="66">
        <f>SUM('[33]TGNPDCL MoD'!AQ20:AQ22)</f>
        <v>69.978551393956124</v>
      </c>
      <c r="M456" s="66">
        <f>SUM('[33]TGNPDCL MoD'!AR20:AR22)</f>
        <v>61.965846985991135</v>
      </c>
      <c r="N456" s="66">
        <f>SUM('[33]TGNPDCL MoD'!AS20:AS22)</f>
        <v>60.404946562211698</v>
      </c>
      <c r="O456" s="66">
        <f>SUM('[33]TGNPDCL MoD'!AT20:AT22)</f>
        <v>94.548238504931817</v>
      </c>
      <c r="P456" s="66">
        <f>SUM('[33]TGNPDCL MoD'!AU20:AU22)</f>
        <v>113.204155553082</v>
      </c>
      <c r="Q456" s="66">
        <f>SUM(E456:P456)</f>
        <v>711.99394242530002</v>
      </c>
    </row>
    <row r="457" spans="3:18" x14ac:dyDescent="0.25">
      <c r="C457" s="17" t="s">
        <v>401</v>
      </c>
      <c r="D457" s="17" t="s">
        <v>401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</row>
    <row r="458" spans="3:18" x14ac:dyDescent="0.25">
      <c r="C458" s="17" t="s">
        <v>402</v>
      </c>
      <c r="D458" s="17" t="s">
        <v>402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</row>
    <row r="459" spans="3:18" x14ac:dyDescent="0.25"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>
        <f t="shared" ref="Q459:Q464" si="177">SUM(E459:P459)</f>
        <v>0</v>
      </c>
    </row>
    <row r="460" spans="3:18" x14ac:dyDescent="0.25"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>
        <f t="shared" si="177"/>
        <v>0</v>
      </c>
    </row>
    <row r="461" spans="3:18" x14ac:dyDescent="0.25"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>
        <f t="shared" si="177"/>
        <v>0</v>
      </c>
    </row>
    <row r="462" spans="3:18" x14ac:dyDescent="0.25"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>
        <f t="shared" si="177"/>
        <v>0</v>
      </c>
    </row>
    <row r="463" spans="3:18" x14ac:dyDescent="0.25"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>
        <f t="shared" si="177"/>
        <v>0</v>
      </c>
    </row>
    <row r="464" spans="3:18" x14ac:dyDescent="0.25">
      <c r="C464" s="753" t="s">
        <v>403</v>
      </c>
      <c r="D464" s="754"/>
      <c r="E464" s="66">
        <f t="shared" ref="E464:P464" si="178">SUM(E456:E463)</f>
        <v>62.732623166991402</v>
      </c>
      <c r="F464" s="66">
        <f t="shared" si="178"/>
        <v>35.722998105154076</v>
      </c>
      <c r="G464" s="66">
        <f t="shared" si="178"/>
        <v>17.285321663784227</v>
      </c>
      <c r="H464" s="66">
        <f t="shared" si="178"/>
        <v>45.26467212192923</v>
      </c>
      <c r="I464" s="66">
        <f t="shared" si="178"/>
        <v>47.825442843010663</v>
      </c>
      <c r="J464" s="66">
        <f t="shared" si="178"/>
        <v>53.363581748288624</v>
      </c>
      <c r="K464" s="66">
        <f t="shared" si="178"/>
        <v>49.697563775968888</v>
      </c>
      <c r="L464" s="66">
        <f t="shared" si="178"/>
        <v>69.978551393956124</v>
      </c>
      <c r="M464" s="66">
        <f t="shared" si="178"/>
        <v>61.965846985991135</v>
      </c>
      <c r="N464" s="66">
        <f t="shared" si="178"/>
        <v>60.404946562211698</v>
      </c>
      <c r="O464" s="66">
        <f t="shared" si="178"/>
        <v>94.548238504931817</v>
      </c>
      <c r="P464" s="66">
        <f t="shared" si="178"/>
        <v>113.204155553082</v>
      </c>
      <c r="Q464" s="86">
        <f t="shared" si="177"/>
        <v>711.99394242530002</v>
      </c>
      <c r="R464" s="427"/>
    </row>
    <row r="465" spans="3:17" x14ac:dyDescent="0.25">
      <c r="C465" s="800" t="s">
        <v>404</v>
      </c>
      <c r="D465" s="801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</row>
    <row r="466" spans="3:17" x14ac:dyDescent="0.25">
      <c r="C466" s="17"/>
      <c r="D466" s="17" t="s">
        <v>405</v>
      </c>
      <c r="E466" s="66">
        <f>'[33]TGNPDCL MoD'!F104*[33]Gen_Cost!$BN231/10</f>
        <v>2.4381312685857193E-2</v>
      </c>
      <c r="F466" s="66">
        <f>'[33]TGNPDCL MoD'!G104*[33]Gen_Cost!$BN231/10</f>
        <v>2.0907855515269132E-2</v>
      </c>
      <c r="G466" s="66">
        <f>'[33]TGNPDCL MoD'!H104*[33]Gen_Cost!$BN231/10</f>
        <v>4.973274024739318E-2</v>
      </c>
      <c r="H466" s="66">
        <f>'[33]TGNPDCL MoD'!I104*[33]Gen_Cost!$BN231/10</f>
        <v>7.2339346358981885E-2</v>
      </c>
      <c r="I466" s="66">
        <f>'[33]TGNPDCL MoD'!J104*[33]Gen_Cost!$BN231/10</f>
        <v>3.9474120766783555E-2</v>
      </c>
      <c r="J466" s="66">
        <f>'[33]TGNPDCL MoD'!K104*[33]Gen_Cost!$BN231/10</f>
        <v>2.9028112746704193E-2</v>
      </c>
      <c r="K466" s="66">
        <f>'[33]TGNPDCL MoD'!L104*[33]Gen_Cost!$BN231/10</f>
        <v>1.7603497323007453E-2</v>
      </c>
      <c r="L466" s="66">
        <f>'[33]TGNPDCL MoD'!M104*[33]Gen_Cost!$BN231/10</f>
        <v>2.4443849476385046E-2</v>
      </c>
      <c r="M466" s="66">
        <f>'[33]TGNPDCL MoD'!N104*[33]Gen_Cost!$BN231/10</f>
        <v>2.7950799985229126E-2</v>
      </c>
      <c r="N466" s="66">
        <f>'[33]TGNPDCL MoD'!O104*[33]Gen_Cost!$BN231/10</f>
        <v>2.7032252798690065E-2</v>
      </c>
      <c r="O466" s="66">
        <f>'[33]TGNPDCL MoD'!P104*[33]Gen_Cost!$BN231/10</f>
        <v>1.8534539948314627E-2</v>
      </c>
      <c r="P466" s="66">
        <f>'[33]TGNPDCL MoD'!Q104*[33]Gen_Cost!$BN231/10</f>
        <v>2.4071572147384597E-2</v>
      </c>
      <c r="Q466" s="66">
        <f>SUM(E466:P466)</f>
        <v>0.37550000000000006</v>
      </c>
    </row>
    <row r="467" spans="3:17" x14ac:dyDescent="0.25">
      <c r="C467" s="17"/>
      <c r="D467" s="17" t="s">
        <v>406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  <c r="O467" s="66">
        <v>0</v>
      </c>
      <c r="P467" s="66">
        <v>0</v>
      </c>
      <c r="Q467" s="66">
        <v>0</v>
      </c>
    </row>
    <row r="468" spans="3:17" x14ac:dyDescent="0.25">
      <c r="C468" s="17"/>
      <c r="D468" s="17" t="s">
        <v>407</v>
      </c>
      <c r="E468" s="66">
        <f>'[33]TGNPDCL MoD'!F101*[33]Gen_Cost!$BN$233/10</f>
        <v>0</v>
      </c>
      <c r="F468" s="66">
        <f>'[33]TGNPDCL MoD'!G101*[33]Gen_Cost!$BN$233/10</f>
        <v>0</v>
      </c>
      <c r="G468" s="66">
        <f>'[33]TGNPDCL MoD'!H101*[33]Gen_Cost!$BN$233/10</f>
        <v>0</v>
      </c>
      <c r="H468" s="66">
        <f>'[33]TGNPDCL MoD'!I101*[33]Gen_Cost!$BN$233/10</f>
        <v>0</v>
      </c>
      <c r="I468" s="66">
        <f>'[33]TGNPDCL MoD'!J101*[33]Gen_Cost!$BN$233/10</f>
        <v>0</v>
      </c>
      <c r="J468" s="66">
        <f>'[33]TGNPDCL MoD'!K101*[33]Gen_Cost!$BN$233/10</f>
        <v>0</v>
      </c>
      <c r="K468" s="66">
        <f>'[33]TGNPDCL MoD'!L101*[33]Gen_Cost!$BN$233/10</f>
        <v>0</v>
      </c>
      <c r="L468" s="66">
        <f>'[33]TGNPDCL MoD'!M101*[33]Gen_Cost!$BN$233/10</f>
        <v>0</v>
      </c>
      <c r="M468" s="66">
        <f>'[33]TGNPDCL MoD'!N101*[33]Gen_Cost!$BN$233/10</f>
        <v>0</v>
      </c>
      <c r="N468" s="66">
        <f>'[33]TGNPDCL MoD'!O101*[33]Gen_Cost!$BN$233/10</f>
        <v>0</v>
      </c>
      <c r="O468" s="66">
        <f>'[33]TGNPDCL MoD'!P101*[33]Gen_Cost!$BN$233/10</f>
        <v>0</v>
      </c>
      <c r="P468" s="66">
        <f>'[33]TGNPDCL MoD'!Q101*[33]Gen_Cost!$BN$233/10</f>
        <v>0</v>
      </c>
      <c r="Q468" s="66">
        <f t="shared" ref="Q468:Q490" si="179">SUM(E468:P468)</f>
        <v>0</v>
      </c>
    </row>
    <row r="469" spans="3:17" x14ac:dyDescent="0.25">
      <c r="C469" s="17"/>
      <c r="D469" s="17" t="s">
        <v>408</v>
      </c>
      <c r="E469" s="66">
        <f>'[33]TGNPDCL MoD'!F102*[33]Gen_Cost!$BN$234/10</f>
        <v>0</v>
      </c>
      <c r="F469" s="66">
        <f>'[33]TGNPDCL MoD'!G102*[33]Gen_Cost!$BN$234/10</f>
        <v>0</v>
      </c>
      <c r="G469" s="66">
        <f>'[33]TGNPDCL MoD'!H102*[33]Gen_Cost!$BN$234/10</f>
        <v>0</v>
      </c>
      <c r="H469" s="66">
        <f>'[33]TGNPDCL MoD'!I102*[33]Gen_Cost!$BN$234/10</f>
        <v>0</v>
      </c>
      <c r="I469" s="66">
        <f>'[33]TGNPDCL MoD'!J102*[33]Gen_Cost!$BN$234/10</f>
        <v>0</v>
      </c>
      <c r="J469" s="66">
        <f>'[33]TGNPDCL MoD'!K102*[33]Gen_Cost!$BN$234/10</f>
        <v>0</v>
      </c>
      <c r="K469" s="66">
        <f>'[33]TGNPDCL MoD'!L102*[33]Gen_Cost!$BN$234/10</f>
        <v>0</v>
      </c>
      <c r="L469" s="66">
        <f>'[33]TGNPDCL MoD'!M102*[33]Gen_Cost!$BN$234/10</f>
        <v>0</v>
      </c>
      <c r="M469" s="66">
        <f>'[33]TGNPDCL MoD'!N102*[33]Gen_Cost!$BN$234/10</f>
        <v>0</v>
      </c>
      <c r="N469" s="66">
        <f>'[33]TGNPDCL MoD'!O102*[33]Gen_Cost!$BN$234/10</f>
        <v>0</v>
      </c>
      <c r="O469" s="66">
        <f>'[33]TGNPDCL MoD'!P102*[33]Gen_Cost!$BN$234/10</f>
        <v>0</v>
      </c>
      <c r="P469" s="66">
        <f>'[33]TGNPDCL MoD'!Q102*[33]Gen_Cost!$BN$234/10</f>
        <v>0</v>
      </c>
      <c r="Q469" s="66">
        <f t="shared" si="179"/>
        <v>0</v>
      </c>
    </row>
    <row r="470" spans="3:17" x14ac:dyDescent="0.25">
      <c r="C470" s="17"/>
      <c r="D470" s="17" t="s">
        <v>409</v>
      </c>
      <c r="E470" s="66">
        <f>SUM('[33]TGNPDCL MoD'!F99:F100)*[33]Gen_Cost!$BN$235/10</f>
        <v>0</v>
      </c>
      <c r="F470" s="66">
        <f>SUM('[33]TGNPDCL MoD'!G99:G100)*[33]Gen_Cost!$BN$235/10</f>
        <v>0</v>
      </c>
      <c r="G470" s="66">
        <f>SUM('[33]TGNPDCL MoD'!H99:H100)*[33]Gen_Cost!$BN$235/10</f>
        <v>0</v>
      </c>
      <c r="H470" s="66">
        <f>SUM('[33]TGNPDCL MoD'!I99:I100)*[33]Gen_Cost!$BN$235/10</f>
        <v>0</v>
      </c>
      <c r="I470" s="66">
        <f>SUM('[33]TGNPDCL MoD'!J99:J100)*[33]Gen_Cost!$BN$235/10</f>
        <v>0</v>
      </c>
      <c r="J470" s="66">
        <f>SUM('[33]TGNPDCL MoD'!K99:K100)*[33]Gen_Cost!$BN$235/10</f>
        <v>0</v>
      </c>
      <c r="K470" s="66">
        <f>SUM('[33]TGNPDCL MoD'!L99:L100)*[33]Gen_Cost!$BN$235/10</f>
        <v>0</v>
      </c>
      <c r="L470" s="66">
        <f>SUM('[33]TGNPDCL MoD'!M99:M100)*[33]Gen_Cost!$BN$235/10</f>
        <v>0</v>
      </c>
      <c r="M470" s="66">
        <f>SUM('[33]TGNPDCL MoD'!N99:N100)*[33]Gen_Cost!$BN$235/10</f>
        <v>0</v>
      </c>
      <c r="N470" s="66">
        <f>SUM('[33]TGNPDCL MoD'!O99:O100)*[33]Gen_Cost!$BN$235/10</f>
        <v>0</v>
      </c>
      <c r="O470" s="66">
        <f>SUM('[33]TGNPDCL MoD'!P99:P100)*[33]Gen_Cost!$BN$235/10</f>
        <v>0</v>
      </c>
      <c r="P470" s="66">
        <f>SUM('[33]TGNPDCL MoD'!Q99:Q100)*[33]Gen_Cost!$BN$235/10</f>
        <v>0</v>
      </c>
      <c r="Q470" s="66">
        <f t="shared" si="179"/>
        <v>0</v>
      </c>
    </row>
    <row r="471" spans="3:17" x14ac:dyDescent="0.25">
      <c r="C471" s="17"/>
      <c r="D471" s="17" t="s">
        <v>367</v>
      </c>
      <c r="E471" s="66">
        <f>'[33]TGNPDCL MoD'!F103*[33]Gen_Cost!$BN$236/10</f>
        <v>2.191049583958089E-3</v>
      </c>
      <c r="F471" s="66">
        <f>'[33]TGNPDCL MoD'!G103*[33]Gen_Cost!$BN$236/10</f>
        <v>2.3478594615035974E-3</v>
      </c>
      <c r="G471" s="66">
        <f>'[33]TGNPDCL MoD'!H103*[33]Gen_Cost!$BN$236/10</f>
        <v>2.4324960954992727E-3</v>
      </c>
      <c r="H471" s="66">
        <f>'[33]TGNPDCL MoD'!I103*[33]Gen_Cost!$BN$236/10</f>
        <v>5.3179860174852028E-3</v>
      </c>
      <c r="I471" s="66">
        <f>'[33]TGNPDCL MoD'!J103*[33]Gen_Cost!$BN$236/10</f>
        <v>1.2485660365005128E-2</v>
      </c>
      <c r="J471" s="66">
        <f>'[33]TGNPDCL MoD'!K103*[33]Gen_Cost!$BN$236/10</f>
        <v>6.3060871316649378E-3</v>
      </c>
      <c r="K471" s="66">
        <f>'[33]TGNPDCL MoD'!L103*[33]Gen_Cost!$BN$236/10</f>
        <v>6.9509031674161821E-3</v>
      </c>
      <c r="L471" s="66">
        <f>'[33]TGNPDCL MoD'!M103*[33]Gen_Cost!$BN$236/10</f>
        <v>2.3840161134345119E-3</v>
      </c>
      <c r="M471" s="66">
        <f>'[33]TGNPDCL MoD'!N103*[33]Gen_Cost!$BN$236/10</f>
        <v>4.0897915391550303E-3</v>
      </c>
      <c r="N471" s="66">
        <f>'[33]TGNPDCL MoD'!O103*[33]Gen_Cost!$BN$236/10</f>
        <v>7.8038848579995088E-3</v>
      </c>
      <c r="O471" s="66">
        <f>'[33]TGNPDCL MoD'!P103*[33]Gen_Cost!$BN$236/10</f>
        <v>7.0087610387162633E-3</v>
      </c>
      <c r="P471" s="66">
        <f>'[33]TGNPDCL MoD'!Q103*[33]Gen_Cost!$BN$236/10</f>
        <v>3.2555891352045022E-3</v>
      </c>
      <c r="Q471" s="66">
        <f t="shared" si="179"/>
        <v>6.2574084507042216E-2</v>
      </c>
    </row>
    <row r="472" spans="3:17" x14ac:dyDescent="0.25">
      <c r="C472" s="17"/>
      <c r="D472" s="17" t="s">
        <v>410</v>
      </c>
      <c r="E472" s="291">
        <f>'[33]TGNPDCL MoD'!F114*[33]Gen_Cost!$BN237/10</f>
        <v>128.57032565329729</v>
      </c>
      <c r="F472" s="291">
        <f>'[33]TGNPDCL MoD'!G114*[33]Gen_Cost!$BN237/10</f>
        <v>132.57649255957546</v>
      </c>
      <c r="G472" s="291">
        <f>'[33]TGNPDCL MoD'!H114*[33]Gen_Cost!$BN237/10</f>
        <v>124.12483930370858</v>
      </c>
      <c r="H472" s="291">
        <f>'[33]TGNPDCL MoD'!I114*[33]Gen_Cost!$BN237/10</f>
        <v>97.216235514837393</v>
      </c>
      <c r="I472" s="291">
        <f>'[33]TGNPDCL MoD'!J114*[33]Gen_Cost!$BN237/10</f>
        <v>119.56911456642449</v>
      </c>
      <c r="J472" s="291">
        <f>'[33]TGNPDCL MoD'!K114*[33]Gen_Cost!$BN237/10</f>
        <v>105.39631984510436</v>
      </c>
      <c r="K472" s="291">
        <f>'[33]TGNPDCL MoD'!L114*[33]Gen_Cost!$BN237/10</f>
        <v>129.21347932562804</v>
      </c>
      <c r="L472" s="291">
        <f>'[33]TGNPDCL MoD'!M114*[33]Gen_Cost!$BN237/10</f>
        <v>99.632809318870031</v>
      </c>
      <c r="M472" s="291">
        <f>'[33]TGNPDCL MoD'!N114*[33]Gen_Cost!$BN237/10</f>
        <v>109.21950377205869</v>
      </c>
      <c r="N472" s="291">
        <f>'[33]TGNPDCL MoD'!O114*[33]Gen_Cost!$BN237/10</f>
        <v>116.44398856516545</v>
      </c>
      <c r="O472" s="291">
        <f>'[33]TGNPDCL MoD'!P114*[33]Gen_Cost!$BN237/10</f>
        <v>119.52230559925763</v>
      </c>
      <c r="P472" s="291">
        <f>'[33]TGNPDCL MoD'!Q114*[33]Gen_Cost!$BN237/10</f>
        <v>128.16153436450725</v>
      </c>
      <c r="Q472" s="291">
        <f t="shared" si="179"/>
        <v>1409.6469483884343</v>
      </c>
    </row>
    <row r="473" spans="3:17" x14ac:dyDescent="0.25">
      <c r="C473" s="17"/>
      <c r="D473" s="17" t="s">
        <v>411</v>
      </c>
      <c r="E473" s="66">
        <f>'[33]TGNPDCL MoD'!F107*[33]Gen_Cost!$BN$242/10</f>
        <v>6.1233063313479033</v>
      </c>
      <c r="F473" s="66">
        <f>'[33]TGNPDCL MoD'!G107*[33]Gen_Cost!$BN$242/10</f>
        <v>6.3141045350313849</v>
      </c>
      <c r="G473" s="66">
        <f>'[33]TGNPDCL MoD'!H107*[33]Gen_Cost!$BN$242/10</f>
        <v>5.9115850451798817</v>
      </c>
      <c r="H473" s="66">
        <f>'[33]TGNPDCL MoD'!I107*[33]Gen_Cost!$BN$242/10</f>
        <v>4.63003253210276</v>
      </c>
      <c r="I473" s="66">
        <f>'[33]TGNPDCL MoD'!J107*[33]Gen_Cost!$BN$242/10</f>
        <v>5.6946135318392805</v>
      </c>
      <c r="J473" s="66">
        <f>'[33]TGNPDCL MoD'!K107*[33]Gen_Cost!$BN$242/10</f>
        <v>5.0196182465043391</v>
      </c>
      <c r="K473" s="66">
        <f>'[33]TGNPDCL MoD'!L107*[33]Gen_Cost!$BN$242/10</f>
        <v>6.1539372481928378</v>
      </c>
      <c r="L473" s="66">
        <f>'[33]TGNPDCL MoD'!M107*[33]Gen_Cost!$BN$242/10</f>
        <v>4.7451245768589141</v>
      </c>
      <c r="M473" s="66">
        <f>'[33]TGNPDCL MoD'!N107*[33]Gen_Cost!$BN$242/10</f>
        <v>5.2017016800405944</v>
      </c>
      <c r="N473" s="66">
        <f>'[33]TGNPDCL MoD'!O107*[33]Gen_Cost!$BN$242/10</f>
        <v>5.5457758919520499</v>
      </c>
      <c r="O473" s="66">
        <f>'[33]TGNPDCL MoD'!P107*[33]Gen_Cost!$BN$242/10</f>
        <v>5.6923842021431756</v>
      </c>
      <c r="P473" s="66">
        <f>'[33]TGNPDCL MoD'!Q107*[33]Gen_Cost!$BN$242/10</f>
        <v>6.1038371865500736</v>
      </c>
      <c r="Q473" s="66">
        <f t="shared" si="179"/>
        <v>67.136021007743182</v>
      </c>
    </row>
    <row r="474" spans="3:17" x14ac:dyDescent="0.25">
      <c r="C474" s="17"/>
      <c r="D474" s="17" t="s">
        <v>412</v>
      </c>
      <c r="E474" s="66">
        <f>'[33]TGNPDCL MoD'!F108*[33]Gen_Cost!$BN$243/10</f>
        <v>13.993139842937609</v>
      </c>
      <c r="F474" s="66">
        <f>'[33]TGNPDCL MoD'!G108*[33]Gen_Cost!$BN$243/10</f>
        <v>14.429156890174994</v>
      </c>
      <c r="G474" s="66">
        <f>'[33]TGNPDCL MoD'!H108*[33]Gen_Cost!$BN$243/10</f>
        <v>13.509308820160161</v>
      </c>
      <c r="H474" s="66">
        <f>'[33]TGNPDCL MoD'!I108*[33]Gen_Cost!$BN$243/10</f>
        <v>10.580671485825002</v>
      </c>
      <c r="I474" s="66">
        <f>'[33]TGNPDCL MoD'!J108*[33]Gen_Cost!$BN$243/10</f>
        <v>13.013479840877244</v>
      </c>
      <c r="J474" s="66">
        <f>'[33]TGNPDCL MoD'!K108*[33]Gen_Cost!$BN$243/10</f>
        <v>11.470962953773174</v>
      </c>
      <c r="K474" s="66">
        <f>'[33]TGNPDCL MoD'!L108*[33]Gen_Cost!$BN$243/10</f>
        <v>14.063138415560749</v>
      </c>
      <c r="L474" s="66">
        <f>'[33]TGNPDCL MoD'!M108*[33]Gen_Cost!$BN$243/10</f>
        <v>10.843682837851869</v>
      </c>
      <c r="M474" s="66">
        <f>'[33]TGNPDCL MoD'!N108*[33]Gen_Cost!$BN$243/10</f>
        <v>11.887064780250666</v>
      </c>
      <c r="N474" s="66">
        <f>'[33]TGNPDCL MoD'!O108*[33]Gen_Cost!$BN$243/10</f>
        <v>12.673352171913091</v>
      </c>
      <c r="O474" s="66">
        <f>'[33]TGNPDCL MoD'!P108*[33]Gen_Cost!$BN$243/10</f>
        <v>13.008385318325935</v>
      </c>
      <c r="P474" s="66">
        <f>'[33]TGNPDCL MoD'!Q108*[33]Gen_Cost!$BN$243/10</f>
        <v>13.94864844384106</v>
      </c>
      <c r="Q474" s="66">
        <f t="shared" si="179"/>
        <v>153.42099180149157</v>
      </c>
    </row>
    <row r="475" spans="3:17" x14ac:dyDescent="0.25">
      <c r="C475" s="17"/>
      <c r="D475" s="17" t="s">
        <v>413</v>
      </c>
      <c r="E475" s="291">
        <f>'[33]TGNPDCL MoD'!F109*[33]Gen_Cost!$BN$240/10</f>
        <v>12.125708347718115</v>
      </c>
      <c r="F475" s="291">
        <f>'[33]TGNPDCL MoD'!G109*[33]Gen_Cost!$BN$240/10</f>
        <v>12.503537456036652</v>
      </c>
      <c r="G475" s="291">
        <f>'[33]TGNPDCL MoD'!H109*[33]Gen_Cost!$BN$240/10</f>
        <v>11.706446199434893</v>
      </c>
      <c r="H475" s="291">
        <f>'[33]TGNPDCL MoD'!I109*[33]Gen_Cost!$BN$240/10</f>
        <v>9.168645350520368</v>
      </c>
      <c r="I475" s="291">
        <f>'[33]TGNPDCL MoD'!J109*[33]Gen_Cost!$BN$240/10</f>
        <v>11.276787262226042</v>
      </c>
      <c r="J475" s="291">
        <f>'[33]TGNPDCL MoD'!K109*[33]Gen_Cost!$BN$240/10</f>
        <v>9.9401244328401113</v>
      </c>
      <c r="K475" s="291">
        <f>'[33]TGNPDCL MoD'!L109*[33]Gen_Cost!$BN$240/10</f>
        <v>12.186365375798422</v>
      </c>
      <c r="L475" s="291">
        <f>'[33]TGNPDCL MoD'!M109*[33]Gen_Cost!$BN$240/10</f>
        <v>9.396556954535848</v>
      </c>
      <c r="M475" s="291">
        <f>'[33]TGNPDCL MoD'!N109*[33]Gen_Cost!$BN$240/10</f>
        <v>10.300696073476249</v>
      </c>
      <c r="N475" s="291">
        <f>'[33]TGNPDCL MoD'!O109*[33]Gen_Cost!$BN$240/10</f>
        <v>10.982050772693274</v>
      </c>
      <c r="O475" s="291">
        <f>'[33]TGNPDCL MoD'!P109*[33]Gen_Cost!$BN$240/10</f>
        <v>11.272372620814508</v>
      </c>
      <c r="P475" s="291">
        <f>'[33]TGNPDCL MoD'!Q109*[33]Gen_Cost!$BN$240/10</f>
        <v>12.087154475214728</v>
      </c>
      <c r="Q475" s="291">
        <f t="shared" si="179"/>
        <v>132.9464453213092</v>
      </c>
    </row>
    <row r="476" spans="3:17" x14ac:dyDescent="0.25">
      <c r="C476" s="17"/>
      <c r="D476" s="17" t="s">
        <v>414</v>
      </c>
      <c r="E476" s="66">
        <f>'[33]TGNPDCL MoD'!F110*[33]Gen_Cost!$BN$239/10</f>
        <v>28.857308650004388</v>
      </c>
      <c r="F476" s="66">
        <f>'[33]TGNPDCL MoD'!G110*[33]Gen_Cost!$BN$239/10</f>
        <v>29.756483434936094</v>
      </c>
      <c r="G476" s="66">
        <f>'[33]TGNPDCL MoD'!H110*[33]Gen_Cost!$BN$239/10</f>
        <v>27.859529644330912</v>
      </c>
      <c r="H476" s="66">
        <f>'[33]TGNPDCL MoD'!I110*[33]Gen_Cost!$BN$239/10</f>
        <v>21.819956508535405</v>
      </c>
      <c r="I476" s="66">
        <f>'[33]TGNPDCL MoD'!J110*[33]Gen_Cost!$BN$239/10</f>
        <v>26.83700789057275</v>
      </c>
      <c r="J476" s="66">
        <f>'[33]TGNPDCL MoD'!K110*[33]Gen_Cost!$BN$239/10</f>
        <v>23.655957289447521</v>
      </c>
      <c r="K476" s="66">
        <f>'[33]TGNPDCL MoD'!L110*[33]Gen_Cost!$BN$239/10</f>
        <v>29.001662986337646</v>
      </c>
      <c r="L476" s="66">
        <f>'[33]TGNPDCL MoD'!M110*[33]Gen_Cost!$BN$239/10</f>
        <v>22.362350842407867</v>
      </c>
      <c r="M476" s="66">
        <f>'[33]TGNPDCL MoD'!N110*[33]Gen_Cost!$BN$239/10</f>
        <v>24.514061972975842</v>
      </c>
      <c r="N476" s="66">
        <f>'[33]TGNPDCL MoD'!O110*[33]Gen_Cost!$BN$239/10</f>
        <v>26.135580674531685</v>
      </c>
      <c r="O476" s="66">
        <f>'[33]TGNPDCL MoD'!P110*[33]Gen_Cost!$BN$239/10</f>
        <v>26.826501727457288</v>
      </c>
      <c r="P476" s="66">
        <f>'[33]TGNPDCL MoD'!Q110*[33]Gen_Cost!$BN$239/10</f>
        <v>28.765556402087874</v>
      </c>
      <c r="Q476" s="66">
        <f t="shared" si="179"/>
        <v>316.39195802362525</v>
      </c>
    </row>
    <row r="477" spans="3:17" x14ac:dyDescent="0.25">
      <c r="C477" s="17"/>
      <c r="D477" s="17" t="s">
        <v>415</v>
      </c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>
        <f t="shared" si="179"/>
        <v>0</v>
      </c>
    </row>
    <row r="478" spans="3:17" x14ac:dyDescent="0.25">
      <c r="C478" s="17"/>
      <c r="D478" s="17" t="s">
        <v>416</v>
      </c>
      <c r="E478" s="66">
        <f>[33]Gen_Cost!$BN238*'[33]TGNPDCL MoD'!F112/10</f>
        <v>35.272969995976538</v>
      </c>
      <c r="F478" s="66">
        <f>[33]Gen_Cost!$BN238*'[33]TGNPDCL MoD'!G112/10</f>
        <v>36.372052574837532</v>
      </c>
      <c r="G478" s="66">
        <f>[33]Gen_Cost!$BN238*'[33]TGNPDCL MoD'!H112/10</f>
        <v>34.053361148991065</v>
      </c>
      <c r="H478" s="66">
        <f>[33]Gen_Cost!$BN238*'[33]TGNPDCL MoD'!I112/10</f>
        <v>26.671048245483739</v>
      </c>
      <c r="I478" s="66">
        <f>[33]Gen_Cost!$BN238*'[33]TGNPDCL MoD'!J112/10</f>
        <v>32.803508656577876</v>
      </c>
      <c r="J478" s="66">
        <f>[33]Gen_Cost!$BN238*'[33]TGNPDCL MoD'!K112/10</f>
        <v>28.915235367822778</v>
      </c>
      <c r="K478" s="66">
        <f>[33]Gen_Cost!$BN238*'[33]TGNPDCL MoD'!L112/10</f>
        <v>35.449417711043388</v>
      </c>
      <c r="L478" s="66">
        <f>[33]Gen_Cost!$BN238*'[33]TGNPDCL MoD'!M112/10</f>
        <v>27.334029651570905</v>
      </c>
      <c r="M478" s="66">
        <f>[33]Gen_Cost!$BN238*'[33]TGNPDCL MoD'!N112/10</f>
        <v>29.964116991629261</v>
      </c>
      <c r="N478" s="66">
        <f>[33]Gen_Cost!$BN238*'[33]TGNPDCL MoD'!O112/10</f>
        <v>31.946137602130129</v>
      </c>
      <c r="O478" s="66">
        <f>[33]Gen_Cost!$BN238*'[33]TGNPDCL MoD'!P112/10</f>
        <v>32.79066672523772</v>
      </c>
      <c r="P478" s="66">
        <f>[33]Gen_Cost!$BN238*'[33]TGNPDCL MoD'!Q112/10</f>
        <v>35.160819056085543</v>
      </c>
      <c r="Q478" s="66">
        <f t="shared" si="179"/>
        <v>386.73336372738652</v>
      </c>
    </row>
    <row r="479" spans="3:17" x14ac:dyDescent="0.25">
      <c r="C479" s="17"/>
      <c r="D479" s="17" t="s">
        <v>417</v>
      </c>
      <c r="E479" s="66">
        <f>'[33]TGNPDCL MoD'!F113*[33]Gen_Cost!$BN241/10</f>
        <v>18.051104366983434</v>
      </c>
      <c r="F479" s="66">
        <f>'[33]TGNPDCL MoD'!G113*[33]Gen_Cost!$BN241/10</f>
        <v>18.613564923642436</v>
      </c>
      <c r="G479" s="66">
        <f>'[33]TGNPDCL MoD'!H113*[33]Gen_Cost!$BN241/10</f>
        <v>17.426963939161723</v>
      </c>
      <c r="H479" s="66">
        <f>'[33]TGNPDCL MoD'!I113*[33]Gen_Cost!$BN241/10</f>
        <v>13.649031411616139</v>
      </c>
      <c r="I479" s="66">
        <f>'[33]TGNPDCL MoD'!J113*[33]Gen_Cost!$BN241/10</f>
        <v>16.787346186915219</v>
      </c>
      <c r="J479" s="66">
        <f>'[33]TGNPDCL MoD'!K113*[33]Gen_Cost!$BN241/10</f>
        <v>14.797504476657243</v>
      </c>
      <c r="K479" s="66">
        <f>'[33]TGNPDCL MoD'!L113*[33]Gen_Cost!$BN241/10</f>
        <v>18.141402295407115</v>
      </c>
      <c r="L479" s="66">
        <f>'[33]TGNPDCL MoD'!M113*[33]Gen_Cost!$BN241/10</f>
        <v>13.988315190555477</v>
      </c>
      <c r="M479" s="66">
        <f>'[33]TGNPDCL MoD'!N113*[33]Gen_Cost!$BN241/10</f>
        <v>15.334274464047065</v>
      </c>
      <c r="N479" s="66">
        <f>'[33]TGNPDCL MoD'!O113*[33]Gen_Cost!$BN241/10</f>
        <v>16.348582612800762</v>
      </c>
      <c r="O479" s="66">
        <f>'[33]TGNPDCL MoD'!P113*[33]Gen_Cost!$BN241/10</f>
        <v>16.780774269582455</v>
      </c>
      <c r="P479" s="66">
        <f>'[33]TGNPDCL MoD'!Q113*[33]Gen_Cost!$BN241/10</f>
        <v>17.993710608503257</v>
      </c>
      <c r="Q479" s="66">
        <f t="shared" si="179"/>
        <v>197.91257474587229</v>
      </c>
    </row>
    <row r="480" spans="3:17" x14ac:dyDescent="0.25">
      <c r="C480" s="17"/>
      <c r="D480" s="337" t="s">
        <v>418</v>
      </c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>
        <f t="shared" si="179"/>
        <v>0</v>
      </c>
    </row>
    <row r="481" spans="3:18" x14ac:dyDescent="0.25">
      <c r="C481" s="17"/>
      <c r="D481" s="337" t="s">
        <v>419</v>
      </c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>
        <f t="shared" si="179"/>
        <v>0</v>
      </c>
    </row>
    <row r="482" spans="3:18" x14ac:dyDescent="0.25"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>
        <f t="shared" si="179"/>
        <v>0</v>
      </c>
    </row>
    <row r="483" spans="3:18" x14ac:dyDescent="0.25"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>
        <f t="shared" si="179"/>
        <v>0</v>
      </c>
    </row>
    <row r="484" spans="3:18" x14ac:dyDescent="0.25"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>
        <f t="shared" si="179"/>
        <v>0</v>
      </c>
    </row>
    <row r="485" spans="3:18" x14ac:dyDescent="0.25"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>
        <f t="shared" si="179"/>
        <v>0</v>
      </c>
    </row>
    <row r="486" spans="3:18" x14ac:dyDescent="0.25"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>
        <f t="shared" si="179"/>
        <v>0</v>
      </c>
    </row>
    <row r="487" spans="3:18" x14ac:dyDescent="0.25"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>
        <f t="shared" si="179"/>
        <v>0</v>
      </c>
    </row>
    <row r="488" spans="3:18" x14ac:dyDescent="0.25"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>
        <f t="shared" si="179"/>
        <v>0</v>
      </c>
    </row>
    <row r="489" spans="3:18" x14ac:dyDescent="0.25"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>
        <f t="shared" si="179"/>
        <v>0</v>
      </c>
    </row>
    <row r="490" spans="3:18" x14ac:dyDescent="0.25">
      <c r="C490" s="841" t="s">
        <v>420</v>
      </c>
      <c r="D490" s="842"/>
      <c r="E490" s="17">
        <f t="shared" ref="E490:P490" si="180">SUM(E466:E489)</f>
        <v>243.02043555053504</v>
      </c>
      <c r="F490" s="17">
        <f t="shared" si="180"/>
        <v>250.58864808921132</v>
      </c>
      <c r="G490" s="17">
        <f t="shared" si="180"/>
        <v>234.64419933731006</v>
      </c>
      <c r="H490" s="17">
        <f t="shared" si="180"/>
        <v>183.81327838129727</v>
      </c>
      <c r="I490" s="17">
        <f t="shared" si="180"/>
        <v>226.03381771656467</v>
      </c>
      <c r="J490" s="17">
        <f t="shared" si="180"/>
        <v>199.2310568120279</v>
      </c>
      <c r="K490" s="17">
        <f t="shared" si="180"/>
        <v>244.23395775845864</v>
      </c>
      <c r="L490" s="17">
        <f t="shared" si="180"/>
        <v>188.32969723824075</v>
      </c>
      <c r="M490" s="17">
        <f t="shared" si="180"/>
        <v>206.45346032600276</v>
      </c>
      <c r="N490" s="17">
        <f t="shared" si="180"/>
        <v>220.11030442884314</v>
      </c>
      <c r="O490" s="17">
        <f t="shared" si="180"/>
        <v>225.91893376380574</v>
      </c>
      <c r="P490" s="17">
        <f t="shared" si="180"/>
        <v>242.24858769807236</v>
      </c>
      <c r="Q490" s="86">
        <f t="shared" si="179"/>
        <v>2664.6263771003696</v>
      </c>
      <c r="R490" s="427"/>
    </row>
    <row r="491" spans="3:18" x14ac:dyDescent="0.25">
      <c r="C491" s="800" t="s">
        <v>421</v>
      </c>
      <c r="D491" s="801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</row>
    <row r="492" spans="3:18" x14ac:dyDescent="0.25">
      <c r="C492" s="17"/>
      <c r="D492" s="17" t="s">
        <v>422</v>
      </c>
      <c r="E492" s="66">
        <f>'[33]ST,D-D'!D30</f>
        <v>-7.771170827888719</v>
      </c>
      <c r="F492" s="66">
        <f>'[33]ST,D-D'!E30</f>
        <v>0</v>
      </c>
      <c r="G492" s="66">
        <f>'[33]ST,D-D'!F30</f>
        <v>0</v>
      </c>
      <c r="H492" s="66">
        <f>'[33]ST,D-D'!G30</f>
        <v>0</v>
      </c>
      <c r="I492" s="66">
        <f>'[33]ST,D-D'!H30</f>
        <v>-70.374045831277812</v>
      </c>
      <c r="J492" s="66">
        <f>'[33]ST,D-D'!I30</f>
        <v>-2.6383041664434715E-2</v>
      </c>
      <c r="K492" s="66">
        <f>'[33]ST,D-D'!J30</f>
        <v>-170.75098195118517</v>
      </c>
      <c r="L492" s="66">
        <f>'[33]ST,D-D'!K30</f>
        <v>-21.442463525335789</v>
      </c>
      <c r="M492" s="66">
        <f>'[33]ST,D-D'!L30</f>
        <v>-17.648217333020302</v>
      </c>
      <c r="N492" s="66">
        <f>'[33]ST,D-D'!M30</f>
        <v>-27.36704542540857</v>
      </c>
      <c r="O492" s="66">
        <f>'[33]ST,D-D'!N30</f>
        <v>0</v>
      </c>
      <c r="P492" s="66">
        <f>'[33]ST,D-D'!O30</f>
        <v>0</v>
      </c>
      <c r="Q492" s="66">
        <f>SUM(E492:P492)</f>
        <v>-315.38030793578076</v>
      </c>
      <c r="R492" s="427"/>
    </row>
    <row r="493" spans="3:18" x14ac:dyDescent="0.25">
      <c r="C493" s="17"/>
      <c r="D493" s="17" t="s">
        <v>669</v>
      </c>
      <c r="E493" s="66">
        <f>'[33]ST,D-D'!D28</f>
        <v>0</v>
      </c>
      <c r="F493" s="66">
        <f>'[33]ST,D-D'!E28</f>
        <v>0</v>
      </c>
      <c r="G493" s="66">
        <f>'[33]ST,D-D'!F28</f>
        <v>0</v>
      </c>
      <c r="H493" s="66">
        <f>'[33]ST,D-D'!G28</f>
        <v>0</v>
      </c>
      <c r="I493" s="66">
        <f>'[33]ST,D-D'!H28</f>
        <v>0</v>
      </c>
      <c r="J493" s="66">
        <f>'[33]ST,D-D'!I28</f>
        <v>0</v>
      </c>
      <c r="K493" s="66">
        <f>'[33]ST,D-D'!J28</f>
        <v>0</v>
      </c>
      <c r="L493" s="66">
        <f>'[33]ST,D-D'!K28</f>
        <v>0</v>
      </c>
      <c r="M493" s="66">
        <f>'[33]ST,D-D'!L28</f>
        <v>0</v>
      </c>
      <c r="N493" s="66">
        <f>'[33]ST,D-D'!M28</f>
        <v>0</v>
      </c>
      <c r="O493" s="66">
        <f>'[33]ST,D-D'!N28</f>
        <v>12.546188879585776</v>
      </c>
      <c r="P493" s="66">
        <f>'[33]ST,D-D'!O28</f>
        <v>11.199424711291833</v>
      </c>
      <c r="Q493" s="66">
        <f>SUM(E493:P493)</f>
        <v>23.74561359087761</v>
      </c>
      <c r="R493" s="427"/>
    </row>
    <row r="494" spans="3:18" x14ac:dyDescent="0.25"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>
        <f>SUM(E494:P494)</f>
        <v>0</v>
      </c>
    </row>
    <row r="495" spans="3:18" x14ac:dyDescent="0.25"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>
        <v>0</v>
      </c>
    </row>
    <row r="496" spans="3:18" x14ac:dyDescent="0.25">
      <c r="C496" s="17"/>
      <c r="D496" s="337" t="s">
        <v>665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</row>
    <row r="497" spans="3:17" x14ac:dyDescent="0.25">
      <c r="C497" s="17"/>
      <c r="D497" s="325" t="s">
        <v>666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</row>
    <row r="498" spans="3:17" x14ac:dyDescent="0.25">
      <c r="C498" s="17"/>
      <c r="D498" s="325" t="s">
        <v>629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</row>
    <row r="499" spans="3:17" x14ac:dyDescent="0.25">
      <c r="C499" s="17"/>
      <c r="D499" s="325" t="s">
        <v>630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</row>
    <row r="500" spans="3:17" x14ac:dyDescent="0.25">
      <c r="C500" s="17"/>
      <c r="D500" s="326" t="s">
        <v>631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</row>
    <row r="501" spans="3:17" x14ac:dyDescent="0.25">
      <c r="C501" s="17"/>
      <c r="D501" s="325" t="s">
        <v>632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</row>
    <row r="502" spans="3:17" x14ac:dyDescent="0.25">
      <c r="C502" s="17"/>
      <c r="D502" s="325" t="s">
        <v>633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</row>
    <row r="503" spans="3:17" x14ac:dyDescent="0.25">
      <c r="C503" s="17"/>
      <c r="D503" s="325" t="s">
        <v>634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</row>
    <row r="504" spans="3:17" x14ac:dyDescent="0.25">
      <c r="C504" s="17"/>
      <c r="D504" s="325" t="s">
        <v>635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</row>
    <row r="505" spans="3:17" x14ac:dyDescent="0.25">
      <c r="C505" s="17"/>
      <c r="D505" s="325" t="s">
        <v>636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</row>
    <row r="506" spans="3:17" x14ac:dyDescent="0.25">
      <c r="C506" s="17"/>
      <c r="D506" s="325" t="s">
        <v>637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</row>
    <row r="507" spans="3:17" x14ac:dyDescent="0.25">
      <c r="C507" s="17"/>
      <c r="D507" s="325" t="s">
        <v>638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</row>
    <row r="508" spans="3:17" x14ac:dyDescent="0.25">
      <c r="C508" s="17"/>
      <c r="D508" s="325" t="s">
        <v>639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</row>
    <row r="509" spans="3:17" x14ac:dyDescent="0.25"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>
        <v>0</v>
      </c>
    </row>
    <row r="510" spans="3:17" x14ac:dyDescent="0.25"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>
        <v>0</v>
      </c>
    </row>
    <row r="511" spans="3:17" x14ac:dyDescent="0.25"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>
        <v>0</v>
      </c>
    </row>
    <row r="512" spans="3:17" x14ac:dyDescent="0.25"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>
        <f t="shared" ref="Q512:Q520" si="181">SUM(E512:P512)</f>
        <v>0</v>
      </c>
    </row>
    <row r="513" spans="3:18" x14ac:dyDescent="0.25"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f t="shared" si="181"/>
        <v>0</v>
      </c>
    </row>
    <row r="514" spans="3:18" x14ac:dyDescent="0.25"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>
        <f t="shared" si="181"/>
        <v>0</v>
      </c>
    </row>
    <row r="515" spans="3:18" x14ac:dyDescent="0.25"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>
        <f t="shared" si="181"/>
        <v>0</v>
      </c>
    </row>
    <row r="516" spans="3:18" x14ac:dyDescent="0.25"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>
        <f t="shared" si="181"/>
        <v>0</v>
      </c>
    </row>
    <row r="517" spans="3:18" x14ac:dyDescent="0.25"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>
        <f t="shared" si="181"/>
        <v>0</v>
      </c>
    </row>
    <row r="518" spans="3:18" x14ac:dyDescent="0.25"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>
        <f t="shared" si="181"/>
        <v>0</v>
      </c>
    </row>
    <row r="519" spans="3:18" x14ac:dyDescent="0.25"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>
        <f t="shared" si="181"/>
        <v>0</v>
      </c>
    </row>
    <row r="520" spans="3:18" x14ac:dyDescent="0.25">
      <c r="C520" s="753" t="s">
        <v>423</v>
      </c>
      <c r="D520" s="754"/>
      <c r="E520" s="17">
        <f t="shared" ref="E520:P520" si="182">SUM(E492:E519)</f>
        <v>-7.771170827888719</v>
      </c>
      <c r="F520" s="17">
        <f t="shared" si="182"/>
        <v>0</v>
      </c>
      <c r="G520" s="17">
        <f t="shared" si="182"/>
        <v>0</v>
      </c>
      <c r="H520" s="17">
        <f t="shared" si="182"/>
        <v>0</v>
      </c>
      <c r="I520" s="17">
        <f t="shared" si="182"/>
        <v>-70.374045831277812</v>
      </c>
      <c r="J520" s="17">
        <f t="shared" si="182"/>
        <v>-2.6383041664434715E-2</v>
      </c>
      <c r="K520" s="17">
        <f t="shared" si="182"/>
        <v>-170.75098195118517</v>
      </c>
      <c r="L520" s="17">
        <f t="shared" si="182"/>
        <v>-21.442463525335789</v>
      </c>
      <c r="M520" s="17">
        <f t="shared" si="182"/>
        <v>-17.648217333020302</v>
      </c>
      <c r="N520" s="17">
        <f t="shared" si="182"/>
        <v>-27.36704542540857</v>
      </c>
      <c r="O520" s="17">
        <f t="shared" si="182"/>
        <v>12.546188879585776</v>
      </c>
      <c r="P520" s="17">
        <f t="shared" si="182"/>
        <v>11.199424711291833</v>
      </c>
      <c r="Q520" s="86">
        <f t="shared" si="181"/>
        <v>-291.63469434490315</v>
      </c>
    </row>
    <row r="521" spans="3:18" x14ac:dyDescent="0.25">
      <c r="C521" s="800" t="s">
        <v>424</v>
      </c>
      <c r="D521" s="801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3:18" x14ac:dyDescent="0.25">
      <c r="C522" s="17" t="s">
        <v>425</v>
      </c>
      <c r="D522" s="17" t="s">
        <v>426</v>
      </c>
      <c r="E522" s="66">
        <f>IF('[33]ST,D-D'!D19&gt;0,'[33]ST,D-D'!D19,0)</f>
        <v>0</v>
      </c>
      <c r="F522" s="66">
        <f>IF('[33]ST,D-D'!E19&gt;0,'[33]ST,D-D'!E19,0)</f>
        <v>0</v>
      </c>
      <c r="G522" s="66">
        <f>IF('[33]ST,D-D'!F19&gt;0,'[33]ST,D-D'!F19,0)</f>
        <v>0</v>
      </c>
      <c r="H522" s="66">
        <f>IF('[33]ST,D-D'!G19&gt;0,'[33]ST,D-D'!G19,0)</f>
        <v>0</v>
      </c>
      <c r="I522" s="66">
        <f>IF('[33]ST,D-D'!H19&gt;0,'[33]ST,D-D'!H19,0)</f>
        <v>0</v>
      </c>
      <c r="J522" s="66">
        <f>IF('[33]ST,D-D'!I19&gt;0,'[33]ST,D-D'!I19,0)</f>
        <v>0</v>
      </c>
      <c r="K522" s="66">
        <f>IF('[33]ST,D-D'!J19&gt;0,'[33]ST,D-D'!J19,0)</f>
        <v>0</v>
      </c>
      <c r="L522" s="66">
        <f>IF('[33]ST,D-D'!K19&gt;0,'[33]ST,D-D'!K19,0)</f>
        <v>0</v>
      </c>
      <c r="M522" s="66">
        <f>IF('[33]ST,D-D'!L19&gt;0,'[33]ST,D-D'!L19,0)</f>
        <v>0</v>
      </c>
      <c r="N522" s="66">
        <f>IF('[33]ST,D-D'!M19&gt;0,'[33]ST,D-D'!M19,0)</f>
        <v>0</v>
      </c>
      <c r="O522" s="66">
        <f>IF('[33]ST,D-D'!N19&gt;0,'[33]ST,D-D'!N19,0)</f>
        <v>0</v>
      </c>
      <c r="P522" s="66">
        <f>IF('[33]ST,D-D'!O19&gt;0,'[33]ST,D-D'!O19,0)</f>
        <v>0</v>
      </c>
      <c r="Q522" s="66">
        <f>SUM(E522:P522)</f>
        <v>0</v>
      </c>
    </row>
    <row r="523" spans="3:18" x14ac:dyDescent="0.25">
      <c r="C523" s="17" t="s">
        <v>425</v>
      </c>
      <c r="D523" s="17" t="s">
        <v>427</v>
      </c>
      <c r="E523" s="66">
        <f>'[33]ST,D-D'!D32</f>
        <v>-83.955887969624001</v>
      </c>
      <c r="F523" s="66">
        <f>'[33]ST,D-D'!E32</f>
        <v>-250.88192363869672</v>
      </c>
      <c r="G523" s="66">
        <f>'[33]ST,D-D'!F32</f>
        <v>-234.45915876922044</v>
      </c>
      <c r="H523" s="66">
        <f>'[33]ST,D-D'!G32</f>
        <v>-130.21950802150238</v>
      </c>
      <c r="I523" s="66">
        <f>'[33]ST,D-D'!H32</f>
        <v>-125.82956587640024</v>
      </c>
      <c r="J523" s="66">
        <f>'[33]ST,D-D'!I32</f>
        <v>-162.26814062283211</v>
      </c>
      <c r="K523" s="66">
        <f>'[33]ST,D-D'!J32</f>
        <v>-90.53515625247735</v>
      </c>
      <c r="L523" s="66">
        <f>'[33]ST,D-D'!K32</f>
        <v>-157.66765065217572</v>
      </c>
      <c r="M523" s="66">
        <f>'[33]ST,D-D'!L32</f>
        <v>-92.735480025009835</v>
      </c>
      <c r="N523" s="66">
        <f>'[33]ST,D-D'!M32</f>
        <v>-74.99972746843882</v>
      </c>
      <c r="O523" s="66">
        <f>'[33]ST,D-D'!N32</f>
        <v>0</v>
      </c>
      <c r="P523" s="66">
        <f>'[33]ST,D-D'!O32</f>
        <v>0</v>
      </c>
      <c r="Q523" s="66">
        <f>SUM(E523:P523)</f>
        <v>-1403.5521992963775</v>
      </c>
      <c r="R523" s="427"/>
    </row>
    <row r="524" spans="3:18" x14ac:dyDescent="0.25">
      <c r="C524" s="753" t="s">
        <v>428</v>
      </c>
      <c r="D524" s="754"/>
      <c r="E524" s="66">
        <f t="shared" ref="E524:Q524" si="183">E522+E523</f>
        <v>-83.955887969624001</v>
      </c>
      <c r="F524" s="66">
        <f t="shared" si="183"/>
        <v>-250.88192363869672</v>
      </c>
      <c r="G524" s="66">
        <f t="shared" si="183"/>
        <v>-234.45915876922044</v>
      </c>
      <c r="H524" s="66">
        <f t="shared" si="183"/>
        <v>-130.21950802150238</v>
      </c>
      <c r="I524" s="66">
        <f t="shared" si="183"/>
        <v>-125.82956587640024</v>
      </c>
      <c r="J524" s="66">
        <f t="shared" si="183"/>
        <v>-162.26814062283211</v>
      </c>
      <c r="K524" s="66">
        <f t="shared" si="183"/>
        <v>-90.53515625247735</v>
      </c>
      <c r="L524" s="66">
        <f t="shared" si="183"/>
        <v>-157.66765065217572</v>
      </c>
      <c r="M524" s="66">
        <f t="shared" si="183"/>
        <v>-92.735480025009835</v>
      </c>
      <c r="N524" s="66">
        <f t="shared" si="183"/>
        <v>-74.99972746843882</v>
      </c>
      <c r="O524" s="66">
        <f t="shared" si="183"/>
        <v>0</v>
      </c>
      <c r="P524" s="66">
        <f t="shared" si="183"/>
        <v>0</v>
      </c>
      <c r="Q524" s="66">
        <f t="shared" si="183"/>
        <v>-1403.5521992963775</v>
      </c>
      <c r="R524" s="427"/>
    </row>
    <row r="525" spans="3:18" x14ac:dyDescent="0.25">
      <c r="C525" s="753" t="s">
        <v>220</v>
      </c>
      <c r="D525" s="754"/>
      <c r="E525" s="329">
        <f t="shared" ref="E525:Q525" si="184">E398+E445+E454+E464+E490+E520+E524</f>
        <v>830.37409611398505</v>
      </c>
      <c r="F525" s="329">
        <f t="shared" si="184"/>
        <v>514.18909826207278</v>
      </c>
      <c r="G525" s="329">
        <f t="shared" si="184"/>
        <v>520.98430443899292</v>
      </c>
      <c r="H525" s="329">
        <f t="shared" si="184"/>
        <v>598.383035163871</v>
      </c>
      <c r="I525" s="329">
        <f t="shared" si="184"/>
        <v>577.60161072179005</v>
      </c>
      <c r="J525" s="329">
        <f t="shared" si="184"/>
        <v>634.41395543318345</v>
      </c>
      <c r="K525" s="329">
        <f t="shared" si="184"/>
        <v>527.80012579065317</v>
      </c>
      <c r="L525" s="329">
        <f t="shared" si="184"/>
        <v>578.24331678890439</v>
      </c>
      <c r="M525" s="329">
        <f t="shared" si="184"/>
        <v>697.26646348549298</v>
      </c>
      <c r="N525" s="329">
        <f t="shared" si="184"/>
        <v>759.604955264708</v>
      </c>
      <c r="O525" s="329">
        <f t="shared" si="184"/>
        <v>900.71340055513144</v>
      </c>
      <c r="P525" s="329">
        <f t="shared" si="184"/>
        <v>1041.3526629847495</v>
      </c>
      <c r="Q525" s="323">
        <f t="shared" si="184"/>
        <v>8180.9270250035361</v>
      </c>
      <c r="R525" s="427"/>
    </row>
    <row r="526" spans="3:18" x14ac:dyDescent="0.25">
      <c r="D526" s="24"/>
      <c r="E526" s="24"/>
    </row>
    <row r="527" spans="3:18" x14ac:dyDescent="0.25">
      <c r="E527" s="24"/>
    </row>
    <row r="528" spans="3:18" x14ac:dyDescent="0.25">
      <c r="E528" s="24"/>
    </row>
  </sheetData>
  <mergeCells count="91">
    <mergeCell ref="C346:D346"/>
    <mergeCell ref="C349:D349"/>
    <mergeCell ref="C229:C237"/>
    <mergeCell ref="C255:D255"/>
    <mergeCell ref="C256:D256"/>
    <mergeCell ref="C273:D273"/>
    <mergeCell ref="C281:D281"/>
    <mergeCell ref="C282:D282"/>
    <mergeCell ref="C291:D291"/>
    <mergeCell ref="C292:D292"/>
    <mergeCell ref="C345:D345"/>
    <mergeCell ref="C272:D272"/>
    <mergeCell ref="C2:Q2"/>
    <mergeCell ref="C429:D429"/>
    <mergeCell ref="C455:D455"/>
    <mergeCell ref="C350:D350"/>
    <mergeCell ref="C354:C356"/>
    <mergeCell ref="D354:D356"/>
    <mergeCell ref="C378:D378"/>
    <mergeCell ref="C379:C396"/>
    <mergeCell ref="C317:D317"/>
    <mergeCell ref="C318:D318"/>
    <mergeCell ref="C271:D271"/>
    <mergeCell ref="E182:Q182"/>
    <mergeCell ref="C185:D185"/>
    <mergeCell ref="C206:D206"/>
    <mergeCell ref="C187:C204"/>
    <mergeCell ref="C205:D205"/>
    <mergeCell ref="D182:D184"/>
    <mergeCell ref="C257:C260"/>
    <mergeCell ref="C174:D174"/>
    <mergeCell ref="C177:D177"/>
    <mergeCell ref="C178:D178"/>
    <mergeCell ref="C207:C224"/>
    <mergeCell ref="C225:D225"/>
    <mergeCell ref="C226:D226"/>
    <mergeCell ref="C227:D227"/>
    <mergeCell ref="C142:D142"/>
    <mergeCell ref="C141:D141"/>
    <mergeCell ref="C228:D228"/>
    <mergeCell ref="C97:D97"/>
    <mergeCell ref="C79:D79"/>
    <mergeCell ref="C80:D80"/>
    <mergeCell ref="C81:C84"/>
    <mergeCell ref="C116:D116"/>
    <mergeCell ref="C173:D173"/>
    <mergeCell ref="C105:D105"/>
    <mergeCell ref="C106:D106"/>
    <mergeCell ref="C115:D115"/>
    <mergeCell ref="C95:D95"/>
    <mergeCell ref="C96:D96"/>
    <mergeCell ref="C186:D186"/>
    <mergeCell ref="C182:C184"/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49:D49"/>
    <mergeCell ref="C31:C48"/>
    <mergeCell ref="C50:D50"/>
    <mergeCell ref="C51:D51"/>
    <mergeCell ref="C52:D52"/>
    <mergeCell ref="C430:C433"/>
    <mergeCell ref="C444:D444"/>
    <mergeCell ref="C445:D445"/>
    <mergeCell ref="C446:D446"/>
    <mergeCell ref="E354:Q354"/>
    <mergeCell ref="C357:D357"/>
    <mergeCell ref="C358:D358"/>
    <mergeCell ref="C359:C376"/>
    <mergeCell ref="C377:D377"/>
    <mergeCell ref="C397:D397"/>
    <mergeCell ref="C398:D398"/>
    <mergeCell ref="C399:D399"/>
    <mergeCell ref="C400:D400"/>
    <mergeCell ref="C401:C410"/>
    <mergeCell ref="C428:D428"/>
    <mergeCell ref="C520:D520"/>
    <mergeCell ref="C521:D521"/>
    <mergeCell ref="C524:D524"/>
    <mergeCell ref="C525:D525"/>
    <mergeCell ref="C454:D454"/>
    <mergeCell ref="C464:D464"/>
    <mergeCell ref="C465:D465"/>
    <mergeCell ref="C490:D490"/>
    <mergeCell ref="C491:D49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U528"/>
  <sheetViews>
    <sheetView showGridLines="0" topLeftCell="B22" zoomScale="53" workbookViewId="0">
      <selection activeCell="P49" sqref="E49:P49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0.33203125" style="4" bestFit="1" customWidth="1"/>
    <col min="5" max="5" width="15.109375" style="4" bestFit="1" customWidth="1"/>
    <col min="6" max="6" width="14.33203125" style="4" bestFit="1" customWidth="1"/>
    <col min="7" max="8" width="15.109375" style="4" bestFit="1" customWidth="1"/>
    <col min="9" max="9" width="14.6640625" style="4" bestFit="1" customWidth="1"/>
    <col min="10" max="10" width="14.88671875" style="4" customWidth="1"/>
    <col min="11" max="11" width="12.5546875" style="4" customWidth="1"/>
    <col min="12" max="12" width="15.109375" style="4" bestFit="1" customWidth="1"/>
    <col min="13" max="13" width="14.6640625" style="4" bestFit="1" customWidth="1"/>
    <col min="14" max="14" width="14.33203125" style="4" bestFit="1" customWidth="1"/>
    <col min="15" max="16" width="15.109375" style="4" bestFit="1" customWidth="1"/>
    <col min="17" max="17" width="16.33203125" style="4" bestFit="1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</row>
    <row r="3" spans="2:17" x14ac:dyDescent="0.25">
      <c r="J3" s="25" t="s">
        <v>670</v>
      </c>
    </row>
    <row r="4" spans="2:17" x14ac:dyDescent="0.25">
      <c r="C4" s="22" t="s">
        <v>648</v>
      </c>
      <c r="J4" s="25"/>
    </row>
    <row r="5" spans="2:17" x14ac:dyDescent="0.25">
      <c r="C5" s="14"/>
      <c r="Q5" s="25" t="s">
        <v>3</v>
      </c>
    </row>
    <row r="6" spans="2:17" ht="15" customHeight="1" x14ac:dyDescent="0.25">
      <c r="C6" s="827" t="s">
        <v>346</v>
      </c>
      <c r="D6" s="762" t="s">
        <v>347</v>
      </c>
      <c r="E6" s="768" t="s">
        <v>256</v>
      </c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</row>
    <row r="7" spans="2:17" x14ac:dyDescent="0.25">
      <c r="C7" s="828"/>
      <c r="D7" s="764"/>
      <c r="E7" s="13" t="s">
        <v>239</v>
      </c>
      <c r="F7" s="13" t="s">
        <v>240</v>
      </c>
      <c r="G7" s="13" t="s">
        <v>241</v>
      </c>
      <c r="H7" s="13" t="s">
        <v>242</v>
      </c>
      <c r="I7" s="13" t="s">
        <v>243</v>
      </c>
      <c r="J7" s="13" t="s">
        <v>244</v>
      </c>
      <c r="K7" s="13" t="s">
        <v>245</v>
      </c>
      <c r="L7" s="13" t="s">
        <v>246</v>
      </c>
      <c r="M7" s="13" t="s">
        <v>247</v>
      </c>
      <c r="N7" s="13" t="s">
        <v>248</v>
      </c>
      <c r="O7" s="13" t="s">
        <v>249</v>
      </c>
      <c r="P7" s="13" t="s">
        <v>250</v>
      </c>
      <c r="Q7" s="13" t="s">
        <v>251</v>
      </c>
    </row>
    <row r="8" spans="2:17" ht="14.25" customHeight="1" x14ac:dyDescent="0.25">
      <c r="C8" s="829"/>
      <c r="D8" s="7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2:17" x14ac:dyDescent="0.25">
      <c r="B9" s="60"/>
      <c r="C9" s="800" t="s">
        <v>348</v>
      </c>
      <c r="D9" s="801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x14ac:dyDescent="0.25">
      <c r="C10" s="753" t="s">
        <v>349</v>
      </c>
      <c r="D10" s="75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2:17" ht="14.25" customHeight="1" x14ac:dyDescent="0.25">
      <c r="B11" s="60"/>
      <c r="C11" s="802" t="s">
        <v>350</v>
      </c>
      <c r="D11" s="59" t="s">
        <v>351</v>
      </c>
      <c r="E11" s="66">
        <f t="shared" ref="E11:P11" si="0">E187+E359</f>
        <v>42.009811313506013</v>
      </c>
      <c r="F11" s="66">
        <f t="shared" si="0"/>
        <v>52.712310862423024</v>
      </c>
      <c r="G11" s="66">
        <f t="shared" si="0"/>
        <v>51.011913737828763</v>
      </c>
      <c r="H11" s="66">
        <f t="shared" si="0"/>
        <v>0</v>
      </c>
      <c r="I11" s="66">
        <f t="shared" si="0"/>
        <v>17.053982926078039</v>
      </c>
      <c r="J11" s="66">
        <f t="shared" si="0"/>
        <v>35.258234495263984</v>
      </c>
      <c r="K11" s="66">
        <f t="shared" si="0"/>
        <v>34.107965852156077</v>
      </c>
      <c r="L11" s="66">
        <f t="shared" si="0"/>
        <v>42.257347958212009</v>
      </c>
      <c r="M11" s="66">
        <f t="shared" si="0"/>
        <v>37.596280541581123</v>
      </c>
      <c r="N11" s="66">
        <f t="shared" si="0"/>
        <v>37.596280541581123</v>
      </c>
      <c r="O11" s="66">
        <f t="shared" si="0"/>
        <v>42.784992355600465</v>
      </c>
      <c r="P11" s="66">
        <f t="shared" si="0"/>
        <v>46.898453046714593</v>
      </c>
      <c r="Q11" s="66">
        <f t="shared" ref="Q11:Q29" si="1">SUM(E11:P11)</f>
        <v>439.28757363094519</v>
      </c>
    </row>
    <row r="12" spans="2:17" x14ac:dyDescent="0.25">
      <c r="B12" s="60"/>
      <c r="C12" s="803"/>
      <c r="D12" s="59" t="s">
        <v>352</v>
      </c>
      <c r="E12" s="66">
        <f t="shared" ref="E12:P12" si="2">E188+E360</f>
        <v>43.959431028912519</v>
      </c>
      <c r="F12" s="66">
        <f t="shared" si="2"/>
        <v>0</v>
      </c>
      <c r="G12" s="66">
        <f t="shared" si="2"/>
        <v>25.332553474288567</v>
      </c>
      <c r="H12" s="66">
        <f t="shared" si="2"/>
        <v>39.453406637467211</v>
      </c>
      <c r="I12" s="66">
        <f t="shared" si="2"/>
        <v>34.97948132089364</v>
      </c>
      <c r="J12" s="66">
        <f t="shared" si="2"/>
        <v>35.988650873264334</v>
      </c>
      <c r="K12" s="66">
        <f t="shared" si="2"/>
        <v>33.876081312676099</v>
      </c>
      <c r="L12" s="66">
        <f t="shared" si="2"/>
        <v>50.493038590849039</v>
      </c>
      <c r="M12" s="66">
        <f t="shared" si="2"/>
        <v>40.229979060904498</v>
      </c>
      <c r="N12" s="66">
        <f t="shared" si="2"/>
        <v>42.747436028207829</v>
      </c>
      <c r="O12" s="66">
        <f t="shared" si="2"/>
        <v>42.494116661282106</v>
      </c>
      <c r="P12" s="66">
        <f t="shared" si="2"/>
        <v>50.044211030089677</v>
      </c>
      <c r="Q12" s="66">
        <f t="shared" si="1"/>
        <v>439.59838601883547</v>
      </c>
    </row>
    <row r="13" spans="2:17" x14ac:dyDescent="0.25">
      <c r="B13" s="60"/>
      <c r="C13" s="803"/>
      <c r="D13" s="59" t="s">
        <v>353</v>
      </c>
      <c r="E13" s="66">
        <f t="shared" ref="E13:P13" si="3">E189+E361</f>
        <v>86.898164699183184</v>
      </c>
      <c r="F13" s="66">
        <f t="shared" si="3"/>
        <v>0</v>
      </c>
      <c r="G13" s="66">
        <f t="shared" si="3"/>
        <v>48.835332227640151</v>
      </c>
      <c r="H13" s="66">
        <f t="shared" si="3"/>
        <v>81.946141908452887</v>
      </c>
      <c r="I13" s="66">
        <f t="shared" si="3"/>
        <v>67.5316040265553</v>
      </c>
      <c r="J13" s="66">
        <f t="shared" si="3"/>
        <v>73.971164991866658</v>
      </c>
      <c r="K13" s="66">
        <f t="shared" si="3"/>
        <v>66.103061789813353</v>
      </c>
      <c r="L13" s="66">
        <f t="shared" si="3"/>
        <v>98.395942699699589</v>
      </c>
      <c r="M13" s="66">
        <f t="shared" si="3"/>
        <v>85.466555848413918</v>
      </c>
      <c r="N13" s="66">
        <f t="shared" si="3"/>
        <v>83.755859268621435</v>
      </c>
      <c r="O13" s="66">
        <f t="shared" si="3"/>
        <v>82.703234644662686</v>
      </c>
      <c r="P13" s="66">
        <f t="shared" si="3"/>
        <v>100.52052806752022</v>
      </c>
      <c r="Q13" s="66">
        <f t="shared" si="1"/>
        <v>876.12759017242934</v>
      </c>
    </row>
    <row r="14" spans="2:17" x14ac:dyDescent="0.25">
      <c r="B14" s="60"/>
      <c r="C14" s="803"/>
      <c r="D14" s="59" t="s">
        <v>354</v>
      </c>
      <c r="E14" s="66">
        <f t="shared" ref="E14:P14" si="4">E190+E362</f>
        <v>8.1374680448552965</v>
      </c>
      <c r="F14" s="66">
        <f t="shared" si="4"/>
        <v>0</v>
      </c>
      <c r="G14" s="66">
        <f t="shared" si="4"/>
        <v>4.940605598662092</v>
      </c>
      <c r="H14" s="66">
        <f t="shared" si="4"/>
        <v>7.0573160365203176</v>
      </c>
      <c r="I14" s="66">
        <f t="shared" si="4"/>
        <v>6.6068490554658226</v>
      </c>
      <c r="J14" s="66">
        <f t="shared" si="4"/>
        <v>6.8296606805035331</v>
      </c>
      <c r="K14" s="66">
        <f t="shared" si="4"/>
        <v>6.6068490554658226</v>
      </c>
      <c r="L14" s="66">
        <f t="shared" si="4"/>
        <v>8.0487817322291466</v>
      </c>
      <c r="M14" s="66">
        <f t="shared" si="4"/>
        <v>7.2825495270475669</v>
      </c>
      <c r="N14" s="66">
        <f t="shared" si="4"/>
        <v>7.2825495270475669</v>
      </c>
      <c r="O14" s="66">
        <f t="shared" si="4"/>
        <v>8.2876237052067978</v>
      </c>
      <c r="P14" s="66">
        <f t="shared" si="4"/>
        <v>9.0844174512655513</v>
      </c>
      <c r="Q14" s="66">
        <f t="shared" si="1"/>
        <v>80.164670414269494</v>
      </c>
    </row>
    <row r="15" spans="2:17" x14ac:dyDescent="0.25">
      <c r="B15" s="60"/>
      <c r="C15" s="803"/>
      <c r="D15" s="59" t="s">
        <v>355</v>
      </c>
      <c r="E15" s="66">
        <f t="shared" ref="E15:P15" si="5">E191+E363</f>
        <v>43.749874491670646</v>
      </c>
      <c r="F15" s="66">
        <f t="shared" si="5"/>
        <v>45.20820364139302</v>
      </c>
      <c r="G15" s="66">
        <f t="shared" si="5"/>
        <v>43.749874491670653</v>
      </c>
      <c r="H15" s="66">
        <f t="shared" si="5"/>
        <v>46.163306535225246</v>
      </c>
      <c r="I15" s="66">
        <f t="shared" si="5"/>
        <v>37.567380490735033</v>
      </c>
      <c r="J15" s="66">
        <f t="shared" si="5"/>
        <v>41.132227026756482</v>
      </c>
      <c r="K15" s="66">
        <f t="shared" si="5"/>
        <v>0</v>
      </c>
      <c r="L15" s="66">
        <f t="shared" si="5"/>
        <v>21.874937245835323</v>
      </c>
      <c r="M15" s="66">
        <f t="shared" si="5"/>
        <v>43.727851950594683</v>
      </c>
      <c r="N15" s="66">
        <f t="shared" si="5"/>
        <v>39.477586278399535</v>
      </c>
      <c r="O15" s="66">
        <f t="shared" si="5"/>
        <v>38.717611932769557</v>
      </c>
      <c r="P15" s="66">
        <f t="shared" si="5"/>
        <v>48.073512322889741</v>
      </c>
      <c r="Q15" s="66">
        <f t="shared" si="1"/>
        <v>449.44236640793997</v>
      </c>
    </row>
    <row r="16" spans="2:17" x14ac:dyDescent="0.25">
      <c r="B16" s="60"/>
      <c r="C16" s="803"/>
      <c r="D16" s="59" t="s">
        <v>356</v>
      </c>
      <c r="E16" s="66">
        <f t="shared" ref="E16:P16" si="6">E192+E364</f>
        <v>57.404421970361085</v>
      </c>
      <c r="F16" s="66">
        <f t="shared" si="6"/>
        <v>59.317902702706448</v>
      </c>
      <c r="G16" s="66">
        <f t="shared" si="6"/>
        <v>57.404421970361071</v>
      </c>
      <c r="H16" s="66">
        <f t="shared" si="6"/>
        <v>60.571097830228425</v>
      </c>
      <c r="I16" s="66">
        <f t="shared" si="6"/>
        <v>50.545536810052681</v>
      </c>
      <c r="J16" s="66">
        <f t="shared" si="6"/>
        <v>55.670741393328854</v>
      </c>
      <c r="K16" s="66">
        <f t="shared" si="6"/>
        <v>48.448142388609298</v>
      </c>
      <c r="L16" s="66">
        <f t="shared" si="6"/>
        <v>0</v>
      </c>
      <c r="M16" s="66">
        <f t="shared" si="6"/>
        <v>29.658951351353224</v>
      </c>
      <c r="N16" s="66">
        <f t="shared" si="6"/>
        <v>56.719554747836924</v>
      </c>
      <c r="O16" s="66">
        <f t="shared" si="6"/>
        <v>54.489267460706728</v>
      </c>
      <c r="P16" s="66">
        <f t="shared" si="6"/>
        <v>66.837073467838252</v>
      </c>
      <c r="Q16" s="66">
        <f t="shared" si="1"/>
        <v>597.067112093383</v>
      </c>
    </row>
    <row r="17" spans="2:18" x14ac:dyDescent="0.25">
      <c r="B17" s="60"/>
      <c r="C17" s="803"/>
      <c r="D17" s="59" t="s">
        <v>357</v>
      </c>
      <c r="E17" s="66">
        <f t="shared" ref="E17:P17" si="7">E193+E365</f>
        <v>123.20699512282478</v>
      </c>
      <c r="F17" s="66">
        <f t="shared" si="7"/>
        <v>63.463642307999436</v>
      </c>
      <c r="G17" s="66">
        <f t="shared" si="7"/>
        <v>92.311711581412126</v>
      </c>
      <c r="H17" s="66">
        <f t="shared" si="7"/>
        <v>130.00362513546895</v>
      </c>
      <c r="I17" s="66">
        <f t="shared" si="7"/>
        <v>93.041461486992816</v>
      </c>
      <c r="J17" s="66">
        <f t="shared" si="7"/>
        <v>88.731996247164119</v>
      </c>
      <c r="K17" s="66">
        <f t="shared" si="7"/>
        <v>100.41659320808631</v>
      </c>
      <c r="L17" s="66">
        <f t="shared" si="7"/>
        <v>92.350919065228865</v>
      </c>
      <c r="M17" s="66">
        <f t="shared" si="7"/>
        <v>111.37158899716103</v>
      </c>
      <c r="N17" s="66">
        <f t="shared" si="7"/>
        <v>115.41988293503405</v>
      </c>
      <c r="O17" s="66">
        <f t="shared" si="7"/>
        <v>113.51613997736196</v>
      </c>
      <c r="P17" s="66">
        <f t="shared" si="7"/>
        <v>136.76525059226094</v>
      </c>
      <c r="Q17" s="66">
        <f t="shared" si="1"/>
        <v>1260.5998066569955</v>
      </c>
    </row>
    <row r="18" spans="2:18" x14ac:dyDescent="0.25">
      <c r="B18" s="60"/>
      <c r="C18" s="803"/>
      <c r="D18" s="59" t="s">
        <v>358</v>
      </c>
      <c r="E18" s="66">
        <f t="shared" ref="E18:P18" si="8">E194+E366</f>
        <v>376.26166292724298</v>
      </c>
      <c r="F18" s="66">
        <f t="shared" si="8"/>
        <v>228.4015254709297</v>
      </c>
      <c r="G18" s="66">
        <f t="shared" si="8"/>
        <v>224.20524095023094</v>
      </c>
      <c r="H18" s="66">
        <f t="shared" si="8"/>
        <v>246.24809146829648</v>
      </c>
      <c r="I18" s="66">
        <f t="shared" si="8"/>
        <v>349.82626639937803</v>
      </c>
      <c r="J18" s="66">
        <f t="shared" si="8"/>
        <v>394.3450944135954</v>
      </c>
      <c r="K18" s="66">
        <f t="shared" si="8"/>
        <v>358.48009602055242</v>
      </c>
      <c r="L18" s="66">
        <f t="shared" si="8"/>
        <v>297.99305300551799</v>
      </c>
      <c r="M18" s="66">
        <f t="shared" si="8"/>
        <v>347.52057261401967</v>
      </c>
      <c r="N18" s="66">
        <f t="shared" si="8"/>
        <v>387.25770158368391</v>
      </c>
      <c r="O18" s="66">
        <f t="shared" si="8"/>
        <v>367.27141047539834</v>
      </c>
      <c r="P18" s="66">
        <f t="shared" si="8"/>
        <v>422.40993312130729</v>
      </c>
      <c r="Q18" s="66">
        <f t="shared" si="1"/>
        <v>4000.2206484501535</v>
      </c>
    </row>
    <row r="19" spans="2:18" x14ac:dyDescent="0.25">
      <c r="B19" s="60"/>
      <c r="C19" s="803"/>
      <c r="D19" s="325" t="s">
        <v>620</v>
      </c>
      <c r="E19" s="66">
        <f t="shared" ref="E19:P19" si="9">E195+E367</f>
        <v>0</v>
      </c>
      <c r="F19" s="66">
        <f t="shared" si="9"/>
        <v>0</v>
      </c>
      <c r="G19" s="66">
        <f t="shared" si="9"/>
        <v>0</v>
      </c>
      <c r="H19" s="66">
        <f t="shared" si="9"/>
        <v>0</v>
      </c>
      <c r="I19" s="66">
        <f t="shared" si="9"/>
        <v>0</v>
      </c>
      <c r="J19" s="66">
        <f t="shared" si="9"/>
        <v>0</v>
      </c>
      <c r="K19" s="66">
        <f t="shared" si="9"/>
        <v>0</v>
      </c>
      <c r="L19" s="66">
        <f t="shared" si="9"/>
        <v>0</v>
      </c>
      <c r="M19" s="66">
        <f t="shared" si="9"/>
        <v>0</v>
      </c>
      <c r="N19" s="66">
        <f t="shared" si="9"/>
        <v>0</v>
      </c>
      <c r="O19" s="66">
        <f t="shared" si="9"/>
        <v>0</v>
      </c>
      <c r="P19" s="66">
        <f t="shared" si="9"/>
        <v>0</v>
      </c>
      <c r="Q19" s="66">
        <f t="shared" si="1"/>
        <v>0</v>
      </c>
    </row>
    <row r="20" spans="2:18" x14ac:dyDescent="0.25">
      <c r="B20" s="60"/>
      <c r="C20" s="803"/>
      <c r="D20" s="59"/>
      <c r="E20" s="66">
        <f t="shared" ref="E20:P20" si="10">E196+E368</f>
        <v>0</v>
      </c>
      <c r="F20" s="66">
        <f t="shared" si="10"/>
        <v>0</v>
      </c>
      <c r="G20" s="66">
        <f t="shared" si="10"/>
        <v>0</v>
      </c>
      <c r="H20" s="66">
        <f t="shared" si="10"/>
        <v>0</v>
      </c>
      <c r="I20" s="66">
        <f t="shared" si="10"/>
        <v>0</v>
      </c>
      <c r="J20" s="66">
        <f t="shared" si="10"/>
        <v>0</v>
      </c>
      <c r="K20" s="66">
        <f t="shared" si="10"/>
        <v>0</v>
      </c>
      <c r="L20" s="66">
        <f t="shared" si="10"/>
        <v>0</v>
      </c>
      <c r="M20" s="66">
        <f t="shared" si="10"/>
        <v>0</v>
      </c>
      <c r="N20" s="66">
        <f t="shared" si="10"/>
        <v>0</v>
      </c>
      <c r="O20" s="66">
        <f t="shared" si="10"/>
        <v>0</v>
      </c>
      <c r="P20" s="66">
        <f t="shared" si="10"/>
        <v>0</v>
      </c>
      <c r="Q20" s="66">
        <f t="shared" si="1"/>
        <v>0</v>
      </c>
    </row>
    <row r="21" spans="2:18" x14ac:dyDescent="0.25">
      <c r="B21" s="60"/>
      <c r="C21" s="803"/>
      <c r="D21" s="59"/>
      <c r="E21" s="66">
        <f t="shared" ref="E21:P21" si="11">E197+E369</f>
        <v>0</v>
      </c>
      <c r="F21" s="66">
        <f t="shared" si="11"/>
        <v>0</v>
      </c>
      <c r="G21" s="66">
        <f t="shared" si="11"/>
        <v>0</v>
      </c>
      <c r="H21" s="66">
        <f t="shared" si="11"/>
        <v>0</v>
      </c>
      <c r="I21" s="66">
        <f t="shared" si="11"/>
        <v>0</v>
      </c>
      <c r="J21" s="66">
        <f t="shared" si="11"/>
        <v>0</v>
      </c>
      <c r="K21" s="66">
        <f t="shared" si="11"/>
        <v>0</v>
      </c>
      <c r="L21" s="66">
        <f t="shared" si="11"/>
        <v>0</v>
      </c>
      <c r="M21" s="66">
        <f t="shared" si="11"/>
        <v>0</v>
      </c>
      <c r="N21" s="66">
        <f t="shared" si="11"/>
        <v>0</v>
      </c>
      <c r="O21" s="66">
        <f t="shared" si="11"/>
        <v>0</v>
      </c>
      <c r="P21" s="66">
        <f t="shared" si="11"/>
        <v>0</v>
      </c>
      <c r="Q21" s="66">
        <f t="shared" si="1"/>
        <v>0</v>
      </c>
    </row>
    <row r="22" spans="2:18" x14ac:dyDescent="0.25">
      <c r="B22" s="60"/>
      <c r="C22" s="803"/>
      <c r="D22" s="59"/>
      <c r="E22" s="66">
        <f t="shared" ref="E22:P22" si="12">E198+E370</f>
        <v>0</v>
      </c>
      <c r="F22" s="66">
        <f t="shared" si="12"/>
        <v>0</v>
      </c>
      <c r="G22" s="66">
        <f t="shared" si="12"/>
        <v>0</v>
      </c>
      <c r="H22" s="66">
        <f t="shared" si="12"/>
        <v>0</v>
      </c>
      <c r="I22" s="66">
        <f t="shared" si="12"/>
        <v>0</v>
      </c>
      <c r="J22" s="66">
        <f t="shared" si="12"/>
        <v>0</v>
      </c>
      <c r="K22" s="66">
        <f t="shared" si="12"/>
        <v>0</v>
      </c>
      <c r="L22" s="66">
        <f t="shared" si="12"/>
        <v>0</v>
      </c>
      <c r="M22" s="66">
        <f t="shared" si="12"/>
        <v>0</v>
      </c>
      <c r="N22" s="66">
        <f t="shared" si="12"/>
        <v>0</v>
      </c>
      <c r="O22" s="66">
        <f t="shared" si="12"/>
        <v>0</v>
      </c>
      <c r="P22" s="66">
        <f t="shared" si="12"/>
        <v>0</v>
      </c>
      <c r="Q22" s="66">
        <f t="shared" si="1"/>
        <v>0</v>
      </c>
    </row>
    <row r="23" spans="2:18" x14ac:dyDescent="0.25">
      <c r="B23" s="60"/>
      <c r="C23" s="803"/>
      <c r="D23" s="59"/>
      <c r="E23" s="66">
        <f t="shared" ref="E23:P23" si="13">E199+E371</f>
        <v>0</v>
      </c>
      <c r="F23" s="66">
        <f t="shared" si="13"/>
        <v>0</v>
      </c>
      <c r="G23" s="66">
        <f t="shared" si="13"/>
        <v>0</v>
      </c>
      <c r="H23" s="66">
        <f t="shared" si="13"/>
        <v>0</v>
      </c>
      <c r="I23" s="66">
        <f t="shared" si="13"/>
        <v>0</v>
      </c>
      <c r="J23" s="66">
        <f t="shared" si="13"/>
        <v>0</v>
      </c>
      <c r="K23" s="66">
        <f t="shared" si="13"/>
        <v>0</v>
      </c>
      <c r="L23" s="66">
        <f t="shared" si="13"/>
        <v>0</v>
      </c>
      <c r="M23" s="66">
        <f t="shared" si="13"/>
        <v>0</v>
      </c>
      <c r="N23" s="66">
        <f t="shared" si="13"/>
        <v>0</v>
      </c>
      <c r="O23" s="66">
        <f t="shared" si="13"/>
        <v>0</v>
      </c>
      <c r="P23" s="66">
        <f t="shared" si="13"/>
        <v>0</v>
      </c>
      <c r="Q23" s="66">
        <f t="shared" si="1"/>
        <v>0</v>
      </c>
    </row>
    <row r="24" spans="2:18" x14ac:dyDescent="0.25">
      <c r="B24" s="60"/>
      <c r="C24" s="803"/>
      <c r="D24" s="59"/>
      <c r="E24" s="66">
        <f t="shared" ref="E24:P24" si="14">E200+E372</f>
        <v>0</v>
      </c>
      <c r="F24" s="66">
        <f t="shared" si="14"/>
        <v>0</v>
      </c>
      <c r="G24" s="66">
        <f t="shared" si="14"/>
        <v>0</v>
      </c>
      <c r="H24" s="66">
        <f t="shared" si="14"/>
        <v>0</v>
      </c>
      <c r="I24" s="66">
        <f t="shared" si="14"/>
        <v>0</v>
      </c>
      <c r="J24" s="66">
        <f t="shared" si="14"/>
        <v>0</v>
      </c>
      <c r="K24" s="66">
        <f t="shared" si="14"/>
        <v>0</v>
      </c>
      <c r="L24" s="66">
        <f t="shared" si="14"/>
        <v>0</v>
      </c>
      <c r="M24" s="66">
        <f t="shared" si="14"/>
        <v>0</v>
      </c>
      <c r="N24" s="66">
        <f t="shared" si="14"/>
        <v>0</v>
      </c>
      <c r="O24" s="66">
        <f t="shared" si="14"/>
        <v>0</v>
      </c>
      <c r="P24" s="66">
        <f t="shared" si="14"/>
        <v>0</v>
      </c>
      <c r="Q24" s="66">
        <f t="shared" si="1"/>
        <v>0</v>
      </c>
    </row>
    <row r="25" spans="2:18" x14ac:dyDescent="0.25">
      <c r="B25" s="60"/>
      <c r="C25" s="803"/>
      <c r="D25" s="59"/>
      <c r="E25" s="66">
        <f t="shared" ref="E25:P25" si="15">E201+E373</f>
        <v>0</v>
      </c>
      <c r="F25" s="66">
        <f t="shared" si="15"/>
        <v>0</v>
      </c>
      <c r="G25" s="66">
        <f t="shared" si="15"/>
        <v>0</v>
      </c>
      <c r="H25" s="66">
        <f t="shared" si="15"/>
        <v>0</v>
      </c>
      <c r="I25" s="66">
        <f t="shared" si="15"/>
        <v>0</v>
      </c>
      <c r="J25" s="66">
        <f t="shared" si="15"/>
        <v>0</v>
      </c>
      <c r="K25" s="66">
        <f t="shared" si="15"/>
        <v>0</v>
      </c>
      <c r="L25" s="66">
        <f t="shared" si="15"/>
        <v>0</v>
      </c>
      <c r="M25" s="66">
        <f t="shared" si="15"/>
        <v>0</v>
      </c>
      <c r="N25" s="66">
        <f t="shared" si="15"/>
        <v>0</v>
      </c>
      <c r="O25" s="66">
        <f t="shared" si="15"/>
        <v>0</v>
      </c>
      <c r="P25" s="66">
        <f t="shared" si="15"/>
        <v>0</v>
      </c>
      <c r="Q25" s="66">
        <f t="shared" si="1"/>
        <v>0</v>
      </c>
    </row>
    <row r="26" spans="2:18" x14ac:dyDescent="0.25">
      <c r="B26" s="60"/>
      <c r="C26" s="803"/>
      <c r="D26" s="59"/>
      <c r="E26" s="66">
        <f t="shared" ref="E26:P26" si="16">E202+E374</f>
        <v>0</v>
      </c>
      <c r="F26" s="66">
        <f t="shared" si="16"/>
        <v>0</v>
      </c>
      <c r="G26" s="66">
        <f t="shared" si="16"/>
        <v>0</v>
      </c>
      <c r="H26" s="66">
        <f t="shared" si="16"/>
        <v>0</v>
      </c>
      <c r="I26" s="66">
        <f t="shared" si="16"/>
        <v>0</v>
      </c>
      <c r="J26" s="66">
        <f t="shared" si="16"/>
        <v>0</v>
      </c>
      <c r="K26" s="66">
        <f t="shared" si="16"/>
        <v>0</v>
      </c>
      <c r="L26" s="66">
        <f t="shared" si="16"/>
        <v>0</v>
      </c>
      <c r="M26" s="66">
        <f t="shared" si="16"/>
        <v>0</v>
      </c>
      <c r="N26" s="66">
        <f t="shared" si="16"/>
        <v>0</v>
      </c>
      <c r="O26" s="66">
        <f t="shared" si="16"/>
        <v>0</v>
      </c>
      <c r="P26" s="66">
        <f t="shared" si="16"/>
        <v>0</v>
      </c>
      <c r="Q26" s="66">
        <f t="shared" si="1"/>
        <v>0</v>
      </c>
    </row>
    <row r="27" spans="2:18" x14ac:dyDescent="0.25">
      <c r="B27" s="60"/>
      <c r="C27" s="803"/>
      <c r="D27" s="59"/>
      <c r="E27" s="66">
        <f t="shared" ref="E27:P27" si="17">E203+E375</f>
        <v>0</v>
      </c>
      <c r="F27" s="66">
        <f t="shared" si="17"/>
        <v>0</v>
      </c>
      <c r="G27" s="66">
        <f t="shared" si="17"/>
        <v>0</v>
      </c>
      <c r="H27" s="66">
        <f t="shared" si="17"/>
        <v>0</v>
      </c>
      <c r="I27" s="66">
        <f t="shared" si="17"/>
        <v>0</v>
      </c>
      <c r="J27" s="66">
        <f t="shared" si="17"/>
        <v>0</v>
      </c>
      <c r="K27" s="66">
        <f t="shared" si="17"/>
        <v>0</v>
      </c>
      <c r="L27" s="66">
        <f t="shared" si="17"/>
        <v>0</v>
      </c>
      <c r="M27" s="66">
        <f t="shared" si="17"/>
        <v>0</v>
      </c>
      <c r="N27" s="66">
        <f t="shared" si="17"/>
        <v>0</v>
      </c>
      <c r="O27" s="66">
        <f t="shared" si="17"/>
        <v>0</v>
      </c>
      <c r="P27" s="66">
        <f t="shared" si="17"/>
        <v>0</v>
      </c>
      <c r="Q27" s="66">
        <f t="shared" si="1"/>
        <v>0</v>
      </c>
    </row>
    <row r="28" spans="2:18" x14ac:dyDescent="0.25">
      <c r="B28" s="60"/>
      <c r="C28" s="804"/>
      <c r="D28" s="59"/>
      <c r="E28" s="66">
        <f t="shared" ref="E28:P28" si="18">E204+E376</f>
        <v>0</v>
      </c>
      <c r="F28" s="66">
        <f t="shared" si="18"/>
        <v>0</v>
      </c>
      <c r="G28" s="66">
        <f t="shared" si="18"/>
        <v>0</v>
      </c>
      <c r="H28" s="66">
        <f t="shared" si="18"/>
        <v>0</v>
      </c>
      <c r="I28" s="66">
        <f t="shared" si="18"/>
        <v>0</v>
      </c>
      <c r="J28" s="66">
        <f t="shared" si="18"/>
        <v>0</v>
      </c>
      <c r="K28" s="66">
        <f t="shared" si="18"/>
        <v>0</v>
      </c>
      <c r="L28" s="66">
        <f t="shared" si="18"/>
        <v>0</v>
      </c>
      <c r="M28" s="66">
        <f t="shared" si="18"/>
        <v>0</v>
      </c>
      <c r="N28" s="66">
        <f t="shared" si="18"/>
        <v>0</v>
      </c>
      <c r="O28" s="66">
        <f t="shared" si="18"/>
        <v>0</v>
      </c>
      <c r="P28" s="66">
        <f t="shared" si="18"/>
        <v>0</v>
      </c>
      <c r="Q28" s="66">
        <f t="shared" si="1"/>
        <v>0</v>
      </c>
    </row>
    <row r="29" spans="2:18" x14ac:dyDescent="0.25">
      <c r="C29" s="751" t="s">
        <v>212</v>
      </c>
      <c r="D29" s="752"/>
      <c r="E29" s="108">
        <f t="shared" ref="E29:P29" si="19">SUM(E11:E28)</f>
        <v>781.62782959855645</v>
      </c>
      <c r="F29" s="108">
        <f t="shared" si="19"/>
        <v>449.10358498545162</v>
      </c>
      <c r="G29" s="108">
        <f t="shared" si="19"/>
        <v>547.79165403209436</v>
      </c>
      <c r="H29" s="108">
        <f t="shared" si="19"/>
        <v>611.44298555165949</v>
      </c>
      <c r="I29" s="108">
        <f t="shared" si="19"/>
        <v>657.15256251615142</v>
      </c>
      <c r="J29" s="108">
        <f t="shared" si="19"/>
        <v>731.92777012174338</v>
      </c>
      <c r="K29" s="108">
        <f t="shared" si="19"/>
        <v>648.03878962735939</v>
      </c>
      <c r="L29" s="108">
        <f t="shared" si="19"/>
        <v>611.41402029757205</v>
      </c>
      <c r="M29" s="108">
        <f t="shared" si="19"/>
        <v>702.85432989107562</v>
      </c>
      <c r="N29" s="108">
        <f t="shared" si="19"/>
        <v>770.25685091041237</v>
      </c>
      <c r="O29" s="108">
        <f t="shared" si="19"/>
        <v>750.26439721298857</v>
      </c>
      <c r="P29" s="108">
        <f t="shared" si="19"/>
        <v>880.63337909988627</v>
      </c>
      <c r="Q29" s="108">
        <f t="shared" si="1"/>
        <v>8142.5081538449513</v>
      </c>
      <c r="R29" s="427"/>
    </row>
    <row r="30" spans="2:18" x14ac:dyDescent="0.25">
      <c r="C30" s="753" t="s">
        <v>359</v>
      </c>
      <c r="D30" s="754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</row>
    <row r="31" spans="2:18" x14ac:dyDescent="0.25">
      <c r="C31" s="805" t="s">
        <v>350</v>
      </c>
      <c r="D31" s="17" t="s">
        <v>360</v>
      </c>
      <c r="E31" s="17">
        <f t="shared" ref="E31:P31" si="20">E207+E379</f>
        <v>0</v>
      </c>
      <c r="F31" s="17">
        <f t="shared" si="20"/>
        <v>0</v>
      </c>
      <c r="G31" s="17">
        <f t="shared" si="20"/>
        <v>0</v>
      </c>
      <c r="H31" s="17">
        <f t="shared" si="20"/>
        <v>0</v>
      </c>
      <c r="I31" s="17">
        <f t="shared" si="20"/>
        <v>0</v>
      </c>
      <c r="J31" s="17">
        <f t="shared" si="20"/>
        <v>0</v>
      </c>
      <c r="K31" s="17">
        <f t="shared" si="20"/>
        <v>0</v>
      </c>
      <c r="L31" s="17">
        <f t="shared" si="20"/>
        <v>0</v>
      </c>
      <c r="M31" s="17">
        <f t="shared" si="20"/>
        <v>0</v>
      </c>
      <c r="N31" s="17">
        <f t="shared" si="20"/>
        <v>0</v>
      </c>
      <c r="O31" s="17">
        <f t="shared" si="20"/>
        <v>0</v>
      </c>
      <c r="P31" s="17">
        <f t="shared" si="20"/>
        <v>0</v>
      </c>
      <c r="Q31" s="17">
        <f t="shared" ref="Q31:Q48" si="21">SUM(E31:P31)</f>
        <v>0</v>
      </c>
    </row>
    <row r="32" spans="2:18" x14ac:dyDescent="0.25">
      <c r="C32" s="806"/>
      <c r="D32" s="17" t="s">
        <v>361</v>
      </c>
      <c r="E32" s="17">
        <f t="shared" ref="E32:P32" si="22">E208+E380</f>
        <v>0</v>
      </c>
      <c r="F32" s="17">
        <f t="shared" si="22"/>
        <v>0</v>
      </c>
      <c r="G32" s="17">
        <f t="shared" si="22"/>
        <v>0</v>
      </c>
      <c r="H32" s="17">
        <f t="shared" si="22"/>
        <v>0</v>
      </c>
      <c r="I32" s="17">
        <f t="shared" si="22"/>
        <v>0</v>
      </c>
      <c r="J32" s="17">
        <f t="shared" si="22"/>
        <v>0</v>
      </c>
      <c r="K32" s="17">
        <f t="shared" si="22"/>
        <v>0</v>
      </c>
      <c r="L32" s="17">
        <f t="shared" si="22"/>
        <v>0</v>
      </c>
      <c r="M32" s="17">
        <f t="shared" si="22"/>
        <v>0</v>
      </c>
      <c r="N32" s="17">
        <f t="shared" si="22"/>
        <v>0</v>
      </c>
      <c r="O32" s="17">
        <f t="shared" si="22"/>
        <v>0</v>
      </c>
      <c r="P32" s="17">
        <f t="shared" si="22"/>
        <v>0</v>
      </c>
      <c r="Q32" s="17">
        <f t="shared" si="21"/>
        <v>0</v>
      </c>
    </row>
    <row r="33" spans="3:17" x14ac:dyDescent="0.25">
      <c r="C33" s="806"/>
      <c r="D33" s="17" t="s">
        <v>362</v>
      </c>
      <c r="E33" s="17">
        <f t="shared" ref="E33:P33" si="23">E209+E381</f>
        <v>0</v>
      </c>
      <c r="F33" s="17">
        <f t="shared" si="23"/>
        <v>0</v>
      </c>
      <c r="G33" s="17">
        <f t="shared" si="23"/>
        <v>0</v>
      </c>
      <c r="H33" s="17">
        <f t="shared" si="23"/>
        <v>0</v>
      </c>
      <c r="I33" s="17">
        <f t="shared" si="23"/>
        <v>0</v>
      </c>
      <c r="J33" s="17">
        <f t="shared" si="23"/>
        <v>0</v>
      </c>
      <c r="K33" s="17">
        <f t="shared" si="23"/>
        <v>0</v>
      </c>
      <c r="L33" s="17">
        <f t="shared" si="23"/>
        <v>0</v>
      </c>
      <c r="M33" s="17">
        <f t="shared" si="23"/>
        <v>0</v>
      </c>
      <c r="N33" s="17">
        <f t="shared" si="23"/>
        <v>0</v>
      </c>
      <c r="O33" s="17">
        <f t="shared" si="23"/>
        <v>0</v>
      </c>
      <c r="P33" s="17">
        <f t="shared" si="23"/>
        <v>0</v>
      </c>
      <c r="Q33" s="17">
        <f t="shared" si="21"/>
        <v>0</v>
      </c>
    </row>
    <row r="34" spans="3:17" x14ac:dyDescent="0.25">
      <c r="C34" s="806"/>
      <c r="D34" s="17" t="s">
        <v>363</v>
      </c>
      <c r="E34" s="17">
        <f t="shared" ref="E34:P34" si="24">E210+E382</f>
        <v>0</v>
      </c>
      <c r="F34" s="17">
        <f t="shared" si="24"/>
        <v>0</v>
      </c>
      <c r="G34" s="17">
        <f t="shared" si="24"/>
        <v>0</v>
      </c>
      <c r="H34" s="17">
        <f t="shared" si="24"/>
        <v>0</v>
      </c>
      <c r="I34" s="17">
        <f t="shared" si="24"/>
        <v>0</v>
      </c>
      <c r="J34" s="17">
        <f t="shared" si="24"/>
        <v>0</v>
      </c>
      <c r="K34" s="17">
        <f t="shared" si="24"/>
        <v>0</v>
      </c>
      <c r="L34" s="17">
        <f t="shared" si="24"/>
        <v>0</v>
      </c>
      <c r="M34" s="17">
        <f t="shared" si="24"/>
        <v>0</v>
      </c>
      <c r="N34" s="17">
        <f t="shared" si="24"/>
        <v>0</v>
      </c>
      <c r="O34" s="17">
        <f t="shared" si="24"/>
        <v>0</v>
      </c>
      <c r="P34" s="17">
        <f t="shared" si="24"/>
        <v>0</v>
      </c>
      <c r="Q34" s="17">
        <f t="shared" si="21"/>
        <v>0</v>
      </c>
    </row>
    <row r="35" spans="3:17" x14ac:dyDescent="0.25">
      <c r="C35" s="806"/>
      <c r="D35" s="17" t="s">
        <v>364</v>
      </c>
      <c r="E35" s="17">
        <f t="shared" ref="E35:P35" si="25">E211+E383</f>
        <v>0</v>
      </c>
      <c r="F35" s="17">
        <f t="shared" si="25"/>
        <v>0</v>
      </c>
      <c r="G35" s="17">
        <f t="shared" si="25"/>
        <v>0</v>
      </c>
      <c r="H35" s="17">
        <f t="shared" si="25"/>
        <v>0</v>
      </c>
      <c r="I35" s="17">
        <f t="shared" si="25"/>
        <v>0</v>
      </c>
      <c r="J35" s="17">
        <f t="shared" si="25"/>
        <v>0</v>
      </c>
      <c r="K35" s="17">
        <f t="shared" si="25"/>
        <v>0</v>
      </c>
      <c r="L35" s="17">
        <f t="shared" si="25"/>
        <v>0</v>
      </c>
      <c r="M35" s="17">
        <f t="shared" si="25"/>
        <v>0</v>
      </c>
      <c r="N35" s="17">
        <f t="shared" si="25"/>
        <v>0</v>
      </c>
      <c r="O35" s="17">
        <f t="shared" si="25"/>
        <v>0</v>
      </c>
      <c r="P35" s="17">
        <f t="shared" si="25"/>
        <v>0</v>
      </c>
      <c r="Q35" s="17">
        <f t="shared" si="21"/>
        <v>0</v>
      </c>
    </row>
    <row r="36" spans="3:17" x14ac:dyDescent="0.25">
      <c r="C36" s="806"/>
      <c r="D36" s="17" t="s">
        <v>365</v>
      </c>
      <c r="E36" s="17">
        <f t="shared" ref="E36:P36" si="26">E212+E384</f>
        <v>0</v>
      </c>
      <c r="F36" s="17">
        <f t="shared" si="26"/>
        <v>0</v>
      </c>
      <c r="G36" s="17">
        <f t="shared" si="26"/>
        <v>0</v>
      </c>
      <c r="H36" s="17">
        <f t="shared" si="26"/>
        <v>0</v>
      </c>
      <c r="I36" s="17">
        <f t="shared" si="26"/>
        <v>0</v>
      </c>
      <c r="J36" s="17">
        <f t="shared" si="26"/>
        <v>0</v>
      </c>
      <c r="K36" s="17">
        <f t="shared" si="26"/>
        <v>0</v>
      </c>
      <c r="L36" s="17">
        <f t="shared" si="26"/>
        <v>0</v>
      </c>
      <c r="M36" s="17">
        <f t="shared" si="26"/>
        <v>0</v>
      </c>
      <c r="N36" s="17">
        <f t="shared" si="26"/>
        <v>0</v>
      </c>
      <c r="O36" s="17">
        <f t="shared" si="26"/>
        <v>0</v>
      </c>
      <c r="P36" s="17">
        <f t="shared" si="26"/>
        <v>0</v>
      </c>
      <c r="Q36" s="17">
        <f t="shared" si="21"/>
        <v>0</v>
      </c>
    </row>
    <row r="37" spans="3:17" x14ac:dyDescent="0.25">
      <c r="C37" s="806"/>
      <c r="D37" s="17" t="s">
        <v>366</v>
      </c>
      <c r="E37" s="17">
        <f t="shared" ref="E37:P37" si="27">E213+E385</f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>
        <f t="shared" si="27"/>
        <v>0</v>
      </c>
      <c r="K37" s="17">
        <f t="shared" si="27"/>
        <v>0</v>
      </c>
      <c r="L37" s="17">
        <f t="shared" si="27"/>
        <v>0</v>
      </c>
      <c r="M37" s="17">
        <f t="shared" si="27"/>
        <v>0</v>
      </c>
      <c r="N37" s="17">
        <f t="shared" si="27"/>
        <v>0</v>
      </c>
      <c r="O37" s="17">
        <f t="shared" si="27"/>
        <v>0</v>
      </c>
      <c r="P37" s="17">
        <f t="shared" si="27"/>
        <v>0</v>
      </c>
      <c r="Q37" s="17">
        <f t="shared" si="21"/>
        <v>0</v>
      </c>
    </row>
    <row r="38" spans="3:17" x14ac:dyDescent="0.25">
      <c r="C38" s="806"/>
      <c r="D38" s="17" t="s">
        <v>367</v>
      </c>
      <c r="E38" s="17">
        <f t="shared" ref="E38:P38" si="28">E214+E386</f>
        <v>0</v>
      </c>
      <c r="F38" s="17">
        <f t="shared" si="28"/>
        <v>0</v>
      </c>
      <c r="G38" s="17">
        <f t="shared" si="28"/>
        <v>0</v>
      </c>
      <c r="H38" s="17">
        <f t="shared" si="28"/>
        <v>0</v>
      </c>
      <c r="I38" s="17">
        <f t="shared" si="28"/>
        <v>0</v>
      </c>
      <c r="J38" s="17">
        <f t="shared" si="28"/>
        <v>0</v>
      </c>
      <c r="K38" s="17">
        <f t="shared" si="28"/>
        <v>0</v>
      </c>
      <c r="L38" s="17">
        <f t="shared" si="28"/>
        <v>0</v>
      </c>
      <c r="M38" s="17">
        <f t="shared" si="28"/>
        <v>0</v>
      </c>
      <c r="N38" s="17">
        <f t="shared" si="28"/>
        <v>0</v>
      </c>
      <c r="O38" s="17">
        <f t="shared" si="28"/>
        <v>0</v>
      </c>
      <c r="P38" s="17">
        <f t="shared" si="28"/>
        <v>0</v>
      </c>
      <c r="Q38" s="17">
        <f t="shared" si="21"/>
        <v>0</v>
      </c>
    </row>
    <row r="39" spans="3:17" x14ac:dyDescent="0.25">
      <c r="C39" s="806"/>
      <c r="D39" s="17"/>
      <c r="E39" s="17">
        <f t="shared" ref="E39:P39" si="29">E215+E387</f>
        <v>0</v>
      </c>
      <c r="F39" s="17">
        <f t="shared" si="29"/>
        <v>0</v>
      </c>
      <c r="G39" s="17">
        <f t="shared" si="29"/>
        <v>0</v>
      </c>
      <c r="H39" s="17">
        <f t="shared" si="29"/>
        <v>0</v>
      </c>
      <c r="I39" s="17">
        <f t="shared" si="29"/>
        <v>0</v>
      </c>
      <c r="J39" s="17">
        <f t="shared" si="29"/>
        <v>0</v>
      </c>
      <c r="K39" s="17">
        <f t="shared" si="29"/>
        <v>0</v>
      </c>
      <c r="L39" s="17">
        <f t="shared" si="29"/>
        <v>0</v>
      </c>
      <c r="M39" s="17">
        <f t="shared" si="29"/>
        <v>0</v>
      </c>
      <c r="N39" s="17">
        <f t="shared" si="29"/>
        <v>0</v>
      </c>
      <c r="O39" s="17">
        <f t="shared" si="29"/>
        <v>0</v>
      </c>
      <c r="P39" s="17">
        <f t="shared" si="29"/>
        <v>0</v>
      </c>
      <c r="Q39" s="17">
        <f t="shared" si="21"/>
        <v>0</v>
      </c>
    </row>
    <row r="40" spans="3:17" x14ac:dyDescent="0.25">
      <c r="C40" s="806"/>
      <c r="D40" s="325" t="s">
        <v>621</v>
      </c>
      <c r="E40" s="17">
        <f t="shared" ref="E40:P40" si="30">E216+E388</f>
        <v>0</v>
      </c>
      <c r="F40" s="17">
        <f t="shared" si="30"/>
        <v>0</v>
      </c>
      <c r="G40" s="17">
        <f t="shared" si="30"/>
        <v>0</v>
      </c>
      <c r="H40" s="17">
        <f t="shared" si="30"/>
        <v>0</v>
      </c>
      <c r="I40" s="17">
        <f t="shared" si="30"/>
        <v>0</v>
      </c>
      <c r="J40" s="17">
        <f t="shared" si="30"/>
        <v>0</v>
      </c>
      <c r="K40" s="17">
        <f t="shared" si="30"/>
        <v>0</v>
      </c>
      <c r="L40" s="17">
        <f t="shared" si="30"/>
        <v>0</v>
      </c>
      <c r="M40" s="17">
        <f t="shared" si="30"/>
        <v>0</v>
      </c>
      <c r="N40" s="17">
        <f t="shared" si="30"/>
        <v>0</v>
      </c>
      <c r="O40" s="17">
        <f t="shared" si="30"/>
        <v>0</v>
      </c>
      <c r="P40" s="17">
        <f t="shared" si="30"/>
        <v>0</v>
      </c>
      <c r="Q40" s="17">
        <f t="shared" si="21"/>
        <v>0</v>
      </c>
    </row>
    <row r="41" spans="3:17" x14ac:dyDescent="0.25">
      <c r="C41" s="806"/>
      <c r="D41" s="325" t="s">
        <v>622</v>
      </c>
      <c r="E41" s="17">
        <f t="shared" ref="E41:P41" si="31">E217+E389</f>
        <v>0</v>
      </c>
      <c r="F41" s="17">
        <f t="shared" si="31"/>
        <v>0</v>
      </c>
      <c r="G41" s="17">
        <f t="shared" si="31"/>
        <v>0</v>
      </c>
      <c r="H41" s="17">
        <f t="shared" si="31"/>
        <v>0</v>
      </c>
      <c r="I41" s="17">
        <f t="shared" si="31"/>
        <v>0</v>
      </c>
      <c r="J41" s="17">
        <f t="shared" si="31"/>
        <v>0</v>
      </c>
      <c r="K41" s="17">
        <f t="shared" si="31"/>
        <v>0</v>
      </c>
      <c r="L41" s="17">
        <f t="shared" si="31"/>
        <v>0</v>
      </c>
      <c r="M41" s="17">
        <f t="shared" si="31"/>
        <v>0</v>
      </c>
      <c r="N41" s="17">
        <f t="shared" si="31"/>
        <v>0</v>
      </c>
      <c r="O41" s="17">
        <f t="shared" si="31"/>
        <v>0</v>
      </c>
      <c r="P41" s="17">
        <f t="shared" si="31"/>
        <v>0</v>
      </c>
      <c r="Q41" s="17">
        <f t="shared" si="21"/>
        <v>0</v>
      </c>
    </row>
    <row r="42" spans="3:17" x14ac:dyDescent="0.25">
      <c r="C42" s="806"/>
      <c r="D42" s="325"/>
      <c r="E42" s="17">
        <f t="shared" ref="E42:P42" si="32">E218+E390</f>
        <v>0</v>
      </c>
      <c r="F42" s="17">
        <f t="shared" si="32"/>
        <v>0</v>
      </c>
      <c r="G42" s="17">
        <f t="shared" si="32"/>
        <v>0</v>
      </c>
      <c r="H42" s="17">
        <f t="shared" si="32"/>
        <v>0</v>
      </c>
      <c r="I42" s="17">
        <f t="shared" si="32"/>
        <v>0</v>
      </c>
      <c r="J42" s="17">
        <f t="shared" si="32"/>
        <v>0</v>
      </c>
      <c r="K42" s="17">
        <f t="shared" si="32"/>
        <v>0</v>
      </c>
      <c r="L42" s="17">
        <f t="shared" si="32"/>
        <v>0</v>
      </c>
      <c r="M42" s="17">
        <f t="shared" si="32"/>
        <v>0</v>
      </c>
      <c r="N42" s="17">
        <f t="shared" si="32"/>
        <v>0</v>
      </c>
      <c r="O42" s="17">
        <f t="shared" si="32"/>
        <v>0</v>
      </c>
      <c r="P42" s="17">
        <f t="shared" si="32"/>
        <v>0</v>
      </c>
      <c r="Q42" s="17">
        <f t="shared" si="21"/>
        <v>0</v>
      </c>
    </row>
    <row r="43" spans="3:17" x14ac:dyDescent="0.25">
      <c r="C43" s="806"/>
      <c r="D43" s="17"/>
      <c r="E43" s="17">
        <f t="shared" ref="E43:P43" si="33">E219+E391</f>
        <v>0</v>
      </c>
      <c r="F43" s="17">
        <f t="shared" si="33"/>
        <v>0</v>
      </c>
      <c r="G43" s="17">
        <f t="shared" si="33"/>
        <v>0</v>
      </c>
      <c r="H43" s="17">
        <f t="shared" si="33"/>
        <v>0</v>
      </c>
      <c r="I43" s="17">
        <f t="shared" si="33"/>
        <v>0</v>
      </c>
      <c r="J43" s="17">
        <f t="shared" si="33"/>
        <v>0</v>
      </c>
      <c r="K43" s="17">
        <f t="shared" si="33"/>
        <v>0</v>
      </c>
      <c r="L43" s="17">
        <f t="shared" si="33"/>
        <v>0</v>
      </c>
      <c r="M43" s="17">
        <f t="shared" si="33"/>
        <v>0</v>
      </c>
      <c r="N43" s="17">
        <f t="shared" si="33"/>
        <v>0</v>
      </c>
      <c r="O43" s="17">
        <f t="shared" si="33"/>
        <v>0</v>
      </c>
      <c r="P43" s="17">
        <f t="shared" si="33"/>
        <v>0</v>
      </c>
      <c r="Q43" s="17">
        <f t="shared" si="21"/>
        <v>0</v>
      </c>
    </row>
    <row r="44" spans="3:17" x14ac:dyDescent="0.25">
      <c r="C44" s="806"/>
      <c r="D44" s="17"/>
      <c r="E44" s="17">
        <f t="shared" ref="E44:P44" si="34">E220+E392</f>
        <v>0</v>
      </c>
      <c r="F44" s="17">
        <f t="shared" si="34"/>
        <v>0</v>
      </c>
      <c r="G44" s="17">
        <f t="shared" si="34"/>
        <v>0</v>
      </c>
      <c r="H44" s="17">
        <f t="shared" si="34"/>
        <v>0</v>
      </c>
      <c r="I44" s="17">
        <f t="shared" si="34"/>
        <v>0</v>
      </c>
      <c r="J44" s="17">
        <f t="shared" si="34"/>
        <v>0</v>
      </c>
      <c r="K44" s="17">
        <f t="shared" si="34"/>
        <v>0</v>
      </c>
      <c r="L44" s="17">
        <f t="shared" si="34"/>
        <v>0</v>
      </c>
      <c r="M44" s="17">
        <f t="shared" si="34"/>
        <v>0</v>
      </c>
      <c r="N44" s="17">
        <f t="shared" si="34"/>
        <v>0</v>
      </c>
      <c r="O44" s="17">
        <f t="shared" si="34"/>
        <v>0</v>
      </c>
      <c r="P44" s="17">
        <f t="shared" si="34"/>
        <v>0</v>
      </c>
      <c r="Q44" s="17">
        <f t="shared" si="21"/>
        <v>0</v>
      </c>
    </row>
    <row r="45" spans="3:17" x14ac:dyDescent="0.25">
      <c r="C45" s="806"/>
      <c r="D45" s="17"/>
      <c r="E45" s="17">
        <f t="shared" ref="E45:P45" si="35">E221+E393</f>
        <v>0</v>
      </c>
      <c r="F45" s="17">
        <f t="shared" si="35"/>
        <v>0</v>
      </c>
      <c r="G45" s="17">
        <f t="shared" si="35"/>
        <v>0</v>
      </c>
      <c r="H45" s="17">
        <f t="shared" si="35"/>
        <v>0</v>
      </c>
      <c r="I45" s="17">
        <f t="shared" si="35"/>
        <v>0</v>
      </c>
      <c r="J45" s="17">
        <f t="shared" si="35"/>
        <v>0</v>
      </c>
      <c r="K45" s="17">
        <f t="shared" si="35"/>
        <v>0</v>
      </c>
      <c r="L45" s="17">
        <f t="shared" si="35"/>
        <v>0</v>
      </c>
      <c r="M45" s="17">
        <f t="shared" si="35"/>
        <v>0</v>
      </c>
      <c r="N45" s="17">
        <f t="shared" si="35"/>
        <v>0</v>
      </c>
      <c r="O45" s="17">
        <f t="shared" si="35"/>
        <v>0</v>
      </c>
      <c r="P45" s="17">
        <f t="shared" si="35"/>
        <v>0</v>
      </c>
      <c r="Q45" s="17">
        <f t="shared" si="21"/>
        <v>0</v>
      </c>
    </row>
    <row r="46" spans="3:17" x14ac:dyDescent="0.25">
      <c r="C46" s="806"/>
      <c r="D46" s="17"/>
      <c r="E46" s="17">
        <f t="shared" ref="E46:P46" si="36">E222+E394</f>
        <v>0</v>
      </c>
      <c r="F46" s="17">
        <f t="shared" si="36"/>
        <v>0</v>
      </c>
      <c r="G46" s="17">
        <f t="shared" si="36"/>
        <v>0</v>
      </c>
      <c r="H46" s="17">
        <f t="shared" si="36"/>
        <v>0</v>
      </c>
      <c r="I46" s="17">
        <f t="shared" si="36"/>
        <v>0</v>
      </c>
      <c r="J46" s="17">
        <f t="shared" si="36"/>
        <v>0</v>
      </c>
      <c r="K46" s="17">
        <f t="shared" si="36"/>
        <v>0</v>
      </c>
      <c r="L46" s="17">
        <f t="shared" si="36"/>
        <v>0</v>
      </c>
      <c r="M46" s="17">
        <f t="shared" si="36"/>
        <v>0</v>
      </c>
      <c r="N46" s="17">
        <f t="shared" si="36"/>
        <v>0</v>
      </c>
      <c r="O46" s="17">
        <f t="shared" si="36"/>
        <v>0</v>
      </c>
      <c r="P46" s="17">
        <f t="shared" si="36"/>
        <v>0</v>
      </c>
      <c r="Q46" s="17">
        <f t="shared" si="21"/>
        <v>0</v>
      </c>
    </row>
    <row r="47" spans="3:17" x14ac:dyDescent="0.25">
      <c r="C47" s="806"/>
      <c r="D47" s="17"/>
      <c r="E47" s="17">
        <f t="shared" ref="E47:P47" si="37">E223+E395</f>
        <v>0</v>
      </c>
      <c r="F47" s="17">
        <f t="shared" si="37"/>
        <v>0</v>
      </c>
      <c r="G47" s="17">
        <f t="shared" si="37"/>
        <v>0</v>
      </c>
      <c r="H47" s="17">
        <f t="shared" si="37"/>
        <v>0</v>
      </c>
      <c r="I47" s="17">
        <f t="shared" si="37"/>
        <v>0</v>
      </c>
      <c r="J47" s="17">
        <f t="shared" si="37"/>
        <v>0</v>
      </c>
      <c r="K47" s="17">
        <f t="shared" si="37"/>
        <v>0</v>
      </c>
      <c r="L47" s="17">
        <f t="shared" si="37"/>
        <v>0</v>
      </c>
      <c r="M47" s="17">
        <f t="shared" si="37"/>
        <v>0</v>
      </c>
      <c r="N47" s="17">
        <f t="shared" si="37"/>
        <v>0</v>
      </c>
      <c r="O47" s="17">
        <f t="shared" si="37"/>
        <v>0</v>
      </c>
      <c r="P47" s="17">
        <f t="shared" si="37"/>
        <v>0</v>
      </c>
      <c r="Q47" s="17">
        <f t="shared" si="21"/>
        <v>0</v>
      </c>
    </row>
    <row r="48" spans="3:17" x14ac:dyDescent="0.25">
      <c r="C48" s="807"/>
      <c r="D48" s="107"/>
      <c r="E48" s="17">
        <f t="shared" ref="E48:P48" si="38">E224+E396</f>
        <v>0</v>
      </c>
      <c r="F48" s="17">
        <f t="shared" si="38"/>
        <v>0</v>
      </c>
      <c r="G48" s="17">
        <f t="shared" si="38"/>
        <v>0</v>
      </c>
      <c r="H48" s="17">
        <f t="shared" si="38"/>
        <v>0</v>
      </c>
      <c r="I48" s="17">
        <f t="shared" si="38"/>
        <v>0</v>
      </c>
      <c r="J48" s="17">
        <f t="shared" si="38"/>
        <v>0</v>
      </c>
      <c r="K48" s="17">
        <f t="shared" si="38"/>
        <v>0</v>
      </c>
      <c r="L48" s="17">
        <f t="shared" si="38"/>
        <v>0</v>
      </c>
      <c r="M48" s="17">
        <f t="shared" si="38"/>
        <v>0</v>
      </c>
      <c r="N48" s="17">
        <f t="shared" si="38"/>
        <v>0</v>
      </c>
      <c r="O48" s="17">
        <f t="shared" si="38"/>
        <v>0</v>
      </c>
      <c r="P48" s="17">
        <f t="shared" si="38"/>
        <v>0</v>
      </c>
      <c r="Q48" s="17">
        <f t="shared" si="21"/>
        <v>0</v>
      </c>
    </row>
    <row r="49" spans="3:18" x14ac:dyDescent="0.25">
      <c r="C49" s="751" t="s">
        <v>212</v>
      </c>
      <c r="D49" s="752"/>
      <c r="E49" s="17">
        <f t="shared" ref="E49:P49" si="39">E225+E397</f>
        <v>17.441350425346496</v>
      </c>
      <c r="F49" s="17">
        <f t="shared" si="39"/>
        <v>18.689599686545865</v>
      </c>
      <c r="G49" s="17">
        <f t="shared" si="39"/>
        <v>19.363330305491356</v>
      </c>
      <c r="H49" s="17">
        <f t="shared" si="39"/>
        <v>42.332614636906534</v>
      </c>
      <c r="I49" s="17">
        <f t="shared" si="39"/>
        <v>99.389251303260039</v>
      </c>
      <c r="J49" s="17">
        <f t="shared" si="39"/>
        <v>50.198168166257304</v>
      </c>
      <c r="K49" s="17">
        <f t="shared" si="39"/>
        <v>55.331079133568068</v>
      </c>
      <c r="L49" s="17">
        <f t="shared" si="39"/>
        <v>18.977416466755429</v>
      </c>
      <c r="M49" s="17">
        <f t="shared" si="39"/>
        <v>32.555852648556247</v>
      </c>
      <c r="N49" s="17">
        <f t="shared" si="39"/>
        <v>62.121045312696253</v>
      </c>
      <c r="O49" s="17">
        <f t="shared" si="39"/>
        <v>57.784202217583292</v>
      </c>
      <c r="P49" s="17">
        <f t="shared" si="39"/>
        <v>25.915374697033144</v>
      </c>
      <c r="Q49" s="17">
        <f>Q225+Q397</f>
        <v>1037.608905</v>
      </c>
      <c r="R49" s="427"/>
    </row>
    <row r="50" spans="3:18" x14ac:dyDescent="0.25">
      <c r="C50" s="753" t="s">
        <v>368</v>
      </c>
      <c r="D50" s="754"/>
      <c r="E50" s="28">
        <f t="shared" ref="E50:Q50" si="40">E29+E49</f>
        <v>799.06918002390296</v>
      </c>
      <c r="F50" s="28">
        <f t="shared" si="40"/>
        <v>467.79318467199749</v>
      </c>
      <c r="G50" s="28">
        <f t="shared" si="40"/>
        <v>567.15498433758569</v>
      </c>
      <c r="H50" s="28">
        <f t="shared" si="40"/>
        <v>653.77560018856605</v>
      </c>
      <c r="I50" s="28">
        <f t="shared" si="40"/>
        <v>756.54181381941146</v>
      </c>
      <c r="J50" s="28">
        <f t="shared" si="40"/>
        <v>782.12593828800073</v>
      </c>
      <c r="K50" s="28">
        <f t="shared" si="40"/>
        <v>703.36986876092749</v>
      </c>
      <c r="L50" s="28">
        <f t="shared" si="40"/>
        <v>630.39143676432752</v>
      </c>
      <c r="M50" s="28">
        <f t="shared" si="40"/>
        <v>735.41018253963182</v>
      </c>
      <c r="N50" s="28">
        <f t="shared" si="40"/>
        <v>832.37789622310856</v>
      </c>
      <c r="O50" s="28">
        <f t="shared" si="40"/>
        <v>808.04859943057181</v>
      </c>
      <c r="P50" s="28">
        <f t="shared" si="40"/>
        <v>906.54875379691941</v>
      </c>
      <c r="Q50" s="28">
        <f t="shared" si="40"/>
        <v>9180.1170588449513</v>
      </c>
    </row>
    <row r="51" spans="3:18" x14ac:dyDescent="0.25">
      <c r="C51" s="800" t="s">
        <v>369</v>
      </c>
      <c r="D51" s="801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</row>
    <row r="52" spans="3:18" x14ac:dyDescent="0.25">
      <c r="C52" s="753" t="s">
        <v>349</v>
      </c>
      <c r="D52" s="754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</row>
    <row r="53" spans="3:18" ht="15" customHeight="1" x14ac:dyDescent="0.25">
      <c r="C53" s="805" t="s">
        <v>370</v>
      </c>
      <c r="D53" s="17" t="s">
        <v>371</v>
      </c>
      <c r="E53" s="66">
        <f t="shared" ref="E53:P53" si="41">E229+E401</f>
        <v>22.655683386882025</v>
      </c>
      <c r="F53" s="66">
        <f t="shared" si="41"/>
        <v>29.043381169200963</v>
      </c>
      <c r="G53" s="66">
        <f t="shared" si="41"/>
        <v>29.556428900159492</v>
      </c>
      <c r="H53" s="66">
        <f t="shared" si="41"/>
        <v>21.655795115188369</v>
      </c>
      <c r="I53" s="66">
        <f t="shared" si="41"/>
        <v>18.560529960787171</v>
      </c>
      <c r="J53" s="66">
        <f t="shared" si="41"/>
        <v>19.771397761497184</v>
      </c>
      <c r="K53" s="66">
        <f t="shared" si="41"/>
        <v>18.387603336429663</v>
      </c>
      <c r="L53" s="66">
        <f t="shared" si="41"/>
        <v>27.63987741304117</v>
      </c>
      <c r="M53" s="66">
        <f t="shared" si="41"/>
        <v>17.092183882437624</v>
      </c>
      <c r="N53" s="66">
        <f t="shared" si="41"/>
        <v>18.081655787079157</v>
      </c>
      <c r="O53" s="66">
        <f t="shared" si="41"/>
        <v>23.133650723011751</v>
      </c>
      <c r="P53" s="66">
        <f t="shared" si="41"/>
        <v>29.190508677144074</v>
      </c>
      <c r="Q53" s="66">
        <f t="shared" ref="Q53:Q79" si="42">SUM(E53:P53)</f>
        <v>274.76869611285866</v>
      </c>
    </row>
    <row r="54" spans="3:18" x14ac:dyDescent="0.25">
      <c r="C54" s="806"/>
      <c r="D54" s="17" t="s">
        <v>372</v>
      </c>
      <c r="E54" s="66">
        <f t="shared" ref="E54:P54" si="43">E230+E402</f>
        <v>6.048553011795434</v>
      </c>
      <c r="F54" s="66">
        <f t="shared" si="43"/>
        <v>7.3531428770846494</v>
      </c>
      <c r="G54" s="66">
        <f t="shared" si="43"/>
        <v>7.1159447197593373</v>
      </c>
      <c r="H54" s="66">
        <f t="shared" si="43"/>
        <v>0</v>
      </c>
      <c r="I54" s="66">
        <f t="shared" si="43"/>
        <v>2.2978571490889488</v>
      </c>
      <c r="J54" s="66">
        <f t="shared" si="43"/>
        <v>5.022407235068381</v>
      </c>
      <c r="K54" s="66">
        <f t="shared" si="43"/>
        <v>4.4118857262507802</v>
      </c>
      <c r="L54" s="66">
        <f t="shared" si="43"/>
        <v>7.1159447197593373</v>
      </c>
      <c r="M54" s="66">
        <f t="shared" si="43"/>
        <v>5.7810815398042692</v>
      </c>
      <c r="N54" s="66">
        <f t="shared" si="43"/>
        <v>5.8825143016677153</v>
      </c>
      <c r="O54" s="66">
        <f t="shared" si="43"/>
        <v>5.846934578068919</v>
      </c>
      <c r="P54" s="66">
        <f t="shared" si="43"/>
        <v>7.0732190353511708</v>
      </c>
      <c r="Q54" s="66">
        <f t="shared" si="42"/>
        <v>63.949484893698944</v>
      </c>
    </row>
    <row r="55" spans="3:18" ht="14.25" customHeight="1" x14ac:dyDescent="0.25">
      <c r="C55" s="806"/>
      <c r="D55" s="17" t="s">
        <v>373</v>
      </c>
      <c r="E55" s="66">
        <f t="shared" ref="E55:P55" si="44">E231+E403</f>
        <v>12.552203764024114</v>
      </c>
      <c r="F55" s="66">
        <f t="shared" si="44"/>
        <v>12.465262092931312</v>
      </c>
      <c r="G55" s="66">
        <f t="shared" si="44"/>
        <v>12.06315686412707</v>
      </c>
      <c r="H55" s="66">
        <f t="shared" si="44"/>
        <v>13.475959019385201</v>
      </c>
      <c r="I55" s="66">
        <f t="shared" si="44"/>
        <v>12.674751396607814</v>
      </c>
      <c r="J55" s="66">
        <f t="shared" si="44"/>
        <v>13.041250663921161</v>
      </c>
      <c r="K55" s="66">
        <f t="shared" si="44"/>
        <v>11.959913629704365</v>
      </c>
      <c r="L55" s="66">
        <f t="shared" si="44"/>
        <v>8.9629857989604744</v>
      </c>
      <c r="M55" s="66">
        <f t="shared" si="44"/>
        <v>7.8098583227604266</v>
      </c>
      <c r="N55" s="66">
        <f t="shared" si="44"/>
        <v>11.081008852709186</v>
      </c>
      <c r="O55" s="66">
        <f t="shared" si="44"/>
        <v>12.60654230845712</v>
      </c>
      <c r="P55" s="66">
        <f t="shared" si="44"/>
        <v>13.475959019385201</v>
      </c>
      <c r="Q55" s="66">
        <f t="shared" si="42"/>
        <v>142.16885173297345</v>
      </c>
    </row>
    <row r="56" spans="3:18" x14ac:dyDescent="0.25">
      <c r="C56" s="806"/>
      <c r="D56" s="17" t="s">
        <v>374</v>
      </c>
      <c r="E56" s="66">
        <f t="shared" ref="E56:P56" si="45">E232+E404</f>
        <v>39.621447510855148</v>
      </c>
      <c r="F56" s="66">
        <f t="shared" si="45"/>
        <v>51.177703034854559</v>
      </c>
      <c r="G56" s="66">
        <f t="shared" si="45"/>
        <v>49.526809388568935</v>
      </c>
      <c r="H56" s="66">
        <f t="shared" si="45"/>
        <v>33.503019621830504</v>
      </c>
      <c r="I56" s="66">
        <f t="shared" si="45"/>
        <v>30.706621820912744</v>
      </c>
      <c r="J56" s="66">
        <f t="shared" si="45"/>
        <v>32.192426102569819</v>
      </c>
      <c r="K56" s="66">
        <f t="shared" si="45"/>
        <v>30.706621820912744</v>
      </c>
      <c r="L56" s="66">
        <f t="shared" si="45"/>
        <v>0</v>
      </c>
      <c r="M56" s="66">
        <f t="shared" si="45"/>
        <v>17.272474774263415</v>
      </c>
      <c r="N56" s="66">
        <f t="shared" si="45"/>
        <v>34.54494954852683</v>
      </c>
      <c r="O56" s="66">
        <f t="shared" si="45"/>
        <v>40.694528380940824</v>
      </c>
      <c r="P56" s="66">
        <f t="shared" si="45"/>
        <v>45.34397511311365</v>
      </c>
      <c r="Q56" s="66">
        <f t="shared" si="42"/>
        <v>405.29057711734913</v>
      </c>
    </row>
    <row r="57" spans="3:18" x14ac:dyDescent="0.25">
      <c r="C57" s="806"/>
      <c r="D57" s="17" t="s">
        <v>375</v>
      </c>
      <c r="E57" s="66">
        <f t="shared" ref="E57:P57" si="46">E233+E405</f>
        <v>24.663147010582701</v>
      </c>
      <c r="F57" s="66">
        <f t="shared" si="46"/>
        <v>31.62054376607529</v>
      </c>
      <c r="G57" s="66">
        <f t="shared" si="46"/>
        <v>0.2289830881448438</v>
      </c>
      <c r="H57" s="66">
        <f t="shared" si="46"/>
        <v>11.216029325420482</v>
      </c>
      <c r="I57" s="66">
        <f t="shared" si="46"/>
        <v>19.063919494903107</v>
      </c>
      <c r="J57" s="66">
        <f t="shared" si="46"/>
        <v>19.975287385552697</v>
      </c>
      <c r="K57" s="66">
        <f t="shared" si="46"/>
        <v>19.063919494903107</v>
      </c>
      <c r="L57" s="66">
        <f t="shared" si="46"/>
        <v>26.692572741615102</v>
      </c>
      <c r="M57" s="66">
        <f t="shared" si="46"/>
        <v>21.97526336366105</v>
      </c>
      <c r="N57" s="66">
        <f t="shared" si="46"/>
        <v>21.847006611174947</v>
      </c>
      <c r="O57" s="66">
        <f t="shared" si="46"/>
        <v>25.190336982047594</v>
      </c>
      <c r="P57" s="66">
        <f t="shared" si="46"/>
        <v>29.004090735408674</v>
      </c>
      <c r="Q57" s="66">
        <f t="shared" si="42"/>
        <v>250.54109999948957</v>
      </c>
    </row>
    <row r="58" spans="3:18" ht="14.25" customHeight="1" x14ac:dyDescent="0.25">
      <c r="C58" s="806"/>
      <c r="D58" s="17" t="s">
        <v>376</v>
      </c>
      <c r="E58" s="66">
        <f t="shared" ref="E58:P58" si="47">E234+E406</f>
        <v>28.81096542432498</v>
      </c>
      <c r="F58" s="66">
        <f t="shared" si="47"/>
        <v>37.214163673086318</v>
      </c>
      <c r="G58" s="66">
        <f t="shared" si="47"/>
        <v>23.791183715919772</v>
      </c>
      <c r="H58" s="66">
        <f t="shared" si="47"/>
        <v>20.084475725016109</v>
      </c>
      <c r="I58" s="66">
        <f t="shared" si="47"/>
        <v>22.328498203851815</v>
      </c>
      <c r="J58" s="66">
        <f t="shared" si="47"/>
        <v>23.335257218904481</v>
      </c>
      <c r="K58" s="66">
        <f t="shared" si="47"/>
        <v>22.328498203851815</v>
      </c>
      <c r="L58" s="66">
        <f t="shared" si="47"/>
        <v>18.509347619516269</v>
      </c>
      <c r="M58" s="66">
        <f t="shared" si="47"/>
        <v>20.169692617238027</v>
      </c>
      <c r="N58" s="66">
        <f t="shared" si="47"/>
        <v>24.419806970843901</v>
      </c>
      <c r="O58" s="66">
        <f t="shared" si="47"/>
        <v>29.520637743955326</v>
      </c>
      <c r="P58" s="66">
        <f t="shared" si="47"/>
        <v>32.562393213950649</v>
      </c>
      <c r="Q58" s="66">
        <f t="shared" si="42"/>
        <v>303.07492033045946</v>
      </c>
    </row>
    <row r="59" spans="3:18" x14ac:dyDescent="0.25">
      <c r="C59" s="806"/>
      <c r="D59" s="17" t="s">
        <v>377</v>
      </c>
      <c r="E59" s="66">
        <f t="shared" ref="E59:P59" si="48">E235+E407</f>
        <v>2.5618141177188676</v>
      </c>
      <c r="F59" s="66">
        <f t="shared" si="48"/>
        <v>3.3090099020535342</v>
      </c>
      <c r="G59" s="66">
        <f t="shared" si="48"/>
        <v>3.2022676471485831</v>
      </c>
      <c r="H59" s="66">
        <f t="shared" si="48"/>
        <v>2.1508564363348013</v>
      </c>
      <c r="I59" s="66">
        <f t="shared" si="48"/>
        <v>1.9854059412321245</v>
      </c>
      <c r="J59" s="66">
        <f t="shared" si="48"/>
        <v>2.0814739706465817</v>
      </c>
      <c r="K59" s="66">
        <f t="shared" si="48"/>
        <v>1.9854059412321245</v>
      </c>
      <c r="L59" s="66">
        <f t="shared" si="48"/>
        <v>2.5618141177188676</v>
      </c>
      <c r="M59" s="66">
        <f t="shared" si="48"/>
        <v>2.2335816838861389</v>
      </c>
      <c r="N59" s="66">
        <f t="shared" si="48"/>
        <v>2.2335816838861389</v>
      </c>
      <c r="O59" s="66">
        <f t="shared" si="48"/>
        <v>2.6311965834070863</v>
      </c>
      <c r="P59" s="66">
        <f t="shared" si="48"/>
        <v>2.8953836642968445</v>
      </c>
      <c r="Q59" s="66">
        <f t="shared" si="42"/>
        <v>29.831791689561694</v>
      </c>
    </row>
    <row r="60" spans="3:18" x14ac:dyDescent="0.25">
      <c r="C60" s="806"/>
      <c r="D60" s="17" t="s">
        <v>378</v>
      </c>
      <c r="E60" s="66">
        <f t="shared" ref="E60:P60" si="49">E236+E408</f>
        <v>14.450842585148754</v>
      </c>
      <c r="F60" s="66">
        <f t="shared" si="49"/>
        <v>19.100807394663093</v>
      </c>
      <c r="G60" s="66">
        <f t="shared" si="49"/>
        <v>18.484652317415897</v>
      </c>
      <c r="H60" s="66">
        <f t="shared" si="49"/>
        <v>12.415524806531012</v>
      </c>
      <c r="I60" s="66">
        <f t="shared" si="49"/>
        <v>11.460484436797856</v>
      </c>
      <c r="J60" s="66">
        <f t="shared" si="49"/>
        <v>11.552907698384933</v>
      </c>
      <c r="K60" s="66">
        <f t="shared" si="49"/>
        <v>11.460484436797856</v>
      </c>
      <c r="L60" s="66">
        <f t="shared" si="49"/>
        <v>13.863489238061925</v>
      </c>
      <c r="M60" s="66">
        <f t="shared" si="49"/>
        <v>12.415524806531012</v>
      </c>
      <c r="N60" s="66">
        <f t="shared" si="49"/>
        <v>12.415524806531012</v>
      </c>
      <c r="O60" s="66">
        <f t="shared" si="49"/>
        <v>14.741510223139178</v>
      </c>
      <c r="P60" s="66">
        <f t="shared" si="49"/>
        <v>16.71320647033021</v>
      </c>
      <c r="Q60" s="66">
        <f t="shared" si="42"/>
        <v>169.07495922033277</v>
      </c>
    </row>
    <row r="61" spans="3:18" x14ac:dyDescent="0.25">
      <c r="C61" s="807"/>
      <c r="D61" s="17" t="s">
        <v>379</v>
      </c>
      <c r="E61" s="66">
        <f t="shared" ref="E61:P61" si="50">E237+E409</f>
        <v>70.548921839186221</v>
      </c>
      <c r="F61" s="66">
        <f t="shared" si="50"/>
        <v>72.757587972871022</v>
      </c>
      <c r="G61" s="66">
        <f t="shared" si="50"/>
        <v>70.578804065010544</v>
      </c>
      <c r="H61" s="66">
        <f t="shared" si="50"/>
        <v>72.377548418110294</v>
      </c>
      <c r="I61" s="66">
        <f t="shared" si="50"/>
        <v>59.38764286165808</v>
      </c>
      <c r="J61" s="66">
        <f t="shared" si="50"/>
        <v>64.175626333617672</v>
      </c>
      <c r="K61" s="66">
        <f t="shared" si="50"/>
        <v>56.461657216972327</v>
      </c>
      <c r="L61" s="66">
        <f t="shared" si="50"/>
        <v>70.578804065010573</v>
      </c>
      <c r="M61" s="66">
        <f t="shared" si="50"/>
        <v>69.849821112226465</v>
      </c>
      <c r="N61" s="66">
        <f t="shared" si="50"/>
        <v>63.350525000408879</v>
      </c>
      <c r="O61" s="66">
        <f t="shared" si="50"/>
        <v>62.46058481809623</v>
      </c>
      <c r="P61" s="66">
        <f t="shared" si="50"/>
        <v>77.553845499604321</v>
      </c>
      <c r="Q61" s="66">
        <f t="shared" si="42"/>
        <v>810.08136920277263</v>
      </c>
    </row>
    <row r="62" spans="3:18" x14ac:dyDescent="0.25">
      <c r="C62" s="17"/>
      <c r="D62" s="17" t="s">
        <v>451</v>
      </c>
      <c r="E62" s="66">
        <f t="shared" ref="E62:P62" si="51">E238+E410</f>
        <v>69.820373156783091</v>
      </c>
      <c r="F62" s="66">
        <f t="shared" si="51"/>
        <v>71.398103295648554</v>
      </c>
      <c r="G62" s="66">
        <f t="shared" si="51"/>
        <v>70.579315527936032</v>
      </c>
      <c r="H62" s="66">
        <f t="shared" si="51"/>
        <v>69.379555138409557</v>
      </c>
      <c r="I62" s="66">
        <f t="shared" si="51"/>
        <v>58.133413813033748</v>
      </c>
      <c r="J62" s="66">
        <f t="shared" si="51"/>
        <v>60.767674581294564</v>
      </c>
      <c r="K62" s="66">
        <f t="shared" si="51"/>
        <v>56.156617511916437</v>
      </c>
      <c r="L62" s="66">
        <f t="shared" si="51"/>
        <v>71.327287685346732</v>
      </c>
      <c r="M62" s="66">
        <f t="shared" si="51"/>
        <v>68.863843073881512</v>
      </c>
      <c r="N62" s="66">
        <f t="shared" si="51"/>
        <v>62.804848851581134</v>
      </c>
      <c r="O62" s="66">
        <f t="shared" si="51"/>
        <v>63.122975252055681</v>
      </c>
      <c r="P62" s="66">
        <f t="shared" si="51"/>
        <v>75.696317728040142</v>
      </c>
      <c r="Q62" s="66">
        <f t="shared" si="42"/>
        <v>798.05032561592725</v>
      </c>
    </row>
    <row r="63" spans="3:18" x14ac:dyDescent="0.25">
      <c r="C63" s="17"/>
      <c r="D63" s="17" t="s">
        <v>380</v>
      </c>
      <c r="E63" s="66">
        <f t="shared" ref="E63:P63" si="52">E239+E411</f>
        <v>0.50268577549502913</v>
      </c>
      <c r="F63" s="66">
        <f t="shared" si="52"/>
        <v>0.67024770066006623</v>
      </c>
      <c r="G63" s="66">
        <f t="shared" si="52"/>
        <v>0.64862680709034171</v>
      </c>
      <c r="H63" s="66">
        <f t="shared" si="52"/>
        <v>0.4356610054290358</v>
      </c>
      <c r="I63" s="66">
        <f t="shared" si="52"/>
        <v>0.40214862039603805</v>
      </c>
      <c r="J63" s="66">
        <f t="shared" si="52"/>
        <v>0.40539175443148723</v>
      </c>
      <c r="K63" s="66">
        <f t="shared" si="52"/>
        <v>0.40214862039603805</v>
      </c>
      <c r="L63" s="66">
        <f t="shared" si="52"/>
        <v>0.48647010531777218</v>
      </c>
      <c r="M63" s="66">
        <f t="shared" si="52"/>
        <v>0.4356610054290358</v>
      </c>
      <c r="N63" s="66">
        <f t="shared" si="52"/>
        <v>0.4356610054290358</v>
      </c>
      <c r="O63" s="66">
        <f t="shared" si="52"/>
        <v>0.51727987865455827</v>
      </c>
      <c r="P63" s="66">
        <f t="shared" si="52"/>
        <v>0.58646673807752558</v>
      </c>
      <c r="Q63" s="66">
        <f t="shared" si="42"/>
        <v>5.9284490168059643</v>
      </c>
    </row>
    <row r="64" spans="3:18" x14ac:dyDescent="0.25">
      <c r="C64" s="17"/>
      <c r="D64" s="17" t="s">
        <v>381</v>
      </c>
      <c r="E64" s="66">
        <f t="shared" ref="E64:P64" si="53">E240+E412</f>
        <v>0.42648466963275744</v>
      </c>
      <c r="F64" s="66">
        <f t="shared" si="53"/>
        <v>0.44070082528718285</v>
      </c>
      <c r="G64" s="66">
        <f t="shared" si="53"/>
        <v>0.42648466963275744</v>
      </c>
      <c r="H64" s="66">
        <f t="shared" si="53"/>
        <v>0.45001140610310919</v>
      </c>
      <c r="I64" s="66">
        <f t="shared" si="53"/>
        <v>0.37552675957569814</v>
      </c>
      <c r="J64" s="66">
        <f t="shared" si="53"/>
        <v>0.40846419063419032</v>
      </c>
      <c r="K64" s="66">
        <f t="shared" si="53"/>
        <v>0.34759501712791885</v>
      </c>
      <c r="L64" s="66">
        <f t="shared" si="53"/>
        <v>0.42648466963275744</v>
      </c>
      <c r="M64" s="66">
        <f t="shared" si="53"/>
        <v>0.44070082528718285</v>
      </c>
      <c r="N64" s="66">
        <f t="shared" si="53"/>
        <v>0.40345850202347722</v>
      </c>
      <c r="O64" s="66">
        <f t="shared" si="53"/>
        <v>0.40355861579569147</v>
      </c>
      <c r="P64" s="66">
        <f t="shared" si="53"/>
        <v>0.49656431018274122</v>
      </c>
      <c r="Q64" s="66">
        <f t="shared" si="42"/>
        <v>5.0460344609154637</v>
      </c>
    </row>
    <row r="65" spans="3:17" x14ac:dyDescent="0.25">
      <c r="C65" s="17"/>
      <c r="D65" s="17" t="s">
        <v>382</v>
      </c>
      <c r="E65" s="66">
        <f t="shared" ref="E65:P65" si="54">E241+E413</f>
        <v>4.99425601750541E-2</v>
      </c>
      <c r="F65" s="66">
        <f t="shared" si="54"/>
        <v>6.6590080233408191E-2</v>
      </c>
      <c r="G65" s="66">
        <f t="shared" si="54"/>
        <v>6.4442013129100237E-2</v>
      </c>
      <c r="H65" s="66">
        <f t="shared" si="54"/>
        <v>4.3283552151714595E-2</v>
      </c>
      <c r="I65" s="66">
        <f t="shared" si="54"/>
        <v>3.9954048140044746E-2</v>
      </c>
      <c r="J65" s="66">
        <f t="shared" si="54"/>
        <v>4.0276258205689988E-2</v>
      </c>
      <c r="K65" s="66">
        <f t="shared" si="54"/>
        <v>3.9954048140044746E-2</v>
      </c>
      <c r="L65" s="66">
        <f t="shared" si="54"/>
        <v>4.8331509846826756E-2</v>
      </c>
      <c r="M65" s="66">
        <f t="shared" si="54"/>
        <v>4.3283552151714595E-2</v>
      </c>
      <c r="N65" s="66">
        <f t="shared" si="54"/>
        <v>4.3283552151714595E-2</v>
      </c>
      <c r="O65" s="66">
        <f t="shared" si="54"/>
        <v>5.1392505470458504E-2</v>
      </c>
      <c r="P65" s="66">
        <f t="shared" si="54"/>
        <v>5.826632020422895E-2</v>
      </c>
      <c r="Q65" s="66">
        <f t="shared" si="42"/>
        <v>0.58899999999999997</v>
      </c>
    </row>
    <row r="66" spans="3:17" x14ac:dyDescent="0.25">
      <c r="C66" s="17"/>
      <c r="D66" s="17" t="s">
        <v>383</v>
      </c>
      <c r="E66" s="66">
        <f t="shared" ref="E66:P66" si="55">E242+E414</f>
        <v>2.9988231750653309</v>
      </c>
      <c r="F66" s="66">
        <f t="shared" si="55"/>
        <v>3.098783947567509</v>
      </c>
      <c r="G66" s="66">
        <f t="shared" si="55"/>
        <v>2.9988231750653309</v>
      </c>
      <c r="H66" s="66">
        <f t="shared" si="55"/>
        <v>3.2951857470612245</v>
      </c>
      <c r="I66" s="66">
        <f t="shared" si="55"/>
        <v>2.6405130820821738</v>
      </c>
      <c r="J66" s="66">
        <f t="shared" si="55"/>
        <v>2.9988231750653309</v>
      </c>
      <c r="K66" s="66">
        <f t="shared" si="55"/>
        <v>2.5750458155842688</v>
      </c>
      <c r="L66" s="66">
        <f t="shared" si="55"/>
        <v>2.9988231750653309</v>
      </c>
      <c r="M66" s="66">
        <f t="shared" si="55"/>
        <v>3.098783947567509</v>
      </c>
      <c r="N66" s="66">
        <f t="shared" si="55"/>
        <v>3.0333166810696039</v>
      </c>
      <c r="O66" s="66">
        <f t="shared" si="55"/>
        <v>2.8988624025631546</v>
      </c>
      <c r="P66" s="66">
        <f t="shared" si="55"/>
        <v>3.49158754655494</v>
      </c>
      <c r="Q66" s="66">
        <f t="shared" si="42"/>
        <v>36.127371870311705</v>
      </c>
    </row>
    <row r="67" spans="3:17" x14ac:dyDescent="0.25">
      <c r="C67" s="17"/>
      <c r="D67" s="17" t="s">
        <v>384</v>
      </c>
      <c r="E67" s="66">
        <f t="shared" ref="E67:P67" si="56">E243+E415</f>
        <v>1.9067527912550415</v>
      </c>
      <c r="F67" s="66">
        <f t="shared" si="56"/>
        <v>1.9703112176302096</v>
      </c>
      <c r="G67" s="66">
        <f t="shared" si="56"/>
        <v>1.9067527912550415</v>
      </c>
      <c r="H67" s="66">
        <f t="shared" si="56"/>
        <v>2.0951900976208568</v>
      </c>
      <c r="I67" s="66">
        <f t="shared" si="56"/>
        <v>1.6789271643187003</v>
      </c>
      <c r="J67" s="66">
        <f t="shared" si="56"/>
        <v>1.9067527912550415</v>
      </c>
      <c r="K67" s="66">
        <f t="shared" si="56"/>
        <v>1.6373008709884846</v>
      </c>
      <c r="L67" s="66">
        <f t="shared" si="56"/>
        <v>1.9067527912550415</v>
      </c>
      <c r="M67" s="66">
        <f t="shared" si="56"/>
        <v>1.9703112176302096</v>
      </c>
      <c r="N67" s="66">
        <f t="shared" si="56"/>
        <v>1.9286849242999939</v>
      </c>
      <c r="O67" s="66">
        <f t="shared" si="56"/>
        <v>1.8431943648798739</v>
      </c>
      <c r="P67" s="66">
        <f t="shared" si="56"/>
        <v>2.2200689776115037</v>
      </c>
      <c r="Q67" s="66">
        <f t="shared" si="42"/>
        <v>22.971</v>
      </c>
    </row>
    <row r="68" spans="3:17" x14ac:dyDescent="0.25">
      <c r="C68" s="17"/>
      <c r="D68" s="17" t="s">
        <v>379</v>
      </c>
      <c r="E68" s="66">
        <f t="shared" ref="E68:P68" si="57">E244+E416</f>
        <v>9.3382565546086216</v>
      </c>
      <c r="F68" s="66">
        <f t="shared" si="57"/>
        <v>7.3301801128376951</v>
      </c>
      <c r="G68" s="66">
        <f t="shared" si="57"/>
        <v>9.152424602123352</v>
      </c>
      <c r="H68" s="66">
        <f t="shared" si="57"/>
        <v>8.5539283965697557</v>
      </c>
      <c r="I68" s="66">
        <f t="shared" si="57"/>
        <v>7.2449698787531407</v>
      </c>
      <c r="J68" s="66">
        <f t="shared" si="57"/>
        <v>7.7532180090424472</v>
      </c>
      <c r="K68" s="66">
        <f t="shared" si="57"/>
        <v>7.2913715052993293</v>
      </c>
      <c r="L68" s="66">
        <f t="shared" si="57"/>
        <v>10.176147597522279</v>
      </c>
      <c r="M68" s="66">
        <f t="shared" si="57"/>
        <v>8.6394066718133722</v>
      </c>
      <c r="N68" s="66">
        <f t="shared" si="57"/>
        <v>8.5455540846358833</v>
      </c>
      <c r="O68" s="66">
        <f t="shared" si="57"/>
        <v>9.3698445994640736</v>
      </c>
      <c r="P68" s="66">
        <f t="shared" si="57"/>
        <v>10.851812720266793</v>
      </c>
      <c r="Q68" s="66">
        <f t="shared" si="42"/>
        <v>104.24711473293674</v>
      </c>
    </row>
    <row r="69" spans="3:17" x14ac:dyDescent="0.25">
      <c r="C69" s="17"/>
      <c r="D69" s="17" t="s">
        <v>385</v>
      </c>
      <c r="E69" s="66">
        <f t="shared" ref="E69:P69" si="58">E245+E417</f>
        <v>7.7505325637652707</v>
      </c>
      <c r="F69" s="66">
        <f t="shared" si="58"/>
        <v>0</v>
      </c>
      <c r="G69" s="66">
        <f t="shared" si="58"/>
        <v>4.355671192859818</v>
      </c>
      <c r="H69" s="66">
        <f t="shared" si="58"/>
        <v>7.413181559612414</v>
      </c>
      <c r="I69" s="66">
        <f t="shared" si="58"/>
        <v>6.023210017185086</v>
      </c>
      <c r="J69" s="66">
        <f t="shared" si="58"/>
        <v>6.6482757564945869</v>
      </c>
      <c r="K69" s="66">
        <f t="shared" si="58"/>
        <v>6.1213836414691363</v>
      </c>
      <c r="L69" s="66">
        <f t="shared" si="58"/>
        <v>8.9035043501105324</v>
      </c>
      <c r="M69" s="66">
        <f t="shared" si="58"/>
        <v>7.810316286020206</v>
      </c>
      <c r="N69" s="66">
        <f t="shared" si="58"/>
        <v>7.6117489228163056</v>
      </c>
      <c r="O69" s="66">
        <f t="shared" si="58"/>
        <v>7.4921814783064251</v>
      </c>
      <c r="P69" s="66">
        <f t="shared" si="58"/>
        <v>9.001720465243622</v>
      </c>
      <c r="Q69" s="66">
        <f t="shared" si="42"/>
        <v>79.131726233883398</v>
      </c>
    </row>
    <row r="70" spans="3:17" x14ac:dyDescent="0.25">
      <c r="C70" s="17"/>
      <c r="D70" s="17"/>
      <c r="E70" s="66">
        <f t="shared" ref="E70:P70" si="59">E246+E419</f>
        <v>0</v>
      </c>
      <c r="F70" s="66">
        <f t="shared" si="59"/>
        <v>0</v>
      </c>
      <c r="G70" s="66">
        <f t="shared" si="59"/>
        <v>0</v>
      </c>
      <c r="H70" s="66">
        <f t="shared" si="59"/>
        <v>0</v>
      </c>
      <c r="I70" s="66">
        <f t="shared" si="59"/>
        <v>0</v>
      </c>
      <c r="J70" s="66">
        <f t="shared" si="59"/>
        <v>0</v>
      </c>
      <c r="K70" s="66">
        <f t="shared" si="59"/>
        <v>0</v>
      </c>
      <c r="L70" s="66">
        <f t="shared" si="59"/>
        <v>0</v>
      </c>
      <c r="M70" s="66">
        <f t="shared" si="59"/>
        <v>0</v>
      </c>
      <c r="N70" s="66">
        <f t="shared" si="59"/>
        <v>0</v>
      </c>
      <c r="O70" s="66">
        <f t="shared" si="59"/>
        <v>0</v>
      </c>
      <c r="P70" s="66">
        <f t="shared" si="59"/>
        <v>0</v>
      </c>
      <c r="Q70" s="66">
        <f t="shared" si="42"/>
        <v>0</v>
      </c>
    </row>
    <row r="71" spans="3:17" x14ac:dyDescent="0.25">
      <c r="C71" s="17"/>
      <c r="D71" s="17"/>
      <c r="E71" s="66">
        <f t="shared" ref="E71:P71" si="60">E247+E420</f>
        <v>0</v>
      </c>
      <c r="F71" s="66">
        <f t="shared" si="60"/>
        <v>0</v>
      </c>
      <c r="G71" s="66">
        <f t="shared" si="60"/>
        <v>0</v>
      </c>
      <c r="H71" s="66">
        <f t="shared" si="60"/>
        <v>0</v>
      </c>
      <c r="I71" s="66">
        <f t="shared" si="60"/>
        <v>0</v>
      </c>
      <c r="J71" s="66">
        <f t="shared" si="60"/>
        <v>0</v>
      </c>
      <c r="K71" s="66">
        <f t="shared" si="60"/>
        <v>0</v>
      </c>
      <c r="L71" s="66">
        <f t="shared" si="60"/>
        <v>0</v>
      </c>
      <c r="M71" s="66">
        <f t="shared" si="60"/>
        <v>0</v>
      </c>
      <c r="N71" s="66">
        <f t="shared" si="60"/>
        <v>0</v>
      </c>
      <c r="O71" s="66">
        <f t="shared" si="60"/>
        <v>0</v>
      </c>
      <c r="P71" s="66">
        <f t="shared" si="60"/>
        <v>0</v>
      </c>
      <c r="Q71" s="66">
        <f t="shared" si="42"/>
        <v>0</v>
      </c>
    </row>
    <row r="72" spans="3:17" x14ac:dyDescent="0.25">
      <c r="C72" s="17"/>
      <c r="D72" s="17"/>
      <c r="E72" s="66">
        <f t="shared" ref="E72:P72" si="61">E248+E421</f>
        <v>0</v>
      </c>
      <c r="F72" s="66">
        <f t="shared" si="61"/>
        <v>0</v>
      </c>
      <c r="G72" s="66">
        <f t="shared" si="61"/>
        <v>0</v>
      </c>
      <c r="H72" s="66">
        <f t="shared" si="61"/>
        <v>0</v>
      </c>
      <c r="I72" s="66">
        <f t="shared" si="61"/>
        <v>0</v>
      </c>
      <c r="J72" s="66">
        <f t="shared" si="61"/>
        <v>0</v>
      </c>
      <c r="K72" s="66">
        <f t="shared" si="61"/>
        <v>0</v>
      </c>
      <c r="L72" s="66">
        <f t="shared" si="61"/>
        <v>0</v>
      </c>
      <c r="M72" s="66">
        <f t="shared" si="61"/>
        <v>0</v>
      </c>
      <c r="N72" s="66">
        <f t="shared" si="61"/>
        <v>0</v>
      </c>
      <c r="O72" s="66">
        <f t="shared" si="61"/>
        <v>0</v>
      </c>
      <c r="P72" s="66">
        <f t="shared" si="61"/>
        <v>0</v>
      </c>
      <c r="Q72" s="66">
        <f t="shared" si="42"/>
        <v>0</v>
      </c>
    </row>
    <row r="73" spans="3:17" x14ac:dyDescent="0.25">
      <c r="C73" s="17"/>
      <c r="D73" s="17"/>
      <c r="E73" s="66">
        <f t="shared" ref="E73:P73" si="62">E249+E422</f>
        <v>0</v>
      </c>
      <c r="F73" s="66">
        <f t="shared" si="62"/>
        <v>0</v>
      </c>
      <c r="G73" s="66">
        <f t="shared" si="62"/>
        <v>0</v>
      </c>
      <c r="H73" s="66">
        <f t="shared" si="62"/>
        <v>0</v>
      </c>
      <c r="I73" s="66">
        <f t="shared" si="62"/>
        <v>0</v>
      </c>
      <c r="J73" s="66">
        <f t="shared" si="62"/>
        <v>0</v>
      </c>
      <c r="K73" s="66">
        <f t="shared" si="62"/>
        <v>0</v>
      </c>
      <c r="L73" s="66">
        <f t="shared" si="62"/>
        <v>0</v>
      </c>
      <c r="M73" s="66">
        <f t="shared" si="62"/>
        <v>0</v>
      </c>
      <c r="N73" s="66">
        <f t="shared" si="62"/>
        <v>0</v>
      </c>
      <c r="O73" s="66">
        <f t="shared" si="62"/>
        <v>0</v>
      </c>
      <c r="P73" s="66">
        <f t="shared" si="62"/>
        <v>0</v>
      </c>
      <c r="Q73" s="66">
        <f t="shared" si="42"/>
        <v>0</v>
      </c>
    </row>
    <row r="74" spans="3:17" x14ac:dyDescent="0.25">
      <c r="C74" s="17"/>
      <c r="D74" s="17"/>
      <c r="E74" s="66">
        <f t="shared" ref="E74:P74" si="63">E250+E423</f>
        <v>0</v>
      </c>
      <c r="F74" s="66">
        <f t="shared" si="63"/>
        <v>0</v>
      </c>
      <c r="G74" s="66">
        <f t="shared" si="63"/>
        <v>0</v>
      </c>
      <c r="H74" s="66">
        <f t="shared" si="63"/>
        <v>0</v>
      </c>
      <c r="I74" s="66">
        <f t="shared" si="63"/>
        <v>0</v>
      </c>
      <c r="J74" s="66">
        <f t="shared" si="63"/>
        <v>0</v>
      </c>
      <c r="K74" s="66">
        <f t="shared" si="63"/>
        <v>0</v>
      </c>
      <c r="L74" s="66">
        <f t="shared" si="63"/>
        <v>0</v>
      </c>
      <c r="M74" s="66">
        <f t="shared" si="63"/>
        <v>0</v>
      </c>
      <c r="N74" s="66">
        <f t="shared" si="63"/>
        <v>0</v>
      </c>
      <c r="O74" s="66">
        <f t="shared" si="63"/>
        <v>0</v>
      </c>
      <c r="P74" s="66">
        <f t="shared" si="63"/>
        <v>0</v>
      </c>
      <c r="Q74" s="66">
        <f t="shared" si="42"/>
        <v>0</v>
      </c>
    </row>
    <row r="75" spans="3:17" x14ac:dyDescent="0.25">
      <c r="C75" s="17"/>
      <c r="D75" s="17"/>
      <c r="E75" s="66">
        <f t="shared" ref="E75:P75" si="64">E251+E424</f>
        <v>0</v>
      </c>
      <c r="F75" s="66">
        <f t="shared" si="64"/>
        <v>0</v>
      </c>
      <c r="G75" s="66">
        <f t="shared" si="64"/>
        <v>0</v>
      </c>
      <c r="H75" s="66">
        <f t="shared" si="64"/>
        <v>0</v>
      </c>
      <c r="I75" s="66">
        <f t="shared" si="64"/>
        <v>0</v>
      </c>
      <c r="J75" s="66">
        <f t="shared" si="64"/>
        <v>0</v>
      </c>
      <c r="K75" s="66">
        <f t="shared" si="64"/>
        <v>0</v>
      </c>
      <c r="L75" s="66">
        <f t="shared" si="64"/>
        <v>0</v>
      </c>
      <c r="M75" s="66">
        <f t="shared" si="64"/>
        <v>0</v>
      </c>
      <c r="N75" s="66">
        <f t="shared" si="64"/>
        <v>0</v>
      </c>
      <c r="O75" s="66">
        <f t="shared" si="64"/>
        <v>0</v>
      </c>
      <c r="P75" s="66">
        <f t="shared" si="64"/>
        <v>0</v>
      </c>
      <c r="Q75" s="66">
        <f t="shared" si="42"/>
        <v>0</v>
      </c>
    </row>
    <row r="76" spans="3:17" x14ac:dyDescent="0.25">
      <c r="C76" s="17"/>
      <c r="D76" s="17"/>
      <c r="E76" s="66">
        <f t="shared" ref="E76:P76" si="65">E252+E425</f>
        <v>0</v>
      </c>
      <c r="F76" s="66">
        <f t="shared" si="65"/>
        <v>0</v>
      </c>
      <c r="G76" s="66">
        <f t="shared" si="65"/>
        <v>0</v>
      </c>
      <c r="H76" s="66">
        <f t="shared" si="65"/>
        <v>0</v>
      </c>
      <c r="I76" s="66">
        <f t="shared" si="65"/>
        <v>0</v>
      </c>
      <c r="J76" s="66">
        <f t="shared" si="65"/>
        <v>0</v>
      </c>
      <c r="K76" s="66">
        <f t="shared" si="65"/>
        <v>0</v>
      </c>
      <c r="L76" s="66">
        <f t="shared" si="65"/>
        <v>0</v>
      </c>
      <c r="M76" s="66">
        <f t="shared" si="65"/>
        <v>0</v>
      </c>
      <c r="N76" s="66">
        <f t="shared" si="65"/>
        <v>0</v>
      </c>
      <c r="O76" s="66">
        <f t="shared" si="65"/>
        <v>0</v>
      </c>
      <c r="P76" s="66">
        <f t="shared" si="65"/>
        <v>0</v>
      </c>
      <c r="Q76" s="66">
        <f t="shared" si="42"/>
        <v>0</v>
      </c>
    </row>
    <row r="77" spans="3:17" x14ac:dyDescent="0.25">
      <c r="C77" s="17"/>
      <c r="D77" s="17"/>
      <c r="E77" s="66">
        <f t="shared" ref="E77:P77" si="66">E253+E426</f>
        <v>0</v>
      </c>
      <c r="F77" s="66">
        <f t="shared" si="66"/>
        <v>0</v>
      </c>
      <c r="G77" s="66">
        <f t="shared" si="66"/>
        <v>0</v>
      </c>
      <c r="H77" s="66">
        <f t="shared" si="66"/>
        <v>0</v>
      </c>
      <c r="I77" s="66">
        <f t="shared" si="66"/>
        <v>0</v>
      </c>
      <c r="J77" s="66">
        <f t="shared" si="66"/>
        <v>0</v>
      </c>
      <c r="K77" s="66">
        <f t="shared" si="66"/>
        <v>0</v>
      </c>
      <c r="L77" s="66">
        <f t="shared" si="66"/>
        <v>0</v>
      </c>
      <c r="M77" s="66">
        <f t="shared" si="66"/>
        <v>0</v>
      </c>
      <c r="N77" s="66">
        <f t="shared" si="66"/>
        <v>0</v>
      </c>
      <c r="O77" s="66">
        <f t="shared" si="66"/>
        <v>0</v>
      </c>
      <c r="P77" s="66">
        <f t="shared" si="66"/>
        <v>0</v>
      </c>
      <c r="Q77" s="66">
        <f t="shared" si="42"/>
        <v>0</v>
      </c>
    </row>
    <row r="78" spans="3:17" x14ac:dyDescent="0.25">
      <c r="C78" s="17"/>
      <c r="D78" s="17"/>
      <c r="E78" s="66">
        <f t="shared" ref="E78:P78" si="67">E254+E427</f>
        <v>0</v>
      </c>
      <c r="F78" s="66">
        <f t="shared" si="67"/>
        <v>0</v>
      </c>
      <c r="G78" s="66">
        <f t="shared" si="67"/>
        <v>0</v>
      </c>
      <c r="H78" s="66">
        <f t="shared" si="67"/>
        <v>0</v>
      </c>
      <c r="I78" s="66">
        <f t="shared" si="67"/>
        <v>0</v>
      </c>
      <c r="J78" s="66">
        <f t="shared" si="67"/>
        <v>0</v>
      </c>
      <c r="K78" s="66">
        <f t="shared" si="67"/>
        <v>0</v>
      </c>
      <c r="L78" s="66">
        <f t="shared" si="67"/>
        <v>0</v>
      </c>
      <c r="M78" s="66">
        <f t="shared" si="67"/>
        <v>0</v>
      </c>
      <c r="N78" s="66">
        <f t="shared" si="67"/>
        <v>0</v>
      </c>
      <c r="O78" s="66">
        <f t="shared" si="67"/>
        <v>0</v>
      </c>
      <c r="P78" s="66">
        <f t="shared" si="67"/>
        <v>0</v>
      </c>
      <c r="Q78" s="66">
        <f t="shared" si="42"/>
        <v>0</v>
      </c>
    </row>
    <row r="79" spans="3:17" x14ac:dyDescent="0.25">
      <c r="C79" s="751" t="s">
        <v>212</v>
      </c>
      <c r="D79" s="752"/>
      <c r="E79" s="108">
        <f t="shared" ref="E79:P79" si="68">SUM(E53:E78)</f>
        <v>314.70742989729843</v>
      </c>
      <c r="F79" s="108">
        <f t="shared" si="68"/>
        <v>349.01651906268529</v>
      </c>
      <c r="G79" s="108">
        <f t="shared" si="68"/>
        <v>304.68077148534627</v>
      </c>
      <c r="H79" s="108">
        <f t="shared" si="68"/>
        <v>278.54520537077445</v>
      </c>
      <c r="I79" s="108">
        <f t="shared" si="68"/>
        <v>255.00437464932432</v>
      </c>
      <c r="J79" s="108">
        <f t="shared" si="68"/>
        <v>272.07691088658623</v>
      </c>
      <c r="K79" s="108">
        <f t="shared" si="68"/>
        <v>251.33740683797646</v>
      </c>
      <c r="L79" s="108">
        <f t="shared" si="68"/>
        <v>272.19863759778099</v>
      </c>
      <c r="M79" s="108">
        <f t="shared" si="68"/>
        <v>265.90178868258926</v>
      </c>
      <c r="N79" s="108">
        <f t="shared" si="68"/>
        <v>278.66313008683494</v>
      </c>
      <c r="O79" s="108">
        <f t="shared" si="68"/>
        <v>302.52521143831393</v>
      </c>
      <c r="P79" s="108">
        <f t="shared" si="68"/>
        <v>356.2153862347663</v>
      </c>
      <c r="Q79" s="108">
        <f t="shared" si="42"/>
        <v>3500.8727722302765</v>
      </c>
    </row>
    <row r="80" spans="3:17" x14ac:dyDescent="0.25">
      <c r="C80" s="753" t="s">
        <v>387</v>
      </c>
      <c r="D80" s="754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</row>
    <row r="81" spans="3:18" x14ac:dyDescent="0.25">
      <c r="C81" s="805" t="s">
        <v>388</v>
      </c>
      <c r="D81" s="17" t="s">
        <v>389</v>
      </c>
      <c r="E81" s="17">
        <f t="shared" ref="E81:P81" si="69">E257+E430</f>
        <v>1.1794255239480145</v>
      </c>
      <c r="F81" s="17">
        <f t="shared" si="69"/>
        <v>1.2187397080796152</v>
      </c>
      <c r="G81" s="17">
        <f t="shared" si="69"/>
        <v>1.1794255239480145</v>
      </c>
      <c r="H81" s="17">
        <f t="shared" si="69"/>
        <v>1.2187397080796152</v>
      </c>
      <c r="I81" s="17">
        <f t="shared" si="69"/>
        <v>1.2187397080796152</v>
      </c>
      <c r="J81" s="17">
        <f t="shared" si="69"/>
        <v>1.1794255239480145</v>
      </c>
      <c r="K81" s="17">
        <f t="shared" si="69"/>
        <v>1.2187397080796152</v>
      </c>
      <c r="L81" s="17">
        <f t="shared" si="69"/>
        <v>1.1794255239480145</v>
      </c>
      <c r="M81" s="17">
        <f t="shared" si="69"/>
        <v>1.2187397080796152</v>
      </c>
      <c r="N81" s="17">
        <f t="shared" si="69"/>
        <v>1.2187397080796152</v>
      </c>
      <c r="O81" s="17">
        <f t="shared" si="69"/>
        <v>1.140111339816414</v>
      </c>
      <c r="P81" s="17">
        <f t="shared" si="69"/>
        <v>1.2187397080796152</v>
      </c>
      <c r="Q81" s="17">
        <f t="shared" ref="Q81:Q96" si="70">SUM(E81:P81)</f>
        <v>14.38899139216578</v>
      </c>
    </row>
    <row r="82" spans="3:18" x14ac:dyDescent="0.25">
      <c r="C82" s="806"/>
      <c r="D82" s="17" t="s">
        <v>390</v>
      </c>
      <c r="E82" s="17">
        <f t="shared" ref="E82:P82" si="71">E258+E431</f>
        <v>5.0539863407507717</v>
      </c>
      <c r="F82" s="17">
        <f t="shared" si="71"/>
        <v>5.2224525521091305</v>
      </c>
      <c r="G82" s="17">
        <f t="shared" si="71"/>
        <v>5.0539863407507717</v>
      </c>
      <c r="H82" s="17">
        <f t="shared" si="71"/>
        <v>5.2224525521091305</v>
      </c>
      <c r="I82" s="17">
        <f t="shared" si="71"/>
        <v>5.2224525521091305</v>
      </c>
      <c r="J82" s="17">
        <f t="shared" si="71"/>
        <v>5.0539863407507717</v>
      </c>
      <c r="K82" s="17">
        <f t="shared" si="71"/>
        <v>5.2224525521091305</v>
      </c>
      <c r="L82" s="17">
        <f t="shared" si="71"/>
        <v>5.0539863407507717</v>
      </c>
      <c r="M82" s="17">
        <f t="shared" si="71"/>
        <v>5.2224525521091305</v>
      </c>
      <c r="N82" s="17">
        <f t="shared" si="71"/>
        <v>5.2224525521091305</v>
      </c>
      <c r="O82" s="17">
        <f t="shared" si="71"/>
        <v>4.8855201293924129</v>
      </c>
      <c r="P82" s="17">
        <f t="shared" si="71"/>
        <v>5.2224525521091305</v>
      </c>
      <c r="Q82" s="17">
        <f t="shared" si="70"/>
        <v>61.65863335715941</v>
      </c>
    </row>
    <row r="83" spans="3:18" x14ac:dyDescent="0.25">
      <c r="C83" s="806"/>
      <c r="D83" s="17" t="s">
        <v>391</v>
      </c>
      <c r="E83" s="17">
        <f t="shared" ref="E83:P83" si="72">E259+E432</f>
        <v>5.0539863407507717</v>
      </c>
      <c r="F83" s="17">
        <f t="shared" si="72"/>
        <v>5.2224525521091305</v>
      </c>
      <c r="G83" s="17">
        <f t="shared" si="72"/>
        <v>5.0539863407507717</v>
      </c>
      <c r="H83" s="17">
        <f t="shared" si="72"/>
        <v>5.2224525521091305</v>
      </c>
      <c r="I83" s="17">
        <f t="shared" si="72"/>
        <v>5.2224525521091305</v>
      </c>
      <c r="J83" s="17">
        <f t="shared" si="72"/>
        <v>5.0539863407507717</v>
      </c>
      <c r="K83" s="17">
        <f t="shared" si="72"/>
        <v>5.2224525521091305</v>
      </c>
      <c r="L83" s="17">
        <f t="shared" si="72"/>
        <v>5.0539863407507717</v>
      </c>
      <c r="M83" s="17">
        <f t="shared" si="72"/>
        <v>5.2224525521091305</v>
      </c>
      <c r="N83" s="17">
        <f t="shared" si="72"/>
        <v>5.2224525521091305</v>
      </c>
      <c r="O83" s="17">
        <f t="shared" si="72"/>
        <v>4.8855201293924129</v>
      </c>
      <c r="P83" s="17">
        <f t="shared" si="72"/>
        <v>5.2224525521091305</v>
      </c>
      <c r="Q83" s="17">
        <f t="shared" si="70"/>
        <v>61.65863335715941</v>
      </c>
    </row>
    <row r="84" spans="3:18" x14ac:dyDescent="0.25">
      <c r="C84" s="807"/>
      <c r="D84" s="17" t="s">
        <v>392</v>
      </c>
      <c r="E84" s="17">
        <f t="shared" ref="E84:P84" si="73">E260+E433</f>
        <v>4.7387127952107191</v>
      </c>
      <c r="F84" s="17">
        <f t="shared" si="73"/>
        <v>4.8966698883844106</v>
      </c>
      <c r="G84" s="17">
        <f t="shared" si="73"/>
        <v>4.7387127952107191</v>
      </c>
      <c r="H84" s="17">
        <f t="shared" si="73"/>
        <v>4.8966698883844106</v>
      </c>
      <c r="I84" s="17">
        <f t="shared" si="73"/>
        <v>4.8966698883844106</v>
      </c>
      <c r="J84" s="17">
        <f t="shared" si="73"/>
        <v>4.7387127952107191</v>
      </c>
      <c r="K84" s="17">
        <f t="shared" si="73"/>
        <v>4.8966698883844106</v>
      </c>
      <c r="L84" s="17">
        <f t="shared" si="73"/>
        <v>4.7387127952107191</v>
      </c>
      <c r="M84" s="17">
        <f t="shared" si="73"/>
        <v>4.8966698883844106</v>
      </c>
      <c r="N84" s="17">
        <f t="shared" si="73"/>
        <v>4.8966698883844106</v>
      </c>
      <c r="O84" s="17">
        <f t="shared" si="73"/>
        <v>4.5807557020370293</v>
      </c>
      <c r="P84" s="17">
        <f t="shared" si="73"/>
        <v>4.8966698883844106</v>
      </c>
      <c r="Q84" s="17">
        <f t="shared" si="70"/>
        <v>57.812296101570773</v>
      </c>
    </row>
    <row r="85" spans="3:18" x14ac:dyDescent="0.25">
      <c r="C85" s="17"/>
      <c r="D85" s="17"/>
      <c r="E85" s="17">
        <f t="shared" ref="E85:P85" si="74">E261+E434</f>
        <v>0</v>
      </c>
      <c r="F85" s="17">
        <f t="shared" si="74"/>
        <v>0</v>
      </c>
      <c r="G85" s="17">
        <f t="shared" si="74"/>
        <v>0</v>
      </c>
      <c r="H85" s="17">
        <f t="shared" si="74"/>
        <v>0</v>
      </c>
      <c r="I85" s="17">
        <f t="shared" si="74"/>
        <v>0</v>
      </c>
      <c r="J85" s="17">
        <f t="shared" si="74"/>
        <v>0</v>
      </c>
      <c r="K85" s="17">
        <f t="shared" si="74"/>
        <v>0</v>
      </c>
      <c r="L85" s="17">
        <f t="shared" si="74"/>
        <v>0</v>
      </c>
      <c r="M85" s="17">
        <f t="shared" si="74"/>
        <v>0</v>
      </c>
      <c r="N85" s="17">
        <f t="shared" si="74"/>
        <v>0</v>
      </c>
      <c r="O85" s="17">
        <f t="shared" si="74"/>
        <v>0</v>
      </c>
      <c r="P85" s="17">
        <f t="shared" si="74"/>
        <v>0</v>
      </c>
      <c r="Q85" s="17">
        <f t="shared" si="70"/>
        <v>0</v>
      </c>
    </row>
    <row r="86" spans="3:18" x14ac:dyDescent="0.25">
      <c r="C86" s="17"/>
      <c r="D86" s="17"/>
      <c r="E86" s="17">
        <f t="shared" ref="E86:P86" si="75">E262+E435</f>
        <v>0</v>
      </c>
      <c r="F86" s="17">
        <f t="shared" si="75"/>
        <v>0</v>
      </c>
      <c r="G86" s="17">
        <f t="shared" si="75"/>
        <v>0</v>
      </c>
      <c r="H86" s="17">
        <f t="shared" si="75"/>
        <v>0</v>
      </c>
      <c r="I86" s="17">
        <f t="shared" si="75"/>
        <v>0</v>
      </c>
      <c r="J86" s="17">
        <f t="shared" si="75"/>
        <v>0</v>
      </c>
      <c r="K86" s="17">
        <f t="shared" si="75"/>
        <v>0</v>
      </c>
      <c r="L86" s="17">
        <f t="shared" si="75"/>
        <v>0</v>
      </c>
      <c r="M86" s="17">
        <f t="shared" si="75"/>
        <v>0</v>
      </c>
      <c r="N86" s="17">
        <f t="shared" si="75"/>
        <v>0</v>
      </c>
      <c r="O86" s="17">
        <f t="shared" si="75"/>
        <v>0</v>
      </c>
      <c r="P86" s="17">
        <f t="shared" si="75"/>
        <v>0</v>
      </c>
      <c r="Q86" s="17">
        <f t="shared" si="70"/>
        <v>0</v>
      </c>
    </row>
    <row r="87" spans="3:18" x14ac:dyDescent="0.25">
      <c r="C87" s="17"/>
      <c r="D87" s="17"/>
      <c r="E87" s="17">
        <f t="shared" ref="E87:P87" si="76">E263+E436</f>
        <v>0</v>
      </c>
      <c r="F87" s="17">
        <f t="shared" si="76"/>
        <v>0</v>
      </c>
      <c r="G87" s="17">
        <f t="shared" si="76"/>
        <v>0</v>
      </c>
      <c r="H87" s="17">
        <f t="shared" si="76"/>
        <v>0</v>
      </c>
      <c r="I87" s="17">
        <f t="shared" si="76"/>
        <v>0</v>
      </c>
      <c r="J87" s="17">
        <f t="shared" si="76"/>
        <v>0</v>
      </c>
      <c r="K87" s="17">
        <f t="shared" si="76"/>
        <v>0</v>
      </c>
      <c r="L87" s="17">
        <f t="shared" si="76"/>
        <v>0</v>
      </c>
      <c r="M87" s="17">
        <f t="shared" si="76"/>
        <v>0</v>
      </c>
      <c r="N87" s="17">
        <f t="shared" si="76"/>
        <v>0</v>
      </c>
      <c r="O87" s="17">
        <f t="shared" si="76"/>
        <v>0</v>
      </c>
      <c r="P87" s="17">
        <f t="shared" si="76"/>
        <v>0</v>
      </c>
      <c r="Q87" s="17">
        <f t="shared" si="70"/>
        <v>0</v>
      </c>
    </row>
    <row r="88" spans="3:18" x14ac:dyDescent="0.25">
      <c r="C88" s="17"/>
      <c r="D88" s="17"/>
      <c r="E88" s="17">
        <f t="shared" ref="E88:P88" si="77">E264+E437</f>
        <v>0</v>
      </c>
      <c r="F88" s="17">
        <f t="shared" si="77"/>
        <v>0</v>
      </c>
      <c r="G88" s="17">
        <f t="shared" si="77"/>
        <v>0</v>
      </c>
      <c r="H88" s="17">
        <f t="shared" si="77"/>
        <v>0</v>
      </c>
      <c r="I88" s="17">
        <f t="shared" si="77"/>
        <v>0</v>
      </c>
      <c r="J88" s="17">
        <f t="shared" si="77"/>
        <v>0</v>
      </c>
      <c r="K88" s="17">
        <f t="shared" si="77"/>
        <v>0</v>
      </c>
      <c r="L88" s="17">
        <f t="shared" si="77"/>
        <v>0</v>
      </c>
      <c r="M88" s="17">
        <f t="shared" si="77"/>
        <v>0</v>
      </c>
      <c r="N88" s="17">
        <f t="shared" si="77"/>
        <v>0</v>
      </c>
      <c r="O88" s="17">
        <f t="shared" si="77"/>
        <v>0</v>
      </c>
      <c r="P88" s="17">
        <f t="shared" si="77"/>
        <v>0</v>
      </c>
      <c r="Q88" s="17">
        <f t="shared" si="70"/>
        <v>0</v>
      </c>
    </row>
    <row r="89" spans="3:18" x14ac:dyDescent="0.25">
      <c r="C89" s="17"/>
      <c r="D89" s="17"/>
      <c r="E89" s="17">
        <f t="shared" ref="E89:P89" si="78">E265+E438</f>
        <v>0</v>
      </c>
      <c r="F89" s="17">
        <f t="shared" si="78"/>
        <v>0</v>
      </c>
      <c r="G89" s="17">
        <f t="shared" si="78"/>
        <v>0</v>
      </c>
      <c r="H89" s="17">
        <f t="shared" si="78"/>
        <v>0</v>
      </c>
      <c r="I89" s="17">
        <f t="shared" si="78"/>
        <v>0</v>
      </c>
      <c r="J89" s="17">
        <f t="shared" si="78"/>
        <v>0</v>
      </c>
      <c r="K89" s="17">
        <f t="shared" si="78"/>
        <v>0</v>
      </c>
      <c r="L89" s="17">
        <f t="shared" si="78"/>
        <v>0</v>
      </c>
      <c r="M89" s="17">
        <f t="shared" si="78"/>
        <v>0</v>
      </c>
      <c r="N89" s="17">
        <f t="shared" si="78"/>
        <v>0</v>
      </c>
      <c r="O89" s="17">
        <f t="shared" si="78"/>
        <v>0</v>
      </c>
      <c r="P89" s="17">
        <f t="shared" si="78"/>
        <v>0</v>
      </c>
      <c r="Q89" s="17">
        <f t="shared" si="70"/>
        <v>0</v>
      </c>
    </row>
    <row r="90" spans="3:18" x14ac:dyDescent="0.25">
      <c r="C90" s="17"/>
      <c r="D90" s="17"/>
      <c r="E90" s="17">
        <f t="shared" ref="E90:P90" si="79">E266+E439</f>
        <v>0</v>
      </c>
      <c r="F90" s="17">
        <f t="shared" si="79"/>
        <v>0</v>
      </c>
      <c r="G90" s="17">
        <f t="shared" si="79"/>
        <v>0</v>
      </c>
      <c r="H90" s="17">
        <f t="shared" si="79"/>
        <v>0</v>
      </c>
      <c r="I90" s="17">
        <f t="shared" si="79"/>
        <v>0</v>
      </c>
      <c r="J90" s="17">
        <f t="shared" si="79"/>
        <v>0</v>
      </c>
      <c r="K90" s="17">
        <f t="shared" si="79"/>
        <v>0</v>
      </c>
      <c r="L90" s="17">
        <f t="shared" si="79"/>
        <v>0</v>
      </c>
      <c r="M90" s="17">
        <f t="shared" si="79"/>
        <v>0</v>
      </c>
      <c r="N90" s="17">
        <f t="shared" si="79"/>
        <v>0</v>
      </c>
      <c r="O90" s="17">
        <f t="shared" si="79"/>
        <v>0</v>
      </c>
      <c r="P90" s="17">
        <f t="shared" si="79"/>
        <v>0</v>
      </c>
      <c r="Q90" s="17">
        <f t="shared" si="70"/>
        <v>0</v>
      </c>
    </row>
    <row r="91" spans="3:18" x14ac:dyDescent="0.25">
      <c r="C91" s="17"/>
      <c r="D91" s="17"/>
      <c r="E91" s="17">
        <f t="shared" ref="E91:P91" si="80">E267+E440</f>
        <v>0</v>
      </c>
      <c r="F91" s="17">
        <f t="shared" si="80"/>
        <v>0</v>
      </c>
      <c r="G91" s="17">
        <f t="shared" si="80"/>
        <v>0</v>
      </c>
      <c r="H91" s="17">
        <f t="shared" si="80"/>
        <v>0</v>
      </c>
      <c r="I91" s="17">
        <f t="shared" si="80"/>
        <v>0</v>
      </c>
      <c r="J91" s="17">
        <f t="shared" si="80"/>
        <v>0</v>
      </c>
      <c r="K91" s="17">
        <f t="shared" si="80"/>
        <v>0</v>
      </c>
      <c r="L91" s="17">
        <f t="shared" si="80"/>
        <v>0</v>
      </c>
      <c r="M91" s="17">
        <f t="shared" si="80"/>
        <v>0</v>
      </c>
      <c r="N91" s="17">
        <f t="shared" si="80"/>
        <v>0</v>
      </c>
      <c r="O91" s="17">
        <f t="shared" si="80"/>
        <v>0</v>
      </c>
      <c r="P91" s="17">
        <f t="shared" si="80"/>
        <v>0</v>
      </c>
      <c r="Q91" s="17">
        <f t="shared" si="70"/>
        <v>0</v>
      </c>
    </row>
    <row r="92" spans="3:18" x14ac:dyDescent="0.25">
      <c r="C92" s="17"/>
      <c r="D92" s="17"/>
      <c r="E92" s="17">
        <f t="shared" ref="E92:P92" si="81">E268+E441</f>
        <v>0</v>
      </c>
      <c r="F92" s="17">
        <f t="shared" si="81"/>
        <v>0</v>
      </c>
      <c r="G92" s="17">
        <f t="shared" si="81"/>
        <v>0</v>
      </c>
      <c r="H92" s="17">
        <f t="shared" si="81"/>
        <v>0</v>
      </c>
      <c r="I92" s="17">
        <f t="shared" si="81"/>
        <v>0</v>
      </c>
      <c r="J92" s="17">
        <f t="shared" si="81"/>
        <v>0</v>
      </c>
      <c r="K92" s="17">
        <f t="shared" si="81"/>
        <v>0</v>
      </c>
      <c r="L92" s="17">
        <f t="shared" si="81"/>
        <v>0</v>
      </c>
      <c r="M92" s="17">
        <f t="shared" si="81"/>
        <v>0</v>
      </c>
      <c r="N92" s="17">
        <f t="shared" si="81"/>
        <v>0</v>
      </c>
      <c r="O92" s="17">
        <f t="shared" si="81"/>
        <v>0</v>
      </c>
      <c r="P92" s="17">
        <f t="shared" si="81"/>
        <v>0</v>
      </c>
      <c r="Q92" s="17">
        <f t="shared" si="70"/>
        <v>0</v>
      </c>
    </row>
    <row r="93" spans="3:18" x14ac:dyDescent="0.25">
      <c r="C93" s="17"/>
      <c r="D93" s="17"/>
      <c r="E93" s="17">
        <f t="shared" ref="E93:P93" si="82">E269+E442</f>
        <v>0</v>
      </c>
      <c r="F93" s="17">
        <f t="shared" si="82"/>
        <v>0</v>
      </c>
      <c r="G93" s="17">
        <f t="shared" si="82"/>
        <v>0</v>
      </c>
      <c r="H93" s="17">
        <f t="shared" si="82"/>
        <v>0</v>
      </c>
      <c r="I93" s="17">
        <f t="shared" si="82"/>
        <v>0</v>
      </c>
      <c r="J93" s="17">
        <f t="shared" si="82"/>
        <v>0</v>
      </c>
      <c r="K93" s="17">
        <f t="shared" si="82"/>
        <v>0</v>
      </c>
      <c r="L93" s="17">
        <f t="shared" si="82"/>
        <v>0</v>
      </c>
      <c r="M93" s="17">
        <f t="shared" si="82"/>
        <v>0</v>
      </c>
      <c r="N93" s="17">
        <f t="shared" si="82"/>
        <v>0</v>
      </c>
      <c r="O93" s="17">
        <f t="shared" si="82"/>
        <v>0</v>
      </c>
      <c r="P93" s="17">
        <f t="shared" si="82"/>
        <v>0</v>
      </c>
      <c r="Q93" s="17">
        <f t="shared" si="70"/>
        <v>0</v>
      </c>
    </row>
    <row r="94" spans="3:18" x14ac:dyDescent="0.25">
      <c r="C94" s="17"/>
      <c r="D94" s="17"/>
      <c r="E94" s="17">
        <f t="shared" ref="E94:P94" si="83">E270+E443</f>
        <v>0</v>
      </c>
      <c r="F94" s="17">
        <f t="shared" si="83"/>
        <v>0</v>
      </c>
      <c r="G94" s="17">
        <f t="shared" si="83"/>
        <v>0</v>
      </c>
      <c r="H94" s="17">
        <f t="shared" si="83"/>
        <v>0</v>
      </c>
      <c r="I94" s="17">
        <f t="shared" si="83"/>
        <v>0</v>
      </c>
      <c r="J94" s="17">
        <f t="shared" si="83"/>
        <v>0</v>
      </c>
      <c r="K94" s="17">
        <f t="shared" si="83"/>
        <v>0</v>
      </c>
      <c r="L94" s="17">
        <f t="shared" si="83"/>
        <v>0</v>
      </c>
      <c r="M94" s="17">
        <f t="shared" si="83"/>
        <v>0</v>
      </c>
      <c r="N94" s="17">
        <f t="shared" si="83"/>
        <v>0</v>
      </c>
      <c r="O94" s="17">
        <f t="shared" si="83"/>
        <v>0</v>
      </c>
      <c r="P94" s="17">
        <f t="shared" si="83"/>
        <v>0</v>
      </c>
      <c r="Q94" s="17">
        <f t="shared" si="70"/>
        <v>0</v>
      </c>
    </row>
    <row r="95" spans="3:18" x14ac:dyDescent="0.25">
      <c r="C95" s="751" t="s">
        <v>212</v>
      </c>
      <c r="D95" s="752"/>
      <c r="E95" s="28">
        <f t="shared" ref="E95:P95" si="84">SUM(E81:E94)</f>
        <v>16.026111000660276</v>
      </c>
      <c r="F95" s="28">
        <f t="shared" si="84"/>
        <v>16.560314700682287</v>
      </c>
      <c r="G95" s="28">
        <f t="shared" si="84"/>
        <v>16.026111000660276</v>
      </c>
      <c r="H95" s="28">
        <f t="shared" si="84"/>
        <v>16.560314700682287</v>
      </c>
      <c r="I95" s="28">
        <f t="shared" si="84"/>
        <v>16.560314700682287</v>
      </c>
      <c r="J95" s="28">
        <f t="shared" si="84"/>
        <v>16.026111000660276</v>
      </c>
      <c r="K95" s="28">
        <f t="shared" si="84"/>
        <v>16.560314700682287</v>
      </c>
      <c r="L95" s="28">
        <f t="shared" si="84"/>
        <v>16.026111000660276</v>
      </c>
      <c r="M95" s="28">
        <f t="shared" si="84"/>
        <v>16.560314700682287</v>
      </c>
      <c r="N95" s="28">
        <f t="shared" si="84"/>
        <v>16.560314700682287</v>
      </c>
      <c r="O95" s="28">
        <f t="shared" si="84"/>
        <v>15.491907300638269</v>
      </c>
      <c r="P95" s="28">
        <f t="shared" si="84"/>
        <v>16.560314700682287</v>
      </c>
      <c r="Q95" s="28">
        <f t="shared" si="70"/>
        <v>195.51855420805538</v>
      </c>
      <c r="R95" s="427"/>
    </row>
    <row r="96" spans="3:18" x14ac:dyDescent="0.25">
      <c r="C96" s="753" t="s">
        <v>394</v>
      </c>
      <c r="D96" s="754"/>
      <c r="E96" s="28">
        <f t="shared" ref="E96:P96" si="85">E79+E95</f>
        <v>330.73354089795868</v>
      </c>
      <c r="F96" s="28">
        <f t="shared" si="85"/>
        <v>365.57683376336757</v>
      </c>
      <c r="G96" s="28">
        <f t="shared" si="85"/>
        <v>320.70688248600652</v>
      </c>
      <c r="H96" s="28">
        <f t="shared" si="85"/>
        <v>295.10552007145674</v>
      </c>
      <c r="I96" s="28">
        <f t="shared" si="85"/>
        <v>271.56468935000663</v>
      </c>
      <c r="J96" s="28">
        <f t="shared" si="85"/>
        <v>288.10302188724648</v>
      </c>
      <c r="K96" s="28">
        <f t="shared" si="85"/>
        <v>267.89772153865874</v>
      </c>
      <c r="L96" s="28">
        <f t="shared" si="85"/>
        <v>288.22474859844124</v>
      </c>
      <c r="M96" s="28">
        <f t="shared" si="85"/>
        <v>282.46210338327154</v>
      </c>
      <c r="N96" s="28">
        <f t="shared" si="85"/>
        <v>295.22344478751722</v>
      </c>
      <c r="O96" s="28">
        <f t="shared" si="85"/>
        <v>318.01711873895221</v>
      </c>
      <c r="P96" s="28">
        <f t="shared" si="85"/>
        <v>372.77570093544858</v>
      </c>
      <c r="Q96" s="28">
        <f t="shared" si="70"/>
        <v>3696.3913264383323</v>
      </c>
      <c r="R96" s="427"/>
    </row>
    <row r="97" spans="3:18" x14ac:dyDescent="0.25">
      <c r="C97" s="800" t="s">
        <v>395</v>
      </c>
      <c r="D97" s="801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</row>
    <row r="98" spans="3:18" x14ac:dyDescent="0.25">
      <c r="C98" s="17" t="s">
        <v>396</v>
      </c>
      <c r="D98" s="17" t="s">
        <v>396</v>
      </c>
      <c r="E98" s="17">
        <f t="shared" ref="E98:P98" si="86">E274+E447</f>
        <v>20.537935766574257</v>
      </c>
      <c r="F98" s="17">
        <f t="shared" si="86"/>
        <v>21.222533625460045</v>
      </c>
      <c r="G98" s="17">
        <f t="shared" si="86"/>
        <v>20.537935766574243</v>
      </c>
      <c r="H98" s="17">
        <f t="shared" si="86"/>
        <v>21.888158092509116</v>
      </c>
      <c r="I98" s="17">
        <f t="shared" si="86"/>
        <v>18.083989920286388</v>
      </c>
      <c r="J98" s="17">
        <f t="shared" si="86"/>
        <v>20.448662199561412</v>
      </c>
      <c r="K98" s="17">
        <f t="shared" si="86"/>
        <v>17.635626533833012</v>
      </c>
      <c r="L98" s="17">
        <f t="shared" si="86"/>
        <v>20.537935766574243</v>
      </c>
      <c r="M98" s="17">
        <f t="shared" si="86"/>
        <v>21.222533625460045</v>
      </c>
      <c r="N98" s="17">
        <f t="shared" si="86"/>
        <v>20.774170239006668</v>
      </c>
      <c r="O98" s="17">
        <f t="shared" si="86"/>
        <v>19.853337907688452</v>
      </c>
      <c r="P98" s="17">
        <f t="shared" si="86"/>
        <v>23.912713944180361</v>
      </c>
      <c r="Q98" s="17">
        <f t="shared" ref="Q98:Q105" si="87">SUM(E98:P98)</f>
        <v>246.65553338770823</v>
      </c>
    </row>
    <row r="99" spans="3:18" x14ac:dyDescent="0.25">
      <c r="C99" s="17" t="s">
        <v>397</v>
      </c>
      <c r="D99" s="17" t="s">
        <v>397</v>
      </c>
      <c r="E99" s="17">
        <f t="shared" ref="E99:P99" si="88">E275+E448</f>
        <v>0</v>
      </c>
      <c r="F99" s="17">
        <f t="shared" si="88"/>
        <v>0</v>
      </c>
      <c r="G99" s="17">
        <f t="shared" si="88"/>
        <v>0</v>
      </c>
      <c r="H99" s="17">
        <f t="shared" si="88"/>
        <v>0</v>
      </c>
      <c r="I99" s="17">
        <f t="shared" si="88"/>
        <v>0</v>
      </c>
      <c r="J99" s="17">
        <f t="shared" si="88"/>
        <v>0</v>
      </c>
      <c r="K99" s="17">
        <f t="shared" si="88"/>
        <v>0</v>
      </c>
      <c r="L99" s="17">
        <f t="shared" si="88"/>
        <v>0</v>
      </c>
      <c r="M99" s="17">
        <f t="shared" si="88"/>
        <v>0</v>
      </c>
      <c r="N99" s="17">
        <f t="shared" si="88"/>
        <v>0</v>
      </c>
      <c r="O99" s="17">
        <f t="shared" si="88"/>
        <v>0</v>
      </c>
      <c r="P99" s="17">
        <f t="shared" si="88"/>
        <v>0</v>
      </c>
      <c r="Q99" s="17">
        <f t="shared" si="87"/>
        <v>0</v>
      </c>
    </row>
    <row r="100" spans="3:18" ht="15" customHeight="1" x14ac:dyDescent="0.25">
      <c r="C100" s="17"/>
      <c r="D100" s="17"/>
      <c r="E100" s="17">
        <f t="shared" ref="E100:P100" si="89">E276+E449</f>
        <v>0</v>
      </c>
      <c r="F100" s="17">
        <f t="shared" si="89"/>
        <v>0</v>
      </c>
      <c r="G100" s="17">
        <f t="shared" si="89"/>
        <v>0</v>
      </c>
      <c r="H100" s="17">
        <f t="shared" si="89"/>
        <v>0</v>
      </c>
      <c r="I100" s="17">
        <f t="shared" si="89"/>
        <v>0</v>
      </c>
      <c r="J100" s="17">
        <f t="shared" si="89"/>
        <v>0</v>
      </c>
      <c r="K100" s="17">
        <f t="shared" si="89"/>
        <v>0</v>
      </c>
      <c r="L100" s="17">
        <f t="shared" si="89"/>
        <v>0</v>
      </c>
      <c r="M100" s="17">
        <f t="shared" si="89"/>
        <v>0</v>
      </c>
      <c r="N100" s="17">
        <f t="shared" si="89"/>
        <v>0</v>
      </c>
      <c r="O100" s="17">
        <f t="shared" si="89"/>
        <v>0</v>
      </c>
      <c r="P100" s="17">
        <f t="shared" si="89"/>
        <v>0</v>
      </c>
      <c r="Q100" s="17">
        <f t="shared" si="87"/>
        <v>0</v>
      </c>
    </row>
    <row r="101" spans="3:18" x14ac:dyDescent="0.25">
      <c r="C101" s="17"/>
      <c r="D101" s="17"/>
      <c r="E101" s="17">
        <f t="shared" ref="E101:P101" si="90">E277+E450</f>
        <v>0</v>
      </c>
      <c r="F101" s="17">
        <f t="shared" si="90"/>
        <v>0</v>
      </c>
      <c r="G101" s="17">
        <f t="shared" si="90"/>
        <v>0</v>
      </c>
      <c r="H101" s="17">
        <f t="shared" si="90"/>
        <v>0</v>
      </c>
      <c r="I101" s="17">
        <f t="shared" si="90"/>
        <v>0</v>
      </c>
      <c r="J101" s="17">
        <f t="shared" si="90"/>
        <v>0</v>
      </c>
      <c r="K101" s="17">
        <f t="shared" si="90"/>
        <v>0</v>
      </c>
      <c r="L101" s="17">
        <f t="shared" si="90"/>
        <v>0</v>
      </c>
      <c r="M101" s="17">
        <f t="shared" si="90"/>
        <v>0</v>
      </c>
      <c r="N101" s="17">
        <f t="shared" si="90"/>
        <v>0</v>
      </c>
      <c r="O101" s="17">
        <f t="shared" si="90"/>
        <v>0</v>
      </c>
      <c r="P101" s="17">
        <f t="shared" si="90"/>
        <v>0</v>
      </c>
      <c r="Q101" s="17">
        <f t="shared" si="87"/>
        <v>0</v>
      </c>
    </row>
    <row r="102" spans="3:18" ht="14.25" customHeight="1" x14ac:dyDescent="0.25">
      <c r="C102" s="17"/>
      <c r="D102" s="17"/>
      <c r="E102" s="17">
        <f t="shared" ref="E102:P102" si="91">E278+E451</f>
        <v>0</v>
      </c>
      <c r="F102" s="17">
        <f t="shared" si="91"/>
        <v>0</v>
      </c>
      <c r="G102" s="17">
        <f t="shared" si="91"/>
        <v>0</v>
      </c>
      <c r="H102" s="17">
        <f t="shared" si="91"/>
        <v>0</v>
      </c>
      <c r="I102" s="17">
        <f t="shared" si="91"/>
        <v>0</v>
      </c>
      <c r="J102" s="17">
        <f t="shared" si="91"/>
        <v>0</v>
      </c>
      <c r="K102" s="17">
        <f t="shared" si="91"/>
        <v>0</v>
      </c>
      <c r="L102" s="17">
        <f t="shared" si="91"/>
        <v>0</v>
      </c>
      <c r="M102" s="17">
        <f t="shared" si="91"/>
        <v>0</v>
      </c>
      <c r="N102" s="17">
        <f t="shared" si="91"/>
        <v>0</v>
      </c>
      <c r="O102" s="17">
        <f t="shared" si="91"/>
        <v>0</v>
      </c>
      <c r="P102" s="17">
        <f t="shared" si="91"/>
        <v>0</v>
      </c>
      <c r="Q102" s="17">
        <f t="shared" si="87"/>
        <v>0</v>
      </c>
    </row>
    <row r="103" spans="3:18" x14ac:dyDescent="0.25">
      <c r="C103" s="17"/>
      <c r="D103" s="17"/>
      <c r="E103" s="17">
        <f t="shared" ref="E103:P103" si="92">E279+E452</f>
        <v>0</v>
      </c>
      <c r="F103" s="17">
        <f t="shared" si="92"/>
        <v>0</v>
      </c>
      <c r="G103" s="17">
        <f t="shared" si="92"/>
        <v>0</v>
      </c>
      <c r="H103" s="17">
        <f t="shared" si="92"/>
        <v>0</v>
      </c>
      <c r="I103" s="17">
        <f t="shared" si="92"/>
        <v>0</v>
      </c>
      <c r="J103" s="17">
        <f t="shared" si="92"/>
        <v>0</v>
      </c>
      <c r="K103" s="17">
        <f t="shared" si="92"/>
        <v>0</v>
      </c>
      <c r="L103" s="17">
        <f t="shared" si="92"/>
        <v>0</v>
      </c>
      <c r="M103" s="17">
        <f t="shared" si="92"/>
        <v>0</v>
      </c>
      <c r="N103" s="17">
        <f t="shared" si="92"/>
        <v>0</v>
      </c>
      <c r="O103" s="17">
        <f t="shared" si="92"/>
        <v>0</v>
      </c>
      <c r="P103" s="17">
        <f t="shared" si="92"/>
        <v>0</v>
      </c>
      <c r="Q103" s="17">
        <f t="shared" si="87"/>
        <v>0</v>
      </c>
    </row>
    <row r="104" spans="3:18" x14ac:dyDescent="0.25">
      <c r="C104" s="17"/>
      <c r="D104" s="17"/>
      <c r="E104" s="17">
        <f t="shared" ref="E104:P104" si="93">E280+E453</f>
        <v>0</v>
      </c>
      <c r="F104" s="17">
        <f t="shared" si="93"/>
        <v>0</v>
      </c>
      <c r="G104" s="17">
        <f t="shared" si="93"/>
        <v>0</v>
      </c>
      <c r="H104" s="17">
        <f t="shared" si="93"/>
        <v>0</v>
      </c>
      <c r="I104" s="17">
        <f t="shared" si="93"/>
        <v>0</v>
      </c>
      <c r="J104" s="17">
        <f t="shared" si="93"/>
        <v>0</v>
      </c>
      <c r="K104" s="17">
        <f t="shared" si="93"/>
        <v>0</v>
      </c>
      <c r="L104" s="17">
        <f t="shared" si="93"/>
        <v>0</v>
      </c>
      <c r="M104" s="17">
        <f t="shared" si="93"/>
        <v>0</v>
      </c>
      <c r="N104" s="17">
        <f t="shared" si="93"/>
        <v>0</v>
      </c>
      <c r="O104" s="17">
        <f t="shared" si="93"/>
        <v>0</v>
      </c>
      <c r="P104" s="17">
        <f t="shared" si="93"/>
        <v>0</v>
      </c>
      <c r="Q104" s="17">
        <f t="shared" si="87"/>
        <v>0</v>
      </c>
    </row>
    <row r="105" spans="3:18" ht="14.25" customHeight="1" x14ac:dyDescent="0.25">
      <c r="C105" s="753" t="s">
        <v>398</v>
      </c>
      <c r="D105" s="754"/>
      <c r="E105" s="28">
        <f t="shared" ref="E105:P105" si="94">SUM(E98:E104)</f>
        <v>20.537935766574257</v>
      </c>
      <c r="F105" s="28">
        <f t="shared" si="94"/>
        <v>21.222533625460045</v>
      </c>
      <c r="G105" s="28">
        <f t="shared" si="94"/>
        <v>20.537935766574243</v>
      </c>
      <c r="H105" s="28">
        <f t="shared" si="94"/>
        <v>21.888158092509116</v>
      </c>
      <c r="I105" s="28">
        <f t="shared" si="94"/>
        <v>18.083989920286388</v>
      </c>
      <c r="J105" s="28">
        <f t="shared" si="94"/>
        <v>20.448662199561412</v>
      </c>
      <c r="K105" s="28">
        <f t="shared" si="94"/>
        <v>17.635626533833012</v>
      </c>
      <c r="L105" s="28">
        <f t="shared" si="94"/>
        <v>20.537935766574243</v>
      </c>
      <c r="M105" s="28">
        <f t="shared" si="94"/>
        <v>21.222533625460045</v>
      </c>
      <c r="N105" s="28">
        <f t="shared" si="94"/>
        <v>20.774170239006668</v>
      </c>
      <c r="O105" s="28">
        <f t="shared" si="94"/>
        <v>19.853337907688452</v>
      </c>
      <c r="P105" s="28">
        <f t="shared" si="94"/>
        <v>23.912713944180361</v>
      </c>
      <c r="Q105" s="28">
        <f t="shared" si="87"/>
        <v>246.65553338770823</v>
      </c>
      <c r="R105" s="427"/>
    </row>
    <row r="106" spans="3:18" x14ac:dyDescent="0.25">
      <c r="C106" s="800" t="s">
        <v>399</v>
      </c>
      <c r="D106" s="801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</row>
    <row r="107" spans="3:18" x14ac:dyDescent="0.25">
      <c r="C107" s="17" t="s">
        <v>400</v>
      </c>
      <c r="D107" s="17" t="s">
        <v>400</v>
      </c>
      <c r="E107" s="17">
        <f t="shared" ref="E107:P107" si="95">E283+E456</f>
        <v>197.02978796099103</v>
      </c>
      <c r="F107" s="17">
        <f t="shared" si="95"/>
        <v>57.1840970605625</v>
      </c>
      <c r="G107" s="17">
        <f t="shared" si="95"/>
        <v>76.087767483830348</v>
      </c>
      <c r="H107" s="17">
        <f t="shared" si="95"/>
        <v>167.63367646530099</v>
      </c>
      <c r="I107" s="17">
        <f t="shared" si="95"/>
        <v>154.52620985564843</v>
      </c>
      <c r="J107" s="17">
        <f t="shared" si="95"/>
        <v>164.81888696350342</v>
      </c>
      <c r="K107" s="17">
        <f t="shared" si="95"/>
        <v>161.05701882416457</v>
      </c>
      <c r="L107" s="17">
        <f t="shared" si="95"/>
        <v>212.0082159363912</v>
      </c>
      <c r="M107" s="17">
        <f t="shared" si="95"/>
        <v>190.8803138138893</v>
      </c>
      <c r="N107" s="17">
        <f t="shared" si="95"/>
        <v>187.09509240282986</v>
      </c>
      <c r="O107" s="17">
        <f t="shared" si="95"/>
        <v>182.89972912754882</v>
      </c>
      <c r="P107" s="17">
        <f t="shared" si="95"/>
        <v>218.08647954222124</v>
      </c>
      <c r="Q107" s="17">
        <f t="shared" ref="Q107:Q115" si="96">SUM(E107:P107)</f>
        <v>1969.3072754368816</v>
      </c>
    </row>
    <row r="108" spans="3:18" x14ac:dyDescent="0.25">
      <c r="C108" s="17" t="s">
        <v>401</v>
      </c>
      <c r="D108" s="17" t="s">
        <v>401</v>
      </c>
      <c r="E108" s="17">
        <f t="shared" ref="E108:P108" si="97">E284+E457</f>
        <v>0</v>
      </c>
      <c r="F108" s="17">
        <f t="shared" si="97"/>
        <v>0</v>
      </c>
      <c r="G108" s="17">
        <f t="shared" si="97"/>
        <v>0</v>
      </c>
      <c r="H108" s="17">
        <f t="shared" si="97"/>
        <v>0</v>
      </c>
      <c r="I108" s="17">
        <f t="shared" si="97"/>
        <v>0</v>
      </c>
      <c r="J108" s="17">
        <f t="shared" si="97"/>
        <v>0</v>
      </c>
      <c r="K108" s="17">
        <f t="shared" si="97"/>
        <v>0</v>
      </c>
      <c r="L108" s="17">
        <f t="shared" si="97"/>
        <v>0</v>
      </c>
      <c r="M108" s="17">
        <f t="shared" si="97"/>
        <v>0</v>
      </c>
      <c r="N108" s="17">
        <f t="shared" si="97"/>
        <v>0</v>
      </c>
      <c r="O108" s="17">
        <f t="shared" si="97"/>
        <v>0</v>
      </c>
      <c r="P108" s="17">
        <f t="shared" si="97"/>
        <v>0</v>
      </c>
      <c r="Q108" s="17">
        <f t="shared" si="96"/>
        <v>0</v>
      </c>
    </row>
    <row r="109" spans="3:18" x14ac:dyDescent="0.25">
      <c r="C109" s="17" t="s">
        <v>402</v>
      </c>
      <c r="D109" s="17" t="s">
        <v>402</v>
      </c>
      <c r="E109" s="17">
        <f t="shared" ref="E109:P109" si="98">E285+E458</f>
        <v>0</v>
      </c>
      <c r="F109" s="17">
        <f t="shared" si="98"/>
        <v>0</v>
      </c>
      <c r="G109" s="17">
        <f t="shared" si="98"/>
        <v>0</v>
      </c>
      <c r="H109" s="17">
        <f t="shared" si="98"/>
        <v>0</v>
      </c>
      <c r="I109" s="17">
        <f t="shared" si="98"/>
        <v>0</v>
      </c>
      <c r="J109" s="17">
        <f t="shared" si="98"/>
        <v>0</v>
      </c>
      <c r="K109" s="17">
        <f t="shared" si="98"/>
        <v>0</v>
      </c>
      <c r="L109" s="17">
        <f t="shared" si="98"/>
        <v>0</v>
      </c>
      <c r="M109" s="17">
        <f t="shared" si="98"/>
        <v>0</v>
      </c>
      <c r="N109" s="17">
        <f t="shared" si="98"/>
        <v>0</v>
      </c>
      <c r="O109" s="17">
        <f t="shared" si="98"/>
        <v>0</v>
      </c>
      <c r="P109" s="17">
        <f t="shared" si="98"/>
        <v>0</v>
      </c>
      <c r="Q109" s="17">
        <f t="shared" si="96"/>
        <v>0</v>
      </c>
    </row>
    <row r="110" spans="3:18" x14ac:dyDescent="0.25">
      <c r="C110" s="17"/>
      <c r="D110" s="17"/>
      <c r="E110" s="17">
        <f t="shared" ref="E110:P110" si="99">E286+E459</f>
        <v>0</v>
      </c>
      <c r="F110" s="17">
        <f t="shared" si="99"/>
        <v>0</v>
      </c>
      <c r="G110" s="17">
        <f t="shared" si="99"/>
        <v>0</v>
      </c>
      <c r="H110" s="17">
        <f t="shared" si="99"/>
        <v>0</v>
      </c>
      <c r="I110" s="17">
        <f t="shared" si="99"/>
        <v>0</v>
      </c>
      <c r="J110" s="17">
        <f t="shared" si="99"/>
        <v>0</v>
      </c>
      <c r="K110" s="17">
        <f t="shared" si="99"/>
        <v>0</v>
      </c>
      <c r="L110" s="17">
        <f t="shared" si="99"/>
        <v>0</v>
      </c>
      <c r="M110" s="17">
        <f t="shared" si="99"/>
        <v>0</v>
      </c>
      <c r="N110" s="17">
        <f t="shared" si="99"/>
        <v>0</v>
      </c>
      <c r="O110" s="17">
        <f t="shared" si="99"/>
        <v>0</v>
      </c>
      <c r="P110" s="17">
        <f t="shared" si="99"/>
        <v>0</v>
      </c>
      <c r="Q110" s="17">
        <f t="shared" si="96"/>
        <v>0</v>
      </c>
    </row>
    <row r="111" spans="3:18" x14ac:dyDescent="0.25">
      <c r="C111" s="17"/>
      <c r="D111" s="17"/>
      <c r="E111" s="17">
        <f t="shared" ref="E111:P111" si="100">E287+E460</f>
        <v>0</v>
      </c>
      <c r="F111" s="17">
        <f t="shared" si="100"/>
        <v>0</v>
      </c>
      <c r="G111" s="17">
        <f t="shared" si="100"/>
        <v>0</v>
      </c>
      <c r="H111" s="17">
        <f t="shared" si="100"/>
        <v>0</v>
      </c>
      <c r="I111" s="17">
        <f t="shared" si="100"/>
        <v>0</v>
      </c>
      <c r="J111" s="17">
        <f t="shared" si="100"/>
        <v>0</v>
      </c>
      <c r="K111" s="17">
        <f t="shared" si="100"/>
        <v>0</v>
      </c>
      <c r="L111" s="17">
        <f t="shared" si="100"/>
        <v>0</v>
      </c>
      <c r="M111" s="17">
        <f t="shared" si="100"/>
        <v>0</v>
      </c>
      <c r="N111" s="17">
        <f t="shared" si="100"/>
        <v>0</v>
      </c>
      <c r="O111" s="17">
        <f t="shared" si="100"/>
        <v>0</v>
      </c>
      <c r="P111" s="17">
        <f t="shared" si="100"/>
        <v>0</v>
      </c>
      <c r="Q111" s="17">
        <f t="shared" si="96"/>
        <v>0</v>
      </c>
    </row>
    <row r="112" spans="3:18" x14ac:dyDescent="0.25">
      <c r="C112" s="17"/>
      <c r="D112" s="17"/>
      <c r="E112" s="17">
        <f t="shared" ref="E112:P112" si="101">E288+E461</f>
        <v>0</v>
      </c>
      <c r="F112" s="17">
        <f t="shared" si="101"/>
        <v>0</v>
      </c>
      <c r="G112" s="17">
        <f t="shared" si="101"/>
        <v>0</v>
      </c>
      <c r="H112" s="17">
        <f t="shared" si="101"/>
        <v>0</v>
      </c>
      <c r="I112" s="17">
        <f t="shared" si="101"/>
        <v>0</v>
      </c>
      <c r="J112" s="17">
        <f t="shared" si="101"/>
        <v>0</v>
      </c>
      <c r="K112" s="17">
        <f t="shared" si="101"/>
        <v>0</v>
      </c>
      <c r="L112" s="17">
        <f t="shared" si="101"/>
        <v>0</v>
      </c>
      <c r="M112" s="17">
        <f t="shared" si="101"/>
        <v>0</v>
      </c>
      <c r="N112" s="17">
        <f t="shared" si="101"/>
        <v>0</v>
      </c>
      <c r="O112" s="17">
        <f t="shared" si="101"/>
        <v>0</v>
      </c>
      <c r="P112" s="17">
        <f t="shared" si="101"/>
        <v>0</v>
      </c>
      <c r="Q112" s="17">
        <f t="shared" si="96"/>
        <v>0</v>
      </c>
    </row>
    <row r="113" spans="3:18" x14ac:dyDescent="0.25">
      <c r="C113" s="17"/>
      <c r="D113" s="17"/>
      <c r="E113" s="17">
        <f t="shared" ref="E113:P113" si="102">E289+E462</f>
        <v>0</v>
      </c>
      <c r="F113" s="17">
        <f t="shared" si="102"/>
        <v>0</v>
      </c>
      <c r="G113" s="17">
        <f t="shared" si="102"/>
        <v>0</v>
      </c>
      <c r="H113" s="17">
        <f t="shared" si="102"/>
        <v>0</v>
      </c>
      <c r="I113" s="17">
        <f t="shared" si="102"/>
        <v>0</v>
      </c>
      <c r="J113" s="17">
        <f t="shared" si="102"/>
        <v>0</v>
      </c>
      <c r="K113" s="17">
        <f t="shared" si="102"/>
        <v>0</v>
      </c>
      <c r="L113" s="17">
        <f t="shared" si="102"/>
        <v>0</v>
      </c>
      <c r="M113" s="17">
        <f t="shared" si="102"/>
        <v>0</v>
      </c>
      <c r="N113" s="17">
        <f t="shared" si="102"/>
        <v>0</v>
      </c>
      <c r="O113" s="17">
        <f t="shared" si="102"/>
        <v>0</v>
      </c>
      <c r="P113" s="17">
        <f t="shared" si="102"/>
        <v>0</v>
      </c>
      <c r="Q113" s="17">
        <f t="shared" si="96"/>
        <v>0</v>
      </c>
    </row>
    <row r="114" spans="3:18" x14ac:dyDescent="0.25">
      <c r="C114" s="17"/>
      <c r="D114" s="17"/>
      <c r="E114" s="17">
        <f t="shared" ref="E114:P114" si="103">E290+E463</f>
        <v>0</v>
      </c>
      <c r="F114" s="17">
        <f t="shared" si="103"/>
        <v>0</v>
      </c>
      <c r="G114" s="17">
        <f t="shared" si="103"/>
        <v>0</v>
      </c>
      <c r="H114" s="17">
        <f t="shared" si="103"/>
        <v>0</v>
      </c>
      <c r="I114" s="17">
        <f t="shared" si="103"/>
        <v>0</v>
      </c>
      <c r="J114" s="17">
        <f t="shared" si="103"/>
        <v>0</v>
      </c>
      <c r="K114" s="17">
        <f t="shared" si="103"/>
        <v>0</v>
      </c>
      <c r="L114" s="17">
        <f t="shared" si="103"/>
        <v>0</v>
      </c>
      <c r="M114" s="17">
        <f t="shared" si="103"/>
        <v>0</v>
      </c>
      <c r="N114" s="17">
        <f t="shared" si="103"/>
        <v>0</v>
      </c>
      <c r="O114" s="17">
        <f t="shared" si="103"/>
        <v>0</v>
      </c>
      <c r="P114" s="17">
        <f t="shared" si="103"/>
        <v>0</v>
      </c>
      <c r="Q114" s="17">
        <f t="shared" si="96"/>
        <v>0</v>
      </c>
    </row>
    <row r="115" spans="3:18" x14ac:dyDescent="0.25">
      <c r="C115" s="753" t="s">
        <v>403</v>
      </c>
      <c r="D115" s="754"/>
      <c r="E115" s="28">
        <f t="shared" ref="E115:P115" si="104">SUM(E107:E114)</f>
        <v>197.02978796099103</v>
      </c>
      <c r="F115" s="28">
        <f t="shared" si="104"/>
        <v>57.1840970605625</v>
      </c>
      <c r="G115" s="28">
        <f t="shared" si="104"/>
        <v>76.087767483830348</v>
      </c>
      <c r="H115" s="28">
        <f t="shared" si="104"/>
        <v>167.63367646530099</v>
      </c>
      <c r="I115" s="28">
        <f t="shared" si="104"/>
        <v>154.52620985564843</v>
      </c>
      <c r="J115" s="28">
        <f t="shared" si="104"/>
        <v>164.81888696350342</v>
      </c>
      <c r="K115" s="28">
        <f t="shared" si="104"/>
        <v>161.05701882416457</v>
      </c>
      <c r="L115" s="28">
        <f t="shared" si="104"/>
        <v>212.0082159363912</v>
      </c>
      <c r="M115" s="28">
        <f t="shared" si="104"/>
        <v>190.8803138138893</v>
      </c>
      <c r="N115" s="28">
        <f t="shared" si="104"/>
        <v>187.09509240282986</v>
      </c>
      <c r="O115" s="28">
        <f t="shared" si="104"/>
        <v>182.89972912754882</v>
      </c>
      <c r="P115" s="28">
        <f t="shared" si="104"/>
        <v>218.08647954222124</v>
      </c>
      <c r="Q115" s="28">
        <f t="shared" si="96"/>
        <v>1969.3072754368816</v>
      </c>
      <c r="R115" s="427"/>
    </row>
    <row r="116" spans="3:18" x14ac:dyDescent="0.25">
      <c r="C116" s="800" t="s">
        <v>404</v>
      </c>
      <c r="D116" s="801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</row>
    <row r="117" spans="3:18" x14ac:dyDescent="0.25">
      <c r="C117" s="17"/>
      <c r="D117" s="17" t="s">
        <v>405</v>
      </c>
      <c r="E117" s="66">
        <f t="shared" ref="E117:P117" si="105">E293+E466</f>
        <v>2.4381312685857193E-2</v>
      </c>
      <c r="F117" s="66">
        <f t="shared" si="105"/>
        <v>2.0907855515269132E-2</v>
      </c>
      <c r="G117" s="66">
        <f t="shared" si="105"/>
        <v>4.973274024739318E-2</v>
      </c>
      <c r="H117" s="66">
        <f t="shared" si="105"/>
        <v>7.2339346358981871E-2</v>
      </c>
      <c r="I117" s="66">
        <f t="shared" si="105"/>
        <v>3.9474120766783555E-2</v>
      </c>
      <c r="J117" s="66">
        <f t="shared" si="105"/>
        <v>2.9028112746704183E-2</v>
      </c>
      <c r="K117" s="66">
        <f t="shared" si="105"/>
        <v>1.760349732300745E-2</v>
      </c>
      <c r="L117" s="66">
        <f t="shared" si="105"/>
        <v>2.4443849476385046E-2</v>
      </c>
      <c r="M117" s="66">
        <f t="shared" si="105"/>
        <v>2.7950799985229129E-2</v>
      </c>
      <c r="N117" s="66">
        <f t="shared" si="105"/>
        <v>2.7032252798690055E-2</v>
      </c>
      <c r="O117" s="66">
        <f t="shared" si="105"/>
        <v>1.8534539948314627E-2</v>
      </c>
      <c r="P117" s="66">
        <f t="shared" si="105"/>
        <v>2.4071572147384597E-2</v>
      </c>
      <c r="Q117" s="66">
        <f t="shared" ref="Q117:Q141" si="106">SUM(E117:P117)</f>
        <v>0.37550000000000006</v>
      </c>
    </row>
    <row r="118" spans="3:18" x14ac:dyDescent="0.25">
      <c r="C118" s="17"/>
      <c r="D118" s="17" t="s">
        <v>406</v>
      </c>
      <c r="E118" s="66">
        <f t="shared" ref="E118:P118" si="107">E294+E467</f>
        <v>0</v>
      </c>
      <c r="F118" s="66">
        <f t="shared" si="107"/>
        <v>0</v>
      </c>
      <c r="G118" s="66">
        <f t="shared" si="107"/>
        <v>0</v>
      </c>
      <c r="H118" s="66">
        <f t="shared" si="107"/>
        <v>0</v>
      </c>
      <c r="I118" s="66">
        <f t="shared" si="107"/>
        <v>0</v>
      </c>
      <c r="J118" s="66">
        <f t="shared" si="107"/>
        <v>0</v>
      </c>
      <c r="K118" s="66">
        <f t="shared" si="107"/>
        <v>0</v>
      </c>
      <c r="L118" s="66">
        <f t="shared" si="107"/>
        <v>0</v>
      </c>
      <c r="M118" s="66">
        <f t="shared" si="107"/>
        <v>0</v>
      </c>
      <c r="N118" s="66">
        <f t="shared" si="107"/>
        <v>0</v>
      </c>
      <c r="O118" s="66">
        <f t="shared" si="107"/>
        <v>0</v>
      </c>
      <c r="P118" s="66">
        <f t="shared" si="107"/>
        <v>0</v>
      </c>
      <c r="Q118" s="66">
        <f t="shared" si="106"/>
        <v>0</v>
      </c>
    </row>
    <row r="119" spans="3:18" x14ac:dyDescent="0.25">
      <c r="C119" s="17"/>
      <c r="D119" s="17" t="s">
        <v>407</v>
      </c>
      <c r="E119" s="66">
        <f t="shared" ref="E119:P119" si="108">E295+E468</f>
        <v>0</v>
      </c>
      <c r="F119" s="66">
        <f t="shared" si="108"/>
        <v>0</v>
      </c>
      <c r="G119" s="66">
        <f t="shared" si="108"/>
        <v>0</v>
      </c>
      <c r="H119" s="66">
        <f t="shared" si="108"/>
        <v>0</v>
      </c>
      <c r="I119" s="66">
        <f t="shared" si="108"/>
        <v>0</v>
      </c>
      <c r="J119" s="66">
        <f t="shared" si="108"/>
        <v>0</v>
      </c>
      <c r="K119" s="66">
        <f t="shared" si="108"/>
        <v>0</v>
      </c>
      <c r="L119" s="66">
        <f t="shared" si="108"/>
        <v>0</v>
      </c>
      <c r="M119" s="66">
        <f t="shared" si="108"/>
        <v>0</v>
      </c>
      <c r="N119" s="66">
        <f t="shared" si="108"/>
        <v>0</v>
      </c>
      <c r="O119" s="66">
        <f t="shared" si="108"/>
        <v>0</v>
      </c>
      <c r="P119" s="66">
        <f t="shared" si="108"/>
        <v>0</v>
      </c>
      <c r="Q119" s="66">
        <f t="shared" si="106"/>
        <v>0</v>
      </c>
    </row>
    <row r="120" spans="3:18" x14ac:dyDescent="0.25">
      <c r="C120" s="17"/>
      <c r="D120" s="17" t="s">
        <v>408</v>
      </c>
      <c r="E120" s="66">
        <f t="shared" ref="E120:P120" si="109">E296+E469</f>
        <v>2.1146084619384302</v>
      </c>
      <c r="F120" s="66">
        <f t="shared" si="109"/>
        <v>1.4868695906168468</v>
      </c>
      <c r="G120" s="66">
        <f t="shared" si="109"/>
        <v>1.2362510151330321</v>
      </c>
      <c r="H120" s="66">
        <f t="shared" si="109"/>
        <v>1.7456094910597535</v>
      </c>
      <c r="I120" s="66">
        <f t="shared" si="109"/>
        <v>1.7456094910597535</v>
      </c>
      <c r="J120" s="66">
        <f t="shared" si="109"/>
        <v>1.2443683453430054</v>
      </c>
      <c r="K120" s="66">
        <f t="shared" si="109"/>
        <v>1.7456094910597535</v>
      </c>
      <c r="L120" s="66">
        <f t="shared" si="109"/>
        <v>1.6402033750121521</v>
      </c>
      <c r="M120" s="66">
        <f t="shared" si="109"/>
        <v>2.6768520898696355</v>
      </c>
      <c r="N120" s="66">
        <f t="shared" si="109"/>
        <v>2.7215812957559904</v>
      </c>
      <c r="O120" s="66">
        <f t="shared" si="109"/>
        <v>2.9731408248835001</v>
      </c>
      <c r="P120" s="66">
        <f t="shared" si="109"/>
        <v>2.8827601016296511</v>
      </c>
      <c r="Q120" s="66">
        <f t="shared" si="106"/>
        <v>24.213463573361501</v>
      </c>
    </row>
    <row r="121" spans="3:18" x14ac:dyDescent="0.25">
      <c r="C121" s="17"/>
      <c r="D121" s="17" t="s">
        <v>409</v>
      </c>
      <c r="E121" s="66">
        <f t="shared" ref="E121:P121" si="110">E297+E470</f>
        <v>0</v>
      </c>
      <c r="F121" s="66">
        <f t="shared" si="110"/>
        <v>0</v>
      </c>
      <c r="G121" s="66">
        <f t="shared" si="110"/>
        <v>0</v>
      </c>
      <c r="H121" s="66">
        <f t="shared" si="110"/>
        <v>0</v>
      </c>
      <c r="I121" s="66">
        <f t="shared" si="110"/>
        <v>0</v>
      </c>
      <c r="J121" s="66">
        <f t="shared" si="110"/>
        <v>0</v>
      </c>
      <c r="K121" s="66">
        <f t="shared" si="110"/>
        <v>0</v>
      </c>
      <c r="L121" s="66">
        <f t="shared" si="110"/>
        <v>0</v>
      </c>
      <c r="M121" s="66">
        <f t="shared" si="110"/>
        <v>0</v>
      </c>
      <c r="N121" s="66">
        <f t="shared" si="110"/>
        <v>0</v>
      </c>
      <c r="O121" s="66">
        <f t="shared" si="110"/>
        <v>0</v>
      </c>
      <c r="P121" s="66">
        <f t="shared" si="110"/>
        <v>0</v>
      </c>
      <c r="Q121" s="66">
        <f t="shared" si="106"/>
        <v>0</v>
      </c>
    </row>
    <row r="122" spans="3:18" x14ac:dyDescent="0.25">
      <c r="C122" s="17"/>
      <c r="D122" s="17" t="s">
        <v>367</v>
      </c>
      <c r="E122" s="66">
        <f t="shared" ref="E122:P122" si="111">E298+E471</f>
        <v>2.1823197276368183E-3</v>
      </c>
      <c r="F122" s="66">
        <f t="shared" si="111"/>
        <v>2.3385048234746226E-3</v>
      </c>
      <c r="G122" s="66">
        <f t="shared" si="111"/>
        <v>2.4228042375097326E-3</v>
      </c>
      <c r="H122" s="66">
        <f t="shared" si="111"/>
        <v>5.2967974263227373E-3</v>
      </c>
      <c r="I122" s="66">
        <f t="shared" si="111"/>
        <v>1.2435913420955701E-2</v>
      </c>
      <c r="J122" s="66">
        <f t="shared" si="111"/>
        <v>6.2809616233186569E-3</v>
      </c>
      <c r="K122" s="66">
        <f t="shared" si="111"/>
        <v>6.9232085016272902E-3</v>
      </c>
      <c r="L122" s="66">
        <f t="shared" si="111"/>
        <v>2.3745174155089797E-3</v>
      </c>
      <c r="M122" s="66">
        <f t="shared" si="111"/>
        <v>4.073496475464013E-3</v>
      </c>
      <c r="N122" s="66">
        <f t="shared" si="111"/>
        <v>7.7727916348899698E-3</v>
      </c>
      <c r="O122" s="66">
        <f t="shared" si="111"/>
        <v>7.2301514143038054E-3</v>
      </c>
      <c r="P122" s="66">
        <f t="shared" si="111"/>
        <v>3.2426178060298862E-3</v>
      </c>
      <c r="Q122" s="66">
        <f t="shared" si="106"/>
        <v>6.2574084507042216E-2</v>
      </c>
    </row>
    <row r="123" spans="3:18" x14ac:dyDescent="0.25">
      <c r="C123" s="17"/>
      <c r="D123" s="17" t="s">
        <v>410</v>
      </c>
      <c r="E123" s="66">
        <f t="shared" ref="E123:P123" si="112">E299+E472</f>
        <v>130.44119501131587</v>
      </c>
      <c r="F123" s="66">
        <f t="shared" si="112"/>
        <v>134.50565697805982</v>
      </c>
      <c r="G123" s="66">
        <f t="shared" si="112"/>
        <v>125.9310209186521</v>
      </c>
      <c r="H123" s="66">
        <f t="shared" si="112"/>
        <v>98.630861130837445</v>
      </c>
      <c r="I123" s="66">
        <f t="shared" si="112"/>
        <v>121.30900432303102</v>
      </c>
      <c r="J123" s="66">
        <f t="shared" si="112"/>
        <v>106.92997657533506</v>
      </c>
      <c r="K123" s="66">
        <f t="shared" si="112"/>
        <v>131.09370742557982</v>
      </c>
      <c r="L123" s="66">
        <f t="shared" si="112"/>
        <v>101.08259930004054</v>
      </c>
      <c r="M123" s="66">
        <f t="shared" si="112"/>
        <v>110.80879291686608</v>
      </c>
      <c r="N123" s="66">
        <f t="shared" si="112"/>
        <v>118.13840357908937</v>
      </c>
      <c r="O123" s="66">
        <f t="shared" si="112"/>
        <v>125.5922825882022</v>
      </c>
      <c r="P123" s="66">
        <f t="shared" si="112"/>
        <v>130.02645526519603</v>
      </c>
      <c r="Q123" s="66">
        <f t="shared" si="106"/>
        <v>1434.4899560122053</v>
      </c>
    </row>
    <row r="124" spans="3:18" x14ac:dyDescent="0.25">
      <c r="C124" s="17"/>
      <c r="D124" s="17" t="s">
        <v>411</v>
      </c>
      <c r="E124" s="66">
        <f t="shared" ref="E124:P124" si="113">E300+E473</f>
        <v>6.2124085882401463</v>
      </c>
      <c r="F124" s="66">
        <f t="shared" si="113"/>
        <v>6.4059831597287396</v>
      </c>
      <c r="G124" s="66">
        <f t="shared" si="113"/>
        <v>5.9976064755694374</v>
      </c>
      <c r="H124" s="66">
        <f t="shared" si="113"/>
        <v>4.6974056677538147</v>
      </c>
      <c r="I124" s="66">
        <f t="shared" si="113"/>
        <v>5.777477737933034</v>
      </c>
      <c r="J124" s="66">
        <f t="shared" si="113"/>
        <v>5.0926603728162814</v>
      </c>
      <c r="K124" s="66">
        <f t="shared" si="113"/>
        <v>6.2434852256931777</v>
      </c>
      <c r="L124" s="66">
        <f t="shared" si="113"/>
        <v>4.8141724549421117</v>
      </c>
      <c r="M124" s="66">
        <f t="shared" si="113"/>
        <v>5.277393362653144</v>
      </c>
      <c r="N124" s="66">
        <f t="shared" si="113"/>
        <v>5.6264743122910428</v>
      </c>
      <c r="O124" s="66">
        <f t="shared" si="113"/>
        <v>5.9814736816842657</v>
      </c>
      <c r="P124" s="66">
        <f t="shared" si="113"/>
        <v>6.1926561414731882</v>
      </c>
      <c r="Q124" s="66">
        <f t="shared" si="106"/>
        <v>68.319197180778389</v>
      </c>
    </row>
    <row r="125" spans="3:18" x14ac:dyDescent="0.25">
      <c r="C125" s="17"/>
      <c r="D125" s="17" t="s">
        <v>412</v>
      </c>
      <c r="E125" s="66">
        <f t="shared" ref="E125:P125" si="114">E301+E474</f>
        <v>14.196758651722586</v>
      </c>
      <c r="F125" s="66">
        <f t="shared" si="114"/>
        <v>14.639120327311065</v>
      </c>
      <c r="G125" s="66">
        <f t="shared" si="114"/>
        <v>13.705887243612249</v>
      </c>
      <c r="H125" s="66">
        <f t="shared" si="114"/>
        <v>10.734634338213429</v>
      </c>
      <c r="I125" s="66">
        <f t="shared" si="114"/>
        <v>13.20284329276071</v>
      </c>
      <c r="J125" s="66">
        <f t="shared" si="114"/>
        <v>11.637880731947362</v>
      </c>
      <c r="K125" s="66">
        <f t="shared" si="114"/>
        <v>14.267775796741494</v>
      </c>
      <c r="L125" s="66">
        <f t="shared" si="114"/>
        <v>11.00147285546538</v>
      </c>
      <c r="M125" s="66">
        <f t="shared" si="114"/>
        <v>12.060037393807878</v>
      </c>
      <c r="N125" s="66">
        <f t="shared" si="114"/>
        <v>12.857766313522614</v>
      </c>
      <c r="O125" s="66">
        <f t="shared" si="114"/>
        <v>13.669020160915963</v>
      </c>
      <c r="P125" s="66">
        <f t="shared" si="114"/>
        <v>14.151619843553666</v>
      </c>
      <c r="Q125" s="66">
        <f t="shared" si="106"/>
        <v>156.12481694957441</v>
      </c>
    </row>
    <row r="126" spans="3:18" x14ac:dyDescent="0.25">
      <c r="C126" s="17"/>
      <c r="D126" s="17" t="s">
        <v>413</v>
      </c>
      <c r="E126" s="66">
        <f t="shared" ref="E126:P126" si="115">E302+E475</f>
        <v>12.302153542802937</v>
      </c>
      <c r="F126" s="66">
        <f t="shared" si="115"/>
        <v>12.685480567516484</v>
      </c>
      <c r="G126" s="66">
        <f t="shared" si="115"/>
        <v>11.876790572248215</v>
      </c>
      <c r="H126" s="66">
        <f t="shared" si="115"/>
        <v>9.302061343313941</v>
      </c>
      <c r="I126" s="66">
        <f t="shared" si="115"/>
        <v>11.440879525651459</v>
      </c>
      <c r="J126" s="66">
        <f t="shared" si="115"/>
        <v>10.084766473076053</v>
      </c>
      <c r="K126" s="66">
        <f t="shared" si="115"/>
        <v>12.363693211372858</v>
      </c>
      <c r="L126" s="66">
        <f t="shared" si="115"/>
        <v>9.5332893645051797</v>
      </c>
      <c r="M126" s="66">
        <f t="shared" si="115"/>
        <v>10.450584910983711</v>
      </c>
      <c r="N126" s="66">
        <f t="shared" si="115"/>
        <v>11.141854227918548</v>
      </c>
      <c r="O126" s="66">
        <f t="shared" si="115"/>
        <v>11.844843525522169</v>
      </c>
      <c r="P126" s="66">
        <f t="shared" si="115"/>
        <v>12.263038660141623</v>
      </c>
      <c r="Q126" s="66">
        <f t="shared" si="106"/>
        <v>135.28943592505317</v>
      </c>
    </row>
    <row r="127" spans="3:18" x14ac:dyDescent="0.25">
      <c r="C127" s="17"/>
      <c r="D127" s="17" t="s">
        <v>414</v>
      </c>
      <c r="E127" s="66">
        <f t="shared" ref="E127:P127" si="116">E303+E476</f>
        <v>29.277220898292239</v>
      </c>
      <c r="F127" s="66">
        <f t="shared" si="116"/>
        <v>30.189479873094996</v>
      </c>
      <c r="G127" s="66">
        <f t="shared" si="116"/>
        <v>28.264922880099316</v>
      </c>
      <c r="H127" s="66">
        <f t="shared" si="116"/>
        <v>22.137465916850964</v>
      </c>
      <c r="I127" s="66">
        <f t="shared" si="116"/>
        <v>27.227522073905909</v>
      </c>
      <c r="J127" s="66">
        <f t="shared" si="116"/>
        <v>24.000182952737564</v>
      </c>
      <c r="K127" s="66">
        <f t="shared" si="116"/>
        <v>29.423675782346521</v>
      </c>
      <c r="L127" s="66">
        <f t="shared" si="116"/>
        <v>22.687752810177148</v>
      </c>
      <c r="M127" s="66">
        <f t="shared" si="116"/>
        <v>24.870774201499565</v>
      </c>
      <c r="N127" s="66">
        <f t="shared" si="116"/>
        <v>26.515888158311849</v>
      </c>
      <c r="O127" s="66">
        <f t="shared" si="116"/>
        <v>28.188893854710205</v>
      </c>
      <c r="P127" s="66">
        <f t="shared" si="116"/>
        <v>29.184133533051533</v>
      </c>
      <c r="Q127" s="66">
        <f t="shared" si="106"/>
        <v>321.96791293507783</v>
      </c>
    </row>
    <row r="128" spans="3:18" x14ac:dyDescent="0.25">
      <c r="C128" s="17"/>
      <c r="D128" s="17" t="s">
        <v>415</v>
      </c>
      <c r="E128" s="66">
        <f t="shared" ref="E128:P128" si="117">E304+E477</f>
        <v>0</v>
      </c>
      <c r="F128" s="66">
        <f t="shared" si="117"/>
        <v>0</v>
      </c>
      <c r="G128" s="66">
        <f t="shared" si="117"/>
        <v>0</v>
      </c>
      <c r="H128" s="66">
        <f t="shared" si="117"/>
        <v>0</v>
      </c>
      <c r="I128" s="66">
        <f t="shared" si="117"/>
        <v>0</v>
      </c>
      <c r="J128" s="66">
        <f t="shared" si="117"/>
        <v>0</v>
      </c>
      <c r="K128" s="66">
        <f t="shared" si="117"/>
        <v>0</v>
      </c>
      <c r="L128" s="66">
        <f t="shared" si="117"/>
        <v>0</v>
      </c>
      <c r="M128" s="66">
        <f t="shared" si="117"/>
        <v>0</v>
      </c>
      <c r="N128" s="66">
        <f t="shared" si="117"/>
        <v>0</v>
      </c>
      <c r="O128" s="66">
        <f t="shared" si="117"/>
        <v>0</v>
      </c>
      <c r="P128" s="66">
        <f t="shared" si="117"/>
        <v>0</v>
      </c>
      <c r="Q128" s="66">
        <f t="shared" si="106"/>
        <v>0</v>
      </c>
    </row>
    <row r="129" spans="3:18" x14ac:dyDescent="0.25">
      <c r="C129" s="17"/>
      <c r="D129" s="17" t="s">
        <v>416</v>
      </c>
      <c r="E129" s="66">
        <f t="shared" ref="E129:P129" si="118">E305+E478</f>
        <v>35.786238655727253</v>
      </c>
      <c r="F129" s="66">
        <f t="shared" si="118"/>
        <v>36.901314348926839</v>
      </c>
      <c r="G129" s="66">
        <f t="shared" si="118"/>
        <v>34.548882876788383</v>
      </c>
      <c r="H129" s="66">
        <f t="shared" si="118"/>
        <v>27.059147495098038</v>
      </c>
      <c r="I129" s="66">
        <f t="shared" si="118"/>
        <v>33.280843367128277</v>
      </c>
      <c r="J129" s="66">
        <f t="shared" si="118"/>
        <v>29.335990526952038</v>
      </c>
      <c r="K129" s="66">
        <f t="shared" si="118"/>
        <v>35.965253919890152</v>
      </c>
      <c r="L129" s="66">
        <f t="shared" si="118"/>
        <v>27.731776163034151</v>
      </c>
      <c r="M129" s="66">
        <f t="shared" si="118"/>
        <v>30.400134774386459</v>
      </c>
      <c r="N129" s="66">
        <f t="shared" si="118"/>
        <v>32.410996422726392</v>
      </c>
      <c r="O129" s="66">
        <f t="shared" si="118"/>
        <v>34.455950803187925</v>
      </c>
      <c r="P129" s="66">
        <f t="shared" si="118"/>
        <v>35.672455770394343</v>
      </c>
      <c r="Q129" s="66">
        <f t="shared" si="106"/>
        <v>393.54898512424023</v>
      </c>
    </row>
    <row r="130" spans="3:18" x14ac:dyDescent="0.25">
      <c r="C130" s="17"/>
      <c r="D130" s="17" t="s">
        <v>417</v>
      </c>
      <c r="E130" s="66">
        <f t="shared" ref="E130:P130" si="119">E306+E479</f>
        <v>18.313771960512376</v>
      </c>
      <c r="F130" s="66">
        <f t="shared" si="119"/>
        <v>18.884417066873652</v>
      </c>
      <c r="G130" s="66">
        <f t="shared" si="119"/>
        <v>17.680549458770578</v>
      </c>
      <c r="H130" s="66">
        <f t="shared" si="119"/>
        <v>13.847642984736709</v>
      </c>
      <c r="I130" s="66">
        <f t="shared" si="119"/>
        <v>17.031624416934182</v>
      </c>
      <c r="J130" s="66">
        <f t="shared" si="119"/>
        <v>15.01282786142624</v>
      </c>
      <c r="K130" s="66">
        <f t="shared" si="119"/>
        <v>18.405383843976008</v>
      </c>
      <c r="L130" s="66">
        <f t="shared" si="119"/>
        <v>14.191863794226947</v>
      </c>
      <c r="M130" s="66">
        <f t="shared" si="119"/>
        <v>15.55740856654279</v>
      </c>
      <c r="N130" s="66">
        <f t="shared" si="119"/>
        <v>16.586476248847088</v>
      </c>
      <c r="O130" s="66">
        <f t="shared" si="119"/>
        <v>17.632991043366566</v>
      </c>
      <c r="P130" s="66">
        <f t="shared" si="119"/>
        <v>18.255543046458492</v>
      </c>
      <c r="Q130" s="66">
        <f t="shared" si="106"/>
        <v>201.40050029267161</v>
      </c>
    </row>
    <row r="131" spans="3:18" x14ac:dyDescent="0.25">
      <c r="C131" s="17"/>
      <c r="D131" s="327" t="s">
        <v>418</v>
      </c>
      <c r="E131" s="66">
        <f t="shared" ref="E131:P131" si="120">E307+E480</f>
        <v>0</v>
      </c>
      <c r="F131" s="66">
        <f t="shared" si="120"/>
        <v>0</v>
      </c>
      <c r="G131" s="66">
        <f t="shared" si="120"/>
        <v>0</v>
      </c>
      <c r="H131" s="66">
        <f t="shared" si="120"/>
        <v>0</v>
      </c>
      <c r="I131" s="66">
        <f t="shared" si="120"/>
        <v>0</v>
      </c>
      <c r="J131" s="66">
        <f t="shared" si="120"/>
        <v>0</v>
      </c>
      <c r="K131" s="66">
        <f t="shared" si="120"/>
        <v>0</v>
      </c>
      <c r="L131" s="66">
        <f t="shared" si="120"/>
        <v>0</v>
      </c>
      <c r="M131" s="66">
        <f t="shared" si="120"/>
        <v>0</v>
      </c>
      <c r="N131" s="66">
        <f t="shared" si="120"/>
        <v>0</v>
      </c>
      <c r="O131" s="66">
        <f t="shared" si="120"/>
        <v>0</v>
      </c>
      <c r="P131" s="66">
        <f t="shared" si="120"/>
        <v>0</v>
      </c>
      <c r="Q131" s="66">
        <f t="shared" si="106"/>
        <v>0</v>
      </c>
    </row>
    <row r="132" spans="3:18" x14ac:dyDescent="0.25">
      <c r="C132" s="17"/>
      <c r="D132" s="327" t="s">
        <v>419</v>
      </c>
      <c r="E132" s="66">
        <f t="shared" ref="E132:P132" si="121">E308+E481</f>
        <v>0</v>
      </c>
      <c r="F132" s="66">
        <f t="shared" si="121"/>
        <v>0</v>
      </c>
      <c r="G132" s="66">
        <f t="shared" si="121"/>
        <v>0</v>
      </c>
      <c r="H132" s="66">
        <f t="shared" si="121"/>
        <v>0</v>
      </c>
      <c r="I132" s="66">
        <f t="shared" si="121"/>
        <v>0</v>
      </c>
      <c r="J132" s="66">
        <f t="shared" si="121"/>
        <v>0</v>
      </c>
      <c r="K132" s="66">
        <f t="shared" si="121"/>
        <v>0</v>
      </c>
      <c r="L132" s="66">
        <f t="shared" si="121"/>
        <v>0</v>
      </c>
      <c r="M132" s="66">
        <f t="shared" si="121"/>
        <v>0</v>
      </c>
      <c r="N132" s="66">
        <f t="shared" si="121"/>
        <v>0</v>
      </c>
      <c r="O132" s="66">
        <f t="shared" si="121"/>
        <v>0</v>
      </c>
      <c r="P132" s="66">
        <f t="shared" si="121"/>
        <v>0</v>
      </c>
      <c r="Q132" s="66">
        <f t="shared" si="106"/>
        <v>0</v>
      </c>
    </row>
    <row r="133" spans="3:18" x14ac:dyDescent="0.25">
      <c r="C133" s="17"/>
      <c r="D133" s="17"/>
      <c r="E133" s="17">
        <f t="shared" ref="E133:P133" si="122">E309+E482</f>
        <v>0</v>
      </c>
      <c r="F133" s="17">
        <f t="shared" si="122"/>
        <v>0</v>
      </c>
      <c r="G133" s="17">
        <f t="shared" si="122"/>
        <v>0</v>
      </c>
      <c r="H133" s="17">
        <f t="shared" si="122"/>
        <v>0</v>
      </c>
      <c r="I133" s="17">
        <f t="shared" si="122"/>
        <v>0</v>
      </c>
      <c r="J133" s="17">
        <f t="shared" si="122"/>
        <v>0</v>
      </c>
      <c r="K133" s="17">
        <f t="shared" si="122"/>
        <v>0</v>
      </c>
      <c r="L133" s="17">
        <f t="shared" si="122"/>
        <v>0</v>
      </c>
      <c r="M133" s="17">
        <f t="shared" si="122"/>
        <v>0</v>
      </c>
      <c r="N133" s="17">
        <f t="shared" si="122"/>
        <v>0</v>
      </c>
      <c r="O133" s="17">
        <f t="shared" si="122"/>
        <v>0</v>
      </c>
      <c r="P133" s="17">
        <f t="shared" si="122"/>
        <v>0</v>
      </c>
      <c r="Q133" s="17">
        <f t="shared" si="106"/>
        <v>0</v>
      </c>
    </row>
    <row r="134" spans="3:18" x14ac:dyDescent="0.25">
      <c r="C134" s="17"/>
      <c r="D134" s="17"/>
      <c r="E134" s="17">
        <f t="shared" ref="E134:P134" si="123">E310+E483</f>
        <v>0</v>
      </c>
      <c r="F134" s="17">
        <f t="shared" si="123"/>
        <v>0</v>
      </c>
      <c r="G134" s="17">
        <f t="shared" si="123"/>
        <v>0</v>
      </c>
      <c r="H134" s="17">
        <f t="shared" si="123"/>
        <v>0</v>
      </c>
      <c r="I134" s="17">
        <f t="shared" si="123"/>
        <v>0</v>
      </c>
      <c r="J134" s="17">
        <f t="shared" si="123"/>
        <v>0</v>
      </c>
      <c r="K134" s="17">
        <f t="shared" si="123"/>
        <v>0</v>
      </c>
      <c r="L134" s="17">
        <f t="shared" si="123"/>
        <v>0</v>
      </c>
      <c r="M134" s="17">
        <f t="shared" si="123"/>
        <v>0</v>
      </c>
      <c r="N134" s="17">
        <f t="shared" si="123"/>
        <v>0</v>
      </c>
      <c r="O134" s="17">
        <f t="shared" si="123"/>
        <v>0</v>
      </c>
      <c r="P134" s="17">
        <f t="shared" si="123"/>
        <v>0</v>
      </c>
      <c r="Q134" s="17">
        <f t="shared" si="106"/>
        <v>0</v>
      </c>
    </row>
    <row r="135" spans="3:18" x14ac:dyDescent="0.25">
      <c r="C135" s="17"/>
      <c r="D135" s="17"/>
      <c r="E135" s="17">
        <f t="shared" ref="E135:P135" si="124">E311+E484</f>
        <v>0</v>
      </c>
      <c r="F135" s="17">
        <f t="shared" si="124"/>
        <v>0</v>
      </c>
      <c r="G135" s="17">
        <f t="shared" si="124"/>
        <v>0</v>
      </c>
      <c r="H135" s="17">
        <f t="shared" si="124"/>
        <v>0</v>
      </c>
      <c r="I135" s="17">
        <f t="shared" si="124"/>
        <v>0</v>
      </c>
      <c r="J135" s="17">
        <f t="shared" si="124"/>
        <v>0</v>
      </c>
      <c r="K135" s="17">
        <f t="shared" si="124"/>
        <v>0</v>
      </c>
      <c r="L135" s="17">
        <f t="shared" si="124"/>
        <v>0</v>
      </c>
      <c r="M135" s="17">
        <f t="shared" si="124"/>
        <v>0</v>
      </c>
      <c r="N135" s="17">
        <f t="shared" si="124"/>
        <v>0</v>
      </c>
      <c r="O135" s="17">
        <f t="shared" si="124"/>
        <v>0</v>
      </c>
      <c r="P135" s="17">
        <f t="shared" si="124"/>
        <v>0</v>
      </c>
      <c r="Q135" s="17">
        <f t="shared" si="106"/>
        <v>0</v>
      </c>
    </row>
    <row r="136" spans="3:18" x14ac:dyDescent="0.25">
      <c r="C136" s="17"/>
      <c r="D136" s="17"/>
      <c r="E136" s="17">
        <f t="shared" ref="E136:P136" si="125">E312+E485</f>
        <v>0</v>
      </c>
      <c r="F136" s="17">
        <f t="shared" si="125"/>
        <v>0</v>
      </c>
      <c r="G136" s="17">
        <f t="shared" si="125"/>
        <v>0</v>
      </c>
      <c r="H136" s="17">
        <f t="shared" si="125"/>
        <v>0</v>
      </c>
      <c r="I136" s="17">
        <f t="shared" si="125"/>
        <v>0</v>
      </c>
      <c r="J136" s="17">
        <f t="shared" si="125"/>
        <v>0</v>
      </c>
      <c r="K136" s="17">
        <f t="shared" si="125"/>
        <v>0</v>
      </c>
      <c r="L136" s="17">
        <f t="shared" si="125"/>
        <v>0</v>
      </c>
      <c r="M136" s="17">
        <f t="shared" si="125"/>
        <v>0</v>
      </c>
      <c r="N136" s="17">
        <f t="shared" si="125"/>
        <v>0</v>
      </c>
      <c r="O136" s="17">
        <f t="shared" si="125"/>
        <v>0</v>
      </c>
      <c r="P136" s="17">
        <f t="shared" si="125"/>
        <v>0</v>
      </c>
      <c r="Q136" s="17">
        <f t="shared" si="106"/>
        <v>0</v>
      </c>
    </row>
    <row r="137" spans="3:18" x14ac:dyDescent="0.25">
      <c r="C137" s="17"/>
      <c r="D137" s="17"/>
      <c r="E137" s="17">
        <f t="shared" ref="E137:P137" si="126">E313+E486</f>
        <v>0</v>
      </c>
      <c r="F137" s="17">
        <f t="shared" si="126"/>
        <v>0</v>
      </c>
      <c r="G137" s="17">
        <f t="shared" si="126"/>
        <v>0</v>
      </c>
      <c r="H137" s="17">
        <f t="shared" si="126"/>
        <v>0</v>
      </c>
      <c r="I137" s="17">
        <f t="shared" si="126"/>
        <v>0</v>
      </c>
      <c r="J137" s="17">
        <f t="shared" si="126"/>
        <v>0</v>
      </c>
      <c r="K137" s="17">
        <f t="shared" si="126"/>
        <v>0</v>
      </c>
      <c r="L137" s="17">
        <f t="shared" si="126"/>
        <v>0</v>
      </c>
      <c r="M137" s="17">
        <f t="shared" si="126"/>
        <v>0</v>
      </c>
      <c r="N137" s="17">
        <f t="shared" si="126"/>
        <v>0</v>
      </c>
      <c r="O137" s="17">
        <f t="shared" si="126"/>
        <v>0</v>
      </c>
      <c r="P137" s="17">
        <f t="shared" si="126"/>
        <v>0</v>
      </c>
      <c r="Q137" s="17">
        <f t="shared" si="106"/>
        <v>0</v>
      </c>
    </row>
    <row r="138" spans="3:18" x14ac:dyDescent="0.25">
      <c r="C138" s="17"/>
      <c r="D138" s="17"/>
      <c r="E138" s="17">
        <f t="shared" ref="E138:P138" si="127">E314+E487</f>
        <v>0</v>
      </c>
      <c r="F138" s="17">
        <f t="shared" si="127"/>
        <v>0</v>
      </c>
      <c r="G138" s="17">
        <f t="shared" si="127"/>
        <v>0</v>
      </c>
      <c r="H138" s="17">
        <f t="shared" si="127"/>
        <v>0</v>
      </c>
      <c r="I138" s="17">
        <f t="shared" si="127"/>
        <v>0</v>
      </c>
      <c r="J138" s="17">
        <f t="shared" si="127"/>
        <v>0</v>
      </c>
      <c r="K138" s="17">
        <f t="shared" si="127"/>
        <v>0</v>
      </c>
      <c r="L138" s="17">
        <f t="shared" si="127"/>
        <v>0</v>
      </c>
      <c r="M138" s="17">
        <f t="shared" si="127"/>
        <v>0</v>
      </c>
      <c r="N138" s="17">
        <f t="shared" si="127"/>
        <v>0</v>
      </c>
      <c r="O138" s="17">
        <f t="shared" si="127"/>
        <v>0</v>
      </c>
      <c r="P138" s="17">
        <f t="shared" si="127"/>
        <v>0</v>
      </c>
      <c r="Q138" s="17">
        <f t="shared" si="106"/>
        <v>0</v>
      </c>
    </row>
    <row r="139" spans="3:18" x14ac:dyDescent="0.25">
      <c r="C139" s="17"/>
      <c r="D139" s="17"/>
      <c r="E139" s="17">
        <f t="shared" ref="E139:P139" si="128">E315+E488</f>
        <v>0</v>
      </c>
      <c r="F139" s="17">
        <f t="shared" si="128"/>
        <v>0</v>
      </c>
      <c r="G139" s="17">
        <f t="shared" si="128"/>
        <v>0</v>
      </c>
      <c r="H139" s="17">
        <f t="shared" si="128"/>
        <v>0</v>
      </c>
      <c r="I139" s="17">
        <f t="shared" si="128"/>
        <v>0</v>
      </c>
      <c r="J139" s="17">
        <f t="shared" si="128"/>
        <v>0</v>
      </c>
      <c r="K139" s="17">
        <f t="shared" si="128"/>
        <v>0</v>
      </c>
      <c r="L139" s="17">
        <f t="shared" si="128"/>
        <v>0</v>
      </c>
      <c r="M139" s="17">
        <f t="shared" si="128"/>
        <v>0</v>
      </c>
      <c r="N139" s="17">
        <f t="shared" si="128"/>
        <v>0</v>
      </c>
      <c r="O139" s="17">
        <f t="shared" si="128"/>
        <v>0</v>
      </c>
      <c r="P139" s="17">
        <f t="shared" si="128"/>
        <v>0</v>
      </c>
      <c r="Q139" s="17">
        <f t="shared" si="106"/>
        <v>0</v>
      </c>
    </row>
    <row r="140" spans="3:18" x14ac:dyDescent="0.25">
      <c r="C140" s="17"/>
      <c r="D140" s="17"/>
      <c r="E140" s="17">
        <f t="shared" ref="E140:P140" si="129">E316+E489</f>
        <v>0</v>
      </c>
      <c r="F140" s="17">
        <f t="shared" si="129"/>
        <v>0</v>
      </c>
      <c r="G140" s="17">
        <f t="shared" si="129"/>
        <v>0</v>
      </c>
      <c r="H140" s="17">
        <f t="shared" si="129"/>
        <v>0</v>
      </c>
      <c r="I140" s="17">
        <f t="shared" si="129"/>
        <v>0</v>
      </c>
      <c r="J140" s="17">
        <f t="shared" si="129"/>
        <v>0</v>
      </c>
      <c r="K140" s="17">
        <f t="shared" si="129"/>
        <v>0</v>
      </c>
      <c r="L140" s="17">
        <f t="shared" si="129"/>
        <v>0</v>
      </c>
      <c r="M140" s="17">
        <f t="shared" si="129"/>
        <v>0</v>
      </c>
      <c r="N140" s="17">
        <f t="shared" si="129"/>
        <v>0</v>
      </c>
      <c r="O140" s="17">
        <f t="shared" si="129"/>
        <v>0</v>
      </c>
      <c r="P140" s="17">
        <f t="shared" si="129"/>
        <v>0</v>
      </c>
      <c r="Q140" s="17">
        <f t="shared" si="106"/>
        <v>0</v>
      </c>
    </row>
    <row r="141" spans="3:18" x14ac:dyDescent="0.25">
      <c r="C141" s="753" t="s">
        <v>420</v>
      </c>
      <c r="D141" s="754"/>
      <c r="E141" s="108">
        <f t="shared" ref="E141:P141" si="130">SUM(E117:E140)</f>
        <v>248.67091940296532</v>
      </c>
      <c r="F141" s="108">
        <f t="shared" si="130"/>
        <v>255.72156827246721</v>
      </c>
      <c r="G141" s="108">
        <f t="shared" si="130"/>
        <v>239.29406698535817</v>
      </c>
      <c r="H141" s="108">
        <f t="shared" si="130"/>
        <v>188.23246451164937</v>
      </c>
      <c r="I141" s="108">
        <f t="shared" si="130"/>
        <v>231.06771426259212</v>
      </c>
      <c r="J141" s="108">
        <f t="shared" si="130"/>
        <v>203.37396291400361</v>
      </c>
      <c r="K141" s="108">
        <f t="shared" si="130"/>
        <v>249.53311140248442</v>
      </c>
      <c r="L141" s="108">
        <f t="shared" si="130"/>
        <v>192.70994848429552</v>
      </c>
      <c r="M141" s="108">
        <f t="shared" si="130"/>
        <v>212.13400251306996</v>
      </c>
      <c r="N141" s="108">
        <f t="shared" si="130"/>
        <v>226.03424560289642</v>
      </c>
      <c r="O141" s="108">
        <f t="shared" si="130"/>
        <v>240.36436117383545</v>
      </c>
      <c r="P141" s="108">
        <f t="shared" si="130"/>
        <v>248.65597655185195</v>
      </c>
      <c r="Q141" s="108">
        <f t="shared" si="106"/>
        <v>2735.7923420774691</v>
      </c>
      <c r="R141" s="427"/>
    </row>
    <row r="142" spans="3:18" x14ac:dyDescent="0.25">
      <c r="C142" s="800" t="s">
        <v>421</v>
      </c>
      <c r="D142" s="801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</row>
    <row r="143" spans="3:18" x14ac:dyDescent="0.25">
      <c r="C143" s="17"/>
      <c r="D143" s="322" t="s">
        <v>453</v>
      </c>
      <c r="E143" s="66">
        <f t="shared" ref="E143:P143" si="131">E319+E492</f>
        <v>0</v>
      </c>
      <c r="F143" s="66">
        <f t="shared" si="131"/>
        <v>0</v>
      </c>
      <c r="G143" s="66">
        <f t="shared" si="131"/>
        <v>0</v>
      </c>
      <c r="H143" s="66">
        <f t="shared" si="131"/>
        <v>0</v>
      </c>
      <c r="I143" s="66">
        <f t="shared" si="131"/>
        <v>0</v>
      </c>
      <c r="J143" s="66">
        <f t="shared" si="131"/>
        <v>0</v>
      </c>
      <c r="K143" s="66">
        <f t="shared" si="131"/>
        <v>0</v>
      </c>
      <c r="L143" s="66">
        <f t="shared" si="131"/>
        <v>0</v>
      </c>
      <c r="M143" s="66">
        <f t="shared" si="131"/>
        <v>0</v>
      </c>
      <c r="N143" s="66">
        <f t="shared" si="131"/>
        <v>0</v>
      </c>
      <c r="O143" s="66">
        <f t="shared" si="131"/>
        <v>0</v>
      </c>
      <c r="P143" s="66">
        <f t="shared" si="131"/>
        <v>0</v>
      </c>
      <c r="Q143" s="66">
        <f>Q319+Q492</f>
        <v>0</v>
      </c>
    </row>
    <row r="144" spans="3:18" x14ac:dyDescent="0.25">
      <c r="C144" s="17"/>
      <c r="D144" s="322" t="s">
        <v>422</v>
      </c>
      <c r="E144" s="66">
        <f t="shared" ref="E144:P144" si="132">E320+E493</f>
        <v>0</v>
      </c>
      <c r="F144" s="66">
        <f t="shared" si="132"/>
        <v>0</v>
      </c>
      <c r="G144" s="66">
        <f t="shared" si="132"/>
        <v>0</v>
      </c>
      <c r="H144" s="66">
        <f t="shared" si="132"/>
        <v>0</v>
      </c>
      <c r="I144" s="66">
        <f t="shared" si="132"/>
        <v>0</v>
      </c>
      <c r="J144" s="66">
        <f t="shared" si="132"/>
        <v>0</v>
      </c>
      <c r="K144" s="66">
        <f t="shared" si="132"/>
        <v>0</v>
      </c>
      <c r="L144" s="66">
        <f t="shared" si="132"/>
        <v>0</v>
      </c>
      <c r="M144" s="66">
        <f t="shared" si="132"/>
        <v>0</v>
      </c>
      <c r="N144" s="66">
        <f t="shared" si="132"/>
        <v>0</v>
      </c>
      <c r="O144" s="66">
        <f t="shared" si="132"/>
        <v>0</v>
      </c>
      <c r="P144" s="66">
        <f t="shared" si="132"/>
        <v>0</v>
      </c>
      <c r="Q144" s="66">
        <f>Q320+Q493</f>
        <v>-172.59028516886247</v>
      </c>
      <c r="R144" s="427"/>
    </row>
    <row r="145" spans="3:17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</row>
    <row r="146" spans="3:17" x14ac:dyDescent="0.25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</row>
    <row r="147" spans="3:17" x14ac:dyDescent="0.25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</row>
    <row r="148" spans="3:17" x14ac:dyDescent="0.25">
      <c r="C148" s="17"/>
      <c r="D148" s="325" t="s">
        <v>665</v>
      </c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</row>
    <row r="149" spans="3:17" x14ac:dyDescent="0.25">
      <c r="C149" s="17"/>
      <c r="D149" s="325" t="s">
        <v>666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</row>
    <row r="150" spans="3:17" x14ac:dyDescent="0.25">
      <c r="C150" s="17"/>
      <c r="D150" s="325" t="s">
        <v>629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</row>
    <row r="151" spans="3:17" x14ac:dyDescent="0.25">
      <c r="C151" s="17"/>
      <c r="D151" s="325" t="s">
        <v>630</v>
      </c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</row>
    <row r="152" spans="3:17" x14ac:dyDescent="0.25">
      <c r="C152" s="17"/>
      <c r="D152" s="326" t="s">
        <v>631</v>
      </c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</row>
    <row r="153" spans="3:17" x14ac:dyDescent="0.25">
      <c r="C153" s="17"/>
      <c r="D153" s="325" t="s">
        <v>632</v>
      </c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3:17" x14ac:dyDescent="0.25">
      <c r="C154" s="17"/>
      <c r="D154" s="325" t="s">
        <v>633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</row>
    <row r="155" spans="3:17" x14ac:dyDescent="0.25">
      <c r="C155" s="17"/>
      <c r="D155" s="325" t="s">
        <v>634</v>
      </c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</row>
    <row r="156" spans="3:17" x14ac:dyDescent="0.25">
      <c r="C156" s="17"/>
      <c r="D156" s="325" t="s">
        <v>635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</row>
    <row r="157" spans="3:17" x14ac:dyDescent="0.25">
      <c r="C157" s="17"/>
      <c r="D157" s="325" t="s">
        <v>636</v>
      </c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</row>
    <row r="158" spans="3:17" x14ac:dyDescent="0.25">
      <c r="C158" s="17"/>
      <c r="D158" s="325" t="s">
        <v>637</v>
      </c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</row>
    <row r="159" spans="3:17" x14ac:dyDescent="0.25">
      <c r="C159" s="17"/>
      <c r="D159" s="325" t="s">
        <v>638</v>
      </c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</row>
    <row r="160" spans="3:17" x14ac:dyDescent="0.25">
      <c r="C160" s="17"/>
      <c r="D160" s="325" t="s">
        <v>639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</row>
    <row r="161" spans="3:18" x14ac:dyDescent="0.25"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3:18" x14ac:dyDescent="0.25"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</row>
    <row r="163" spans="3:18" x14ac:dyDescent="0.25"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</row>
    <row r="164" spans="3:18" x14ac:dyDescent="0.25"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</row>
    <row r="165" spans="3:18" x14ac:dyDescent="0.25"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</row>
    <row r="166" spans="3:18" x14ac:dyDescent="0.25">
      <c r="C166" s="17"/>
      <c r="D166" s="17"/>
      <c r="E166" s="17">
        <f t="shared" ref="E166:P166" si="133">E338+E513</f>
        <v>0</v>
      </c>
      <c r="F166" s="17">
        <f t="shared" si="133"/>
        <v>0</v>
      </c>
      <c r="G166" s="17">
        <f t="shared" si="133"/>
        <v>0</v>
      </c>
      <c r="H166" s="17">
        <f t="shared" si="133"/>
        <v>0</v>
      </c>
      <c r="I166" s="17">
        <f t="shared" si="133"/>
        <v>0</v>
      </c>
      <c r="J166" s="17">
        <f t="shared" si="133"/>
        <v>0</v>
      </c>
      <c r="K166" s="17">
        <f t="shared" si="133"/>
        <v>0</v>
      </c>
      <c r="L166" s="17">
        <f t="shared" si="133"/>
        <v>0</v>
      </c>
      <c r="M166" s="17">
        <f t="shared" si="133"/>
        <v>0</v>
      </c>
      <c r="N166" s="17">
        <f t="shared" si="133"/>
        <v>0</v>
      </c>
      <c r="O166" s="17">
        <f t="shared" si="133"/>
        <v>0</v>
      </c>
      <c r="P166" s="17">
        <f t="shared" si="133"/>
        <v>0</v>
      </c>
      <c r="Q166" s="17">
        <f t="shared" ref="Q166:Q172" si="134">SUM(E166:P166)</f>
        <v>0</v>
      </c>
    </row>
    <row r="167" spans="3:18" x14ac:dyDescent="0.25">
      <c r="C167" s="17"/>
      <c r="D167" s="17"/>
      <c r="E167" s="17">
        <f t="shared" ref="E167:P167" si="135">E339+E514</f>
        <v>0</v>
      </c>
      <c r="F167" s="17">
        <f t="shared" si="135"/>
        <v>0</v>
      </c>
      <c r="G167" s="17">
        <f t="shared" si="135"/>
        <v>0</v>
      </c>
      <c r="H167" s="17">
        <f t="shared" si="135"/>
        <v>0</v>
      </c>
      <c r="I167" s="17">
        <f t="shared" si="135"/>
        <v>0</v>
      </c>
      <c r="J167" s="17">
        <f t="shared" si="135"/>
        <v>0</v>
      </c>
      <c r="K167" s="17">
        <f t="shared" si="135"/>
        <v>0</v>
      </c>
      <c r="L167" s="17">
        <f t="shared" si="135"/>
        <v>0</v>
      </c>
      <c r="M167" s="17">
        <f t="shared" si="135"/>
        <v>0</v>
      </c>
      <c r="N167" s="17">
        <f t="shared" si="135"/>
        <v>0</v>
      </c>
      <c r="O167" s="17">
        <f t="shared" si="135"/>
        <v>0</v>
      </c>
      <c r="P167" s="17">
        <f t="shared" si="135"/>
        <v>0</v>
      </c>
      <c r="Q167" s="17">
        <f t="shared" si="134"/>
        <v>0</v>
      </c>
    </row>
    <row r="168" spans="3:18" x14ac:dyDescent="0.25">
      <c r="C168" s="17"/>
      <c r="D168" s="17"/>
      <c r="E168" s="17">
        <f t="shared" ref="E168:P168" si="136">E340+E515</f>
        <v>0</v>
      </c>
      <c r="F168" s="17">
        <f t="shared" si="136"/>
        <v>0</v>
      </c>
      <c r="G168" s="17">
        <f t="shared" si="136"/>
        <v>0</v>
      </c>
      <c r="H168" s="17">
        <f t="shared" si="136"/>
        <v>0</v>
      </c>
      <c r="I168" s="17">
        <f t="shared" si="136"/>
        <v>0</v>
      </c>
      <c r="J168" s="17">
        <f t="shared" si="136"/>
        <v>0</v>
      </c>
      <c r="K168" s="17">
        <f t="shared" si="136"/>
        <v>0</v>
      </c>
      <c r="L168" s="17">
        <f t="shared" si="136"/>
        <v>0</v>
      </c>
      <c r="M168" s="17">
        <f t="shared" si="136"/>
        <v>0</v>
      </c>
      <c r="N168" s="17">
        <f t="shared" si="136"/>
        <v>0</v>
      </c>
      <c r="O168" s="17">
        <f t="shared" si="136"/>
        <v>0</v>
      </c>
      <c r="P168" s="17">
        <f t="shared" si="136"/>
        <v>0</v>
      </c>
      <c r="Q168" s="17">
        <f t="shared" si="134"/>
        <v>0</v>
      </c>
    </row>
    <row r="169" spans="3:18" x14ac:dyDescent="0.25">
      <c r="C169" s="17"/>
      <c r="D169" s="17"/>
      <c r="E169" s="17">
        <f t="shared" ref="E169:P169" si="137">E341+E516</f>
        <v>0</v>
      </c>
      <c r="F169" s="17">
        <f t="shared" si="137"/>
        <v>0</v>
      </c>
      <c r="G169" s="17">
        <f t="shared" si="137"/>
        <v>0</v>
      </c>
      <c r="H169" s="17">
        <f t="shared" si="137"/>
        <v>0</v>
      </c>
      <c r="I169" s="17">
        <f t="shared" si="137"/>
        <v>0</v>
      </c>
      <c r="J169" s="17">
        <f t="shared" si="137"/>
        <v>0</v>
      </c>
      <c r="K169" s="17">
        <f t="shared" si="137"/>
        <v>0</v>
      </c>
      <c r="L169" s="17">
        <f t="shared" si="137"/>
        <v>0</v>
      </c>
      <c r="M169" s="17">
        <f t="shared" si="137"/>
        <v>0</v>
      </c>
      <c r="N169" s="17">
        <f t="shared" si="137"/>
        <v>0</v>
      </c>
      <c r="O169" s="17">
        <f t="shared" si="137"/>
        <v>0</v>
      </c>
      <c r="P169" s="17">
        <f t="shared" si="137"/>
        <v>0</v>
      </c>
      <c r="Q169" s="17">
        <f t="shared" si="134"/>
        <v>0</v>
      </c>
    </row>
    <row r="170" spans="3:18" x14ac:dyDescent="0.25">
      <c r="C170" s="17"/>
      <c r="D170" s="17"/>
      <c r="E170" s="17">
        <f t="shared" ref="E170:P170" si="138">E342+E517</f>
        <v>0</v>
      </c>
      <c r="F170" s="17">
        <f t="shared" si="138"/>
        <v>0</v>
      </c>
      <c r="G170" s="17">
        <f t="shared" si="138"/>
        <v>0</v>
      </c>
      <c r="H170" s="17">
        <f t="shared" si="138"/>
        <v>0</v>
      </c>
      <c r="I170" s="17">
        <f t="shared" si="138"/>
        <v>0</v>
      </c>
      <c r="J170" s="17">
        <f t="shared" si="138"/>
        <v>0</v>
      </c>
      <c r="K170" s="17">
        <f t="shared" si="138"/>
        <v>0</v>
      </c>
      <c r="L170" s="17">
        <f t="shared" si="138"/>
        <v>0</v>
      </c>
      <c r="M170" s="17">
        <f t="shared" si="138"/>
        <v>0</v>
      </c>
      <c r="N170" s="17">
        <f t="shared" si="138"/>
        <v>0</v>
      </c>
      <c r="O170" s="17">
        <f t="shared" si="138"/>
        <v>0</v>
      </c>
      <c r="P170" s="17">
        <f t="shared" si="138"/>
        <v>0</v>
      </c>
      <c r="Q170" s="17">
        <f t="shared" si="134"/>
        <v>0</v>
      </c>
    </row>
    <row r="171" spans="3:18" x14ac:dyDescent="0.25">
      <c r="C171" s="17"/>
      <c r="D171" s="17"/>
      <c r="E171" s="17">
        <f t="shared" ref="E171:P171" si="139">E343+E518</f>
        <v>0</v>
      </c>
      <c r="F171" s="17">
        <f t="shared" si="139"/>
        <v>0</v>
      </c>
      <c r="G171" s="17">
        <f t="shared" si="139"/>
        <v>0</v>
      </c>
      <c r="H171" s="17">
        <f t="shared" si="139"/>
        <v>0</v>
      </c>
      <c r="I171" s="17">
        <f t="shared" si="139"/>
        <v>0</v>
      </c>
      <c r="J171" s="17">
        <f t="shared" si="139"/>
        <v>0</v>
      </c>
      <c r="K171" s="17">
        <f t="shared" si="139"/>
        <v>0</v>
      </c>
      <c r="L171" s="17">
        <f t="shared" si="139"/>
        <v>0</v>
      </c>
      <c r="M171" s="17">
        <f t="shared" si="139"/>
        <v>0</v>
      </c>
      <c r="N171" s="17">
        <f t="shared" si="139"/>
        <v>0</v>
      </c>
      <c r="O171" s="17">
        <f t="shared" si="139"/>
        <v>0</v>
      </c>
      <c r="P171" s="17">
        <f t="shared" si="139"/>
        <v>0</v>
      </c>
      <c r="Q171" s="17">
        <f t="shared" si="134"/>
        <v>0</v>
      </c>
    </row>
    <row r="172" spans="3:18" x14ac:dyDescent="0.25">
      <c r="C172" s="17"/>
      <c r="D172" s="17"/>
      <c r="E172" s="17">
        <f t="shared" ref="E172:P172" si="140">E344+E519</f>
        <v>0</v>
      </c>
      <c r="F172" s="17">
        <f t="shared" si="140"/>
        <v>0</v>
      </c>
      <c r="G172" s="17">
        <f t="shared" si="140"/>
        <v>0</v>
      </c>
      <c r="H172" s="17">
        <f t="shared" si="140"/>
        <v>0</v>
      </c>
      <c r="I172" s="17">
        <f t="shared" si="140"/>
        <v>0</v>
      </c>
      <c r="J172" s="17">
        <f t="shared" si="140"/>
        <v>0</v>
      </c>
      <c r="K172" s="17">
        <f t="shared" si="140"/>
        <v>0</v>
      </c>
      <c r="L172" s="17">
        <f t="shared" si="140"/>
        <v>0</v>
      </c>
      <c r="M172" s="17">
        <f t="shared" si="140"/>
        <v>0</v>
      </c>
      <c r="N172" s="17">
        <f t="shared" si="140"/>
        <v>0</v>
      </c>
      <c r="O172" s="17">
        <f t="shared" si="140"/>
        <v>0</v>
      </c>
      <c r="P172" s="17">
        <f t="shared" si="140"/>
        <v>0</v>
      </c>
      <c r="Q172" s="17">
        <f t="shared" si="134"/>
        <v>0</v>
      </c>
    </row>
    <row r="173" spans="3:18" x14ac:dyDescent="0.25">
      <c r="C173" s="753" t="s">
        <v>423</v>
      </c>
      <c r="D173" s="754"/>
      <c r="E173" s="28">
        <f t="shared" ref="E173:P173" si="141">SUM(E143:E172)</f>
        <v>0</v>
      </c>
      <c r="F173" s="28">
        <f t="shared" si="141"/>
        <v>0</v>
      </c>
      <c r="G173" s="28">
        <f t="shared" si="141"/>
        <v>0</v>
      </c>
      <c r="H173" s="28">
        <f t="shared" si="141"/>
        <v>0</v>
      </c>
      <c r="I173" s="28">
        <f t="shared" si="141"/>
        <v>0</v>
      </c>
      <c r="J173" s="28">
        <f t="shared" si="141"/>
        <v>0</v>
      </c>
      <c r="K173" s="28">
        <f t="shared" si="141"/>
        <v>0</v>
      </c>
      <c r="L173" s="28">
        <f t="shared" si="141"/>
        <v>0</v>
      </c>
      <c r="M173" s="28">
        <f t="shared" si="141"/>
        <v>0</v>
      </c>
      <c r="N173" s="28">
        <f t="shared" si="141"/>
        <v>0</v>
      </c>
      <c r="O173" s="28">
        <f t="shared" si="141"/>
        <v>0</v>
      </c>
      <c r="P173" s="28">
        <f t="shared" si="141"/>
        <v>0</v>
      </c>
      <c r="Q173" s="28">
        <v>0</v>
      </c>
    </row>
    <row r="174" spans="3:18" x14ac:dyDescent="0.25">
      <c r="C174" s="800" t="s">
        <v>424</v>
      </c>
      <c r="D174" s="801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</row>
    <row r="175" spans="3:18" x14ac:dyDescent="0.25">
      <c r="C175" s="17" t="s">
        <v>425</v>
      </c>
      <c r="D175" s="17" t="s">
        <v>426</v>
      </c>
      <c r="E175" s="17">
        <f t="shared" ref="E175:P175" si="142">E347+E522</f>
        <v>0</v>
      </c>
      <c r="F175" s="17">
        <f t="shared" si="142"/>
        <v>0</v>
      </c>
      <c r="G175" s="17">
        <f t="shared" si="142"/>
        <v>0</v>
      </c>
      <c r="H175" s="17">
        <f t="shared" si="142"/>
        <v>0</v>
      </c>
      <c r="I175" s="17">
        <f t="shared" si="142"/>
        <v>0</v>
      </c>
      <c r="J175" s="17">
        <f t="shared" si="142"/>
        <v>0</v>
      </c>
      <c r="K175" s="17">
        <f t="shared" si="142"/>
        <v>0</v>
      </c>
      <c r="L175" s="17">
        <f t="shared" si="142"/>
        <v>0</v>
      </c>
      <c r="M175" s="17">
        <f t="shared" si="142"/>
        <v>0</v>
      </c>
      <c r="N175" s="17">
        <f t="shared" si="142"/>
        <v>0</v>
      </c>
      <c r="O175" s="17">
        <f t="shared" si="142"/>
        <v>0</v>
      </c>
      <c r="P175" s="17">
        <f t="shared" si="142"/>
        <v>0</v>
      </c>
      <c r="Q175" s="17">
        <f>SUM(E175:P175)</f>
        <v>0</v>
      </c>
    </row>
    <row r="176" spans="3:18" x14ac:dyDescent="0.25">
      <c r="C176" s="17" t="s">
        <v>425</v>
      </c>
      <c r="D176" s="17" t="s">
        <v>427</v>
      </c>
      <c r="E176" s="17">
        <f t="shared" ref="E176:P176" si="143">E348+E523</f>
        <v>-134.44350653326481</v>
      </c>
      <c r="F176" s="17">
        <f t="shared" si="143"/>
        <v>-254.74040435320867</v>
      </c>
      <c r="G176" s="17">
        <f t="shared" si="143"/>
        <v>-257.53611709719604</v>
      </c>
      <c r="H176" s="17">
        <f t="shared" si="143"/>
        <v>-176.90439647900354</v>
      </c>
      <c r="I176" s="17">
        <f t="shared" si="143"/>
        <v>-190.28188179981439</v>
      </c>
      <c r="J176" s="17">
        <f t="shared" si="143"/>
        <v>-203.9847149502919</v>
      </c>
      <c r="K176" s="17">
        <f t="shared" si="143"/>
        <v>-164.38242446250155</v>
      </c>
      <c r="L176" s="17">
        <f t="shared" si="143"/>
        <v>-209.25422366067224</v>
      </c>
      <c r="M176" s="17">
        <f t="shared" si="143"/>
        <v>-141.54225584429201</v>
      </c>
      <c r="N176" s="17">
        <f t="shared" si="143"/>
        <v>-141.58143598572232</v>
      </c>
      <c r="O176" s="17">
        <f t="shared" si="143"/>
        <v>-25.920669464104641</v>
      </c>
      <c r="P176" s="17">
        <f t="shared" si="143"/>
        <v>-4.5501332901340259</v>
      </c>
      <c r="Q176" s="17">
        <f>SUM(E176:P176)</f>
        <v>-1905.122163920206</v>
      </c>
      <c r="R176" s="427"/>
    </row>
    <row r="177" spans="2:18" x14ac:dyDescent="0.25">
      <c r="C177" s="753" t="s">
        <v>428</v>
      </c>
      <c r="D177" s="754"/>
      <c r="E177" s="28">
        <f t="shared" ref="E177:P177" si="144">E175+E176</f>
        <v>-134.44350653326481</v>
      </c>
      <c r="F177" s="28">
        <f t="shared" si="144"/>
        <v>-254.74040435320867</v>
      </c>
      <c r="G177" s="28">
        <f t="shared" si="144"/>
        <v>-257.53611709719604</v>
      </c>
      <c r="H177" s="28">
        <f t="shared" si="144"/>
        <v>-176.90439647900354</v>
      </c>
      <c r="I177" s="28">
        <f t="shared" si="144"/>
        <v>-190.28188179981439</v>
      </c>
      <c r="J177" s="28">
        <f t="shared" si="144"/>
        <v>-203.9847149502919</v>
      </c>
      <c r="K177" s="28">
        <f t="shared" si="144"/>
        <v>-164.38242446250155</v>
      </c>
      <c r="L177" s="28">
        <f t="shared" si="144"/>
        <v>-209.25422366067224</v>
      </c>
      <c r="M177" s="28">
        <f t="shared" si="144"/>
        <v>-141.54225584429201</v>
      </c>
      <c r="N177" s="28">
        <f t="shared" si="144"/>
        <v>-141.58143598572232</v>
      </c>
      <c r="O177" s="28">
        <f t="shared" si="144"/>
        <v>-25.920669464104641</v>
      </c>
      <c r="P177" s="28">
        <f t="shared" si="144"/>
        <v>-4.5501332901340259</v>
      </c>
      <c r="Q177" s="28">
        <f>SUM(E177:P177)</f>
        <v>-1905.122163920206</v>
      </c>
      <c r="R177" s="427"/>
    </row>
    <row r="178" spans="2:18" x14ac:dyDescent="0.25">
      <c r="C178" s="753" t="s">
        <v>220</v>
      </c>
      <c r="D178" s="754"/>
      <c r="E178" s="28">
        <f t="shared" ref="E178:P178" si="145">E50+E96+E105+E115+E141+E173+E177</f>
        <v>1461.5978575191277</v>
      </c>
      <c r="F178" s="28">
        <f t="shared" si="145"/>
        <v>912.75781304064628</v>
      </c>
      <c r="G178" s="28">
        <f t="shared" si="145"/>
        <v>966.24551996215905</v>
      </c>
      <c r="H178" s="28">
        <f t="shared" si="145"/>
        <v>1149.7310228504787</v>
      </c>
      <c r="I178" s="28">
        <f t="shared" si="145"/>
        <v>1241.5025354081306</v>
      </c>
      <c r="J178" s="28">
        <f t="shared" si="145"/>
        <v>1254.8857573020239</v>
      </c>
      <c r="K178" s="28">
        <f t="shared" si="145"/>
        <v>1235.1109225975665</v>
      </c>
      <c r="L178" s="28">
        <f t="shared" si="145"/>
        <v>1134.6180618893573</v>
      </c>
      <c r="M178" s="28">
        <f t="shared" si="145"/>
        <v>1300.5668800310305</v>
      </c>
      <c r="N178" s="28">
        <f t="shared" si="145"/>
        <v>1419.9234132696363</v>
      </c>
      <c r="O178" s="28">
        <f t="shared" si="145"/>
        <v>1543.2624769144923</v>
      </c>
      <c r="P178" s="28">
        <f t="shared" si="145"/>
        <v>1765.4294914804873</v>
      </c>
      <c r="Q178" s="426">
        <f>Q50+Q96+Q105+Q115+Q141+Q173+Q177+Q144</f>
        <v>15750.551087096273</v>
      </c>
      <c r="R178" s="427"/>
    </row>
    <row r="180" spans="2:18" x14ac:dyDescent="0.25">
      <c r="C180" s="22" t="s">
        <v>641</v>
      </c>
      <c r="J180" s="25"/>
    </row>
    <row r="181" spans="2:18" x14ac:dyDescent="0.25">
      <c r="C181" s="14"/>
      <c r="Q181" s="25" t="s">
        <v>3</v>
      </c>
    </row>
    <row r="182" spans="2:18" x14ac:dyDescent="0.25">
      <c r="C182" s="762" t="s">
        <v>346</v>
      </c>
      <c r="D182" s="762" t="s">
        <v>347</v>
      </c>
      <c r="E182" s="768" t="s">
        <v>256</v>
      </c>
      <c r="F182" s="768"/>
      <c r="G182" s="768"/>
      <c r="H182" s="768"/>
      <c r="I182" s="768"/>
      <c r="J182" s="768"/>
      <c r="K182" s="768"/>
      <c r="L182" s="768"/>
      <c r="M182" s="768"/>
      <c r="N182" s="768"/>
      <c r="O182" s="768"/>
      <c r="P182" s="768"/>
      <c r="Q182" s="768"/>
    </row>
    <row r="183" spans="2:18" x14ac:dyDescent="0.25">
      <c r="C183" s="764"/>
      <c r="D183" s="764"/>
      <c r="E183" s="13" t="s">
        <v>239</v>
      </c>
      <c r="F183" s="13" t="s">
        <v>240</v>
      </c>
      <c r="G183" s="13" t="s">
        <v>241</v>
      </c>
      <c r="H183" s="13" t="s">
        <v>242</v>
      </c>
      <c r="I183" s="13" t="s">
        <v>243</v>
      </c>
      <c r="J183" s="13" t="s">
        <v>244</v>
      </c>
      <c r="K183" s="13" t="s">
        <v>245</v>
      </c>
      <c r="L183" s="13" t="s">
        <v>246</v>
      </c>
      <c r="M183" s="13" t="s">
        <v>247</v>
      </c>
      <c r="N183" s="13" t="s">
        <v>248</v>
      </c>
      <c r="O183" s="13" t="s">
        <v>249</v>
      </c>
      <c r="P183" s="13" t="s">
        <v>250</v>
      </c>
      <c r="Q183" s="13" t="s">
        <v>251</v>
      </c>
    </row>
    <row r="184" spans="2:18" x14ac:dyDescent="0.25">
      <c r="C184" s="766"/>
      <c r="D184" s="7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2:18" x14ac:dyDescent="0.25">
      <c r="B185" s="60"/>
      <c r="C185" s="800" t="s">
        <v>348</v>
      </c>
      <c r="D185" s="801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</row>
    <row r="186" spans="2:18" x14ac:dyDescent="0.25">
      <c r="C186" s="753" t="s">
        <v>349</v>
      </c>
      <c r="D186" s="754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</row>
    <row r="187" spans="2:18" x14ac:dyDescent="0.25">
      <c r="B187" s="60"/>
      <c r="C187" s="846" t="s">
        <v>350</v>
      </c>
      <c r="D187" s="59" t="s">
        <v>351</v>
      </c>
      <c r="E187" s="291">
        <f>'[34]TGNPDCL MoD'!U4+'[34]TGNPDCL MoD'!U5</f>
        <v>12.840881002672667</v>
      </c>
      <c r="F187" s="291">
        <f>'[34]TGNPDCL MoD'!V4+'[34]TGNPDCL MoD'!V5</f>
        <v>16.112248305734514</v>
      </c>
      <c r="G187" s="291">
        <f>'[34]TGNPDCL MoD'!W4+'[34]TGNPDCL MoD'!W5</f>
        <v>15.59249836038825</v>
      </c>
      <c r="H187" s="291">
        <f>'[34]TGNPDCL MoD'!X4+'[34]TGNPDCL MoD'!X5</f>
        <v>0</v>
      </c>
      <c r="I187" s="291">
        <f>'[34]TGNPDCL MoD'!Y4+'[34]TGNPDCL MoD'!Y5</f>
        <v>5.2127862165611667</v>
      </c>
      <c r="J187" s="291">
        <f>'[34]TGNPDCL MoD'!Z4+'[34]TGNPDCL MoD'!Z5</f>
        <v>10.77716798438599</v>
      </c>
      <c r="K187" s="291">
        <f>'[34]TGNPDCL MoD'!AA4+'[34]TGNPDCL MoD'!AA5</f>
        <v>10.425572433122333</v>
      </c>
      <c r="L187" s="291">
        <f>'[34]TGNPDCL MoD'!AB4+'[34]TGNPDCL MoD'!AB5</f>
        <v>12.916539452419425</v>
      </c>
      <c r="M187" s="291">
        <f>'[34]TGNPDCL MoD'!AC4+'[34]TGNPDCL MoD'!AC5</f>
        <v>11.491824159237115</v>
      </c>
      <c r="N187" s="291">
        <f>'[34]TGNPDCL MoD'!AD4+'[34]TGNPDCL MoD'!AD5</f>
        <v>11.491824159237115</v>
      </c>
      <c r="O187" s="291">
        <f>'[34]TGNPDCL MoD'!AE4+'[34]TGNPDCL MoD'!AE5</f>
        <v>13.077825830698172</v>
      </c>
      <c r="P187" s="291">
        <f>'[34]TGNPDCL MoD'!AF4+'[34]TGNPDCL MoD'!AF5</f>
        <v>14.335162095543202</v>
      </c>
      <c r="Q187" s="291">
        <f t="shared" ref="Q187:Q205" si="146">SUM(E187:P187)</f>
        <v>134.27432999999996</v>
      </c>
    </row>
    <row r="188" spans="2:18" x14ac:dyDescent="0.25">
      <c r="B188" s="60"/>
      <c r="C188" s="847"/>
      <c r="D188" s="59" t="s">
        <v>352</v>
      </c>
      <c r="E188" s="291">
        <f>'[34]TGNPDCL MoD'!U6</f>
        <v>16.512167406273118</v>
      </c>
      <c r="F188" s="291">
        <f>'[34]TGNPDCL MoD'!V6</f>
        <v>0</v>
      </c>
      <c r="G188" s="291">
        <f>'[34]TGNPDCL MoD'!W6</f>
        <v>9.5154863019201006</v>
      </c>
      <c r="H188" s="291">
        <f>'[34]TGNPDCL MoD'!X6</f>
        <v>14.819601616707766</v>
      </c>
      <c r="I188" s="291">
        <f>'[34]TGNPDCL MoD'!Y6</f>
        <v>13.139092973594563</v>
      </c>
      <c r="J188" s="291">
        <f>'[34]TGNPDCL MoD'!Z6</f>
        <v>13.51816013165443</v>
      </c>
      <c r="K188" s="291">
        <f>'[34]TGNPDCL MoD'!AA6</f>
        <v>12.724630701783356</v>
      </c>
      <c r="L188" s="291">
        <f>'[34]TGNPDCL MoD'!AB6</f>
        <v>18.96633979441507</v>
      </c>
      <c r="M188" s="291">
        <f>'[34]TGNPDCL MoD'!AC6</f>
        <v>15.11129997491577</v>
      </c>
      <c r="N188" s="291">
        <f>'[34]TGNPDCL MoD'!AD6</f>
        <v>16.056914372310068</v>
      </c>
      <c r="O188" s="291">
        <f>'[34]TGNPDCL MoD'!AE6</f>
        <v>15.961761826064015</v>
      </c>
      <c r="P188" s="291">
        <f>'[34]TGNPDCL MoD'!AF6</f>
        <v>18.797749900361769</v>
      </c>
      <c r="Q188" s="291">
        <f t="shared" si="146"/>
        <v>165.12320500000004</v>
      </c>
    </row>
    <row r="189" spans="2:18" x14ac:dyDescent="0.25">
      <c r="B189" s="60"/>
      <c r="C189" s="847"/>
      <c r="D189" s="59" t="s">
        <v>353</v>
      </c>
      <c r="E189" s="291">
        <f>'[34]TGNPDCL MoD'!U7</f>
        <v>43.441687154274682</v>
      </c>
      <c r="F189" s="291">
        <f>'[34]TGNPDCL MoD'!V7</f>
        <v>0</v>
      </c>
      <c r="G189" s="291">
        <f>'[34]TGNPDCL MoD'!W7</f>
        <v>24.413510136286604</v>
      </c>
      <c r="H189" s="291">
        <f>'[34]TGNPDCL MoD'!X7</f>
        <v>40.966097185252401</v>
      </c>
      <c r="I189" s="291">
        <f>'[34]TGNPDCL MoD'!Y7</f>
        <v>33.760054948266898</v>
      </c>
      <c r="J189" s="291">
        <f>'[34]TGNPDCL MoD'!Z7</f>
        <v>36.979287412316452</v>
      </c>
      <c r="K189" s="291">
        <f>'[34]TGNPDCL MoD'!AA7</f>
        <v>33.04590540149524</v>
      </c>
      <c r="L189" s="291">
        <f>'[34]TGNPDCL MoD'!AB7</f>
        <v>49.189597672256319</v>
      </c>
      <c r="M189" s="291">
        <f>'[34]TGNPDCL MoD'!AC7</f>
        <v>42.726004561463903</v>
      </c>
      <c r="N189" s="291">
        <f>'[34]TGNPDCL MoD'!AD7</f>
        <v>41.870801855025952</v>
      </c>
      <c r="O189" s="291">
        <f>'[34]TGNPDCL MoD'!AE7</f>
        <v>41.344579123358386</v>
      </c>
      <c r="P189" s="291">
        <f>'[34]TGNPDCL MoD'!AF7</f>
        <v>50.251709550003262</v>
      </c>
      <c r="Q189" s="291">
        <f t="shared" si="146"/>
        <v>437.98923500000012</v>
      </c>
    </row>
    <row r="190" spans="2:18" x14ac:dyDescent="0.25">
      <c r="B190" s="60"/>
      <c r="C190" s="847"/>
      <c r="D190" s="59" t="s">
        <v>354</v>
      </c>
      <c r="E190" s="291">
        <f>'[34]TGNPDCL MoD'!U8</f>
        <v>4.1069091511171534</v>
      </c>
      <c r="F190" s="291">
        <f>'[34]TGNPDCL MoD'!V8</f>
        <v>0</v>
      </c>
      <c r="G190" s="291">
        <f>'[34]TGNPDCL MoD'!W8</f>
        <v>2.4934805560353888</v>
      </c>
      <c r="H190" s="291">
        <f>'[34]TGNPDCL MoD'!X8</f>
        <v>3.5617658530819498</v>
      </c>
      <c r="I190" s="291">
        <f>'[34]TGNPDCL MoD'!Y8</f>
        <v>3.3344190965022475</v>
      </c>
      <c r="J190" s="291">
        <f>'[34]TGNPDCL MoD'!Z8</f>
        <v>3.4468701804018869</v>
      </c>
      <c r="K190" s="291">
        <f>'[34]TGNPDCL MoD'!AA8</f>
        <v>3.3344190965022475</v>
      </c>
      <c r="L190" s="291">
        <f>'[34]TGNPDCL MoD'!AB8</f>
        <v>4.0621499426145231</v>
      </c>
      <c r="M190" s="291">
        <f>'[34]TGNPDCL MoD'!AC8</f>
        <v>3.6754392313718021</v>
      </c>
      <c r="N190" s="291">
        <f>'[34]TGNPDCL MoD'!AD8</f>
        <v>3.6754392313718021</v>
      </c>
      <c r="O190" s="291">
        <f>'[34]TGNPDCL MoD'!AE8</f>
        <v>4.1826914033103897</v>
      </c>
      <c r="P190" s="291">
        <f>'[34]TGNPDCL MoD'!AF8</f>
        <v>4.5848262576906134</v>
      </c>
      <c r="Q190" s="291">
        <f t="shared" si="146"/>
        <v>40.458410000000008</v>
      </c>
    </row>
    <row r="191" spans="2:18" x14ac:dyDescent="0.25">
      <c r="B191" s="60"/>
      <c r="C191" s="847"/>
      <c r="D191" s="59" t="s">
        <v>355</v>
      </c>
      <c r="E191" s="291">
        <f>'[34]TGNPDCL MoD'!U9</f>
        <v>14.028385595213839</v>
      </c>
      <c r="F191" s="291">
        <f>'[34]TGNPDCL MoD'!V9</f>
        <v>14.495998448387642</v>
      </c>
      <c r="G191" s="291">
        <f>'[34]TGNPDCL MoD'!W9</f>
        <v>14.028385595213845</v>
      </c>
      <c r="H191" s="291">
        <f>'[34]TGNPDCL MoD'!X9</f>
        <v>14.802251936733853</v>
      </c>
      <c r="I191" s="291">
        <f>'[34]TGNPDCL MoD'!Y9</f>
        <v>12.045970541617896</v>
      </c>
      <c r="J191" s="291">
        <f>'[34]TGNPDCL MoD'!Z9</f>
        <v>13.18903763326389</v>
      </c>
      <c r="K191" s="291">
        <f>'[34]TGNPDCL MoD'!AA9</f>
        <v>0</v>
      </c>
      <c r="L191" s="291">
        <f>'[34]TGNPDCL MoD'!AB9</f>
        <v>7.0141927976069196</v>
      </c>
      <c r="M191" s="291">
        <f>'[34]TGNPDCL MoD'!AC9</f>
        <v>14.021324073287445</v>
      </c>
      <c r="N191" s="291">
        <f>'[34]TGNPDCL MoD'!AD9</f>
        <v>12.658477518310333</v>
      </c>
      <c r="O191" s="291">
        <f>'[34]TGNPDCL MoD'!AE9</f>
        <v>12.41479194693807</v>
      </c>
      <c r="P191" s="291">
        <f>'[34]TGNPDCL MoD'!AF9</f>
        <v>15.414758913426288</v>
      </c>
      <c r="Q191" s="291">
        <f t="shared" si="146"/>
        <v>144.11357500000003</v>
      </c>
    </row>
    <row r="192" spans="2:18" x14ac:dyDescent="0.25">
      <c r="B192" s="60"/>
      <c r="C192" s="847"/>
      <c r="D192" s="59" t="s">
        <v>356</v>
      </c>
      <c r="E192" s="291">
        <f>'[34]TGNPDCL MoD'!U10</f>
        <v>23.919446234121416</v>
      </c>
      <c r="F192" s="291">
        <f>'[34]TGNPDCL MoD'!V10</f>
        <v>24.716761108592127</v>
      </c>
      <c r="G192" s="291">
        <f>'[34]TGNPDCL MoD'!W10</f>
        <v>23.919446234121409</v>
      </c>
      <c r="H192" s="291">
        <f>'[34]TGNPDCL MoD'!X10</f>
        <v>25.238946202435624</v>
      </c>
      <c r="I192" s="291">
        <f>'[34]TGNPDCL MoD'!Y10</f>
        <v>21.06146545168766</v>
      </c>
      <c r="J192" s="291">
        <f>'[34]TGNPDCL MoD'!Z10</f>
        <v>23.197051026120295</v>
      </c>
      <c r="K192" s="291">
        <f>'[34]TGNPDCL MoD'!AA10</f>
        <v>20.187516871186943</v>
      </c>
      <c r="L192" s="291">
        <f>'[34]TGNPDCL MoD'!AB10</f>
        <v>0</v>
      </c>
      <c r="M192" s="291">
        <f>'[34]TGNPDCL MoD'!AC10</f>
        <v>12.358380554296064</v>
      </c>
      <c r="N192" s="291">
        <f>'[34]TGNPDCL MoD'!AD10</f>
        <v>23.634073711510929</v>
      </c>
      <c r="O192" s="291">
        <f>'[34]TGNPDCL MoD'!AE10</f>
        <v>22.704750934274372</v>
      </c>
      <c r="P192" s="291">
        <f>'[34]TGNPDCL MoD'!AF10</f>
        <v>27.849871671653098</v>
      </c>
      <c r="Q192" s="291">
        <f t="shared" si="146"/>
        <v>248.78770999999995</v>
      </c>
    </row>
    <row r="193" spans="2:18" x14ac:dyDescent="0.25">
      <c r="B193" s="60"/>
      <c r="C193" s="847"/>
      <c r="D193" s="59" t="s">
        <v>357</v>
      </c>
      <c r="E193" s="291">
        <f>SUM('[34]TGNPDCL MoD'!U11:U14)</f>
        <v>59.59930362310223</v>
      </c>
      <c r="F193" s="291">
        <f>SUM('[34]TGNPDCL MoD'!V11:V14)</f>
        <v>30.599668366476092</v>
      </c>
      <c r="G193" s="291">
        <f>SUM('[34]TGNPDCL MoD'!W11:W14)</f>
        <v>44.605942956620197</v>
      </c>
      <c r="H193" s="291">
        <f>SUM('[34]TGNPDCL MoD'!X11:X14)</f>
        <v>62.887058635174824</v>
      </c>
      <c r="I193" s="291">
        <f>SUM('[34]TGNPDCL MoD'!Y11:Y14)</f>
        <v>45.059395456201116</v>
      </c>
      <c r="J193" s="291">
        <f>SUM('[34]TGNPDCL MoD'!Z11:Z14)</f>
        <v>43.0419643248282</v>
      </c>
      <c r="K193" s="291">
        <f>SUM('[34]TGNPDCL MoD'!AA11:AA14)</f>
        <v>48.574831497514317</v>
      </c>
      <c r="L193" s="291">
        <f>SUM('[34]TGNPDCL MoD'!AB11:AB14)</f>
        <v>44.645150440436929</v>
      </c>
      <c r="M193" s="291">
        <f>SUM('[34]TGNPDCL MoD'!AC11:AC14)</f>
        <v>53.859634599495223</v>
      </c>
      <c r="N193" s="291">
        <f>SUM('[34]TGNPDCL MoD'!AD11:AD14)</f>
        <v>55.829573897598138</v>
      </c>
      <c r="O193" s="291">
        <f>SUM('[34]TGNPDCL MoD'!AE11:AE14)</f>
        <v>54.905582193002815</v>
      </c>
      <c r="P193" s="291">
        <f>SUM('[34]TGNPDCL MoD'!AF11:AF14)</f>
        <v>66.154144009550038</v>
      </c>
      <c r="Q193" s="291">
        <f t="shared" si="146"/>
        <v>609.76225000000011</v>
      </c>
    </row>
    <row r="194" spans="2:18" x14ac:dyDescent="0.25">
      <c r="B194" s="60"/>
      <c r="C194" s="847"/>
      <c r="D194" s="59" t="s">
        <v>358</v>
      </c>
      <c r="E194" s="291">
        <f>SUM('[34]TGNPDCL MoD'!U15:U19)</f>
        <v>190.24063953022062</v>
      </c>
      <c r="F194" s="291">
        <f>SUM('[34]TGNPDCL MoD'!V15:V19)</f>
        <v>114.94998253315721</v>
      </c>
      <c r="G194" s="291">
        <f>SUM('[34]TGNPDCL MoD'!W15:W19)</f>
        <v>113.45320356000883</v>
      </c>
      <c r="H194" s="291">
        <f>SUM('[34]TGNPDCL MoD'!X15:X19)</f>
        <v>125.26737348820994</v>
      </c>
      <c r="I194" s="291">
        <f>SUM('[34]TGNPDCL MoD'!Y15:Y19)</f>
        <v>176.8024155228054</v>
      </c>
      <c r="J194" s="291">
        <f>SUM('[34]TGNPDCL MoD'!Z15:Z19)</f>
        <v>199.36156743437795</v>
      </c>
      <c r="K194" s="291">
        <f>SUM('[34]TGNPDCL MoD'!AA15:AA19)</f>
        <v>181.19450389321534</v>
      </c>
      <c r="L194" s="291">
        <f>SUM('[34]TGNPDCL MoD'!AB15:AB19)</f>
        <v>150.48424465026903</v>
      </c>
      <c r="M194" s="291">
        <f>SUM('[34]TGNPDCL MoD'!AC15:AC19)</f>
        <v>175.60151722875892</v>
      </c>
      <c r="N194" s="291">
        <f>SUM('[34]TGNPDCL MoD'!AD15:AD19)</f>
        <v>195.79664161929674</v>
      </c>
      <c r="O194" s="291">
        <f>SUM('[34]TGNPDCL MoD'!AE15:AE19)</f>
        <v>185.67293097626452</v>
      </c>
      <c r="P194" s="291">
        <f>SUM('[34]TGNPDCL MoD'!AF15:AF19)</f>
        <v>213.61948205083769</v>
      </c>
      <c r="Q194" s="291">
        <f t="shared" si="146"/>
        <v>2022.4445024874221</v>
      </c>
    </row>
    <row r="195" spans="2:18" x14ac:dyDescent="0.25">
      <c r="B195" s="60"/>
      <c r="C195" s="847"/>
      <c r="D195" s="325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>
        <f t="shared" si="146"/>
        <v>0</v>
      </c>
    </row>
    <row r="196" spans="2:18" x14ac:dyDescent="0.25">
      <c r="B196" s="60"/>
      <c r="C196" s="847"/>
      <c r="D196" s="59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>
        <f t="shared" si="146"/>
        <v>0</v>
      </c>
    </row>
    <row r="197" spans="2:18" x14ac:dyDescent="0.25">
      <c r="B197" s="60"/>
      <c r="C197" s="847"/>
      <c r="D197" s="59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>
        <f t="shared" si="146"/>
        <v>0</v>
      </c>
    </row>
    <row r="198" spans="2:18" x14ac:dyDescent="0.25">
      <c r="B198" s="60"/>
      <c r="C198" s="847"/>
      <c r="D198" s="59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>
        <f t="shared" si="146"/>
        <v>0</v>
      </c>
    </row>
    <row r="199" spans="2:18" x14ac:dyDescent="0.25">
      <c r="B199" s="60"/>
      <c r="C199" s="847"/>
      <c r="D199" s="59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>
        <f t="shared" si="146"/>
        <v>0</v>
      </c>
    </row>
    <row r="200" spans="2:18" x14ac:dyDescent="0.25">
      <c r="B200" s="60"/>
      <c r="C200" s="847"/>
      <c r="D200" s="59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>
        <f t="shared" si="146"/>
        <v>0</v>
      </c>
    </row>
    <row r="201" spans="2:18" x14ac:dyDescent="0.25">
      <c r="B201" s="60"/>
      <c r="C201" s="847"/>
      <c r="D201" s="59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>
        <f t="shared" si="146"/>
        <v>0</v>
      </c>
    </row>
    <row r="202" spans="2:18" x14ac:dyDescent="0.25">
      <c r="B202" s="60"/>
      <c r="C202" s="847"/>
      <c r="D202" s="59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>
        <f t="shared" si="146"/>
        <v>0</v>
      </c>
    </row>
    <row r="203" spans="2:18" x14ac:dyDescent="0.25">
      <c r="B203" s="60"/>
      <c r="C203" s="847"/>
      <c r="D203" s="59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>
        <f t="shared" si="146"/>
        <v>0</v>
      </c>
    </row>
    <row r="204" spans="2:18" x14ac:dyDescent="0.25">
      <c r="B204" s="60"/>
      <c r="C204" s="848"/>
      <c r="D204" s="59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>
        <f t="shared" si="146"/>
        <v>0</v>
      </c>
    </row>
    <row r="205" spans="2:18" x14ac:dyDescent="0.25">
      <c r="C205" s="751" t="s">
        <v>212</v>
      </c>
      <c r="D205" s="752"/>
      <c r="E205" s="291">
        <f t="shared" ref="E205:P205" si="147">SUM(E187:E204)</f>
        <v>364.68941969699574</v>
      </c>
      <c r="F205" s="291">
        <f t="shared" si="147"/>
        <v>200.87465876234759</v>
      </c>
      <c r="G205" s="291">
        <f t="shared" si="147"/>
        <v>248.02195370059462</v>
      </c>
      <c r="H205" s="291">
        <f t="shared" si="147"/>
        <v>287.54309491759636</v>
      </c>
      <c r="I205" s="291">
        <f t="shared" si="147"/>
        <v>310.41560020723693</v>
      </c>
      <c r="J205" s="291">
        <f t="shared" si="147"/>
        <v>343.51110612734908</v>
      </c>
      <c r="K205" s="291">
        <f t="shared" si="147"/>
        <v>309.48737989481981</v>
      </c>
      <c r="L205" s="291">
        <f t="shared" si="147"/>
        <v>287.27821475001826</v>
      </c>
      <c r="M205" s="291">
        <f t="shared" si="147"/>
        <v>328.8454243828262</v>
      </c>
      <c r="N205" s="291">
        <f t="shared" si="147"/>
        <v>361.01374636466107</v>
      </c>
      <c r="O205" s="291">
        <f t="shared" si="147"/>
        <v>350.26491423391076</v>
      </c>
      <c r="P205" s="291">
        <f t="shared" si="147"/>
        <v>411.00770444906595</v>
      </c>
      <c r="Q205" s="323">
        <f t="shared" si="146"/>
        <v>3802.9532174874225</v>
      </c>
      <c r="R205" s="427"/>
    </row>
    <row r="206" spans="2:18" x14ac:dyDescent="0.25">
      <c r="C206" s="753" t="s">
        <v>359</v>
      </c>
      <c r="D206" s="754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</row>
    <row r="207" spans="2:18" x14ac:dyDescent="0.25">
      <c r="C207" s="805" t="s">
        <v>350</v>
      </c>
      <c r="D207" s="17" t="s">
        <v>360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>
        <f t="shared" ref="Q207:Q217" si="148">SUM(E207:P207)</f>
        <v>0</v>
      </c>
    </row>
    <row r="208" spans="2:18" x14ac:dyDescent="0.25">
      <c r="C208" s="806"/>
      <c r="D208" s="17" t="s">
        <v>361</v>
      </c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>
        <f t="shared" si="148"/>
        <v>0</v>
      </c>
    </row>
    <row r="209" spans="3:18" x14ac:dyDescent="0.25">
      <c r="C209" s="806"/>
      <c r="D209" s="17" t="s">
        <v>362</v>
      </c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>
        <f t="shared" si="148"/>
        <v>0</v>
      </c>
    </row>
    <row r="210" spans="3:18" x14ac:dyDescent="0.25">
      <c r="C210" s="806"/>
      <c r="D210" s="17" t="s">
        <v>363</v>
      </c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>
        <f t="shared" si="148"/>
        <v>0</v>
      </c>
    </row>
    <row r="211" spans="3:18" x14ac:dyDescent="0.25">
      <c r="C211" s="806"/>
      <c r="D211" s="17" t="s">
        <v>364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>
        <f t="shared" si="148"/>
        <v>0</v>
      </c>
    </row>
    <row r="212" spans="3:18" x14ac:dyDescent="0.25">
      <c r="C212" s="806"/>
      <c r="D212" s="17" t="s">
        <v>365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>
        <f t="shared" si="148"/>
        <v>0</v>
      </c>
    </row>
    <row r="213" spans="3:18" x14ac:dyDescent="0.25">
      <c r="C213" s="806"/>
      <c r="D213" s="17" t="s">
        <v>366</v>
      </c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>
        <f t="shared" si="148"/>
        <v>0</v>
      </c>
    </row>
    <row r="214" spans="3:18" x14ac:dyDescent="0.25">
      <c r="C214" s="806"/>
      <c r="D214" s="17" t="s">
        <v>367</v>
      </c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>
        <f t="shared" si="148"/>
        <v>0</v>
      </c>
    </row>
    <row r="215" spans="3:18" x14ac:dyDescent="0.25">
      <c r="C215" s="80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>
        <f t="shared" si="148"/>
        <v>0</v>
      </c>
    </row>
    <row r="216" spans="3:18" x14ac:dyDescent="0.25">
      <c r="C216" s="806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>
        <f t="shared" si="148"/>
        <v>0</v>
      </c>
    </row>
    <row r="217" spans="3:18" x14ac:dyDescent="0.25">
      <c r="C217" s="806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>
        <f t="shared" si="148"/>
        <v>0</v>
      </c>
    </row>
    <row r="218" spans="3:18" x14ac:dyDescent="0.25">
      <c r="C218" s="806"/>
      <c r="D218" s="325" t="s">
        <v>621</v>
      </c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>
        <f>'[34]PP summary'!$J$60+'[34]PP summary'!$J$59</f>
        <v>537.50961999999993</v>
      </c>
      <c r="R218" s="427"/>
    </row>
    <row r="219" spans="3:18" x14ac:dyDescent="0.25">
      <c r="C219" s="806"/>
      <c r="D219" s="325" t="s">
        <v>622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f t="shared" ref="Q219:Q224" si="149">SUM(E219:P219)</f>
        <v>0</v>
      </c>
    </row>
    <row r="220" spans="3:18" x14ac:dyDescent="0.25">
      <c r="C220" s="806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>
        <f t="shared" si="149"/>
        <v>0</v>
      </c>
    </row>
    <row r="221" spans="3:18" x14ac:dyDescent="0.25">
      <c r="C221" s="806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>
        <f t="shared" si="149"/>
        <v>0</v>
      </c>
    </row>
    <row r="222" spans="3:18" x14ac:dyDescent="0.25">
      <c r="C222" s="806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>
        <f t="shared" si="149"/>
        <v>0</v>
      </c>
    </row>
    <row r="223" spans="3:18" x14ac:dyDescent="0.25">
      <c r="C223" s="806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>
        <f t="shared" si="149"/>
        <v>0</v>
      </c>
    </row>
    <row r="224" spans="3:18" x14ac:dyDescent="0.25">
      <c r="C224" s="807"/>
      <c r="D224" s="10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>
        <f t="shared" si="149"/>
        <v>0</v>
      </c>
    </row>
    <row r="225" spans="3:18" x14ac:dyDescent="0.25">
      <c r="C225" s="751" t="s">
        <v>212</v>
      </c>
      <c r="D225" s="752"/>
      <c r="E225" s="66">
        <f>SUM('[34]TGNPDCL MoD'!U57:U96)</f>
        <v>17.441350425346496</v>
      </c>
      <c r="F225" s="66">
        <f>SUM('[34]TGNPDCL MoD'!V57:V96)</f>
        <v>18.689599686545865</v>
      </c>
      <c r="G225" s="66">
        <f>SUM('[34]TGNPDCL MoD'!W57:W96)</f>
        <v>19.363330305491356</v>
      </c>
      <c r="H225" s="66">
        <f>SUM('[34]TGNPDCL MoD'!X57:X96)</f>
        <v>42.332614636906534</v>
      </c>
      <c r="I225" s="66">
        <f>SUM('[34]TGNPDCL MoD'!Y57:Y96)</f>
        <v>99.389251303260039</v>
      </c>
      <c r="J225" s="66">
        <f>SUM('[34]TGNPDCL MoD'!Z57:Z96)</f>
        <v>50.198168166257304</v>
      </c>
      <c r="K225" s="66">
        <f>SUM('[34]TGNPDCL MoD'!AA57:AA96)</f>
        <v>55.331079133568068</v>
      </c>
      <c r="L225" s="66">
        <f>SUM('[34]TGNPDCL MoD'!AB57:AB96)</f>
        <v>18.977416466755429</v>
      </c>
      <c r="M225" s="66">
        <f>SUM('[34]TGNPDCL MoD'!AC57:AC96)</f>
        <v>32.555852648556247</v>
      </c>
      <c r="N225" s="66">
        <f>SUM('[34]TGNPDCL MoD'!AD57:AD96)</f>
        <v>62.121045312696253</v>
      </c>
      <c r="O225" s="66">
        <f>SUM('[34]TGNPDCL MoD'!AE57:AE96)</f>
        <v>57.784202217583292</v>
      </c>
      <c r="P225" s="66">
        <f>SUM('[34]TGNPDCL MoD'!AF57:AF96)</f>
        <v>25.915374697033144</v>
      </c>
      <c r="Q225" s="86">
        <f>SUM(E225:P225)+Q218</f>
        <v>1037.608905</v>
      </c>
      <c r="R225" s="427"/>
    </row>
    <row r="226" spans="3:18" x14ac:dyDescent="0.25">
      <c r="C226" s="753" t="s">
        <v>368</v>
      </c>
      <c r="D226" s="754"/>
      <c r="E226" s="17">
        <f t="shared" ref="E226:Q226" si="150">E205+E225</f>
        <v>382.13077012234226</v>
      </c>
      <c r="F226" s="17">
        <f t="shared" si="150"/>
        <v>219.56425844889347</v>
      </c>
      <c r="G226" s="17">
        <f t="shared" si="150"/>
        <v>267.38528400608595</v>
      </c>
      <c r="H226" s="17">
        <f t="shared" si="150"/>
        <v>329.87570955450292</v>
      </c>
      <c r="I226" s="17">
        <f t="shared" si="150"/>
        <v>409.80485151049697</v>
      </c>
      <c r="J226" s="17">
        <f t="shared" si="150"/>
        <v>393.70927429360637</v>
      </c>
      <c r="K226" s="17">
        <f t="shared" si="150"/>
        <v>364.81845902838791</v>
      </c>
      <c r="L226" s="17">
        <f t="shared" si="150"/>
        <v>306.25563121677368</v>
      </c>
      <c r="M226" s="17">
        <f t="shared" si="150"/>
        <v>361.40127703138245</v>
      </c>
      <c r="N226" s="17">
        <f t="shared" si="150"/>
        <v>423.13479167735733</v>
      </c>
      <c r="O226" s="17">
        <f t="shared" si="150"/>
        <v>408.04911645149406</v>
      </c>
      <c r="P226" s="17">
        <f t="shared" si="150"/>
        <v>436.9230791460991</v>
      </c>
      <c r="Q226" s="86">
        <f t="shared" si="150"/>
        <v>4840.562122487423</v>
      </c>
    </row>
    <row r="227" spans="3:18" x14ac:dyDescent="0.25">
      <c r="C227" s="800" t="s">
        <v>369</v>
      </c>
      <c r="D227" s="801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</row>
    <row r="228" spans="3:18" x14ac:dyDescent="0.25">
      <c r="C228" s="753" t="s">
        <v>349</v>
      </c>
      <c r="D228" s="754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</row>
    <row r="229" spans="3:18" x14ac:dyDescent="0.25">
      <c r="C229" s="805" t="s">
        <v>370</v>
      </c>
      <c r="D229" s="17" t="s">
        <v>371</v>
      </c>
      <c r="E229" s="66">
        <f>SUM('[34]TGNPDCL MoD'!U25:U30)</f>
        <v>5.5256105923039511</v>
      </c>
      <c r="F229" s="66">
        <f>SUM('[34]TGNPDCL MoD'!V25:V30)</f>
        <v>7.127901381253448</v>
      </c>
      <c r="G229" s="66">
        <f>SUM('[34]TGNPDCL MoD'!W25:W30)</f>
        <v>7.2803993540382521</v>
      </c>
      <c r="H229" s="66">
        <f>SUM('[34]TGNPDCL MoD'!X25:X30)</f>
        <v>5.3206113707460183</v>
      </c>
      <c r="I229" s="66">
        <f>SUM('[34]TGNPDCL MoD'!Y25:Y30)</f>
        <v>4.5546035413019208</v>
      </c>
      <c r="J229" s="66">
        <f>SUM('[34]TGNPDCL MoD'!Z25:Z30)</f>
        <v>4.8505832821196346</v>
      </c>
      <c r="K229" s="66">
        <f>SUM('[34]TGNPDCL MoD'!AA25:AA30)</f>
        <v>4.5138475995037233</v>
      </c>
      <c r="L229" s="66">
        <f>SUM('[34]TGNPDCL MoD'!AB25:AB30)</f>
        <v>6.7996224310470108</v>
      </c>
      <c r="M229" s="66">
        <f>SUM('[34]TGNPDCL MoD'!AC25:AC30)</f>
        <v>4.1143155112071854</v>
      </c>
      <c r="N229" s="66">
        <f>SUM('[34]TGNPDCL MoD'!AD25:AD30)</f>
        <v>4.3671718096757459</v>
      </c>
      <c r="O229" s="66">
        <f>SUM('[34]TGNPDCL MoD'!AE25:AE30)</f>
        <v>5.6735556652778696</v>
      </c>
      <c r="P229" s="66">
        <f>SUM('[34]TGNPDCL MoD'!AF25:AF30)</f>
        <v>7.18768130767908</v>
      </c>
      <c r="Q229" s="66">
        <f t="shared" ref="Q229:Q255" si="151">SUM(E229:P229)</f>
        <v>67.315903846153844</v>
      </c>
    </row>
    <row r="230" spans="3:18" x14ac:dyDescent="0.25">
      <c r="C230" s="806"/>
      <c r="D230" s="17" t="s">
        <v>372</v>
      </c>
      <c r="E230" s="66">
        <f>'[34]TGNPDCL MoD'!U31</f>
        <v>1.5159428594199527</v>
      </c>
      <c r="F230" s="66">
        <f>'[34]TGNPDCL MoD'!V31</f>
        <v>1.8429109271379829</v>
      </c>
      <c r="G230" s="66">
        <f>'[34]TGNPDCL MoD'!W31</f>
        <v>1.7834621875528864</v>
      </c>
      <c r="H230" s="66">
        <f>'[34]TGNPDCL MoD'!X31</f>
        <v>0</v>
      </c>
      <c r="I230" s="66">
        <f>'[34]TGNPDCL MoD'!Y31</f>
        <v>0.57590966473061855</v>
      </c>
      <c r="J230" s="66">
        <f>'[34]TGNPDCL MoD'!Z31</f>
        <v>1.2587609582413164</v>
      </c>
      <c r="K230" s="66">
        <f>'[34]TGNPDCL MoD'!AA31</f>
        <v>1.1057465562827873</v>
      </c>
      <c r="L230" s="66">
        <f>'[34]TGNPDCL MoD'!AB31</f>
        <v>1.7834621875528864</v>
      </c>
      <c r="M230" s="66">
        <f>'[34]TGNPDCL MoD'!AC31</f>
        <v>1.4489067489199985</v>
      </c>
      <c r="N230" s="66">
        <f>'[34]TGNPDCL MoD'!AD31</f>
        <v>1.474328741710385</v>
      </c>
      <c r="O230" s="66">
        <f>'[34]TGNPDCL MoD'!AE31</f>
        <v>1.4654114307726209</v>
      </c>
      <c r="P230" s="66">
        <f>'[34]TGNPDCL MoD'!AF31</f>
        <v>1.7727538915247156</v>
      </c>
      <c r="Q230" s="66">
        <f t="shared" si="151"/>
        <v>16.027596153846151</v>
      </c>
    </row>
    <row r="231" spans="3:18" x14ac:dyDescent="0.25">
      <c r="C231" s="806"/>
      <c r="D231" s="17" t="s">
        <v>373</v>
      </c>
      <c r="E231" s="66">
        <f>SUM('[34]TGNPDCL MoD'!U42:U45)</f>
        <v>5.4738676585836021</v>
      </c>
      <c r="F231" s="66">
        <f>SUM('[34]TGNPDCL MoD'!V42:V45)</f>
        <v>5.4359534237189564</v>
      </c>
      <c r="G231" s="66">
        <f>SUM('[34]TGNPDCL MoD'!W42:W45)</f>
        <v>5.2606000874699559</v>
      </c>
      <c r="H231" s="66">
        <f>SUM('[34]TGNPDCL MoD'!X42:X45)</f>
        <v>5.876706404020493</v>
      </c>
      <c r="I231" s="66">
        <f>SUM('[34]TGNPDCL MoD'!Y42:Y45)</f>
        <v>5.526646395235467</v>
      </c>
      <c r="J231" s="66">
        <f>SUM('[34]TGNPDCL MoD'!Z42:Z45)</f>
        <v>5.687135229697251</v>
      </c>
      <c r="K231" s="66">
        <f>SUM('[34]TGNPDCL MoD'!AA42:AA45)</f>
        <v>5.2155769335681876</v>
      </c>
      <c r="L231" s="66">
        <f>SUM('[34]TGNPDCL MoD'!AB42:AB45)</f>
        <v>3.8610682164676371</v>
      </c>
      <c r="M231" s="66">
        <f>SUM('[34]TGNPDCL MoD'!AC42:AC45)</f>
        <v>3.3274866629163995</v>
      </c>
      <c r="N231" s="66">
        <f>SUM('[34]TGNPDCL MoD'!AD42:AD45)</f>
        <v>4.8056885289275471</v>
      </c>
      <c r="O231" s="66">
        <f>SUM('[34]TGNPDCL MoD'!AE42:AE45)</f>
        <v>5.4975640553740082</v>
      </c>
      <c r="P231" s="66">
        <f>SUM('[34]TGNPDCL MoD'!AF42:AF45)</f>
        <v>5.876706404020493</v>
      </c>
      <c r="Q231" s="66">
        <f t="shared" si="151"/>
        <v>61.844999999999999</v>
      </c>
    </row>
    <row r="232" spans="3:18" x14ac:dyDescent="0.25">
      <c r="C232" s="806"/>
      <c r="D232" s="17" t="s">
        <v>374</v>
      </c>
      <c r="E232" s="66">
        <f>'[34]TGNPDCL MoD'!U40</f>
        <v>10.826685127215816</v>
      </c>
      <c r="F232" s="66">
        <f>'[34]TGNPDCL MoD'!V40</f>
        <v>13.984468289320427</v>
      </c>
      <c r="G232" s="66">
        <f>'[34]TGNPDCL MoD'!W40</f>
        <v>13.53335640901977</v>
      </c>
      <c r="H232" s="66">
        <f>'[34]TGNPDCL MoD'!X40</f>
        <v>9.1548054663352527</v>
      </c>
      <c r="I232" s="66">
        <f>'[34]TGNPDCL MoD'!Y40</f>
        <v>8.390680973592259</v>
      </c>
      <c r="J232" s="66">
        <f>'[34]TGNPDCL MoD'!Z40</f>
        <v>8.7966816658628524</v>
      </c>
      <c r="K232" s="66">
        <f>'[34]TGNPDCL MoD'!AA40</f>
        <v>8.390680973592259</v>
      </c>
      <c r="L232" s="66">
        <f>'[34]TGNPDCL MoD'!AB40</f>
        <v>0</v>
      </c>
      <c r="M232" s="66">
        <f>'[34]TGNPDCL MoD'!AC40</f>
        <v>4.7197580476456444</v>
      </c>
      <c r="N232" s="66">
        <f>'[34]TGNPDCL MoD'!AD40</f>
        <v>9.4395160952912889</v>
      </c>
      <c r="O232" s="66">
        <f>'[34]TGNPDCL MoD'!AE40</f>
        <v>11.119907849411248</v>
      </c>
      <c r="P232" s="66">
        <f>'[34]TGNPDCL MoD'!AF40</f>
        <v>12.390383789776793</v>
      </c>
      <c r="Q232" s="66">
        <f t="shared" si="151"/>
        <v>110.7469246870636</v>
      </c>
    </row>
    <row r="233" spans="3:18" x14ac:dyDescent="0.25">
      <c r="C233" s="806"/>
      <c r="D233" s="17" t="s">
        <v>375</v>
      </c>
      <c r="E233" s="66">
        <f>'[34]TGNPDCL MoD'!U41</f>
        <v>10.92042633753379</v>
      </c>
      <c r="F233" s="66">
        <f>'[34]TGNPDCL MoD'!V41</f>
        <v>14.029914307350641</v>
      </c>
      <c r="G233" s="66">
        <f>'[34]TGNPDCL MoD'!W41</f>
        <v>0</v>
      </c>
      <c r="H233" s="66">
        <f>'[34]TGNPDCL MoD'!X41</f>
        <v>4.9104700075727159</v>
      </c>
      <c r="I233" s="66">
        <f>'[34]TGNPDCL MoD'!Y41</f>
        <v>8.4179485844103823</v>
      </c>
      <c r="J233" s="66">
        <f>'[34]TGNPDCL MoD'!Z41</f>
        <v>8.8252686772044306</v>
      </c>
      <c r="K233" s="66">
        <f>'[34]TGNPDCL MoD'!AA41</f>
        <v>8.4179485844103823</v>
      </c>
      <c r="L233" s="66">
        <f>'[34]TGNPDCL MoD'!AB41</f>
        <v>11.827443016049378</v>
      </c>
      <c r="M233" s="66">
        <f>'[34]TGNPDCL MoD'!AC41</f>
        <v>9.7191232987539404</v>
      </c>
      <c r="N233" s="66">
        <f>'[34]TGNPDCL MoD'!AD41</f>
        <v>9.6618011647835775</v>
      </c>
      <c r="O233" s="66">
        <f>'[34]TGNPDCL MoD'!AE41</f>
        <v>11.156044763748167</v>
      </c>
      <c r="P233" s="66">
        <f>'[34]TGNPDCL MoD'!AF41</f>
        <v>12.860535945246198</v>
      </c>
      <c r="Q233" s="66">
        <f t="shared" si="151"/>
        <v>110.74692468706361</v>
      </c>
    </row>
    <row r="234" spans="3:18" x14ac:dyDescent="0.25">
      <c r="C234" s="806"/>
      <c r="D234" s="17" t="s">
        <v>376</v>
      </c>
      <c r="E234" s="66">
        <f>SUM('[34]TGNPDCL MoD'!U49:U51)</f>
        <v>8.7242523053299301</v>
      </c>
      <c r="F234" s="66">
        <f>SUM('[34]TGNPDCL MoD'!V49:V51)</f>
        <v>11.268825894384459</v>
      </c>
      <c r="G234" s="66">
        <f>SUM('[34]TGNPDCL MoD'!W49:W51)</f>
        <v>7.0522561167572047</v>
      </c>
      <c r="H234" s="66">
        <f>SUM('[34]TGNPDCL MoD'!X49:X51)</f>
        <v>6.0307510948859102</v>
      </c>
      <c r="I234" s="66">
        <f>SUM('[34]TGNPDCL MoD'!Y49:Y51)</f>
        <v>6.7612955366306817</v>
      </c>
      <c r="J234" s="66">
        <f>SUM('[34]TGNPDCL MoD'!Z49:Z51)</f>
        <v>7.0672565100764455</v>
      </c>
      <c r="K234" s="66">
        <f>SUM('[34]TGNPDCL MoD'!AA49:AA51)</f>
        <v>6.7612955366306817</v>
      </c>
      <c r="L234" s="66">
        <f>SUM('[34]TGNPDCL MoD'!AB49:AB51)</f>
        <v>5.6208729557480108</v>
      </c>
      <c r="M234" s="66">
        <f>SUM('[34]TGNPDCL MoD'!AC49:AC51)</f>
        <v>6.1048324159381</v>
      </c>
      <c r="N234" s="66">
        <f>SUM('[34]TGNPDCL MoD'!AD49:AD51)</f>
        <v>7.3974319458883908</v>
      </c>
      <c r="O234" s="66">
        <f>SUM('[34]TGNPDCL MoD'!AE49:AE51)</f>
        <v>8.9402070301437231</v>
      </c>
      <c r="P234" s="66">
        <f>SUM('[34]TGNPDCL MoD'!AF49:AF51)</f>
        <v>9.8602226575864371</v>
      </c>
      <c r="Q234" s="66">
        <f t="shared" si="151"/>
        <v>91.589499999999973</v>
      </c>
    </row>
    <row r="235" spans="3:18" x14ac:dyDescent="0.25">
      <c r="C235" s="806"/>
      <c r="D235" s="17" t="s">
        <v>377</v>
      </c>
      <c r="E235" s="17">
        <f>'[34]TGNPDCL MoD'!U53</f>
        <v>0</v>
      </c>
      <c r="F235" s="17">
        <f>'[34]TGNPDCL MoD'!V53</f>
        <v>0</v>
      </c>
      <c r="G235" s="17">
        <f>'[34]TGNPDCL MoD'!W53</f>
        <v>0</v>
      </c>
      <c r="H235" s="17">
        <f>'[34]TGNPDCL MoD'!X53</f>
        <v>0</v>
      </c>
      <c r="I235" s="17">
        <f>'[34]TGNPDCL MoD'!Y53</f>
        <v>0</v>
      </c>
      <c r="J235" s="17">
        <f>'[34]TGNPDCL MoD'!Z53</f>
        <v>0</v>
      </c>
      <c r="K235" s="17">
        <f>'[34]TGNPDCL MoD'!AA53</f>
        <v>0</v>
      </c>
      <c r="L235" s="17">
        <f>'[34]TGNPDCL MoD'!AB53</f>
        <v>0</v>
      </c>
      <c r="M235" s="17">
        <f>'[34]TGNPDCL MoD'!AC53</f>
        <v>0</v>
      </c>
      <c r="N235" s="17">
        <f>'[34]TGNPDCL MoD'!AD53</f>
        <v>0</v>
      </c>
      <c r="O235" s="17">
        <f>'[34]TGNPDCL MoD'!AE53</f>
        <v>0</v>
      </c>
      <c r="P235" s="17">
        <f>'[34]TGNPDCL MoD'!AF53</f>
        <v>0</v>
      </c>
      <c r="Q235" s="17">
        <f t="shared" si="151"/>
        <v>0</v>
      </c>
    </row>
    <row r="236" spans="3:18" x14ac:dyDescent="0.25">
      <c r="C236" s="806"/>
      <c r="D236" s="17" t="s">
        <v>378</v>
      </c>
      <c r="E236" s="17">
        <f>'[34]TGNPDCL MoD'!U54</f>
        <v>0</v>
      </c>
      <c r="F236" s="17">
        <f>'[34]TGNPDCL MoD'!V54</f>
        <v>0</v>
      </c>
      <c r="G236" s="17">
        <f>'[34]TGNPDCL MoD'!W54</f>
        <v>0</v>
      </c>
      <c r="H236" s="17">
        <f>'[34]TGNPDCL MoD'!X54</f>
        <v>0</v>
      </c>
      <c r="I236" s="17">
        <f>'[34]TGNPDCL MoD'!Y54</f>
        <v>0</v>
      </c>
      <c r="J236" s="17">
        <f>'[34]TGNPDCL MoD'!Z54</f>
        <v>0</v>
      </c>
      <c r="K236" s="17">
        <f>'[34]TGNPDCL MoD'!AA54</f>
        <v>0</v>
      </c>
      <c r="L236" s="17">
        <f>'[34]TGNPDCL MoD'!AB54</f>
        <v>0</v>
      </c>
      <c r="M236" s="17">
        <f>'[34]TGNPDCL MoD'!AC54</f>
        <v>0</v>
      </c>
      <c r="N236" s="17">
        <f>'[34]TGNPDCL MoD'!AD54</f>
        <v>0</v>
      </c>
      <c r="O236" s="17">
        <f>'[34]TGNPDCL MoD'!AE54</f>
        <v>0</v>
      </c>
      <c r="P236" s="17">
        <f>'[34]TGNPDCL MoD'!AF54</f>
        <v>0</v>
      </c>
      <c r="Q236" s="17">
        <f t="shared" si="151"/>
        <v>0</v>
      </c>
    </row>
    <row r="237" spans="3:18" x14ac:dyDescent="0.25">
      <c r="C237" s="807"/>
      <c r="D237" s="17" t="s">
        <v>379</v>
      </c>
      <c r="E237" s="66">
        <f>'[34]TGNPDCL MoD'!U55</f>
        <v>28.879217833821222</v>
      </c>
      <c r="F237" s="66">
        <f>'[34]TGNPDCL MoD'!V55</f>
        <v>29.783335837810874</v>
      </c>
      <c r="G237" s="66">
        <f>'[34]TGNPDCL MoD'!W55</f>
        <v>28.891450130027067</v>
      </c>
      <c r="H237" s="66">
        <f>'[34]TGNPDCL MoD'!X55</f>
        <v>29.627766556221832</v>
      </c>
      <c r="I237" s="66">
        <f>'[34]TGNPDCL MoD'!Y55</f>
        <v>24.310345645656216</v>
      </c>
      <c r="J237" s="66">
        <f>'[34]TGNPDCL MoD'!Z55</f>
        <v>26.270307811862608</v>
      </c>
      <c r="K237" s="66">
        <f>'[34]TGNPDCL MoD'!AA55</f>
        <v>23.11259273025194</v>
      </c>
      <c r="L237" s="66">
        <f>'[34]TGNPDCL MoD'!AB55</f>
        <v>28.891450130027078</v>
      </c>
      <c r="M237" s="66">
        <f>'[34]TGNPDCL MoD'!AC55</f>
        <v>28.593040785961087</v>
      </c>
      <c r="N237" s="66">
        <f>'[34]TGNPDCL MoD'!AD55</f>
        <v>25.932552386045774</v>
      </c>
      <c r="O237" s="66">
        <f>'[34]TGNPDCL MoD'!AE55</f>
        <v>25.568255162019277</v>
      </c>
      <c r="P237" s="66">
        <f>'[34]TGNPDCL MoD'!AF55</f>
        <v>31.746684990295005</v>
      </c>
      <c r="Q237" s="66">
        <f t="shared" si="151"/>
        <v>331.60699999999997</v>
      </c>
    </row>
    <row r="238" spans="3:18" x14ac:dyDescent="0.25">
      <c r="C238" s="17"/>
      <c r="D238" s="125" t="s">
        <v>451</v>
      </c>
      <c r="E238" s="66">
        <f>'[34]TGNPDCL MoD'!U56</f>
        <v>29.011860202590832</v>
      </c>
      <c r="F238" s="66">
        <f>'[34]TGNPDCL MoD'!V56</f>
        <v>29.667440861310531</v>
      </c>
      <c r="G238" s="66">
        <f>'[34]TGNPDCL MoD'!W56</f>
        <v>29.327217010041132</v>
      </c>
      <c r="H238" s="66">
        <f>'[34]TGNPDCL MoD'!X56</f>
        <v>28.828690876137671</v>
      </c>
      <c r="I238" s="66">
        <f>'[34]TGNPDCL MoD'!Y56</f>
        <v>24.155678326953307</v>
      </c>
      <c r="J238" s="66">
        <f>'[34]TGNPDCL MoD'!Z56</f>
        <v>25.250270087073794</v>
      </c>
      <c r="K238" s="66">
        <f>'[34]TGNPDCL MoD'!AA56</f>
        <v>23.334277132086701</v>
      </c>
      <c r="L238" s="66">
        <f>'[34]TGNPDCL MoD'!AB56</f>
        <v>29.638015458761846</v>
      </c>
      <c r="M238" s="66">
        <f>'[34]TGNPDCL MoD'!AC56</f>
        <v>28.614401469702102</v>
      </c>
      <c r="N238" s="66">
        <f>'[34]TGNPDCL MoD'!AD56</f>
        <v>26.0967596210835</v>
      </c>
      <c r="O238" s="66">
        <f>'[34]TGNPDCL MoD'!AE56</f>
        <v>26.228947952941827</v>
      </c>
      <c r="P238" s="66">
        <f>'[34]TGNPDCL MoD'!AF56</f>
        <v>31.453441001316776</v>
      </c>
      <c r="Q238" s="66">
        <f t="shared" si="151"/>
        <v>331.60700000000003</v>
      </c>
    </row>
    <row r="239" spans="3:18" x14ac:dyDescent="0.25">
      <c r="C239" s="17"/>
      <c r="D239" s="17" t="s">
        <v>385</v>
      </c>
      <c r="E239" s="17">
        <f>'[34]TGNPDCL MoD'!U46</f>
        <v>0</v>
      </c>
      <c r="F239" s="17">
        <f>'[34]TGNPDCL MoD'!V46</f>
        <v>0</v>
      </c>
      <c r="G239" s="17">
        <f>'[34]TGNPDCL MoD'!W46</f>
        <v>0</v>
      </c>
      <c r="H239" s="17">
        <f>'[34]TGNPDCL MoD'!X46</f>
        <v>0</v>
      </c>
      <c r="I239" s="17">
        <f>'[34]TGNPDCL MoD'!Y46</f>
        <v>0</v>
      </c>
      <c r="J239" s="17">
        <f>'[34]TGNPDCL MoD'!Z46</f>
        <v>0</v>
      </c>
      <c r="K239" s="17">
        <f>'[34]TGNPDCL MoD'!AA46</f>
        <v>0</v>
      </c>
      <c r="L239" s="17">
        <f>'[34]TGNPDCL MoD'!AB46</f>
        <v>0</v>
      </c>
      <c r="M239" s="17">
        <f>'[34]TGNPDCL MoD'!AC46</f>
        <v>0</v>
      </c>
      <c r="N239" s="17">
        <f>'[34]TGNPDCL MoD'!AD46</f>
        <v>0</v>
      </c>
      <c r="O239" s="17">
        <f>'[34]TGNPDCL MoD'!AE46</f>
        <v>0</v>
      </c>
      <c r="P239" s="17">
        <f>'[34]TGNPDCL MoD'!AF46</f>
        <v>0</v>
      </c>
      <c r="Q239" s="17">
        <f t="shared" si="151"/>
        <v>0</v>
      </c>
    </row>
    <row r="240" spans="3:18" x14ac:dyDescent="0.25">
      <c r="C240" s="17"/>
      <c r="D240" s="17" t="s">
        <v>386</v>
      </c>
      <c r="E240" s="17">
        <f>'[34]TGNPDCL MoD'!U35</f>
        <v>0</v>
      </c>
      <c r="F240" s="17">
        <f>'[34]TGNPDCL MoD'!V35</f>
        <v>0</v>
      </c>
      <c r="G240" s="17">
        <f>'[34]TGNPDCL MoD'!W35</f>
        <v>0</v>
      </c>
      <c r="H240" s="17">
        <f>'[34]TGNPDCL MoD'!X35</f>
        <v>0</v>
      </c>
      <c r="I240" s="17">
        <f>'[34]TGNPDCL MoD'!Y35</f>
        <v>0</v>
      </c>
      <c r="J240" s="17">
        <f>'[34]TGNPDCL MoD'!Z35</f>
        <v>0</v>
      </c>
      <c r="K240" s="17">
        <f>'[34]TGNPDCL MoD'!AA35</f>
        <v>0</v>
      </c>
      <c r="L240" s="17">
        <f>'[34]TGNPDCL MoD'!AB35</f>
        <v>0</v>
      </c>
      <c r="M240" s="17">
        <f>'[34]TGNPDCL MoD'!AC35</f>
        <v>0</v>
      </c>
      <c r="N240" s="17">
        <f>'[34]TGNPDCL MoD'!AD35</f>
        <v>0</v>
      </c>
      <c r="O240" s="17">
        <f>'[34]TGNPDCL MoD'!AE35</f>
        <v>0</v>
      </c>
      <c r="P240" s="17">
        <f>'[34]TGNPDCL MoD'!AF35</f>
        <v>0</v>
      </c>
      <c r="Q240" s="17">
        <f t="shared" si="151"/>
        <v>0</v>
      </c>
    </row>
    <row r="241" spans="3:18" x14ac:dyDescent="0.25">
      <c r="C241" s="17"/>
      <c r="D241" s="17" t="s">
        <v>380</v>
      </c>
      <c r="E241" s="66">
        <f>'[34]TGNPDCL MoD'!U33</f>
        <v>4.99425601750541E-2</v>
      </c>
      <c r="F241" s="66">
        <f>'[34]TGNPDCL MoD'!V33</f>
        <v>6.6590080233408191E-2</v>
      </c>
      <c r="G241" s="66">
        <f>'[34]TGNPDCL MoD'!W33</f>
        <v>6.4442013129100237E-2</v>
      </c>
      <c r="H241" s="66">
        <f>'[34]TGNPDCL MoD'!X33</f>
        <v>4.3283552151714595E-2</v>
      </c>
      <c r="I241" s="66">
        <f>'[34]TGNPDCL MoD'!Y33</f>
        <v>3.9954048140044746E-2</v>
      </c>
      <c r="J241" s="66">
        <f>'[34]TGNPDCL MoD'!Z33</f>
        <v>4.0276258205689988E-2</v>
      </c>
      <c r="K241" s="66">
        <f>'[34]TGNPDCL MoD'!AA33</f>
        <v>3.9954048140044746E-2</v>
      </c>
      <c r="L241" s="66">
        <f>'[34]TGNPDCL MoD'!AB33</f>
        <v>4.8331509846826756E-2</v>
      </c>
      <c r="M241" s="66">
        <f>'[34]TGNPDCL MoD'!AC33</f>
        <v>4.3283552151714595E-2</v>
      </c>
      <c r="N241" s="66">
        <f>'[34]TGNPDCL MoD'!AD33</f>
        <v>4.3283552151714595E-2</v>
      </c>
      <c r="O241" s="66">
        <f>'[34]TGNPDCL MoD'!AE33</f>
        <v>5.1392505470458504E-2</v>
      </c>
      <c r="P241" s="66">
        <f>'[34]TGNPDCL MoD'!AF33</f>
        <v>5.826632020422895E-2</v>
      </c>
      <c r="Q241" s="66">
        <f t="shared" si="151"/>
        <v>0.58899999999999997</v>
      </c>
    </row>
    <row r="242" spans="3:18" x14ac:dyDescent="0.25">
      <c r="C242" s="17"/>
      <c r="D242" s="17" t="s">
        <v>381</v>
      </c>
      <c r="E242" s="17">
        <f>'[34]TGNPDCL MoD'!U34</f>
        <v>0</v>
      </c>
      <c r="F242" s="17">
        <f>'[34]TGNPDCL MoD'!V34</f>
        <v>0</v>
      </c>
      <c r="G242" s="17">
        <f>'[34]TGNPDCL MoD'!W34</f>
        <v>0</v>
      </c>
      <c r="H242" s="17">
        <f>'[34]TGNPDCL MoD'!X34</f>
        <v>0</v>
      </c>
      <c r="I242" s="17">
        <f>'[34]TGNPDCL MoD'!Y34</f>
        <v>0</v>
      </c>
      <c r="J242" s="17">
        <f>'[34]TGNPDCL MoD'!Z34</f>
        <v>0</v>
      </c>
      <c r="K242" s="17">
        <f>'[34]TGNPDCL MoD'!AA34</f>
        <v>0</v>
      </c>
      <c r="L242" s="17">
        <f>'[34]TGNPDCL MoD'!AB34</f>
        <v>0</v>
      </c>
      <c r="M242" s="17">
        <f>'[34]TGNPDCL MoD'!AC34</f>
        <v>0</v>
      </c>
      <c r="N242" s="17">
        <f>'[34]TGNPDCL MoD'!AD34</f>
        <v>0</v>
      </c>
      <c r="O242" s="17">
        <f>'[34]TGNPDCL MoD'!AE34</f>
        <v>0</v>
      </c>
      <c r="P242" s="17">
        <f>'[34]TGNPDCL MoD'!AF34</f>
        <v>0</v>
      </c>
      <c r="Q242" s="17">
        <f t="shared" si="151"/>
        <v>0</v>
      </c>
    </row>
    <row r="243" spans="3:18" x14ac:dyDescent="0.25">
      <c r="C243" s="17"/>
      <c r="D243" s="17" t="s">
        <v>382</v>
      </c>
      <c r="E243" s="66">
        <f>'[34]TGNPDCL MoD'!U52</f>
        <v>1.9067527912550415</v>
      </c>
      <c r="F243" s="66">
        <f>'[34]TGNPDCL MoD'!V52</f>
        <v>1.9703112176302096</v>
      </c>
      <c r="G243" s="66">
        <f>'[34]TGNPDCL MoD'!W52</f>
        <v>1.9067527912550415</v>
      </c>
      <c r="H243" s="66">
        <f>'[34]TGNPDCL MoD'!X52</f>
        <v>2.0951900976208568</v>
      </c>
      <c r="I243" s="66">
        <f>'[34]TGNPDCL MoD'!Y52</f>
        <v>1.6789271643187003</v>
      </c>
      <c r="J243" s="66">
        <f>'[34]TGNPDCL MoD'!Z52</f>
        <v>1.9067527912550415</v>
      </c>
      <c r="K243" s="66">
        <f>'[34]TGNPDCL MoD'!AA52</f>
        <v>1.6373008709884846</v>
      </c>
      <c r="L243" s="66">
        <f>'[34]TGNPDCL MoD'!AB52</f>
        <v>1.9067527912550415</v>
      </c>
      <c r="M243" s="66">
        <f>'[34]TGNPDCL MoD'!AC52</f>
        <v>1.9703112176302096</v>
      </c>
      <c r="N243" s="66">
        <f>'[34]TGNPDCL MoD'!AD52</f>
        <v>1.9286849242999939</v>
      </c>
      <c r="O243" s="66">
        <f>'[34]TGNPDCL MoD'!AE52</f>
        <v>1.8431943648798739</v>
      </c>
      <c r="P243" s="66">
        <f>'[34]TGNPDCL MoD'!AF52</f>
        <v>2.2200689776115037</v>
      </c>
      <c r="Q243" s="66">
        <f t="shared" si="151"/>
        <v>22.971</v>
      </c>
    </row>
    <row r="244" spans="3:18" x14ac:dyDescent="0.25">
      <c r="C244" s="17"/>
      <c r="D244" s="17" t="s">
        <v>667</v>
      </c>
      <c r="E244" s="66">
        <f>'[34]TGNPDCL MoD'!U47</f>
        <v>3.6632784027342793</v>
      </c>
      <c r="F244" s="66">
        <f>'[34]TGNPDCL MoD'!V47</f>
        <v>0</v>
      </c>
      <c r="G244" s="66">
        <f>'[34]TGNPDCL MoD'!W47</f>
        <v>2.0587019122804202</v>
      </c>
      <c r="H244" s="66">
        <f>'[34]TGNPDCL MoD'!X47</f>
        <v>3.5038299212929589</v>
      </c>
      <c r="I244" s="66">
        <f>'[34]TGNPDCL MoD'!Y47</f>
        <v>2.846861811050529</v>
      </c>
      <c r="J244" s="66">
        <f>'[34]TGNPDCL MoD'!Z47</f>
        <v>3.1422982606445466</v>
      </c>
      <c r="K244" s="66">
        <f>'[34]TGNPDCL MoD'!AA47</f>
        <v>2.8932634375967181</v>
      </c>
      <c r="L244" s="66">
        <f>'[34]TGNPDCL MoD'!AB47</f>
        <v>4.2082289089261629</v>
      </c>
      <c r="M244" s="66">
        <f>'[34]TGNPDCL MoD'!AC47</f>
        <v>3.6915350956479314</v>
      </c>
      <c r="N244" s="66">
        <f>'[34]TGNPDCL MoD'!AD47</f>
        <v>3.5976825084704429</v>
      </c>
      <c r="O244" s="66">
        <f>'[34]TGNPDCL MoD'!AE47</f>
        <v>3.5411691226431357</v>
      </c>
      <c r="P244" s="66">
        <f>'[34]TGNPDCL MoD'!AF47</f>
        <v>4.2546506187128674</v>
      </c>
      <c r="Q244" s="66">
        <f t="shared" si="151"/>
        <v>37.401499999999992</v>
      </c>
    </row>
    <row r="245" spans="3:18" x14ac:dyDescent="0.2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>
        <f t="shared" si="151"/>
        <v>0</v>
      </c>
    </row>
    <row r="246" spans="3:18" x14ac:dyDescent="0.25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>
        <f t="shared" si="151"/>
        <v>0</v>
      </c>
    </row>
    <row r="247" spans="3:18" x14ac:dyDescent="0.25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>
        <f t="shared" si="151"/>
        <v>0</v>
      </c>
    </row>
    <row r="248" spans="3:18" x14ac:dyDescent="0.25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>
        <f t="shared" si="151"/>
        <v>0</v>
      </c>
    </row>
    <row r="249" spans="3:18" x14ac:dyDescent="0.25"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>
        <f t="shared" si="151"/>
        <v>0</v>
      </c>
    </row>
    <row r="250" spans="3:18" x14ac:dyDescent="0.25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>
        <f t="shared" si="151"/>
        <v>0</v>
      </c>
    </row>
    <row r="251" spans="3:18" x14ac:dyDescent="0.25"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>
        <f t="shared" si="151"/>
        <v>0</v>
      </c>
    </row>
    <row r="252" spans="3:18" x14ac:dyDescent="0.25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>
        <f t="shared" si="151"/>
        <v>0</v>
      </c>
    </row>
    <row r="253" spans="3:18" x14ac:dyDescent="0.25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>
        <f t="shared" si="151"/>
        <v>0</v>
      </c>
    </row>
    <row r="254" spans="3:18" x14ac:dyDescent="0.25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>
        <f t="shared" si="151"/>
        <v>0</v>
      </c>
    </row>
    <row r="255" spans="3:18" x14ac:dyDescent="0.25">
      <c r="C255" s="751" t="s">
        <v>212</v>
      </c>
      <c r="D255" s="752"/>
      <c r="E255" s="66">
        <f t="shared" ref="E255:P255" si="152">SUM(E229:E254)</f>
        <v>106.49783667096348</v>
      </c>
      <c r="F255" s="66">
        <f t="shared" si="152"/>
        <v>115.17765222015093</v>
      </c>
      <c r="G255" s="66">
        <f t="shared" si="152"/>
        <v>97.158638011570829</v>
      </c>
      <c r="H255" s="66">
        <f t="shared" si="152"/>
        <v>95.392105346985431</v>
      </c>
      <c r="I255" s="66">
        <f t="shared" si="152"/>
        <v>87.25885169202013</v>
      </c>
      <c r="J255" s="66">
        <f t="shared" si="152"/>
        <v>93.095591532243617</v>
      </c>
      <c r="K255" s="66">
        <f t="shared" si="152"/>
        <v>85.422484403051911</v>
      </c>
      <c r="L255" s="66">
        <f t="shared" si="152"/>
        <v>94.585247605681886</v>
      </c>
      <c r="M255" s="66">
        <f t="shared" si="152"/>
        <v>92.346994806474314</v>
      </c>
      <c r="N255" s="66">
        <f t="shared" si="152"/>
        <v>94.744901278328371</v>
      </c>
      <c r="O255" s="66">
        <f t="shared" si="152"/>
        <v>101.08564990268222</v>
      </c>
      <c r="P255" s="66">
        <f t="shared" si="152"/>
        <v>119.68139590397411</v>
      </c>
      <c r="Q255" s="86">
        <f t="shared" si="151"/>
        <v>1182.4473493741273</v>
      </c>
      <c r="R255" s="427"/>
    </row>
    <row r="256" spans="3:18" x14ac:dyDescent="0.25">
      <c r="C256" s="753" t="s">
        <v>387</v>
      </c>
      <c r="D256" s="754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</row>
    <row r="257" spans="3:17" x14ac:dyDescent="0.25">
      <c r="C257" s="805" t="s">
        <v>388</v>
      </c>
      <c r="D257" s="17" t="s">
        <v>389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f t="shared" ref="Q257:Q271" si="153">SUM(E257:P257)</f>
        <v>0</v>
      </c>
    </row>
    <row r="258" spans="3:17" x14ac:dyDescent="0.25">
      <c r="C258" s="806"/>
      <c r="D258" s="17" t="s">
        <v>390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f t="shared" si="153"/>
        <v>0</v>
      </c>
    </row>
    <row r="259" spans="3:17" x14ac:dyDescent="0.25">
      <c r="C259" s="806"/>
      <c r="D259" s="17" t="s">
        <v>391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f t="shared" si="153"/>
        <v>0</v>
      </c>
    </row>
    <row r="260" spans="3:17" x14ac:dyDescent="0.25">
      <c r="C260" s="807"/>
      <c r="D260" s="17" t="s">
        <v>392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f t="shared" si="153"/>
        <v>0</v>
      </c>
    </row>
    <row r="261" spans="3:17" x14ac:dyDescent="0.25">
      <c r="C261" s="17"/>
      <c r="D261" s="17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>
        <f t="shared" si="153"/>
        <v>0</v>
      </c>
    </row>
    <row r="262" spans="3:17" x14ac:dyDescent="0.25">
      <c r="C262" s="17"/>
      <c r="D262" s="17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>
        <f t="shared" si="153"/>
        <v>0</v>
      </c>
    </row>
    <row r="263" spans="3:17" x14ac:dyDescent="0.25">
      <c r="C263" s="17"/>
      <c r="D263" s="17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>
        <f t="shared" si="153"/>
        <v>0</v>
      </c>
    </row>
    <row r="264" spans="3:17" x14ac:dyDescent="0.25">
      <c r="C264" s="17"/>
      <c r="D264" s="17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>
        <f t="shared" si="153"/>
        <v>0</v>
      </c>
    </row>
    <row r="265" spans="3:17" x14ac:dyDescent="0.25">
      <c r="C265" s="17"/>
      <c r="D265" s="17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>
        <f t="shared" si="153"/>
        <v>0</v>
      </c>
    </row>
    <row r="266" spans="3:17" x14ac:dyDescent="0.25">
      <c r="C266" s="17"/>
      <c r="D266" s="17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>
        <f t="shared" si="153"/>
        <v>0</v>
      </c>
    </row>
    <row r="267" spans="3:17" x14ac:dyDescent="0.25">
      <c r="C267" s="17"/>
      <c r="D267" s="17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>
        <f t="shared" si="153"/>
        <v>0</v>
      </c>
    </row>
    <row r="268" spans="3:17" x14ac:dyDescent="0.25">
      <c r="C268" s="17"/>
      <c r="D268" s="17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>
        <f t="shared" si="153"/>
        <v>0</v>
      </c>
    </row>
    <row r="269" spans="3:17" x14ac:dyDescent="0.25">
      <c r="C269" s="17"/>
      <c r="D269" s="17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>
        <f t="shared" si="153"/>
        <v>0</v>
      </c>
    </row>
    <row r="270" spans="3:17" x14ac:dyDescent="0.25">
      <c r="C270" s="17"/>
      <c r="D270" s="17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>
        <f t="shared" si="153"/>
        <v>0</v>
      </c>
    </row>
    <row r="271" spans="3:17" x14ac:dyDescent="0.25">
      <c r="C271" s="751" t="s">
        <v>212</v>
      </c>
      <c r="D271" s="752"/>
      <c r="E271" s="66">
        <f t="shared" ref="E271:P271" si="154">SUM(E257:E270)</f>
        <v>0</v>
      </c>
      <c r="F271" s="66">
        <f t="shared" si="154"/>
        <v>0</v>
      </c>
      <c r="G271" s="66">
        <f t="shared" si="154"/>
        <v>0</v>
      </c>
      <c r="H271" s="66">
        <f t="shared" si="154"/>
        <v>0</v>
      </c>
      <c r="I271" s="66">
        <f t="shared" si="154"/>
        <v>0</v>
      </c>
      <c r="J271" s="66">
        <f t="shared" si="154"/>
        <v>0</v>
      </c>
      <c r="K271" s="66">
        <f t="shared" si="154"/>
        <v>0</v>
      </c>
      <c r="L271" s="66">
        <f t="shared" si="154"/>
        <v>0</v>
      </c>
      <c r="M271" s="66">
        <f t="shared" si="154"/>
        <v>0</v>
      </c>
      <c r="N271" s="66">
        <f t="shared" si="154"/>
        <v>0</v>
      </c>
      <c r="O271" s="66">
        <f t="shared" si="154"/>
        <v>0</v>
      </c>
      <c r="P271" s="66">
        <f t="shared" si="154"/>
        <v>0</v>
      </c>
      <c r="Q271" s="86">
        <f t="shared" si="153"/>
        <v>0</v>
      </c>
    </row>
    <row r="272" spans="3:17" x14ac:dyDescent="0.25">
      <c r="C272" s="753" t="s">
        <v>394</v>
      </c>
      <c r="D272" s="754"/>
      <c r="E272" s="66">
        <f t="shared" ref="E272:Q272" si="155">E255+E271</f>
        <v>106.49783667096348</v>
      </c>
      <c r="F272" s="66">
        <f t="shared" si="155"/>
        <v>115.17765222015093</v>
      </c>
      <c r="G272" s="66">
        <f t="shared" si="155"/>
        <v>97.158638011570829</v>
      </c>
      <c r="H272" s="66">
        <f t="shared" si="155"/>
        <v>95.392105346985431</v>
      </c>
      <c r="I272" s="66">
        <f t="shared" si="155"/>
        <v>87.25885169202013</v>
      </c>
      <c r="J272" s="66">
        <f t="shared" si="155"/>
        <v>93.095591532243617</v>
      </c>
      <c r="K272" s="66">
        <f t="shared" si="155"/>
        <v>85.422484403051911</v>
      </c>
      <c r="L272" s="66">
        <f t="shared" si="155"/>
        <v>94.585247605681886</v>
      </c>
      <c r="M272" s="66">
        <f t="shared" si="155"/>
        <v>92.346994806474314</v>
      </c>
      <c r="N272" s="66">
        <f t="shared" si="155"/>
        <v>94.744901278328371</v>
      </c>
      <c r="O272" s="66">
        <f t="shared" si="155"/>
        <v>101.08564990268222</v>
      </c>
      <c r="P272" s="66">
        <f t="shared" si="155"/>
        <v>119.68139590397411</v>
      </c>
      <c r="Q272" s="86">
        <f t="shared" si="155"/>
        <v>1182.4473493741273</v>
      </c>
    </row>
    <row r="273" spans="3:18" x14ac:dyDescent="0.25">
      <c r="C273" s="800" t="s">
        <v>395</v>
      </c>
      <c r="D273" s="801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</row>
    <row r="274" spans="3:18" x14ac:dyDescent="0.25">
      <c r="C274" s="17" t="s">
        <v>396</v>
      </c>
      <c r="D274" s="17" t="s">
        <v>396</v>
      </c>
      <c r="E274" s="66">
        <f>'[34]TGNPDCL MoD'!U23</f>
        <v>7.7034855032054779</v>
      </c>
      <c r="F274" s="66">
        <f>'[34]TGNPDCL MoD'!V23</f>
        <v>7.9602683533123209</v>
      </c>
      <c r="G274" s="66">
        <f>'[34]TGNPDCL MoD'!W23</f>
        <v>7.7034855032054725</v>
      </c>
      <c r="H274" s="66">
        <f>'[34]TGNPDCL MoD'!X23</f>
        <v>8.2099345559321897</v>
      </c>
      <c r="I274" s="66">
        <f>'[34]TGNPDCL MoD'!Y23</f>
        <v>6.7830455686675446</v>
      </c>
      <c r="J274" s="66">
        <f>'[34]TGNPDCL MoD'!Z23</f>
        <v>7.6700002670493621</v>
      </c>
      <c r="K274" s="66">
        <f>'[34]TGNPDCL MoD'!AA23</f>
        <v>6.6148708851468623</v>
      </c>
      <c r="L274" s="66">
        <f>'[34]TGNPDCL MoD'!AB23</f>
        <v>7.7034855032054725</v>
      </c>
      <c r="M274" s="66">
        <f>'[34]TGNPDCL MoD'!AC23</f>
        <v>7.9602683533123209</v>
      </c>
      <c r="N274" s="66">
        <f>'[34]TGNPDCL MoD'!AD23</f>
        <v>7.7920936697916385</v>
      </c>
      <c r="O274" s="66">
        <f>'[34]TGNPDCL MoD'!AE23</f>
        <v>7.4467026530986304</v>
      </c>
      <c r="P274" s="66">
        <f>'[34]TGNPDCL MoD'!AF23</f>
        <v>8.9693164544364272</v>
      </c>
      <c r="Q274" s="17">
        <f t="shared" ref="Q274:Q281" si="156">SUM(E274:P274)</f>
        <v>92.516957270363704</v>
      </c>
    </row>
    <row r="275" spans="3:18" x14ac:dyDescent="0.25">
      <c r="C275" s="17" t="s">
        <v>397</v>
      </c>
      <c r="D275" s="17" t="s">
        <v>397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f t="shared" si="156"/>
        <v>0</v>
      </c>
    </row>
    <row r="276" spans="3:18" x14ac:dyDescent="0.25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>
        <f t="shared" si="156"/>
        <v>0</v>
      </c>
    </row>
    <row r="277" spans="3:18" x14ac:dyDescent="0.25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>
        <f t="shared" si="156"/>
        <v>0</v>
      </c>
    </row>
    <row r="278" spans="3:18" x14ac:dyDescent="0.25"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>
        <f t="shared" si="156"/>
        <v>0</v>
      </c>
    </row>
    <row r="279" spans="3:18" x14ac:dyDescent="0.25"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>
        <f t="shared" si="156"/>
        <v>0</v>
      </c>
    </row>
    <row r="280" spans="3:18" x14ac:dyDescent="0.25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>
        <f t="shared" si="156"/>
        <v>0</v>
      </c>
    </row>
    <row r="281" spans="3:18" x14ac:dyDescent="0.25">
      <c r="C281" s="753" t="s">
        <v>398</v>
      </c>
      <c r="D281" s="754"/>
      <c r="E281" s="66">
        <f t="shared" ref="E281:P281" si="157">SUM(E274:E280)</f>
        <v>7.7034855032054779</v>
      </c>
      <c r="F281" s="66">
        <f t="shared" si="157"/>
        <v>7.9602683533123209</v>
      </c>
      <c r="G281" s="66">
        <f t="shared" si="157"/>
        <v>7.7034855032054725</v>
      </c>
      <c r="H281" s="66">
        <f t="shared" si="157"/>
        <v>8.2099345559321897</v>
      </c>
      <c r="I281" s="66">
        <f t="shared" si="157"/>
        <v>6.7830455686675446</v>
      </c>
      <c r="J281" s="66">
        <f t="shared" si="157"/>
        <v>7.6700002670493621</v>
      </c>
      <c r="K281" s="66">
        <f t="shared" si="157"/>
        <v>6.6148708851468623</v>
      </c>
      <c r="L281" s="66">
        <f t="shared" si="157"/>
        <v>7.7034855032054725</v>
      </c>
      <c r="M281" s="66">
        <f t="shared" si="157"/>
        <v>7.9602683533123209</v>
      </c>
      <c r="N281" s="66">
        <f t="shared" si="157"/>
        <v>7.7920936697916385</v>
      </c>
      <c r="O281" s="66">
        <f t="shared" si="157"/>
        <v>7.4467026530986304</v>
      </c>
      <c r="P281" s="66">
        <f t="shared" si="157"/>
        <v>8.9693164544364272</v>
      </c>
      <c r="Q281" s="86">
        <f t="shared" si="156"/>
        <v>92.516957270363704</v>
      </c>
      <c r="R281" s="427"/>
    </row>
    <row r="282" spans="3:18" x14ac:dyDescent="0.25">
      <c r="C282" s="800" t="s">
        <v>399</v>
      </c>
      <c r="D282" s="801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</row>
    <row r="283" spans="3:18" x14ac:dyDescent="0.25">
      <c r="C283" s="17" t="s">
        <v>400</v>
      </c>
      <c r="D283" s="17" t="s">
        <v>400</v>
      </c>
      <c r="E283" s="66">
        <f>'[34]TGNPDCL MoD'!U20+'[34]TGNPDCL MoD'!U21+'[34]TGNPDCL MoD'!U22</f>
        <v>85.22520056044101</v>
      </c>
      <c r="F283" s="66">
        <f>'[34]TGNPDCL MoD'!V20+'[34]TGNPDCL MoD'!V21+'[34]TGNPDCL MoD'!V22</f>
        <v>20.94128178770746</v>
      </c>
      <c r="G283" s="66">
        <f>'[34]TGNPDCL MoD'!W20+'[34]TGNPDCL MoD'!W21+'[34]TGNPDCL MoD'!W22</f>
        <v>35.094370511533128</v>
      </c>
      <c r="H283" s="66">
        <f>'[34]TGNPDCL MoD'!X20+'[34]TGNPDCL MoD'!X21+'[34]TGNPDCL MoD'!X22</f>
        <v>74.269623705679408</v>
      </c>
      <c r="I283" s="66">
        <f>'[34]TGNPDCL MoD'!Y20+'[34]TGNPDCL MoD'!Y21+'[34]TGNPDCL MoD'!Y22</f>
        <v>66.826562542207881</v>
      </c>
      <c r="J283" s="66">
        <f>'[34]TGNPDCL MoD'!Z20+'[34]TGNPDCL MoD'!Z21+'[34]TGNPDCL MoD'!Z22</f>
        <v>71.610613332524778</v>
      </c>
      <c r="K283" s="66">
        <f>'[34]TGNPDCL MoD'!AA20+'[34]TGNPDCL MoD'!AA21+'[34]TGNPDCL MoD'!AA22</f>
        <v>69.852985258335451</v>
      </c>
      <c r="L283" s="66">
        <f>'[34]TGNPDCL MoD'!AB20+'[34]TGNPDCL MoD'!AB21+'[34]TGNPDCL MoD'!AB22</f>
        <v>92.419455328778909</v>
      </c>
      <c r="M283" s="66">
        <f>'[34]TGNPDCL MoD'!AC20+'[34]TGNPDCL MoD'!AC21+'[34]TGNPDCL MoD'!AC22</f>
        <v>82.894392739540066</v>
      </c>
      <c r="N283" s="66">
        <f>'[34]TGNPDCL MoD'!AD20+'[34]TGNPDCL MoD'!AD21+'[34]TGNPDCL MoD'!AD22</f>
        <v>81.468987945508147</v>
      </c>
      <c r="O283" s="66">
        <f>'[34]TGNPDCL MoD'!AE20+'[34]TGNPDCL MoD'!AE21+'[34]TGNPDCL MoD'!AE22</f>
        <v>79.496391141706823</v>
      </c>
      <c r="P283" s="66">
        <f>'[34]TGNPDCL MoD'!AF20+'[34]TGNPDCL MoD'!AF21+'[34]TGNPDCL MoD'!AF22</f>
        <v>94.792405146037012</v>
      </c>
      <c r="Q283" s="66">
        <f t="shared" ref="Q283:Q291" si="158">SUM(E283:P283)</f>
        <v>854.89227000000005</v>
      </c>
    </row>
    <row r="284" spans="3:18" x14ac:dyDescent="0.25">
      <c r="C284" s="17" t="s">
        <v>401</v>
      </c>
      <c r="D284" s="17" t="s">
        <v>401</v>
      </c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>
        <f t="shared" si="158"/>
        <v>0</v>
      </c>
    </row>
    <row r="285" spans="3:18" x14ac:dyDescent="0.25">
      <c r="C285" s="17" t="s">
        <v>402</v>
      </c>
      <c r="D285" s="17" t="s">
        <v>402</v>
      </c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>
        <f t="shared" si="158"/>
        <v>0</v>
      </c>
    </row>
    <row r="286" spans="3:18" x14ac:dyDescent="0.25"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>
        <f t="shared" si="158"/>
        <v>0</v>
      </c>
    </row>
    <row r="287" spans="3:18" x14ac:dyDescent="0.25"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>
        <f t="shared" si="158"/>
        <v>0</v>
      </c>
    </row>
    <row r="288" spans="3:18" x14ac:dyDescent="0.25"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>
        <f t="shared" si="158"/>
        <v>0</v>
      </c>
    </row>
    <row r="289" spans="3:18" x14ac:dyDescent="0.25"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>
        <f t="shared" si="158"/>
        <v>0</v>
      </c>
    </row>
    <row r="290" spans="3:18" x14ac:dyDescent="0.25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>
        <f t="shared" si="158"/>
        <v>0</v>
      </c>
    </row>
    <row r="291" spans="3:18" x14ac:dyDescent="0.25">
      <c r="C291" s="753" t="s">
        <v>403</v>
      </c>
      <c r="D291" s="754"/>
      <c r="E291" s="66">
        <f t="shared" ref="E291:P291" si="159">SUM(E283:E290)</f>
        <v>85.22520056044101</v>
      </c>
      <c r="F291" s="66">
        <f t="shared" si="159"/>
        <v>20.94128178770746</v>
      </c>
      <c r="G291" s="66">
        <f t="shared" si="159"/>
        <v>35.094370511533128</v>
      </c>
      <c r="H291" s="66">
        <f t="shared" si="159"/>
        <v>74.269623705679408</v>
      </c>
      <c r="I291" s="66">
        <f t="shared" si="159"/>
        <v>66.826562542207881</v>
      </c>
      <c r="J291" s="66">
        <f t="shared" si="159"/>
        <v>71.610613332524778</v>
      </c>
      <c r="K291" s="66">
        <f t="shared" si="159"/>
        <v>69.852985258335451</v>
      </c>
      <c r="L291" s="66">
        <f t="shared" si="159"/>
        <v>92.419455328778909</v>
      </c>
      <c r="M291" s="66">
        <f t="shared" si="159"/>
        <v>82.894392739540066</v>
      </c>
      <c r="N291" s="66">
        <f t="shared" si="159"/>
        <v>81.468987945508147</v>
      </c>
      <c r="O291" s="66">
        <f t="shared" si="159"/>
        <v>79.496391141706823</v>
      </c>
      <c r="P291" s="66">
        <f t="shared" si="159"/>
        <v>94.792405146037012</v>
      </c>
      <c r="Q291" s="86">
        <f t="shared" si="158"/>
        <v>854.89227000000005</v>
      </c>
      <c r="R291" s="427"/>
    </row>
    <row r="292" spans="3:18" x14ac:dyDescent="0.25">
      <c r="C292" s="800" t="s">
        <v>404</v>
      </c>
      <c r="D292" s="801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</row>
    <row r="293" spans="3:18" x14ac:dyDescent="0.25">
      <c r="C293" s="17"/>
      <c r="D293" s="17" t="s">
        <v>405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f t="shared" ref="Q293:Q317" si="160">SUM(E293:P293)</f>
        <v>0</v>
      </c>
    </row>
    <row r="294" spans="3:18" x14ac:dyDescent="0.25">
      <c r="C294" s="17"/>
      <c r="D294" s="17" t="s">
        <v>406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f t="shared" si="160"/>
        <v>0</v>
      </c>
    </row>
    <row r="295" spans="3:18" x14ac:dyDescent="0.25">
      <c r="C295" s="17"/>
      <c r="D295" s="17" t="s">
        <v>407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f t="shared" si="160"/>
        <v>0</v>
      </c>
    </row>
    <row r="296" spans="3:18" x14ac:dyDescent="0.25">
      <c r="C296" s="17"/>
      <c r="D296" s="17" t="s">
        <v>408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f t="shared" si="160"/>
        <v>0</v>
      </c>
    </row>
    <row r="297" spans="3:18" x14ac:dyDescent="0.25">
      <c r="C297" s="17"/>
      <c r="D297" s="17" t="s">
        <v>409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f t="shared" si="160"/>
        <v>0</v>
      </c>
    </row>
    <row r="298" spans="3:18" x14ac:dyDescent="0.25">
      <c r="C298" s="17"/>
      <c r="D298" s="17" t="s">
        <v>367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f t="shared" si="160"/>
        <v>0</v>
      </c>
    </row>
    <row r="299" spans="3:18" x14ac:dyDescent="0.25">
      <c r="C299" s="17"/>
      <c r="D299" s="17" t="s">
        <v>410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f t="shared" si="160"/>
        <v>0</v>
      </c>
    </row>
    <row r="300" spans="3:18" x14ac:dyDescent="0.25">
      <c r="C300" s="17"/>
      <c r="D300" s="17" t="s">
        <v>411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f t="shared" si="160"/>
        <v>0</v>
      </c>
    </row>
    <row r="301" spans="3:18" x14ac:dyDescent="0.25">
      <c r="C301" s="17"/>
      <c r="D301" s="17" t="s">
        <v>412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f t="shared" si="160"/>
        <v>0</v>
      </c>
    </row>
    <row r="302" spans="3:18" x14ac:dyDescent="0.25">
      <c r="C302" s="17"/>
      <c r="D302" s="17" t="s">
        <v>413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f t="shared" si="160"/>
        <v>0</v>
      </c>
    </row>
    <row r="303" spans="3:18" x14ac:dyDescent="0.25">
      <c r="C303" s="17"/>
      <c r="D303" s="17" t="s">
        <v>414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f t="shared" si="160"/>
        <v>0</v>
      </c>
    </row>
    <row r="304" spans="3:18" x14ac:dyDescent="0.25">
      <c r="C304" s="17"/>
      <c r="D304" s="17" t="s">
        <v>415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f t="shared" si="160"/>
        <v>0</v>
      </c>
    </row>
    <row r="305" spans="3:17" x14ac:dyDescent="0.25">
      <c r="C305" s="17"/>
      <c r="D305" s="17" t="s">
        <v>416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f t="shared" si="160"/>
        <v>0</v>
      </c>
    </row>
    <row r="306" spans="3:17" x14ac:dyDescent="0.25">
      <c r="C306" s="17"/>
      <c r="D306" s="17" t="s">
        <v>417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f t="shared" si="160"/>
        <v>0</v>
      </c>
    </row>
    <row r="307" spans="3:17" x14ac:dyDescent="0.25">
      <c r="C307" s="17"/>
      <c r="D307" s="327" t="s">
        <v>418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f t="shared" si="160"/>
        <v>0</v>
      </c>
    </row>
    <row r="308" spans="3:17" x14ac:dyDescent="0.25">
      <c r="C308" s="17"/>
      <c r="D308" s="327" t="s">
        <v>419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f t="shared" si="160"/>
        <v>0</v>
      </c>
    </row>
    <row r="309" spans="3:17" x14ac:dyDescent="0.25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>
        <f t="shared" si="160"/>
        <v>0</v>
      </c>
    </row>
    <row r="310" spans="3:17" x14ac:dyDescent="0.25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>
        <f t="shared" si="160"/>
        <v>0</v>
      </c>
    </row>
    <row r="311" spans="3:17" x14ac:dyDescent="0.25"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>
        <f t="shared" si="160"/>
        <v>0</v>
      </c>
    </row>
    <row r="312" spans="3:17" x14ac:dyDescent="0.25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>
        <f t="shared" si="160"/>
        <v>0</v>
      </c>
    </row>
    <row r="313" spans="3:17" x14ac:dyDescent="0.25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>
        <f t="shared" si="160"/>
        <v>0</v>
      </c>
    </row>
    <row r="314" spans="3:17" x14ac:dyDescent="0.25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>
        <f t="shared" si="160"/>
        <v>0</v>
      </c>
    </row>
    <row r="315" spans="3:17" x14ac:dyDescent="0.2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>
        <f t="shared" si="160"/>
        <v>0</v>
      </c>
    </row>
    <row r="316" spans="3:17" x14ac:dyDescent="0.25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>
        <f t="shared" si="160"/>
        <v>0</v>
      </c>
    </row>
    <row r="317" spans="3:17" x14ac:dyDescent="0.25">
      <c r="C317" s="753" t="s">
        <v>420</v>
      </c>
      <c r="D317" s="754"/>
      <c r="E317" s="17">
        <f t="shared" ref="E317:P317" si="161">SUM(E293:E316)</f>
        <v>0</v>
      </c>
      <c r="F317" s="17">
        <f t="shared" si="161"/>
        <v>0</v>
      </c>
      <c r="G317" s="17">
        <f t="shared" si="161"/>
        <v>0</v>
      </c>
      <c r="H317" s="17">
        <f t="shared" si="161"/>
        <v>0</v>
      </c>
      <c r="I317" s="17">
        <f t="shared" si="161"/>
        <v>0</v>
      </c>
      <c r="J317" s="17">
        <f t="shared" si="161"/>
        <v>0</v>
      </c>
      <c r="K317" s="17">
        <f t="shared" si="161"/>
        <v>0</v>
      </c>
      <c r="L317" s="17">
        <f t="shared" si="161"/>
        <v>0</v>
      </c>
      <c r="M317" s="17">
        <f t="shared" si="161"/>
        <v>0</v>
      </c>
      <c r="N317" s="17">
        <f t="shared" si="161"/>
        <v>0</v>
      </c>
      <c r="O317" s="17">
        <f t="shared" si="161"/>
        <v>0</v>
      </c>
      <c r="P317" s="17">
        <f t="shared" si="161"/>
        <v>0</v>
      </c>
      <c r="Q317" s="86">
        <f t="shared" si="160"/>
        <v>0</v>
      </c>
    </row>
    <row r="318" spans="3:17" x14ac:dyDescent="0.25">
      <c r="C318" s="800" t="s">
        <v>421</v>
      </c>
      <c r="D318" s="801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</row>
    <row r="319" spans="3:17" x14ac:dyDescent="0.25">
      <c r="C319" s="17"/>
      <c r="D319" s="322" t="s">
        <v>453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f>SUM(E319:P319)</f>
        <v>0</v>
      </c>
    </row>
    <row r="320" spans="3:17" x14ac:dyDescent="0.25">
      <c r="C320" s="17"/>
      <c r="D320" s="322" t="s">
        <v>422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f>SUM(E320:P320)</f>
        <v>0</v>
      </c>
    </row>
    <row r="321" spans="3:17" x14ac:dyDescent="0.25"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>
        <f>SUM(E321:P321)</f>
        <v>0</v>
      </c>
    </row>
    <row r="322" spans="3:17" x14ac:dyDescent="0.25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>
        <f>SUM(E322:P322)</f>
        <v>0</v>
      </c>
    </row>
    <row r="323" spans="3:17" x14ac:dyDescent="0.25"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</row>
    <row r="324" spans="3:17" x14ac:dyDescent="0.25">
      <c r="C324" s="17"/>
      <c r="D324" s="325" t="s">
        <v>665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/>
    </row>
    <row r="325" spans="3:17" x14ac:dyDescent="0.25">
      <c r="C325" s="17"/>
      <c r="D325" s="325" t="s">
        <v>666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/>
    </row>
    <row r="326" spans="3:17" x14ac:dyDescent="0.25">
      <c r="C326" s="17"/>
      <c r="D326" s="325" t="s">
        <v>629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/>
    </row>
    <row r="327" spans="3:17" x14ac:dyDescent="0.25">
      <c r="C327" s="17"/>
      <c r="D327" s="325" t="s">
        <v>630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/>
    </row>
    <row r="328" spans="3:17" x14ac:dyDescent="0.25">
      <c r="C328" s="17"/>
      <c r="D328" s="326" t="s">
        <v>631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/>
    </row>
    <row r="329" spans="3:17" x14ac:dyDescent="0.25">
      <c r="C329" s="17"/>
      <c r="D329" s="325" t="s">
        <v>632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/>
    </row>
    <row r="330" spans="3:17" x14ac:dyDescent="0.25">
      <c r="C330" s="17"/>
      <c r="D330" s="325" t="s">
        <v>633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/>
    </row>
    <row r="331" spans="3:17" x14ac:dyDescent="0.25">
      <c r="C331" s="17"/>
      <c r="D331" s="325" t="s">
        <v>634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/>
    </row>
    <row r="332" spans="3:17" x14ac:dyDescent="0.25">
      <c r="C332" s="17"/>
      <c r="D332" s="325" t="s">
        <v>635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/>
    </row>
    <row r="333" spans="3:17" x14ac:dyDescent="0.25">
      <c r="C333" s="17"/>
      <c r="D333" s="325" t="s">
        <v>636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/>
    </row>
    <row r="334" spans="3:17" x14ac:dyDescent="0.25">
      <c r="C334" s="17"/>
      <c r="D334" s="325" t="s">
        <v>637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/>
    </row>
    <row r="335" spans="3:17" x14ac:dyDescent="0.25">
      <c r="C335" s="17"/>
      <c r="D335" s="325" t="s">
        <v>638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/>
    </row>
    <row r="336" spans="3:17" x14ac:dyDescent="0.25">
      <c r="C336" s="17"/>
      <c r="D336" s="325" t="s">
        <v>639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/>
    </row>
    <row r="337" spans="3:17" x14ac:dyDescent="0.25"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</row>
    <row r="338" spans="3:17" x14ac:dyDescent="0.25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>
        <f t="shared" ref="Q338:Q345" si="162">SUM(E338:P338)</f>
        <v>0</v>
      </c>
    </row>
    <row r="339" spans="3:17" x14ac:dyDescent="0.25"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>
        <f t="shared" si="162"/>
        <v>0</v>
      </c>
    </row>
    <row r="340" spans="3:17" x14ac:dyDescent="0.25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>
        <f t="shared" si="162"/>
        <v>0</v>
      </c>
    </row>
    <row r="341" spans="3:17" x14ac:dyDescent="0.25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>
        <f t="shared" si="162"/>
        <v>0</v>
      </c>
    </row>
    <row r="342" spans="3:17" x14ac:dyDescent="0.25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>
        <f t="shared" si="162"/>
        <v>0</v>
      </c>
    </row>
    <row r="343" spans="3:17" x14ac:dyDescent="0.25"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>
        <f t="shared" si="162"/>
        <v>0</v>
      </c>
    </row>
    <row r="344" spans="3:17" x14ac:dyDescent="0.25"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>
        <f t="shared" si="162"/>
        <v>0</v>
      </c>
    </row>
    <row r="345" spans="3:17" x14ac:dyDescent="0.25">
      <c r="C345" s="753" t="s">
        <v>423</v>
      </c>
      <c r="D345" s="754"/>
      <c r="E345" s="17">
        <f t="shared" ref="E345:P345" si="163">SUM(E319:E344)</f>
        <v>0</v>
      </c>
      <c r="F345" s="17">
        <f t="shared" si="163"/>
        <v>0</v>
      </c>
      <c r="G345" s="17">
        <f t="shared" si="163"/>
        <v>0</v>
      </c>
      <c r="H345" s="17">
        <f t="shared" si="163"/>
        <v>0</v>
      </c>
      <c r="I345" s="17">
        <f t="shared" si="163"/>
        <v>0</v>
      </c>
      <c r="J345" s="17">
        <f t="shared" si="163"/>
        <v>0</v>
      </c>
      <c r="K345" s="17">
        <f t="shared" si="163"/>
        <v>0</v>
      </c>
      <c r="L345" s="17">
        <f t="shared" si="163"/>
        <v>0</v>
      </c>
      <c r="M345" s="17">
        <f t="shared" si="163"/>
        <v>0</v>
      </c>
      <c r="N345" s="17">
        <f t="shared" si="163"/>
        <v>0</v>
      </c>
      <c r="O345" s="17">
        <f t="shared" si="163"/>
        <v>0</v>
      </c>
      <c r="P345" s="17">
        <f t="shared" si="163"/>
        <v>0</v>
      </c>
      <c r="Q345" s="86">
        <f t="shared" si="162"/>
        <v>0</v>
      </c>
    </row>
    <row r="346" spans="3:17" x14ac:dyDescent="0.25">
      <c r="C346" s="800" t="s">
        <v>424</v>
      </c>
      <c r="D346" s="801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</row>
    <row r="347" spans="3:17" x14ac:dyDescent="0.25">
      <c r="C347" s="17" t="s">
        <v>425</v>
      </c>
      <c r="D347" s="17" t="s">
        <v>426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17">
        <f>SUM(E347:P347)</f>
        <v>0</v>
      </c>
    </row>
    <row r="348" spans="3:17" x14ac:dyDescent="0.25">
      <c r="C348" s="17" t="s">
        <v>425</v>
      </c>
      <c r="D348" s="17" t="s">
        <v>427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17">
        <f>SUM(E348:P348)</f>
        <v>0</v>
      </c>
    </row>
    <row r="349" spans="3:17" x14ac:dyDescent="0.25">
      <c r="C349" s="753" t="s">
        <v>428</v>
      </c>
      <c r="D349" s="754"/>
      <c r="E349" s="17">
        <f t="shared" ref="E349:Q349" si="164">E347+E348</f>
        <v>0</v>
      </c>
      <c r="F349" s="17">
        <f t="shared" si="164"/>
        <v>0</v>
      </c>
      <c r="G349" s="17">
        <f t="shared" si="164"/>
        <v>0</v>
      </c>
      <c r="H349" s="17">
        <f t="shared" si="164"/>
        <v>0</v>
      </c>
      <c r="I349" s="17">
        <f t="shared" si="164"/>
        <v>0</v>
      </c>
      <c r="J349" s="17">
        <f t="shared" si="164"/>
        <v>0</v>
      </c>
      <c r="K349" s="17">
        <f t="shared" si="164"/>
        <v>0</v>
      </c>
      <c r="L349" s="17">
        <f t="shared" si="164"/>
        <v>0</v>
      </c>
      <c r="M349" s="17">
        <f t="shared" si="164"/>
        <v>0</v>
      </c>
      <c r="N349" s="17">
        <f t="shared" si="164"/>
        <v>0</v>
      </c>
      <c r="O349" s="17">
        <f t="shared" si="164"/>
        <v>0</v>
      </c>
      <c r="P349" s="17">
        <f t="shared" si="164"/>
        <v>0</v>
      </c>
      <c r="Q349" s="17">
        <f t="shared" si="164"/>
        <v>0</v>
      </c>
    </row>
    <row r="350" spans="3:17" x14ac:dyDescent="0.25">
      <c r="C350" s="753" t="s">
        <v>220</v>
      </c>
      <c r="D350" s="754"/>
      <c r="E350" s="66">
        <f t="shared" ref="E350:Q350" si="165">E226+E272+E281+E291+E317+E345+E349</f>
        <v>581.55729285695224</v>
      </c>
      <c r="F350" s="66">
        <f t="shared" si="165"/>
        <v>363.64346081006414</v>
      </c>
      <c r="G350" s="66">
        <f t="shared" si="165"/>
        <v>407.34177803239538</v>
      </c>
      <c r="H350" s="66">
        <f t="shared" si="165"/>
        <v>507.74737316309995</v>
      </c>
      <c r="I350" s="66">
        <f t="shared" si="165"/>
        <v>570.67331131339256</v>
      </c>
      <c r="J350" s="66">
        <f t="shared" si="165"/>
        <v>566.08547942542418</v>
      </c>
      <c r="K350" s="66">
        <f t="shared" si="165"/>
        <v>526.70879957492207</v>
      </c>
      <c r="L350" s="66">
        <f t="shared" si="165"/>
        <v>500.96381965443993</v>
      </c>
      <c r="M350" s="66">
        <f t="shared" si="165"/>
        <v>544.60293293070913</v>
      </c>
      <c r="N350" s="66">
        <f t="shared" si="165"/>
        <v>607.1407745709854</v>
      </c>
      <c r="O350" s="66">
        <f t="shared" si="165"/>
        <v>596.0778601489817</v>
      </c>
      <c r="P350" s="66">
        <f t="shared" si="165"/>
        <v>660.36619665054673</v>
      </c>
      <c r="Q350" s="86">
        <f t="shared" si="165"/>
        <v>6970.4186991319139</v>
      </c>
    </row>
    <row r="351" spans="3:17" x14ac:dyDescent="0.25">
      <c r="D351" s="22"/>
      <c r="E351" s="22"/>
    </row>
    <row r="352" spans="3:17" x14ac:dyDescent="0.25">
      <c r="C352" s="22" t="s">
        <v>649</v>
      </c>
      <c r="J352" s="25"/>
    </row>
    <row r="353" spans="2:17" x14ac:dyDescent="0.25">
      <c r="C353" s="14"/>
      <c r="Q353" s="25" t="s">
        <v>3</v>
      </c>
    </row>
    <row r="354" spans="2:17" x14ac:dyDescent="0.25">
      <c r="C354" s="762" t="s">
        <v>346</v>
      </c>
      <c r="D354" s="762" t="s">
        <v>347</v>
      </c>
      <c r="E354" s="768" t="s">
        <v>256</v>
      </c>
      <c r="F354" s="768"/>
      <c r="G354" s="768"/>
      <c r="H354" s="768"/>
      <c r="I354" s="768"/>
      <c r="J354" s="768"/>
      <c r="K354" s="768"/>
      <c r="L354" s="768"/>
      <c r="M354" s="768"/>
      <c r="N354" s="768"/>
      <c r="O354" s="768"/>
      <c r="P354" s="768"/>
      <c r="Q354" s="768"/>
    </row>
    <row r="355" spans="2:17" x14ac:dyDescent="0.25">
      <c r="C355" s="764"/>
      <c r="D355" s="764"/>
      <c r="E355" s="13" t="s">
        <v>239</v>
      </c>
      <c r="F355" s="13" t="s">
        <v>240</v>
      </c>
      <c r="G355" s="13" t="s">
        <v>241</v>
      </c>
      <c r="H355" s="13" t="s">
        <v>242</v>
      </c>
      <c r="I355" s="13" t="s">
        <v>243</v>
      </c>
      <c r="J355" s="13" t="s">
        <v>244</v>
      </c>
      <c r="K355" s="13" t="s">
        <v>245</v>
      </c>
      <c r="L355" s="13" t="s">
        <v>246</v>
      </c>
      <c r="M355" s="13" t="s">
        <v>247</v>
      </c>
      <c r="N355" s="13" t="s">
        <v>248</v>
      </c>
      <c r="O355" s="13" t="s">
        <v>249</v>
      </c>
      <c r="P355" s="13" t="s">
        <v>250</v>
      </c>
      <c r="Q355" s="13" t="s">
        <v>251</v>
      </c>
    </row>
    <row r="356" spans="2:17" x14ac:dyDescent="0.25">
      <c r="C356" s="766"/>
      <c r="D356" s="7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2:17" x14ac:dyDescent="0.25">
      <c r="B357" s="60"/>
      <c r="C357" s="800" t="s">
        <v>348</v>
      </c>
      <c r="D357" s="801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</row>
    <row r="358" spans="2:17" x14ac:dyDescent="0.25">
      <c r="C358" s="753" t="s">
        <v>349</v>
      </c>
      <c r="D358" s="754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</row>
    <row r="359" spans="2:17" x14ac:dyDescent="0.25">
      <c r="B359" s="60"/>
      <c r="C359" s="802" t="s">
        <v>350</v>
      </c>
      <c r="D359" s="59" t="s">
        <v>351</v>
      </c>
      <c r="E359" s="291">
        <f>'[34]TGNPDCL MoD'!AJ4+'[34]TGNPDCL MoD'!AJ5</f>
        <v>29.168930310833346</v>
      </c>
      <c r="F359" s="291">
        <f>'[34]TGNPDCL MoD'!AK4+'[34]TGNPDCL MoD'!AK5</f>
        <v>36.600062556688513</v>
      </c>
      <c r="G359" s="291">
        <f>'[34]TGNPDCL MoD'!AL4+'[34]TGNPDCL MoD'!AL5</f>
        <v>35.419415377440515</v>
      </c>
      <c r="H359" s="291">
        <f>'[34]TGNPDCL MoD'!AM4+'[34]TGNPDCL MoD'!AM5</f>
        <v>0</v>
      </c>
      <c r="I359" s="291">
        <f>'[34]TGNPDCL MoD'!AN4+'[34]TGNPDCL MoD'!AN5</f>
        <v>11.841196709516872</v>
      </c>
      <c r="J359" s="291">
        <f>'[34]TGNPDCL MoD'!AO4+'[34]TGNPDCL MoD'!AO5</f>
        <v>24.481066510877994</v>
      </c>
      <c r="K359" s="291">
        <f>'[34]TGNPDCL MoD'!AP4+'[34]TGNPDCL MoD'!AP5</f>
        <v>23.682393419033744</v>
      </c>
      <c r="L359" s="291">
        <f>'[34]TGNPDCL MoD'!AQ4+'[34]TGNPDCL MoD'!AQ5</f>
        <v>29.340808505792587</v>
      </c>
      <c r="M359" s="291">
        <f>'[34]TGNPDCL MoD'!AR4+'[34]TGNPDCL MoD'!AR5</f>
        <v>26.104456382344008</v>
      </c>
      <c r="N359" s="291">
        <f>'[34]TGNPDCL MoD'!AS4+'[34]TGNPDCL MoD'!AS5</f>
        <v>26.104456382344008</v>
      </c>
      <c r="O359" s="291">
        <f>'[34]TGNPDCL MoD'!AT4+'[34]TGNPDCL MoD'!AT5</f>
        <v>29.707166524902291</v>
      </c>
      <c r="P359" s="291">
        <f>'[34]TGNPDCL MoD'!AU4+'[34]TGNPDCL MoD'!AU5</f>
        <v>32.563290951171389</v>
      </c>
      <c r="Q359" s="291">
        <f t="shared" ref="Q359:Q377" si="166">SUM(E359:P359)</f>
        <v>305.01324363094528</v>
      </c>
    </row>
    <row r="360" spans="2:17" x14ac:dyDescent="0.25">
      <c r="B360" s="60"/>
      <c r="C360" s="803"/>
      <c r="D360" s="59" t="s">
        <v>352</v>
      </c>
      <c r="E360" s="291">
        <f>'[34]TGNPDCL MoD'!AJ6</f>
        <v>27.447263622639404</v>
      </c>
      <c r="F360" s="291">
        <f>'[34]TGNPDCL MoD'!AK6</f>
        <v>0</v>
      </c>
      <c r="G360" s="291">
        <f>'[34]TGNPDCL MoD'!AL6</f>
        <v>15.817067172368468</v>
      </c>
      <c r="H360" s="291">
        <f>'[34]TGNPDCL MoD'!AM6</f>
        <v>24.633805020759446</v>
      </c>
      <c r="I360" s="291">
        <f>'[34]TGNPDCL MoD'!AN6</f>
        <v>21.840388347299076</v>
      </c>
      <c r="J360" s="291">
        <f>'[34]TGNPDCL MoD'!AO6</f>
        <v>22.470490741609904</v>
      </c>
      <c r="K360" s="291">
        <f>'[34]TGNPDCL MoD'!AP6</f>
        <v>21.151450610892745</v>
      </c>
      <c r="L360" s="291">
        <f>'[34]TGNPDCL MoD'!AQ6</f>
        <v>31.526698796433966</v>
      </c>
      <c r="M360" s="291">
        <f>'[34]TGNPDCL MoD'!AR6</f>
        <v>25.118679085988727</v>
      </c>
      <c r="N360" s="291">
        <f>'[34]TGNPDCL MoD'!AS6</f>
        <v>26.690521655897765</v>
      </c>
      <c r="O360" s="291">
        <f>'[34]TGNPDCL MoD'!AT6</f>
        <v>26.532354835218094</v>
      </c>
      <c r="P360" s="291">
        <f>'[34]TGNPDCL MoD'!AU6</f>
        <v>31.246461129727908</v>
      </c>
      <c r="Q360" s="291">
        <f t="shared" si="166"/>
        <v>274.47518101883549</v>
      </c>
    </row>
    <row r="361" spans="2:17" x14ac:dyDescent="0.25">
      <c r="B361" s="60"/>
      <c r="C361" s="803"/>
      <c r="D361" s="59" t="s">
        <v>353</v>
      </c>
      <c r="E361" s="291">
        <f>'[34]TGNPDCL MoD'!AJ7</f>
        <v>43.456477544908509</v>
      </c>
      <c r="F361" s="291">
        <f>'[34]TGNPDCL MoD'!AK7</f>
        <v>0</v>
      </c>
      <c r="G361" s="291">
        <f>'[34]TGNPDCL MoD'!AL7</f>
        <v>24.421822091353548</v>
      </c>
      <c r="H361" s="291">
        <f>'[34]TGNPDCL MoD'!AM7</f>
        <v>40.980044723200493</v>
      </c>
      <c r="I361" s="291">
        <f>'[34]TGNPDCL MoD'!AN7</f>
        <v>33.771549078288395</v>
      </c>
      <c r="J361" s="291">
        <f>'[34]TGNPDCL MoD'!AO7</f>
        <v>36.991877579550206</v>
      </c>
      <c r="K361" s="291">
        <f>'[34]TGNPDCL MoD'!AP7</f>
        <v>33.05715638831812</v>
      </c>
      <c r="L361" s="291">
        <f>'[34]TGNPDCL MoD'!AQ7</f>
        <v>49.206345027443277</v>
      </c>
      <c r="M361" s="291">
        <f>'[34]TGNPDCL MoD'!AR7</f>
        <v>42.740551286950009</v>
      </c>
      <c r="N361" s="291">
        <f>'[34]TGNPDCL MoD'!AS7</f>
        <v>41.88505741359549</v>
      </c>
      <c r="O361" s="291">
        <f>'[34]TGNPDCL MoD'!AT7</f>
        <v>41.3586555213043</v>
      </c>
      <c r="P361" s="291">
        <f>'[34]TGNPDCL MoD'!AU7</f>
        <v>50.268818517516948</v>
      </c>
      <c r="Q361" s="291">
        <f t="shared" si="166"/>
        <v>438.13835517242921</v>
      </c>
    </row>
    <row r="362" spans="2:17" x14ac:dyDescent="0.25">
      <c r="B362" s="60"/>
      <c r="C362" s="803"/>
      <c r="D362" s="59" t="s">
        <v>354</v>
      </c>
      <c r="E362" s="291">
        <f>'[34]TGNPDCL MoD'!AJ8</f>
        <v>4.0305588937381422</v>
      </c>
      <c r="F362" s="291">
        <f>'[34]TGNPDCL MoD'!AK8</f>
        <v>0</v>
      </c>
      <c r="G362" s="291">
        <f>'[34]TGNPDCL MoD'!AL8</f>
        <v>2.4471250426267037</v>
      </c>
      <c r="H362" s="291">
        <f>'[34]TGNPDCL MoD'!AM8</f>
        <v>3.4955501834383673</v>
      </c>
      <c r="I362" s="291">
        <f>'[34]TGNPDCL MoD'!AN8</f>
        <v>3.272429958963575</v>
      </c>
      <c r="J362" s="291">
        <f>'[34]TGNPDCL MoD'!AO8</f>
        <v>3.3827905001016463</v>
      </c>
      <c r="K362" s="291">
        <f>'[34]TGNPDCL MoD'!AP8</f>
        <v>3.272429958963575</v>
      </c>
      <c r="L362" s="291">
        <f>'[34]TGNPDCL MoD'!AQ8</f>
        <v>3.9866317896146235</v>
      </c>
      <c r="M362" s="291">
        <f>'[34]TGNPDCL MoD'!AR8</f>
        <v>3.6071102956757648</v>
      </c>
      <c r="N362" s="291">
        <f>'[34]TGNPDCL MoD'!AS8</f>
        <v>3.6071102956757648</v>
      </c>
      <c r="O362" s="291">
        <f>'[34]TGNPDCL MoD'!AT8</f>
        <v>4.104932301896409</v>
      </c>
      <c r="P362" s="291">
        <f>'[34]TGNPDCL MoD'!AU8</f>
        <v>4.4995911935749371</v>
      </c>
      <c r="Q362" s="291">
        <f t="shared" si="166"/>
        <v>39.706260414269501</v>
      </c>
    </row>
    <row r="363" spans="2:17" x14ac:dyDescent="0.25">
      <c r="B363" s="60"/>
      <c r="C363" s="803"/>
      <c r="D363" s="59" t="s">
        <v>355</v>
      </c>
      <c r="E363" s="291">
        <f>'[34]TGNPDCL MoD'!AJ9</f>
        <v>29.721488896456805</v>
      </c>
      <c r="F363" s="291">
        <f>'[34]TGNPDCL MoD'!AK9</f>
        <v>30.712205193005378</v>
      </c>
      <c r="G363" s="291">
        <f>'[34]TGNPDCL MoD'!AL9</f>
        <v>29.721488896456812</v>
      </c>
      <c r="H363" s="291">
        <f>'[34]TGNPDCL MoD'!AM9</f>
        <v>31.361054598491393</v>
      </c>
      <c r="I363" s="291">
        <f>'[34]TGNPDCL MoD'!AN9</f>
        <v>25.521409949117135</v>
      </c>
      <c r="J363" s="291">
        <f>'[34]TGNPDCL MoD'!AO9</f>
        <v>27.943189393492595</v>
      </c>
      <c r="K363" s="291">
        <f>'[34]TGNPDCL MoD'!AP9</f>
        <v>0</v>
      </c>
      <c r="L363" s="291">
        <f>'[34]TGNPDCL MoD'!AQ9</f>
        <v>14.860744448228402</v>
      </c>
      <c r="M363" s="291">
        <f>'[34]TGNPDCL MoD'!AR9</f>
        <v>29.706527877307241</v>
      </c>
      <c r="N363" s="291">
        <f>'[34]TGNPDCL MoD'!AS9</f>
        <v>26.8191087600892</v>
      </c>
      <c r="O363" s="291">
        <f>'[34]TGNPDCL MoD'!AT9</f>
        <v>26.302819985831491</v>
      </c>
      <c r="P363" s="291">
        <f>'[34]TGNPDCL MoD'!AU9</f>
        <v>32.658753409463451</v>
      </c>
      <c r="Q363" s="291">
        <f t="shared" si="166"/>
        <v>305.32879140793989</v>
      </c>
    </row>
    <row r="364" spans="2:17" x14ac:dyDescent="0.25">
      <c r="B364" s="60"/>
      <c r="C364" s="803"/>
      <c r="D364" s="59" t="s">
        <v>356</v>
      </c>
      <c r="E364" s="291">
        <f>'[34]TGNPDCL MoD'!AJ10</f>
        <v>33.484975736239669</v>
      </c>
      <c r="F364" s="291">
        <f>'[34]TGNPDCL MoD'!AK10</f>
        <v>34.601141594114324</v>
      </c>
      <c r="G364" s="291">
        <f>'[34]TGNPDCL MoD'!AL10</f>
        <v>33.484975736239662</v>
      </c>
      <c r="H364" s="291">
        <f>'[34]TGNPDCL MoD'!AM10</f>
        <v>35.332151627792797</v>
      </c>
      <c r="I364" s="291">
        <f>'[34]TGNPDCL MoD'!AN10</f>
        <v>29.484071358365025</v>
      </c>
      <c r="J364" s="291">
        <f>'[34]TGNPDCL MoD'!AO10</f>
        <v>32.473690367208562</v>
      </c>
      <c r="K364" s="291">
        <f>'[34]TGNPDCL MoD'!AP10</f>
        <v>28.260625517422358</v>
      </c>
      <c r="L364" s="291">
        <f>'[34]TGNPDCL MoD'!AQ10</f>
        <v>0</v>
      </c>
      <c r="M364" s="291">
        <f>'[34]TGNPDCL MoD'!AR10</f>
        <v>17.300570797057162</v>
      </c>
      <c r="N364" s="291">
        <f>'[34]TGNPDCL MoD'!AS10</f>
        <v>33.085481036325994</v>
      </c>
      <c r="O364" s="291">
        <f>'[34]TGNPDCL MoD'!AT10</f>
        <v>31.784516526432355</v>
      </c>
      <c r="P364" s="291">
        <f>'[34]TGNPDCL MoD'!AU10</f>
        <v>38.987201796185147</v>
      </c>
      <c r="Q364" s="291">
        <f t="shared" si="166"/>
        <v>348.27940209338306</v>
      </c>
    </row>
    <row r="365" spans="2:17" x14ac:dyDescent="0.25">
      <c r="B365" s="60"/>
      <c r="C365" s="803"/>
      <c r="D365" s="59" t="s">
        <v>357</v>
      </c>
      <c r="E365" s="291">
        <f>SUM('[34]TGNPDCL MoD'!AJ11:AJ14)</f>
        <v>63.607691499722549</v>
      </c>
      <c r="F365" s="291">
        <f>SUM('[34]TGNPDCL MoD'!AK11:AK14)</f>
        <v>32.863973941523341</v>
      </c>
      <c r="G365" s="291">
        <f>SUM('[34]TGNPDCL MoD'!AL11:AL14)</f>
        <v>47.705768624791929</v>
      </c>
      <c r="H365" s="291">
        <f>SUM('[34]TGNPDCL MoD'!AM11:AM14)</f>
        <v>67.116566500294141</v>
      </c>
      <c r="I365" s="291">
        <f>SUM('[34]TGNPDCL MoD'!AN11:AN14)</f>
        <v>47.9820660307917</v>
      </c>
      <c r="J365" s="291">
        <f>SUM('[34]TGNPDCL MoD'!AO11:AO14)</f>
        <v>45.690031922335919</v>
      </c>
      <c r="K365" s="291">
        <f>SUM('[34]TGNPDCL MoD'!AP11:AP14)</f>
        <v>51.841761710572001</v>
      </c>
      <c r="L365" s="291">
        <f>SUM('[34]TGNPDCL MoD'!AQ11:AQ14)</f>
        <v>47.705768624791936</v>
      </c>
      <c r="M365" s="291">
        <f>SUM('[34]TGNPDCL MoD'!AR11:AR14)</f>
        <v>57.511954397665804</v>
      </c>
      <c r="N365" s="291">
        <f>SUM('[34]TGNPDCL MoD'!AS11:AS14)</f>
        <v>59.590309037435922</v>
      </c>
      <c r="O365" s="291">
        <f>SUM('[34]TGNPDCL MoD'!AT11:AT14)</f>
        <v>58.610557784359145</v>
      </c>
      <c r="P365" s="291">
        <f>SUM('[34]TGNPDCL MoD'!AU11:AU14)</f>
        <v>70.611106582710917</v>
      </c>
      <c r="Q365" s="291">
        <f t="shared" si="166"/>
        <v>650.83755665699528</v>
      </c>
    </row>
    <row r="366" spans="2:17" x14ac:dyDescent="0.25">
      <c r="B366" s="60"/>
      <c r="C366" s="803"/>
      <c r="D366" s="59" t="s">
        <v>358</v>
      </c>
      <c r="E366" s="291">
        <f>SUM('[34]TGNPDCL MoD'!AJ15:AJ19)+'[34]TGNPDCL MoD'!$AW$15/12</f>
        <v>186.02102339702236</v>
      </c>
      <c r="F366" s="291">
        <f>SUM('[34]TGNPDCL MoD'!AK15:AK19)+'[34]TGNPDCL MoD'!$AW$15/12</f>
        <v>113.45154293777249</v>
      </c>
      <c r="G366" s="291">
        <f>SUM('[34]TGNPDCL MoD'!AL15:AL19)+'[34]TGNPDCL MoD'!$AW$15/12</f>
        <v>110.75203739022211</v>
      </c>
      <c r="H366" s="291">
        <f>SUM('[34]TGNPDCL MoD'!AM15:AM19)+'[34]TGNPDCL MoD'!$AW$15/12</f>
        <v>120.98071798008652</v>
      </c>
      <c r="I366" s="291">
        <f>SUM('[34]TGNPDCL MoD'!AN15:AN19)+'[34]TGNPDCL MoD'!$AW$15/12</f>
        <v>173.02385087657265</v>
      </c>
      <c r="J366" s="291">
        <f>SUM('[34]TGNPDCL MoD'!AO15:AO19)+'[34]TGNPDCL MoD'!$AW$15/12</f>
        <v>194.98352697921746</v>
      </c>
      <c r="K366" s="291">
        <f>SUM('[34]TGNPDCL MoD'!AP15:AP19)+'[34]TGNPDCL MoD'!$AW$15/12</f>
        <v>177.28559212733711</v>
      </c>
      <c r="L366" s="291">
        <f>SUM('[34]TGNPDCL MoD'!AQ15:AQ19)+'[34]TGNPDCL MoD'!$AW$15/12</f>
        <v>147.50880835524896</v>
      </c>
      <c r="M366" s="291">
        <f>SUM('[34]TGNPDCL MoD'!AR15:AR19)+'[34]TGNPDCL MoD'!$AW$15/12</f>
        <v>171.91905538526075</v>
      </c>
      <c r="N366" s="291">
        <f>SUM('[34]TGNPDCL MoD'!AS15:AS19)+'[34]TGNPDCL MoD'!$AW$15/12</f>
        <v>191.46105996438715</v>
      </c>
      <c r="O366" s="291">
        <f>SUM('[34]TGNPDCL MoD'!AT15:AT19)+'[34]TGNPDCL MoD'!$AW$15/12</f>
        <v>181.59847949913382</v>
      </c>
      <c r="P366" s="291">
        <f>SUM('[34]TGNPDCL MoD'!AU15:AU19)+'[34]TGNPDCL MoD'!$AW$15/12</f>
        <v>208.7904510704696</v>
      </c>
      <c r="Q366" s="291">
        <f t="shared" si="166"/>
        <v>1977.7761459627309</v>
      </c>
    </row>
    <row r="367" spans="2:17" x14ac:dyDescent="0.25">
      <c r="B367" s="60"/>
      <c r="C367" s="803"/>
      <c r="D367" s="325" t="s">
        <v>620</v>
      </c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>
        <f t="shared" si="166"/>
        <v>0</v>
      </c>
    </row>
    <row r="368" spans="2:17" x14ac:dyDescent="0.25">
      <c r="B368" s="60"/>
      <c r="C368" s="803"/>
      <c r="D368" s="59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>
        <f t="shared" si="166"/>
        <v>0</v>
      </c>
    </row>
    <row r="369" spans="2:18" x14ac:dyDescent="0.25">
      <c r="B369" s="60"/>
      <c r="C369" s="803"/>
      <c r="D369" s="59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>
        <f t="shared" si="166"/>
        <v>0</v>
      </c>
    </row>
    <row r="370" spans="2:18" x14ac:dyDescent="0.25">
      <c r="B370" s="60"/>
      <c r="C370" s="803"/>
      <c r="D370" s="59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>
        <f t="shared" si="166"/>
        <v>0</v>
      </c>
    </row>
    <row r="371" spans="2:18" x14ac:dyDescent="0.25">
      <c r="B371" s="60"/>
      <c r="C371" s="803"/>
      <c r="D371" s="59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>
        <f t="shared" si="166"/>
        <v>0</v>
      </c>
    </row>
    <row r="372" spans="2:18" x14ac:dyDescent="0.25">
      <c r="B372" s="60"/>
      <c r="C372" s="803"/>
      <c r="D372" s="59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>
        <f t="shared" si="166"/>
        <v>0</v>
      </c>
    </row>
    <row r="373" spans="2:18" x14ac:dyDescent="0.25">
      <c r="B373" s="60"/>
      <c r="C373" s="803"/>
      <c r="D373" s="59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>
        <f t="shared" si="166"/>
        <v>0</v>
      </c>
    </row>
    <row r="374" spans="2:18" x14ac:dyDescent="0.25">
      <c r="B374" s="60"/>
      <c r="C374" s="803"/>
      <c r="D374" s="59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>
        <f t="shared" si="166"/>
        <v>0</v>
      </c>
    </row>
    <row r="375" spans="2:18" x14ac:dyDescent="0.25">
      <c r="B375" s="60"/>
      <c r="C375" s="803"/>
      <c r="D375" s="59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>
        <f t="shared" si="166"/>
        <v>0</v>
      </c>
    </row>
    <row r="376" spans="2:18" x14ac:dyDescent="0.25">
      <c r="B376" s="60"/>
      <c r="C376" s="804"/>
      <c r="D376" s="59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>
        <f t="shared" si="166"/>
        <v>0</v>
      </c>
    </row>
    <row r="377" spans="2:18" x14ac:dyDescent="0.25">
      <c r="C377" s="751" t="s">
        <v>212</v>
      </c>
      <c r="D377" s="752"/>
      <c r="E377" s="291">
        <f t="shared" ref="E377:P377" si="167">SUM(E359:E376)</f>
        <v>416.93840990156082</v>
      </c>
      <c r="F377" s="291">
        <f t="shared" si="167"/>
        <v>248.22892622310405</v>
      </c>
      <c r="G377" s="291">
        <f t="shared" si="167"/>
        <v>299.76970033149973</v>
      </c>
      <c r="H377" s="291">
        <f t="shared" si="167"/>
        <v>323.89989063406318</v>
      </c>
      <c r="I377" s="291">
        <f t="shared" si="167"/>
        <v>346.73696230891443</v>
      </c>
      <c r="J377" s="291">
        <f t="shared" si="167"/>
        <v>388.4166639943943</v>
      </c>
      <c r="K377" s="291">
        <f t="shared" si="167"/>
        <v>338.55140973253964</v>
      </c>
      <c r="L377" s="291">
        <f t="shared" si="167"/>
        <v>324.13580554755379</v>
      </c>
      <c r="M377" s="291">
        <f t="shared" si="167"/>
        <v>374.00890550824943</v>
      </c>
      <c r="N377" s="291">
        <f t="shared" si="167"/>
        <v>409.24310454575129</v>
      </c>
      <c r="O377" s="291">
        <f t="shared" si="167"/>
        <v>399.99948297907792</v>
      </c>
      <c r="P377" s="291">
        <f t="shared" si="167"/>
        <v>469.62567465082032</v>
      </c>
      <c r="Q377" s="323">
        <f t="shared" si="166"/>
        <v>4339.5549363575292</v>
      </c>
      <c r="R377" s="427"/>
    </row>
    <row r="378" spans="2:18" x14ac:dyDescent="0.25">
      <c r="C378" s="753" t="s">
        <v>359</v>
      </c>
      <c r="D378" s="754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</row>
    <row r="379" spans="2:18" x14ac:dyDescent="0.25">
      <c r="C379" s="805" t="s">
        <v>350</v>
      </c>
      <c r="D379" s="17" t="s">
        <v>360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f t="shared" ref="Q379:Q397" si="168">SUM(E379:P379)</f>
        <v>0</v>
      </c>
    </row>
    <row r="380" spans="2:18" x14ac:dyDescent="0.25">
      <c r="C380" s="806"/>
      <c r="D380" s="17" t="s">
        <v>361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f t="shared" si="168"/>
        <v>0</v>
      </c>
    </row>
    <row r="381" spans="2:18" x14ac:dyDescent="0.25">
      <c r="C381" s="806"/>
      <c r="D381" s="17" t="s">
        <v>362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f t="shared" si="168"/>
        <v>0</v>
      </c>
    </row>
    <row r="382" spans="2:18" x14ac:dyDescent="0.25">
      <c r="C382" s="806"/>
      <c r="D382" s="17" t="s">
        <v>363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f t="shared" si="168"/>
        <v>0</v>
      </c>
    </row>
    <row r="383" spans="2:18" x14ac:dyDescent="0.25">
      <c r="C383" s="806"/>
      <c r="D383" s="17" t="s">
        <v>364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f t="shared" si="168"/>
        <v>0</v>
      </c>
    </row>
    <row r="384" spans="2:18" x14ac:dyDescent="0.25">
      <c r="C384" s="806"/>
      <c r="D384" s="17" t="s">
        <v>365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f t="shared" si="168"/>
        <v>0</v>
      </c>
    </row>
    <row r="385" spans="3:17" x14ac:dyDescent="0.25">
      <c r="C385" s="806"/>
      <c r="D385" s="17" t="s">
        <v>366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f t="shared" si="168"/>
        <v>0</v>
      </c>
    </row>
    <row r="386" spans="3:17" x14ac:dyDescent="0.25">
      <c r="C386" s="806"/>
      <c r="D386" s="17" t="s">
        <v>367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f t="shared" si="168"/>
        <v>0</v>
      </c>
    </row>
    <row r="387" spans="3:17" x14ac:dyDescent="0.25">
      <c r="C387" s="80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>
        <f t="shared" si="168"/>
        <v>0</v>
      </c>
    </row>
    <row r="388" spans="3:17" x14ac:dyDescent="0.25">
      <c r="C388" s="80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>
        <f t="shared" si="168"/>
        <v>0</v>
      </c>
    </row>
    <row r="389" spans="3:17" x14ac:dyDescent="0.25">
      <c r="C389" s="80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>
        <f t="shared" si="168"/>
        <v>0</v>
      </c>
    </row>
    <row r="390" spans="3:17" x14ac:dyDescent="0.25">
      <c r="C390" s="806"/>
      <c r="D390" s="325" t="s">
        <v>621</v>
      </c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>
        <f t="shared" si="168"/>
        <v>0</v>
      </c>
    </row>
    <row r="391" spans="3:17" x14ac:dyDescent="0.25">
      <c r="C391" s="806"/>
      <c r="D391" s="325" t="s">
        <v>622</v>
      </c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>
        <f t="shared" si="168"/>
        <v>0</v>
      </c>
    </row>
    <row r="392" spans="3:17" x14ac:dyDescent="0.25">
      <c r="C392" s="806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>
        <f t="shared" si="168"/>
        <v>0</v>
      </c>
    </row>
    <row r="393" spans="3:17" x14ac:dyDescent="0.25">
      <c r="C393" s="806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>
        <f t="shared" si="168"/>
        <v>0</v>
      </c>
    </row>
    <row r="394" spans="3:17" x14ac:dyDescent="0.25">
      <c r="C394" s="806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>
        <f t="shared" si="168"/>
        <v>0</v>
      </c>
    </row>
    <row r="395" spans="3:17" x14ac:dyDescent="0.25">
      <c r="C395" s="806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>
        <f t="shared" si="168"/>
        <v>0</v>
      </c>
    </row>
    <row r="396" spans="3:17" x14ac:dyDescent="0.25">
      <c r="C396" s="807"/>
      <c r="D396" s="10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>
        <f t="shared" si="168"/>
        <v>0</v>
      </c>
    </row>
    <row r="397" spans="3:17" x14ac:dyDescent="0.25">
      <c r="C397" s="751" t="s">
        <v>212</v>
      </c>
      <c r="D397" s="752"/>
      <c r="E397" s="17">
        <f t="shared" ref="E397:P397" si="169">SUM(E379:E396)</f>
        <v>0</v>
      </c>
      <c r="F397" s="17">
        <f t="shared" si="169"/>
        <v>0</v>
      </c>
      <c r="G397" s="17">
        <f t="shared" si="169"/>
        <v>0</v>
      </c>
      <c r="H397" s="17">
        <f t="shared" si="169"/>
        <v>0</v>
      </c>
      <c r="I397" s="17">
        <f t="shared" si="169"/>
        <v>0</v>
      </c>
      <c r="J397" s="17">
        <f t="shared" si="169"/>
        <v>0</v>
      </c>
      <c r="K397" s="17">
        <f t="shared" si="169"/>
        <v>0</v>
      </c>
      <c r="L397" s="17">
        <f t="shared" si="169"/>
        <v>0</v>
      </c>
      <c r="M397" s="17">
        <f t="shared" si="169"/>
        <v>0</v>
      </c>
      <c r="N397" s="17">
        <f t="shared" si="169"/>
        <v>0</v>
      </c>
      <c r="O397" s="17">
        <f t="shared" si="169"/>
        <v>0</v>
      </c>
      <c r="P397" s="17">
        <f t="shared" si="169"/>
        <v>0</v>
      </c>
      <c r="Q397" s="86">
        <f t="shared" si="168"/>
        <v>0</v>
      </c>
    </row>
    <row r="398" spans="3:17" x14ac:dyDescent="0.25">
      <c r="C398" s="753" t="s">
        <v>368</v>
      </c>
      <c r="D398" s="754"/>
      <c r="E398" s="17">
        <f t="shared" ref="E398:Q398" si="170">E377+E397</f>
        <v>416.93840990156082</v>
      </c>
      <c r="F398" s="17">
        <f t="shared" si="170"/>
        <v>248.22892622310405</v>
      </c>
      <c r="G398" s="17">
        <f t="shared" si="170"/>
        <v>299.76970033149973</v>
      </c>
      <c r="H398" s="17">
        <f t="shared" si="170"/>
        <v>323.89989063406318</v>
      </c>
      <c r="I398" s="17">
        <f t="shared" si="170"/>
        <v>346.73696230891443</v>
      </c>
      <c r="J398" s="17">
        <f t="shared" si="170"/>
        <v>388.4166639943943</v>
      </c>
      <c r="K398" s="17">
        <f t="shared" si="170"/>
        <v>338.55140973253964</v>
      </c>
      <c r="L398" s="17">
        <f t="shared" si="170"/>
        <v>324.13580554755379</v>
      </c>
      <c r="M398" s="17">
        <f t="shared" si="170"/>
        <v>374.00890550824943</v>
      </c>
      <c r="N398" s="17">
        <f t="shared" si="170"/>
        <v>409.24310454575129</v>
      </c>
      <c r="O398" s="17">
        <f t="shared" si="170"/>
        <v>399.99948297907792</v>
      </c>
      <c r="P398" s="17">
        <f t="shared" si="170"/>
        <v>469.62567465082032</v>
      </c>
      <c r="Q398" s="86">
        <f t="shared" si="170"/>
        <v>4339.5549363575292</v>
      </c>
    </row>
    <row r="399" spans="3:17" x14ac:dyDescent="0.25">
      <c r="C399" s="800" t="s">
        <v>369</v>
      </c>
      <c r="D399" s="801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</row>
    <row r="400" spans="3:17" x14ac:dyDescent="0.25">
      <c r="C400" s="753" t="s">
        <v>349</v>
      </c>
      <c r="D400" s="754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</row>
    <row r="401" spans="3:17" x14ac:dyDescent="0.25">
      <c r="C401" s="843" t="s">
        <v>370</v>
      </c>
      <c r="D401" s="17" t="s">
        <v>371</v>
      </c>
      <c r="E401" s="66">
        <f>SUM('[34]TGNPDCL MoD'!AJ25:AJ30)+'[34]TGNPDCL MoD'!$AW$25/12</f>
        <v>17.130072794578073</v>
      </c>
      <c r="F401" s="66">
        <f>SUM('[34]TGNPDCL MoD'!AK25:AK30)+'[34]TGNPDCL MoD'!$AW$25/12</f>
        <v>21.915479787947515</v>
      </c>
      <c r="G401" s="66">
        <f>SUM('[34]TGNPDCL MoD'!AL25:AL30)+'[34]TGNPDCL MoD'!$AW$25/12</f>
        <v>22.27602954612124</v>
      </c>
      <c r="H401" s="66">
        <f>SUM('[34]TGNPDCL MoD'!AM25:AM30)+'[34]TGNPDCL MoD'!$AW$25/12</f>
        <v>16.33518374444235</v>
      </c>
      <c r="I401" s="66">
        <f>SUM('[34]TGNPDCL MoD'!AN25:AN30)+'[34]TGNPDCL MoD'!$AW$25/12</f>
        <v>14.005926419485249</v>
      </c>
      <c r="J401" s="66">
        <f>SUM('[34]TGNPDCL MoD'!AO25:AO30)+'[34]TGNPDCL MoD'!$AW$25/12</f>
        <v>14.920814479377549</v>
      </c>
      <c r="K401" s="66">
        <f>SUM('[34]TGNPDCL MoD'!AP25:AP30)+'[34]TGNPDCL MoD'!$AW$25/12</f>
        <v>13.87375573692594</v>
      </c>
      <c r="L401" s="66">
        <f>SUM('[34]TGNPDCL MoD'!AQ25:AQ30)+'[34]TGNPDCL MoD'!$AW$25/12</f>
        <v>20.84025498199416</v>
      </c>
      <c r="M401" s="66">
        <f>SUM('[34]TGNPDCL MoD'!AR25:AR30)+'[34]TGNPDCL MoD'!$AW$25/12</f>
        <v>12.977868371230439</v>
      </c>
      <c r="N401" s="66">
        <f>SUM('[34]TGNPDCL MoD'!AS25:AS30)+'[34]TGNPDCL MoD'!$AW$25/12</f>
        <v>13.714483977403409</v>
      </c>
      <c r="O401" s="66">
        <f>SUM('[34]TGNPDCL MoD'!AT25:AT30)+'[34]TGNPDCL MoD'!$AW$25/12</f>
        <v>17.460095057733881</v>
      </c>
      <c r="P401" s="66">
        <f>SUM('[34]TGNPDCL MoD'!AU25:AU30)+'[34]TGNPDCL MoD'!$AW$25/12</f>
        <v>22.002827369464992</v>
      </c>
      <c r="Q401" s="66">
        <f t="shared" ref="Q401:Q428" si="171">SUM(E401:P401)</f>
        <v>207.45279226670479</v>
      </c>
    </row>
    <row r="402" spans="3:17" x14ac:dyDescent="0.25">
      <c r="C402" s="844"/>
      <c r="D402" s="17" t="s">
        <v>372</v>
      </c>
      <c r="E402" s="66">
        <f>'[34]TGNPDCL MoD'!AJ31</f>
        <v>4.5326101523754811</v>
      </c>
      <c r="F402" s="66">
        <f>'[34]TGNPDCL MoD'!AK31</f>
        <v>5.5102319499466663</v>
      </c>
      <c r="G402" s="66">
        <f>'[34]TGNPDCL MoD'!AL31</f>
        <v>5.3324825322064511</v>
      </c>
      <c r="H402" s="66">
        <f>'[34]TGNPDCL MoD'!AM31</f>
        <v>0</v>
      </c>
      <c r="I402" s="66">
        <f>'[34]TGNPDCL MoD'!AN31</f>
        <v>1.72194748435833</v>
      </c>
      <c r="J402" s="66">
        <f>'[34]TGNPDCL MoD'!AO31</f>
        <v>3.7636462768270649</v>
      </c>
      <c r="K402" s="66">
        <f>'[34]TGNPDCL MoD'!AP31</f>
        <v>3.306139169967993</v>
      </c>
      <c r="L402" s="66">
        <f>'[34]TGNPDCL MoD'!AQ31</f>
        <v>5.3324825322064511</v>
      </c>
      <c r="M402" s="66">
        <f>'[34]TGNPDCL MoD'!AR31</f>
        <v>4.3321747908842712</v>
      </c>
      <c r="N402" s="66">
        <f>'[34]TGNPDCL MoD'!AS31</f>
        <v>4.4081855599573299</v>
      </c>
      <c r="O402" s="66">
        <f>'[34]TGNPDCL MoD'!AT31</f>
        <v>4.3815231472962983</v>
      </c>
      <c r="P402" s="66">
        <f>'[34]TGNPDCL MoD'!AU31</f>
        <v>5.3004651438264556</v>
      </c>
      <c r="Q402" s="66">
        <f t="shared" si="171"/>
        <v>47.921888739852797</v>
      </c>
    </row>
    <row r="403" spans="3:17" x14ac:dyDescent="0.25">
      <c r="C403" s="844"/>
      <c r="D403" s="17" t="s">
        <v>373</v>
      </c>
      <c r="E403" s="66">
        <f>SUM('[34]TGNPDCL MoD'!AJ42:AJ45)</f>
        <v>7.0783361054405107</v>
      </c>
      <c r="F403" s="66">
        <f>SUM('[34]TGNPDCL MoD'!AK42:AK45)</f>
        <v>7.0293086692123552</v>
      </c>
      <c r="G403" s="66">
        <f>SUM('[34]TGNPDCL MoD'!AL42:AL45)</f>
        <v>6.8025567766571147</v>
      </c>
      <c r="H403" s="66">
        <f>SUM('[34]TGNPDCL MoD'!AM42:AM45)</f>
        <v>7.5992526153647084</v>
      </c>
      <c r="I403" s="66">
        <f>SUM('[34]TGNPDCL MoD'!AN42:AN45)</f>
        <v>7.1481050013723468</v>
      </c>
      <c r="J403" s="66">
        <f>SUM('[34]TGNPDCL MoD'!AO42:AO45)</f>
        <v>7.3541154342239103</v>
      </c>
      <c r="K403" s="66">
        <f>SUM('[34]TGNPDCL MoD'!AP42:AP45)</f>
        <v>6.7443366961361777</v>
      </c>
      <c r="L403" s="66">
        <f>SUM('[34]TGNPDCL MoD'!AQ42:AQ45)</f>
        <v>5.1019175824928364</v>
      </c>
      <c r="M403" s="66">
        <f>SUM('[34]TGNPDCL MoD'!AR42:AR45)</f>
        <v>4.4823716598440271</v>
      </c>
      <c r="N403" s="66">
        <f>SUM('[34]TGNPDCL MoD'!AS42:AS45)</f>
        <v>6.2753203237816377</v>
      </c>
      <c r="O403" s="66">
        <f>SUM('[34]TGNPDCL MoD'!AT42:AT45)</f>
        <v>7.1089782530831123</v>
      </c>
      <c r="P403" s="66">
        <f>SUM('[34]TGNPDCL MoD'!AU42:AU45)</f>
        <v>7.5992526153647084</v>
      </c>
      <c r="Q403" s="66">
        <f t="shared" si="171"/>
        <v>80.323851732973438</v>
      </c>
    </row>
    <row r="404" spans="3:17" x14ac:dyDescent="0.25">
      <c r="C404" s="844"/>
      <c r="D404" s="17" t="s">
        <v>374</v>
      </c>
      <c r="E404" s="66">
        <f>'[34]TGNPDCL MoD'!AJ40</f>
        <v>28.79476238363933</v>
      </c>
      <c r="F404" s="66">
        <f>'[34]TGNPDCL MoD'!AK40</f>
        <v>37.193234745534134</v>
      </c>
      <c r="G404" s="66">
        <f>'[34]TGNPDCL MoD'!AL40</f>
        <v>35.993452979549168</v>
      </c>
      <c r="H404" s="66">
        <f>'[34]TGNPDCL MoD'!AM40</f>
        <v>24.348214155495253</v>
      </c>
      <c r="I404" s="66">
        <f>'[34]TGNPDCL MoD'!AN40</f>
        <v>22.315940847320487</v>
      </c>
      <c r="J404" s="66">
        <f>'[34]TGNPDCL MoD'!AO40</f>
        <v>23.395744436706966</v>
      </c>
      <c r="K404" s="66">
        <f>'[34]TGNPDCL MoD'!AP40</f>
        <v>22.315940847320487</v>
      </c>
      <c r="L404" s="66">
        <f>'[34]TGNPDCL MoD'!AQ40</f>
        <v>0</v>
      </c>
      <c r="M404" s="66">
        <f>'[34]TGNPDCL MoD'!AR40</f>
        <v>12.552716726617771</v>
      </c>
      <c r="N404" s="66">
        <f>'[34]TGNPDCL MoD'!AS40</f>
        <v>25.105433453235541</v>
      </c>
      <c r="O404" s="66">
        <f>'[34]TGNPDCL MoD'!AT40</f>
        <v>29.574620531529575</v>
      </c>
      <c r="P404" s="66">
        <f>'[34]TGNPDCL MoD'!AU40</f>
        <v>32.953591323336859</v>
      </c>
      <c r="Q404" s="66">
        <f t="shared" si="171"/>
        <v>294.54365243028559</v>
      </c>
    </row>
    <row r="405" spans="3:17" x14ac:dyDescent="0.25">
      <c r="C405" s="844"/>
      <c r="D405" s="17" t="s">
        <v>375</v>
      </c>
      <c r="E405" s="66">
        <f>'[34]TGNPDCL MoD'!AJ41+'[34]TGNPDCL MoD'!$AW$41/12</f>
        <v>13.742720673048911</v>
      </c>
      <c r="F405" s="66">
        <f>'[34]TGNPDCL MoD'!AK41+'[34]TGNPDCL MoD'!$AW$41/12</f>
        <v>17.590629458724649</v>
      </c>
      <c r="G405" s="66">
        <f>'[34]TGNPDCL MoD'!AL41+'[34]TGNPDCL MoD'!$AW$41/12</f>
        <v>0.2289830881448438</v>
      </c>
      <c r="H405" s="66">
        <f>'[34]TGNPDCL MoD'!AM41+'[34]TGNPDCL MoD'!$AW$41/12</f>
        <v>6.3055593178477656</v>
      </c>
      <c r="I405" s="66">
        <f>'[34]TGNPDCL MoD'!AN41+'[34]TGNPDCL MoD'!$AW$41/12</f>
        <v>10.645970910492725</v>
      </c>
      <c r="J405" s="66">
        <f>'[34]TGNPDCL MoD'!AO41+'[34]TGNPDCL MoD'!$AW$41/12</f>
        <v>11.150018708348266</v>
      </c>
      <c r="K405" s="66">
        <f>'[34]TGNPDCL MoD'!AP41+'[34]TGNPDCL MoD'!$AW$41/12</f>
        <v>10.645970910492725</v>
      </c>
      <c r="L405" s="66">
        <f>'[34]TGNPDCL MoD'!AQ41+'[34]TGNPDCL MoD'!$AW$41/12</f>
        <v>14.865129725565723</v>
      </c>
      <c r="M405" s="66">
        <f>'[34]TGNPDCL MoD'!AR41+'[34]TGNPDCL MoD'!$AW$41/12</f>
        <v>12.256140064907111</v>
      </c>
      <c r="N405" s="66">
        <f>'[34]TGNPDCL MoD'!AS41+'[34]TGNPDCL MoD'!$AW$41/12</f>
        <v>12.185205446391368</v>
      </c>
      <c r="O405" s="66">
        <f>'[34]TGNPDCL MoD'!AT41+'[34]TGNPDCL MoD'!$AW$41/12</f>
        <v>14.034292218299427</v>
      </c>
      <c r="P405" s="66">
        <f>'[34]TGNPDCL MoD'!AU41+'[34]TGNPDCL MoD'!$AW$41/12</f>
        <v>16.143554790162476</v>
      </c>
      <c r="Q405" s="66">
        <f t="shared" si="171"/>
        <v>139.79417531242598</v>
      </c>
    </row>
    <row r="406" spans="3:17" x14ac:dyDescent="0.25">
      <c r="C406" s="844"/>
      <c r="D406" s="17" t="s">
        <v>376</v>
      </c>
      <c r="E406" s="66">
        <f>SUM('[34]TGNPDCL MoD'!AJ49:AJ51)</f>
        <v>20.08671311899505</v>
      </c>
      <c r="F406" s="66">
        <f>SUM('[34]TGNPDCL MoD'!AK49:AK51)</f>
        <v>25.945337778701859</v>
      </c>
      <c r="G406" s="66">
        <f>SUM('[34]TGNPDCL MoD'!AL49:AL51)</f>
        <v>16.738927599162565</v>
      </c>
      <c r="H406" s="66">
        <f>SUM('[34]TGNPDCL MoD'!AM49:AM51)</f>
        <v>14.053724630130199</v>
      </c>
      <c r="I406" s="66">
        <f>SUM('[34]TGNPDCL MoD'!AN49:AN51)</f>
        <v>15.567202667221132</v>
      </c>
      <c r="J406" s="66">
        <f>SUM('[34]TGNPDCL MoD'!AO49:AO51)</f>
        <v>16.268000708828033</v>
      </c>
      <c r="K406" s="66">
        <f>SUM('[34]TGNPDCL MoD'!AP49:AP51)</f>
        <v>15.567202667221132</v>
      </c>
      <c r="L406" s="66">
        <f>SUM('[34]TGNPDCL MoD'!AQ49:AQ51)</f>
        <v>12.888474663768257</v>
      </c>
      <c r="M406" s="66">
        <f>SUM('[34]TGNPDCL MoD'!AR49:AR51)</f>
        <v>14.064860201299929</v>
      </c>
      <c r="N406" s="66">
        <f>SUM('[34]TGNPDCL MoD'!AS49:AS51)</f>
        <v>17.022375024955508</v>
      </c>
      <c r="O406" s="66">
        <f>SUM('[34]TGNPDCL MoD'!AT49:AT51)</f>
        <v>20.580430713811602</v>
      </c>
      <c r="P406" s="66">
        <f>SUM('[34]TGNPDCL MoD'!AU49:AU51)</f>
        <v>22.702170556364212</v>
      </c>
      <c r="Q406" s="66">
        <f t="shared" si="171"/>
        <v>211.48542033045945</v>
      </c>
    </row>
    <row r="407" spans="3:17" x14ac:dyDescent="0.25">
      <c r="C407" s="844"/>
      <c r="D407" s="17" t="s">
        <v>377</v>
      </c>
      <c r="E407" s="66">
        <f>'[34]TGNPDCL MoD'!AJ53</f>
        <v>2.5618141177188676</v>
      </c>
      <c r="F407" s="66">
        <f>'[34]TGNPDCL MoD'!AK53</f>
        <v>3.3090099020535342</v>
      </c>
      <c r="G407" s="66">
        <f>'[34]TGNPDCL MoD'!AL53</f>
        <v>3.2022676471485831</v>
      </c>
      <c r="H407" s="66">
        <f>'[34]TGNPDCL MoD'!AM53</f>
        <v>2.1508564363348013</v>
      </c>
      <c r="I407" s="66">
        <f>'[34]TGNPDCL MoD'!AN53</f>
        <v>1.9854059412321245</v>
      </c>
      <c r="J407" s="66">
        <f>'[34]TGNPDCL MoD'!AO53</f>
        <v>2.0814739706465817</v>
      </c>
      <c r="K407" s="66">
        <f>'[34]TGNPDCL MoD'!AP53</f>
        <v>1.9854059412321245</v>
      </c>
      <c r="L407" s="66">
        <f>'[34]TGNPDCL MoD'!AQ53</f>
        <v>2.5618141177188676</v>
      </c>
      <c r="M407" s="66">
        <f>'[34]TGNPDCL MoD'!AR53</f>
        <v>2.2335816838861389</v>
      </c>
      <c r="N407" s="66">
        <f>'[34]TGNPDCL MoD'!AS53</f>
        <v>2.2335816838861389</v>
      </c>
      <c r="O407" s="66">
        <f>'[34]TGNPDCL MoD'!AT53</f>
        <v>2.6311965834070863</v>
      </c>
      <c r="P407" s="66">
        <f>'[34]TGNPDCL MoD'!AU53</f>
        <v>2.8953836642968445</v>
      </c>
      <c r="Q407" s="66">
        <f t="shared" si="171"/>
        <v>29.831791689561694</v>
      </c>
    </row>
    <row r="408" spans="3:17" x14ac:dyDescent="0.25">
      <c r="C408" s="844"/>
      <c r="D408" s="17" t="s">
        <v>378</v>
      </c>
      <c r="E408" s="66">
        <f>'[34]TGNPDCL MoD'!AJ54</f>
        <v>14.450842585148754</v>
      </c>
      <c r="F408" s="66">
        <f>'[34]TGNPDCL MoD'!AK54</f>
        <v>19.100807394663093</v>
      </c>
      <c r="G408" s="66">
        <f>'[34]TGNPDCL MoD'!AL54</f>
        <v>18.484652317415897</v>
      </c>
      <c r="H408" s="66">
        <f>'[34]TGNPDCL MoD'!AM54</f>
        <v>12.415524806531012</v>
      </c>
      <c r="I408" s="66">
        <f>'[34]TGNPDCL MoD'!AN54</f>
        <v>11.460484436797856</v>
      </c>
      <c r="J408" s="66">
        <f>'[34]TGNPDCL MoD'!AO54</f>
        <v>11.552907698384933</v>
      </c>
      <c r="K408" s="66">
        <f>'[34]TGNPDCL MoD'!AP54</f>
        <v>11.460484436797856</v>
      </c>
      <c r="L408" s="66">
        <f>'[34]TGNPDCL MoD'!AQ54</f>
        <v>13.863489238061925</v>
      </c>
      <c r="M408" s="66">
        <f>'[34]TGNPDCL MoD'!AR54</f>
        <v>12.415524806531012</v>
      </c>
      <c r="N408" s="66">
        <f>'[34]TGNPDCL MoD'!AS54</f>
        <v>12.415524806531012</v>
      </c>
      <c r="O408" s="66">
        <f>'[34]TGNPDCL MoD'!AT54</f>
        <v>14.741510223139178</v>
      </c>
      <c r="P408" s="66">
        <f>'[34]TGNPDCL MoD'!AU54</f>
        <v>16.71320647033021</v>
      </c>
      <c r="Q408" s="66">
        <f t="shared" si="171"/>
        <v>169.07495922033277</v>
      </c>
    </row>
    <row r="409" spans="3:17" x14ac:dyDescent="0.25">
      <c r="C409" s="844"/>
      <c r="D409" s="125" t="s">
        <v>379</v>
      </c>
      <c r="E409" s="66">
        <f>'[34]TGNPDCL MoD'!AJ55</f>
        <v>41.669704005365006</v>
      </c>
      <c r="F409" s="66">
        <f>'[34]TGNPDCL MoD'!AK55</f>
        <v>42.974252135060155</v>
      </c>
      <c r="G409" s="66">
        <f>'[34]TGNPDCL MoD'!AL55</f>
        <v>41.687353934983477</v>
      </c>
      <c r="H409" s="66">
        <f>'[34]TGNPDCL MoD'!AM55</f>
        <v>42.749781861888458</v>
      </c>
      <c r="I409" s="66">
        <f>'[34]TGNPDCL MoD'!AN55</f>
        <v>35.077297216001867</v>
      </c>
      <c r="J409" s="66">
        <f>'[34]TGNPDCL MoD'!AO55</f>
        <v>37.905318521755063</v>
      </c>
      <c r="K409" s="66">
        <f>'[34]TGNPDCL MoD'!AP55</f>
        <v>33.349064486720387</v>
      </c>
      <c r="L409" s="66">
        <f>'[34]TGNPDCL MoD'!AQ55</f>
        <v>41.687353934983499</v>
      </c>
      <c r="M409" s="66">
        <f>'[34]TGNPDCL MoD'!AR55</f>
        <v>41.256780326265371</v>
      </c>
      <c r="N409" s="66">
        <f>'[34]TGNPDCL MoD'!AS55</f>
        <v>37.417972614363109</v>
      </c>
      <c r="O409" s="66">
        <f>'[34]TGNPDCL MoD'!AT55</f>
        <v>36.892329656076953</v>
      </c>
      <c r="P409" s="66">
        <f>'[34]TGNPDCL MoD'!AU55</f>
        <v>45.80716050930932</v>
      </c>
      <c r="Q409" s="66">
        <f t="shared" si="171"/>
        <v>478.47436920277272</v>
      </c>
    </row>
    <row r="410" spans="3:17" x14ac:dyDescent="0.25">
      <c r="C410" s="845"/>
      <c r="D410" s="125" t="s">
        <v>451</v>
      </c>
      <c r="E410" s="66">
        <f>'[34]TGNPDCL MoD'!AJ56</f>
        <v>40.808512954192267</v>
      </c>
      <c r="F410" s="66">
        <f>'[34]TGNPDCL MoD'!AK56</f>
        <v>41.730662434338022</v>
      </c>
      <c r="G410" s="66">
        <f>'[34]TGNPDCL MoD'!AL56</f>
        <v>41.2520985178949</v>
      </c>
      <c r="H410" s="66">
        <f>'[34]TGNPDCL MoD'!AM56</f>
        <v>40.55086426227188</v>
      </c>
      <c r="I410" s="66">
        <f>'[34]TGNPDCL MoD'!AN56</f>
        <v>33.977735486080441</v>
      </c>
      <c r="J410" s="66">
        <f>'[34]TGNPDCL MoD'!AO56</f>
        <v>35.51740449422077</v>
      </c>
      <c r="K410" s="66">
        <f>'[34]TGNPDCL MoD'!AP56</f>
        <v>32.82234037982974</v>
      </c>
      <c r="L410" s="66">
        <f>'[34]TGNPDCL MoD'!AQ56</f>
        <v>41.689272226584883</v>
      </c>
      <c r="M410" s="66">
        <f>'[34]TGNPDCL MoD'!AR56</f>
        <v>40.24944160417941</v>
      </c>
      <c r="N410" s="66">
        <f>'[34]TGNPDCL MoD'!AS56</f>
        <v>36.708089230497635</v>
      </c>
      <c r="O410" s="66">
        <f>'[34]TGNPDCL MoD'!AT56</f>
        <v>36.894027299113858</v>
      </c>
      <c r="P410" s="66">
        <f>'[34]TGNPDCL MoD'!AU56</f>
        <v>44.242876726723367</v>
      </c>
      <c r="Q410" s="66">
        <f t="shared" si="171"/>
        <v>466.44332561592717</v>
      </c>
    </row>
    <row r="411" spans="3:17" x14ac:dyDescent="0.25">
      <c r="C411" s="17"/>
      <c r="D411" s="17" t="s">
        <v>380</v>
      </c>
      <c r="E411" s="66">
        <f>'[34]TGNPDCL MoD'!AJ33</f>
        <v>0.50268577549502913</v>
      </c>
      <c r="F411" s="66">
        <f>'[34]TGNPDCL MoD'!AK33</f>
        <v>0.67024770066006623</v>
      </c>
      <c r="G411" s="66">
        <f>'[34]TGNPDCL MoD'!AL33</f>
        <v>0.64862680709034171</v>
      </c>
      <c r="H411" s="66">
        <f>'[34]TGNPDCL MoD'!AM33</f>
        <v>0.4356610054290358</v>
      </c>
      <c r="I411" s="66">
        <f>'[34]TGNPDCL MoD'!AN33</f>
        <v>0.40214862039603805</v>
      </c>
      <c r="J411" s="66">
        <f>'[34]TGNPDCL MoD'!AO33</f>
        <v>0.40539175443148723</v>
      </c>
      <c r="K411" s="66">
        <f>'[34]TGNPDCL MoD'!AP33</f>
        <v>0.40214862039603805</v>
      </c>
      <c r="L411" s="66">
        <f>'[34]TGNPDCL MoD'!AQ33</f>
        <v>0.48647010531777218</v>
      </c>
      <c r="M411" s="66">
        <f>'[34]TGNPDCL MoD'!AR33</f>
        <v>0.4356610054290358</v>
      </c>
      <c r="N411" s="66">
        <f>'[34]TGNPDCL MoD'!AS33</f>
        <v>0.4356610054290358</v>
      </c>
      <c r="O411" s="66">
        <f>'[34]TGNPDCL MoD'!AT33</f>
        <v>0.51727987865455827</v>
      </c>
      <c r="P411" s="66">
        <f>'[34]TGNPDCL MoD'!AU33</f>
        <v>0.58646673807752558</v>
      </c>
      <c r="Q411" s="66">
        <f t="shared" si="171"/>
        <v>5.9284490168059643</v>
      </c>
    </row>
    <row r="412" spans="3:17" x14ac:dyDescent="0.25">
      <c r="C412" s="17"/>
      <c r="D412" s="17" t="s">
        <v>381</v>
      </c>
      <c r="E412" s="66">
        <f>'[34]TGNPDCL MoD'!AJ34</f>
        <v>0.42648466963275744</v>
      </c>
      <c r="F412" s="66">
        <f>'[34]TGNPDCL MoD'!AK34</f>
        <v>0.44070082528718285</v>
      </c>
      <c r="G412" s="66">
        <f>'[34]TGNPDCL MoD'!AL34</f>
        <v>0.42648466963275744</v>
      </c>
      <c r="H412" s="66">
        <f>'[34]TGNPDCL MoD'!AM34</f>
        <v>0.45001140610310919</v>
      </c>
      <c r="I412" s="66">
        <f>'[34]TGNPDCL MoD'!AN34</f>
        <v>0.37552675957569814</v>
      </c>
      <c r="J412" s="66">
        <f>'[34]TGNPDCL MoD'!AO34</f>
        <v>0.40846419063419032</v>
      </c>
      <c r="K412" s="66">
        <f>'[34]TGNPDCL MoD'!AP34</f>
        <v>0.34759501712791885</v>
      </c>
      <c r="L412" s="66">
        <f>'[34]TGNPDCL MoD'!AQ34</f>
        <v>0.42648466963275744</v>
      </c>
      <c r="M412" s="66">
        <f>'[34]TGNPDCL MoD'!AR34</f>
        <v>0.44070082528718285</v>
      </c>
      <c r="N412" s="66">
        <f>'[34]TGNPDCL MoD'!AS34</f>
        <v>0.40345850202347722</v>
      </c>
      <c r="O412" s="66">
        <f>'[34]TGNPDCL MoD'!AT34</f>
        <v>0.40355861579569147</v>
      </c>
      <c r="P412" s="66">
        <f>'[34]TGNPDCL MoD'!AU34</f>
        <v>0.49656431018274122</v>
      </c>
      <c r="Q412" s="66">
        <f t="shared" si="171"/>
        <v>5.0460344609154637</v>
      </c>
    </row>
    <row r="413" spans="3:17" x14ac:dyDescent="0.25">
      <c r="C413" s="17"/>
      <c r="D413" s="17" t="s">
        <v>382</v>
      </c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17">
        <f t="shared" si="171"/>
        <v>0</v>
      </c>
    </row>
    <row r="414" spans="3:17" x14ac:dyDescent="0.25">
      <c r="C414" s="17"/>
      <c r="D414" s="17" t="s">
        <v>383</v>
      </c>
      <c r="E414" s="66">
        <f>'[34]TGNPDCL MoD'!AJ52</f>
        <v>2.9988231750653309</v>
      </c>
      <c r="F414" s="66">
        <f>'[34]TGNPDCL MoD'!AK52</f>
        <v>3.098783947567509</v>
      </c>
      <c r="G414" s="66">
        <f>'[34]TGNPDCL MoD'!AL52</f>
        <v>2.9988231750653309</v>
      </c>
      <c r="H414" s="66">
        <f>'[34]TGNPDCL MoD'!AM52</f>
        <v>3.2951857470612245</v>
      </c>
      <c r="I414" s="66">
        <f>'[34]TGNPDCL MoD'!AN52</f>
        <v>2.6405130820821738</v>
      </c>
      <c r="J414" s="66">
        <f>'[34]TGNPDCL MoD'!AO52</f>
        <v>2.9988231750653309</v>
      </c>
      <c r="K414" s="66">
        <f>'[34]TGNPDCL MoD'!AP52</f>
        <v>2.5750458155842688</v>
      </c>
      <c r="L414" s="66">
        <f>'[34]TGNPDCL MoD'!AQ52</f>
        <v>2.9988231750653309</v>
      </c>
      <c r="M414" s="66">
        <f>'[34]TGNPDCL MoD'!AR52</f>
        <v>3.098783947567509</v>
      </c>
      <c r="N414" s="66">
        <f>'[34]TGNPDCL MoD'!AS52</f>
        <v>3.0333166810696039</v>
      </c>
      <c r="O414" s="66">
        <f>'[34]TGNPDCL MoD'!AT52</f>
        <v>2.8988624025631546</v>
      </c>
      <c r="P414" s="66">
        <f>'[34]TGNPDCL MoD'!AU52</f>
        <v>3.49158754655494</v>
      </c>
      <c r="Q414" s="17">
        <f t="shared" si="171"/>
        <v>36.127371870311705</v>
      </c>
    </row>
    <row r="415" spans="3:17" x14ac:dyDescent="0.25">
      <c r="C415" s="17"/>
      <c r="D415" s="17" t="s">
        <v>384</v>
      </c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>
        <f t="shared" si="171"/>
        <v>0</v>
      </c>
    </row>
    <row r="416" spans="3:17" x14ac:dyDescent="0.25">
      <c r="C416" s="17"/>
      <c r="D416" s="17" t="s">
        <v>385</v>
      </c>
      <c r="E416" s="66">
        <f>'[34]TGNPDCL MoD'!AJ46</f>
        <v>5.6749781518743427</v>
      </c>
      <c r="F416" s="66">
        <f>'[34]TGNPDCL MoD'!AK46</f>
        <v>7.3301801128376951</v>
      </c>
      <c r="G416" s="66">
        <f>'[34]TGNPDCL MoD'!AL46</f>
        <v>7.0937226898429318</v>
      </c>
      <c r="H416" s="66">
        <f>'[34]TGNPDCL MoD'!AM46</f>
        <v>5.0500984752767959</v>
      </c>
      <c r="I416" s="66">
        <f>'[34]TGNPDCL MoD'!AN46</f>
        <v>4.3981080677026112</v>
      </c>
      <c r="J416" s="66">
        <f>'[34]TGNPDCL MoD'!AO46</f>
        <v>4.610919748397901</v>
      </c>
      <c r="K416" s="66">
        <f>'[34]TGNPDCL MoD'!AP46</f>
        <v>4.3981080677026112</v>
      </c>
      <c r="L416" s="66">
        <f>'[34]TGNPDCL MoD'!AQ46</f>
        <v>5.9679186885961162</v>
      </c>
      <c r="M416" s="66">
        <f>'[34]TGNPDCL MoD'!AR46</f>
        <v>4.9478715761654399</v>
      </c>
      <c r="N416" s="66">
        <f>'[34]TGNPDCL MoD'!AS46</f>
        <v>4.9478715761654399</v>
      </c>
      <c r="O416" s="66">
        <f>'[34]TGNPDCL MoD'!AT46</f>
        <v>5.8286754768209388</v>
      </c>
      <c r="P416" s="66">
        <f>'[34]TGNPDCL MoD'!AU46</f>
        <v>6.5971621015539252</v>
      </c>
      <c r="Q416" s="66">
        <f t="shared" si="171"/>
        <v>66.845614732936738</v>
      </c>
    </row>
    <row r="417" spans="3:17" x14ac:dyDescent="0.25">
      <c r="C417" s="17"/>
      <c r="D417" s="17" t="s">
        <v>386</v>
      </c>
      <c r="E417" s="66">
        <f>'[34]TGNPDCL MoD'!AJ47</f>
        <v>7.7505325637652707</v>
      </c>
      <c r="F417" s="66">
        <f>'[34]TGNPDCL MoD'!AK47</f>
        <v>0</v>
      </c>
      <c r="G417" s="66">
        <f>'[34]TGNPDCL MoD'!AL47</f>
        <v>4.355671192859818</v>
      </c>
      <c r="H417" s="66">
        <f>'[34]TGNPDCL MoD'!AM47</f>
        <v>7.413181559612414</v>
      </c>
      <c r="I417" s="66">
        <f>'[34]TGNPDCL MoD'!AN47</f>
        <v>6.023210017185086</v>
      </c>
      <c r="J417" s="66">
        <f>'[34]TGNPDCL MoD'!AO47</f>
        <v>6.6482757564945869</v>
      </c>
      <c r="K417" s="66">
        <f>'[34]TGNPDCL MoD'!AP47</f>
        <v>6.1213836414691363</v>
      </c>
      <c r="L417" s="66">
        <f>'[34]TGNPDCL MoD'!AQ47</f>
        <v>8.9035043501105324</v>
      </c>
      <c r="M417" s="66">
        <f>'[34]TGNPDCL MoD'!AR47</f>
        <v>7.810316286020206</v>
      </c>
      <c r="N417" s="66">
        <f>'[34]TGNPDCL MoD'!AS47</f>
        <v>7.6117489228163056</v>
      </c>
      <c r="O417" s="66">
        <f>'[34]TGNPDCL MoD'!AT47</f>
        <v>7.4921814783064251</v>
      </c>
      <c r="P417" s="66">
        <f>'[34]TGNPDCL MoD'!AU47</f>
        <v>9.001720465243622</v>
      </c>
      <c r="Q417" s="66">
        <f t="shared" si="171"/>
        <v>79.131726233883398</v>
      </c>
    </row>
    <row r="418" spans="3:17" x14ac:dyDescent="0.25">
      <c r="C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>
        <f t="shared" si="171"/>
        <v>0</v>
      </c>
    </row>
    <row r="419" spans="3:17" x14ac:dyDescent="0.25"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>
        <f t="shared" si="171"/>
        <v>0</v>
      </c>
    </row>
    <row r="420" spans="3:17" x14ac:dyDescent="0.25"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>
        <f t="shared" si="171"/>
        <v>0</v>
      </c>
    </row>
    <row r="421" spans="3:17" x14ac:dyDescent="0.25"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>
        <f t="shared" si="171"/>
        <v>0</v>
      </c>
    </row>
    <row r="422" spans="3:17" x14ac:dyDescent="0.25"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>
        <f t="shared" si="171"/>
        <v>0</v>
      </c>
    </row>
    <row r="423" spans="3:17" x14ac:dyDescent="0.25"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>
        <f t="shared" si="171"/>
        <v>0</v>
      </c>
    </row>
    <row r="424" spans="3:17" x14ac:dyDescent="0.25"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>
        <f t="shared" si="171"/>
        <v>0</v>
      </c>
    </row>
    <row r="425" spans="3:17" x14ac:dyDescent="0.25"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>
        <f t="shared" si="171"/>
        <v>0</v>
      </c>
    </row>
    <row r="426" spans="3:17" x14ac:dyDescent="0.25"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>
        <f t="shared" si="171"/>
        <v>0</v>
      </c>
    </row>
    <row r="427" spans="3:17" x14ac:dyDescent="0.25"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>
        <f t="shared" si="171"/>
        <v>0</v>
      </c>
    </row>
    <row r="428" spans="3:17" x14ac:dyDescent="0.25">
      <c r="C428" s="751" t="s">
        <v>212</v>
      </c>
      <c r="D428" s="752"/>
      <c r="E428" s="291">
        <f t="shared" ref="E428:P428" si="172">SUM(E401:E427)</f>
        <v>208.20959322633496</v>
      </c>
      <c r="F428" s="291">
        <f t="shared" si="172"/>
        <v>233.83886684253446</v>
      </c>
      <c r="G428" s="291">
        <f t="shared" si="172"/>
        <v>207.52213347377543</v>
      </c>
      <c r="H428" s="291">
        <f t="shared" si="172"/>
        <v>183.15310002378902</v>
      </c>
      <c r="I428" s="291">
        <f t="shared" si="172"/>
        <v>167.74552295730419</v>
      </c>
      <c r="J428" s="291">
        <f t="shared" si="172"/>
        <v>178.98131935434265</v>
      </c>
      <c r="K428" s="291">
        <f t="shared" si="172"/>
        <v>165.91492243492456</v>
      </c>
      <c r="L428" s="291">
        <f t="shared" si="172"/>
        <v>177.61338999209912</v>
      </c>
      <c r="M428" s="291">
        <f t="shared" si="172"/>
        <v>173.55479387611487</v>
      </c>
      <c r="N428" s="291">
        <f t="shared" si="172"/>
        <v>183.9182288085066</v>
      </c>
      <c r="O428" s="291">
        <f t="shared" si="172"/>
        <v>201.43956153563178</v>
      </c>
      <c r="P428" s="291">
        <f t="shared" si="172"/>
        <v>236.53399033079222</v>
      </c>
      <c r="Q428" s="323">
        <f t="shared" si="171"/>
        <v>2318.4254228561499</v>
      </c>
    </row>
    <row r="429" spans="3:17" x14ac:dyDescent="0.25">
      <c r="C429" s="753" t="s">
        <v>387</v>
      </c>
      <c r="D429" s="754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</row>
    <row r="430" spans="3:17" x14ac:dyDescent="0.25">
      <c r="C430" s="805" t="s">
        <v>388</v>
      </c>
      <c r="D430" s="125" t="s">
        <v>389</v>
      </c>
      <c r="E430" s="66">
        <f>'[34]TGNPDCL MoD'!AJ32</f>
        <v>1.1794255239480145</v>
      </c>
      <c r="F430" s="66">
        <f>'[34]TGNPDCL MoD'!AK32</f>
        <v>1.2187397080796152</v>
      </c>
      <c r="G430" s="66">
        <f>'[34]TGNPDCL MoD'!AL32</f>
        <v>1.1794255239480145</v>
      </c>
      <c r="H430" s="66">
        <f>'[34]TGNPDCL MoD'!AM32</f>
        <v>1.2187397080796152</v>
      </c>
      <c r="I430" s="66">
        <f>'[34]TGNPDCL MoD'!AN32</f>
        <v>1.2187397080796152</v>
      </c>
      <c r="J430" s="66">
        <f>'[34]TGNPDCL MoD'!AO32</f>
        <v>1.1794255239480145</v>
      </c>
      <c r="K430" s="66">
        <f>'[34]TGNPDCL MoD'!AP32</f>
        <v>1.2187397080796152</v>
      </c>
      <c r="L430" s="66">
        <f>'[34]TGNPDCL MoD'!AQ32</f>
        <v>1.1794255239480145</v>
      </c>
      <c r="M430" s="66">
        <f>'[34]TGNPDCL MoD'!AR32</f>
        <v>1.2187397080796152</v>
      </c>
      <c r="N430" s="66">
        <f>'[34]TGNPDCL MoD'!AS32</f>
        <v>1.2187397080796152</v>
      </c>
      <c r="O430" s="66">
        <f>'[34]TGNPDCL MoD'!AT32</f>
        <v>1.140111339816414</v>
      </c>
      <c r="P430" s="66">
        <f>'[34]TGNPDCL MoD'!AU32</f>
        <v>1.2187397080796152</v>
      </c>
      <c r="Q430" s="66">
        <f t="shared" ref="Q430:Q444" si="173">SUM(E430:P430)</f>
        <v>14.38899139216578</v>
      </c>
    </row>
    <row r="431" spans="3:17" x14ac:dyDescent="0.25">
      <c r="C431" s="806"/>
      <c r="D431" s="125" t="s">
        <v>390</v>
      </c>
      <c r="E431" s="66">
        <f>'[34]TGNPDCL MoD'!AJ37+'[34]TGNPDCL MoD'!AJ36</f>
        <v>5.0539863407507717</v>
      </c>
      <c r="F431" s="66">
        <f>'[34]TGNPDCL MoD'!AK37+'[34]TGNPDCL MoD'!AK36</f>
        <v>5.2224525521091305</v>
      </c>
      <c r="G431" s="66">
        <f>'[34]TGNPDCL MoD'!AL37+'[34]TGNPDCL MoD'!AL36</f>
        <v>5.0539863407507717</v>
      </c>
      <c r="H431" s="66">
        <f>'[34]TGNPDCL MoD'!AM37+'[34]TGNPDCL MoD'!AM36</f>
        <v>5.2224525521091305</v>
      </c>
      <c r="I431" s="66">
        <f>'[34]TGNPDCL MoD'!AN37+'[34]TGNPDCL MoD'!AN36</f>
        <v>5.2224525521091305</v>
      </c>
      <c r="J431" s="66">
        <f>'[34]TGNPDCL MoD'!AO37+'[34]TGNPDCL MoD'!AO36</f>
        <v>5.0539863407507717</v>
      </c>
      <c r="K431" s="66">
        <f>'[34]TGNPDCL MoD'!AP37+'[34]TGNPDCL MoD'!AP36</f>
        <v>5.2224525521091305</v>
      </c>
      <c r="L431" s="66">
        <f>'[34]TGNPDCL MoD'!AQ37+'[34]TGNPDCL MoD'!AQ36</f>
        <v>5.0539863407507717</v>
      </c>
      <c r="M431" s="66">
        <f>'[34]TGNPDCL MoD'!AR37+'[34]TGNPDCL MoD'!AR36</f>
        <v>5.2224525521091305</v>
      </c>
      <c r="N431" s="66">
        <f>'[34]TGNPDCL MoD'!AS37+'[34]TGNPDCL MoD'!AS36</f>
        <v>5.2224525521091305</v>
      </c>
      <c r="O431" s="66">
        <f>'[34]TGNPDCL MoD'!AT37+'[34]TGNPDCL MoD'!AT36</f>
        <v>4.8855201293924129</v>
      </c>
      <c r="P431" s="66">
        <f>'[34]TGNPDCL MoD'!AU37+'[34]TGNPDCL MoD'!AU36</f>
        <v>5.2224525521091305</v>
      </c>
      <c r="Q431" s="66">
        <f t="shared" si="173"/>
        <v>61.65863335715941</v>
      </c>
    </row>
    <row r="432" spans="3:17" x14ac:dyDescent="0.25">
      <c r="C432" s="806"/>
      <c r="D432" s="125" t="s">
        <v>391</v>
      </c>
      <c r="E432" s="66">
        <f>'[34]TGNPDCL MoD'!AJ38+'[34]TGNPDCL MoD'!AJ39</f>
        <v>5.0539863407507717</v>
      </c>
      <c r="F432" s="66">
        <f>'[34]TGNPDCL MoD'!AK38+'[34]TGNPDCL MoD'!AK39</f>
        <v>5.2224525521091305</v>
      </c>
      <c r="G432" s="66">
        <f>'[34]TGNPDCL MoD'!AL38+'[34]TGNPDCL MoD'!AL39</f>
        <v>5.0539863407507717</v>
      </c>
      <c r="H432" s="66">
        <f>'[34]TGNPDCL MoD'!AM38+'[34]TGNPDCL MoD'!AM39</f>
        <v>5.2224525521091305</v>
      </c>
      <c r="I432" s="66">
        <f>'[34]TGNPDCL MoD'!AN38+'[34]TGNPDCL MoD'!AN39</f>
        <v>5.2224525521091305</v>
      </c>
      <c r="J432" s="66">
        <f>'[34]TGNPDCL MoD'!AO38+'[34]TGNPDCL MoD'!AO39</f>
        <v>5.0539863407507717</v>
      </c>
      <c r="K432" s="66">
        <f>'[34]TGNPDCL MoD'!AP38+'[34]TGNPDCL MoD'!AP39</f>
        <v>5.2224525521091305</v>
      </c>
      <c r="L432" s="66">
        <f>'[34]TGNPDCL MoD'!AQ38+'[34]TGNPDCL MoD'!AQ39</f>
        <v>5.0539863407507717</v>
      </c>
      <c r="M432" s="66">
        <f>'[34]TGNPDCL MoD'!AR38+'[34]TGNPDCL MoD'!AR39</f>
        <v>5.2224525521091305</v>
      </c>
      <c r="N432" s="66">
        <f>'[34]TGNPDCL MoD'!AS38+'[34]TGNPDCL MoD'!AS39</f>
        <v>5.2224525521091305</v>
      </c>
      <c r="O432" s="66">
        <f>'[34]TGNPDCL MoD'!AT38+'[34]TGNPDCL MoD'!AT39</f>
        <v>4.8855201293924129</v>
      </c>
      <c r="P432" s="66">
        <f>'[34]TGNPDCL MoD'!AU38+'[34]TGNPDCL MoD'!AU39</f>
        <v>5.2224525521091305</v>
      </c>
      <c r="Q432" s="66">
        <f t="shared" si="173"/>
        <v>61.65863335715941</v>
      </c>
    </row>
    <row r="433" spans="3:21" x14ac:dyDescent="0.25">
      <c r="C433" s="807"/>
      <c r="D433" s="125" t="s">
        <v>392</v>
      </c>
      <c r="E433" s="66">
        <f>'[34]TGNPDCL MoD'!AJ48</f>
        <v>4.7387127952107191</v>
      </c>
      <c r="F433" s="66">
        <f>'[34]TGNPDCL MoD'!AK48</f>
        <v>4.8966698883844106</v>
      </c>
      <c r="G433" s="66">
        <f>'[34]TGNPDCL MoD'!AL48</f>
        <v>4.7387127952107191</v>
      </c>
      <c r="H433" s="66">
        <f>'[34]TGNPDCL MoD'!AM48</f>
        <v>4.8966698883844106</v>
      </c>
      <c r="I433" s="66">
        <f>'[34]TGNPDCL MoD'!AN48</f>
        <v>4.8966698883844106</v>
      </c>
      <c r="J433" s="66">
        <f>'[34]TGNPDCL MoD'!AO48</f>
        <v>4.7387127952107191</v>
      </c>
      <c r="K433" s="66">
        <f>'[34]TGNPDCL MoD'!AP48</f>
        <v>4.8966698883844106</v>
      </c>
      <c r="L433" s="66">
        <f>'[34]TGNPDCL MoD'!AQ48</f>
        <v>4.7387127952107191</v>
      </c>
      <c r="M433" s="66">
        <f>'[34]TGNPDCL MoD'!AR48</f>
        <v>4.8966698883844106</v>
      </c>
      <c r="N433" s="66">
        <f>'[34]TGNPDCL MoD'!AS48</f>
        <v>4.8966698883844106</v>
      </c>
      <c r="O433" s="66">
        <f>'[34]TGNPDCL MoD'!AT48</f>
        <v>4.5807557020370293</v>
      </c>
      <c r="P433" s="66">
        <f>'[34]TGNPDCL MoD'!AU48</f>
        <v>4.8966698883844106</v>
      </c>
      <c r="Q433" s="66">
        <f t="shared" si="173"/>
        <v>57.812296101570773</v>
      </c>
    </row>
    <row r="434" spans="3:21" x14ac:dyDescent="0.25">
      <c r="C434" s="17"/>
      <c r="D434" s="17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>
        <f t="shared" si="173"/>
        <v>0</v>
      </c>
    </row>
    <row r="435" spans="3:21" x14ac:dyDescent="0.25">
      <c r="C435" s="17"/>
      <c r="D435" s="17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>
        <f t="shared" si="173"/>
        <v>0</v>
      </c>
    </row>
    <row r="436" spans="3:21" x14ac:dyDescent="0.25">
      <c r="C436" s="17"/>
      <c r="D436" s="17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>
        <f t="shared" si="173"/>
        <v>0</v>
      </c>
    </row>
    <row r="437" spans="3:21" x14ac:dyDescent="0.25">
      <c r="C437" s="17"/>
      <c r="D437" s="17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>
        <f t="shared" si="173"/>
        <v>0</v>
      </c>
    </row>
    <row r="438" spans="3:21" x14ac:dyDescent="0.25">
      <c r="C438" s="17"/>
      <c r="D438" s="17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>
        <f t="shared" si="173"/>
        <v>0</v>
      </c>
    </row>
    <row r="439" spans="3:21" x14ac:dyDescent="0.25">
      <c r="C439" s="17"/>
      <c r="D439" s="17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>
        <f t="shared" si="173"/>
        <v>0</v>
      </c>
    </row>
    <row r="440" spans="3:21" x14ac:dyDescent="0.25">
      <c r="C440" s="17"/>
      <c r="D440" s="17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>
        <f t="shared" si="173"/>
        <v>0</v>
      </c>
    </row>
    <row r="441" spans="3:21" x14ac:dyDescent="0.25">
      <c r="C441" s="17"/>
      <c r="D441" s="17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>
        <f t="shared" si="173"/>
        <v>0</v>
      </c>
      <c r="U441" s="4">
        <f>(5408/3439)</f>
        <v>1.5725501599302123</v>
      </c>
    </row>
    <row r="442" spans="3:21" x14ac:dyDescent="0.25">
      <c r="C442" s="17"/>
      <c r="D442" s="17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>
        <f t="shared" si="173"/>
        <v>0</v>
      </c>
      <c r="U442" s="4">
        <f>U441^(1/5)</f>
        <v>1.0947649924397851</v>
      </c>
    </row>
    <row r="443" spans="3:21" x14ac:dyDescent="0.25">
      <c r="C443" s="17"/>
      <c r="D443" s="17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>
        <f t="shared" si="173"/>
        <v>0</v>
      </c>
      <c r="U443" s="156">
        <f>U442-1</f>
        <v>9.476499243978509E-2</v>
      </c>
    </row>
    <row r="444" spans="3:21" x14ac:dyDescent="0.25">
      <c r="C444" s="751" t="s">
        <v>212</v>
      </c>
      <c r="D444" s="752"/>
      <c r="E444" s="66">
        <f t="shared" ref="E444:P444" si="174">SUM(E430:E443)</f>
        <v>16.026111000660276</v>
      </c>
      <c r="F444" s="66">
        <f t="shared" si="174"/>
        <v>16.560314700682287</v>
      </c>
      <c r="G444" s="66">
        <f t="shared" si="174"/>
        <v>16.026111000660276</v>
      </c>
      <c r="H444" s="66">
        <f t="shared" si="174"/>
        <v>16.560314700682287</v>
      </c>
      <c r="I444" s="66">
        <f t="shared" si="174"/>
        <v>16.560314700682287</v>
      </c>
      <c r="J444" s="66">
        <f t="shared" si="174"/>
        <v>16.026111000660276</v>
      </c>
      <c r="K444" s="66">
        <f t="shared" si="174"/>
        <v>16.560314700682287</v>
      </c>
      <c r="L444" s="66">
        <f t="shared" si="174"/>
        <v>16.026111000660276</v>
      </c>
      <c r="M444" s="66">
        <f t="shared" si="174"/>
        <v>16.560314700682287</v>
      </c>
      <c r="N444" s="66">
        <f t="shared" si="174"/>
        <v>16.560314700682287</v>
      </c>
      <c r="O444" s="66">
        <f t="shared" si="174"/>
        <v>15.491907300638269</v>
      </c>
      <c r="P444" s="66">
        <f t="shared" si="174"/>
        <v>16.560314700682287</v>
      </c>
      <c r="Q444" s="86">
        <f t="shared" si="173"/>
        <v>195.51855420805538</v>
      </c>
      <c r="R444" s="427"/>
    </row>
    <row r="445" spans="3:21" x14ac:dyDescent="0.25">
      <c r="C445" s="753" t="s">
        <v>394</v>
      </c>
      <c r="D445" s="754"/>
      <c r="E445" s="66">
        <f t="shared" ref="E445:Q445" si="175">E428+E444</f>
        <v>224.23570422699524</v>
      </c>
      <c r="F445" s="66">
        <f t="shared" si="175"/>
        <v>250.39918154321674</v>
      </c>
      <c r="G445" s="66">
        <f t="shared" si="175"/>
        <v>223.54824447443571</v>
      </c>
      <c r="H445" s="66">
        <f t="shared" si="175"/>
        <v>199.71341472447131</v>
      </c>
      <c r="I445" s="66">
        <f t="shared" si="175"/>
        <v>184.30583765798647</v>
      </c>
      <c r="J445" s="66">
        <f t="shared" si="175"/>
        <v>195.00743035500292</v>
      </c>
      <c r="K445" s="66">
        <f t="shared" si="175"/>
        <v>182.47523713560685</v>
      </c>
      <c r="L445" s="66">
        <f t="shared" si="175"/>
        <v>193.63950099275939</v>
      </c>
      <c r="M445" s="66">
        <f t="shared" si="175"/>
        <v>190.11510857679716</v>
      </c>
      <c r="N445" s="66">
        <f t="shared" si="175"/>
        <v>200.47854350918888</v>
      </c>
      <c r="O445" s="66">
        <f t="shared" si="175"/>
        <v>216.93146883627006</v>
      </c>
      <c r="P445" s="66">
        <f t="shared" si="175"/>
        <v>253.09430503147451</v>
      </c>
      <c r="Q445" s="86">
        <f t="shared" si="175"/>
        <v>2513.9439770642052</v>
      </c>
      <c r="R445" s="427"/>
    </row>
    <row r="446" spans="3:21" x14ac:dyDescent="0.25">
      <c r="C446" s="800" t="s">
        <v>395</v>
      </c>
      <c r="D446" s="801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</row>
    <row r="447" spans="3:21" x14ac:dyDescent="0.25">
      <c r="C447" s="17" t="s">
        <v>396</v>
      </c>
      <c r="D447" s="17" t="s">
        <v>396</v>
      </c>
      <c r="E447" s="66">
        <f>'[34]TGNPDCL MoD'!AJ23</f>
        <v>12.83445026336878</v>
      </c>
      <c r="F447" s="66">
        <f>'[34]TGNPDCL MoD'!AK23</f>
        <v>13.262265272147726</v>
      </c>
      <c r="G447" s="66">
        <f>'[34]TGNPDCL MoD'!AL23</f>
        <v>12.834450263368771</v>
      </c>
      <c r="H447" s="66">
        <f>'[34]TGNPDCL MoD'!AM23</f>
        <v>13.678223536576928</v>
      </c>
      <c r="I447" s="66">
        <f>'[34]TGNPDCL MoD'!AN23</f>
        <v>11.300944351618844</v>
      </c>
      <c r="J447" s="66">
        <f>'[34]TGNPDCL MoD'!AO23</f>
        <v>12.778661932512049</v>
      </c>
      <c r="K447" s="66">
        <f>'[34]TGNPDCL MoD'!AP23</f>
        <v>11.020755648686148</v>
      </c>
      <c r="L447" s="66">
        <f>'[34]TGNPDCL MoD'!AQ23</f>
        <v>12.834450263368771</v>
      </c>
      <c r="M447" s="66">
        <f>'[34]TGNPDCL MoD'!AR23</f>
        <v>13.262265272147726</v>
      </c>
      <c r="N447" s="66">
        <f>'[34]TGNPDCL MoD'!AS23</f>
        <v>12.98207656921503</v>
      </c>
      <c r="O447" s="66">
        <f>'[34]TGNPDCL MoD'!AT23</f>
        <v>12.406635254589821</v>
      </c>
      <c r="P447" s="66">
        <f>'[34]TGNPDCL MoD'!AU23</f>
        <v>14.943397489743933</v>
      </c>
      <c r="Q447" s="66">
        <f>SUM(E447:P447)</f>
        <v>154.13857611734454</v>
      </c>
    </row>
    <row r="448" spans="3:21" x14ac:dyDescent="0.25">
      <c r="C448" s="17" t="s">
        <v>397</v>
      </c>
      <c r="D448" s="17" t="s">
        <v>397</v>
      </c>
      <c r="E448" s="66">
        <f>'[34]TGNPDCL MoD'!AJ24</f>
        <v>0</v>
      </c>
      <c r="F448" s="66">
        <f>'[34]TGNPDCL MoD'!AK24</f>
        <v>0</v>
      </c>
      <c r="G448" s="66">
        <f>'[34]TGNPDCL MoD'!AL24</f>
        <v>0</v>
      </c>
      <c r="H448" s="66">
        <f>'[34]TGNPDCL MoD'!AM24</f>
        <v>0</v>
      </c>
      <c r="I448" s="66">
        <f>'[34]TGNPDCL MoD'!AN24</f>
        <v>0</v>
      </c>
      <c r="J448" s="66">
        <f>'[34]TGNPDCL MoD'!AO24</f>
        <v>0</v>
      </c>
      <c r="K448" s="66">
        <f>'[34]TGNPDCL MoD'!AP24</f>
        <v>0</v>
      </c>
      <c r="L448" s="66">
        <f>'[34]TGNPDCL MoD'!AQ24</f>
        <v>0</v>
      </c>
      <c r="M448" s="66">
        <f>'[34]TGNPDCL MoD'!AR24</f>
        <v>0</v>
      </c>
      <c r="N448" s="66">
        <f>'[34]TGNPDCL MoD'!AS24</f>
        <v>0</v>
      </c>
      <c r="O448" s="66">
        <f>'[34]TGNPDCL MoD'!AT24</f>
        <v>0</v>
      </c>
      <c r="P448" s="66">
        <f>'[34]TGNPDCL MoD'!AU24</f>
        <v>0</v>
      </c>
      <c r="Q448" s="66">
        <f>SUM(E448:P448)</f>
        <v>0</v>
      </c>
    </row>
    <row r="449" spans="3:18" x14ac:dyDescent="0.25">
      <c r="C449" s="17"/>
      <c r="D449" s="17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</row>
    <row r="450" spans="3:18" x14ac:dyDescent="0.25">
      <c r="C450" s="17"/>
      <c r="D450" s="17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</row>
    <row r="451" spans="3:18" x14ac:dyDescent="0.25">
      <c r="C451" s="17"/>
      <c r="D451" s="17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</row>
    <row r="452" spans="3:18" x14ac:dyDescent="0.25">
      <c r="C452" s="17"/>
      <c r="D452" s="17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</row>
    <row r="453" spans="3:18" x14ac:dyDescent="0.25">
      <c r="C453" s="17"/>
      <c r="D453" s="17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</row>
    <row r="454" spans="3:18" x14ac:dyDescent="0.25">
      <c r="C454" s="753" t="s">
        <v>398</v>
      </c>
      <c r="D454" s="754"/>
      <c r="E454" s="66">
        <f t="shared" ref="E454:P454" si="176">SUM(E447:E453)</f>
        <v>12.83445026336878</v>
      </c>
      <c r="F454" s="66">
        <f t="shared" si="176"/>
        <v>13.262265272147726</v>
      </c>
      <c r="G454" s="66">
        <f t="shared" si="176"/>
        <v>12.834450263368771</v>
      </c>
      <c r="H454" s="66">
        <f t="shared" si="176"/>
        <v>13.678223536576928</v>
      </c>
      <c r="I454" s="66">
        <f t="shared" si="176"/>
        <v>11.300944351618844</v>
      </c>
      <c r="J454" s="66">
        <f t="shared" si="176"/>
        <v>12.778661932512049</v>
      </c>
      <c r="K454" s="66">
        <f t="shared" si="176"/>
        <v>11.020755648686148</v>
      </c>
      <c r="L454" s="66">
        <f t="shared" si="176"/>
        <v>12.834450263368771</v>
      </c>
      <c r="M454" s="66">
        <f t="shared" si="176"/>
        <v>13.262265272147726</v>
      </c>
      <c r="N454" s="66">
        <f t="shared" si="176"/>
        <v>12.98207656921503</v>
      </c>
      <c r="O454" s="66">
        <f t="shared" si="176"/>
        <v>12.406635254589821</v>
      </c>
      <c r="P454" s="66">
        <f t="shared" si="176"/>
        <v>14.943397489743933</v>
      </c>
      <c r="Q454" s="86">
        <f>SUM(E454:P454)</f>
        <v>154.13857611734454</v>
      </c>
      <c r="R454" s="427"/>
    </row>
    <row r="455" spans="3:18" x14ac:dyDescent="0.25">
      <c r="C455" s="800" t="s">
        <v>399</v>
      </c>
      <c r="D455" s="801"/>
    </row>
    <row r="456" spans="3:18" x14ac:dyDescent="0.25">
      <c r="C456" s="17" t="s">
        <v>400</v>
      </c>
      <c r="D456" s="17" t="s">
        <v>400</v>
      </c>
      <c r="E456" s="66">
        <f>SUM('[34]TGNPDCL MoD'!AJ20:AJ22)</f>
        <v>111.80458740055003</v>
      </c>
      <c r="F456" s="66">
        <f>SUM('[34]TGNPDCL MoD'!AK20:AK22)</f>
        <v>36.24281527285504</v>
      </c>
      <c r="G456" s="66">
        <f>SUM('[34]TGNPDCL MoD'!AL20:AL22)</f>
        <v>40.993396972297219</v>
      </c>
      <c r="H456" s="66">
        <f>SUM('[34]TGNPDCL MoD'!AM20:AM22)</f>
        <v>93.364052759621586</v>
      </c>
      <c r="I456" s="66">
        <f>SUM('[34]TGNPDCL MoD'!AN20:AN22)</f>
        <v>87.699647313440551</v>
      </c>
      <c r="J456" s="66">
        <f>SUM('[34]TGNPDCL MoD'!AO20:AO22)</f>
        <v>93.208273630978624</v>
      </c>
      <c r="K456" s="66">
        <f>SUM('[34]TGNPDCL MoD'!AP20:AP22)</f>
        <v>91.204033565829121</v>
      </c>
      <c r="L456" s="66">
        <f>SUM('[34]TGNPDCL MoD'!AQ20:AQ22)</f>
        <v>119.5887606076123</v>
      </c>
      <c r="M456" s="66">
        <f>SUM('[34]TGNPDCL MoD'!AR20:AR22)</f>
        <v>107.98592107434922</v>
      </c>
      <c r="N456" s="66">
        <f>SUM('[34]TGNPDCL MoD'!AS20:AS22)</f>
        <v>105.62610445732172</v>
      </c>
      <c r="O456" s="66">
        <f>SUM('[34]TGNPDCL MoD'!AT20:AT22)</f>
        <v>103.40333798584199</v>
      </c>
      <c r="P456" s="66">
        <f>SUM('[34]TGNPDCL MoD'!AU20:AU22)</f>
        <v>123.29407439618424</v>
      </c>
      <c r="Q456" s="66">
        <f>SUM(E456:P456)</f>
        <v>1114.4150054368815</v>
      </c>
    </row>
    <row r="457" spans="3:18" x14ac:dyDescent="0.25">
      <c r="C457" s="17" t="s">
        <v>401</v>
      </c>
      <c r="D457" s="17" t="s">
        <v>401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</row>
    <row r="458" spans="3:18" x14ac:dyDescent="0.25">
      <c r="C458" s="17" t="s">
        <v>402</v>
      </c>
      <c r="D458" s="17" t="s">
        <v>402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</row>
    <row r="459" spans="3:18" x14ac:dyDescent="0.25"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>
        <f t="shared" ref="Q459:Q464" si="177">SUM(E459:P459)</f>
        <v>0</v>
      </c>
    </row>
    <row r="460" spans="3:18" x14ac:dyDescent="0.25"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>
        <f t="shared" si="177"/>
        <v>0</v>
      </c>
    </row>
    <row r="461" spans="3:18" x14ac:dyDescent="0.25"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>
        <f t="shared" si="177"/>
        <v>0</v>
      </c>
    </row>
    <row r="462" spans="3:18" x14ac:dyDescent="0.25"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>
        <f t="shared" si="177"/>
        <v>0</v>
      </c>
    </row>
    <row r="463" spans="3:18" x14ac:dyDescent="0.25"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>
        <f t="shared" si="177"/>
        <v>0</v>
      </c>
    </row>
    <row r="464" spans="3:18" x14ac:dyDescent="0.25">
      <c r="C464" s="753" t="s">
        <v>403</v>
      </c>
      <c r="D464" s="754"/>
      <c r="E464" s="66">
        <f t="shared" ref="E464:P464" si="178">SUM(E456:E463)</f>
        <v>111.80458740055003</v>
      </c>
      <c r="F464" s="66">
        <f t="shared" si="178"/>
        <v>36.24281527285504</v>
      </c>
      <c r="G464" s="66">
        <f t="shared" si="178"/>
        <v>40.993396972297219</v>
      </c>
      <c r="H464" s="66">
        <f t="shared" si="178"/>
        <v>93.364052759621586</v>
      </c>
      <c r="I464" s="66">
        <f t="shared" si="178"/>
        <v>87.699647313440551</v>
      </c>
      <c r="J464" s="66">
        <f t="shared" si="178"/>
        <v>93.208273630978624</v>
      </c>
      <c r="K464" s="66">
        <f t="shared" si="178"/>
        <v>91.204033565829121</v>
      </c>
      <c r="L464" s="66">
        <f t="shared" si="178"/>
        <v>119.5887606076123</v>
      </c>
      <c r="M464" s="66">
        <f t="shared" si="178"/>
        <v>107.98592107434922</v>
      </c>
      <c r="N464" s="66">
        <f t="shared" si="178"/>
        <v>105.62610445732172</v>
      </c>
      <c r="O464" s="66">
        <f t="shared" si="178"/>
        <v>103.40333798584199</v>
      </c>
      <c r="P464" s="66">
        <f t="shared" si="178"/>
        <v>123.29407439618424</v>
      </c>
      <c r="Q464" s="86">
        <f t="shared" si="177"/>
        <v>1114.4150054368815</v>
      </c>
      <c r="R464" s="427"/>
    </row>
    <row r="465" spans="3:17" x14ac:dyDescent="0.25">
      <c r="C465" s="800" t="s">
        <v>404</v>
      </c>
      <c r="D465" s="801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</row>
    <row r="466" spans="3:17" x14ac:dyDescent="0.25">
      <c r="C466" s="17"/>
      <c r="D466" s="17" t="s">
        <v>405</v>
      </c>
      <c r="E466" s="66">
        <f>'[34]TGNPDCL MoD'!F104*[34]Gen_Cost!$BN231/10</f>
        <v>2.4381312685857193E-2</v>
      </c>
      <c r="F466" s="66">
        <f>'[34]TGNPDCL MoD'!G104*[34]Gen_Cost!$BN231/10</f>
        <v>2.0907855515269132E-2</v>
      </c>
      <c r="G466" s="66">
        <f>'[34]TGNPDCL MoD'!H104*[34]Gen_Cost!$BN231/10</f>
        <v>4.973274024739318E-2</v>
      </c>
      <c r="H466" s="66">
        <f>'[34]TGNPDCL MoD'!I104*[34]Gen_Cost!$BN231/10</f>
        <v>7.2339346358981871E-2</v>
      </c>
      <c r="I466" s="66">
        <f>'[34]TGNPDCL MoD'!J104*[34]Gen_Cost!$BN231/10</f>
        <v>3.9474120766783555E-2</v>
      </c>
      <c r="J466" s="66">
        <f>'[34]TGNPDCL MoD'!K104*[34]Gen_Cost!$BN231/10</f>
        <v>2.9028112746704183E-2</v>
      </c>
      <c r="K466" s="66">
        <f>'[34]TGNPDCL MoD'!L104*[34]Gen_Cost!$BN231/10</f>
        <v>1.760349732300745E-2</v>
      </c>
      <c r="L466" s="66">
        <f>'[34]TGNPDCL MoD'!M104*[34]Gen_Cost!$BN231/10</f>
        <v>2.4443849476385046E-2</v>
      </c>
      <c r="M466" s="66">
        <f>'[34]TGNPDCL MoD'!N104*[34]Gen_Cost!$BN231/10</f>
        <v>2.7950799985229129E-2</v>
      </c>
      <c r="N466" s="66">
        <f>'[34]TGNPDCL MoD'!O104*[34]Gen_Cost!$BN231/10</f>
        <v>2.7032252798690055E-2</v>
      </c>
      <c r="O466" s="66">
        <f>'[34]TGNPDCL MoD'!P104*[34]Gen_Cost!$BN231/10</f>
        <v>1.8534539948314627E-2</v>
      </c>
      <c r="P466" s="66">
        <f>'[34]TGNPDCL MoD'!Q104*[34]Gen_Cost!$BN231/10</f>
        <v>2.4071572147384597E-2</v>
      </c>
      <c r="Q466" s="66">
        <f>SUM(E466:P466)</f>
        <v>0.37550000000000006</v>
      </c>
    </row>
    <row r="467" spans="3:17" x14ac:dyDescent="0.25">
      <c r="C467" s="17"/>
      <c r="D467" s="17" t="s">
        <v>406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  <c r="O467" s="66">
        <v>0</v>
      </c>
      <c r="P467" s="66">
        <v>0</v>
      </c>
      <c r="Q467" s="66">
        <v>0</v>
      </c>
    </row>
    <row r="468" spans="3:17" x14ac:dyDescent="0.25">
      <c r="C468" s="17"/>
      <c r="D468" s="17" t="s">
        <v>407</v>
      </c>
      <c r="E468" s="66">
        <f>'[34]TGNPDCL MoD'!F101*[34]Gen_Cost!$BN$233/10</f>
        <v>0</v>
      </c>
      <c r="F468" s="66">
        <f>'[34]TGNPDCL MoD'!G101*[34]Gen_Cost!$BN$233/10</f>
        <v>0</v>
      </c>
      <c r="G468" s="66">
        <f>'[34]TGNPDCL MoD'!H101*[34]Gen_Cost!$BN$233/10</f>
        <v>0</v>
      </c>
      <c r="H468" s="66">
        <f>'[34]TGNPDCL MoD'!I101*[34]Gen_Cost!$BN$233/10</f>
        <v>0</v>
      </c>
      <c r="I468" s="66">
        <f>'[34]TGNPDCL MoD'!J101*[34]Gen_Cost!$BN$233/10</f>
        <v>0</v>
      </c>
      <c r="J468" s="66">
        <f>'[34]TGNPDCL MoD'!K101*[34]Gen_Cost!$BN$233/10</f>
        <v>0</v>
      </c>
      <c r="K468" s="66">
        <f>'[34]TGNPDCL MoD'!L101*[34]Gen_Cost!$BN$233/10</f>
        <v>0</v>
      </c>
      <c r="L468" s="66">
        <f>'[34]TGNPDCL MoD'!M101*[34]Gen_Cost!$BN$233/10</f>
        <v>0</v>
      </c>
      <c r="M468" s="66">
        <f>'[34]TGNPDCL MoD'!N101*[34]Gen_Cost!$BN$233/10</f>
        <v>0</v>
      </c>
      <c r="N468" s="66">
        <f>'[34]TGNPDCL MoD'!O101*[34]Gen_Cost!$BN$233/10</f>
        <v>0</v>
      </c>
      <c r="O468" s="66">
        <f>'[34]TGNPDCL MoD'!P101*[34]Gen_Cost!$BN$233/10</f>
        <v>0</v>
      </c>
      <c r="P468" s="66">
        <f>'[34]TGNPDCL MoD'!Q101*[34]Gen_Cost!$BN$233/10</f>
        <v>0</v>
      </c>
      <c r="Q468" s="66">
        <f t="shared" ref="Q468:Q490" si="179">SUM(E468:P468)</f>
        <v>0</v>
      </c>
    </row>
    <row r="469" spans="3:17" x14ac:dyDescent="0.25">
      <c r="C469" s="17"/>
      <c r="D469" s="17" t="s">
        <v>408</v>
      </c>
      <c r="E469" s="66">
        <f>'[34]TGNPDCL MoD'!F102*[34]Gen_Cost!$BN$234/10</f>
        <v>2.1146084619384302</v>
      </c>
      <c r="F469" s="66">
        <f>'[34]TGNPDCL MoD'!G102*[34]Gen_Cost!$BN$234/10</f>
        <v>1.4868695906168468</v>
      </c>
      <c r="G469" s="66">
        <f>'[34]TGNPDCL MoD'!H102*[34]Gen_Cost!$BN$234/10</f>
        <v>1.2362510151330321</v>
      </c>
      <c r="H469" s="66">
        <f>'[34]TGNPDCL MoD'!I102*[34]Gen_Cost!$BN$234/10</f>
        <v>1.7456094910597535</v>
      </c>
      <c r="I469" s="66">
        <f>'[34]TGNPDCL MoD'!J102*[34]Gen_Cost!$BN$234/10</f>
        <v>1.7456094910597535</v>
      </c>
      <c r="J469" s="66">
        <f>'[34]TGNPDCL MoD'!K102*[34]Gen_Cost!$BN$234/10</f>
        <v>1.2443683453430054</v>
      </c>
      <c r="K469" s="66">
        <f>'[34]TGNPDCL MoD'!L102*[34]Gen_Cost!$BN$234/10</f>
        <v>1.7456094910597535</v>
      </c>
      <c r="L469" s="66">
        <f>'[34]TGNPDCL MoD'!M102*[34]Gen_Cost!$BN$234/10</f>
        <v>1.6402033750121521</v>
      </c>
      <c r="M469" s="66">
        <f>'[34]TGNPDCL MoD'!N102*[34]Gen_Cost!$BN$234/10</f>
        <v>2.6768520898696355</v>
      </c>
      <c r="N469" s="66">
        <f>'[34]TGNPDCL MoD'!O102*[34]Gen_Cost!$BN$234/10</f>
        <v>2.7215812957559904</v>
      </c>
      <c r="O469" s="66">
        <f>'[34]TGNPDCL MoD'!P102*[34]Gen_Cost!$BN$234/10</f>
        <v>2.9731408248835001</v>
      </c>
      <c r="P469" s="66">
        <f>'[34]TGNPDCL MoD'!Q102*[34]Gen_Cost!$BN$234/10</f>
        <v>2.8827601016296511</v>
      </c>
      <c r="Q469" s="66">
        <f t="shared" si="179"/>
        <v>24.213463573361501</v>
      </c>
    </row>
    <row r="470" spans="3:17" x14ac:dyDescent="0.25">
      <c r="C470" s="17"/>
      <c r="D470" s="17" t="s">
        <v>409</v>
      </c>
      <c r="E470" s="66">
        <f>SUM('[34]TGNPDCL MoD'!F99:F100)*[34]Gen_Cost!$BN$235/10</f>
        <v>0</v>
      </c>
      <c r="F470" s="66">
        <f>SUM('[34]TGNPDCL MoD'!G99:G100)*[34]Gen_Cost!$BN$235/10</f>
        <v>0</v>
      </c>
      <c r="G470" s="66">
        <f>SUM('[34]TGNPDCL MoD'!H99:H100)*[34]Gen_Cost!$BN$235/10</f>
        <v>0</v>
      </c>
      <c r="H470" s="66">
        <f>SUM('[34]TGNPDCL MoD'!I99:I100)*[34]Gen_Cost!$BN$235/10</f>
        <v>0</v>
      </c>
      <c r="I470" s="66">
        <f>SUM('[34]TGNPDCL MoD'!J99:J100)*[34]Gen_Cost!$BN$235/10</f>
        <v>0</v>
      </c>
      <c r="J470" s="66">
        <f>SUM('[34]TGNPDCL MoD'!K99:K100)*[34]Gen_Cost!$BN$235/10</f>
        <v>0</v>
      </c>
      <c r="K470" s="66">
        <f>SUM('[34]TGNPDCL MoD'!L99:L100)*[34]Gen_Cost!$BN$235/10</f>
        <v>0</v>
      </c>
      <c r="L470" s="66">
        <f>SUM('[34]TGNPDCL MoD'!M99:M100)*[34]Gen_Cost!$BN$235/10</f>
        <v>0</v>
      </c>
      <c r="M470" s="66">
        <f>SUM('[34]TGNPDCL MoD'!N99:N100)*[34]Gen_Cost!$BN$235/10</f>
        <v>0</v>
      </c>
      <c r="N470" s="66">
        <f>SUM('[34]TGNPDCL MoD'!O99:O100)*[34]Gen_Cost!$BN$235/10</f>
        <v>0</v>
      </c>
      <c r="O470" s="66">
        <f>SUM('[34]TGNPDCL MoD'!P99:P100)*[34]Gen_Cost!$BN$235/10</f>
        <v>0</v>
      </c>
      <c r="P470" s="66">
        <f>SUM('[34]TGNPDCL MoD'!Q99:Q100)*[34]Gen_Cost!$BN$235/10</f>
        <v>0</v>
      </c>
      <c r="Q470" s="66">
        <f t="shared" si="179"/>
        <v>0</v>
      </c>
    </row>
    <row r="471" spans="3:17" x14ac:dyDescent="0.25">
      <c r="C471" s="17"/>
      <c r="D471" s="17" t="s">
        <v>367</v>
      </c>
      <c r="E471" s="66">
        <f>'[34]TGNPDCL MoD'!F103*[34]Gen_Cost!$BN$236/10</f>
        <v>2.1823197276368183E-3</v>
      </c>
      <c r="F471" s="66">
        <f>'[34]TGNPDCL MoD'!G103*[34]Gen_Cost!$BN$236/10</f>
        <v>2.3385048234746226E-3</v>
      </c>
      <c r="G471" s="66">
        <f>'[34]TGNPDCL MoD'!H103*[34]Gen_Cost!$BN$236/10</f>
        <v>2.4228042375097326E-3</v>
      </c>
      <c r="H471" s="66">
        <f>'[34]TGNPDCL MoD'!I103*[34]Gen_Cost!$BN$236/10</f>
        <v>5.2967974263227373E-3</v>
      </c>
      <c r="I471" s="66">
        <f>'[34]TGNPDCL MoD'!J103*[34]Gen_Cost!$BN$236/10</f>
        <v>1.2435913420955701E-2</v>
      </c>
      <c r="J471" s="66">
        <f>'[34]TGNPDCL MoD'!K103*[34]Gen_Cost!$BN$236/10</f>
        <v>6.2809616233186569E-3</v>
      </c>
      <c r="K471" s="66">
        <f>'[34]TGNPDCL MoD'!L103*[34]Gen_Cost!$BN$236/10</f>
        <v>6.9232085016272902E-3</v>
      </c>
      <c r="L471" s="66">
        <f>'[34]TGNPDCL MoD'!M103*[34]Gen_Cost!$BN$236/10</f>
        <v>2.3745174155089797E-3</v>
      </c>
      <c r="M471" s="66">
        <f>'[34]TGNPDCL MoD'!N103*[34]Gen_Cost!$BN$236/10</f>
        <v>4.073496475464013E-3</v>
      </c>
      <c r="N471" s="66">
        <f>'[34]TGNPDCL MoD'!O103*[34]Gen_Cost!$BN$236/10</f>
        <v>7.7727916348899698E-3</v>
      </c>
      <c r="O471" s="66">
        <f>'[34]TGNPDCL MoD'!P103*[34]Gen_Cost!$BN$236/10</f>
        <v>7.2301514143038054E-3</v>
      </c>
      <c r="P471" s="66">
        <f>'[34]TGNPDCL MoD'!Q103*[34]Gen_Cost!$BN$236/10</f>
        <v>3.2426178060298862E-3</v>
      </c>
      <c r="Q471" s="66">
        <f t="shared" si="179"/>
        <v>6.2574084507042216E-2</v>
      </c>
    </row>
    <row r="472" spans="3:17" x14ac:dyDescent="0.25">
      <c r="C472" s="17"/>
      <c r="D472" s="17" t="s">
        <v>410</v>
      </c>
      <c r="E472" s="291">
        <f>'[34]TGNPDCL MoD'!F114*[34]Gen_Cost!$BN237/10</f>
        <v>130.44119501131587</v>
      </c>
      <c r="F472" s="291">
        <f>'[34]TGNPDCL MoD'!G114*[34]Gen_Cost!$BN237/10</f>
        <v>134.50565697805982</v>
      </c>
      <c r="G472" s="291">
        <f>'[34]TGNPDCL MoD'!H114*[34]Gen_Cost!$BN237/10</f>
        <v>125.9310209186521</v>
      </c>
      <c r="H472" s="291">
        <f>'[34]TGNPDCL MoD'!I114*[34]Gen_Cost!$BN237/10</f>
        <v>98.630861130837445</v>
      </c>
      <c r="I472" s="291">
        <f>'[34]TGNPDCL MoD'!J114*[34]Gen_Cost!$BN237/10</f>
        <v>121.30900432303102</v>
      </c>
      <c r="J472" s="291">
        <f>'[34]TGNPDCL MoD'!K114*[34]Gen_Cost!$BN237/10</f>
        <v>106.92997657533506</v>
      </c>
      <c r="K472" s="291">
        <f>'[34]TGNPDCL MoD'!L114*[34]Gen_Cost!$BN237/10</f>
        <v>131.09370742557982</v>
      </c>
      <c r="L472" s="291">
        <f>'[34]TGNPDCL MoD'!M114*[34]Gen_Cost!$BN237/10</f>
        <v>101.08259930004054</v>
      </c>
      <c r="M472" s="291">
        <f>'[34]TGNPDCL MoD'!N114*[34]Gen_Cost!$BN237/10</f>
        <v>110.80879291686608</v>
      </c>
      <c r="N472" s="291">
        <f>'[34]TGNPDCL MoD'!O114*[34]Gen_Cost!$BN237/10</f>
        <v>118.13840357908937</v>
      </c>
      <c r="O472" s="291">
        <f>'[34]TGNPDCL MoD'!P114*[34]Gen_Cost!$BN237/10</f>
        <v>125.5922825882022</v>
      </c>
      <c r="P472" s="291">
        <f>'[34]TGNPDCL MoD'!Q114*[34]Gen_Cost!$BN237/10</f>
        <v>130.02645526519603</v>
      </c>
      <c r="Q472" s="291">
        <f t="shared" si="179"/>
        <v>1434.4899560122053</v>
      </c>
    </row>
    <row r="473" spans="3:17" x14ac:dyDescent="0.25">
      <c r="C473" s="17"/>
      <c r="D473" s="17" t="s">
        <v>411</v>
      </c>
      <c r="E473" s="66">
        <f>'[34]TGNPDCL MoD'!F107*[34]Gen_Cost!$BN$242/10</f>
        <v>6.2124085882401463</v>
      </c>
      <c r="F473" s="66">
        <f>'[34]TGNPDCL MoD'!G107*[34]Gen_Cost!$BN$242/10</f>
        <v>6.4059831597287396</v>
      </c>
      <c r="G473" s="66">
        <f>'[34]TGNPDCL MoD'!H107*[34]Gen_Cost!$BN$242/10</f>
        <v>5.9976064755694374</v>
      </c>
      <c r="H473" s="66">
        <f>'[34]TGNPDCL MoD'!I107*[34]Gen_Cost!$BN$242/10</f>
        <v>4.6974056677538147</v>
      </c>
      <c r="I473" s="66">
        <f>'[34]TGNPDCL MoD'!J107*[34]Gen_Cost!$BN$242/10</f>
        <v>5.777477737933034</v>
      </c>
      <c r="J473" s="66">
        <f>'[34]TGNPDCL MoD'!K107*[34]Gen_Cost!$BN$242/10</f>
        <v>5.0926603728162814</v>
      </c>
      <c r="K473" s="66">
        <f>'[34]TGNPDCL MoD'!L107*[34]Gen_Cost!$BN$242/10</f>
        <v>6.2434852256931777</v>
      </c>
      <c r="L473" s="66">
        <f>'[34]TGNPDCL MoD'!M107*[34]Gen_Cost!$BN$242/10</f>
        <v>4.8141724549421117</v>
      </c>
      <c r="M473" s="66">
        <f>'[34]TGNPDCL MoD'!N107*[34]Gen_Cost!$BN$242/10</f>
        <v>5.277393362653144</v>
      </c>
      <c r="N473" s="66">
        <f>'[34]TGNPDCL MoD'!O107*[34]Gen_Cost!$BN$242/10</f>
        <v>5.6264743122910428</v>
      </c>
      <c r="O473" s="66">
        <f>'[34]TGNPDCL MoD'!P107*[34]Gen_Cost!$BN$242/10</f>
        <v>5.9814736816842657</v>
      </c>
      <c r="P473" s="66">
        <f>'[34]TGNPDCL MoD'!Q107*[34]Gen_Cost!$BN$242/10</f>
        <v>6.1926561414731882</v>
      </c>
      <c r="Q473" s="66">
        <f t="shared" si="179"/>
        <v>68.319197180778389</v>
      </c>
    </row>
    <row r="474" spans="3:17" x14ac:dyDescent="0.25">
      <c r="C474" s="17"/>
      <c r="D474" s="17" t="s">
        <v>412</v>
      </c>
      <c r="E474" s="66">
        <f>'[34]TGNPDCL MoD'!F108*[34]Gen_Cost!$BN$243/10</f>
        <v>14.196758651722586</v>
      </c>
      <c r="F474" s="66">
        <f>'[34]TGNPDCL MoD'!G108*[34]Gen_Cost!$BN$243/10</f>
        <v>14.639120327311065</v>
      </c>
      <c r="G474" s="66">
        <f>'[34]TGNPDCL MoD'!H108*[34]Gen_Cost!$BN$243/10</f>
        <v>13.705887243612249</v>
      </c>
      <c r="H474" s="66">
        <f>'[34]TGNPDCL MoD'!I108*[34]Gen_Cost!$BN$243/10</f>
        <v>10.734634338213429</v>
      </c>
      <c r="I474" s="66">
        <f>'[34]TGNPDCL MoD'!J108*[34]Gen_Cost!$BN$243/10</f>
        <v>13.20284329276071</v>
      </c>
      <c r="J474" s="66">
        <f>'[34]TGNPDCL MoD'!K108*[34]Gen_Cost!$BN$243/10</f>
        <v>11.637880731947362</v>
      </c>
      <c r="K474" s="66">
        <f>'[34]TGNPDCL MoD'!L108*[34]Gen_Cost!$BN$243/10</f>
        <v>14.267775796741494</v>
      </c>
      <c r="L474" s="66">
        <f>'[34]TGNPDCL MoD'!M108*[34]Gen_Cost!$BN$243/10</f>
        <v>11.00147285546538</v>
      </c>
      <c r="M474" s="66">
        <f>'[34]TGNPDCL MoD'!N108*[34]Gen_Cost!$BN$243/10</f>
        <v>12.060037393807878</v>
      </c>
      <c r="N474" s="66">
        <f>'[34]TGNPDCL MoD'!O108*[34]Gen_Cost!$BN$243/10</f>
        <v>12.857766313522614</v>
      </c>
      <c r="O474" s="66">
        <f>'[34]TGNPDCL MoD'!P108*[34]Gen_Cost!$BN$243/10</f>
        <v>13.669020160915963</v>
      </c>
      <c r="P474" s="66">
        <f>'[34]TGNPDCL MoD'!Q108*[34]Gen_Cost!$BN$243/10</f>
        <v>14.151619843553666</v>
      </c>
      <c r="Q474" s="66">
        <f t="shared" si="179"/>
        <v>156.12481694957441</v>
      </c>
    </row>
    <row r="475" spans="3:17" x14ac:dyDescent="0.25">
      <c r="C475" s="17"/>
      <c r="D475" s="17" t="s">
        <v>413</v>
      </c>
      <c r="E475" s="291">
        <f>'[34]TGNPDCL MoD'!F109*[34]Gen_Cost!$BN$240/10</f>
        <v>12.302153542802937</v>
      </c>
      <c r="F475" s="291">
        <f>'[34]TGNPDCL MoD'!G109*[34]Gen_Cost!$BN$240/10</f>
        <v>12.685480567516484</v>
      </c>
      <c r="G475" s="291">
        <f>'[34]TGNPDCL MoD'!H109*[34]Gen_Cost!$BN$240/10</f>
        <v>11.876790572248215</v>
      </c>
      <c r="H475" s="291">
        <f>'[34]TGNPDCL MoD'!I109*[34]Gen_Cost!$BN$240/10</f>
        <v>9.302061343313941</v>
      </c>
      <c r="I475" s="291">
        <f>'[34]TGNPDCL MoD'!J109*[34]Gen_Cost!$BN$240/10</f>
        <v>11.440879525651459</v>
      </c>
      <c r="J475" s="291">
        <f>'[34]TGNPDCL MoD'!K109*[34]Gen_Cost!$BN$240/10</f>
        <v>10.084766473076053</v>
      </c>
      <c r="K475" s="291">
        <f>'[34]TGNPDCL MoD'!L109*[34]Gen_Cost!$BN$240/10</f>
        <v>12.363693211372858</v>
      </c>
      <c r="L475" s="291">
        <f>'[34]TGNPDCL MoD'!M109*[34]Gen_Cost!$BN$240/10</f>
        <v>9.5332893645051797</v>
      </c>
      <c r="M475" s="291">
        <f>'[34]TGNPDCL MoD'!N109*[34]Gen_Cost!$BN$240/10</f>
        <v>10.450584910983711</v>
      </c>
      <c r="N475" s="291">
        <f>'[34]TGNPDCL MoD'!O109*[34]Gen_Cost!$BN$240/10</f>
        <v>11.141854227918548</v>
      </c>
      <c r="O475" s="291">
        <f>'[34]TGNPDCL MoD'!P109*[34]Gen_Cost!$BN$240/10</f>
        <v>11.844843525522169</v>
      </c>
      <c r="P475" s="291">
        <f>'[34]TGNPDCL MoD'!Q109*[34]Gen_Cost!$BN$240/10</f>
        <v>12.263038660141623</v>
      </c>
      <c r="Q475" s="291">
        <f t="shared" si="179"/>
        <v>135.28943592505317</v>
      </c>
    </row>
    <row r="476" spans="3:17" x14ac:dyDescent="0.25">
      <c r="C476" s="17"/>
      <c r="D476" s="17" t="s">
        <v>414</v>
      </c>
      <c r="E476" s="66">
        <f>'[34]TGNPDCL MoD'!F110*[34]Gen_Cost!$BN$239/10</f>
        <v>29.277220898292239</v>
      </c>
      <c r="F476" s="66">
        <f>'[34]TGNPDCL MoD'!G110*[34]Gen_Cost!$BN$239/10</f>
        <v>30.189479873094996</v>
      </c>
      <c r="G476" s="66">
        <f>'[34]TGNPDCL MoD'!H110*[34]Gen_Cost!$BN$239/10</f>
        <v>28.264922880099316</v>
      </c>
      <c r="H476" s="66">
        <f>'[34]TGNPDCL MoD'!I110*[34]Gen_Cost!$BN$239/10</f>
        <v>22.137465916850964</v>
      </c>
      <c r="I476" s="66">
        <f>'[34]TGNPDCL MoD'!J110*[34]Gen_Cost!$BN$239/10</f>
        <v>27.227522073905909</v>
      </c>
      <c r="J476" s="66">
        <f>'[34]TGNPDCL MoD'!K110*[34]Gen_Cost!$BN$239/10</f>
        <v>24.000182952737564</v>
      </c>
      <c r="K476" s="66">
        <f>'[34]TGNPDCL MoD'!L110*[34]Gen_Cost!$BN$239/10</f>
        <v>29.423675782346521</v>
      </c>
      <c r="L476" s="66">
        <f>'[34]TGNPDCL MoD'!M110*[34]Gen_Cost!$BN$239/10</f>
        <v>22.687752810177148</v>
      </c>
      <c r="M476" s="66">
        <f>'[34]TGNPDCL MoD'!N110*[34]Gen_Cost!$BN$239/10</f>
        <v>24.870774201499565</v>
      </c>
      <c r="N476" s="66">
        <f>'[34]TGNPDCL MoD'!O110*[34]Gen_Cost!$BN$239/10</f>
        <v>26.515888158311849</v>
      </c>
      <c r="O476" s="66">
        <f>'[34]TGNPDCL MoD'!P110*[34]Gen_Cost!$BN$239/10</f>
        <v>28.188893854710205</v>
      </c>
      <c r="P476" s="66">
        <f>'[34]TGNPDCL MoD'!Q110*[34]Gen_Cost!$BN$239/10</f>
        <v>29.184133533051533</v>
      </c>
      <c r="Q476" s="66">
        <f t="shared" si="179"/>
        <v>321.96791293507783</v>
      </c>
    </row>
    <row r="477" spans="3:17" x14ac:dyDescent="0.25">
      <c r="C477" s="17"/>
      <c r="D477" s="17" t="s">
        <v>415</v>
      </c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>
        <f t="shared" si="179"/>
        <v>0</v>
      </c>
    </row>
    <row r="478" spans="3:17" x14ac:dyDescent="0.25">
      <c r="C478" s="17"/>
      <c r="D478" s="17" t="s">
        <v>416</v>
      </c>
      <c r="E478" s="66">
        <f>[34]Gen_Cost!$BN238*'[34]TGNPDCL MoD'!F112/10</f>
        <v>35.786238655727253</v>
      </c>
      <c r="F478" s="66">
        <f>[34]Gen_Cost!$BN238*'[34]TGNPDCL MoD'!G112/10</f>
        <v>36.901314348926839</v>
      </c>
      <c r="G478" s="66">
        <f>[34]Gen_Cost!$BN238*'[34]TGNPDCL MoD'!H112/10</f>
        <v>34.548882876788383</v>
      </c>
      <c r="H478" s="66">
        <f>[34]Gen_Cost!$BN238*'[34]TGNPDCL MoD'!I112/10</f>
        <v>27.059147495098038</v>
      </c>
      <c r="I478" s="66">
        <f>[34]Gen_Cost!$BN238*'[34]TGNPDCL MoD'!J112/10</f>
        <v>33.280843367128277</v>
      </c>
      <c r="J478" s="66">
        <f>[34]Gen_Cost!$BN238*'[34]TGNPDCL MoD'!K112/10</f>
        <v>29.335990526952038</v>
      </c>
      <c r="K478" s="66">
        <f>[34]Gen_Cost!$BN238*'[34]TGNPDCL MoD'!L112/10</f>
        <v>35.965253919890152</v>
      </c>
      <c r="L478" s="66">
        <f>[34]Gen_Cost!$BN238*'[34]TGNPDCL MoD'!M112/10</f>
        <v>27.731776163034151</v>
      </c>
      <c r="M478" s="66">
        <f>[34]Gen_Cost!$BN238*'[34]TGNPDCL MoD'!N112/10</f>
        <v>30.400134774386459</v>
      </c>
      <c r="N478" s="66">
        <f>[34]Gen_Cost!$BN238*'[34]TGNPDCL MoD'!O112/10</f>
        <v>32.410996422726392</v>
      </c>
      <c r="O478" s="66">
        <f>[34]Gen_Cost!$BN238*'[34]TGNPDCL MoD'!P112/10</f>
        <v>34.455950803187925</v>
      </c>
      <c r="P478" s="66">
        <f>[34]Gen_Cost!$BN238*'[34]TGNPDCL MoD'!Q112/10</f>
        <v>35.672455770394343</v>
      </c>
      <c r="Q478" s="66">
        <f t="shared" si="179"/>
        <v>393.54898512424023</v>
      </c>
    </row>
    <row r="479" spans="3:17" x14ac:dyDescent="0.25">
      <c r="C479" s="17"/>
      <c r="D479" s="17" t="s">
        <v>417</v>
      </c>
      <c r="E479" s="66">
        <f>'[34]TGNPDCL MoD'!F113*[34]Gen_Cost!$BN241/10</f>
        <v>18.313771960512376</v>
      </c>
      <c r="F479" s="66">
        <f>'[34]TGNPDCL MoD'!G113*[34]Gen_Cost!$BN241/10</f>
        <v>18.884417066873652</v>
      </c>
      <c r="G479" s="66">
        <f>'[34]TGNPDCL MoD'!H113*[34]Gen_Cost!$BN241/10</f>
        <v>17.680549458770578</v>
      </c>
      <c r="H479" s="66">
        <f>'[34]TGNPDCL MoD'!I113*[34]Gen_Cost!$BN241/10</f>
        <v>13.847642984736709</v>
      </c>
      <c r="I479" s="66">
        <f>'[34]TGNPDCL MoD'!J113*[34]Gen_Cost!$BN241/10</f>
        <v>17.031624416934182</v>
      </c>
      <c r="J479" s="66">
        <f>'[34]TGNPDCL MoD'!K113*[34]Gen_Cost!$BN241/10</f>
        <v>15.01282786142624</v>
      </c>
      <c r="K479" s="66">
        <f>'[34]TGNPDCL MoD'!L113*[34]Gen_Cost!$BN241/10</f>
        <v>18.405383843976008</v>
      </c>
      <c r="L479" s="66">
        <f>'[34]TGNPDCL MoD'!M113*[34]Gen_Cost!$BN241/10</f>
        <v>14.191863794226947</v>
      </c>
      <c r="M479" s="66">
        <f>'[34]TGNPDCL MoD'!N113*[34]Gen_Cost!$BN241/10</f>
        <v>15.55740856654279</v>
      </c>
      <c r="N479" s="66">
        <f>'[34]TGNPDCL MoD'!O113*[34]Gen_Cost!$BN241/10</f>
        <v>16.586476248847088</v>
      </c>
      <c r="O479" s="66">
        <f>'[34]TGNPDCL MoD'!P113*[34]Gen_Cost!$BN241/10</f>
        <v>17.632991043366566</v>
      </c>
      <c r="P479" s="66">
        <f>'[34]TGNPDCL MoD'!Q113*[34]Gen_Cost!$BN241/10</f>
        <v>18.255543046458492</v>
      </c>
      <c r="Q479" s="66">
        <f t="shared" si="179"/>
        <v>201.40050029267161</v>
      </c>
    </row>
    <row r="480" spans="3:17" x14ac:dyDescent="0.25">
      <c r="C480" s="17"/>
      <c r="D480" s="337" t="s">
        <v>418</v>
      </c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>
        <f t="shared" si="179"/>
        <v>0</v>
      </c>
    </row>
    <row r="481" spans="3:18" x14ac:dyDescent="0.25">
      <c r="C481" s="17"/>
      <c r="D481" s="337" t="s">
        <v>419</v>
      </c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>
        <f t="shared" si="179"/>
        <v>0</v>
      </c>
    </row>
    <row r="482" spans="3:18" x14ac:dyDescent="0.25"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>
        <f t="shared" si="179"/>
        <v>0</v>
      </c>
    </row>
    <row r="483" spans="3:18" x14ac:dyDescent="0.25"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>
        <f t="shared" si="179"/>
        <v>0</v>
      </c>
    </row>
    <row r="484" spans="3:18" x14ac:dyDescent="0.25"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>
        <f t="shared" si="179"/>
        <v>0</v>
      </c>
    </row>
    <row r="485" spans="3:18" x14ac:dyDescent="0.25"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>
        <f t="shared" si="179"/>
        <v>0</v>
      </c>
    </row>
    <row r="486" spans="3:18" x14ac:dyDescent="0.25"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>
        <f t="shared" si="179"/>
        <v>0</v>
      </c>
    </row>
    <row r="487" spans="3:18" x14ac:dyDescent="0.25"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>
        <f t="shared" si="179"/>
        <v>0</v>
      </c>
    </row>
    <row r="488" spans="3:18" x14ac:dyDescent="0.25"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>
        <f t="shared" si="179"/>
        <v>0</v>
      </c>
    </row>
    <row r="489" spans="3:18" x14ac:dyDescent="0.25"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>
        <f t="shared" si="179"/>
        <v>0</v>
      </c>
    </row>
    <row r="490" spans="3:18" x14ac:dyDescent="0.25">
      <c r="C490" s="841" t="s">
        <v>420</v>
      </c>
      <c r="D490" s="842"/>
      <c r="E490" s="17">
        <f t="shared" ref="E490:P490" si="180">SUM(E466:E489)</f>
        <v>248.67091940296532</v>
      </c>
      <c r="F490" s="17">
        <f t="shared" si="180"/>
        <v>255.72156827246721</v>
      </c>
      <c r="G490" s="17">
        <f t="shared" si="180"/>
        <v>239.29406698535817</v>
      </c>
      <c r="H490" s="17">
        <f t="shared" si="180"/>
        <v>188.23246451164937</v>
      </c>
      <c r="I490" s="17">
        <f t="shared" si="180"/>
        <v>231.06771426259212</v>
      </c>
      <c r="J490" s="17">
        <f t="shared" si="180"/>
        <v>203.37396291400361</v>
      </c>
      <c r="K490" s="17">
        <f t="shared" si="180"/>
        <v>249.53311140248442</v>
      </c>
      <c r="L490" s="17">
        <f t="shared" si="180"/>
        <v>192.70994848429552</v>
      </c>
      <c r="M490" s="17">
        <f t="shared" si="180"/>
        <v>212.13400251306996</v>
      </c>
      <c r="N490" s="17">
        <f t="shared" si="180"/>
        <v>226.03424560289642</v>
      </c>
      <c r="O490" s="17">
        <f t="shared" si="180"/>
        <v>240.36436117383545</v>
      </c>
      <c r="P490" s="17">
        <f t="shared" si="180"/>
        <v>248.65597655185195</v>
      </c>
      <c r="Q490" s="86">
        <f t="shared" si="179"/>
        <v>2735.7923420774691</v>
      </c>
      <c r="R490" s="427"/>
    </row>
    <row r="491" spans="3:18" x14ac:dyDescent="0.25">
      <c r="C491" s="800" t="s">
        <v>421</v>
      </c>
      <c r="D491" s="801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</row>
    <row r="492" spans="3:18" x14ac:dyDescent="0.25">
      <c r="C492" s="17"/>
      <c r="D492" s="322" t="s">
        <v>453</v>
      </c>
      <c r="E492" s="66">
        <f>-'[34]ST,D-D'!D28</f>
        <v>0</v>
      </c>
      <c r="F492" s="66">
        <f>-'[34]ST,D-D'!E28</f>
        <v>0</v>
      </c>
      <c r="G492" s="66">
        <f>-'[34]ST,D-D'!F28</f>
        <v>0</v>
      </c>
      <c r="H492" s="66">
        <f>-'[34]ST,D-D'!G28</f>
        <v>0</v>
      </c>
      <c r="I492" s="66">
        <f>-'[34]ST,D-D'!H28</f>
        <v>0</v>
      </c>
      <c r="J492" s="66">
        <f>-'[34]ST,D-D'!I28</f>
        <v>0</v>
      </c>
      <c r="K492" s="66">
        <f>-'[34]ST,D-D'!J28</f>
        <v>0</v>
      </c>
      <c r="L492" s="66">
        <f>-'[34]ST,D-D'!K28</f>
        <v>0</v>
      </c>
      <c r="M492" s="66">
        <f>-'[34]ST,D-D'!L28</f>
        <v>0</v>
      </c>
      <c r="N492" s="66">
        <f>-'[34]ST,D-D'!M28</f>
        <v>0</v>
      </c>
      <c r="O492" s="66">
        <f>-'[34]ST,D-D'!N28</f>
        <v>0</v>
      </c>
      <c r="P492" s="66">
        <f>-'[34]ST,D-D'!O28</f>
        <v>0</v>
      </c>
      <c r="Q492" s="66">
        <f>SUM(E492:P492)</f>
        <v>0</v>
      </c>
    </row>
    <row r="493" spans="3:18" x14ac:dyDescent="0.25">
      <c r="C493" s="17"/>
      <c r="D493" s="322" t="s">
        <v>422</v>
      </c>
      <c r="E493" s="66">
        <f>-'[34]ST,D-D'!D30</f>
        <v>0</v>
      </c>
      <c r="F493" s="66">
        <f>-'[34]ST,D-D'!E30</f>
        <v>0</v>
      </c>
      <c r="G493" s="66">
        <f>-'[34]ST,D-D'!F30</f>
        <v>0</v>
      </c>
      <c r="H493" s="66">
        <f>-'[34]ST,D-D'!G30</f>
        <v>0</v>
      </c>
      <c r="I493" s="66">
        <f>-'[34]ST,D-D'!H30</f>
        <v>0</v>
      </c>
      <c r="J493" s="66">
        <f>-'[34]ST,D-D'!I30</f>
        <v>0</v>
      </c>
      <c r="K493" s="66">
        <f>-'[34]ST,D-D'!J30</f>
        <v>0</v>
      </c>
      <c r="L493" s="66">
        <f>-'[34]ST,D-D'!K30</f>
        <v>0</v>
      </c>
      <c r="M493" s="66">
        <f>-'[34]ST,D-D'!L30</f>
        <v>0</v>
      </c>
      <c r="N493" s="66">
        <f>-'[34]ST,D-D'!M30</f>
        <v>0</v>
      </c>
      <c r="O493" s="66">
        <f>-'[34]ST,D-D'!N30</f>
        <v>0</v>
      </c>
      <c r="P493" s="66">
        <f>-'[34]ST,D-D'!O30</f>
        <v>0</v>
      </c>
      <c r="Q493" s="17">
        <f>'[34]PP summary'!$J$62</f>
        <v>-172.59028516886247</v>
      </c>
      <c r="R493" s="427"/>
    </row>
    <row r="494" spans="3:18" x14ac:dyDescent="0.25"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>
        <f>SUM(E494:P494)</f>
        <v>0</v>
      </c>
    </row>
    <row r="495" spans="3:18" x14ac:dyDescent="0.25"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>
        <v>0</v>
      </c>
    </row>
    <row r="496" spans="3:18" x14ac:dyDescent="0.25">
      <c r="C496" s="17"/>
      <c r="D496" s="337" t="s">
        <v>665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</row>
    <row r="497" spans="3:17" x14ac:dyDescent="0.25">
      <c r="C497" s="17"/>
      <c r="D497" s="325" t="s">
        <v>666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</row>
    <row r="498" spans="3:17" x14ac:dyDescent="0.25">
      <c r="C498" s="17"/>
      <c r="D498" s="325" t="s">
        <v>629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</row>
    <row r="499" spans="3:17" x14ac:dyDescent="0.25">
      <c r="C499" s="17"/>
      <c r="D499" s="325" t="s">
        <v>630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</row>
    <row r="500" spans="3:17" x14ac:dyDescent="0.25">
      <c r="C500" s="17"/>
      <c r="D500" s="326" t="s">
        <v>631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</row>
    <row r="501" spans="3:17" x14ac:dyDescent="0.25">
      <c r="C501" s="17"/>
      <c r="D501" s="325" t="s">
        <v>632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</row>
    <row r="502" spans="3:17" x14ac:dyDescent="0.25">
      <c r="C502" s="17"/>
      <c r="D502" s="325" t="s">
        <v>633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</row>
    <row r="503" spans="3:17" x14ac:dyDescent="0.25">
      <c r="C503" s="17"/>
      <c r="D503" s="325" t="s">
        <v>634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</row>
    <row r="504" spans="3:17" x14ac:dyDescent="0.25">
      <c r="C504" s="17"/>
      <c r="D504" s="325" t="s">
        <v>635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</row>
    <row r="505" spans="3:17" x14ac:dyDescent="0.25">
      <c r="C505" s="17"/>
      <c r="D505" s="325" t="s">
        <v>636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</row>
    <row r="506" spans="3:17" x14ac:dyDescent="0.25">
      <c r="C506" s="17"/>
      <c r="D506" s="325" t="s">
        <v>637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</row>
    <row r="507" spans="3:17" x14ac:dyDescent="0.25">
      <c r="C507" s="17"/>
      <c r="D507" s="325" t="s">
        <v>638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</row>
    <row r="508" spans="3:17" x14ac:dyDescent="0.25">
      <c r="C508" s="17"/>
      <c r="D508" s="325" t="s">
        <v>639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</row>
    <row r="509" spans="3:17" x14ac:dyDescent="0.25"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>
        <v>0</v>
      </c>
    </row>
    <row r="510" spans="3:17" x14ac:dyDescent="0.25"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>
        <v>0</v>
      </c>
    </row>
    <row r="511" spans="3:17" x14ac:dyDescent="0.25"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>
        <v>0</v>
      </c>
    </row>
    <row r="512" spans="3:17" x14ac:dyDescent="0.25"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>
        <f t="shared" ref="Q512:Q519" si="181">SUM(E512:P512)</f>
        <v>0</v>
      </c>
    </row>
    <row r="513" spans="3:18" x14ac:dyDescent="0.25"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f t="shared" si="181"/>
        <v>0</v>
      </c>
    </row>
    <row r="514" spans="3:18" x14ac:dyDescent="0.25"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>
        <f t="shared" si="181"/>
        <v>0</v>
      </c>
    </row>
    <row r="515" spans="3:18" x14ac:dyDescent="0.25"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>
        <f t="shared" si="181"/>
        <v>0</v>
      </c>
    </row>
    <row r="516" spans="3:18" x14ac:dyDescent="0.25"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>
        <f t="shared" si="181"/>
        <v>0</v>
      </c>
    </row>
    <row r="517" spans="3:18" x14ac:dyDescent="0.25"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>
        <f t="shared" si="181"/>
        <v>0</v>
      </c>
    </row>
    <row r="518" spans="3:18" x14ac:dyDescent="0.25"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>
        <f t="shared" si="181"/>
        <v>0</v>
      </c>
    </row>
    <row r="519" spans="3:18" x14ac:dyDescent="0.25"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>
        <f t="shared" si="181"/>
        <v>0</v>
      </c>
    </row>
    <row r="520" spans="3:18" x14ac:dyDescent="0.25">
      <c r="C520" s="753" t="s">
        <v>423</v>
      </c>
      <c r="D520" s="754"/>
      <c r="E520" s="17">
        <f t="shared" ref="E520:P520" si="182">SUM(E492:E519)</f>
        <v>0</v>
      </c>
      <c r="F520" s="17">
        <f t="shared" si="182"/>
        <v>0</v>
      </c>
      <c r="G520" s="17">
        <f t="shared" si="182"/>
        <v>0</v>
      </c>
      <c r="H520" s="17">
        <f t="shared" si="182"/>
        <v>0</v>
      </c>
      <c r="I520" s="17">
        <f t="shared" si="182"/>
        <v>0</v>
      </c>
      <c r="J520" s="17">
        <f t="shared" si="182"/>
        <v>0</v>
      </c>
      <c r="K520" s="17">
        <f t="shared" si="182"/>
        <v>0</v>
      </c>
      <c r="L520" s="17">
        <f t="shared" si="182"/>
        <v>0</v>
      </c>
      <c r="M520" s="17">
        <f t="shared" si="182"/>
        <v>0</v>
      </c>
      <c r="N520" s="17">
        <f t="shared" si="182"/>
        <v>0</v>
      </c>
      <c r="O520" s="17">
        <f t="shared" si="182"/>
        <v>0</v>
      </c>
      <c r="P520" s="17">
        <f t="shared" si="182"/>
        <v>0</v>
      </c>
      <c r="Q520" s="86">
        <f>SUM(Q492:Q519)</f>
        <v>-172.59028516886247</v>
      </c>
      <c r="R520" s="427"/>
    </row>
    <row r="521" spans="3:18" x14ac:dyDescent="0.25">
      <c r="C521" s="800" t="s">
        <v>424</v>
      </c>
      <c r="D521" s="801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3:18" x14ac:dyDescent="0.25">
      <c r="C522" s="17" t="s">
        <v>425</v>
      </c>
      <c r="D522" s="17" t="s">
        <v>426</v>
      </c>
      <c r="E522" s="66">
        <f>IF('[34]ST,D-D'!D19&gt;0,'[34]ST,D-D'!D19,0)</f>
        <v>0</v>
      </c>
      <c r="F522" s="66">
        <f>IF('[34]ST,D-D'!E19&gt;0,'[34]ST,D-D'!E19,0)</f>
        <v>0</v>
      </c>
      <c r="G522" s="66">
        <f>IF('[34]ST,D-D'!F19&gt;0,'[34]ST,D-D'!F19,0)</f>
        <v>0</v>
      </c>
      <c r="H522" s="66">
        <f>IF('[34]ST,D-D'!G19&gt;0,'[34]ST,D-D'!G19,0)</f>
        <v>0</v>
      </c>
      <c r="I522" s="66">
        <f>IF('[34]ST,D-D'!H19&gt;0,'[34]ST,D-D'!H19,0)</f>
        <v>0</v>
      </c>
      <c r="J522" s="66">
        <f>IF('[34]ST,D-D'!I19&gt;0,'[34]ST,D-D'!I19,0)</f>
        <v>0</v>
      </c>
      <c r="K522" s="66">
        <f>IF('[34]ST,D-D'!J19&gt;0,'[34]ST,D-D'!J19,0)</f>
        <v>0</v>
      </c>
      <c r="L522" s="66">
        <f>IF('[34]ST,D-D'!K19&gt;0,'[34]ST,D-D'!K19,0)</f>
        <v>0</v>
      </c>
      <c r="M522" s="66">
        <f>IF('[34]ST,D-D'!L19&gt;0,'[34]ST,D-D'!L19,0)</f>
        <v>0</v>
      </c>
      <c r="N522" s="66">
        <f>IF('[34]ST,D-D'!M19&gt;0,'[34]ST,D-D'!M19,0)</f>
        <v>0</v>
      </c>
      <c r="O522" s="66">
        <f>IF('[34]ST,D-D'!N19&gt;0,'[34]ST,D-D'!N19,0)</f>
        <v>0</v>
      </c>
      <c r="P522" s="66">
        <f>IF('[34]ST,D-D'!O19&gt;0,'[34]ST,D-D'!O19,0)</f>
        <v>0</v>
      </c>
      <c r="Q522" s="66">
        <f>SUM(E522:P522)</f>
        <v>0</v>
      </c>
    </row>
    <row r="523" spans="3:18" x14ac:dyDescent="0.25">
      <c r="C523" s="17" t="s">
        <v>425</v>
      </c>
      <c r="D523" s="17" t="s">
        <v>427</v>
      </c>
      <c r="E523" s="66">
        <f>'[34]ST,D-D'!D32</f>
        <v>-134.44350653326481</v>
      </c>
      <c r="F523" s="66">
        <f>'[34]ST,D-D'!E32</f>
        <v>-254.74040435320867</v>
      </c>
      <c r="G523" s="66">
        <f>'[34]ST,D-D'!F32</f>
        <v>-257.53611709719604</v>
      </c>
      <c r="H523" s="66">
        <f>'[34]ST,D-D'!G32</f>
        <v>-176.90439647900354</v>
      </c>
      <c r="I523" s="66">
        <f>'[34]ST,D-D'!H32</f>
        <v>-190.28188179981439</v>
      </c>
      <c r="J523" s="66">
        <f>'[34]ST,D-D'!I32</f>
        <v>-203.9847149502919</v>
      </c>
      <c r="K523" s="66">
        <f>'[34]ST,D-D'!J32</f>
        <v>-164.38242446250155</v>
      </c>
      <c r="L523" s="66">
        <f>'[34]ST,D-D'!K32</f>
        <v>-209.25422366067224</v>
      </c>
      <c r="M523" s="66">
        <f>'[34]ST,D-D'!L32</f>
        <v>-141.54225584429201</v>
      </c>
      <c r="N523" s="66">
        <f>'[34]ST,D-D'!M32</f>
        <v>-141.58143598572232</v>
      </c>
      <c r="O523" s="66">
        <f>'[34]ST,D-D'!N32</f>
        <v>-25.920669464104641</v>
      </c>
      <c r="P523" s="66">
        <f>'[34]ST,D-D'!O32</f>
        <v>-4.5501332901340259</v>
      </c>
      <c r="Q523" s="66">
        <f>SUM(E523:P523)</f>
        <v>-1905.122163920206</v>
      </c>
      <c r="R523" s="427"/>
    </row>
    <row r="524" spans="3:18" x14ac:dyDescent="0.25">
      <c r="C524" s="753" t="s">
        <v>428</v>
      </c>
      <c r="D524" s="754"/>
      <c r="E524" s="66">
        <f t="shared" ref="E524:Q524" si="183">E522+E523</f>
        <v>-134.44350653326481</v>
      </c>
      <c r="F524" s="66">
        <f t="shared" si="183"/>
        <v>-254.74040435320867</v>
      </c>
      <c r="G524" s="66">
        <f t="shared" si="183"/>
        <v>-257.53611709719604</v>
      </c>
      <c r="H524" s="66">
        <f t="shared" si="183"/>
        <v>-176.90439647900354</v>
      </c>
      <c r="I524" s="66">
        <f t="shared" si="183"/>
        <v>-190.28188179981439</v>
      </c>
      <c r="J524" s="66">
        <f t="shared" si="183"/>
        <v>-203.9847149502919</v>
      </c>
      <c r="K524" s="66">
        <f t="shared" si="183"/>
        <v>-164.38242446250155</v>
      </c>
      <c r="L524" s="66">
        <f t="shared" si="183"/>
        <v>-209.25422366067224</v>
      </c>
      <c r="M524" s="66">
        <f t="shared" si="183"/>
        <v>-141.54225584429201</v>
      </c>
      <c r="N524" s="66">
        <f t="shared" si="183"/>
        <v>-141.58143598572232</v>
      </c>
      <c r="O524" s="66">
        <f t="shared" si="183"/>
        <v>-25.920669464104641</v>
      </c>
      <c r="P524" s="66">
        <f t="shared" si="183"/>
        <v>-4.5501332901340259</v>
      </c>
      <c r="Q524" s="66">
        <f t="shared" si="183"/>
        <v>-1905.122163920206</v>
      </c>
      <c r="R524" s="427"/>
    </row>
    <row r="525" spans="3:18" x14ac:dyDescent="0.25">
      <c r="C525" s="753" t="s">
        <v>220</v>
      </c>
      <c r="D525" s="754"/>
      <c r="E525" s="329">
        <f t="shared" ref="E525:Q525" si="184">E398+E445+E454+E464+E490+E520+E524</f>
        <v>880.04056466217548</v>
      </c>
      <c r="F525" s="329">
        <f t="shared" si="184"/>
        <v>549.11435223058209</v>
      </c>
      <c r="G525" s="329">
        <f t="shared" si="184"/>
        <v>558.90374192976356</v>
      </c>
      <c r="H525" s="329">
        <f t="shared" si="184"/>
        <v>641.98364968737883</v>
      </c>
      <c r="I525" s="329">
        <f t="shared" si="184"/>
        <v>670.82922409473792</v>
      </c>
      <c r="J525" s="329">
        <f t="shared" si="184"/>
        <v>688.80027787659969</v>
      </c>
      <c r="K525" s="329">
        <f t="shared" si="184"/>
        <v>708.40212302264467</v>
      </c>
      <c r="L525" s="329">
        <f t="shared" si="184"/>
        <v>633.65424223491755</v>
      </c>
      <c r="M525" s="329">
        <f t="shared" si="184"/>
        <v>755.96394710032155</v>
      </c>
      <c r="N525" s="329">
        <f t="shared" si="184"/>
        <v>812.78263869865089</v>
      </c>
      <c r="O525" s="329">
        <f t="shared" si="184"/>
        <v>947.18461676551044</v>
      </c>
      <c r="P525" s="329">
        <f t="shared" si="184"/>
        <v>1105.0632948299408</v>
      </c>
      <c r="Q525" s="323">
        <f t="shared" si="184"/>
        <v>8780.1323879643605</v>
      </c>
    </row>
    <row r="526" spans="3:18" x14ac:dyDescent="0.25">
      <c r="D526" s="24"/>
      <c r="E526" s="24"/>
    </row>
    <row r="527" spans="3:18" x14ac:dyDescent="0.25">
      <c r="E527" s="24"/>
    </row>
    <row r="528" spans="3:18" x14ac:dyDescent="0.25">
      <c r="E528" s="24"/>
    </row>
  </sheetData>
  <mergeCells count="91">
    <mergeCell ref="C346:D346"/>
    <mergeCell ref="C349:D349"/>
    <mergeCell ref="C229:C237"/>
    <mergeCell ref="C255:D255"/>
    <mergeCell ref="C256:D256"/>
    <mergeCell ref="C273:D273"/>
    <mergeCell ref="C281:D281"/>
    <mergeCell ref="C282:D282"/>
    <mergeCell ref="C291:D291"/>
    <mergeCell ref="C292:D292"/>
    <mergeCell ref="C345:D345"/>
    <mergeCell ref="C272:D272"/>
    <mergeCell ref="C2:Q2"/>
    <mergeCell ref="C429:D429"/>
    <mergeCell ref="C455:D455"/>
    <mergeCell ref="C350:D350"/>
    <mergeCell ref="C354:C356"/>
    <mergeCell ref="D354:D356"/>
    <mergeCell ref="C378:D378"/>
    <mergeCell ref="C379:C396"/>
    <mergeCell ref="C317:D317"/>
    <mergeCell ref="C318:D318"/>
    <mergeCell ref="C271:D271"/>
    <mergeCell ref="E182:Q182"/>
    <mergeCell ref="C185:D185"/>
    <mergeCell ref="C206:D206"/>
    <mergeCell ref="C187:C204"/>
    <mergeCell ref="C205:D205"/>
    <mergeCell ref="D182:D184"/>
    <mergeCell ref="C257:C260"/>
    <mergeCell ref="C174:D174"/>
    <mergeCell ref="C177:D177"/>
    <mergeCell ref="C178:D178"/>
    <mergeCell ref="C207:C224"/>
    <mergeCell ref="C225:D225"/>
    <mergeCell ref="C226:D226"/>
    <mergeCell ref="C227:D227"/>
    <mergeCell ref="C142:D142"/>
    <mergeCell ref="C141:D141"/>
    <mergeCell ref="C228:D228"/>
    <mergeCell ref="C97:D97"/>
    <mergeCell ref="C79:D79"/>
    <mergeCell ref="C80:D80"/>
    <mergeCell ref="C81:C84"/>
    <mergeCell ref="C116:D116"/>
    <mergeCell ref="C173:D173"/>
    <mergeCell ref="C105:D105"/>
    <mergeCell ref="C106:D106"/>
    <mergeCell ref="C115:D115"/>
    <mergeCell ref="C95:D95"/>
    <mergeCell ref="C96:D96"/>
    <mergeCell ref="C186:D186"/>
    <mergeCell ref="C182:C184"/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49:D49"/>
    <mergeCell ref="C31:C48"/>
    <mergeCell ref="C50:D50"/>
    <mergeCell ref="C51:D51"/>
    <mergeCell ref="C52:D52"/>
    <mergeCell ref="C430:C433"/>
    <mergeCell ref="C444:D444"/>
    <mergeCell ref="C445:D445"/>
    <mergeCell ref="C446:D446"/>
    <mergeCell ref="E354:Q354"/>
    <mergeCell ref="C357:D357"/>
    <mergeCell ref="C358:D358"/>
    <mergeCell ref="C359:C376"/>
    <mergeCell ref="C377:D377"/>
    <mergeCell ref="C397:D397"/>
    <mergeCell ref="C398:D398"/>
    <mergeCell ref="C399:D399"/>
    <mergeCell ref="C400:D400"/>
    <mergeCell ref="C401:C410"/>
    <mergeCell ref="C428:D428"/>
    <mergeCell ref="C520:D520"/>
    <mergeCell ref="C521:D521"/>
    <mergeCell ref="C524:D524"/>
    <mergeCell ref="C525:D525"/>
    <mergeCell ref="C454:D454"/>
    <mergeCell ref="C464:D464"/>
    <mergeCell ref="C465:D465"/>
    <mergeCell ref="C490:D490"/>
    <mergeCell ref="C491:D49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Z528"/>
  <sheetViews>
    <sheetView showGridLines="0" topLeftCell="A177" zoomScale="54" workbookViewId="0">
      <selection activeCell="E225" sqref="E225:P225"/>
    </sheetView>
  </sheetViews>
  <sheetFormatPr defaultColWidth="9.109375" defaultRowHeight="13.8" x14ac:dyDescent="0.25"/>
  <cols>
    <col min="1" max="1" width="3.109375" style="4" customWidth="1"/>
    <col min="2" max="2" width="8.109375" style="4" customWidth="1"/>
    <col min="3" max="3" width="22.109375" style="4" customWidth="1"/>
    <col min="4" max="4" width="40.33203125" style="4" bestFit="1" customWidth="1"/>
    <col min="5" max="5" width="15.109375" style="4" bestFit="1" customWidth="1"/>
    <col min="6" max="6" width="14.33203125" style="4" bestFit="1" customWidth="1"/>
    <col min="7" max="8" width="15.109375" style="4" bestFit="1" customWidth="1"/>
    <col min="9" max="9" width="14.6640625" style="4" bestFit="1" customWidth="1"/>
    <col min="10" max="10" width="14.88671875" style="4" customWidth="1"/>
    <col min="11" max="11" width="12.5546875" style="4" customWidth="1"/>
    <col min="12" max="12" width="15.109375" style="4" bestFit="1" customWidth="1"/>
    <col min="13" max="13" width="14.6640625" style="4" bestFit="1" customWidth="1"/>
    <col min="14" max="14" width="14.33203125" style="4" bestFit="1" customWidth="1"/>
    <col min="15" max="16" width="15.109375" style="4" bestFit="1" customWidth="1"/>
    <col min="17" max="17" width="16.33203125" style="4" bestFit="1" customWidth="1"/>
    <col min="18" max="18" width="12.44140625" style="4" customWidth="1"/>
    <col min="19" max="19" width="12.88671875" style="4" customWidth="1"/>
    <col min="20" max="16384" width="9.109375" style="4"/>
  </cols>
  <sheetData>
    <row r="2" spans="2:17" x14ac:dyDescent="0.25">
      <c r="C2" s="825" t="s">
        <v>160</v>
      </c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</row>
    <row r="3" spans="2:17" x14ac:dyDescent="0.25">
      <c r="J3" s="25" t="s">
        <v>671</v>
      </c>
    </row>
    <row r="4" spans="2:17" x14ac:dyDescent="0.25">
      <c r="C4" s="22" t="s">
        <v>648</v>
      </c>
      <c r="J4" s="25"/>
    </row>
    <row r="5" spans="2:17" x14ac:dyDescent="0.25">
      <c r="C5" s="14"/>
      <c r="Q5" s="25" t="s">
        <v>3</v>
      </c>
    </row>
    <row r="6" spans="2:17" ht="15" customHeight="1" x14ac:dyDescent="0.25">
      <c r="C6" s="827" t="s">
        <v>346</v>
      </c>
      <c r="D6" s="762" t="s">
        <v>347</v>
      </c>
      <c r="E6" s="768" t="s">
        <v>256</v>
      </c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</row>
    <row r="7" spans="2:17" x14ac:dyDescent="0.25">
      <c r="C7" s="828"/>
      <c r="D7" s="764"/>
      <c r="E7" s="13" t="s">
        <v>239</v>
      </c>
      <c r="F7" s="13" t="s">
        <v>240</v>
      </c>
      <c r="G7" s="13" t="s">
        <v>241</v>
      </c>
      <c r="H7" s="13" t="s">
        <v>242</v>
      </c>
      <c r="I7" s="13" t="s">
        <v>243</v>
      </c>
      <c r="J7" s="13" t="s">
        <v>244</v>
      </c>
      <c r="K7" s="13" t="s">
        <v>245</v>
      </c>
      <c r="L7" s="13" t="s">
        <v>246</v>
      </c>
      <c r="M7" s="13" t="s">
        <v>247</v>
      </c>
      <c r="N7" s="13" t="s">
        <v>248</v>
      </c>
      <c r="O7" s="13" t="s">
        <v>249</v>
      </c>
      <c r="P7" s="13" t="s">
        <v>250</v>
      </c>
      <c r="Q7" s="13" t="s">
        <v>251</v>
      </c>
    </row>
    <row r="8" spans="2:17" ht="14.25" customHeight="1" x14ac:dyDescent="0.25">
      <c r="C8" s="829"/>
      <c r="D8" s="7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</row>
    <row r="9" spans="2:17" x14ac:dyDescent="0.25">
      <c r="B9" s="60"/>
      <c r="C9" s="800" t="s">
        <v>348</v>
      </c>
      <c r="D9" s="801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2:17" x14ac:dyDescent="0.25">
      <c r="C10" s="753" t="s">
        <v>349</v>
      </c>
      <c r="D10" s="75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</row>
    <row r="11" spans="2:17" ht="14.25" customHeight="1" x14ac:dyDescent="0.25">
      <c r="B11" s="60"/>
      <c r="C11" s="802" t="s">
        <v>350</v>
      </c>
      <c r="D11" s="59" t="s">
        <v>351</v>
      </c>
      <c r="E11" s="66">
        <f t="shared" ref="E11:P11" si="0">E187+E359</f>
        <v>45.282553064135215</v>
      </c>
      <c r="F11" s="66">
        <f t="shared" si="0"/>
        <v>54.201166111821401</v>
      </c>
      <c r="G11" s="66">
        <f t="shared" si="0"/>
        <v>52.409449498718729</v>
      </c>
      <c r="H11" s="66">
        <f t="shared" si="0"/>
        <v>0</v>
      </c>
      <c r="I11" s="66">
        <f t="shared" si="0"/>
        <v>18.042666976543146</v>
      </c>
      <c r="J11" s="66">
        <f t="shared" si="0"/>
        <v>39.123020206467075</v>
      </c>
      <c r="K11" s="66">
        <f t="shared" si="0"/>
        <v>34.895707559028487</v>
      </c>
      <c r="L11" s="66">
        <f t="shared" si="0"/>
        <v>53.341312507752477</v>
      </c>
      <c r="M11" s="66">
        <f t="shared" si="0"/>
        <v>44.84906892033375</v>
      </c>
      <c r="N11" s="66">
        <f t="shared" si="0"/>
        <v>45.209884926341026</v>
      </c>
      <c r="O11" s="66">
        <f t="shared" si="0"/>
        <v>43.389274608775395</v>
      </c>
      <c r="P11" s="66">
        <f t="shared" si="0"/>
        <v>52.740103469895331</v>
      </c>
      <c r="Q11" s="66">
        <f t="shared" ref="Q11:Q29" si="1">SUM(E11:P11)</f>
        <v>483.48420784981204</v>
      </c>
    </row>
    <row r="12" spans="2:17" x14ac:dyDescent="0.25">
      <c r="B12" s="60"/>
      <c r="C12" s="803"/>
      <c r="D12" s="59" t="s">
        <v>352</v>
      </c>
      <c r="E12" s="66">
        <f t="shared" ref="E12:P12" si="2">E188+E360</f>
        <v>46.54415202364472</v>
      </c>
      <c r="F12" s="66">
        <f t="shared" si="2"/>
        <v>0</v>
      </c>
      <c r="G12" s="66">
        <f t="shared" si="2"/>
        <v>26.865308196954658</v>
      </c>
      <c r="H12" s="66">
        <f t="shared" si="2"/>
        <v>46.00132388285413</v>
      </c>
      <c r="I12" s="66">
        <f t="shared" si="2"/>
        <v>38.171033275781667</v>
      </c>
      <c r="J12" s="66">
        <f t="shared" si="2"/>
        <v>40.10876998418582</v>
      </c>
      <c r="K12" s="66">
        <f t="shared" si="2"/>
        <v>40.050673192795919</v>
      </c>
      <c r="L12" s="66">
        <f t="shared" si="2"/>
        <v>52.59546252643235</v>
      </c>
      <c r="M12" s="66">
        <f t="shared" si="2"/>
        <v>47.310690632289635</v>
      </c>
      <c r="N12" s="66">
        <f t="shared" si="2"/>
        <v>46.366206639341051</v>
      </c>
      <c r="O12" s="66">
        <f t="shared" si="2"/>
        <v>44.523491504934185</v>
      </c>
      <c r="P12" s="66">
        <f t="shared" si="2"/>
        <v>53.175652280920588</v>
      </c>
      <c r="Q12" s="66">
        <f t="shared" si="1"/>
        <v>481.71276414013477</v>
      </c>
    </row>
    <row r="13" spans="2:17" x14ac:dyDescent="0.25">
      <c r="B13" s="60"/>
      <c r="C13" s="803"/>
      <c r="D13" s="59" t="s">
        <v>353</v>
      </c>
      <c r="E13" s="66">
        <f t="shared" ref="E13:P13" si="3">E189+E361</f>
        <v>96.533928051370594</v>
      </c>
      <c r="F13" s="66">
        <f t="shared" si="3"/>
        <v>0</v>
      </c>
      <c r="G13" s="66">
        <f t="shared" si="3"/>
        <v>50.645754727006377</v>
      </c>
      <c r="H13" s="66">
        <f t="shared" si="3"/>
        <v>95.151541698005758</v>
      </c>
      <c r="I13" s="66">
        <f t="shared" si="3"/>
        <v>77.067130612108485</v>
      </c>
      <c r="J13" s="66">
        <f t="shared" si="3"/>
        <v>76.923991046259033</v>
      </c>
      <c r="K13" s="66">
        <f t="shared" si="3"/>
        <v>78.132370907484983</v>
      </c>
      <c r="L13" s="66">
        <f t="shared" si="3"/>
        <v>100.0973043938875</v>
      </c>
      <c r="M13" s="66">
        <f t="shared" si="3"/>
        <v>89.30447581653118</v>
      </c>
      <c r="N13" s="66">
        <f t="shared" si="3"/>
        <v>89.188838488732841</v>
      </c>
      <c r="O13" s="66">
        <f t="shared" si="3"/>
        <v>85.921381995323372</v>
      </c>
      <c r="P13" s="66">
        <f t="shared" si="3"/>
        <v>103.19208572037411</v>
      </c>
      <c r="Q13" s="66">
        <f t="shared" si="1"/>
        <v>942.1588034570841</v>
      </c>
    </row>
    <row r="14" spans="2:17" x14ac:dyDescent="0.25">
      <c r="B14" s="60"/>
      <c r="C14" s="803"/>
      <c r="D14" s="59" t="s">
        <v>354</v>
      </c>
      <c r="E14" s="66">
        <f t="shared" ref="E14:P14" si="4">E190+E362</f>
        <v>8.6335049914192883</v>
      </c>
      <c r="F14" s="66">
        <f t="shared" si="4"/>
        <v>0</v>
      </c>
      <c r="G14" s="66">
        <f t="shared" si="4"/>
        <v>4.9752401645466531</v>
      </c>
      <c r="H14" s="66">
        <f t="shared" si="4"/>
        <v>8.2408512333349559</v>
      </c>
      <c r="I14" s="66">
        <f t="shared" si="4"/>
        <v>6.8799767177383391</v>
      </c>
      <c r="J14" s="66">
        <f t="shared" si="4"/>
        <v>7.3165296537451416</v>
      </c>
      <c r="K14" s="66">
        <f t="shared" si="4"/>
        <v>6.6531642984722357</v>
      </c>
      <c r="L14" s="66">
        <f t="shared" si="4"/>
        <v>10.163546986819815</v>
      </c>
      <c r="M14" s="66">
        <f t="shared" si="4"/>
        <v>8.0791467684495935</v>
      </c>
      <c r="N14" s="66">
        <f t="shared" si="4"/>
        <v>8.4676636526010611</v>
      </c>
      <c r="O14" s="66">
        <f t="shared" si="4"/>
        <v>8.2628008222962031</v>
      </c>
      <c r="P14" s="66">
        <f t="shared" si="4"/>
        <v>10.055350587463778</v>
      </c>
      <c r="Q14" s="66">
        <f t="shared" si="1"/>
        <v>87.727775876887065</v>
      </c>
    </row>
    <row r="15" spans="2:17" x14ac:dyDescent="0.25">
      <c r="B15" s="60"/>
      <c r="C15" s="803"/>
      <c r="D15" s="59" t="s">
        <v>355</v>
      </c>
      <c r="E15" s="66">
        <f t="shared" ref="E15:P15" si="5">E191+E363</f>
        <v>45.634764774181789</v>
      </c>
      <c r="F15" s="66">
        <f t="shared" si="5"/>
        <v>47.155923599987851</v>
      </c>
      <c r="G15" s="66">
        <f t="shared" si="5"/>
        <v>45.797684445718772</v>
      </c>
      <c r="H15" s="66">
        <f t="shared" si="5"/>
        <v>48.152175507029845</v>
      </c>
      <c r="I15" s="66">
        <f t="shared" si="5"/>
        <v>39.185908343651882</v>
      </c>
      <c r="J15" s="66">
        <f t="shared" si="5"/>
        <v>42.742420527930832</v>
      </c>
      <c r="K15" s="66">
        <f t="shared" si="5"/>
        <v>0</v>
      </c>
      <c r="L15" s="66">
        <f t="shared" si="5"/>
        <v>22.817382387090895</v>
      </c>
      <c r="M15" s="66">
        <f t="shared" si="5"/>
        <v>45.928834359398792</v>
      </c>
      <c r="N15" s="66">
        <f t="shared" si="5"/>
        <v>41.178412157735863</v>
      </c>
      <c r="O15" s="66">
        <f t="shared" si="5"/>
        <v>41.400631682305871</v>
      </c>
      <c r="P15" s="66">
        <f t="shared" si="5"/>
        <v>50.531975174234496</v>
      </c>
      <c r="Q15" s="66">
        <f t="shared" si="1"/>
        <v>470.52611295926687</v>
      </c>
    </row>
    <row r="16" spans="2:17" x14ac:dyDescent="0.25">
      <c r="B16" s="60"/>
      <c r="C16" s="803"/>
      <c r="D16" s="59" t="s">
        <v>356</v>
      </c>
      <c r="E16" s="66">
        <f t="shared" ref="E16:P16" si="6">E192+E364</f>
        <v>59.962993405734608</v>
      </c>
      <c r="F16" s="66">
        <f t="shared" si="6"/>
        <v>60.90653033070295</v>
      </c>
      <c r="G16" s="66">
        <f t="shared" si="6"/>
        <v>59.962993405734608</v>
      </c>
      <c r="H16" s="66">
        <f t="shared" si="6"/>
        <v>66.513468286340625</v>
      </c>
      <c r="I16" s="66">
        <f t="shared" si="6"/>
        <v>54.85142118130986</v>
      </c>
      <c r="J16" s="66">
        <f t="shared" si="6"/>
        <v>62.125013681238457</v>
      </c>
      <c r="K16" s="66">
        <f t="shared" si="6"/>
        <v>55.786948035064896</v>
      </c>
      <c r="L16" s="66">
        <f t="shared" si="6"/>
        <v>0</v>
      </c>
      <c r="M16" s="66">
        <f t="shared" si="6"/>
        <v>30.806704882656796</v>
      </c>
      <c r="N16" s="66">
        <f t="shared" si="6"/>
        <v>61.961759852592422</v>
      </c>
      <c r="O16" s="66">
        <f t="shared" si="6"/>
        <v>60.338782489696612</v>
      </c>
      <c r="P16" s="66">
        <f t="shared" si="6"/>
        <v>66.985686327126956</v>
      </c>
      <c r="Q16" s="66">
        <f t="shared" si="1"/>
        <v>640.2023018781988</v>
      </c>
    </row>
    <row r="17" spans="2:18" x14ac:dyDescent="0.25">
      <c r="B17" s="60"/>
      <c r="C17" s="803"/>
      <c r="D17" s="59" t="s">
        <v>357</v>
      </c>
      <c r="E17" s="66">
        <f t="shared" ref="E17:P17" si="7">E193+E365</f>
        <v>126.39130187190094</v>
      </c>
      <c r="F17" s="66">
        <f t="shared" si="7"/>
        <v>64.744455264091528</v>
      </c>
      <c r="G17" s="66">
        <f t="shared" si="7"/>
        <v>94.360891556030538</v>
      </c>
      <c r="H17" s="66">
        <f t="shared" si="7"/>
        <v>135.48744680671007</v>
      </c>
      <c r="I17" s="66">
        <f t="shared" si="7"/>
        <v>98.618055555251829</v>
      </c>
      <c r="J17" s="66">
        <f t="shared" si="7"/>
        <v>98.261413079822788</v>
      </c>
      <c r="K17" s="66">
        <f t="shared" si="7"/>
        <v>112.71757505105683</v>
      </c>
      <c r="L17" s="66">
        <f t="shared" si="7"/>
        <v>94.256307235606101</v>
      </c>
      <c r="M17" s="66">
        <f t="shared" si="7"/>
        <v>113.48926449589274</v>
      </c>
      <c r="N17" s="66">
        <f t="shared" si="7"/>
        <v>128.53479996424093</v>
      </c>
      <c r="O17" s="66">
        <f t="shared" si="7"/>
        <v>121.5832961562821</v>
      </c>
      <c r="P17" s="66">
        <f t="shared" si="7"/>
        <v>143.16329312916099</v>
      </c>
      <c r="Q17" s="66">
        <f t="shared" si="1"/>
        <v>1331.6081001660473</v>
      </c>
    </row>
    <row r="18" spans="2:18" x14ac:dyDescent="0.25">
      <c r="B18" s="60"/>
      <c r="C18" s="803"/>
      <c r="D18" s="59" t="s">
        <v>358</v>
      </c>
      <c r="E18" s="66">
        <f t="shared" ref="E18:P18" si="8">E194+E366</f>
        <v>393.16781338954752</v>
      </c>
      <c r="F18" s="66">
        <f t="shared" si="8"/>
        <v>236.02940786440641</v>
      </c>
      <c r="G18" s="66">
        <f t="shared" si="8"/>
        <v>234.04352636072673</v>
      </c>
      <c r="H18" s="66">
        <f t="shared" si="8"/>
        <v>252.4795752995085</v>
      </c>
      <c r="I18" s="66">
        <f t="shared" si="8"/>
        <v>386.73074168863582</v>
      </c>
      <c r="J18" s="66">
        <f t="shared" si="8"/>
        <v>405.22681027979274</v>
      </c>
      <c r="K18" s="66">
        <f t="shared" si="8"/>
        <v>375.72681219041175</v>
      </c>
      <c r="L18" s="66">
        <f t="shared" si="8"/>
        <v>305.56055942406454</v>
      </c>
      <c r="M18" s="66">
        <f t="shared" si="8"/>
        <v>365.36512025977549</v>
      </c>
      <c r="N18" s="66">
        <f t="shared" si="8"/>
        <v>406.15316300437678</v>
      </c>
      <c r="O18" s="66">
        <f t="shared" si="8"/>
        <v>378.2167013390241</v>
      </c>
      <c r="P18" s="66">
        <f t="shared" si="8"/>
        <v>418.73186475017718</v>
      </c>
      <c r="Q18" s="66">
        <f t="shared" si="1"/>
        <v>4157.4320958504477</v>
      </c>
    </row>
    <row r="19" spans="2:18" x14ac:dyDescent="0.25">
      <c r="B19" s="60"/>
      <c r="C19" s="803"/>
      <c r="D19" s="325" t="s">
        <v>620</v>
      </c>
      <c r="E19" s="66">
        <f t="shared" ref="E19:P19" si="9">E195+E367</f>
        <v>0</v>
      </c>
      <c r="F19" s="66">
        <f t="shared" si="9"/>
        <v>0</v>
      </c>
      <c r="G19" s="66">
        <f t="shared" si="9"/>
        <v>0</v>
      </c>
      <c r="H19" s="66">
        <f t="shared" si="9"/>
        <v>0</v>
      </c>
      <c r="I19" s="66">
        <f t="shared" si="9"/>
        <v>0</v>
      </c>
      <c r="J19" s="66">
        <f t="shared" si="9"/>
        <v>0</v>
      </c>
      <c r="K19" s="66">
        <f t="shared" si="9"/>
        <v>0</v>
      </c>
      <c r="L19" s="66">
        <f t="shared" si="9"/>
        <v>0</v>
      </c>
      <c r="M19" s="66">
        <f t="shared" si="9"/>
        <v>0</v>
      </c>
      <c r="N19" s="66">
        <f t="shared" si="9"/>
        <v>0</v>
      </c>
      <c r="O19" s="66">
        <f t="shared" si="9"/>
        <v>0</v>
      </c>
      <c r="P19" s="66">
        <f t="shared" si="9"/>
        <v>0</v>
      </c>
      <c r="Q19" s="66">
        <f t="shared" si="1"/>
        <v>0</v>
      </c>
    </row>
    <row r="20" spans="2:18" x14ac:dyDescent="0.25">
      <c r="B20" s="60"/>
      <c r="C20" s="803"/>
      <c r="D20" s="59"/>
      <c r="E20" s="66">
        <f t="shared" ref="E20:P20" si="10">E196+E368</f>
        <v>0</v>
      </c>
      <c r="F20" s="66">
        <f t="shared" si="10"/>
        <v>0</v>
      </c>
      <c r="G20" s="66">
        <f t="shared" si="10"/>
        <v>0</v>
      </c>
      <c r="H20" s="66">
        <f t="shared" si="10"/>
        <v>0</v>
      </c>
      <c r="I20" s="66">
        <f t="shared" si="10"/>
        <v>0</v>
      </c>
      <c r="J20" s="66">
        <f t="shared" si="10"/>
        <v>0</v>
      </c>
      <c r="K20" s="66">
        <f t="shared" si="10"/>
        <v>0</v>
      </c>
      <c r="L20" s="66">
        <f t="shared" si="10"/>
        <v>0</v>
      </c>
      <c r="M20" s="66">
        <f t="shared" si="10"/>
        <v>0</v>
      </c>
      <c r="N20" s="66">
        <f t="shared" si="10"/>
        <v>0</v>
      </c>
      <c r="O20" s="66">
        <f t="shared" si="10"/>
        <v>0</v>
      </c>
      <c r="P20" s="66">
        <f t="shared" si="10"/>
        <v>0</v>
      </c>
      <c r="Q20" s="66">
        <f t="shared" si="1"/>
        <v>0</v>
      </c>
    </row>
    <row r="21" spans="2:18" x14ac:dyDescent="0.25">
      <c r="B21" s="60"/>
      <c r="C21" s="803"/>
      <c r="D21" s="59"/>
      <c r="E21" s="66">
        <f t="shared" ref="E21:P21" si="11">E197+E369</f>
        <v>0</v>
      </c>
      <c r="F21" s="66">
        <f t="shared" si="11"/>
        <v>0</v>
      </c>
      <c r="G21" s="66">
        <f t="shared" si="11"/>
        <v>0</v>
      </c>
      <c r="H21" s="66">
        <f t="shared" si="11"/>
        <v>0</v>
      </c>
      <c r="I21" s="66">
        <f t="shared" si="11"/>
        <v>0</v>
      </c>
      <c r="J21" s="66">
        <f t="shared" si="11"/>
        <v>0</v>
      </c>
      <c r="K21" s="66">
        <f t="shared" si="11"/>
        <v>0</v>
      </c>
      <c r="L21" s="66">
        <f t="shared" si="11"/>
        <v>0</v>
      </c>
      <c r="M21" s="66">
        <f t="shared" si="11"/>
        <v>0</v>
      </c>
      <c r="N21" s="66">
        <f t="shared" si="11"/>
        <v>0</v>
      </c>
      <c r="O21" s="66">
        <f t="shared" si="11"/>
        <v>0</v>
      </c>
      <c r="P21" s="66">
        <f t="shared" si="11"/>
        <v>0</v>
      </c>
      <c r="Q21" s="66">
        <f t="shared" si="1"/>
        <v>0</v>
      </c>
    </row>
    <row r="22" spans="2:18" x14ac:dyDescent="0.25">
      <c r="B22" s="60"/>
      <c r="C22" s="803"/>
      <c r="D22" s="59"/>
      <c r="E22" s="66">
        <f t="shared" ref="E22:P22" si="12">E198+E370</f>
        <v>0</v>
      </c>
      <c r="F22" s="66">
        <f t="shared" si="12"/>
        <v>0</v>
      </c>
      <c r="G22" s="66">
        <f t="shared" si="12"/>
        <v>0</v>
      </c>
      <c r="H22" s="66">
        <f t="shared" si="12"/>
        <v>0</v>
      </c>
      <c r="I22" s="66">
        <f t="shared" si="12"/>
        <v>0</v>
      </c>
      <c r="J22" s="66">
        <f t="shared" si="12"/>
        <v>0</v>
      </c>
      <c r="K22" s="66">
        <f t="shared" si="12"/>
        <v>0</v>
      </c>
      <c r="L22" s="66">
        <f t="shared" si="12"/>
        <v>0</v>
      </c>
      <c r="M22" s="66">
        <f t="shared" si="12"/>
        <v>0</v>
      </c>
      <c r="N22" s="66">
        <f t="shared" si="12"/>
        <v>0</v>
      </c>
      <c r="O22" s="66">
        <f t="shared" si="12"/>
        <v>0</v>
      </c>
      <c r="P22" s="66">
        <f t="shared" si="12"/>
        <v>0</v>
      </c>
      <c r="Q22" s="66">
        <f t="shared" si="1"/>
        <v>0</v>
      </c>
    </row>
    <row r="23" spans="2:18" x14ac:dyDescent="0.25">
      <c r="B23" s="60"/>
      <c r="C23" s="803"/>
      <c r="D23" s="59"/>
      <c r="E23" s="66">
        <f t="shared" ref="E23:P23" si="13">E199+E371</f>
        <v>0</v>
      </c>
      <c r="F23" s="66">
        <f t="shared" si="13"/>
        <v>0</v>
      </c>
      <c r="G23" s="66">
        <f t="shared" si="13"/>
        <v>0</v>
      </c>
      <c r="H23" s="66">
        <f t="shared" si="13"/>
        <v>0</v>
      </c>
      <c r="I23" s="66">
        <f t="shared" si="13"/>
        <v>0</v>
      </c>
      <c r="J23" s="66">
        <f t="shared" si="13"/>
        <v>0</v>
      </c>
      <c r="K23" s="66">
        <f t="shared" si="13"/>
        <v>0</v>
      </c>
      <c r="L23" s="66">
        <f t="shared" si="13"/>
        <v>0</v>
      </c>
      <c r="M23" s="66">
        <f t="shared" si="13"/>
        <v>0</v>
      </c>
      <c r="N23" s="66">
        <f t="shared" si="13"/>
        <v>0</v>
      </c>
      <c r="O23" s="66">
        <f t="shared" si="13"/>
        <v>0</v>
      </c>
      <c r="P23" s="66">
        <f t="shared" si="13"/>
        <v>0</v>
      </c>
      <c r="Q23" s="66">
        <f t="shared" si="1"/>
        <v>0</v>
      </c>
    </row>
    <row r="24" spans="2:18" x14ac:dyDescent="0.25">
      <c r="B24" s="60"/>
      <c r="C24" s="803"/>
      <c r="D24" s="59"/>
      <c r="E24" s="66">
        <f t="shared" ref="E24:P24" si="14">E200+E372</f>
        <v>0</v>
      </c>
      <c r="F24" s="66">
        <f t="shared" si="14"/>
        <v>0</v>
      </c>
      <c r="G24" s="66">
        <f t="shared" si="14"/>
        <v>0</v>
      </c>
      <c r="H24" s="66">
        <f t="shared" si="14"/>
        <v>0</v>
      </c>
      <c r="I24" s="66">
        <f t="shared" si="14"/>
        <v>0</v>
      </c>
      <c r="J24" s="66">
        <f t="shared" si="14"/>
        <v>0</v>
      </c>
      <c r="K24" s="66">
        <f t="shared" si="14"/>
        <v>0</v>
      </c>
      <c r="L24" s="66">
        <f t="shared" si="14"/>
        <v>0</v>
      </c>
      <c r="M24" s="66">
        <f t="shared" si="14"/>
        <v>0</v>
      </c>
      <c r="N24" s="66">
        <f t="shared" si="14"/>
        <v>0</v>
      </c>
      <c r="O24" s="66">
        <f t="shared" si="14"/>
        <v>0</v>
      </c>
      <c r="P24" s="66">
        <f t="shared" si="14"/>
        <v>0</v>
      </c>
      <c r="Q24" s="66">
        <f t="shared" si="1"/>
        <v>0</v>
      </c>
    </row>
    <row r="25" spans="2:18" x14ac:dyDescent="0.25">
      <c r="B25" s="60"/>
      <c r="C25" s="803"/>
      <c r="D25" s="59"/>
      <c r="E25" s="66">
        <f t="shared" ref="E25:P25" si="15">E201+E373</f>
        <v>0</v>
      </c>
      <c r="F25" s="66">
        <f t="shared" si="15"/>
        <v>0</v>
      </c>
      <c r="G25" s="66">
        <f t="shared" si="15"/>
        <v>0</v>
      </c>
      <c r="H25" s="66">
        <f t="shared" si="15"/>
        <v>0</v>
      </c>
      <c r="I25" s="66">
        <f t="shared" si="15"/>
        <v>0</v>
      </c>
      <c r="J25" s="66">
        <f t="shared" si="15"/>
        <v>0</v>
      </c>
      <c r="K25" s="66">
        <f t="shared" si="15"/>
        <v>0</v>
      </c>
      <c r="L25" s="66">
        <f t="shared" si="15"/>
        <v>0</v>
      </c>
      <c r="M25" s="66">
        <f t="shared" si="15"/>
        <v>0</v>
      </c>
      <c r="N25" s="66">
        <f t="shared" si="15"/>
        <v>0</v>
      </c>
      <c r="O25" s="66">
        <f t="shared" si="15"/>
        <v>0</v>
      </c>
      <c r="P25" s="66">
        <f t="shared" si="15"/>
        <v>0</v>
      </c>
      <c r="Q25" s="66">
        <f t="shared" si="1"/>
        <v>0</v>
      </c>
    </row>
    <row r="26" spans="2:18" x14ac:dyDescent="0.25">
      <c r="B26" s="60"/>
      <c r="C26" s="803"/>
      <c r="D26" s="59"/>
      <c r="E26" s="66">
        <f t="shared" ref="E26:P26" si="16">E202+E374</f>
        <v>0</v>
      </c>
      <c r="F26" s="66">
        <f t="shared" si="16"/>
        <v>0</v>
      </c>
      <c r="G26" s="66">
        <f t="shared" si="16"/>
        <v>0</v>
      </c>
      <c r="H26" s="66">
        <f t="shared" si="16"/>
        <v>0</v>
      </c>
      <c r="I26" s="66">
        <f t="shared" si="16"/>
        <v>0</v>
      </c>
      <c r="J26" s="66">
        <f t="shared" si="16"/>
        <v>0</v>
      </c>
      <c r="K26" s="66">
        <f t="shared" si="16"/>
        <v>0</v>
      </c>
      <c r="L26" s="66">
        <f t="shared" si="16"/>
        <v>0</v>
      </c>
      <c r="M26" s="66">
        <f t="shared" si="16"/>
        <v>0</v>
      </c>
      <c r="N26" s="66">
        <f t="shared" si="16"/>
        <v>0</v>
      </c>
      <c r="O26" s="66">
        <f t="shared" si="16"/>
        <v>0</v>
      </c>
      <c r="P26" s="66">
        <f t="shared" si="16"/>
        <v>0</v>
      </c>
      <c r="Q26" s="66">
        <f t="shared" si="1"/>
        <v>0</v>
      </c>
    </row>
    <row r="27" spans="2:18" x14ac:dyDescent="0.25">
      <c r="B27" s="60"/>
      <c r="C27" s="803"/>
      <c r="D27" s="59"/>
      <c r="E27" s="66">
        <f t="shared" ref="E27:P27" si="17">E203+E375</f>
        <v>0</v>
      </c>
      <c r="F27" s="66">
        <f t="shared" si="17"/>
        <v>0</v>
      </c>
      <c r="G27" s="66">
        <f t="shared" si="17"/>
        <v>0</v>
      </c>
      <c r="H27" s="66">
        <f t="shared" si="17"/>
        <v>0</v>
      </c>
      <c r="I27" s="66">
        <f t="shared" si="17"/>
        <v>0</v>
      </c>
      <c r="J27" s="66">
        <f t="shared" si="17"/>
        <v>0</v>
      </c>
      <c r="K27" s="66">
        <f t="shared" si="17"/>
        <v>0</v>
      </c>
      <c r="L27" s="66">
        <f t="shared" si="17"/>
        <v>0</v>
      </c>
      <c r="M27" s="66">
        <f t="shared" si="17"/>
        <v>0</v>
      </c>
      <c r="N27" s="66">
        <f t="shared" si="17"/>
        <v>0</v>
      </c>
      <c r="O27" s="66">
        <f t="shared" si="17"/>
        <v>0</v>
      </c>
      <c r="P27" s="66">
        <f t="shared" si="17"/>
        <v>0</v>
      </c>
      <c r="Q27" s="66">
        <f t="shared" si="1"/>
        <v>0</v>
      </c>
    </row>
    <row r="28" spans="2:18" x14ac:dyDescent="0.25">
      <c r="B28" s="60"/>
      <c r="C28" s="804"/>
      <c r="D28" s="59"/>
      <c r="E28" s="66">
        <f t="shared" ref="E28:P28" si="18">E204+E376</f>
        <v>0</v>
      </c>
      <c r="F28" s="66">
        <f t="shared" si="18"/>
        <v>0</v>
      </c>
      <c r="G28" s="66">
        <f t="shared" si="18"/>
        <v>0</v>
      </c>
      <c r="H28" s="66">
        <f t="shared" si="18"/>
        <v>0</v>
      </c>
      <c r="I28" s="66">
        <f t="shared" si="18"/>
        <v>0</v>
      </c>
      <c r="J28" s="66">
        <f t="shared" si="18"/>
        <v>0</v>
      </c>
      <c r="K28" s="66">
        <f t="shared" si="18"/>
        <v>0</v>
      </c>
      <c r="L28" s="66">
        <f t="shared" si="18"/>
        <v>0</v>
      </c>
      <c r="M28" s="66">
        <f t="shared" si="18"/>
        <v>0</v>
      </c>
      <c r="N28" s="66">
        <f t="shared" si="18"/>
        <v>0</v>
      </c>
      <c r="O28" s="66">
        <f t="shared" si="18"/>
        <v>0</v>
      </c>
      <c r="P28" s="66">
        <f t="shared" si="18"/>
        <v>0</v>
      </c>
      <c r="Q28" s="66">
        <f t="shared" si="1"/>
        <v>0</v>
      </c>
    </row>
    <row r="29" spans="2:18" x14ac:dyDescent="0.25">
      <c r="C29" s="751" t="s">
        <v>212</v>
      </c>
      <c r="D29" s="752"/>
      <c r="E29" s="108">
        <f t="shared" ref="E29:P29" si="19">SUM(E11:E28)</f>
        <v>822.15101157193465</v>
      </c>
      <c r="F29" s="108">
        <f t="shared" si="19"/>
        <v>463.03748317101014</v>
      </c>
      <c r="G29" s="108">
        <f t="shared" si="19"/>
        <v>569.06084835543697</v>
      </c>
      <c r="H29" s="108">
        <f t="shared" si="19"/>
        <v>652.02638271378396</v>
      </c>
      <c r="I29" s="108">
        <f t="shared" si="19"/>
        <v>719.54693435102104</v>
      </c>
      <c r="J29" s="108">
        <f t="shared" si="19"/>
        <v>771.82796845944188</v>
      </c>
      <c r="K29" s="108">
        <f t="shared" si="19"/>
        <v>703.96325123431507</v>
      </c>
      <c r="L29" s="108">
        <f t="shared" si="19"/>
        <v>638.83187546165368</v>
      </c>
      <c r="M29" s="108">
        <f t="shared" si="19"/>
        <v>745.13330613532798</v>
      </c>
      <c r="N29" s="108">
        <f t="shared" si="19"/>
        <v>827.06072868596198</v>
      </c>
      <c r="O29" s="108">
        <f t="shared" si="19"/>
        <v>783.63636059863779</v>
      </c>
      <c r="P29" s="108">
        <f t="shared" si="19"/>
        <v>898.57601143935346</v>
      </c>
      <c r="Q29" s="108">
        <f t="shared" si="1"/>
        <v>8594.85216217788</v>
      </c>
      <c r="R29" s="427"/>
    </row>
    <row r="30" spans="2:18" x14ac:dyDescent="0.25">
      <c r="C30" s="753" t="s">
        <v>359</v>
      </c>
      <c r="D30" s="754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</row>
    <row r="31" spans="2:18" x14ac:dyDescent="0.25">
      <c r="C31" s="805" t="s">
        <v>350</v>
      </c>
      <c r="D31" s="17" t="s">
        <v>360</v>
      </c>
      <c r="E31" s="17">
        <f t="shared" ref="E31:P31" si="20">E207+E379</f>
        <v>0</v>
      </c>
      <c r="F31" s="17">
        <f t="shared" si="20"/>
        <v>0</v>
      </c>
      <c r="G31" s="17">
        <f t="shared" si="20"/>
        <v>0</v>
      </c>
      <c r="H31" s="17">
        <f t="shared" si="20"/>
        <v>0</v>
      </c>
      <c r="I31" s="17">
        <f t="shared" si="20"/>
        <v>0</v>
      </c>
      <c r="J31" s="17">
        <f t="shared" si="20"/>
        <v>0</v>
      </c>
      <c r="K31" s="17">
        <f t="shared" si="20"/>
        <v>0</v>
      </c>
      <c r="L31" s="17">
        <f t="shared" si="20"/>
        <v>0</v>
      </c>
      <c r="M31" s="17">
        <f t="shared" si="20"/>
        <v>0</v>
      </c>
      <c r="N31" s="17">
        <f t="shared" si="20"/>
        <v>0</v>
      </c>
      <c r="O31" s="17">
        <f t="shared" si="20"/>
        <v>0</v>
      </c>
      <c r="P31" s="17">
        <f t="shared" si="20"/>
        <v>0</v>
      </c>
      <c r="Q31" s="17">
        <f t="shared" ref="Q31:Q48" si="21">SUM(E31:P31)</f>
        <v>0</v>
      </c>
    </row>
    <row r="32" spans="2:18" x14ac:dyDescent="0.25">
      <c r="C32" s="806"/>
      <c r="D32" s="17" t="s">
        <v>361</v>
      </c>
      <c r="E32" s="17">
        <f t="shared" ref="E32:P32" si="22">E208+E380</f>
        <v>0</v>
      </c>
      <c r="F32" s="17">
        <f t="shared" si="22"/>
        <v>0</v>
      </c>
      <c r="G32" s="17">
        <f t="shared" si="22"/>
        <v>0</v>
      </c>
      <c r="H32" s="17">
        <f t="shared" si="22"/>
        <v>0</v>
      </c>
      <c r="I32" s="17">
        <f t="shared" si="22"/>
        <v>0</v>
      </c>
      <c r="J32" s="17">
        <f t="shared" si="22"/>
        <v>0</v>
      </c>
      <c r="K32" s="17">
        <f t="shared" si="22"/>
        <v>0</v>
      </c>
      <c r="L32" s="17">
        <f t="shared" si="22"/>
        <v>0</v>
      </c>
      <c r="M32" s="17">
        <f t="shared" si="22"/>
        <v>0</v>
      </c>
      <c r="N32" s="17">
        <f t="shared" si="22"/>
        <v>0</v>
      </c>
      <c r="O32" s="17">
        <f t="shared" si="22"/>
        <v>0</v>
      </c>
      <c r="P32" s="17">
        <f t="shared" si="22"/>
        <v>0</v>
      </c>
      <c r="Q32" s="17">
        <f t="shared" si="21"/>
        <v>0</v>
      </c>
    </row>
    <row r="33" spans="3:17" x14ac:dyDescent="0.25">
      <c r="C33" s="806"/>
      <c r="D33" s="17" t="s">
        <v>362</v>
      </c>
      <c r="E33" s="17">
        <f t="shared" ref="E33:P33" si="23">E209+E381</f>
        <v>0</v>
      </c>
      <c r="F33" s="17">
        <f t="shared" si="23"/>
        <v>0</v>
      </c>
      <c r="G33" s="17">
        <f t="shared" si="23"/>
        <v>0</v>
      </c>
      <c r="H33" s="17">
        <f t="shared" si="23"/>
        <v>0</v>
      </c>
      <c r="I33" s="17">
        <f t="shared" si="23"/>
        <v>0</v>
      </c>
      <c r="J33" s="17">
        <f t="shared" si="23"/>
        <v>0</v>
      </c>
      <c r="K33" s="17">
        <f t="shared" si="23"/>
        <v>0</v>
      </c>
      <c r="L33" s="17">
        <f t="shared" si="23"/>
        <v>0</v>
      </c>
      <c r="M33" s="17">
        <f t="shared" si="23"/>
        <v>0</v>
      </c>
      <c r="N33" s="17">
        <f t="shared" si="23"/>
        <v>0</v>
      </c>
      <c r="O33" s="17">
        <f t="shared" si="23"/>
        <v>0</v>
      </c>
      <c r="P33" s="17">
        <f t="shared" si="23"/>
        <v>0</v>
      </c>
      <c r="Q33" s="17">
        <f t="shared" si="21"/>
        <v>0</v>
      </c>
    </row>
    <row r="34" spans="3:17" x14ac:dyDescent="0.25">
      <c r="C34" s="806"/>
      <c r="D34" s="17" t="s">
        <v>363</v>
      </c>
      <c r="E34" s="17">
        <f t="shared" ref="E34:P34" si="24">E210+E382</f>
        <v>0</v>
      </c>
      <c r="F34" s="17">
        <f t="shared" si="24"/>
        <v>0</v>
      </c>
      <c r="G34" s="17">
        <f t="shared" si="24"/>
        <v>0</v>
      </c>
      <c r="H34" s="17">
        <f t="shared" si="24"/>
        <v>0</v>
      </c>
      <c r="I34" s="17">
        <f t="shared" si="24"/>
        <v>0</v>
      </c>
      <c r="J34" s="17">
        <f t="shared" si="24"/>
        <v>0</v>
      </c>
      <c r="K34" s="17">
        <f t="shared" si="24"/>
        <v>0</v>
      </c>
      <c r="L34" s="17">
        <f t="shared" si="24"/>
        <v>0</v>
      </c>
      <c r="M34" s="17">
        <f t="shared" si="24"/>
        <v>0</v>
      </c>
      <c r="N34" s="17">
        <f t="shared" si="24"/>
        <v>0</v>
      </c>
      <c r="O34" s="17">
        <f t="shared" si="24"/>
        <v>0</v>
      </c>
      <c r="P34" s="17">
        <f t="shared" si="24"/>
        <v>0</v>
      </c>
      <c r="Q34" s="17">
        <f t="shared" si="21"/>
        <v>0</v>
      </c>
    </row>
    <row r="35" spans="3:17" x14ac:dyDescent="0.25">
      <c r="C35" s="806"/>
      <c r="D35" s="17" t="s">
        <v>364</v>
      </c>
      <c r="E35" s="17">
        <f t="shared" ref="E35:P35" si="25">E211+E383</f>
        <v>0</v>
      </c>
      <c r="F35" s="17">
        <f t="shared" si="25"/>
        <v>0</v>
      </c>
      <c r="G35" s="17">
        <f t="shared" si="25"/>
        <v>0</v>
      </c>
      <c r="H35" s="17">
        <f t="shared" si="25"/>
        <v>0</v>
      </c>
      <c r="I35" s="17">
        <f t="shared" si="25"/>
        <v>0</v>
      </c>
      <c r="J35" s="17">
        <f t="shared" si="25"/>
        <v>0</v>
      </c>
      <c r="K35" s="17">
        <f t="shared" si="25"/>
        <v>0</v>
      </c>
      <c r="L35" s="17">
        <f t="shared" si="25"/>
        <v>0</v>
      </c>
      <c r="M35" s="17">
        <f t="shared" si="25"/>
        <v>0</v>
      </c>
      <c r="N35" s="17">
        <f t="shared" si="25"/>
        <v>0</v>
      </c>
      <c r="O35" s="17">
        <f t="shared" si="25"/>
        <v>0</v>
      </c>
      <c r="P35" s="17">
        <f t="shared" si="25"/>
        <v>0</v>
      </c>
      <c r="Q35" s="17">
        <f t="shared" si="21"/>
        <v>0</v>
      </c>
    </row>
    <row r="36" spans="3:17" x14ac:dyDescent="0.25">
      <c r="C36" s="806"/>
      <c r="D36" s="17" t="s">
        <v>365</v>
      </c>
      <c r="E36" s="17">
        <f t="shared" ref="E36:P36" si="26">E212+E384</f>
        <v>0</v>
      </c>
      <c r="F36" s="17">
        <f t="shared" si="26"/>
        <v>0</v>
      </c>
      <c r="G36" s="17">
        <f t="shared" si="26"/>
        <v>0</v>
      </c>
      <c r="H36" s="17">
        <f t="shared" si="26"/>
        <v>0</v>
      </c>
      <c r="I36" s="17">
        <f t="shared" si="26"/>
        <v>0</v>
      </c>
      <c r="J36" s="17">
        <f t="shared" si="26"/>
        <v>0</v>
      </c>
      <c r="K36" s="17">
        <f t="shared" si="26"/>
        <v>0</v>
      </c>
      <c r="L36" s="17">
        <f t="shared" si="26"/>
        <v>0</v>
      </c>
      <c r="M36" s="17">
        <f t="shared" si="26"/>
        <v>0</v>
      </c>
      <c r="N36" s="17">
        <f t="shared" si="26"/>
        <v>0</v>
      </c>
      <c r="O36" s="17">
        <f t="shared" si="26"/>
        <v>0</v>
      </c>
      <c r="P36" s="17">
        <f t="shared" si="26"/>
        <v>0</v>
      </c>
      <c r="Q36" s="17">
        <f t="shared" si="21"/>
        <v>0</v>
      </c>
    </row>
    <row r="37" spans="3:17" x14ac:dyDescent="0.25">
      <c r="C37" s="806"/>
      <c r="D37" s="17" t="s">
        <v>366</v>
      </c>
      <c r="E37" s="17">
        <f t="shared" ref="E37:P37" si="27">E213+E385</f>
        <v>0</v>
      </c>
      <c r="F37" s="17">
        <f t="shared" si="27"/>
        <v>0</v>
      </c>
      <c r="G37" s="17">
        <f t="shared" si="27"/>
        <v>0</v>
      </c>
      <c r="H37" s="17">
        <f t="shared" si="27"/>
        <v>0</v>
      </c>
      <c r="I37" s="17">
        <f t="shared" si="27"/>
        <v>0</v>
      </c>
      <c r="J37" s="17">
        <f t="shared" si="27"/>
        <v>0</v>
      </c>
      <c r="K37" s="17">
        <f t="shared" si="27"/>
        <v>0</v>
      </c>
      <c r="L37" s="17">
        <f t="shared" si="27"/>
        <v>0</v>
      </c>
      <c r="M37" s="17">
        <f t="shared" si="27"/>
        <v>0</v>
      </c>
      <c r="N37" s="17">
        <f t="shared" si="27"/>
        <v>0</v>
      </c>
      <c r="O37" s="17">
        <f t="shared" si="27"/>
        <v>0</v>
      </c>
      <c r="P37" s="17">
        <f t="shared" si="27"/>
        <v>0</v>
      </c>
      <c r="Q37" s="17">
        <f t="shared" si="21"/>
        <v>0</v>
      </c>
    </row>
    <row r="38" spans="3:17" x14ac:dyDescent="0.25">
      <c r="C38" s="806"/>
      <c r="D38" s="17" t="s">
        <v>367</v>
      </c>
      <c r="E38" s="17">
        <f t="shared" ref="E38:P38" si="28">E214+E386</f>
        <v>0</v>
      </c>
      <c r="F38" s="17">
        <f t="shared" si="28"/>
        <v>0</v>
      </c>
      <c r="G38" s="17">
        <f t="shared" si="28"/>
        <v>0</v>
      </c>
      <c r="H38" s="17">
        <f t="shared" si="28"/>
        <v>0</v>
      </c>
      <c r="I38" s="17">
        <f t="shared" si="28"/>
        <v>0</v>
      </c>
      <c r="J38" s="17">
        <f t="shared" si="28"/>
        <v>0</v>
      </c>
      <c r="K38" s="17">
        <f t="shared" si="28"/>
        <v>0</v>
      </c>
      <c r="L38" s="17">
        <f t="shared" si="28"/>
        <v>0</v>
      </c>
      <c r="M38" s="17">
        <f t="shared" si="28"/>
        <v>0</v>
      </c>
      <c r="N38" s="17">
        <f t="shared" si="28"/>
        <v>0</v>
      </c>
      <c r="O38" s="17">
        <f t="shared" si="28"/>
        <v>0</v>
      </c>
      <c r="P38" s="17">
        <f t="shared" si="28"/>
        <v>0</v>
      </c>
      <c r="Q38" s="17">
        <f t="shared" si="21"/>
        <v>0</v>
      </c>
    </row>
    <row r="39" spans="3:17" x14ac:dyDescent="0.25">
      <c r="C39" s="806"/>
      <c r="D39" s="17"/>
      <c r="E39" s="17">
        <f t="shared" ref="E39:P39" si="29">E215+E387</f>
        <v>0</v>
      </c>
      <c r="F39" s="17">
        <f t="shared" si="29"/>
        <v>0</v>
      </c>
      <c r="G39" s="17">
        <f t="shared" si="29"/>
        <v>0</v>
      </c>
      <c r="H39" s="17">
        <f t="shared" si="29"/>
        <v>0</v>
      </c>
      <c r="I39" s="17">
        <f t="shared" si="29"/>
        <v>0</v>
      </c>
      <c r="J39" s="17">
        <f t="shared" si="29"/>
        <v>0</v>
      </c>
      <c r="K39" s="17">
        <f t="shared" si="29"/>
        <v>0</v>
      </c>
      <c r="L39" s="17">
        <f t="shared" si="29"/>
        <v>0</v>
      </c>
      <c r="M39" s="17">
        <f t="shared" si="29"/>
        <v>0</v>
      </c>
      <c r="N39" s="17">
        <f t="shared" si="29"/>
        <v>0</v>
      </c>
      <c r="O39" s="17">
        <f t="shared" si="29"/>
        <v>0</v>
      </c>
      <c r="P39" s="17">
        <f t="shared" si="29"/>
        <v>0</v>
      </c>
      <c r="Q39" s="17">
        <f t="shared" si="21"/>
        <v>0</v>
      </c>
    </row>
    <row r="40" spans="3:17" x14ac:dyDescent="0.25">
      <c r="C40" s="806"/>
      <c r="D40" s="325" t="s">
        <v>621</v>
      </c>
      <c r="E40" s="17">
        <f t="shared" ref="E40:P40" si="30">E216+E388</f>
        <v>0</v>
      </c>
      <c r="F40" s="17">
        <f t="shared" si="30"/>
        <v>0</v>
      </c>
      <c r="G40" s="17">
        <f t="shared" si="30"/>
        <v>0</v>
      </c>
      <c r="H40" s="17">
        <f t="shared" si="30"/>
        <v>0</v>
      </c>
      <c r="I40" s="17">
        <f t="shared" si="30"/>
        <v>0</v>
      </c>
      <c r="J40" s="17">
        <f t="shared" si="30"/>
        <v>0</v>
      </c>
      <c r="K40" s="17">
        <f t="shared" si="30"/>
        <v>0</v>
      </c>
      <c r="L40" s="17">
        <f t="shared" si="30"/>
        <v>0</v>
      </c>
      <c r="M40" s="17">
        <f t="shared" si="30"/>
        <v>0</v>
      </c>
      <c r="N40" s="17">
        <f t="shared" si="30"/>
        <v>0</v>
      </c>
      <c r="O40" s="17">
        <f t="shared" si="30"/>
        <v>0</v>
      </c>
      <c r="P40" s="17">
        <f t="shared" si="30"/>
        <v>0</v>
      </c>
      <c r="Q40" s="17">
        <f t="shared" si="21"/>
        <v>0</v>
      </c>
    </row>
    <row r="41" spans="3:17" x14ac:dyDescent="0.25">
      <c r="C41" s="806"/>
      <c r="D41" s="325" t="s">
        <v>622</v>
      </c>
      <c r="E41" s="17">
        <f t="shared" ref="E41:P41" si="31">E217+E389</f>
        <v>0</v>
      </c>
      <c r="F41" s="17">
        <f t="shared" si="31"/>
        <v>0</v>
      </c>
      <c r="G41" s="17">
        <f t="shared" si="31"/>
        <v>0</v>
      </c>
      <c r="H41" s="17">
        <f t="shared" si="31"/>
        <v>0</v>
      </c>
      <c r="I41" s="17">
        <f t="shared" si="31"/>
        <v>0</v>
      </c>
      <c r="J41" s="17">
        <f t="shared" si="31"/>
        <v>0</v>
      </c>
      <c r="K41" s="17">
        <f t="shared" si="31"/>
        <v>0</v>
      </c>
      <c r="L41" s="17">
        <f t="shared" si="31"/>
        <v>0</v>
      </c>
      <c r="M41" s="17">
        <f t="shared" si="31"/>
        <v>0</v>
      </c>
      <c r="N41" s="17">
        <f t="shared" si="31"/>
        <v>0</v>
      </c>
      <c r="O41" s="17">
        <f t="shared" si="31"/>
        <v>0</v>
      </c>
      <c r="P41" s="17">
        <f t="shared" si="31"/>
        <v>0</v>
      </c>
      <c r="Q41" s="17">
        <f t="shared" si="21"/>
        <v>0</v>
      </c>
    </row>
    <row r="42" spans="3:17" x14ac:dyDescent="0.25">
      <c r="C42" s="806"/>
      <c r="D42" s="325"/>
      <c r="E42" s="17">
        <f t="shared" ref="E42:P42" si="32">E218+E390</f>
        <v>0</v>
      </c>
      <c r="F42" s="17">
        <f t="shared" si="32"/>
        <v>0</v>
      </c>
      <c r="G42" s="17">
        <f t="shared" si="32"/>
        <v>0</v>
      </c>
      <c r="H42" s="17">
        <f t="shared" si="32"/>
        <v>0</v>
      </c>
      <c r="I42" s="17">
        <f t="shared" si="32"/>
        <v>0</v>
      </c>
      <c r="J42" s="17">
        <f t="shared" si="32"/>
        <v>0</v>
      </c>
      <c r="K42" s="17">
        <f t="shared" si="32"/>
        <v>0</v>
      </c>
      <c r="L42" s="17">
        <f t="shared" si="32"/>
        <v>0</v>
      </c>
      <c r="M42" s="17">
        <f t="shared" si="32"/>
        <v>0</v>
      </c>
      <c r="N42" s="17">
        <f t="shared" si="32"/>
        <v>0</v>
      </c>
      <c r="O42" s="17">
        <f t="shared" si="32"/>
        <v>0</v>
      </c>
      <c r="P42" s="17">
        <f t="shared" si="32"/>
        <v>0</v>
      </c>
      <c r="Q42" s="17">
        <f t="shared" si="21"/>
        <v>0</v>
      </c>
    </row>
    <row r="43" spans="3:17" x14ac:dyDescent="0.25">
      <c r="C43" s="806"/>
      <c r="D43" s="17"/>
      <c r="E43" s="17">
        <f t="shared" ref="E43:P43" si="33">E219+E391</f>
        <v>0</v>
      </c>
      <c r="F43" s="17">
        <f t="shared" si="33"/>
        <v>0</v>
      </c>
      <c r="G43" s="17">
        <f t="shared" si="33"/>
        <v>0</v>
      </c>
      <c r="H43" s="17">
        <f t="shared" si="33"/>
        <v>0</v>
      </c>
      <c r="I43" s="17">
        <f t="shared" si="33"/>
        <v>0</v>
      </c>
      <c r="J43" s="17">
        <f t="shared" si="33"/>
        <v>0</v>
      </c>
      <c r="K43" s="17">
        <f t="shared" si="33"/>
        <v>0</v>
      </c>
      <c r="L43" s="17">
        <f t="shared" si="33"/>
        <v>0</v>
      </c>
      <c r="M43" s="17">
        <f t="shared" si="33"/>
        <v>0</v>
      </c>
      <c r="N43" s="17">
        <f t="shared" si="33"/>
        <v>0</v>
      </c>
      <c r="O43" s="17">
        <f t="shared" si="33"/>
        <v>0</v>
      </c>
      <c r="P43" s="17">
        <f t="shared" si="33"/>
        <v>0</v>
      </c>
      <c r="Q43" s="17">
        <f t="shared" si="21"/>
        <v>0</v>
      </c>
    </row>
    <row r="44" spans="3:17" x14ac:dyDescent="0.25">
      <c r="C44" s="806"/>
      <c r="D44" s="17"/>
      <c r="E44" s="17">
        <f t="shared" ref="E44:P44" si="34">E220+E392</f>
        <v>0</v>
      </c>
      <c r="F44" s="17">
        <f t="shared" si="34"/>
        <v>0</v>
      </c>
      <c r="G44" s="17">
        <f t="shared" si="34"/>
        <v>0</v>
      </c>
      <c r="H44" s="17">
        <f t="shared" si="34"/>
        <v>0</v>
      </c>
      <c r="I44" s="17">
        <f t="shared" si="34"/>
        <v>0</v>
      </c>
      <c r="J44" s="17">
        <f t="shared" si="34"/>
        <v>0</v>
      </c>
      <c r="K44" s="17">
        <f t="shared" si="34"/>
        <v>0</v>
      </c>
      <c r="L44" s="17">
        <f t="shared" si="34"/>
        <v>0</v>
      </c>
      <c r="M44" s="17">
        <f t="shared" si="34"/>
        <v>0</v>
      </c>
      <c r="N44" s="17">
        <f t="shared" si="34"/>
        <v>0</v>
      </c>
      <c r="O44" s="17">
        <f t="shared" si="34"/>
        <v>0</v>
      </c>
      <c r="P44" s="17">
        <f t="shared" si="34"/>
        <v>0</v>
      </c>
      <c r="Q44" s="17">
        <f t="shared" si="21"/>
        <v>0</v>
      </c>
    </row>
    <row r="45" spans="3:17" x14ac:dyDescent="0.25">
      <c r="C45" s="806"/>
      <c r="D45" s="17"/>
      <c r="E45" s="17">
        <f t="shared" ref="E45:P45" si="35">E221+E393</f>
        <v>0</v>
      </c>
      <c r="F45" s="17">
        <f t="shared" si="35"/>
        <v>0</v>
      </c>
      <c r="G45" s="17">
        <f t="shared" si="35"/>
        <v>0</v>
      </c>
      <c r="H45" s="17">
        <f t="shared" si="35"/>
        <v>0</v>
      </c>
      <c r="I45" s="17">
        <f t="shared" si="35"/>
        <v>0</v>
      </c>
      <c r="J45" s="17">
        <f t="shared" si="35"/>
        <v>0</v>
      </c>
      <c r="K45" s="17">
        <f t="shared" si="35"/>
        <v>0</v>
      </c>
      <c r="L45" s="17">
        <f t="shared" si="35"/>
        <v>0</v>
      </c>
      <c r="M45" s="17">
        <f t="shared" si="35"/>
        <v>0</v>
      </c>
      <c r="N45" s="17">
        <f t="shared" si="35"/>
        <v>0</v>
      </c>
      <c r="O45" s="17">
        <f t="shared" si="35"/>
        <v>0</v>
      </c>
      <c r="P45" s="17">
        <f t="shared" si="35"/>
        <v>0</v>
      </c>
      <c r="Q45" s="17">
        <f t="shared" si="21"/>
        <v>0</v>
      </c>
    </row>
    <row r="46" spans="3:17" x14ac:dyDescent="0.25">
      <c r="C46" s="806"/>
      <c r="D46" s="17"/>
      <c r="E46" s="17">
        <f t="shared" ref="E46:P46" si="36">E222+E394</f>
        <v>0</v>
      </c>
      <c r="F46" s="17">
        <f t="shared" si="36"/>
        <v>0</v>
      </c>
      <c r="G46" s="17">
        <f t="shared" si="36"/>
        <v>0</v>
      </c>
      <c r="H46" s="17">
        <f t="shared" si="36"/>
        <v>0</v>
      </c>
      <c r="I46" s="17">
        <f t="shared" si="36"/>
        <v>0</v>
      </c>
      <c r="J46" s="17">
        <f t="shared" si="36"/>
        <v>0</v>
      </c>
      <c r="K46" s="17">
        <f t="shared" si="36"/>
        <v>0</v>
      </c>
      <c r="L46" s="17">
        <f t="shared" si="36"/>
        <v>0</v>
      </c>
      <c r="M46" s="17">
        <f t="shared" si="36"/>
        <v>0</v>
      </c>
      <c r="N46" s="17">
        <f t="shared" si="36"/>
        <v>0</v>
      </c>
      <c r="O46" s="17">
        <f t="shared" si="36"/>
        <v>0</v>
      </c>
      <c r="P46" s="17">
        <f t="shared" si="36"/>
        <v>0</v>
      </c>
      <c r="Q46" s="17">
        <f t="shared" si="21"/>
        <v>0</v>
      </c>
    </row>
    <row r="47" spans="3:17" x14ac:dyDescent="0.25">
      <c r="C47" s="806"/>
      <c r="D47" s="17"/>
      <c r="E47" s="17">
        <f t="shared" ref="E47:P47" si="37">E223+E395</f>
        <v>0</v>
      </c>
      <c r="F47" s="17">
        <f t="shared" si="37"/>
        <v>0</v>
      </c>
      <c r="G47" s="17">
        <f t="shared" si="37"/>
        <v>0</v>
      </c>
      <c r="H47" s="17">
        <f t="shared" si="37"/>
        <v>0</v>
      </c>
      <c r="I47" s="17">
        <f t="shared" si="37"/>
        <v>0</v>
      </c>
      <c r="J47" s="17">
        <f t="shared" si="37"/>
        <v>0</v>
      </c>
      <c r="K47" s="17">
        <f t="shared" si="37"/>
        <v>0</v>
      </c>
      <c r="L47" s="17">
        <f t="shared" si="37"/>
        <v>0</v>
      </c>
      <c r="M47" s="17">
        <f t="shared" si="37"/>
        <v>0</v>
      </c>
      <c r="N47" s="17">
        <f t="shared" si="37"/>
        <v>0</v>
      </c>
      <c r="O47" s="17">
        <f t="shared" si="37"/>
        <v>0</v>
      </c>
      <c r="P47" s="17">
        <f t="shared" si="37"/>
        <v>0</v>
      </c>
      <c r="Q47" s="17">
        <f t="shared" si="21"/>
        <v>0</v>
      </c>
    </row>
    <row r="48" spans="3:17" x14ac:dyDescent="0.25">
      <c r="C48" s="807"/>
      <c r="D48" s="107"/>
      <c r="E48" s="17">
        <f t="shared" ref="E48:P48" si="38">E224+E396</f>
        <v>0</v>
      </c>
      <c r="F48" s="17">
        <f t="shared" si="38"/>
        <v>0</v>
      </c>
      <c r="G48" s="17">
        <f t="shared" si="38"/>
        <v>0</v>
      </c>
      <c r="H48" s="17">
        <f t="shared" si="38"/>
        <v>0</v>
      </c>
      <c r="I48" s="17">
        <f t="shared" si="38"/>
        <v>0</v>
      </c>
      <c r="J48" s="17">
        <f t="shared" si="38"/>
        <v>0</v>
      </c>
      <c r="K48" s="17">
        <f t="shared" si="38"/>
        <v>0</v>
      </c>
      <c r="L48" s="17">
        <f t="shared" si="38"/>
        <v>0</v>
      </c>
      <c r="M48" s="17">
        <f t="shared" si="38"/>
        <v>0</v>
      </c>
      <c r="N48" s="17">
        <f t="shared" si="38"/>
        <v>0</v>
      </c>
      <c r="O48" s="17">
        <f t="shared" si="38"/>
        <v>0</v>
      </c>
      <c r="P48" s="17">
        <f t="shared" si="38"/>
        <v>0</v>
      </c>
      <c r="Q48" s="17">
        <f t="shared" si="21"/>
        <v>0</v>
      </c>
    </row>
    <row r="49" spans="3:18" x14ac:dyDescent="0.25">
      <c r="C49" s="751" t="s">
        <v>212</v>
      </c>
      <c r="D49" s="752"/>
      <c r="E49" s="17">
        <f t="shared" ref="E49:P49" si="39">E225+E397</f>
        <v>17.787482103043349</v>
      </c>
      <c r="F49" s="17">
        <f t="shared" si="39"/>
        <v>19.06050344899684</v>
      </c>
      <c r="G49" s="17">
        <f t="shared" si="39"/>
        <v>19.747604564134647</v>
      </c>
      <c r="H49" s="17">
        <f t="shared" si="39"/>
        <v>43.172724982047768</v>
      </c>
      <c r="I49" s="17">
        <f t="shared" si="39"/>
        <v>101.36167703060731</v>
      </c>
      <c r="J49" s="17">
        <f t="shared" si="39"/>
        <v>51.194374064365135</v>
      </c>
      <c r="K49" s="17">
        <f t="shared" si="39"/>
        <v>56.429150027290127</v>
      </c>
      <c r="L49" s="17">
        <f t="shared" si="39"/>
        <v>19.354032086520984</v>
      </c>
      <c r="M49" s="17">
        <f t="shared" si="39"/>
        <v>33.201938623626191</v>
      </c>
      <c r="N49" s="17">
        <f t="shared" si="39"/>
        <v>63.353866230227894</v>
      </c>
      <c r="O49" s="17">
        <f t="shared" si="39"/>
        <v>56.898854527729227</v>
      </c>
      <c r="P49" s="17">
        <f t="shared" si="39"/>
        <v>26.429677311410451</v>
      </c>
      <c r="Q49" s="17">
        <f>Q225+Q397</f>
        <v>1093.1250999999997</v>
      </c>
      <c r="R49" s="427"/>
    </row>
    <row r="50" spans="3:18" x14ac:dyDescent="0.25">
      <c r="C50" s="753" t="s">
        <v>368</v>
      </c>
      <c r="D50" s="754"/>
      <c r="E50" s="28">
        <f t="shared" ref="E50:Q50" si="40">E29+E49</f>
        <v>839.93849367497796</v>
      </c>
      <c r="F50" s="28">
        <f t="shared" si="40"/>
        <v>482.09798662000696</v>
      </c>
      <c r="G50" s="28">
        <f t="shared" si="40"/>
        <v>588.80845291957166</v>
      </c>
      <c r="H50" s="28">
        <f t="shared" si="40"/>
        <v>695.19910769583169</v>
      </c>
      <c r="I50" s="28">
        <f t="shared" si="40"/>
        <v>820.90861138162836</v>
      </c>
      <c r="J50" s="28">
        <f t="shared" si="40"/>
        <v>823.02234252380697</v>
      </c>
      <c r="K50" s="28">
        <f t="shared" si="40"/>
        <v>760.39240126160519</v>
      </c>
      <c r="L50" s="28">
        <f t="shared" si="40"/>
        <v>658.18590754817467</v>
      </c>
      <c r="M50" s="28">
        <f t="shared" si="40"/>
        <v>778.33524475895422</v>
      </c>
      <c r="N50" s="28">
        <f t="shared" si="40"/>
        <v>890.41459491618991</v>
      </c>
      <c r="O50" s="28">
        <f t="shared" si="40"/>
        <v>840.53521512636701</v>
      </c>
      <c r="P50" s="28">
        <f t="shared" si="40"/>
        <v>925.00568875076397</v>
      </c>
      <c r="Q50" s="28">
        <f t="shared" si="40"/>
        <v>9687.9772621778793</v>
      </c>
    </row>
    <row r="51" spans="3:18" x14ac:dyDescent="0.25">
      <c r="C51" s="800" t="s">
        <v>369</v>
      </c>
      <c r="D51" s="801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</row>
    <row r="52" spans="3:18" x14ac:dyDescent="0.25">
      <c r="C52" s="753" t="s">
        <v>349</v>
      </c>
      <c r="D52" s="754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</row>
    <row r="53" spans="3:18" ht="15" customHeight="1" x14ac:dyDescent="0.25">
      <c r="C53" s="805" t="s">
        <v>370</v>
      </c>
      <c r="D53" s="17" t="s">
        <v>371</v>
      </c>
      <c r="E53" s="66">
        <f t="shared" ref="E53:P53" si="41">E229+E401</f>
        <v>24.158152737551788</v>
      </c>
      <c r="F53" s="66">
        <f t="shared" si="41"/>
        <v>31.057920678397146</v>
      </c>
      <c r="G53" s="66">
        <f t="shared" si="41"/>
        <v>31.597661259152446</v>
      </c>
      <c r="H53" s="66">
        <f t="shared" si="41"/>
        <v>25.992755661756682</v>
      </c>
      <c r="I53" s="66">
        <f t="shared" si="41"/>
        <v>21.229601466040918</v>
      </c>
      <c r="J53" s="66">
        <f t="shared" si="41"/>
        <v>22.623377112875033</v>
      </c>
      <c r="K53" s="66">
        <f t="shared" si="41"/>
        <v>21.960833578820086</v>
      </c>
      <c r="L53" s="66">
        <f t="shared" si="41"/>
        <v>30.849804246962663</v>
      </c>
      <c r="M53" s="66">
        <f t="shared" si="41"/>
        <v>20.625877942178228</v>
      </c>
      <c r="N53" s="66">
        <f t="shared" si="41"/>
        <v>20.796235135351409</v>
      </c>
      <c r="O53" s="66">
        <f t="shared" si="41"/>
        <v>24.250505537926259</v>
      </c>
      <c r="P53" s="66">
        <f t="shared" si="41"/>
        <v>31.099089917692606</v>
      </c>
      <c r="Q53" s="66">
        <f t="shared" ref="Q53:Q79" si="42">SUM(E53:P53)</f>
        <v>306.24181527470523</v>
      </c>
    </row>
    <row r="54" spans="3:18" x14ac:dyDescent="0.25">
      <c r="C54" s="806"/>
      <c r="D54" s="17" t="s">
        <v>372</v>
      </c>
      <c r="E54" s="66">
        <f t="shared" ref="E54:P54" si="43">E230+E402</f>
        <v>6.7221120548469209</v>
      </c>
      <c r="F54" s="66">
        <f t="shared" si="43"/>
        <v>7.8848557616312558</v>
      </c>
      <c r="G54" s="66">
        <f t="shared" si="43"/>
        <v>7.630505575772184</v>
      </c>
      <c r="H54" s="66">
        <f t="shared" si="43"/>
        <v>0</v>
      </c>
      <c r="I54" s="66">
        <f t="shared" si="43"/>
        <v>2.628285253877082</v>
      </c>
      <c r="J54" s="66">
        <f t="shared" si="43"/>
        <v>5.4503611255515532</v>
      </c>
      <c r="K54" s="66">
        <f t="shared" si="43"/>
        <v>5.6320398297366037</v>
      </c>
      <c r="L54" s="66">
        <f t="shared" si="43"/>
        <v>7.4488268715871291</v>
      </c>
      <c r="M54" s="66">
        <f t="shared" si="43"/>
        <v>6.5707131346927081</v>
      </c>
      <c r="N54" s="66">
        <f t="shared" si="43"/>
        <v>6.5707131346927081</v>
      </c>
      <c r="O54" s="66">
        <f t="shared" si="43"/>
        <v>6.2739712511904582</v>
      </c>
      <c r="P54" s="66">
        <f t="shared" si="43"/>
        <v>7.5093864396488126</v>
      </c>
      <c r="Q54" s="66">
        <f t="shared" si="42"/>
        <v>70.321770433227414</v>
      </c>
    </row>
    <row r="55" spans="3:18" ht="14.25" customHeight="1" x14ac:dyDescent="0.25">
      <c r="C55" s="806"/>
      <c r="D55" s="17" t="s">
        <v>373</v>
      </c>
      <c r="E55" s="66">
        <f t="shared" ref="E55:P55" si="44">E231+E403</f>
        <v>13.229352232380613</v>
      </c>
      <c r="F55" s="66">
        <f t="shared" si="44"/>
        <v>13.570920958292721</v>
      </c>
      <c r="G55" s="66">
        <f t="shared" si="44"/>
        <v>13.229352232380613</v>
      </c>
      <c r="H55" s="66">
        <f t="shared" si="44"/>
        <v>13.670330640126629</v>
      </c>
      <c r="I55" s="66">
        <f t="shared" si="44"/>
        <v>13.670330640126629</v>
      </c>
      <c r="J55" s="66">
        <f t="shared" si="44"/>
        <v>13.229352232380613</v>
      </c>
      <c r="K55" s="66">
        <f t="shared" si="44"/>
        <v>12.645055842117131</v>
      </c>
      <c r="L55" s="66">
        <f t="shared" si="44"/>
        <v>9.8297660920307397</v>
      </c>
      <c r="M55" s="66">
        <f t="shared" si="44"/>
        <v>8.3975478965685753</v>
      </c>
      <c r="N55" s="66">
        <f t="shared" si="44"/>
        <v>11.912165687937986</v>
      </c>
      <c r="O55" s="66">
        <f t="shared" si="44"/>
        <v>12.347395416888569</v>
      </c>
      <c r="P55" s="66">
        <f t="shared" si="44"/>
        <v>13.670330640126629</v>
      </c>
      <c r="Q55" s="66">
        <f t="shared" si="42"/>
        <v>149.40190051135744</v>
      </c>
    </row>
    <row r="56" spans="3:18" x14ac:dyDescent="0.25">
      <c r="C56" s="806"/>
      <c r="D56" s="17" t="s">
        <v>374</v>
      </c>
      <c r="E56" s="66">
        <f t="shared" ref="E56:P56" si="45">E232+E404</f>
        <v>43.962851392010023</v>
      </c>
      <c r="F56" s="66">
        <f t="shared" si="45"/>
        <v>53.270700045227024</v>
      </c>
      <c r="G56" s="66">
        <f t="shared" si="45"/>
        <v>51.621828054337627</v>
      </c>
      <c r="H56" s="66">
        <f t="shared" si="45"/>
        <v>41.550426258180082</v>
      </c>
      <c r="I56" s="66">
        <f t="shared" si="45"/>
        <v>32.461270514203179</v>
      </c>
      <c r="J56" s="66">
        <f t="shared" si="45"/>
        <v>36.440393996589378</v>
      </c>
      <c r="K56" s="66">
        <f t="shared" si="45"/>
        <v>32.249079382725384</v>
      </c>
      <c r="L56" s="66">
        <f t="shared" si="45"/>
        <v>0</v>
      </c>
      <c r="M56" s="66">
        <f t="shared" si="45"/>
        <v>21.424438539374101</v>
      </c>
      <c r="N56" s="66">
        <f t="shared" si="45"/>
        <v>42.848877078748203</v>
      </c>
      <c r="O56" s="66">
        <f t="shared" si="45"/>
        <v>42.220594423634587</v>
      </c>
      <c r="P56" s="66">
        <f t="shared" si="45"/>
        <v>51.205648634463159</v>
      </c>
      <c r="Q56" s="66">
        <f t="shared" si="42"/>
        <v>449.25610831949274</v>
      </c>
    </row>
    <row r="57" spans="3:18" x14ac:dyDescent="0.25">
      <c r="C57" s="806"/>
      <c r="D57" s="17" t="s">
        <v>375</v>
      </c>
      <c r="E57" s="66">
        <f t="shared" ref="E57:P57" si="46">E233+E405</f>
        <v>26.416959334469887</v>
      </c>
      <c r="F57" s="66">
        <f t="shared" si="46"/>
        <v>32.692707844728758</v>
      </c>
      <c r="G57" s="66">
        <f t="shared" si="46"/>
        <v>0.268007208391289</v>
      </c>
      <c r="H57" s="66">
        <f t="shared" si="46"/>
        <v>12.620274117472203</v>
      </c>
      <c r="I57" s="66">
        <f t="shared" si="46"/>
        <v>19.678408443273536</v>
      </c>
      <c r="J57" s="66">
        <f t="shared" si="46"/>
        <v>22.209415850496587</v>
      </c>
      <c r="K57" s="66">
        <f t="shared" si="46"/>
        <v>20.80624013469167</v>
      </c>
      <c r="L57" s="66">
        <f t="shared" si="46"/>
        <v>30.899636841797658</v>
      </c>
      <c r="M57" s="66">
        <f t="shared" si="46"/>
        <v>26.509442195738693</v>
      </c>
      <c r="N57" s="66">
        <f t="shared" si="46"/>
        <v>25.744557708370735</v>
      </c>
      <c r="O57" s="66">
        <f t="shared" si="46"/>
        <v>25.37100124942674</v>
      </c>
      <c r="P57" s="66">
        <f t="shared" si="46"/>
        <v>31.148674481093646</v>
      </c>
      <c r="Q57" s="66">
        <f t="shared" si="42"/>
        <v>274.36532540995137</v>
      </c>
    </row>
    <row r="58" spans="3:18" ht="14.25" customHeight="1" x14ac:dyDescent="0.25">
      <c r="C58" s="806"/>
      <c r="D58" s="17" t="s">
        <v>376</v>
      </c>
      <c r="E58" s="66">
        <f t="shared" ref="E58:P58" si="47">E234+E406</f>
        <v>31.068650041164894</v>
      </c>
      <c r="F58" s="66">
        <f t="shared" si="47"/>
        <v>37.769731422592479</v>
      </c>
      <c r="G58" s="66">
        <f t="shared" si="47"/>
        <v>24.201094674276924</v>
      </c>
      <c r="H58" s="66">
        <f t="shared" si="47"/>
        <v>23.603401425160271</v>
      </c>
      <c r="I58" s="66">
        <f t="shared" si="47"/>
        <v>23.606082139120332</v>
      </c>
      <c r="J58" s="66">
        <f t="shared" si="47"/>
        <v>25.585947092724002</v>
      </c>
      <c r="K58" s="66">
        <f t="shared" si="47"/>
        <v>22.661838853555516</v>
      </c>
      <c r="L58" s="66">
        <f t="shared" si="47"/>
        <v>24.436249063548203</v>
      </c>
      <c r="M58" s="66">
        <f t="shared" si="47"/>
        <v>22.851959430785907</v>
      </c>
      <c r="N58" s="66">
        <f t="shared" si="47"/>
        <v>28.302586270036311</v>
      </c>
      <c r="O58" s="66">
        <f t="shared" si="47"/>
        <v>29.850271608178041</v>
      </c>
      <c r="P58" s="66">
        <f t="shared" si="47"/>
        <v>36.825488137027818</v>
      </c>
      <c r="Q58" s="66">
        <f t="shared" si="42"/>
        <v>330.76330015817069</v>
      </c>
    </row>
    <row r="59" spans="3:18" x14ac:dyDescent="0.25">
      <c r="C59" s="806"/>
      <c r="D59" s="17" t="s">
        <v>377</v>
      </c>
      <c r="E59" s="66">
        <f t="shared" ref="E59:P59" si="48">E235+E407</f>
        <v>2.8640102201597601</v>
      </c>
      <c r="F59" s="66">
        <f t="shared" si="48"/>
        <v>3.4817379147040191</v>
      </c>
      <c r="G59" s="66">
        <f t="shared" si="48"/>
        <v>3.3694237884232465</v>
      </c>
      <c r="H59" s="66">
        <f t="shared" si="48"/>
        <v>2.7576773412137534</v>
      </c>
      <c r="I59" s="66">
        <f t="shared" si="48"/>
        <v>2.1760861966900156</v>
      </c>
      <c r="J59" s="66">
        <f t="shared" si="48"/>
        <v>2.3585966518962751</v>
      </c>
      <c r="K59" s="66">
        <f t="shared" si="48"/>
        <v>2.0890427488224161</v>
      </c>
      <c r="L59" s="66">
        <f t="shared" si="48"/>
        <v>3.4536593831338274</v>
      </c>
      <c r="M59" s="66">
        <f t="shared" si="48"/>
        <v>2.6983468838956175</v>
      </c>
      <c r="N59" s="66">
        <f t="shared" si="48"/>
        <v>2.7853903317632178</v>
      </c>
      <c r="O59" s="66">
        <f t="shared" si="48"/>
        <v>2.7516960938789845</v>
      </c>
      <c r="P59" s="66">
        <f t="shared" si="48"/>
        <v>3.3946944668364196</v>
      </c>
      <c r="Q59" s="66">
        <f t="shared" si="42"/>
        <v>34.180362021417551</v>
      </c>
    </row>
    <row r="60" spans="3:18" x14ac:dyDescent="0.25">
      <c r="C60" s="806"/>
      <c r="D60" s="17" t="s">
        <v>378</v>
      </c>
      <c r="E60" s="66">
        <f t="shared" ref="E60:P60" si="49">E236+E408</f>
        <v>16.532107552071373</v>
      </c>
      <c r="F60" s="66">
        <f t="shared" si="49"/>
        <v>20.097856239773034</v>
      </c>
      <c r="G60" s="66">
        <f t="shared" si="49"/>
        <v>19.449538296554547</v>
      </c>
      <c r="H60" s="66">
        <f t="shared" si="49"/>
        <v>14.570945773835451</v>
      </c>
      <c r="I60" s="66">
        <f t="shared" si="49"/>
        <v>12.561160149858146</v>
      </c>
      <c r="J60" s="66">
        <f t="shared" si="49"/>
        <v>13.097187239717934</v>
      </c>
      <c r="K60" s="66">
        <f t="shared" si="49"/>
        <v>12.058713743863821</v>
      </c>
      <c r="L60" s="66">
        <f t="shared" si="49"/>
        <v>19.449538296554547</v>
      </c>
      <c r="M60" s="66">
        <f t="shared" si="49"/>
        <v>14.099186887712921</v>
      </c>
      <c r="N60" s="66">
        <f t="shared" si="49"/>
        <v>14.103882995127739</v>
      </c>
      <c r="O60" s="66">
        <f t="shared" si="49"/>
        <v>15.883789608852885</v>
      </c>
      <c r="P60" s="66">
        <f t="shared" si="49"/>
        <v>19.099375761899388</v>
      </c>
      <c r="Q60" s="66">
        <f t="shared" si="42"/>
        <v>191.00328254582178</v>
      </c>
    </row>
    <row r="61" spans="3:18" x14ac:dyDescent="0.25">
      <c r="C61" s="807"/>
      <c r="D61" s="17" t="s">
        <v>379</v>
      </c>
      <c r="E61" s="66">
        <f t="shared" ref="E61:P61" si="50">E237+E409</f>
        <v>72.612069215788125</v>
      </c>
      <c r="F61" s="66">
        <f t="shared" si="50"/>
        <v>75.032471522981069</v>
      </c>
      <c r="G61" s="66">
        <f t="shared" si="50"/>
        <v>72.612069215788125</v>
      </c>
      <c r="H61" s="66">
        <f t="shared" si="50"/>
        <v>76.572572401956592</v>
      </c>
      <c r="I61" s="66">
        <f t="shared" si="50"/>
        <v>61.274117881711888</v>
      </c>
      <c r="J61" s="66">
        <f t="shared" si="50"/>
        <v>66.48006917146887</v>
      </c>
      <c r="K61" s="66">
        <f t="shared" si="50"/>
        <v>58.315923779275231</v>
      </c>
      <c r="L61" s="66">
        <f t="shared" si="50"/>
        <v>72.612069215788125</v>
      </c>
      <c r="M61" s="66">
        <f t="shared" si="50"/>
        <v>71.862085402291726</v>
      </c>
      <c r="N61" s="66">
        <f t="shared" si="50"/>
        <v>65.488691443357737</v>
      </c>
      <c r="O61" s="66">
        <f t="shared" si="50"/>
        <v>64.907690040779627</v>
      </c>
      <c r="P61" s="66">
        <f t="shared" si="50"/>
        <v>79.788050704015063</v>
      </c>
      <c r="Q61" s="66">
        <f t="shared" si="42"/>
        <v>837.55787999520226</v>
      </c>
    </row>
    <row r="62" spans="3:18" x14ac:dyDescent="0.25">
      <c r="C62" s="17"/>
      <c r="D62" s="17" t="s">
        <v>451</v>
      </c>
      <c r="E62" s="66">
        <f t="shared" ref="E62:P62" si="51">E238+E410</f>
        <v>72.767489673151644</v>
      </c>
      <c r="F62" s="66">
        <f t="shared" si="51"/>
        <v>75.515074580728381</v>
      </c>
      <c r="G62" s="66">
        <f t="shared" si="51"/>
        <v>73.079104432962907</v>
      </c>
      <c r="H62" s="66">
        <f t="shared" si="51"/>
        <v>73.073916062749817</v>
      </c>
      <c r="I62" s="66">
        <f t="shared" si="51"/>
        <v>60.166060623912962</v>
      </c>
      <c r="J62" s="66">
        <f t="shared" si="51"/>
        <v>64.036585304570877</v>
      </c>
      <c r="K62" s="66">
        <f t="shared" si="51"/>
        <v>57.749979709171463</v>
      </c>
      <c r="L62" s="66">
        <f t="shared" si="51"/>
        <v>73.07910443296295</v>
      </c>
      <c r="M62" s="66">
        <f t="shared" si="51"/>
        <v>70.358713927254897</v>
      </c>
      <c r="N62" s="66">
        <f t="shared" si="51"/>
        <v>64.34735228357836</v>
      </c>
      <c r="O62" s="66">
        <f t="shared" si="51"/>
        <v>65.280763307399837</v>
      </c>
      <c r="P62" s="66">
        <f t="shared" si="51"/>
        <v>80.073034922335239</v>
      </c>
      <c r="Q62" s="66">
        <f t="shared" si="42"/>
        <v>829.52717926077958</v>
      </c>
    </row>
    <row r="63" spans="3:18" x14ac:dyDescent="0.25">
      <c r="C63" s="17"/>
      <c r="D63" s="17" t="s">
        <v>380</v>
      </c>
      <c r="E63" s="66">
        <f t="shared" ref="E63:P63" si="52">E239+E411</f>
        <v>0.58011197353553634</v>
      </c>
      <c r="F63" s="66">
        <f t="shared" si="52"/>
        <v>0.70523416390598304</v>
      </c>
      <c r="G63" s="66">
        <f t="shared" si="52"/>
        <v>0.68248467474767804</v>
      </c>
      <c r="H63" s="66">
        <f t="shared" si="52"/>
        <v>0.51129476883182101</v>
      </c>
      <c r="I63" s="66">
        <f t="shared" si="52"/>
        <v>0.44077135244123467</v>
      </c>
      <c r="J63" s="66">
        <f t="shared" si="52"/>
        <v>0.44361503858601398</v>
      </c>
      <c r="K63" s="66">
        <f t="shared" si="52"/>
        <v>0.42314049834358797</v>
      </c>
      <c r="L63" s="66">
        <f t="shared" si="52"/>
        <v>0.68248467474767804</v>
      </c>
      <c r="M63" s="66">
        <f t="shared" si="52"/>
        <v>0.49366391473417437</v>
      </c>
      <c r="N63" s="66">
        <f t="shared" si="52"/>
        <v>0.47603306063652784</v>
      </c>
      <c r="O63" s="66">
        <f t="shared" si="52"/>
        <v>0.55736248437727842</v>
      </c>
      <c r="P63" s="66">
        <f t="shared" si="52"/>
        <v>0.65234160161299415</v>
      </c>
      <c r="Q63" s="66">
        <f t="shared" si="42"/>
        <v>6.6485382065005076</v>
      </c>
    </row>
    <row r="64" spans="3:18" x14ac:dyDescent="0.25">
      <c r="C64" s="17"/>
      <c r="D64" s="17" t="s">
        <v>381</v>
      </c>
      <c r="E64" s="66">
        <f t="shared" ref="E64:P64" si="53">E240+E412</f>
        <v>0.46770800785769018</v>
      </c>
      <c r="F64" s="66">
        <f t="shared" si="53"/>
        <v>0.47350168813520666</v>
      </c>
      <c r="G64" s="66">
        <f t="shared" si="53"/>
        <v>0.46770800785769018</v>
      </c>
      <c r="H64" s="66">
        <f t="shared" si="53"/>
        <v>0.50289144808842645</v>
      </c>
      <c r="I64" s="66">
        <f t="shared" si="53"/>
        <v>0.42451875487984053</v>
      </c>
      <c r="J64" s="66">
        <f t="shared" si="53"/>
        <v>0.47718857558453526</v>
      </c>
      <c r="K64" s="66">
        <f t="shared" si="53"/>
        <v>0.43431534153091372</v>
      </c>
      <c r="L64" s="66">
        <f t="shared" si="53"/>
        <v>0.46770800785769018</v>
      </c>
      <c r="M64" s="66">
        <f t="shared" si="53"/>
        <v>0.47350168813520666</v>
      </c>
      <c r="N64" s="66">
        <f t="shared" si="53"/>
        <v>0.48329827478627985</v>
      </c>
      <c r="O64" s="66">
        <f t="shared" si="53"/>
        <v>0.45422453375728838</v>
      </c>
      <c r="P64" s="66">
        <f t="shared" si="53"/>
        <v>0.52248462139057283</v>
      </c>
      <c r="Q64" s="66">
        <f t="shared" si="42"/>
        <v>5.6490489498613394</v>
      </c>
    </row>
    <row r="65" spans="3:17" x14ac:dyDescent="0.25">
      <c r="C65" s="17"/>
      <c r="D65" s="17" t="s">
        <v>382</v>
      </c>
      <c r="E65" s="66">
        <f t="shared" ref="E65:P65" si="54">E241+E413</f>
        <v>5.1392643284858111E-2</v>
      </c>
      <c r="F65" s="66">
        <f t="shared" si="54"/>
        <v>6.2477331052183713E-2</v>
      </c>
      <c r="G65" s="66">
        <f t="shared" si="54"/>
        <v>6.0461933276302615E-2</v>
      </c>
      <c r="H65" s="66">
        <f t="shared" si="54"/>
        <v>4.5296065012831718E-2</v>
      </c>
      <c r="I65" s="66">
        <f t="shared" si="54"/>
        <v>3.9048331907614406E-2</v>
      </c>
      <c r="J65" s="66">
        <f t="shared" si="54"/>
        <v>3.9300256629598761E-2</v>
      </c>
      <c r="K65" s="66">
        <f t="shared" si="54"/>
        <v>3.7486398631310064E-2</v>
      </c>
      <c r="L65" s="66">
        <f t="shared" si="54"/>
        <v>6.0461933276302615E-2</v>
      </c>
      <c r="M65" s="66">
        <f t="shared" si="54"/>
        <v>4.373413173652739E-2</v>
      </c>
      <c r="N65" s="66">
        <f t="shared" si="54"/>
        <v>4.2172198460223062E-2</v>
      </c>
      <c r="O65" s="66">
        <f t="shared" si="54"/>
        <v>4.9377245508981177E-2</v>
      </c>
      <c r="P65" s="66">
        <f t="shared" si="54"/>
        <v>5.7791531223266392E-2</v>
      </c>
      <c r="Q65" s="66">
        <f t="shared" si="42"/>
        <v>0.58900000000000008</v>
      </c>
    </row>
    <row r="66" spans="3:17" x14ac:dyDescent="0.25">
      <c r="C66" s="17"/>
      <c r="D66" s="17" t="s">
        <v>383</v>
      </c>
      <c r="E66" s="66">
        <f t="shared" ref="E66:P66" si="55">E242+E414</f>
        <v>3.2886847124775294</v>
      </c>
      <c r="F66" s="66">
        <f t="shared" si="55"/>
        <v>3.3983075362267798</v>
      </c>
      <c r="G66" s="66">
        <f t="shared" si="55"/>
        <v>3.2886847124775294</v>
      </c>
      <c r="H66" s="66">
        <f t="shared" si="55"/>
        <v>3.6738459851100322</v>
      </c>
      <c r="I66" s="66">
        <f t="shared" si="55"/>
        <v>3.0538844751227145</v>
      </c>
      <c r="J66" s="66">
        <f t="shared" si="55"/>
        <v>3.5553348243000307</v>
      </c>
      <c r="K66" s="66">
        <f t="shared" si="55"/>
        <v>3.1916536995643403</v>
      </c>
      <c r="L66" s="66">
        <f t="shared" si="55"/>
        <v>3.2886847124775294</v>
      </c>
      <c r="M66" s="66">
        <f t="shared" si="55"/>
        <v>3.3983075362267798</v>
      </c>
      <c r="N66" s="66">
        <f t="shared" si="55"/>
        <v>3.3983075362267798</v>
      </c>
      <c r="O66" s="66">
        <f t="shared" si="55"/>
        <v>3.3183125026800284</v>
      </c>
      <c r="P66" s="66">
        <f t="shared" si="55"/>
        <v>3.6738459851100322</v>
      </c>
      <c r="Q66" s="66">
        <f t="shared" si="42"/>
        <v>40.527854218000108</v>
      </c>
    </row>
    <row r="67" spans="3:17" x14ac:dyDescent="0.25">
      <c r="C67" s="17"/>
      <c r="D67" s="17" t="s">
        <v>384</v>
      </c>
      <c r="E67" s="66">
        <f t="shared" ref="E67:P67" si="56">E243+E415</f>
        <v>1.8640112581329045</v>
      </c>
      <c r="F67" s="66">
        <f t="shared" si="56"/>
        <v>1.9261449667373345</v>
      </c>
      <c r="G67" s="66">
        <f t="shared" si="56"/>
        <v>1.8640112581329045</v>
      </c>
      <c r="H67" s="66">
        <f t="shared" si="56"/>
        <v>2.0823188829592807</v>
      </c>
      <c r="I67" s="66">
        <f t="shared" si="56"/>
        <v>1.7309275714599022</v>
      </c>
      <c r="J67" s="66">
        <f t="shared" si="56"/>
        <v>2.0151473060896263</v>
      </c>
      <c r="K67" s="66">
        <f t="shared" si="56"/>
        <v>1.8090145295708748</v>
      </c>
      <c r="L67" s="66">
        <f t="shared" si="56"/>
        <v>1.8640112581329045</v>
      </c>
      <c r="M67" s="66">
        <f t="shared" si="56"/>
        <v>1.9261449667373345</v>
      </c>
      <c r="N67" s="66">
        <f t="shared" si="56"/>
        <v>1.9261449667373345</v>
      </c>
      <c r="O67" s="66">
        <f t="shared" si="56"/>
        <v>1.8808041523503174</v>
      </c>
      <c r="P67" s="66">
        <f t="shared" si="56"/>
        <v>2.0823188829592807</v>
      </c>
      <c r="Q67" s="66">
        <f t="shared" si="42"/>
        <v>22.971000000000004</v>
      </c>
    </row>
    <row r="68" spans="3:17" x14ac:dyDescent="0.25">
      <c r="C68" s="17"/>
      <c r="D68" s="17" t="s">
        <v>379</v>
      </c>
      <c r="E68" s="66">
        <f t="shared" ref="E68:P68" si="57">E244+E416</f>
        <v>10.358678435700703</v>
      </c>
      <c r="F68" s="66">
        <f t="shared" si="57"/>
        <v>8.0984509308569237</v>
      </c>
      <c r="G68" s="66">
        <f t="shared" si="57"/>
        <v>9.7923511757669033</v>
      </c>
      <c r="H68" s="66">
        <f t="shared" si="57"/>
        <v>9.9432926716642314</v>
      </c>
      <c r="I68" s="66">
        <f t="shared" si="57"/>
        <v>7.9221121773611491</v>
      </c>
      <c r="J68" s="66">
        <f t="shared" si="57"/>
        <v>8.6607959027211514</v>
      </c>
      <c r="K68" s="66">
        <f t="shared" si="57"/>
        <v>7.8744364714646746</v>
      </c>
      <c r="L68" s="66">
        <f t="shared" si="57"/>
        <v>11.560891521422118</v>
      </c>
      <c r="M68" s="66">
        <f t="shared" si="57"/>
        <v>9.9116443476218556</v>
      </c>
      <c r="N68" s="66">
        <f t="shared" si="57"/>
        <v>9.806135434206972</v>
      </c>
      <c r="O68" s="66">
        <f t="shared" si="57"/>
        <v>9.6349009656683631</v>
      </c>
      <c r="P68" s="66">
        <f t="shared" si="57"/>
        <v>11.924164899266593</v>
      </c>
      <c r="Q68" s="66">
        <f t="shared" si="42"/>
        <v>115.48785493372165</v>
      </c>
    </row>
    <row r="69" spans="3:17" x14ac:dyDescent="0.25">
      <c r="C69" s="17"/>
      <c r="D69" s="17" t="s">
        <v>385</v>
      </c>
      <c r="E69" s="66">
        <f t="shared" ref="E69:P69" si="58">E245+E417</f>
        <v>9.3682610772104002</v>
      </c>
      <c r="F69" s="66">
        <f t="shared" si="58"/>
        <v>0</v>
      </c>
      <c r="G69" s="66">
        <f t="shared" si="58"/>
        <v>4.7852268811650243</v>
      </c>
      <c r="H69" s="66">
        <f t="shared" si="58"/>
        <v>9.2345651452106132</v>
      </c>
      <c r="I69" s="66">
        <f t="shared" si="58"/>
        <v>7.591212033547718</v>
      </c>
      <c r="J69" s="66">
        <f t="shared" si="58"/>
        <v>7.9529122813728659</v>
      </c>
      <c r="K69" s="66">
        <f t="shared" si="58"/>
        <v>7.3822795922574143</v>
      </c>
      <c r="L69" s="66">
        <f t="shared" si="58"/>
        <v>9.5704537623300769</v>
      </c>
      <c r="M69" s="66">
        <f t="shared" si="58"/>
        <v>8.6851759580917793</v>
      </c>
      <c r="N69" s="66">
        <f t="shared" si="58"/>
        <v>8.4269417987089277</v>
      </c>
      <c r="O69" s="66">
        <f t="shared" si="58"/>
        <v>8.2361966872408718</v>
      </c>
      <c r="P69" s="66">
        <f t="shared" si="58"/>
        <v>10.307333770321655</v>
      </c>
      <c r="Q69" s="66">
        <f t="shared" si="42"/>
        <v>91.540558987457359</v>
      </c>
    </row>
    <row r="70" spans="3:17" x14ac:dyDescent="0.25">
      <c r="C70" s="17"/>
      <c r="D70" s="17"/>
      <c r="E70" s="66">
        <f t="shared" ref="E70:P70" si="59">E246+E419</f>
        <v>0</v>
      </c>
      <c r="F70" s="66">
        <f t="shared" si="59"/>
        <v>0</v>
      </c>
      <c r="G70" s="66">
        <f t="shared" si="59"/>
        <v>0</v>
      </c>
      <c r="H70" s="66">
        <f t="shared" si="59"/>
        <v>0</v>
      </c>
      <c r="I70" s="66">
        <f t="shared" si="59"/>
        <v>0</v>
      </c>
      <c r="J70" s="66">
        <f t="shared" si="59"/>
        <v>0</v>
      </c>
      <c r="K70" s="66">
        <f t="shared" si="59"/>
        <v>0</v>
      </c>
      <c r="L70" s="66">
        <f t="shared" si="59"/>
        <v>0</v>
      </c>
      <c r="M70" s="66">
        <f t="shared" si="59"/>
        <v>0</v>
      </c>
      <c r="N70" s="66">
        <f t="shared" si="59"/>
        <v>0</v>
      </c>
      <c r="O70" s="66">
        <f t="shared" si="59"/>
        <v>0</v>
      </c>
      <c r="P70" s="66">
        <f t="shared" si="59"/>
        <v>0</v>
      </c>
      <c r="Q70" s="66">
        <f t="shared" si="42"/>
        <v>0</v>
      </c>
    </row>
    <row r="71" spans="3:17" x14ac:dyDescent="0.25">
      <c r="C71" s="17"/>
      <c r="D71" s="17"/>
      <c r="E71" s="66">
        <f t="shared" ref="E71:P71" si="60">E247+E420</f>
        <v>0</v>
      </c>
      <c r="F71" s="66">
        <f t="shared" si="60"/>
        <v>0</v>
      </c>
      <c r="G71" s="66">
        <f t="shared" si="60"/>
        <v>0</v>
      </c>
      <c r="H71" s="66">
        <f t="shared" si="60"/>
        <v>0</v>
      </c>
      <c r="I71" s="66">
        <f t="shared" si="60"/>
        <v>0</v>
      </c>
      <c r="J71" s="66">
        <f t="shared" si="60"/>
        <v>0</v>
      </c>
      <c r="K71" s="66">
        <f t="shared" si="60"/>
        <v>0</v>
      </c>
      <c r="L71" s="66">
        <f t="shared" si="60"/>
        <v>0</v>
      </c>
      <c r="M71" s="66">
        <f t="shared" si="60"/>
        <v>0</v>
      </c>
      <c r="N71" s="66">
        <f t="shared" si="60"/>
        <v>0</v>
      </c>
      <c r="O71" s="66">
        <f t="shared" si="60"/>
        <v>0</v>
      </c>
      <c r="P71" s="66">
        <f t="shared" si="60"/>
        <v>0</v>
      </c>
      <c r="Q71" s="66">
        <f t="shared" si="42"/>
        <v>0</v>
      </c>
    </row>
    <row r="72" spans="3:17" x14ac:dyDescent="0.25">
      <c r="C72" s="17"/>
      <c r="D72" s="17"/>
      <c r="E72" s="66">
        <f t="shared" ref="E72:P72" si="61">E248+E421</f>
        <v>0</v>
      </c>
      <c r="F72" s="66">
        <f t="shared" si="61"/>
        <v>0</v>
      </c>
      <c r="G72" s="66">
        <f t="shared" si="61"/>
        <v>0</v>
      </c>
      <c r="H72" s="66">
        <f t="shared" si="61"/>
        <v>0</v>
      </c>
      <c r="I72" s="66">
        <f t="shared" si="61"/>
        <v>0</v>
      </c>
      <c r="J72" s="66">
        <f t="shared" si="61"/>
        <v>0</v>
      </c>
      <c r="K72" s="66">
        <f t="shared" si="61"/>
        <v>0</v>
      </c>
      <c r="L72" s="66">
        <f t="shared" si="61"/>
        <v>0</v>
      </c>
      <c r="M72" s="66">
        <f t="shared" si="61"/>
        <v>0</v>
      </c>
      <c r="N72" s="66">
        <f t="shared" si="61"/>
        <v>0</v>
      </c>
      <c r="O72" s="66">
        <f t="shared" si="61"/>
        <v>0</v>
      </c>
      <c r="P72" s="66">
        <f t="shared" si="61"/>
        <v>0</v>
      </c>
      <c r="Q72" s="66">
        <f t="shared" si="42"/>
        <v>0</v>
      </c>
    </row>
    <row r="73" spans="3:17" x14ac:dyDescent="0.25">
      <c r="C73" s="17"/>
      <c r="D73" s="17"/>
      <c r="E73" s="66">
        <f t="shared" ref="E73:P73" si="62">E249+E422</f>
        <v>0</v>
      </c>
      <c r="F73" s="66">
        <f t="shared" si="62"/>
        <v>0</v>
      </c>
      <c r="G73" s="66">
        <f t="shared" si="62"/>
        <v>0</v>
      </c>
      <c r="H73" s="66">
        <f t="shared" si="62"/>
        <v>0</v>
      </c>
      <c r="I73" s="66">
        <f t="shared" si="62"/>
        <v>0</v>
      </c>
      <c r="J73" s="66">
        <f t="shared" si="62"/>
        <v>0</v>
      </c>
      <c r="K73" s="66">
        <f t="shared" si="62"/>
        <v>0</v>
      </c>
      <c r="L73" s="66">
        <f t="shared" si="62"/>
        <v>0</v>
      </c>
      <c r="M73" s="66">
        <f t="shared" si="62"/>
        <v>0</v>
      </c>
      <c r="N73" s="66">
        <f t="shared" si="62"/>
        <v>0</v>
      </c>
      <c r="O73" s="66">
        <f t="shared" si="62"/>
        <v>0</v>
      </c>
      <c r="P73" s="66">
        <f t="shared" si="62"/>
        <v>0</v>
      </c>
      <c r="Q73" s="66">
        <f t="shared" si="42"/>
        <v>0</v>
      </c>
    </row>
    <row r="74" spans="3:17" x14ac:dyDescent="0.25">
      <c r="C74" s="17"/>
      <c r="D74" s="17"/>
      <c r="E74" s="66">
        <f t="shared" ref="E74:P74" si="63">E250+E423</f>
        <v>0</v>
      </c>
      <c r="F74" s="66">
        <f t="shared" si="63"/>
        <v>0</v>
      </c>
      <c r="G74" s="66">
        <f t="shared" si="63"/>
        <v>0</v>
      </c>
      <c r="H74" s="66">
        <f t="shared" si="63"/>
        <v>0</v>
      </c>
      <c r="I74" s="66">
        <f t="shared" si="63"/>
        <v>0</v>
      </c>
      <c r="J74" s="66">
        <f t="shared" si="63"/>
        <v>0</v>
      </c>
      <c r="K74" s="66">
        <f t="shared" si="63"/>
        <v>0</v>
      </c>
      <c r="L74" s="66">
        <f t="shared" si="63"/>
        <v>0</v>
      </c>
      <c r="M74" s="66">
        <f t="shared" si="63"/>
        <v>0</v>
      </c>
      <c r="N74" s="66">
        <f t="shared" si="63"/>
        <v>0</v>
      </c>
      <c r="O74" s="66">
        <f t="shared" si="63"/>
        <v>0</v>
      </c>
      <c r="P74" s="66">
        <f t="shared" si="63"/>
        <v>0</v>
      </c>
      <c r="Q74" s="66">
        <f t="shared" si="42"/>
        <v>0</v>
      </c>
    </row>
    <row r="75" spans="3:17" x14ac:dyDescent="0.25">
      <c r="C75" s="17"/>
      <c r="D75" s="17"/>
      <c r="E75" s="66">
        <f t="shared" ref="E75:P75" si="64">E251+E424</f>
        <v>0</v>
      </c>
      <c r="F75" s="66">
        <f t="shared" si="64"/>
        <v>0</v>
      </c>
      <c r="G75" s="66">
        <f t="shared" si="64"/>
        <v>0</v>
      </c>
      <c r="H75" s="66">
        <f t="shared" si="64"/>
        <v>0</v>
      </c>
      <c r="I75" s="66">
        <f t="shared" si="64"/>
        <v>0</v>
      </c>
      <c r="J75" s="66">
        <f t="shared" si="64"/>
        <v>0</v>
      </c>
      <c r="K75" s="66">
        <f t="shared" si="64"/>
        <v>0</v>
      </c>
      <c r="L75" s="66">
        <f t="shared" si="64"/>
        <v>0</v>
      </c>
      <c r="M75" s="66">
        <f t="shared" si="64"/>
        <v>0</v>
      </c>
      <c r="N75" s="66">
        <f t="shared" si="64"/>
        <v>0</v>
      </c>
      <c r="O75" s="66">
        <f t="shared" si="64"/>
        <v>0</v>
      </c>
      <c r="P75" s="66">
        <f t="shared" si="64"/>
        <v>0</v>
      </c>
      <c r="Q75" s="66">
        <f t="shared" si="42"/>
        <v>0</v>
      </c>
    </row>
    <row r="76" spans="3:17" x14ac:dyDescent="0.25">
      <c r="C76" s="17"/>
      <c r="D76" s="17"/>
      <c r="E76" s="66">
        <f t="shared" ref="E76:P76" si="65">E252+E425</f>
        <v>0</v>
      </c>
      <c r="F76" s="66">
        <f t="shared" si="65"/>
        <v>0</v>
      </c>
      <c r="G76" s="66">
        <f t="shared" si="65"/>
        <v>0</v>
      </c>
      <c r="H76" s="66">
        <f t="shared" si="65"/>
        <v>0</v>
      </c>
      <c r="I76" s="66">
        <f t="shared" si="65"/>
        <v>0</v>
      </c>
      <c r="J76" s="66">
        <f t="shared" si="65"/>
        <v>0</v>
      </c>
      <c r="K76" s="66">
        <f t="shared" si="65"/>
        <v>0</v>
      </c>
      <c r="L76" s="66">
        <f t="shared" si="65"/>
        <v>0</v>
      </c>
      <c r="M76" s="66">
        <f t="shared" si="65"/>
        <v>0</v>
      </c>
      <c r="N76" s="66">
        <f t="shared" si="65"/>
        <v>0</v>
      </c>
      <c r="O76" s="66">
        <f t="shared" si="65"/>
        <v>0</v>
      </c>
      <c r="P76" s="66">
        <f t="shared" si="65"/>
        <v>0</v>
      </c>
      <c r="Q76" s="66">
        <f t="shared" si="42"/>
        <v>0</v>
      </c>
    </row>
    <row r="77" spans="3:17" x14ac:dyDescent="0.25">
      <c r="C77" s="17"/>
      <c r="D77" s="17"/>
      <c r="E77" s="66">
        <f t="shared" ref="E77:P77" si="66">E253+E426</f>
        <v>0</v>
      </c>
      <c r="F77" s="66">
        <f t="shared" si="66"/>
        <v>0</v>
      </c>
      <c r="G77" s="66">
        <f t="shared" si="66"/>
        <v>0</v>
      </c>
      <c r="H77" s="66">
        <f t="shared" si="66"/>
        <v>0</v>
      </c>
      <c r="I77" s="66">
        <f t="shared" si="66"/>
        <v>0</v>
      </c>
      <c r="J77" s="66">
        <f t="shared" si="66"/>
        <v>0</v>
      </c>
      <c r="K77" s="66">
        <f t="shared" si="66"/>
        <v>0</v>
      </c>
      <c r="L77" s="66">
        <f t="shared" si="66"/>
        <v>0</v>
      </c>
      <c r="M77" s="66">
        <f t="shared" si="66"/>
        <v>0</v>
      </c>
      <c r="N77" s="66">
        <f t="shared" si="66"/>
        <v>0</v>
      </c>
      <c r="O77" s="66">
        <f t="shared" si="66"/>
        <v>0</v>
      </c>
      <c r="P77" s="66">
        <f t="shared" si="66"/>
        <v>0</v>
      </c>
      <c r="Q77" s="66">
        <f t="shared" si="42"/>
        <v>0</v>
      </c>
    </row>
    <row r="78" spans="3:17" x14ac:dyDescent="0.25">
      <c r="C78" s="17"/>
      <c r="D78" s="17"/>
      <c r="E78" s="66">
        <f t="shared" ref="E78:P78" si="67">E254+E427</f>
        <v>0</v>
      </c>
      <c r="F78" s="66">
        <f t="shared" si="67"/>
        <v>0</v>
      </c>
      <c r="G78" s="66">
        <f t="shared" si="67"/>
        <v>0</v>
      </c>
      <c r="H78" s="66">
        <f t="shared" si="67"/>
        <v>0</v>
      </c>
      <c r="I78" s="66">
        <f t="shared" si="67"/>
        <v>0</v>
      </c>
      <c r="J78" s="66">
        <f t="shared" si="67"/>
        <v>0</v>
      </c>
      <c r="K78" s="66">
        <f t="shared" si="67"/>
        <v>0</v>
      </c>
      <c r="L78" s="66">
        <f t="shared" si="67"/>
        <v>0</v>
      </c>
      <c r="M78" s="66">
        <f t="shared" si="67"/>
        <v>0</v>
      </c>
      <c r="N78" s="66">
        <f t="shared" si="67"/>
        <v>0</v>
      </c>
      <c r="O78" s="66">
        <f t="shared" si="67"/>
        <v>0</v>
      </c>
      <c r="P78" s="66">
        <f t="shared" si="67"/>
        <v>0</v>
      </c>
      <c r="Q78" s="66">
        <f t="shared" si="42"/>
        <v>0</v>
      </c>
    </row>
    <row r="79" spans="3:17" x14ac:dyDescent="0.25">
      <c r="C79" s="751" t="s">
        <v>212</v>
      </c>
      <c r="D79" s="752"/>
      <c r="E79" s="108">
        <f t="shared" ref="E79:P79" si="68">SUM(E53:E78)</f>
        <v>336.31260256179462</v>
      </c>
      <c r="F79" s="108">
        <f t="shared" si="68"/>
        <v>365.03809358597027</v>
      </c>
      <c r="G79" s="108">
        <f t="shared" si="68"/>
        <v>317.999513381464</v>
      </c>
      <c r="H79" s="108">
        <f t="shared" si="68"/>
        <v>310.40580464932867</v>
      </c>
      <c r="I79" s="108">
        <f t="shared" si="68"/>
        <v>270.65387800553486</v>
      </c>
      <c r="J79" s="108">
        <f t="shared" si="68"/>
        <v>294.65557996355489</v>
      </c>
      <c r="K79" s="108">
        <f t="shared" si="68"/>
        <v>267.32107413414246</v>
      </c>
      <c r="L79" s="108">
        <f t="shared" si="68"/>
        <v>299.55335031461016</v>
      </c>
      <c r="M79" s="108">
        <f t="shared" si="68"/>
        <v>290.33048478377708</v>
      </c>
      <c r="N79" s="108">
        <f t="shared" si="68"/>
        <v>307.45948533872746</v>
      </c>
      <c r="O79" s="108">
        <f t="shared" si="68"/>
        <v>313.26885710973914</v>
      </c>
      <c r="P79" s="108">
        <f t="shared" si="68"/>
        <v>383.03405539702305</v>
      </c>
      <c r="Q79" s="108">
        <f t="shared" si="42"/>
        <v>3756.0327792256667</v>
      </c>
    </row>
    <row r="80" spans="3:17" x14ac:dyDescent="0.25">
      <c r="C80" s="753" t="s">
        <v>387</v>
      </c>
      <c r="D80" s="754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</row>
    <row r="81" spans="3:18" x14ac:dyDescent="0.25">
      <c r="C81" s="805" t="s">
        <v>388</v>
      </c>
      <c r="D81" s="17" t="s">
        <v>389</v>
      </c>
      <c r="E81" s="17">
        <f t="shared" ref="E81:P81" si="69">E257+E430</f>
        <v>1.2048453543712676</v>
      </c>
      <c r="F81" s="17">
        <f t="shared" si="69"/>
        <v>1.2450068661836435</v>
      </c>
      <c r="G81" s="17">
        <f t="shared" si="69"/>
        <v>1.2048453543712676</v>
      </c>
      <c r="H81" s="17">
        <f t="shared" si="69"/>
        <v>1.2450068661836435</v>
      </c>
      <c r="I81" s="17">
        <f t="shared" si="69"/>
        <v>1.2450068661836435</v>
      </c>
      <c r="J81" s="17">
        <f t="shared" si="69"/>
        <v>1.2048453543712676</v>
      </c>
      <c r="K81" s="17">
        <f t="shared" si="69"/>
        <v>1.2450068661836435</v>
      </c>
      <c r="L81" s="17">
        <f t="shared" si="69"/>
        <v>1.2048453543712676</v>
      </c>
      <c r="M81" s="17">
        <f t="shared" si="69"/>
        <v>1.2450068661836435</v>
      </c>
      <c r="N81" s="17">
        <f t="shared" si="69"/>
        <v>1.2450068661836435</v>
      </c>
      <c r="O81" s="17">
        <f t="shared" si="69"/>
        <v>1.1245223307465162</v>
      </c>
      <c r="P81" s="17">
        <f t="shared" si="69"/>
        <v>1.2450068661836435</v>
      </c>
      <c r="Q81" s="17">
        <f t="shared" ref="Q81:Q96" si="70">SUM(E81:P81)</f>
        <v>14.658951811517092</v>
      </c>
    </row>
    <row r="82" spans="3:18" x14ac:dyDescent="0.25">
      <c r="C82" s="806"/>
      <c r="D82" s="17" t="s">
        <v>390</v>
      </c>
      <c r="E82" s="17">
        <f t="shared" ref="E82:P82" si="71">E258+E431</f>
        <v>5.1629135032843383</v>
      </c>
      <c r="F82" s="17">
        <f t="shared" si="71"/>
        <v>5.3350106200604817</v>
      </c>
      <c r="G82" s="17">
        <f t="shared" si="71"/>
        <v>5.1629135032843383</v>
      </c>
      <c r="H82" s="17">
        <f t="shared" si="71"/>
        <v>5.3350106200604817</v>
      </c>
      <c r="I82" s="17">
        <f t="shared" si="71"/>
        <v>5.3350106200604817</v>
      </c>
      <c r="J82" s="17">
        <f t="shared" si="71"/>
        <v>5.1629135032843383</v>
      </c>
      <c r="K82" s="17">
        <f t="shared" si="71"/>
        <v>5.3350106200604817</v>
      </c>
      <c r="L82" s="17">
        <f t="shared" si="71"/>
        <v>5.1629135032843383</v>
      </c>
      <c r="M82" s="17">
        <f t="shared" si="71"/>
        <v>5.3350106200604817</v>
      </c>
      <c r="N82" s="17">
        <f t="shared" si="71"/>
        <v>5.3350106200604817</v>
      </c>
      <c r="O82" s="17">
        <f t="shared" si="71"/>
        <v>4.8187192697320471</v>
      </c>
      <c r="P82" s="17">
        <f t="shared" si="71"/>
        <v>5.3350106200604817</v>
      </c>
      <c r="Q82" s="17">
        <f t="shared" si="70"/>
        <v>62.815447623292762</v>
      </c>
    </row>
    <row r="83" spans="3:18" x14ac:dyDescent="0.25">
      <c r="C83" s="806"/>
      <c r="D83" s="17" t="s">
        <v>391</v>
      </c>
      <c r="E83" s="17">
        <f t="shared" ref="E83:P83" si="72">E259+E432</f>
        <v>5.1629135032843383</v>
      </c>
      <c r="F83" s="17">
        <f t="shared" si="72"/>
        <v>5.3350106200604817</v>
      </c>
      <c r="G83" s="17">
        <f t="shared" si="72"/>
        <v>5.1629135032843383</v>
      </c>
      <c r="H83" s="17">
        <f t="shared" si="72"/>
        <v>5.3350106200604817</v>
      </c>
      <c r="I83" s="17">
        <f t="shared" si="72"/>
        <v>5.3350106200604817</v>
      </c>
      <c r="J83" s="17">
        <f t="shared" si="72"/>
        <v>5.1629135032843383</v>
      </c>
      <c r="K83" s="17">
        <f t="shared" si="72"/>
        <v>5.3350106200604817</v>
      </c>
      <c r="L83" s="17">
        <f t="shared" si="72"/>
        <v>5.1629135032843383</v>
      </c>
      <c r="M83" s="17">
        <f t="shared" si="72"/>
        <v>5.3350106200604817</v>
      </c>
      <c r="N83" s="17">
        <f t="shared" si="72"/>
        <v>5.3350106200604817</v>
      </c>
      <c r="O83" s="17">
        <f t="shared" si="72"/>
        <v>4.8187192697320471</v>
      </c>
      <c r="P83" s="17">
        <f t="shared" si="72"/>
        <v>5.3350106200604817</v>
      </c>
      <c r="Q83" s="17">
        <f t="shared" si="70"/>
        <v>62.815447623292762</v>
      </c>
    </row>
    <row r="84" spans="3:18" x14ac:dyDescent="0.25">
      <c r="C84" s="807"/>
      <c r="D84" s="17" t="s">
        <v>392</v>
      </c>
      <c r="E84" s="17">
        <f t="shared" ref="E84:P84" si="73">E260+E433</f>
        <v>4.8408449546670775</v>
      </c>
      <c r="F84" s="17">
        <f t="shared" si="73"/>
        <v>5.0022064531559804</v>
      </c>
      <c r="G84" s="17">
        <f t="shared" si="73"/>
        <v>4.8408449546670775</v>
      </c>
      <c r="H84" s="17">
        <f t="shared" si="73"/>
        <v>5.0022064531559804</v>
      </c>
      <c r="I84" s="17">
        <f t="shared" si="73"/>
        <v>5.0022064531559804</v>
      </c>
      <c r="J84" s="17">
        <f t="shared" si="73"/>
        <v>4.8408449546670775</v>
      </c>
      <c r="K84" s="17">
        <f t="shared" si="73"/>
        <v>5.0022064531559804</v>
      </c>
      <c r="L84" s="17">
        <f t="shared" si="73"/>
        <v>4.8408449546670775</v>
      </c>
      <c r="M84" s="17">
        <f t="shared" si="73"/>
        <v>5.0022064531559804</v>
      </c>
      <c r="N84" s="17">
        <f t="shared" si="73"/>
        <v>5.0022064531559804</v>
      </c>
      <c r="O84" s="17">
        <f t="shared" si="73"/>
        <v>4.5181219576892717</v>
      </c>
      <c r="P84" s="17">
        <f t="shared" si="73"/>
        <v>5.0022064531559804</v>
      </c>
      <c r="Q84" s="17">
        <f t="shared" si="70"/>
        <v>58.89694694844944</v>
      </c>
    </row>
    <row r="85" spans="3:18" x14ac:dyDescent="0.25">
      <c r="C85" s="17"/>
      <c r="D85" s="17"/>
      <c r="E85" s="17">
        <f t="shared" ref="E85:P85" si="74">E261+E434</f>
        <v>0</v>
      </c>
      <c r="F85" s="17">
        <f t="shared" si="74"/>
        <v>0</v>
      </c>
      <c r="G85" s="17">
        <f t="shared" si="74"/>
        <v>0</v>
      </c>
      <c r="H85" s="17">
        <f t="shared" si="74"/>
        <v>0</v>
      </c>
      <c r="I85" s="17">
        <f t="shared" si="74"/>
        <v>0</v>
      </c>
      <c r="J85" s="17">
        <f t="shared" si="74"/>
        <v>0</v>
      </c>
      <c r="K85" s="17">
        <f t="shared" si="74"/>
        <v>0</v>
      </c>
      <c r="L85" s="17">
        <f t="shared" si="74"/>
        <v>0</v>
      </c>
      <c r="M85" s="17">
        <f t="shared" si="74"/>
        <v>0</v>
      </c>
      <c r="N85" s="17">
        <f t="shared" si="74"/>
        <v>0</v>
      </c>
      <c r="O85" s="17">
        <f t="shared" si="74"/>
        <v>0</v>
      </c>
      <c r="P85" s="17">
        <f t="shared" si="74"/>
        <v>0</v>
      </c>
      <c r="Q85" s="17">
        <f t="shared" si="70"/>
        <v>0</v>
      </c>
    </row>
    <row r="86" spans="3:18" x14ac:dyDescent="0.25">
      <c r="C86" s="17"/>
      <c r="D86" s="17"/>
      <c r="E86" s="17">
        <f t="shared" ref="E86:P86" si="75">E262+E435</f>
        <v>0</v>
      </c>
      <c r="F86" s="17">
        <f t="shared" si="75"/>
        <v>0</v>
      </c>
      <c r="G86" s="17">
        <f t="shared" si="75"/>
        <v>0</v>
      </c>
      <c r="H86" s="17">
        <f t="shared" si="75"/>
        <v>0</v>
      </c>
      <c r="I86" s="17">
        <f t="shared" si="75"/>
        <v>0</v>
      </c>
      <c r="J86" s="17">
        <f t="shared" si="75"/>
        <v>0</v>
      </c>
      <c r="K86" s="17">
        <f t="shared" si="75"/>
        <v>0</v>
      </c>
      <c r="L86" s="17">
        <f t="shared" si="75"/>
        <v>0</v>
      </c>
      <c r="M86" s="17">
        <f t="shared" si="75"/>
        <v>0</v>
      </c>
      <c r="N86" s="17">
        <f t="shared" si="75"/>
        <v>0</v>
      </c>
      <c r="O86" s="17">
        <f t="shared" si="75"/>
        <v>0</v>
      </c>
      <c r="P86" s="17">
        <f t="shared" si="75"/>
        <v>0</v>
      </c>
      <c r="Q86" s="17">
        <f t="shared" si="70"/>
        <v>0</v>
      </c>
    </row>
    <row r="87" spans="3:18" x14ac:dyDescent="0.25">
      <c r="C87" s="17"/>
      <c r="D87" s="17"/>
      <c r="E87" s="17">
        <f t="shared" ref="E87:P87" si="76">E263+E436</f>
        <v>0</v>
      </c>
      <c r="F87" s="17">
        <f t="shared" si="76"/>
        <v>0</v>
      </c>
      <c r="G87" s="17">
        <f t="shared" si="76"/>
        <v>0</v>
      </c>
      <c r="H87" s="17">
        <f t="shared" si="76"/>
        <v>0</v>
      </c>
      <c r="I87" s="17">
        <f t="shared" si="76"/>
        <v>0</v>
      </c>
      <c r="J87" s="17">
        <f t="shared" si="76"/>
        <v>0</v>
      </c>
      <c r="K87" s="17">
        <f t="shared" si="76"/>
        <v>0</v>
      </c>
      <c r="L87" s="17">
        <f t="shared" si="76"/>
        <v>0</v>
      </c>
      <c r="M87" s="17">
        <f t="shared" si="76"/>
        <v>0</v>
      </c>
      <c r="N87" s="17">
        <f t="shared" si="76"/>
        <v>0</v>
      </c>
      <c r="O87" s="17">
        <f t="shared" si="76"/>
        <v>0</v>
      </c>
      <c r="P87" s="17">
        <f t="shared" si="76"/>
        <v>0</v>
      </c>
      <c r="Q87" s="17">
        <f t="shared" si="70"/>
        <v>0</v>
      </c>
    </row>
    <row r="88" spans="3:18" x14ac:dyDescent="0.25">
      <c r="C88" s="17"/>
      <c r="D88" s="17"/>
      <c r="E88" s="17">
        <f t="shared" ref="E88:P88" si="77">E264+E437</f>
        <v>0</v>
      </c>
      <c r="F88" s="17">
        <f t="shared" si="77"/>
        <v>0</v>
      </c>
      <c r="G88" s="17">
        <f t="shared" si="77"/>
        <v>0</v>
      </c>
      <c r="H88" s="17">
        <f t="shared" si="77"/>
        <v>0</v>
      </c>
      <c r="I88" s="17">
        <f t="shared" si="77"/>
        <v>0</v>
      </c>
      <c r="J88" s="17">
        <f t="shared" si="77"/>
        <v>0</v>
      </c>
      <c r="K88" s="17">
        <f t="shared" si="77"/>
        <v>0</v>
      </c>
      <c r="L88" s="17">
        <f t="shared" si="77"/>
        <v>0</v>
      </c>
      <c r="M88" s="17">
        <f t="shared" si="77"/>
        <v>0</v>
      </c>
      <c r="N88" s="17">
        <f t="shared" si="77"/>
        <v>0</v>
      </c>
      <c r="O88" s="17">
        <f t="shared" si="77"/>
        <v>0</v>
      </c>
      <c r="P88" s="17">
        <f t="shared" si="77"/>
        <v>0</v>
      </c>
      <c r="Q88" s="17">
        <f t="shared" si="70"/>
        <v>0</v>
      </c>
    </row>
    <row r="89" spans="3:18" x14ac:dyDescent="0.25">
      <c r="C89" s="17"/>
      <c r="D89" s="17"/>
      <c r="E89" s="17">
        <f t="shared" ref="E89:P89" si="78">E265+E438</f>
        <v>0</v>
      </c>
      <c r="F89" s="17">
        <f t="shared" si="78"/>
        <v>0</v>
      </c>
      <c r="G89" s="17">
        <f t="shared" si="78"/>
        <v>0</v>
      </c>
      <c r="H89" s="17">
        <f t="shared" si="78"/>
        <v>0</v>
      </c>
      <c r="I89" s="17">
        <f t="shared" si="78"/>
        <v>0</v>
      </c>
      <c r="J89" s="17">
        <f t="shared" si="78"/>
        <v>0</v>
      </c>
      <c r="K89" s="17">
        <f t="shared" si="78"/>
        <v>0</v>
      </c>
      <c r="L89" s="17">
        <f t="shared" si="78"/>
        <v>0</v>
      </c>
      <c r="M89" s="17">
        <f t="shared" si="78"/>
        <v>0</v>
      </c>
      <c r="N89" s="17">
        <f t="shared" si="78"/>
        <v>0</v>
      </c>
      <c r="O89" s="17">
        <f t="shared" si="78"/>
        <v>0</v>
      </c>
      <c r="P89" s="17">
        <f t="shared" si="78"/>
        <v>0</v>
      </c>
      <c r="Q89" s="17">
        <f t="shared" si="70"/>
        <v>0</v>
      </c>
    </row>
    <row r="90" spans="3:18" x14ac:dyDescent="0.25">
      <c r="C90" s="17"/>
      <c r="D90" s="17"/>
      <c r="E90" s="17">
        <f t="shared" ref="E90:P90" si="79">E266+E439</f>
        <v>0</v>
      </c>
      <c r="F90" s="17">
        <f t="shared" si="79"/>
        <v>0</v>
      </c>
      <c r="G90" s="17">
        <f t="shared" si="79"/>
        <v>0</v>
      </c>
      <c r="H90" s="17">
        <f t="shared" si="79"/>
        <v>0</v>
      </c>
      <c r="I90" s="17">
        <f t="shared" si="79"/>
        <v>0</v>
      </c>
      <c r="J90" s="17">
        <f t="shared" si="79"/>
        <v>0</v>
      </c>
      <c r="K90" s="17">
        <f t="shared" si="79"/>
        <v>0</v>
      </c>
      <c r="L90" s="17">
        <f t="shared" si="79"/>
        <v>0</v>
      </c>
      <c r="M90" s="17">
        <f t="shared" si="79"/>
        <v>0</v>
      </c>
      <c r="N90" s="17">
        <f t="shared" si="79"/>
        <v>0</v>
      </c>
      <c r="O90" s="17">
        <f t="shared" si="79"/>
        <v>0</v>
      </c>
      <c r="P90" s="17">
        <f t="shared" si="79"/>
        <v>0</v>
      </c>
      <c r="Q90" s="17">
        <f t="shared" si="70"/>
        <v>0</v>
      </c>
    </row>
    <row r="91" spans="3:18" x14ac:dyDescent="0.25">
      <c r="C91" s="17"/>
      <c r="D91" s="17"/>
      <c r="E91" s="17">
        <f t="shared" ref="E91:P91" si="80">E267+E440</f>
        <v>0</v>
      </c>
      <c r="F91" s="17">
        <f t="shared" si="80"/>
        <v>0</v>
      </c>
      <c r="G91" s="17">
        <f t="shared" si="80"/>
        <v>0</v>
      </c>
      <c r="H91" s="17">
        <f t="shared" si="80"/>
        <v>0</v>
      </c>
      <c r="I91" s="17">
        <f t="shared" si="80"/>
        <v>0</v>
      </c>
      <c r="J91" s="17">
        <f t="shared" si="80"/>
        <v>0</v>
      </c>
      <c r="K91" s="17">
        <f t="shared" si="80"/>
        <v>0</v>
      </c>
      <c r="L91" s="17">
        <f t="shared" si="80"/>
        <v>0</v>
      </c>
      <c r="M91" s="17">
        <f t="shared" si="80"/>
        <v>0</v>
      </c>
      <c r="N91" s="17">
        <f t="shared" si="80"/>
        <v>0</v>
      </c>
      <c r="O91" s="17">
        <f t="shared" si="80"/>
        <v>0</v>
      </c>
      <c r="P91" s="17">
        <f t="shared" si="80"/>
        <v>0</v>
      </c>
      <c r="Q91" s="17">
        <f t="shared" si="70"/>
        <v>0</v>
      </c>
    </row>
    <row r="92" spans="3:18" x14ac:dyDescent="0.25">
      <c r="C92" s="17"/>
      <c r="D92" s="17"/>
      <c r="E92" s="17">
        <f t="shared" ref="E92:P92" si="81">E268+E441</f>
        <v>0</v>
      </c>
      <c r="F92" s="17">
        <f t="shared" si="81"/>
        <v>0</v>
      </c>
      <c r="G92" s="17">
        <f t="shared" si="81"/>
        <v>0</v>
      </c>
      <c r="H92" s="17">
        <f t="shared" si="81"/>
        <v>0</v>
      </c>
      <c r="I92" s="17">
        <f t="shared" si="81"/>
        <v>0</v>
      </c>
      <c r="J92" s="17">
        <f t="shared" si="81"/>
        <v>0</v>
      </c>
      <c r="K92" s="17">
        <f t="shared" si="81"/>
        <v>0</v>
      </c>
      <c r="L92" s="17">
        <f t="shared" si="81"/>
        <v>0</v>
      </c>
      <c r="M92" s="17">
        <f t="shared" si="81"/>
        <v>0</v>
      </c>
      <c r="N92" s="17">
        <f t="shared" si="81"/>
        <v>0</v>
      </c>
      <c r="O92" s="17">
        <f t="shared" si="81"/>
        <v>0</v>
      </c>
      <c r="P92" s="17">
        <f t="shared" si="81"/>
        <v>0</v>
      </c>
      <c r="Q92" s="17">
        <f t="shared" si="70"/>
        <v>0</v>
      </c>
    </row>
    <row r="93" spans="3:18" x14ac:dyDescent="0.25">
      <c r="C93" s="17"/>
      <c r="D93" s="17"/>
      <c r="E93" s="17">
        <f t="shared" ref="E93:P93" si="82">E269+E442</f>
        <v>0</v>
      </c>
      <c r="F93" s="17">
        <f t="shared" si="82"/>
        <v>0</v>
      </c>
      <c r="G93" s="17">
        <f t="shared" si="82"/>
        <v>0</v>
      </c>
      <c r="H93" s="17">
        <f t="shared" si="82"/>
        <v>0</v>
      </c>
      <c r="I93" s="17">
        <f t="shared" si="82"/>
        <v>0</v>
      </c>
      <c r="J93" s="17">
        <f t="shared" si="82"/>
        <v>0</v>
      </c>
      <c r="K93" s="17">
        <f t="shared" si="82"/>
        <v>0</v>
      </c>
      <c r="L93" s="17">
        <f t="shared" si="82"/>
        <v>0</v>
      </c>
      <c r="M93" s="17">
        <f t="shared" si="82"/>
        <v>0</v>
      </c>
      <c r="N93" s="17">
        <f t="shared" si="82"/>
        <v>0</v>
      </c>
      <c r="O93" s="17">
        <f t="shared" si="82"/>
        <v>0</v>
      </c>
      <c r="P93" s="17">
        <f t="shared" si="82"/>
        <v>0</v>
      </c>
      <c r="Q93" s="17">
        <f t="shared" si="70"/>
        <v>0</v>
      </c>
    </row>
    <row r="94" spans="3:18" x14ac:dyDescent="0.25">
      <c r="C94" s="17"/>
      <c r="D94" s="17"/>
      <c r="E94" s="17">
        <f t="shared" ref="E94:P94" si="83">E270+E443</f>
        <v>0</v>
      </c>
      <c r="F94" s="17">
        <f t="shared" si="83"/>
        <v>0</v>
      </c>
      <c r="G94" s="17">
        <f t="shared" si="83"/>
        <v>0</v>
      </c>
      <c r="H94" s="17">
        <f t="shared" si="83"/>
        <v>0</v>
      </c>
      <c r="I94" s="17">
        <f t="shared" si="83"/>
        <v>0</v>
      </c>
      <c r="J94" s="17">
        <f t="shared" si="83"/>
        <v>0</v>
      </c>
      <c r="K94" s="17">
        <f t="shared" si="83"/>
        <v>0</v>
      </c>
      <c r="L94" s="17">
        <f t="shared" si="83"/>
        <v>0</v>
      </c>
      <c r="M94" s="17">
        <f t="shared" si="83"/>
        <v>0</v>
      </c>
      <c r="N94" s="17">
        <f t="shared" si="83"/>
        <v>0</v>
      </c>
      <c r="O94" s="17">
        <f t="shared" si="83"/>
        <v>0</v>
      </c>
      <c r="P94" s="17">
        <f t="shared" si="83"/>
        <v>0</v>
      </c>
      <c r="Q94" s="17">
        <f t="shared" si="70"/>
        <v>0</v>
      </c>
    </row>
    <row r="95" spans="3:18" x14ac:dyDescent="0.25">
      <c r="C95" s="751" t="s">
        <v>212</v>
      </c>
      <c r="D95" s="752"/>
      <c r="E95" s="28">
        <f t="shared" ref="E95:P95" si="84">SUM(E81:E94)</f>
        <v>16.371517315607022</v>
      </c>
      <c r="F95" s="28">
        <f t="shared" si="84"/>
        <v>16.917234559460589</v>
      </c>
      <c r="G95" s="28">
        <f t="shared" si="84"/>
        <v>16.371517315607022</v>
      </c>
      <c r="H95" s="28">
        <f t="shared" si="84"/>
        <v>16.917234559460589</v>
      </c>
      <c r="I95" s="28">
        <f t="shared" si="84"/>
        <v>16.917234559460589</v>
      </c>
      <c r="J95" s="28">
        <f t="shared" si="84"/>
        <v>16.371517315607022</v>
      </c>
      <c r="K95" s="28">
        <f t="shared" si="84"/>
        <v>16.917234559460589</v>
      </c>
      <c r="L95" s="28">
        <f t="shared" si="84"/>
        <v>16.371517315607022</v>
      </c>
      <c r="M95" s="28">
        <f t="shared" si="84"/>
        <v>16.917234559460589</v>
      </c>
      <c r="N95" s="28">
        <f t="shared" si="84"/>
        <v>16.917234559460589</v>
      </c>
      <c r="O95" s="28">
        <f t="shared" si="84"/>
        <v>15.280082827899882</v>
      </c>
      <c r="P95" s="28">
        <f t="shared" si="84"/>
        <v>16.917234559460589</v>
      </c>
      <c r="Q95" s="28">
        <f t="shared" si="70"/>
        <v>199.18679400655211</v>
      </c>
      <c r="R95" s="427"/>
    </row>
    <row r="96" spans="3:18" x14ac:dyDescent="0.25">
      <c r="C96" s="753" t="s">
        <v>394</v>
      </c>
      <c r="D96" s="754"/>
      <c r="E96" s="28">
        <f t="shared" ref="E96:P96" si="85">E79+E95</f>
        <v>352.68411987740166</v>
      </c>
      <c r="F96" s="28">
        <f t="shared" si="85"/>
        <v>381.95532814543088</v>
      </c>
      <c r="G96" s="28">
        <f t="shared" si="85"/>
        <v>334.37103069707103</v>
      </c>
      <c r="H96" s="28">
        <f t="shared" si="85"/>
        <v>327.32303920878928</v>
      </c>
      <c r="I96" s="28">
        <f t="shared" si="85"/>
        <v>287.57111256499547</v>
      </c>
      <c r="J96" s="28">
        <f t="shared" si="85"/>
        <v>311.02709727916192</v>
      </c>
      <c r="K96" s="28">
        <f t="shared" si="85"/>
        <v>284.23830869360307</v>
      </c>
      <c r="L96" s="28">
        <f t="shared" si="85"/>
        <v>315.92486763021719</v>
      </c>
      <c r="M96" s="28">
        <f t="shared" si="85"/>
        <v>307.24771934323769</v>
      </c>
      <c r="N96" s="28">
        <f t="shared" si="85"/>
        <v>324.37671989818807</v>
      </c>
      <c r="O96" s="28">
        <f t="shared" si="85"/>
        <v>328.54893993763903</v>
      </c>
      <c r="P96" s="28">
        <f t="shared" si="85"/>
        <v>399.95128995648366</v>
      </c>
      <c r="Q96" s="28">
        <f t="shared" si="70"/>
        <v>3955.2195732322193</v>
      </c>
      <c r="R96" s="427"/>
    </row>
    <row r="97" spans="3:18" x14ac:dyDescent="0.25">
      <c r="C97" s="800" t="s">
        <v>395</v>
      </c>
      <c r="D97" s="801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</row>
    <row r="98" spans="3:18" x14ac:dyDescent="0.25">
      <c r="C98" s="17" t="s">
        <v>396</v>
      </c>
      <c r="D98" s="17" t="s">
        <v>396</v>
      </c>
      <c r="E98" s="17">
        <f t="shared" ref="E98:P98" si="86">E274+E447</f>
        <v>21.582415226961004</v>
      </c>
      <c r="F98" s="17">
        <f t="shared" si="86"/>
        <v>22.301829067859686</v>
      </c>
      <c r="G98" s="17">
        <f t="shared" si="86"/>
        <v>21.582415226960986</v>
      </c>
      <c r="H98" s="17">
        <f t="shared" si="86"/>
        <v>24.110085478767232</v>
      </c>
      <c r="I98" s="17">
        <f t="shared" si="86"/>
        <v>20.041508554225274</v>
      </c>
      <c r="J98" s="17">
        <f t="shared" si="86"/>
        <v>23.332340785903789</v>
      </c>
      <c r="K98" s="17">
        <f t="shared" si="86"/>
        <v>20.945636759679047</v>
      </c>
      <c r="L98" s="17">
        <f t="shared" si="86"/>
        <v>21.582415226960986</v>
      </c>
      <c r="M98" s="17">
        <f t="shared" si="86"/>
        <v>22.301829067859686</v>
      </c>
      <c r="N98" s="17">
        <f t="shared" si="86"/>
        <v>22.301829067859686</v>
      </c>
      <c r="O98" s="17">
        <f t="shared" si="86"/>
        <v>21.776851400176874</v>
      </c>
      <c r="P98" s="17">
        <f t="shared" si="86"/>
        <v>24.11008547876725</v>
      </c>
      <c r="Q98" s="17">
        <f t="shared" ref="Q98:Q105" si="87">SUM(E98:P98)</f>
        <v>265.9692413419815</v>
      </c>
    </row>
    <row r="99" spans="3:18" x14ac:dyDescent="0.25">
      <c r="C99" s="17" t="s">
        <v>397</v>
      </c>
      <c r="D99" s="17" t="s">
        <v>397</v>
      </c>
      <c r="E99" s="17">
        <f t="shared" ref="E99:P99" si="88">E275+E448</f>
        <v>0</v>
      </c>
      <c r="F99" s="17">
        <f t="shared" si="88"/>
        <v>0</v>
      </c>
      <c r="G99" s="17">
        <f t="shared" si="88"/>
        <v>0</v>
      </c>
      <c r="H99" s="17">
        <f t="shared" si="88"/>
        <v>0</v>
      </c>
      <c r="I99" s="17">
        <f t="shared" si="88"/>
        <v>0</v>
      </c>
      <c r="J99" s="17">
        <f t="shared" si="88"/>
        <v>0</v>
      </c>
      <c r="K99" s="17">
        <f t="shared" si="88"/>
        <v>0</v>
      </c>
      <c r="L99" s="17">
        <f t="shared" si="88"/>
        <v>0</v>
      </c>
      <c r="M99" s="17">
        <f t="shared" si="88"/>
        <v>0</v>
      </c>
      <c r="N99" s="17">
        <f t="shared" si="88"/>
        <v>0</v>
      </c>
      <c r="O99" s="17">
        <f t="shared" si="88"/>
        <v>0</v>
      </c>
      <c r="P99" s="17">
        <f t="shared" si="88"/>
        <v>0</v>
      </c>
      <c r="Q99" s="17">
        <f t="shared" si="87"/>
        <v>0</v>
      </c>
    </row>
    <row r="100" spans="3:18" ht="15" customHeight="1" x14ac:dyDescent="0.25">
      <c r="C100" s="17"/>
      <c r="D100" s="17"/>
      <c r="E100" s="17">
        <f t="shared" ref="E100:P100" si="89">E276+E449</f>
        <v>0</v>
      </c>
      <c r="F100" s="17">
        <f t="shared" si="89"/>
        <v>0</v>
      </c>
      <c r="G100" s="17">
        <f t="shared" si="89"/>
        <v>0</v>
      </c>
      <c r="H100" s="17">
        <f t="shared" si="89"/>
        <v>0</v>
      </c>
      <c r="I100" s="17">
        <f t="shared" si="89"/>
        <v>0</v>
      </c>
      <c r="J100" s="17">
        <f t="shared" si="89"/>
        <v>0</v>
      </c>
      <c r="K100" s="17">
        <f t="shared" si="89"/>
        <v>0</v>
      </c>
      <c r="L100" s="17">
        <f t="shared" si="89"/>
        <v>0</v>
      </c>
      <c r="M100" s="17">
        <f t="shared" si="89"/>
        <v>0</v>
      </c>
      <c r="N100" s="17">
        <f t="shared" si="89"/>
        <v>0</v>
      </c>
      <c r="O100" s="17">
        <f t="shared" si="89"/>
        <v>0</v>
      </c>
      <c r="P100" s="17">
        <f t="shared" si="89"/>
        <v>0</v>
      </c>
      <c r="Q100" s="17">
        <f t="shared" si="87"/>
        <v>0</v>
      </c>
    </row>
    <row r="101" spans="3:18" x14ac:dyDescent="0.25">
      <c r="C101" s="17"/>
      <c r="D101" s="17"/>
      <c r="E101" s="17">
        <f t="shared" ref="E101:P101" si="90">E277+E450</f>
        <v>0</v>
      </c>
      <c r="F101" s="17">
        <f t="shared" si="90"/>
        <v>0</v>
      </c>
      <c r="G101" s="17">
        <f t="shared" si="90"/>
        <v>0</v>
      </c>
      <c r="H101" s="17">
        <f t="shared" si="90"/>
        <v>0</v>
      </c>
      <c r="I101" s="17">
        <f t="shared" si="90"/>
        <v>0</v>
      </c>
      <c r="J101" s="17">
        <f t="shared" si="90"/>
        <v>0</v>
      </c>
      <c r="K101" s="17">
        <f t="shared" si="90"/>
        <v>0</v>
      </c>
      <c r="L101" s="17">
        <f t="shared" si="90"/>
        <v>0</v>
      </c>
      <c r="M101" s="17">
        <f t="shared" si="90"/>
        <v>0</v>
      </c>
      <c r="N101" s="17">
        <f t="shared" si="90"/>
        <v>0</v>
      </c>
      <c r="O101" s="17">
        <f t="shared" si="90"/>
        <v>0</v>
      </c>
      <c r="P101" s="17">
        <f t="shared" si="90"/>
        <v>0</v>
      </c>
      <c r="Q101" s="17">
        <f t="shared" si="87"/>
        <v>0</v>
      </c>
    </row>
    <row r="102" spans="3:18" ht="14.25" customHeight="1" x14ac:dyDescent="0.25">
      <c r="C102" s="17"/>
      <c r="D102" s="17"/>
      <c r="E102" s="17">
        <f t="shared" ref="E102:P102" si="91">E278+E451</f>
        <v>0</v>
      </c>
      <c r="F102" s="17">
        <f t="shared" si="91"/>
        <v>0</v>
      </c>
      <c r="G102" s="17">
        <f t="shared" si="91"/>
        <v>0</v>
      </c>
      <c r="H102" s="17">
        <f t="shared" si="91"/>
        <v>0</v>
      </c>
      <c r="I102" s="17">
        <f t="shared" si="91"/>
        <v>0</v>
      </c>
      <c r="J102" s="17">
        <f t="shared" si="91"/>
        <v>0</v>
      </c>
      <c r="K102" s="17">
        <f t="shared" si="91"/>
        <v>0</v>
      </c>
      <c r="L102" s="17">
        <f t="shared" si="91"/>
        <v>0</v>
      </c>
      <c r="M102" s="17">
        <f t="shared" si="91"/>
        <v>0</v>
      </c>
      <c r="N102" s="17">
        <f t="shared" si="91"/>
        <v>0</v>
      </c>
      <c r="O102" s="17">
        <f t="shared" si="91"/>
        <v>0</v>
      </c>
      <c r="P102" s="17">
        <f t="shared" si="91"/>
        <v>0</v>
      </c>
      <c r="Q102" s="17">
        <f t="shared" si="87"/>
        <v>0</v>
      </c>
    </row>
    <row r="103" spans="3:18" x14ac:dyDescent="0.25">
      <c r="C103" s="17"/>
      <c r="D103" s="17"/>
      <c r="E103" s="17">
        <f t="shared" ref="E103:P103" si="92">E279+E452</f>
        <v>0</v>
      </c>
      <c r="F103" s="17">
        <f t="shared" si="92"/>
        <v>0</v>
      </c>
      <c r="G103" s="17">
        <f t="shared" si="92"/>
        <v>0</v>
      </c>
      <c r="H103" s="17">
        <f t="shared" si="92"/>
        <v>0</v>
      </c>
      <c r="I103" s="17">
        <f t="shared" si="92"/>
        <v>0</v>
      </c>
      <c r="J103" s="17">
        <f t="shared" si="92"/>
        <v>0</v>
      </c>
      <c r="K103" s="17">
        <f t="shared" si="92"/>
        <v>0</v>
      </c>
      <c r="L103" s="17">
        <f t="shared" si="92"/>
        <v>0</v>
      </c>
      <c r="M103" s="17">
        <f t="shared" si="92"/>
        <v>0</v>
      </c>
      <c r="N103" s="17">
        <f t="shared" si="92"/>
        <v>0</v>
      </c>
      <c r="O103" s="17">
        <f t="shared" si="92"/>
        <v>0</v>
      </c>
      <c r="P103" s="17">
        <f t="shared" si="92"/>
        <v>0</v>
      </c>
      <c r="Q103" s="17">
        <f t="shared" si="87"/>
        <v>0</v>
      </c>
    </row>
    <row r="104" spans="3:18" x14ac:dyDescent="0.25">
      <c r="C104" s="17"/>
      <c r="D104" s="17"/>
      <c r="E104" s="17">
        <f t="shared" ref="E104:P104" si="93">E280+E453</f>
        <v>0</v>
      </c>
      <c r="F104" s="17">
        <f t="shared" si="93"/>
        <v>0</v>
      </c>
      <c r="G104" s="17">
        <f t="shared" si="93"/>
        <v>0</v>
      </c>
      <c r="H104" s="17">
        <f t="shared" si="93"/>
        <v>0</v>
      </c>
      <c r="I104" s="17">
        <f t="shared" si="93"/>
        <v>0</v>
      </c>
      <c r="J104" s="17">
        <f t="shared" si="93"/>
        <v>0</v>
      </c>
      <c r="K104" s="17">
        <f t="shared" si="93"/>
        <v>0</v>
      </c>
      <c r="L104" s="17">
        <f t="shared" si="93"/>
        <v>0</v>
      </c>
      <c r="M104" s="17">
        <f t="shared" si="93"/>
        <v>0</v>
      </c>
      <c r="N104" s="17">
        <f t="shared" si="93"/>
        <v>0</v>
      </c>
      <c r="O104" s="17">
        <f t="shared" si="93"/>
        <v>0</v>
      </c>
      <c r="P104" s="17">
        <f t="shared" si="93"/>
        <v>0</v>
      </c>
      <c r="Q104" s="17">
        <f t="shared" si="87"/>
        <v>0</v>
      </c>
    </row>
    <row r="105" spans="3:18" ht="14.25" customHeight="1" x14ac:dyDescent="0.25">
      <c r="C105" s="753" t="s">
        <v>398</v>
      </c>
      <c r="D105" s="754"/>
      <c r="E105" s="28">
        <f t="shared" ref="E105:P105" si="94">SUM(E98:E104)</f>
        <v>21.582415226961004</v>
      </c>
      <c r="F105" s="28">
        <f t="shared" si="94"/>
        <v>22.301829067859686</v>
      </c>
      <c r="G105" s="28">
        <f t="shared" si="94"/>
        <v>21.582415226960986</v>
      </c>
      <c r="H105" s="28">
        <f t="shared" si="94"/>
        <v>24.110085478767232</v>
      </c>
      <c r="I105" s="28">
        <f t="shared" si="94"/>
        <v>20.041508554225274</v>
      </c>
      <c r="J105" s="28">
        <f t="shared" si="94"/>
        <v>23.332340785903789</v>
      </c>
      <c r="K105" s="28">
        <f t="shared" si="94"/>
        <v>20.945636759679047</v>
      </c>
      <c r="L105" s="28">
        <f t="shared" si="94"/>
        <v>21.582415226960986</v>
      </c>
      <c r="M105" s="28">
        <f t="shared" si="94"/>
        <v>22.301829067859686</v>
      </c>
      <c r="N105" s="28">
        <f t="shared" si="94"/>
        <v>22.301829067859686</v>
      </c>
      <c r="O105" s="28">
        <f t="shared" si="94"/>
        <v>21.776851400176874</v>
      </c>
      <c r="P105" s="28">
        <f t="shared" si="94"/>
        <v>24.11008547876725</v>
      </c>
      <c r="Q105" s="28">
        <f t="shared" si="87"/>
        <v>265.9692413419815</v>
      </c>
      <c r="R105" s="427"/>
    </row>
    <row r="106" spans="3:18" x14ac:dyDescent="0.25">
      <c r="C106" s="800" t="s">
        <v>399</v>
      </c>
      <c r="D106" s="801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</row>
    <row r="107" spans="3:18" x14ac:dyDescent="0.25">
      <c r="C107" s="17" t="s">
        <v>400</v>
      </c>
      <c r="D107" s="17" t="s">
        <v>400</v>
      </c>
      <c r="E107" s="17">
        <f t="shared" ref="E107:P107" si="95">E283+E456</f>
        <v>206.47138850273859</v>
      </c>
      <c r="F107" s="17">
        <f t="shared" si="95"/>
        <v>58.209182790131969</v>
      </c>
      <c r="G107" s="17">
        <f t="shared" si="95"/>
        <v>77.020613296594121</v>
      </c>
      <c r="H107" s="17">
        <f t="shared" si="95"/>
        <v>190.51753348456802</v>
      </c>
      <c r="I107" s="17">
        <f t="shared" si="95"/>
        <v>179.72532461115566</v>
      </c>
      <c r="J107" s="17">
        <f t="shared" si="95"/>
        <v>201.80107580481803</v>
      </c>
      <c r="K107" s="17">
        <f t="shared" si="95"/>
        <v>172.70724914063123</v>
      </c>
      <c r="L107" s="17">
        <f t="shared" si="95"/>
        <v>208.85644476207764</v>
      </c>
      <c r="M107" s="17">
        <f t="shared" si="95"/>
        <v>213.67406854203995</v>
      </c>
      <c r="N107" s="17">
        <f t="shared" si="95"/>
        <v>196.2092279552601</v>
      </c>
      <c r="O107" s="17">
        <f t="shared" si="95"/>
        <v>192.39242344659817</v>
      </c>
      <c r="P107" s="17">
        <f t="shared" si="95"/>
        <v>239.25674613444448</v>
      </c>
      <c r="Q107" s="17">
        <f t="shared" ref="Q107:Q115" si="96">SUM(E107:P107)</f>
        <v>2136.8412784710581</v>
      </c>
    </row>
    <row r="108" spans="3:18" x14ac:dyDescent="0.25">
      <c r="C108" s="17" t="s">
        <v>401</v>
      </c>
      <c r="D108" s="17" t="s">
        <v>401</v>
      </c>
      <c r="E108" s="17">
        <f t="shared" ref="E108:P108" si="97">E284+E457</f>
        <v>0</v>
      </c>
      <c r="F108" s="17">
        <f t="shared" si="97"/>
        <v>0</v>
      </c>
      <c r="G108" s="17">
        <f t="shared" si="97"/>
        <v>0</v>
      </c>
      <c r="H108" s="17">
        <f t="shared" si="97"/>
        <v>0</v>
      </c>
      <c r="I108" s="17">
        <f t="shared" si="97"/>
        <v>0</v>
      </c>
      <c r="J108" s="17">
        <f t="shared" si="97"/>
        <v>0</v>
      </c>
      <c r="K108" s="17">
        <f t="shared" si="97"/>
        <v>0</v>
      </c>
      <c r="L108" s="17">
        <f t="shared" si="97"/>
        <v>0</v>
      </c>
      <c r="M108" s="17">
        <f t="shared" si="97"/>
        <v>0</v>
      </c>
      <c r="N108" s="17">
        <f t="shared" si="97"/>
        <v>0</v>
      </c>
      <c r="O108" s="17">
        <f t="shared" si="97"/>
        <v>0</v>
      </c>
      <c r="P108" s="17">
        <f t="shared" si="97"/>
        <v>0</v>
      </c>
      <c r="Q108" s="17">
        <f t="shared" si="96"/>
        <v>0</v>
      </c>
    </row>
    <row r="109" spans="3:18" x14ac:dyDescent="0.25">
      <c r="C109" s="17" t="s">
        <v>402</v>
      </c>
      <c r="D109" s="17" t="s">
        <v>402</v>
      </c>
      <c r="E109" s="17">
        <f t="shared" ref="E109:P109" si="98">E285+E458</f>
        <v>0</v>
      </c>
      <c r="F109" s="17">
        <f t="shared" si="98"/>
        <v>0</v>
      </c>
      <c r="G109" s="17">
        <f t="shared" si="98"/>
        <v>0</v>
      </c>
      <c r="H109" s="17">
        <f t="shared" si="98"/>
        <v>0</v>
      </c>
      <c r="I109" s="17">
        <f t="shared" si="98"/>
        <v>0</v>
      </c>
      <c r="J109" s="17">
        <f t="shared" si="98"/>
        <v>0</v>
      </c>
      <c r="K109" s="17">
        <f t="shared" si="98"/>
        <v>0</v>
      </c>
      <c r="L109" s="17">
        <f t="shared" si="98"/>
        <v>0</v>
      </c>
      <c r="M109" s="17">
        <f t="shared" si="98"/>
        <v>0</v>
      </c>
      <c r="N109" s="17">
        <f t="shared" si="98"/>
        <v>0</v>
      </c>
      <c r="O109" s="17">
        <f t="shared" si="98"/>
        <v>0</v>
      </c>
      <c r="P109" s="17">
        <f t="shared" si="98"/>
        <v>0</v>
      </c>
      <c r="Q109" s="17">
        <f t="shared" si="96"/>
        <v>0</v>
      </c>
    </row>
    <row r="110" spans="3:18" x14ac:dyDescent="0.25">
      <c r="C110" s="17"/>
      <c r="D110" s="17"/>
      <c r="E110" s="17">
        <f t="shared" ref="E110:P110" si="99">E286+E459</f>
        <v>0</v>
      </c>
      <c r="F110" s="17">
        <f t="shared" si="99"/>
        <v>0</v>
      </c>
      <c r="G110" s="17">
        <f t="shared" si="99"/>
        <v>0</v>
      </c>
      <c r="H110" s="17">
        <f t="shared" si="99"/>
        <v>0</v>
      </c>
      <c r="I110" s="17">
        <f t="shared" si="99"/>
        <v>0</v>
      </c>
      <c r="J110" s="17">
        <f t="shared" si="99"/>
        <v>0</v>
      </c>
      <c r="K110" s="17">
        <f t="shared" si="99"/>
        <v>0</v>
      </c>
      <c r="L110" s="17">
        <f t="shared" si="99"/>
        <v>0</v>
      </c>
      <c r="M110" s="17">
        <f t="shared" si="99"/>
        <v>0</v>
      </c>
      <c r="N110" s="17">
        <f t="shared" si="99"/>
        <v>0</v>
      </c>
      <c r="O110" s="17">
        <f t="shared" si="99"/>
        <v>0</v>
      </c>
      <c r="P110" s="17">
        <f t="shared" si="99"/>
        <v>0</v>
      </c>
      <c r="Q110" s="17">
        <f t="shared" si="96"/>
        <v>0</v>
      </c>
    </row>
    <row r="111" spans="3:18" x14ac:dyDescent="0.25">
      <c r="C111" s="17"/>
      <c r="D111" s="17"/>
      <c r="E111" s="17">
        <f t="shared" ref="E111:P111" si="100">E287+E460</f>
        <v>0</v>
      </c>
      <c r="F111" s="17">
        <f t="shared" si="100"/>
        <v>0</v>
      </c>
      <c r="G111" s="17">
        <f t="shared" si="100"/>
        <v>0</v>
      </c>
      <c r="H111" s="17">
        <f t="shared" si="100"/>
        <v>0</v>
      </c>
      <c r="I111" s="17">
        <f t="shared" si="100"/>
        <v>0</v>
      </c>
      <c r="J111" s="17">
        <f t="shared" si="100"/>
        <v>0</v>
      </c>
      <c r="K111" s="17">
        <f t="shared" si="100"/>
        <v>0</v>
      </c>
      <c r="L111" s="17">
        <f t="shared" si="100"/>
        <v>0</v>
      </c>
      <c r="M111" s="17">
        <f t="shared" si="100"/>
        <v>0</v>
      </c>
      <c r="N111" s="17">
        <f t="shared" si="100"/>
        <v>0</v>
      </c>
      <c r="O111" s="17">
        <f t="shared" si="100"/>
        <v>0</v>
      </c>
      <c r="P111" s="17">
        <f t="shared" si="100"/>
        <v>0</v>
      </c>
      <c r="Q111" s="17">
        <f t="shared" si="96"/>
        <v>0</v>
      </c>
    </row>
    <row r="112" spans="3:18" x14ac:dyDescent="0.25">
      <c r="C112" s="17"/>
      <c r="D112" s="17"/>
      <c r="E112" s="17">
        <f t="shared" ref="E112:P112" si="101">E288+E461</f>
        <v>0</v>
      </c>
      <c r="F112" s="17">
        <f t="shared" si="101"/>
        <v>0</v>
      </c>
      <c r="G112" s="17">
        <f t="shared" si="101"/>
        <v>0</v>
      </c>
      <c r="H112" s="17">
        <f t="shared" si="101"/>
        <v>0</v>
      </c>
      <c r="I112" s="17">
        <f t="shared" si="101"/>
        <v>0</v>
      </c>
      <c r="J112" s="17">
        <f t="shared" si="101"/>
        <v>0</v>
      </c>
      <c r="K112" s="17">
        <f t="shared" si="101"/>
        <v>0</v>
      </c>
      <c r="L112" s="17">
        <f t="shared" si="101"/>
        <v>0</v>
      </c>
      <c r="M112" s="17">
        <f t="shared" si="101"/>
        <v>0</v>
      </c>
      <c r="N112" s="17">
        <f t="shared" si="101"/>
        <v>0</v>
      </c>
      <c r="O112" s="17">
        <f t="shared" si="101"/>
        <v>0</v>
      </c>
      <c r="P112" s="17">
        <f t="shared" si="101"/>
        <v>0</v>
      </c>
      <c r="Q112" s="17">
        <f t="shared" si="96"/>
        <v>0</v>
      </c>
    </row>
    <row r="113" spans="3:18" x14ac:dyDescent="0.25">
      <c r="C113" s="17"/>
      <c r="D113" s="17"/>
      <c r="E113" s="17">
        <f t="shared" ref="E113:P113" si="102">E289+E462</f>
        <v>0</v>
      </c>
      <c r="F113" s="17">
        <f t="shared" si="102"/>
        <v>0</v>
      </c>
      <c r="G113" s="17">
        <f t="shared" si="102"/>
        <v>0</v>
      </c>
      <c r="H113" s="17">
        <f t="shared" si="102"/>
        <v>0</v>
      </c>
      <c r="I113" s="17">
        <f t="shared" si="102"/>
        <v>0</v>
      </c>
      <c r="J113" s="17">
        <f t="shared" si="102"/>
        <v>0</v>
      </c>
      <c r="K113" s="17">
        <f t="shared" si="102"/>
        <v>0</v>
      </c>
      <c r="L113" s="17">
        <f t="shared" si="102"/>
        <v>0</v>
      </c>
      <c r="M113" s="17">
        <f t="shared" si="102"/>
        <v>0</v>
      </c>
      <c r="N113" s="17">
        <f t="shared" si="102"/>
        <v>0</v>
      </c>
      <c r="O113" s="17">
        <f t="shared" si="102"/>
        <v>0</v>
      </c>
      <c r="P113" s="17">
        <f t="shared" si="102"/>
        <v>0</v>
      </c>
      <c r="Q113" s="17">
        <f t="shared" si="96"/>
        <v>0</v>
      </c>
    </row>
    <row r="114" spans="3:18" x14ac:dyDescent="0.25">
      <c r="C114" s="17"/>
      <c r="D114" s="17"/>
      <c r="E114" s="17">
        <f t="shared" ref="E114:P114" si="103">E290+E463</f>
        <v>0</v>
      </c>
      <c r="F114" s="17">
        <f t="shared" si="103"/>
        <v>0</v>
      </c>
      <c r="G114" s="17">
        <f t="shared" si="103"/>
        <v>0</v>
      </c>
      <c r="H114" s="17">
        <f t="shared" si="103"/>
        <v>0</v>
      </c>
      <c r="I114" s="17">
        <f t="shared" si="103"/>
        <v>0</v>
      </c>
      <c r="J114" s="17">
        <f t="shared" si="103"/>
        <v>0</v>
      </c>
      <c r="K114" s="17">
        <f t="shared" si="103"/>
        <v>0</v>
      </c>
      <c r="L114" s="17">
        <f t="shared" si="103"/>
        <v>0</v>
      </c>
      <c r="M114" s="17">
        <f t="shared" si="103"/>
        <v>0</v>
      </c>
      <c r="N114" s="17">
        <f t="shared" si="103"/>
        <v>0</v>
      </c>
      <c r="O114" s="17">
        <f t="shared" si="103"/>
        <v>0</v>
      </c>
      <c r="P114" s="17">
        <f t="shared" si="103"/>
        <v>0</v>
      </c>
      <c r="Q114" s="17">
        <f t="shared" si="96"/>
        <v>0</v>
      </c>
    </row>
    <row r="115" spans="3:18" x14ac:dyDescent="0.25">
      <c r="C115" s="753" t="s">
        <v>403</v>
      </c>
      <c r="D115" s="754"/>
      <c r="E115" s="28">
        <f t="shared" ref="E115:P115" si="104">SUM(E107:E114)</f>
        <v>206.47138850273859</v>
      </c>
      <c r="F115" s="28">
        <f t="shared" si="104"/>
        <v>58.209182790131969</v>
      </c>
      <c r="G115" s="28">
        <f t="shared" si="104"/>
        <v>77.020613296594121</v>
      </c>
      <c r="H115" s="28">
        <f t="shared" si="104"/>
        <v>190.51753348456802</v>
      </c>
      <c r="I115" s="28">
        <f t="shared" si="104"/>
        <v>179.72532461115566</v>
      </c>
      <c r="J115" s="28">
        <f t="shared" si="104"/>
        <v>201.80107580481803</v>
      </c>
      <c r="K115" s="28">
        <f t="shared" si="104"/>
        <v>172.70724914063123</v>
      </c>
      <c r="L115" s="28">
        <f t="shared" si="104"/>
        <v>208.85644476207764</v>
      </c>
      <c r="M115" s="28">
        <f t="shared" si="104"/>
        <v>213.67406854203995</v>
      </c>
      <c r="N115" s="28">
        <f t="shared" si="104"/>
        <v>196.2092279552601</v>
      </c>
      <c r="O115" s="28">
        <f t="shared" si="104"/>
        <v>192.39242344659817</v>
      </c>
      <c r="P115" s="28">
        <f t="shared" si="104"/>
        <v>239.25674613444448</v>
      </c>
      <c r="Q115" s="28">
        <f t="shared" si="96"/>
        <v>2136.8412784710581</v>
      </c>
      <c r="R115" s="427"/>
    </row>
    <row r="116" spans="3:18" x14ac:dyDescent="0.25">
      <c r="C116" s="800" t="s">
        <v>404</v>
      </c>
      <c r="D116" s="801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</row>
    <row r="117" spans="3:18" x14ac:dyDescent="0.25">
      <c r="C117" s="17"/>
      <c r="D117" s="17" t="s">
        <v>405</v>
      </c>
      <c r="E117" s="66">
        <f t="shared" ref="E117:P117" si="105">E293+E466</f>
        <v>2.4381312685857193E-2</v>
      </c>
      <c r="F117" s="66">
        <f t="shared" si="105"/>
        <v>2.0907855515269132E-2</v>
      </c>
      <c r="G117" s="66">
        <f t="shared" si="105"/>
        <v>4.973274024739318E-2</v>
      </c>
      <c r="H117" s="66">
        <f t="shared" si="105"/>
        <v>7.2339346358981899E-2</v>
      </c>
      <c r="I117" s="66">
        <f t="shared" si="105"/>
        <v>3.9474120766783555E-2</v>
      </c>
      <c r="J117" s="66">
        <f t="shared" si="105"/>
        <v>2.9028112746704186E-2</v>
      </c>
      <c r="K117" s="66">
        <f t="shared" si="105"/>
        <v>1.7603497323007453E-2</v>
      </c>
      <c r="L117" s="66">
        <f t="shared" si="105"/>
        <v>2.4443849476385053E-2</v>
      </c>
      <c r="M117" s="66">
        <f t="shared" si="105"/>
        <v>2.7950799985229129E-2</v>
      </c>
      <c r="N117" s="66">
        <f t="shared" si="105"/>
        <v>2.7032252798690055E-2</v>
      </c>
      <c r="O117" s="66">
        <f t="shared" si="105"/>
        <v>1.8534539948314631E-2</v>
      </c>
      <c r="P117" s="66">
        <f t="shared" si="105"/>
        <v>2.4071572147384597E-2</v>
      </c>
      <c r="Q117" s="66">
        <f t="shared" ref="Q117:Q141" si="106">SUM(E117:P117)</f>
        <v>0.37550000000000006</v>
      </c>
    </row>
    <row r="118" spans="3:18" x14ac:dyDescent="0.25">
      <c r="C118" s="17"/>
      <c r="D118" s="17" t="s">
        <v>406</v>
      </c>
      <c r="E118" s="66">
        <f t="shared" ref="E118:P118" si="107">E294+E467</f>
        <v>0</v>
      </c>
      <c r="F118" s="66">
        <f t="shared" si="107"/>
        <v>0</v>
      </c>
      <c r="G118" s="66">
        <f t="shared" si="107"/>
        <v>0</v>
      </c>
      <c r="H118" s="66">
        <f t="shared" si="107"/>
        <v>0</v>
      </c>
      <c r="I118" s="66">
        <f t="shared" si="107"/>
        <v>0</v>
      </c>
      <c r="J118" s="66">
        <f t="shared" si="107"/>
        <v>0</v>
      </c>
      <c r="K118" s="66">
        <f t="shared" si="107"/>
        <v>0</v>
      </c>
      <c r="L118" s="66">
        <f t="shared" si="107"/>
        <v>0</v>
      </c>
      <c r="M118" s="66">
        <f t="shared" si="107"/>
        <v>0</v>
      </c>
      <c r="N118" s="66">
        <f t="shared" si="107"/>
        <v>0</v>
      </c>
      <c r="O118" s="66">
        <f t="shared" si="107"/>
        <v>0</v>
      </c>
      <c r="P118" s="66">
        <f t="shared" si="107"/>
        <v>0</v>
      </c>
      <c r="Q118" s="66">
        <f t="shared" si="106"/>
        <v>0</v>
      </c>
    </row>
    <row r="119" spans="3:18" x14ac:dyDescent="0.25">
      <c r="C119" s="17"/>
      <c r="D119" s="17" t="s">
        <v>407</v>
      </c>
      <c r="E119" s="66">
        <f t="shared" ref="E119:P119" si="108">E295+E468</f>
        <v>0</v>
      </c>
      <c r="F119" s="66">
        <f t="shared" si="108"/>
        <v>0</v>
      </c>
      <c r="G119" s="66">
        <f t="shared" si="108"/>
        <v>0</v>
      </c>
      <c r="H119" s="66">
        <f t="shared" si="108"/>
        <v>0</v>
      </c>
      <c r="I119" s="66">
        <f t="shared" si="108"/>
        <v>0</v>
      </c>
      <c r="J119" s="66">
        <f t="shared" si="108"/>
        <v>0</v>
      </c>
      <c r="K119" s="66">
        <f t="shared" si="108"/>
        <v>0</v>
      </c>
      <c r="L119" s="66">
        <f t="shared" si="108"/>
        <v>0</v>
      </c>
      <c r="M119" s="66">
        <f t="shared" si="108"/>
        <v>0</v>
      </c>
      <c r="N119" s="66">
        <f t="shared" si="108"/>
        <v>0</v>
      </c>
      <c r="O119" s="66">
        <f t="shared" si="108"/>
        <v>0</v>
      </c>
      <c r="P119" s="66">
        <f t="shared" si="108"/>
        <v>0</v>
      </c>
      <c r="Q119" s="66">
        <f t="shared" si="106"/>
        <v>0</v>
      </c>
    </row>
    <row r="120" spans="3:18" x14ac:dyDescent="0.25">
      <c r="C120" s="17"/>
      <c r="D120" s="17" t="s">
        <v>408</v>
      </c>
      <c r="E120" s="66">
        <f t="shared" ref="E120:P120" si="109">E296+E469</f>
        <v>2.2249895511391147</v>
      </c>
      <c r="F120" s="66">
        <f t="shared" si="109"/>
        <v>1.5644831478619623</v>
      </c>
      <c r="G120" s="66">
        <f t="shared" si="109"/>
        <v>1.3007824572567179</v>
      </c>
      <c r="H120" s="66">
        <f t="shared" si="109"/>
        <v>1.8367290909338596</v>
      </c>
      <c r="I120" s="66">
        <f t="shared" si="109"/>
        <v>1.8367290909338596</v>
      </c>
      <c r="J120" s="66">
        <f t="shared" si="109"/>
        <v>1.3093235064511304</v>
      </c>
      <c r="K120" s="66">
        <f t="shared" si="109"/>
        <v>1.8367290909338596</v>
      </c>
      <c r="L120" s="66">
        <f t="shared" si="109"/>
        <v>1.7258208490283669</v>
      </c>
      <c r="M120" s="66">
        <f t="shared" si="109"/>
        <v>2.8165819049286767</v>
      </c>
      <c r="N120" s="66">
        <f t="shared" si="109"/>
        <v>2.8636459442150133</v>
      </c>
      <c r="O120" s="66">
        <f t="shared" si="109"/>
        <v>3.0204630260858516</v>
      </c>
      <c r="P120" s="66">
        <f t="shared" si="109"/>
        <v>3.0332381715180441</v>
      </c>
      <c r="Q120" s="66">
        <f t="shared" si="106"/>
        <v>25.369515831286456</v>
      </c>
    </row>
    <row r="121" spans="3:18" x14ac:dyDescent="0.25">
      <c r="C121" s="17"/>
      <c r="D121" s="17" t="s">
        <v>409</v>
      </c>
      <c r="E121" s="66">
        <f t="shared" ref="E121:P121" si="110">E297+E470</f>
        <v>0</v>
      </c>
      <c r="F121" s="66">
        <f t="shared" si="110"/>
        <v>0</v>
      </c>
      <c r="G121" s="66">
        <f t="shared" si="110"/>
        <v>0</v>
      </c>
      <c r="H121" s="66">
        <f t="shared" si="110"/>
        <v>0</v>
      </c>
      <c r="I121" s="66">
        <f t="shared" si="110"/>
        <v>0</v>
      </c>
      <c r="J121" s="66">
        <f t="shared" si="110"/>
        <v>0</v>
      </c>
      <c r="K121" s="66">
        <f t="shared" si="110"/>
        <v>0</v>
      </c>
      <c r="L121" s="66">
        <f t="shared" si="110"/>
        <v>0</v>
      </c>
      <c r="M121" s="66">
        <f t="shared" si="110"/>
        <v>0</v>
      </c>
      <c r="N121" s="66">
        <f t="shared" si="110"/>
        <v>0</v>
      </c>
      <c r="O121" s="66">
        <f t="shared" si="110"/>
        <v>0</v>
      </c>
      <c r="P121" s="66">
        <f t="shared" si="110"/>
        <v>0</v>
      </c>
      <c r="Q121" s="66">
        <f t="shared" si="106"/>
        <v>0</v>
      </c>
    </row>
    <row r="122" spans="3:18" x14ac:dyDescent="0.25">
      <c r="C122" s="17"/>
      <c r="D122" s="17" t="s">
        <v>367</v>
      </c>
      <c r="E122" s="66">
        <f t="shared" ref="E122:P122" si="111">E298+E471</f>
        <v>2.1910495839580898E-3</v>
      </c>
      <c r="F122" s="66">
        <f t="shared" si="111"/>
        <v>2.3478594615035974E-3</v>
      </c>
      <c r="G122" s="66">
        <f t="shared" si="111"/>
        <v>2.4324960954992718E-3</v>
      </c>
      <c r="H122" s="66">
        <f t="shared" si="111"/>
        <v>5.317986017485201E-3</v>
      </c>
      <c r="I122" s="66">
        <f t="shared" si="111"/>
        <v>1.2485660365005128E-2</v>
      </c>
      <c r="J122" s="66">
        <f t="shared" si="111"/>
        <v>6.3060871316649395E-3</v>
      </c>
      <c r="K122" s="66">
        <f t="shared" si="111"/>
        <v>6.9509031674161812E-3</v>
      </c>
      <c r="L122" s="66">
        <f t="shared" si="111"/>
        <v>2.3840161134345114E-3</v>
      </c>
      <c r="M122" s="66">
        <f t="shared" si="111"/>
        <v>4.0897915391550294E-3</v>
      </c>
      <c r="N122" s="66">
        <f t="shared" si="111"/>
        <v>7.8038848579995157E-3</v>
      </c>
      <c r="O122" s="66">
        <f t="shared" si="111"/>
        <v>7.0087610387162599E-3</v>
      </c>
      <c r="P122" s="66">
        <f t="shared" si="111"/>
        <v>3.2555891352045035E-3</v>
      </c>
      <c r="Q122" s="66">
        <f t="shared" si="106"/>
        <v>6.257408450704223E-2</v>
      </c>
    </row>
    <row r="123" spans="3:18" x14ac:dyDescent="0.25">
      <c r="C123" s="17"/>
      <c r="D123" s="17" t="s">
        <v>410</v>
      </c>
      <c r="E123" s="66">
        <f t="shared" ref="E123:P123" si="112">E299+E472</f>
        <v>133.25255782318277</v>
      </c>
      <c r="F123" s="66">
        <f t="shared" si="112"/>
        <v>137.40462000872691</v>
      </c>
      <c r="G123" s="66">
        <f t="shared" si="112"/>
        <v>128.64517720218217</v>
      </c>
      <c r="H123" s="66">
        <f t="shared" si="112"/>
        <v>100.75662466023161</v>
      </c>
      <c r="I123" s="66">
        <f t="shared" si="112"/>
        <v>123.92354356785151</v>
      </c>
      <c r="J123" s="66">
        <f t="shared" si="112"/>
        <v>109.23460863265113</v>
      </c>
      <c r="K123" s="66">
        <f t="shared" si="112"/>
        <v>133.91913365610515</v>
      </c>
      <c r="L123" s="66">
        <f t="shared" si="112"/>
        <v>103.261204460583</v>
      </c>
      <c r="M123" s="66">
        <f t="shared" si="112"/>
        <v>113.19702402443386</v>
      </c>
      <c r="N123" s="66">
        <f t="shared" si="112"/>
        <v>120.68460774754062</v>
      </c>
      <c r="O123" s="66">
        <f t="shared" si="112"/>
        <v>123.87502992699115</v>
      </c>
      <c r="P123" s="66">
        <f t="shared" si="112"/>
        <v>132.82887930661744</v>
      </c>
      <c r="Q123" s="66">
        <f t="shared" si="106"/>
        <v>1460.9830110170974</v>
      </c>
    </row>
    <row r="124" spans="3:18" x14ac:dyDescent="0.25">
      <c r="C124" s="17"/>
      <c r="D124" s="17" t="s">
        <v>411</v>
      </c>
      <c r="E124" s="66">
        <f t="shared" ref="E124:P124" si="113">E300+E473</f>
        <v>6.3463029034186142</v>
      </c>
      <c r="F124" s="66">
        <f t="shared" si="113"/>
        <v>6.5440495338304556</v>
      </c>
      <c r="G124" s="66">
        <f t="shared" si="113"/>
        <v>6.1268712205310694</v>
      </c>
      <c r="H124" s="66">
        <f t="shared" si="113"/>
        <v>4.7986475461759692</v>
      </c>
      <c r="I124" s="66">
        <f t="shared" si="113"/>
        <v>5.90199810941081</v>
      </c>
      <c r="J124" s="66">
        <f t="shared" si="113"/>
        <v>5.2024210660111132</v>
      </c>
      <c r="K124" s="66">
        <f t="shared" si="113"/>
        <v>6.3780493269989949</v>
      </c>
      <c r="L124" s="66">
        <f t="shared" si="113"/>
        <v>4.9179309754659721</v>
      </c>
      <c r="M124" s="66">
        <f t="shared" si="113"/>
        <v>5.3911355546199484</v>
      </c>
      <c r="N124" s="66">
        <f t="shared" si="113"/>
        <v>5.7477401489167139</v>
      </c>
      <c r="O124" s="66">
        <f t="shared" si="113"/>
        <v>5.8996875927132146</v>
      </c>
      <c r="P124" s="66">
        <f t="shared" si="113"/>
        <v>6.3261247376579046</v>
      </c>
      <c r="Q124" s="66">
        <f t="shared" si="106"/>
        <v>69.580958715750782</v>
      </c>
    </row>
    <row r="125" spans="3:18" x14ac:dyDescent="0.25">
      <c r="C125" s="17"/>
      <c r="D125" s="17" t="s">
        <v>412</v>
      </c>
      <c r="E125" s="66">
        <f t="shared" ref="E125:P125" si="114">E301+E474</f>
        <v>14.502737444074501</v>
      </c>
      <c r="F125" s="66">
        <f t="shared" si="114"/>
        <v>14.954633217875099</v>
      </c>
      <c r="G125" s="66">
        <f t="shared" si="114"/>
        <v>14.001286420973281</v>
      </c>
      <c r="H125" s="66">
        <f t="shared" si="114"/>
        <v>10.965994927748238</v>
      </c>
      <c r="I125" s="66">
        <f t="shared" si="114"/>
        <v>13.48740050370127</v>
      </c>
      <c r="J125" s="66">
        <f t="shared" si="114"/>
        <v>11.888708739893021</v>
      </c>
      <c r="K125" s="66">
        <f t="shared" si="114"/>
        <v>14.575285201876387</v>
      </c>
      <c r="L125" s="66">
        <f t="shared" si="114"/>
        <v>11.238584541378222</v>
      </c>
      <c r="M125" s="66">
        <f t="shared" si="114"/>
        <v>12.319964026922012</v>
      </c>
      <c r="N125" s="66">
        <f t="shared" si="114"/>
        <v>13.134886176265184</v>
      </c>
      <c r="O125" s="66">
        <f t="shared" si="114"/>
        <v>13.482120450489921</v>
      </c>
      <c r="P125" s="66">
        <f t="shared" si="114"/>
        <v>14.456625771722248</v>
      </c>
      <c r="Q125" s="66">
        <f t="shared" si="106"/>
        <v>159.00822742291939</v>
      </c>
    </row>
    <row r="126" spans="3:18" x14ac:dyDescent="0.25">
      <c r="C126" s="17"/>
      <c r="D126" s="17" t="s">
        <v>413</v>
      </c>
      <c r="E126" s="66">
        <f t="shared" ref="E126:P126" si="115">E302+E475</f>
        <v>12.567298437965182</v>
      </c>
      <c r="F126" s="66">
        <f t="shared" si="115"/>
        <v>12.958887203472878</v>
      </c>
      <c r="G126" s="66">
        <f t="shared" si="115"/>
        <v>12.13276773756208</v>
      </c>
      <c r="H126" s="66">
        <f t="shared" si="115"/>
        <v>9.5025460853621038</v>
      </c>
      <c r="I126" s="66">
        <f t="shared" si="115"/>
        <v>11.687461621366513</v>
      </c>
      <c r="J126" s="66">
        <f t="shared" si="115"/>
        <v>10.30212064118459</v>
      </c>
      <c r="K126" s="66">
        <f t="shared" si="115"/>
        <v>12.630164453903024</v>
      </c>
      <c r="L126" s="66">
        <f t="shared" si="115"/>
        <v>9.7387576998099199</v>
      </c>
      <c r="M126" s="66">
        <f t="shared" si="115"/>
        <v>10.675823462182574</v>
      </c>
      <c r="N126" s="66">
        <f t="shared" si="115"/>
        <v>11.381991514524172</v>
      </c>
      <c r="O126" s="66">
        <f t="shared" si="115"/>
        <v>11.682886208984456</v>
      </c>
      <c r="P126" s="66">
        <f t="shared" si="115"/>
        <v>12.527340523112274</v>
      </c>
      <c r="Q126" s="66">
        <f t="shared" si="106"/>
        <v>137.78804558942977</v>
      </c>
    </row>
    <row r="127" spans="3:18" x14ac:dyDescent="0.25">
      <c r="C127" s="17"/>
      <c r="D127" s="17" t="s">
        <v>414</v>
      </c>
      <c r="E127" s="66">
        <f t="shared" ref="E127:P127" si="116">E303+E476</f>
        <v>29.908224700895641</v>
      </c>
      <c r="F127" s="66">
        <f t="shared" si="116"/>
        <v>30.84014533976341</v>
      </c>
      <c r="G127" s="66">
        <f t="shared" si="116"/>
        <v>28.874108904947555</v>
      </c>
      <c r="H127" s="66">
        <f t="shared" si="116"/>
        <v>22.614588565276609</v>
      </c>
      <c r="I127" s="66">
        <f t="shared" si="116"/>
        <v>27.81434928758809</v>
      </c>
      <c r="J127" s="66">
        <f t="shared" si="116"/>
        <v>24.517452223580069</v>
      </c>
      <c r="K127" s="66">
        <f t="shared" si="116"/>
        <v>30.057836086349738</v>
      </c>
      <c r="L127" s="66">
        <f t="shared" si="116"/>
        <v>23.17673563902833</v>
      </c>
      <c r="M127" s="66">
        <f t="shared" si="116"/>
        <v>25.406807083491863</v>
      </c>
      <c r="N127" s="66">
        <f t="shared" si="116"/>
        <v>27.087377724053972</v>
      </c>
      <c r="O127" s="66">
        <f t="shared" si="116"/>
        <v>27.803460514452212</v>
      </c>
      <c r="P127" s="66">
        <f t="shared" si="116"/>
        <v>29.813131049551306</v>
      </c>
      <c r="Q127" s="66">
        <f t="shared" si="106"/>
        <v>327.91421711897885</v>
      </c>
    </row>
    <row r="128" spans="3:18" x14ac:dyDescent="0.25">
      <c r="C128" s="17"/>
      <c r="D128" s="17" t="s">
        <v>415</v>
      </c>
      <c r="E128" s="66">
        <f t="shared" ref="E128:P128" si="117">E304+E477</f>
        <v>0</v>
      </c>
      <c r="F128" s="66">
        <f t="shared" si="117"/>
        <v>0</v>
      </c>
      <c r="G128" s="66">
        <f t="shared" si="117"/>
        <v>0</v>
      </c>
      <c r="H128" s="66">
        <f t="shared" si="117"/>
        <v>0</v>
      </c>
      <c r="I128" s="66">
        <f t="shared" si="117"/>
        <v>0</v>
      </c>
      <c r="J128" s="66">
        <f t="shared" si="117"/>
        <v>0</v>
      </c>
      <c r="K128" s="66">
        <f t="shared" si="117"/>
        <v>0</v>
      </c>
      <c r="L128" s="66">
        <f t="shared" si="117"/>
        <v>0</v>
      </c>
      <c r="M128" s="66">
        <f t="shared" si="117"/>
        <v>0</v>
      </c>
      <c r="N128" s="66">
        <f t="shared" si="117"/>
        <v>0</v>
      </c>
      <c r="O128" s="66">
        <f t="shared" si="117"/>
        <v>0</v>
      </c>
      <c r="P128" s="66">
        <f t="shared" si="117"/>
        <v>0</v>
      </c>
      <c r="Q128" s="66">
        <f t="shared" si="106"/>
        <v>0</v>
      </c>
    </row>
    <row r="129" spans="3:18" x14ac:dyDescent="0.25">
      <c r="C129" s="17"/>
      <c r="D129" s="17" t="s">
        <v>416</v>
      </c>
      <c r="E129" s="66">
        <f t="shared" ref="E129:P129" si="118">E305+E478</f>
        <v>36.557529508471887</v>
      </c>
      <c r="F129" s="66">
        <f t="shared" si="118"/>
        <v>37.696638118082618</v>
      </c>
      <c r="G129" s="66">
        <f t="shared" si="118"/>
        <v>35.293505344429249</v>
      </c>
      <c r="H129" s="66">
        <f t="shared" si="118"/>
        <v>27.642345778293322</v>
      </c>
      <c r="I129" s="66">
        <f t="shared" si="118"/>
        <v>33.998136131747579</v>
      </c>
      <c r="J129" s="66">
        <f t="shared" si="118"/>
        <v>29.968260975023277</v>
      </c>
      <c r="K129" s="66">
        <f t="shared" si="118"/>
        <v>36.740403038854915</v>
      </c>
      <c r="L129" s="66">
        <f t="shared" si="118"/>
        <v>28.329471424910658</v>
      </c>
      <c r="M129" s="66">
        <f t="shared" si="118"/>
        <v>31.055340427577836</v>
      </c>
      <c r="N129" s="66">
        <f t="shared" si="118"/>
        <v>33.109541617980852</v>
      </c>
      <c r="O129" s="66">
        <f t="shared" si="118"/>
        <v>33.984826527141934</v>
      </c>
      <c r="P129" s="66">
        <f t="shared" si="118"/>
        <v>36.4412942922444</v>
      </c>
      <c r="Q129" s="66">
        <f t="shared" si="106"/>
        <v>400.81729318475851</v>
      </c>
    </row>
    <row r="130" spans="3:18" x14ac:dyDescent="0.25">
      <c r="C130" s="17"/>
      <c r="D130" s="17" t="s">
        <v>417</v>
      </c>
      <c r="E130" s="66">
        <f t="shared" ref="E130:P130" si="119">E306+E479</f>
        <v>18.708483596129707</v>
      </c>
      <c r="F130" s="66">
        <f t="shared" si="119"/>
        <v>19.291427657822222</v>
      </c>
      <c r="G130" s="66">
        <f t="shared" si="119"/>
        <v>18.061613425851299</v>
      </c>
      <c r="H130" s="66">
        <f t="shared" si="119"/>
        <v>14.146097384176404</v>
      </c>
      <c r="I130" s="66">
        <f t="shared" si="119"/>
        <v>17.398702282997114</v>
      </c>
      <c r="J130" s="66">
        <f t="shared" si="119"/>
        <v>15.336395166577896</v>
      </c>
      <c r="K130" s="66">
        <f t="shared" si="119"/>
        <v>18.802069965048435</v>
      </c>
      <c r="L130" s="66">
        <f t="shared" si="119"/>
        <v>14.497737089076088</v>
      </c>
      <c r="M130" s="66">
        <f t="shared" si="119"/>
        <v>15.892713068231881</v>
      </c>
      <c r="N130" s="66">
        <f t="shared" si="119"/>
        <v>16.943959960199752</v>
      </c>
      <c r="O130" s="66">
        <f t="shared" si="119"/>
        <v>17.391891031723205</v>
      </c>
      <c r="P130" s="66">
        <f t="shared" si="119"/>
        <v>18.64899969047956</v>
      </c>
      <c r="Q130" s="66">
        <f t="shared" si="106"/>
        <v>205.12009031831354</v>
      </c>
    </row>
    <row r="131" spans="3:18" x14ac:dyDescent="0.25">
      <c r="C131" s="17"/>
      <c r="D131" s="327" t="s">
        <v>418</v>
      </c>
      <c r="E131" s="66">
        <f t="shared" ref="E131:P131" si="120">E307+E480</f>
        <v>0</v>
      </c>
      <c r="F131" s="66">
        <f t="shared" si="120"/>
        <v>0</v>
      </c>
      <c r="G131" s="66">
        <f t="shared" si="120"/>
        <v>0</v>
      </c>
      <c r="H131" s="66">
        <f t="shared" si="120"/>
        <v>0</v>
      </c>
      <c r="I131" s="66">
        <f t="shared" si="120"/>
        <v>0</v>
      </c>
      <c r="J131" s="66">
        <f t="shared" si="120"/>
        <v>0</v>
      </c>
      <c r="K131" s="66">
        <f t="shared" si="120"/>
        <v>0</v>
      </c>
      <c r="L131" s="66">
        <f t="shared" si="120"/>
        <v>0</v>
      </c>
      <c r="M131" s="66">
        <f t="shared" si="120"/>
        <v>0</v>
      </c>
      <c r="N131" s="66">
        <f t="shared" si="120"/>
        <v>0</v>
      </c>
      <c r="O131" s="66">
        <f t="shared" si="120"/>
        <v>0</v>
      </c>
      <c r="P131" s="66">
        <f t="shared" si="120"/>
        <v>0</v>
      </c>
      <c r="Q131" s="66">
        <f t="shared" si="106"/>
        <v>0</v>
      </c>
    </row>
    <row r="132" spans="3:18" x14ac:dyDescent="0.25">
      <c r="C132" s="17"/>
      <c r="D132" s="327" t="s">
        <v>419</v>
      </c>
      <c r="E132" s="66">
        <f t="shared" ref="E132:P132" si="121">E308+E481</f>
        <v>0</v>
      </c>
      <c r="F132" s="66">
        <f t="shared" si="121"/>
        <v>0</v>
      </c>
      <c r="G132" s="66">
        <f t="shared" si="121"/>
        <v>0</v>
      </c>
      <c r="H132" s="66">
        <f t="shared" si="121"/>
        <v>0</v>
      </c>
      <c r="I132" s="66">
        <f t="shared" si="121"/>
        <v>0</v>
      </c>
      <c r="J132" s="66">
        <f t="shared" si="121"/>
        <v>0</v>
      </c>
      <c r="K132" s="66">
        <f t="shared" si="121"/>
        <v>0</v>
      </c>
      <c r="L132" s="66">
        <f t="shared" si="121"/>
        <v>0</v>
      </c>
      <c r="M132" s="66">
        <f t="shared" si="121"/>
        <v>0</v>
      </c>
      <c r="N132" s="66">
        <f t="shared" si="121"/>
        <v>0</v>
      </c>
      <c r="O132" s="66">
        <f t="shared" si="121"/>
        <v>0</v>
      </c>
      <c r="P132" s="66">
        <f t="shared" si="121"/>
        <v>0</v>
      </c>
      <c r="Q132" s="66">
        <f t="shared" si="106"/>
        <v>0</v>
      </c>
    </row>
    <row r="133" spans="3:18" x14ac:dyDescent="0.25">
      <c r="C133" s="17"/>
      <c r="D133" s="17"/>
      <c r="E133" s="17">
        <f t="shared" ref="E133:P133" si="122">E309+E482</f>
        <v>0</v>
      </c>
      <c r="F133" s="17">
        <f t="shared" si="122"/>
        <v>0</v>
      </c>
      <c r="G133" s="17">
        <f t="shared" si="122"/>
        <v>0</v>
      </c>
      <c r="H133" s="17">
        <f t="shared" si="122"/>
        <v>0</v>
      </c>
      <c r="I133" s="17">
        <f t="shared" si="122"/>
        <v>0</v>
      </c>
      <c r="J133" s="17">
        <f t="shared" si="122"/>
        <v>0</v>
      </c>
      <c r="K133" s="17">
        <f t="shared" si="122"/>
        <v>0</v>
      </c>
      <c r="L133" s="17">
        <f t="shared" si="122"/>
        <v>0</v>
      </c>
      <c r="M133" s="17">
        <f t="shared" si="122"/>
        <v>0</v>
      </c>
      <c r="N133" s="17">
        <f t="shared" si="122"/>
        <v>0</v>
      </c>
      <c r="O133" s="17">
        <f t="shared" si="122"/>
        <v>0</v>
      </c>
      <c r="P133" s="17">
        <f t="shared" si="122"/>
        <v>0</v>
      </c>
      <c r="Q133" s="17">
        <f t="shared" si="106"/>
        <v>0</v>
      </c>
    </row>
    <row r="134" spans="3:18" x14ac:dyDescent="0.25">
      <c r="C134" s="17"/>
      <c r="D134" s="17"/>
      <c r="E134" s="17">
        <f t="shared" ref="E134:P134" si="123">E310+E483</f>
        <v>0</v>
      </c>
      <c r="F134" s="17">
        <f t="shared" si="123"/>
        <v>0</v>
      </c>
      <c r="G134" s="17">
        <f t="shared" si="123"/>
        <v>0</v>
      </c>
      <c r="H134" s="17">
        <f t="shared" si="123"/>
        <v>0</v>
      </c>
      <c r="I134" s="17">
        <f t="shared" si="123"/>
        <v>0</v>
      </c>
      <c r="J134" s="17">
        <f t="shared" si="123"/>
        <v>0</v>
      </c>
      <c r="K134" s="17">
        <f t="shared" si="123"/>
        <v>0</v>
      </c>
      <c r="L134" s="17">
        <f t="shared" si="123"/>
        <v>0</v>
      </c>
      <c r="M134" s="17">
        <f t="shared" si="123"/>
        <v>0</v>
      </c>
      <c r="N134" s="17">
        <f t="shared" si="123"/>
        <v>0</v>
      </c>
      <c r="O134" s="17">
        <f t="shared" si="123"/>
        <v>0</v>
      </c>
      <c r="P134" s="17">
        <f t="shared" si="123"/>
        <v>0</v>
      </c>
      <c r="Q134" s="17">
        <f t="shared" si="106"/>
        <v>0</v>
      </c>
    </row>
    <row r="135" spans="3:18" x14ac:dyDescent="0.25">
      <c r="C135" s="17"/>
      <c r="D135" s="17"/>
      <c r="E135" s="17">
        <f t="shared" ref="E135:P135" si="124">E311+E484</f>
        <v>0</v>
      </c>
      <c r="F135" s="17">
        <f t="shared" si="124"/>
        <v>0</v>
      </c>
      <c r="G135" s="17">
        <f t="shared" si="124"/>
        <v>0</v>
      </c>
      <c r="H135" s="17">
        <f t="shared" si="124"/>
        <v>0</v>
      </c>
      <c r="I135" s="17">
        <f t="shared" si="124"/>
        <v>0</v>
      </c>
      <c r="J135" s="17">
        <f t="shared" si="124"/>
        <v>0</v>
      </c>
      <c r="K135" s="17">
        <f t="shared" si="124"/>
        <v>0</v>
      </c>
      <c r="L135" s="17">
        <f t="shared" si="124"/>
        <v>0</v>
      </c>
      <c r="M135" s="17">
        <f t="shared" si="124"/>
        <v>0</v>
      </c>
      <c r="N135" s="17">
        <f t="shared" si="124"/>
        <v>0</v>
      </c>
      <c r="O135" s="17">
        <f t="shared" si="124"/>
        <v>0</v>
      </c>
      <c r="P135" s="17">
        <f t="shared" si="124"/>
        <v>0</v>
      </c>
      <c r="Q135" s="17">
        <f t="shared" si="106"/>
        <v>0</v>
      </c>
    </row>
    <row r="136" spans="3:18" x14ac:dyDescent="0.25">
      <c r="C136" s="17"/>
      <c r="D136" s="17"/>
      <c r="E136" s="17">
        <f t="shared" ref="E136:P136" si="125">E312+E485</f>
        <v>0</v>
      </c>
      <c r="F136" s="17">
        <f t="shared" si="125"/>
        <v>0</v>
      </c>
      <c r="G136" s="17">
        <f t="shared" si="125"/>
        <v>0</v>
      </c>
      <c r="H136" s="17">
        <f t="shared" si="125"/>
        <v>0</v>
      </c>
      <c r="I136" s="17">
        <f t="shared" si="125"/>
        <v>0</v>
      </c>
      <c r="J136" s="17">
        <f t="shared" si="125"/>
        <v>0</v>
      </c>
      <c r="K136" s="17">
        <f t="shared" si="125"/>
        <v>0</v>
      </c>
      <c r="L136" s="17">
        <f t="shared" si="125"/>
        <v>0</v>
      </c>
      <c r="M136" s="17">
        <f t="shared" si="125"/>
        <v>0</v>
      </c>
      <c r="N136" s="17">
        <f t="shared" si="125"/>
        <v>0</v>
      </c>
      <c r="O136" s="17">
        <f t="shared" si="125"/>
        <v>0</v>
      </c>
      <c r="P136" s="17">
        <f t="shared" si="125"/>
        <v>0</v>
      </c>
      <c r="Q136" s="17">
        <f t="shared" si="106"/>
        <v>0</v>
      </c>
    </row>
    <row r="137" spans="3:18" x14ac:dyDescent="0.25">
      <c r="C137" s="17"/>
      <c r="D137" s="17"/>
      <c r="E137" s="17">
        <f t="shared" ref="E137:P137" si="126">E313+E486</f>
        <v>0</v>
      </c>
      <c r="F137" s="17">
        <f t="shared" si="126"/>
        <v>0</v>
      </c>
      <c r="G137" s="17">
        <f t="shared" si="126"/>
        <v>0</v>
      </c>
      <c r="H137" s="17">
        <f t="shared" si="126"/>
        <v>0</v>
      </c>
      <c r="I137" s="17">
        <f t="shared" si="126"/>
        <v>0</v>
      </c>
      <c r="J137" s="17">
        <f t="shared" si="126"/>
        <v>0</v>
      </c>
      <c r="K137" s="17">
        <f t="shared" si="126"/>
        <v>0</v>
      </c>
      <c r="L137" s="17">
        <f t="shared" si="126"/>
        <v>0</v>
      </c>
      <c r="M137" s="17">
        <f t="shared" si="126"/>
        <v>0</v>
      </c>
      <c r="N137" s="17">
        <f t="shared" si="126"/>
        <v>0</v>
      </c>
      <c r="O137" s="17">
        <f t="shared" si="126"/>
        <v>0</v>
      </c>
      <c r="P137" s="17">
        <f t="shared" si="126"/>
        <v>0</v>
      </c>
      <c r="Q137" s="17">
        <f t="shared" si="106"/>
        <v>0</v>
      </c>
    </row>
    <row r="138" spans="3:18" x14ac:dyDescent="0.25">
      <c r="C138" s="17"/>
      <c r="D138" s="17"/>
      <c r="E138" s="17">
        <f t="shared" ref="E138:P138" si="127">E314+E487</f>
        <v>0</v>
      </c>
      <c r="F138" s="17">
        <f t="shared" si="127"/>
        <v>0</v>
      </c>
      <c r="G138" s="17">
        <f t="shared" si="127"/>
        <v>0</v>
      </c>
      <c r="H138" s="17">
        <f t="shared" si="127"/>
        <v>0</v>
      </c>
      <c r="I138" s="17">
        <f t="shared" si="127"/>
        <v>0</v>
      </c>
      <c r="J138" s="17">
        <f t="shared" si="127"/>
        <v>0</v>
      </c>
      <c r="K138" s="17">
        <f t="shared" si="127"/>
        <v>0</v>
      </c>
      <c r="L138" s="17">
        <f t="shared" si="127"/>
        <v>0</v>
      </c>
      <c r="M138" s="17">
        <f t="shared" si="127"/>
        <v>0</v>
      </c>
      <c r="N138" s="17">
        <f t="shared" si="127"/>
        <v>0</v>
      </c>
      <c r="O138" s="17">
        <f t="shared" si="127"/>
        <v>0</v>
      </c>
      <c r="P138" s="17">
        <f t="shared" si="127"/>
        <v>0</v>
      </c>
      <c r="Q138" s="17">
        <f t="shared" si="106"/>
        <v>0</v>
      </c>
    </row>
    <row r="139" spans="3:18" x14ac:dyDescent="0.25">
      <c r="C139" s="17"/>
      <c r="D139" s="17"/>
      <c r="E139" s="17">
        <f t="shared" ref="E139:P139" si="128">E315+E488</f>
        <v>0</v>
      </c>
      <c r="F139" s="17">
        <f t="shared" si="128"/>
        <v>0</v>
      </c>
      <c r="G139" s="17">
        <f t="shared" si="128"/>
        <v>0</v>
      </c>
      <c r="H139" s="17">
        <f t="shared" si="128"/>
        <v>0</v>
      </c>
      <c r="I139" s="17">
        <f t="shared" si="128"/>
        <v>0</v>
      </c>
      <c r="J139" s="17">
        <f t="shared" si="128"/>
        <v>0</v>
      </c>
      <c r="K139" s="17">
        <f t="shared" si="128"/>
        <v>0</v>
      </c>
      <c r="L139" s="17">
        <f t="shared" si="128"/>
        <v>0</v>
      </c>
      <c r="M139" s="17">
        <f t="shared" si="128"/>
        <v>0</v>
      </c>
      <c r="N139" s="17">
        <f t="shared" si="128"/>
        <v>0</v>
      </c>
      <c r="O139" s="17">
        <f t="shared" si="128"/>
        <v>0</v>
      </c>
      <c r="P139" s="17">
        <f t="shared" si="128"/>
        <v>0</v>
      </c>
      <c r="Q139" s="17">
        <f t="shared" si="106"/>
        <v>0</v>
      </c>
    </row>
    <row r="140" spans="3:18" x14ac:dyDescent="0.25">
      <c r="C140" s="17"/>
      <c r="D140" s="17"/>
      <c r="E140" s="17">
        <f t="shared" ref="E140:P140" si="129">E316+E489</f>
        <v>0</v>
      </c>
      <c r="F140" s="17">
        <f t="shared" si="129"/>
        <v>0</v>
      </c>
      <c r="G140" s="17">
        <f t="shared" si="129"/>
        <v>0</v>
      </c>
      <c r="H140" s="17">
        <f t="shared" si="129"/>
        <v>0</v>
      </c>
      <c r="I140" s="17">
        <f t="shared" si="129"/>
        <v>0</v>
      </c>
      <c r="J140" s="17">
        <f t="shared" si="129"/>
        <v>0</v>
      </c>
      <c r="K140" s="17">
        <f t="shared" si="129"/>
        <v>0</v>
      </c>
      <c r="L140" s="17">
        <f t="shared" si="129"/>
        <v>0</v>
      </c>
      <c r="M140" s="17">
        <f t="shared" si="129"/>
        <v>0</v>
      </c>
      <c r="N140" s="17">
        <f t="shared" si="129"/>
        <v>0</v>
      </c>
      <c r="O140" s="17">
        <f t="shared" si="129"/>
        <v>0</v>
      </c>
      <c r="P140" s="17">
        <f t="shared" si="129"/>
        <v>0</v>
      </c>
      <c r="Q140" s="17">
        <f t="shared" si="106"/>
        <v>0</v>
      </c>
    </row>
    <row r="141" spans="3:18" x14ac:dyDescent="0.25">
      <c r="C141" s="753" t="s">
        <v>420</v>
      </c>
      <c r="D141" s="754"/>
      <c r="E141" s="108">
        <f t="shared" ref="E141:P141" si="130">SUM(E117:E140)</f>
        <v>254.09469632754721</v>
      </c>
      <c r="F141" s="108">
        <f t="shared" si="130"/>
        <v>261.27813994241234</v>
      </c>
      <c r="G141" s="108">
        <f t="shared" si="130"/>
        <v>244.48827795007634</v>
      </c>
      <c r="H141" s="108">
        <f t="shared" si="130"/>
        <v>192.3412313705746</v>
      </c>
      <c r="I141" s="108">
        <f t="shared" si="130"/>
        <v>236.10028037672853</v>
      </c>
      <c r="J141" s="108">
        <f t="shared" si="130"/>
        <v>207.79462515125059</v>
      </c>
      <c r="K141" s="108">
        <f t="shared" si="130"/>
        <v>254.96422522056093</v>
      </c>
      <c r="L141" s="108">
        <f t="shared" si="130"/>
        <v>196.91307054487035</v>
      </c>
      <c r="M141" s="108">
        <f t="shared" si="130"/>
        <v>216.78743014391301</v>
      </c>
      <c r="N141" s="108">
        <f t="shared" si="130"/>
        <v>230.98858697135296</v>
      </c>
      <c r="O141" s="108">
        <f t="shared" si="130"/>
        <v>237.16590857956896</v>
      </c>
      <c r="P141" s="108">
        <f t="shared" si="130"/>
        <v>254.10296070418579</v>
      </c>
      <c r="Q141" s="108">
        <f t="shared" si="106"/>
        <v>2787.019433283042</v>
      </c>
      <c r="R141" s="427"/>
    </row>
    <row r="142" spans="3:18" x14ac:dyDescent="0.25">
      <c r="C142" s="800" t="s">
        <v>421</v>
      </c>
      <c r="D142" s="801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</row>
    <row r="143" spans="3:18" x14ac:dyDescent="0.25">
      <c r="C143" s="17"/>
      <c r="D143" s="322" t="s">
        <v>453</v>
      </c>
      <c r="E143" s="66">
        <f t="shared" ref="E143:P143" si="131">E319+E492</f>
        <v>0</v>
      </c>
      <c r="F143" s="66">
        <f t="shared" si="131"/>
        <v>0</v>
      </c>
      <c r="G143" s="66">
        <f t="shared" si="131"/>
        <v>0</v>
      </c>
      <c r="H143" s="66">
        <f t="shared" si="131"/>
        <v>0</v>
      </c>
      <c r="I143" s="66">
        <f t="shared" si="131"/>
        <v>0</v>
      </c>
      <c r="J143" s="66">
        <f t="shared" si="131"/>
        <v>0</v>
      </c>
      <c r="K143" s="66">
        <f t="shared" si="131"/>
        <v>0</v>
      </c>
      <c r="L143" s="66">
        <f t="shared" si="131"/>
        <v>0</v>
      </c>
      <c r="M143" s="66">
        <f t="shared" si="131"/>
        <v>0</v>
      </c>
      <c r="N143" s="66">
        <f t="shared" si="131"/>
        <v>0</v>
      </c>
      <c r="O143" s="66">
        <f t="shared" si="131"/>
        <v>0</v>
      </c>
      <c r="P143" s="66">
        <f t="shared" si="131"/>
        <v>0</v>
      </c>
      <c r="Q143" s="66">
        <f>SUM(E143:P143)</f>
        <v>0</v>
      </c>
      <c r="R143" s="427"/>
    </row>
    <row r="144" spans="3:18" x14ac:dyDescent="0.25">
      <c r="C144" s="17"/>
      <c r="D144" s="322" t="s">
        <v>422</v>
      </c>
      <c r="E144" s="66">
        <f t="shared" ref="E144:P144" si="132">E320+E493</f>
        <v>0</v>
      </c>
      <c r="F144" s="66">
        <f t="shared" si="132"/>
        <v>0</v>
      </c>
      <c r="G144" s="66">
        <f t="shared" si="132"/>
        <v>0</v>
      </c>
      <c r="H144" s="66">
        <f t="shared" si="132"/>
        <v>0</v>
      </c>
      <c r="I144" s="66">
        <f t="shared" si="132"/>
        <v>0</v>
      </c>
      <c r="J144" s="66">
        <f t="shared" si="132"/>
        <v>0</v>
      </c>
      <c r="K144" s="66">
        <f t="shared" si="132"/>
        <v>-56.704202581571302</v>
      </c>
      <c r="L144" s="66">
        <f t="shared" si="132"/>
        <v>0</v>
      </c>
      <c r="M144" s="66">
        <f t="shared" si="132"/>
        <v>0</v>
      </c>
      <c r="N144" s="66">
        <f t="shared" si="132"/>
        <v>0</v>
      </c>
      <c r="O144" s="66">
        <f t="shared" si="132"/>
        <v>0</v>
      </c>
      <c r="P144" s="66">
        <f t="shared" si="132"/>
        <v>0</v>
      </c>
      <c r="Q144" s="66">
        <f>SUM(E144:P144)</f>
        <v>-56.704202581571302</v>
      </c>
      <c r="R144" s="427"/>
    </row>
    <row r="145" spans="3:17" x14ac:dyDescent="0.25"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</row>
    <row r="146" spans="3:17" x14ac:dyDescent="0.25"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</row>
    <row r="147" spans="3:17" x14ac:dyDescent="0.25"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</row>
    <row r="148" spans="3:17" x14ac:dyDescent="0.25">
      <c r="C148" s="17"/>
      <c r="D148" s="325" t="s">
        <v>665</v>
      </c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</row>
    <row r="149" spans="3:17" x14ac:dyDescent="0.25">
      <c r="C149" s="17"/>
      <c r="D149" s="325" t="s">
        <v>666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</row>
    <row r="150" spans="3:17" x14ac:dyDescent="0.25">
      <c r="C150" s="17"/>
      <c r="D150" s="325" t="s">
        <v>629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</row>
    <row r="151" spans="3:17" x14ac:dyDescent="0.25">
      <c r="C151" s="17"/>
      <c r="D151" s="325" t="s">
        <v>630</v>
      </c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</row>
    <row r="152" spans="3:17" x14ac:dyDescent="0.25">
      <c r="C152" s="17"/>
      <c r="D152" s="326" t="s">
        <v>631</v>
      </c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</row>
    <row r="153" spans="3:17" x14ac:dyDescent="0.25">
      <c r="C153" s="17"/>
      <c r="D153" s="325" t="s">
        <v>632</v>
      </c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</row>
    <row r="154" spans="3:17" x14ac:dyDescent="0.25">
      <c r="C154" s="17"/>
      <c r="D154" s="325" t="s">
        <v>633</v>
      </c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</row>
    <row r="155" spans="3:17" x14ac:dyDescent="0.25">
      <c r="C155" s="17"/>
      <c r="D155" s="325" t="s">
        <v>634</v>
      </c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</row>
    <row r="156" spans="3:17" x14ac:dyDescent="0.25">
      <c r="C156" s="17"/>
      <c r="D156" s="325" t="s">
        <v>635</v>
      </c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</row>
    <row r="157" spans="3:17" x14ac:dyDescent="0.25">
      <c r="C157" s="17"/>
      <c r="D157" s="325" t="s">
        <v>636</v>
      </c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</row>
    <row r="158" spans="3:17" x14ac:dyDescent="0.25">
      <c r="C158" s="17"/>
      <c r="D158" s="325" t="s">
        <v>637</v>
      </c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</row>
    <row r="159" spans="3:17" x14ac:dyDescent="0.25">
      <c r="C159" s="17"/>
      <c r="D159" s="325" t="s">
        <v>638</v>
      </c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</row>
    <row r="160" spans="3:17" x14ac:dyDescent="0.25">
      <c r="C160" s="17"/>
      <c r="D160" s="325" t="s">
        <v>639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</row>
    <row r="161" spans="3:18" x14ac:dyDescent="0.25"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3:18" x14ac:dyDescent="0.25"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</row>
    <row r="163" spans="3:18" x14ac:dyDescent="0.25"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</row>
    <row r="164" spans="3:18" x14ac:dyDescent="0.25"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</row>
    <row r="165" spans="3:18" x14ac:dyDescent="0.25"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</row>
    <row r="166" spans="3:18" x14ac:dyDescent="0.25">
      <c r="C166" s="17"/>
      <c r="D166" s="17"/>
      <c r="E166" s="17">
        <f t="shared" ref="E166:P166" si="133">E338+E513</f>
        <v>0</v>
      </c>
      <c r="F166" s="17">
        <f t="shared" si="133"/>
        <v>0</v>
      </c>
      <c r="G166" s="17">
        <f t="shared" si="133"/>
        <v>0</v>
      </c>
      <c r="H166" s="17">
        <f t="shared" si="133"/>
        <v>0</v>
      </c>
      <c r="I166" s="17">
        <f t="shared" si="133"/>
        <v>0</v>
      </c>
      <c r="J166" s="17">
        <f t="shared" si="133"/>
        <v>0</v>
      </c>
      <c r="K166" s="17">
        <f t="shared" si="133"/>
        <v>0</v>
      </c>
      <c r="L166" s="17">
        <f t="shared" si="133"/>
        <v>0</v>
      </c>
      <c r="M166" s="17">
        <f t="shared" si="133"/>
        <v>0</v>
      </c>
      <c r="N166" s="17">
        <f t="shared" si="133"/>
        <v>0</v>
      </c>
      <c r="O166" s="17">
        <f t="shared" si="133"/>
        <v>0</v>
      </c>
      <c r="P166" s="17">
        <f t="shared" si="133"/>
        <v>0</v>
      </c>
      <c r="Q166" s="17">
        <f t="shared" ref="Q166:Q173" si="134">SUM(E166:P166)</f>
        <v>0</v>
      </c>
    </row>
    <row r="167" spans="3:18" x14ac:dyDescent="0.25">
      <c r="C167" s="17"/>
      <c r="D167" s="17"/>
      <c r="E167" s="17">
        <f t="shared" ref="E167:P167" si="135">E339+E514</f>
        <v>0</v>
      </c>
      <c r="F167" s="17">
        <f t="shared" si="135"/>
        <v>0</v>
      </c>
      <c r="G167" s="17">
        <f t="shared" si="135"/>
        <v>0</v>
      </c>
      <c r="H167" s="17">
        <f t="shared" si="135"/>
        <v>0</v>
      </c>
      <c r="I167" s="17">
        <f t="shared" si="135"/>
        <v>0</v>
      </c>
      <c r="J167" s="17">
        <f t="shared" si="135"/>
        <v>0</v>
      </c>
      <c r="K167" s="17">
        <f t="shared" si="135"/>
        <v>0</v>
      </c>
      <c r="L167" s="17">
        <f t="shared" si="135"/>
        <v>0</v>
      </c>
      <c r="M167" s="17">
        <f t="shared" si="135"/>
        <v>0</v>
      </c>
      <c r="N167" s="17">
        <f t="shared" si="135"/>
        <v>0</v>
      </c>
      <c r="O167" s="17">
        <f t="shared" si="135"/>
        <v>0</v>
      </c>
      <c r="P167" s="17">
        <f t="shared" si="135"/>
        <v>0</v>
      </c>
      <c r="Q167" s="17">
        <f t="shared" si="134"/>
        <v>0</v>
      </c>
    </row>
    <row r="168" spans="3:18" x14ac:dyDescent="0.25">
      <c r="C168" s="17"/>
      <c r="D168" s="17"/>
      <c r="E168" s="17">
        <f t="shared" ref="E168:P168" si="136">E340+E515</f>
        <v>0</v>
      </c>
      <c r="F168" s="17">
        <f t="shared" si="136"/>
        <v>0</v>
      </c>
      <c r="G168" s="17">
        <f t="shared" si="136"/>
        <v>0</v>
      </c>
      <c r="H168" s="17">
        <f t="shared" si="136"/>
        <v>0</v>
      </c>
      <c r="I168" s="17">
        <f t="shared" si="136"/>
        <v>0</v>
      </c>
      <c r="J168" s="17">
        <f t="shared" si="136"/>
        <v>0</v>
      </c>
      <c r="K168" s="17">
        <f t="shared" si="136"/>
        <v>0</v>
      </c>
      <c r="L168" s="17">
        <f t="shared" si="136"/>
        <v>0</v>
      </c>
      <c r="M168" s="17">
        <f t="shared" si="136"/>
        <v>0</v>
      </c>
      <c r="N168" s="17">
        <f t="shared" si="136"/>
        <v>0</v>
      </c>
      <c r="O168" s="17">
        <f t="shared" si="136"/>
        <v>0</v>
      </c>
      <c r="P168" s="17">
        <f t="shared" si="136"/>
        <v>0</v>
      </c>
      <c r="Q168" s="17">
        <f t="shared" si="134"/>
        <v>0</v>
      </c>
    </row>
    <row r="169" spans="3:18" x14ac:dyDescent="0.25">
      <c r="C169" s="17"/>
      <c r="D169" s="17"/>
      <c r="E169" s="17">
        <f t="shared" ref="E169:P169" si="137">E341+E516</f>
        <v>0</v>
      </c>
      <c r="F169" s="17">
        <f t="shared" si="137"/>
        <v>0</v>
      </c>
      <c r="G169" s="17">
        <f t="shared" si="137"/>
        <v>0</v>
      </c>
      <c r="H169" s="17">
        <f t="shared" si="137"/>
        <v>0</v>
      </c>
      <c r="I169" s="17">
        <f t="shared" si="137"/>
        <v>0</v>
      </c>
      <c r="J169" s="17">
        <f t="shared" si="137"/>
        <v>0</v>
      </c>
      <c r="K169" s="17">
        <f t="shared" si="137"/>
        <v>0</v>
      </c>
      <c r="L169" s="17">
        <f t="shared" si="137"/>
        <v>0</v>
      </c>
      <c r="M169" s="17">
        <f t="shared" si="137"/>
        <v>0</v>
      </c>
      <c r="N169" s="17">
        <f t="shared" si="137"/>
        <v>0</v>
      </c>
      <c r="O169" s="17">
        <f t="shared" si="137"/>
        <v>0</v>
      </c>
      <c r="P169" s="17">
        <f t="shared" si="137"/>
        <v>0</v>
      </c>
      <c r="Q169" s="17">
        <f t="shared" si="134"/>
        <v>0</v>
      </c>
    </row>
    <row r="170" spans="3:18" x14ac:dyDescent="0.25">
      <c r="C170" s="17"/>
      <c r="D170" s="17"/>
      <c r="E170" s="17">
        <f t="shared" ref="E170:P170" si="138">E342+E517</f>
        <v>0</v>
      </c>
      <c r="F170" s="17">
        <f t="shared" si="138"/>
        <v>0</v>
      </c>
      <c r="G170" s="17">
        <f t="shared" si="138"/>
        <v>0</v>
      </c>
      <c r="H170" s="17">
        <f t="shared" si="138"/>
        <v>0</v>
      </c>
      <c r="I170" s="17">
        <f t="shared" si="138"/>
        <v>0</v>
      </c>
      <c r="J170" s="17">
        <f t="shared" si="138"/>
        <v>0</v>
      </c>
      <c r="K170" s="17">
        <f t="shared" si="138"/>
        <v>0</v>
      </c>
      <c r="L170" s="17">
        <f t="shared" si="138"/>
        <v>0</v>
      </c>
      <c r="M170" s="17">
        <f t="shared" si="138"/>
        <v>0</v>
      </c>
      <c r="N170" s="17">
        <f t="shared" si="138"/>
        <v>0</v>
      </c>
      <c r="O170" s="17">
        <f t="shared" si="138"/>
        <v>0</v>
      </c>
      <c r="P170" s="17">
        <f t="shared" si="138"/>
        <v>0</v>
      </c>
      <c r="Q170" s="17">
        <f t="shared" si="134"/>
        <v>0</v>
      </c>
    </row>
    <row r="171" spans="3:18" x14ac:dyDescent="0.25">
      <c r="C171" s="17"/>
      <c r="D171" s="17"/>
      <c r="E171" s="17">
        <f t="shared" ref="E171:P171" si="139">E343+E518</f>
        <v>0</v>
      </c>
      <c r="F171" s="17">
        <f t="shared" si="139"/>
        <v>0</v>
      </c>
      <c r="G171" s="17">
        <f t="shared" si="139"/>
        <v>0</v>
      </c>
      <c r="H171" s="17">
        <f t="shared" si="139"/>
        <v>0</v>
      </c>
      <c r="I171" s="17">
        <f t="shared" si="139"/>
        <v>0</v>
      </c>
      <c r="J171" s="17">
        <f t="shared" si="139"/>
        <v>0</v>
      </c>
      <c r="K171" s="17">
        <f t="shared" si="139"/>
        <v>0</v>
      </c>
      <c r="L171" s="17">
        <f t="shared" si="139"/>
        <v>0</v>
      </c>
      <c r="M171" s="17">
        <f t="shared" si="139"/>
        <v>0</v>
      </c>
      <c r="N171" s="17">
        <f t="shared" si="139"/>
        <v>0</v>
      </c>
      <c r="O171" s="17">
        <f t="shared" si="139"/>
        <v>0</v>
      </c>
      <c r="P171" s="17">
        <f t="shared" si="139"/>
        <v>0</v>
      </c>
      <c r="Q171" s="17">
        <f t="shared" si="134"/>
        <v>0</v>
      </c>
    </row>
    <row r="172" spans="3:18" x14ac:dyDescent="0.25">
      <c r="C172" s="17"/>
      <c r="D172" s="17"/>
      <c r="E172" s="17">
        <f t="shared" ref="E172:P172" si="140">E344+E519</f>
        <v>0</v>
      </c>
      <c r="F172" s="17">
        <f t="shared" si="140"/>
        <v>0</v>
      </c>
      <c r="G172" s="17">
        <f t="shared" si="140"/>
        <v>0</v>
      </c>
      <c r="H172" s="17">
        <f t="shared" si="140"/>
        <v>0</v>
      </c>
      <c r="I172" s="17">
        <f t="shared" si="140"/>
        <v>0</v>
      </c>
      <c r="J172" s="17">
        <f t="shared" si="140"/>
        <v>0</v>
      </c>
      <c r="K172" s="17">
        <f t="shared" si="140"/>
        <v>0</v>
      </c>
      <c r="L172" s="17">
        <f t="shared" si="140"/>
        <v>0</v>
      </c>
      <c r="M172" s="17">
        <f t="shared" si="140"/>
        <v>0</v>
      </c>
      <c r="N172" s="17">
        <f t="shared" si="140"/>
        <v>0</v>
      </c>
      <c r="O172" s="17">
        <f t="shared" si="140"/>
        <v>0</v>
      </c>
      <c r="P172" s="17">
        <f t="shared" si="140"/>
        <v>0</v>
      </c>
      <c r="Q172" s="17">
        <f t="shared" si="134"/>
        <v>0</v>
      </c>
    </row>
    <row r="173" spans="3:18" x14ac:dyDescent="0.25">
      <c r="C173" s="753" t="s">
        <v>423</v>
      </c>
      <c r="D173" s="754"/>
      <c r="E173" s="28">
        <f t="shared" ref="E173:P173" si="141">SUM(E143:E172)</f>
        <v>0</v>
      </c>
      <c r="F173" s="28">
        <f t="shared" si="141"/>
        <v>0</v>
      </c>
      <c r="G173" s="28">
        <f t="shared" si="141"/>
        <v>0</v>
      </c>
      <c r="H173" s="28">
        <f t="shared" si="141"/>
        <v>0</v>
      </c>
      <c r="I173" s="28">
        <f t="shared" si="141"/>
        <v>0</v>
      </c>
      <c r="J173" s="28">
        <f t="shared" si="141"/>
        <v>0</v>
      </c>
      <c r="K173" s="28">
        <f t="shared" si="141"/>
        <v>-56.704202581571302</v>
      </c>
      <c r="L173" s="28">
        <f t="shared" si="141"/>
        <v>0</v>
      </c>
      <c r="M173" s="28">
        <f t="shared" si="141"/>
        <v>0</v>
      </c>
      <c r="N173" s="28">
        <f t="shared" si="141"/>
        <v>0</v>
      </c>
      <c r="O173" s="28">
        <f t="shared" si="141"/>
        <v>0</v>
      </c>
      <c r="P173" s="28">
        <f t="shared" si="141"/>
        <v>0</v>
      </c>
      <c r="Q173" s="28">
        <f t="shared" si="134"/>
        <v>-56.704202581571302</v>
      </c>
    </row>
    <row r="174" spans="3:18" x14ac:dyDescent="0.25">
      <c r="C174" s="800" t="s">
        <v>424</v>
      </c>
      <c r="D174" s="801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</row>
    <row r="175" spans="3:18" x14ac:dyDescent="0.25">
      <c r="C175" s="17" t="s">
        <v>425</v>
      </c>
      <c r="D175" s="17" t="s">
        <v>426</v>
      </c>
      <c r="E175" s="66">
        <f>E522+E347</f>
        <v>-173.18364056134649</v>
      </c>
      <c r="F175" s="66">
        <f t="shared" ref="F175:P175" si="142">F522+F347</f>
        <v>-267.83982727971005</v>
      </c>
      <c r="G175" s="66">
        <f t="shared" si="142"/>
        <v>-272.285907771952</v>
      </c>
      <c r="H175" s="66">
        <f t="shared" si="142"/>
        <v>-229.07151999093981</v>
      </c>
      <c r="I175" s="66">
        <f t="shared" si="142"/>
        <v>-267.9703683128804</v>
      </c>
      <c r="J175" s="66">
        <f t="shared" si="142"/>
        <v>-261.38107883477227</v>
      </c>
      <c r="K175" s="66">
        <f t="shared" si="142"/>
        <v>-262.21638517473696</v>
      </c>
      <c r="L175" s="66">
        <f t="shared" si="142"/>
        <v>-242.32495790175875</v>
      </c>
      <c r="M175" s="66">
        <f t="shared" si="142"/>
        <v>-185.71356613431061</v>
      </c>
      <c r="N175" s="66">
        <f t="shared" si="142"/>
        <v>-188.39362767257612</v>
      </c>
      <c r="O175" s="66">
        <f t="shared" si="142"/>
        <v>-32.035800317346983</v>
      </c>
      <c r="P175" s="66">
        <f t="shared" si="142"/>
        <v>-34.050336148684138</v>
      </c>
      <c r="Q175" s="17">
        <f>SUM(E175:P175)</f>
        <v>-2416.4670161010145</v>
      </c>
      <c r="R175" s="427"/>
    </row>
    <row r="176" spans="3:18" x14ac:dyDescent="0.25">
      <c r="C176" s="17" t="s">
        <v>425</v>
      </c>
      <c r="D176" s="17" t="s">
        <v>427</v>
      </c>
      <c r="E176" s="66">
        <f t="shared" ref="E176:P176" si="143">E523+E348</f>
        <v>0</v>
      </c>
      <c r="F176" s="66">
        <f t="shared" si="143"/>
        <v>0</v>
      </c>
      <c r="G176" s="66">
        <f t="shared" si="143"/>
        <v>0</v>
      </c>
      <c r="H176" s="66">
        <f t="shared" si="143"/>
        <v>0</v>
      </c>
      <c r="I176" s="66">
        <f t="shared" si="143"/>
        <v>0</v>
      </c>
      <c r="J176" s="66">
        <f t="shared" si="143"/>
        <v>0</v>
      </c>
      <c r="K176" s="66">
        <f t="shared" si="143"/>
        <v>0</v>
      </c>
      <c r="L176" s="66">
        <f t="shared" si="143"/>
        <v>0</v>
      </c>
      <c r="M176" s="66">
        <f t="shared" si="143"/>
        <v>0</v>
      </c>
      <c r="N176" s="66">
        <f t="shared" si="143"/>
        <v>0</v>
      </c>
      <c r="O176" s="66">
        <f t="shared" si="143"/>
        <v>0</v>
      </c>
      <c r="P176" s="66">
        <f t="shared" si="143"/>
        <v>0</v>
      </c>
      <c r="Q176" s="17">
        <f>SUM(E176:P176)</f>
        <v>0</v>
      </c>
    </row>
    <row r="177" spans="2:18" x14ac:dyDescent="0.25">
      <c r="C177" s="753" t="s">
        <v>428</v>
      </c>
      <c r="D177" s="754"/>
      <c r="E177" s="28">
        <f t="shared" ref="E177:P177" si="144">E175+E176</f>
        <v>-173.18364056134649</v>
      </c>
      <c r="F177" s="28">
        <f t="shared" si="144"/>
        <v>-267.83982727971005</v>
      </c>
      <c r="G177" s="28">
        <f t="shared" si="144"/>
        <v>-272.285907771952</v>
      </c>
      <c r="H177" s="28">
        <f t="shared" si="144"/>
        <v>-229.07151999093981</v>
      </c>
      <c r="I177" s="28">
        <f t="shared" si="144"/>
        <v>-267.9703683128804</v>
      </c>
      <c r="J177" s="28">
        <f t="shared" si="144"/>
        <v>-261.38107883477227</v>
      </c>
      <c r="K177" s="28">
        <f t="shared" si="144"/>
        <v>-262.21638517473696</v>
      </c>
      <c r="L177" s="28">
        <f t="shared" si="144"/>
        <v>-242.32495790175875</v>
      </c>
      <c r="M177" s="28">
        <f t="shared" si="144"/>
        <v>-185.71356613431061</v>
      </c>
      <c r="N177" s="28">
        <f t="shared" si="144"/>
        <v>-188.39362767257612</v>
      </c>
      <c r="O177" s="28">
        <f t="shared" si="144"/>
        <v>-32.035800317346983</v>
      </c>
      <c r="P177" s="28">
        <f t="shared" si="144"/>
        <v>-34.050336148684138</v>
      </c>
      <c r="Q177" s="28">
        <f>SUM(E177:P177)</f>
        <v>-2416.4670161010145</v>
      </c>
      <c r="R177" s="427"/>
    </row>
    <row r="178" spans="2:18" x14ac:dyDescent="0.25">
      <c r="C178" s="753" t="s">
        <v>220</v>
      </c>
      <c r="D178" s="754"/>
      <c r="E178" s="28">
        <f t="shared" ref="E178:Q178" si="145">E50+E96+E105+E115+E141+E173+E177</f>
        <v>1501.5874730482799</v>
      </c>
      <c r="F178" s="28">
        <f t="shared" si="145"/>
        <v>938.00263928613163</v>
      </c>
      <c r="G178" s="28">
        <f t="shared" si="145"/>
        <v>993.98488231832221</v>
      </c>
      <c r="H178" s="28">
        <f t="shared" si="145"/>
        <v>1200.419477247591</v>
      </c>
      <c r="I178" s="28">
        <f t="shared" si="145"/>
        <v>1276.3764691758529</v>
      </c>
      <c r="J178" s="28">
        <f t="shared" si="145"/>
        <v>1305.5964027101691</v>
      </c>
      <c r="K178" s="28">
        <f t="shared" si="145"/>
        <v>1174.327233319771</v>
      </c>
      <c r="L178" s="28">
        <f t="shared" si="145"/>
        <v>1159.1377478105419</v>
      </c>
      <c r="M178" s="28">
        <f t="shared" si="145"/>
        <v>1352.632725721694</v>
      </c>
      <c r="N178" s="28">
        <f t="shared" si="145"/>
        <v>1475.8973311362747</v>
      </c>
      <c r="O178" s="28">
        <f t="shared" si="145"/>
        <v>1588.3835381730032</v>
      </c>
      <c r="P178" s="28">
        <f t="shared" si="145"/>
        <v>1808.376434875961</v>
      </c>
      <c r="Q178" s="423">
        <f t="shared" si="145"/>
        <v>16359.855569823594</v>
      </c>
      <c r="R178" s="427"/>
    </row>
    <row r="180" spans="2:18" x14ac:dyDescent="0.25">
      <c r="C180" s="22" t="s">
        <v>641</v>
      </c>
      <c r="J180" s="25"/>
    </row>
    <row r="181" spans="2:18" x14ac:dyDescent="0.25">
      <c r="C181" s="14"/>
      <c r="Q181" s="25" t="s">
        <v>3</v>
      </c>
    </row>
    <row r="182" spans="2:18" x14ac:dyDescent="0.25">
      <c r="C182" s="762" t="s">
        <v>346</v>
      </c>
      <c r="D182" s="762" t="s">
        <v>347</v>
      </c>
      <c r="E182" s="768" t="s">
        <v>256</v>
      </c>
      <c r="F182" s="768"/>
      <c r="G182" s="768"/>
      <c r="H182" s="768"/>
      <c r="I182" s="768"/>
      <c r="J182" s="768"/>
      <c r="K182" s="768"/>
      <c r="L182" s="768"/>
      <c r="M182" s="768"/>
      <c r="N182" s="768"/>
      <c r="O182" s="768"/>
      <c r="P182" s="768"/>
      <c r="Q182" s="768"/>
    </row>
    <row r="183" spans="2:18" x14ac:dyDescent="0.25">
      <c r="C183" s="764"/>
      <c r="D183" s="764"/>
      <c r="E183" s="13" t="s">
        <v>239</v>
      </c>
      <c r="F183" s="13" t="s">
        <v>240</v>
      </c>
      <c r="G183" s="13" t="s">
        <v>241</v>
      </c>
      <c r="H183" s="13" t="s">
        <v>242</v>
      </c>
      <c r="I183" s="13" t="s">
        <v>243</v>
      </c>
      <c r="J183" s="13" t="s">
        <v>244</v>
      </c>
      <c r="K183" s="13" t="s">
        <v>245</v>
      </c>
      <c r="L183" s="13" t="s">
        <v>246</v>
      </c>
      <c r="M183" s="13" t="s">
        <v>247</v>
      </c>
      <c r="N183" s="13" t="s">
        <v>248</v>
      </c>
      <c r="O183" s="13" t="s">
        <v>249</v>
      </c>
      <c r="P183" s="13" t="s">
        <v>250</v>
      </c>
      <c r="Q183" s="13" t="s">
        <v>251</v>
      </c>
    </row>
    <row r="184" spans="2:18" x14ac:dyDescent="0.25">
      <c r="C184" s="766"/>
      <c r="D184" s="7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</row>
    <row r="185" spans="2:18" x14ac:dyDescent="0.25">
      <c r="B185" s="60"/>
      <c r="C185" s="800" t="s">
        <v>348</v>
      </c>
      <c r="D185" s="801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</row>
    <row r="186" spans="2:18" x14ac:dyDescent="0.25">
      <c r="C186" s="753" t="s">
        <v>349</v>
      </c>
      <c r="D186" s="754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</row>
    <row r="187" spans="2:18" x14ac:dyDescent="0.25">
      <c r="B187" s="60"/>
      <c r="C187" s="846" t="s">
        <v>350</v>
      </c>
      <c r="D187" s="59" t="s">
        <v>351</v>
      </c>
      <c r="E187" s="291">
        <f>'[35]TGNPDCL MoD'!U4+'[35]TGNPDCL MoD'!U5</f>
        <v>12.946835894292459</v>
      </c>
      <c r="F187" s="291">
        <f>'[35]TGNPDCL MoD'!V4+'[35]TGNPDCL MoD'!V5</f>
        <v>15.496563095386655</v>
      </c>
      <c r="G187" s="291">
        <f>'[35]TGNPDCL MoD'!W4+'[35]TGNPDCL MoD'!W5</f>
        <v>14.984330311398562</v>
      </c>
      <c r="H187" s="291">
        <f>'[35]TGNPDCL MoD'!X4+'[35]TGNPDCL MoD'!X5</f>
        <v>0</v>
      </c>
      <c r="I187" s="291">
        <f>'[35]TGNPDCL MoD'!Y4+'[35]TGNPDCL MoD'!Y5</f>
        <v>5.1586192172032543</v>
      </c>
      <c r="J187" s="291">
        <f>'[35]TGNPDCL MoD'!Z4+'[35]TGNPDCL MoD'!Z5</f>
        <v>11.185434077568173</v>
      </c>
      <c r="K187" s="291">
        <f>'[35]TGNPDCL MoD'!AA4+'[35]TGNPDCL MoD'!AA5</f>
        <v>9.9771096948106859</v>
      </c>
      <c r="L187" s="291">
        <f>'[35]TGNPDCL MoD'!AB4+'[35]TGNPDCL MoD'!AB5</f>
        <v>15.250933807683484</v>
      </c>
      <c r="M187" s="291">
        <f>'[35]TGNPDCL MoD'!AC4+'[35]TGNPDCL MoD'!AC5</f>
        <v>12.822307185453329</v>
      </c>
      <c r="N187" s="291">
        <f>'[35]TGNPDCL MoD'!AD4+'[35]TGNPDCL MoD'!AD5</f>
        <v>12.925751641546738</v>
      </c>
      <c r="O187" s="291">
        <f>'[35]TGNPDCL MoD'!AE4+'[35]TGNPDCL MoD'!AE5</f>
        <v>12.405484285908688</v>
      </c>
      <c r="P187" s="291">
        <f>'[35]TGNPDCL MoD'!AF4+'[35]TGNPDCL MoD'!AF5</f>
        <v>15.079040788747971</v>
      </c>
      <c r="Q187" s="291">
        <f t="shared" ref="Q187:Q205" si="146">SUM(E187:P187)</f>
        <v>138.23240999999999</v>
      </c>
    </row>
    <row r="188" spans="2:18" x14ac:dyDescent="0.25">
      <c r="B188" s="60"/>
      <c r="C188" s="847"/>
      <c r="D188" s="59" t="s">
        <v>352</v>
      </c>
      <c r="E188" s="291">
        <f>'[35]TGNPDCL MoD'!U6</f>
        <v>16.438592695214361</v>
      </c>
      <c r="F188" s="291">
        <f>'[35]TGNPDCL MoD'!V6</f>
        <v>0</v>
      </c>
      <c r="G188" s="291">
        <f>'[35]TGNPDCL MoD'!W6</f>
        <v>9.4883640560642615</v>
      </c>
      <c r="H188" s="291">
        <f>'[35]TGNPDCL MoD'!X6</f>
        <v>16.246875146994256</v>
      </c>
      <c r="I188" s="291">
        <f>'[35]TGNPDCL MoD'!Y6</f>
        <v>13.481351394204927</v>
      </c>
      <c r="J188" s="291">
        <f>'[35]TGNPDCL MoD'!Z6</f>
        <v>14.165726618912842</v>
      </c>
      <c r="K188" s="291">
        <f>'[35]TGNPDCL MoD'!AA6</f>
        <v>14.145207833006671</v>
      </c>
      <c r="L188" s="291">
        <f>'[35]TGNPDCL MoD'!AB6</f>
        <v>18.575811321027217</v>
      </c>
      <c r="M188" s="291">
        <f>'[35]TGNPDCL MoD'!AC6</f>
        <v>16.709320926900027</v>
      </c>
      <c r="N188" s="291">
        <f>'[35]TGNPDCL MoD'!AD6</f>
        <v>16.375745450880089</v>
      </c>
      <c r="O188" s="291">
        <f>'[35]TGNPDCL MoD'!AE6</f>
        <v>15.724930209205189</v>
      </c>
      <c r="P188" s="291">
        <f>'[35]TGNPDCL MoD'!AF6</f>
        <v>18.780724347590112</v>
      </c>
      <c r="Q188" s="291">
        <f t="shared" si="146"/>
        <v>170.13264999999996</v>
      </c>
    </row>
    <row r="189" spans="2:18" x14ac:dyDescent="0.25">
      <c r="B189" s="60"/>
      <c r="C189" s="847"/>
      <c r="D189" s="59" t="s">
        <v>353</v>
      </c>
      <c r="E189" s="291">
        <f>'[35]TGNPDCL MoD'!U7</f>
        <v>45.39372592653983</v>
      </c>
      <c r="F189" s="291">
        <f>'[35]TGNPDCL MoD'!V7</f>
        <v>0</v>
      </c>
      <c r="G189" s="291">
        <f>'[35]TGNPDCL MoD'!W7</f>
        <v>23.815455931691421</v>
      </c>
      <c r="H189" s="291">
        <f>'[35]TGNPDCL MoD'!X7</f>
        <v>44.743678129708869</v>
      </c>
      <c r="I189" s="291">
        <f>'[35]TGNPDCL MoD'!Y7</f>
        <v>36.23973742256964</v>
      </c>
      <c r="J189" s="291">
        <f>'[35]TGNPDCL MoD'!Z7</f>
        <v>36.172428049040818</v>
      </c>
      <c r="K189" s="291">
        <f>'[35]TGNPDCL MoD'!AA7</f>
        <v>36.740651733116451</v>
      </c>
      <c r="L189" s="291">
        <f>'[35]TGNPDCL MoD'!AB7</f>
        <v>47.069353680745067</v>
      </c>
      <c r="M189" s="291">
        <f>'[35]TGNPDCL MoD'!AC7</f>
        <v>41.994177395036232</v>
      </c>
      <c r="N189" s="291">
        <f>'[35]TGNPDCL MoD'!AD7</f>
        <v>41.939800563274432</v>
      </c>
      <c r="O189" s="291">
        <f>'[35]TGNPDCL MoD'!AE7</f>
        <v>40.403324968291983</v>
      </c>
      <c r="P189" s="291">
        <f>'[35]TGNPDCL MoD'!AF7</f>
        <v>48.52463119998523</v>
      </c>
      <c r="Q189" s="291">
        <f t="shared" si="146"/>
        <v>443.03696499999995</v>
      </c>
    </row>
    <row r="190" spans="2:18" x14ac:dyDescent="0.25">
      <c r="B190" s="60"/>
      <c r="C190" s="847"/>
      <c r="D190" s="59" t="s">
        <v>354</v>
      </c>
      <c r="E190" s="291">
        <f>'[35]TGNPDCL MoD'!U8</f>
        <v>4.1653599125472693</v>
      </c>
      <c r="F190" s="291">
        <f>'[35]TGNPDCL MoD'!V8</f>
        <v>0</v>
      </c>
      <c r="G190" s="291">
        <f>'[35]TGNPDCL MoD'!W8</f>
        <v>2.400376898756027</v>
      </c>
      <c r="H190" s="291">
        <f>'[35]TGNPDCL MoD'!X8</f>
        <v>3.9759184024003411</v>
      </c>
      <c r="I190" s="291">
        <f>'[35]TGNPDCL MoD'!Y8</f>
        <v>3.3193447212700007</v>
      </c>
      <c r="J190" s="291">
        <f>'[35]TGNPDCL MoD'!Z8</f>
        <v>3.5299660275824229</v>
      </c>
      <c r="K190" s="291">
        <f>'[35]TGNPDCL MoD'!AA8</f>
        <v>3.2099157744149438</v>
      </c>
      <c r="L190" s="291">
        <f>'[35]TGNPDCL MoD'!AB8</f>
        <v>4.903550902010922</v>
      </c>
      <c r="M190" s="291">
        <f>'[35]TGNPDCL MoD'!AC8</f>
        <v>3.8979017340387854</v>
      </c>
      <c r="N190" s="291">
        <f>'[35]TGNPDCL MoD'!AD8</f>
        <v>4.0853473492553984</v>
      </c>
      <c r="O190" s="291">
        <f>'[35]TGNPDCL MoD'!AE8</f>
        <v>3.9865083004830941</v>
      </c>
      <c r="P190" s="291">
        <f>'[35]TGNPDCL MoD'!AF8</f>
        <v>4.8513499772407949</v>
      </c>
      <c r="Q190" s="291">
        <f t="shared" si="146"/>
        <v>42.325539999999997</v>
      </c>
    </row>
    <row r="191" spans="2:18" x14ac:dyDescent="0.25">
      <c r="B191" s="60"/>
      <c r="C191" s="847"/>
      <c r="D191" s="59" t="s">
        <v>355</v>
      </c>
      <c r="E191" s="291">
        <f>'[35]TGNPDCL MoD'!U9</f>
        <v>14.361834853957575</v>
      </c>
      <c r="F191" s="291">
        <f>'[35]TGNPDCL MoD'!V9</f>
        <v>14.840562682422828</v>
      </c>
      <c r="G191" s="291">
        <f>'[35]TGNPDCL MoD'!W9</f>
        <v>14.413107725169983</v>
      </c>
      <c r="H191" s="291">
        <f>'[35]TGNPDCL MoD'!X9</f>
        <v>15.15409569684021</v>
      </c>
      <c r="I191" s="291">
        <f>'[35]TGNPDCL MoD'!Y9</f>
        <v>12.332298567083757</v>
      </c>
      <c r="J191" s="291">
        <f>'[35]TGNPDCL MoD'!Z9</f>
        <v>13.45157771532646</v>
      </c>
      <c r="K191" s="291">
        <f>'[35]TGNPDCL MoD'!AA9</f>
        <v>0</v>
      </c>
      <c r="L191" s="291">
        <f>'[35]TGNPDCL MoD'!AB9</f>
        <v>7.1809174269787874</v>
      </c>
      <c r="M191" s="291">
        <f>'[35]TGNPDCL MoD'!AC9</f>
        <v>14.454382253716446</v>
      </c>
      <c r="N191" s="291">
        <f>'[35]TGNPDCL MoD'!AD9</f>
        <v>12.959364595918524</v>
      </c>
      <c r="O191" s="291">
        <f>'[35]TGNPDCL MoD'!AE9</f>
        <v>13.029299877254848</v>
      </c>
      <c r="P191" s="291">
        <f>'[35]TGNPDCL MoD'!AF9</f>
        <v>15.903048605330559</v>
      </c>
      <c r="Q191" s="291">
        <f t="shared" si="146"/>
        <v>148.08049</v>
      </c>
    </row>
    <row r="192" spans="2:18" x14ac:dyDescent="0.25">
      <c r="B192" s="60"/>
      <c r="C192" s="847"/>
      <c r="D192" s="59" t="s">
        <v>356</v>
      </c>
      <c r="E192" s="291">
        <f>'[35]TGNPDCL MoD'!U10</f>
        <v>23.24141251457274</v>
      </c>
      <c r="F192" s="291">
        <f>'[35]TGNPDCL MoD'!V10</f>
        <v>23.607123591528804</v>
      </c>
      <c r="G192" s="291">
        <f>'[35]TGNPDCL MoD'!W10</f>
        <v>23.24141251457274</v>
      </c>
      <c r="H192" s="291">
        <f>'[35]TGNPDCL MoD'!X10</f>
        <v>25.780349952808621</v>
      </c>
      <c r="I192" s="291">
        <f>'[35]TGNPDCL MoD'!Y10</f>
        <v>21.260187897215225</v>
      </c>
      <c r="J192" s="291">
        <f>'[35]TGNPDCL MoD'!Z10</f>
        <v>24.079402785469547</v>
      </c>
      <c r="K192" s="291">
        <f>'[35]TGNPDCL MoD'!AA10</f>
        <v>21.622794303127272</v>
      </c>
      <c r="L192" s="291">
        <f>'[35]TGNPDCL MoD'!AB10</f>
        <v>0</v>
      </c>
      <c r="M192" s="291">
        <f>'[35]TGNPDCL MoD'!AC10</f>
        <v>11.940553593577842</v>
      </c>
      <c r="N192" s="291">
        <f>'[35]TGNPDCL MoD'!AD10</f>
        <v>24.016126265058496</v>
      </c>
      <c r="O192" s="291">
        <f>'[35]TGNPDCL MoD'!AE10</f>
        <v>23.387066836059613</v>
      </c>
      <c r="P192" s="291">
        <f>'[35]TGNPDCL MoD'!AF10</f>
        <v>25.963379746009188</v>
      </c>
      <c r="Q192" s="291">
        <f t="shared" si="146"/>
        <v>248.1398100000001</v>
      </c>
    </row>
    <row r="193" spans="2:18" x14ac:dyDescent="0.25">
      <c r="B193" s="60"/>
      <c r="C193" s="847"/>
      <c r="D193" s="59" t="s">
        <v>357</v>
      </c>
      <c r="E193" s="291">
        <f>SUM('[35]TGNPDCL MoD'!U11:U14)</f>
        <v>57.591281852049235</v>
      </c>
      <c r="F193" s="291">
        <f>SUM('[35]TGNPDCL MoD'!V11:V14)</f>
        <v>29.434452996675049</v>
      </c>
      <c r="G193" s="291">
        <f>SUM('[35]TGNPDCL MoD'!W11:W14)</f>
        <v>42.964973873042709</v>
      </c>
      <c r="H193" s="291">
        <f>SUM('[35]TGNPDCL MoD'!X11:X14)</f>
        <v>61.738733782622397</v>
      </c>
      <c r="I193" s="291">
        <f>SUM('[35]TGNPDCL MoD'!Y11:Y14)</f>
        <v>44.982507644110569</v>
      </c>
      <c r="J193" s="291">
        <f>SUM('[35]TGNPDCL MoD'!Z11:Z14)</f>
        <v>44.884001420847326</v>
      </c>
      <c r="K193" s="291">
        <f>SUM('[35]TGNPDCL MoD'!AA11:AA14)</f>
        <v>51.360009520774881</v>
      </c>
      <c r="L193" s="291">
        <f>SUM('[35]TGNPDCL MoD'!AB11:AB14)</f>
        <v>42.914323169614136</v>
      </c>
      <c r="M193" s="291">
        <f>SUM('[35]TGNPDCL MoD'!AC11:AC14)</f>
        <v>51.696760527913966</v>
      </c>
      <c r="N193" s="291">
        <f>SUM('[35]TGNPDCL MoD'!AD11:AD14)</f>
        <v>58.568218332251433</v>
      </c>
      <c r="O193" s="291">
        <f>SUM('[35]TGNPDCL MoD'!AE11:AE14)</f>
        <v>55.400040996269858</v>
      </c>
      <c r="P193" s="291">
        <f>SUM('[35]TGNPDCL MoD'!AF11:AF14)</f>
        <v>65.237770883828148</v>
      </c>
      <c r="Q193" s="291">
        <f t="shared" si="146"/>
        <v>606.77307499999972</v>
      </c>
    </row>
    <row r="194" spans="2:18" x14ac:dyDescent="0.25">
      <c r="B194" s="60"/>
      <c r="C194" s="847"/>
      <c r="D194" s="59" t="s">
        <v>358</v>
      </c>
      <c r="E194" s="291">
        <f>SUM('[35]TGNPDCL MoD'!U15:U19)</f>
        <v>186.84227223175196</v>
      </c>
      <c r="F194" s="291">
        <f>SUM('[35]TGNPDCL MoD'!V15:V19)</f>
        <v>111.79060379293203</v>
      </c>
      <c r="G194" s="291">
        <f>SUM('[35]TGNPDCL MoD'!W15:W19)</f>
        <v>111.32298248086846</v>
      </c>
      <c r="H194" s="291">
        <f>SUM('[35]TGNPDCL MoD'!X15:X19)</f>
        <v>120.63499196584701</v>
      </c>
      <c r="I194" s="291">
        <f>SUM('[35]TGNPDCL MoD'!Y15:Y19)</f>
        <v>183.74105325644339</v>
      </c>
      <c r="J194" s="291">
        <f>SUM('[35]TGNPDCL MoD'!Z15:Z19)</f>
        <v>192.62033223185466</v>
      </c>
      <c r="K194" s="291">
        <f>SUM('[35]TGNPDCL MoD'!AA15:AA19)</f>
        <v>178.5762479537396</v>
      </c>
      <c r="L194" s="291">
        <f>SUM('[35]TGNPDCL MoD'!AB15:AB19)</f>
        <v>145.0014888744314</v>
      </c>
      <c r="M194" s="291">
        <f>SUM('[35]TGNPDCL MoD'!AC15:AC19)</f>
        <v>173.51876034409571</v>
      </c>
      <c r="N194" s="291">
        <f>SUM('[35]TGNPDCL MoD'!AD15:AD19)</f>
        <v>193.01488476650695</v>
      </c>
      <c r="O194" s="291">
        <f>SUM('[35]TGNPDCL MoD'!AE15:AE19)</f>
        <v>179.77897674973102</v>
      </c>
      <c r="P194" s="291">
        <f>SUM('[35]TGNPDCL MoD'!AF15:AF19)</f>
        <v>199.04100997291653</v>
      </c>
      <c r="Q194" s="291">
        <f t="shared" si="146"/>
        <v>1975.8836046211186</v>
      </c>
    </row>
    <row r="195" spans="2:18" x14ac:dyDescent="0.25">
      <c r="B195" s="60"/>
      <c r="C195" s="847"/>
      <c r="D195" s="325"/>
      <c r="E195" s="291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>
        <f t="shared" si="146"/>
        <v>0</v>
      </c>
    </row>
    <row r="196" spans="2:18" x14ac:dyDescent="0.25">
      <c r="B196" s="60"/>
      <c r="C196" s="847"/>
      <c r="D196" s="59"/>
      <c r="E196" s="291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>
        <f t="shared" si="146"/>
        <v>0</v>
      </c>
    </row>
    <row r="197" spans="2:18" x14ac:dyDescent="0.25">
      <c r="B197" s="60"/>
      <c r="C197" s="847"/>
      <c r="D197" s="59"/>
      <c r="E197" s="291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>
        <f t="shared" si="146"/>
        <v>0</v>
      </c>
    </row>
    <row r="198" spans="2:18" x14ac:dyDescent="0.25">
      <c r="B198" s="60"/>
      <c r="C198" s="847"/>
      <c r="D198" s="59"/>
      <c r="E198" s="291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>
        <f t="shared" si="146"/>
        <v>0</v>
      </c>
    </row>
    <row r="199" spans="2:18" x14ac:dyDescent="0.25">
      <c r="B199" s="60"/>
      <c r="C199" s="847"/>
      <c r="D199" s="59"/>
      <c r="E199" s="291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>
        <f t="shared" si="146"/>
        <v>0</v>
      </c>
    </row>
    <row r="200" spans="2:18" x14ac:dyDescent="0.25">
      <c r="B200" s="60"/>
      <c r="C200" s="847"/>
      <c r="D200" s="59"/>
      <c r="E200" s="291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>
        <f t="shared" si="146"/>
        <v>0</v>
      </c>
    </row>
    <row r="201" spans="2:18" x14ac:dyDescent="0.25">
      <c r="B201" s="60"/>
      <c r="C201" s="847"/>
      <c r="D201" s="59"/>
      <c r="E201" s="291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>
        <f t="shared" si="146"/>
        <v>0</v>
      </c>
    </row>
    <row r="202" spans="2:18" x14ac:dyDescent="0.25">
      <c r="B202" s="60"/>
      <c r="C202" s="847"/>
      <c r="D202" s="59"/>
      <c r="E202" s="291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>
        <f t="shared" si="146"/>
        <v>0</v>
      </c>
    </row>
    <row r="203" spans="2:18" x14ac:dyDescent="0.25">
      <c r="B203" s="60"/>
      <c r="C203" s="847"/>
      <c r="D203" s="59"/>
      <c r="E203" s="291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>
        <f t="shared" si="146"/>
        <v>0</v>
      </c>
    </row>
    <row r="204" spans="2:18" x14ac:dyDescent="0.25">
      <c r="B204" s="60"/>
      <c r="C204" s="848"/>
      <c r="D204" s="59"/>
      <c r="E204" s="291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>
        <f t="shared" si="146"/>
        <v>0</v>
      </c>
    </row>
    <row r="205" spans="2:18" x14ac:dyDescent="0.25">
      <c r="C205" s="751" t="s">
        <v>212</v>
      </c>
      <c r="D205" s="752"/>
      <c r="E205" s="291">
        <f t="shared" ref="E205:P205" si="147">SUM(E187:E204)</f>
        <v>360.98131588092542</v>
      </c>
      <c r="F205" s="291">
        <f t="shared" si="147"/>
        <v>195.16930615894535</v>
      </c>
      <c r="G205" s="291">
        <f t="shared" si="147"/>
        <v>242.63100379156418</v>
      </c>
      <c r="H205" s="291">
        <f t="shared" si="147"/>
        <v>288.2746430772217</v>
      </c>
      <c r="I205" s="291">
        <f t="shared" si="147"/>
        <v>320.51510012010078</v>
      </c>
      <c r="J205" s="291">
        <f t="shared" si="147"/>
        <v>340.08886892660223</v>
      </c>
      <c r="K205" s="291">
        <f t="shared" si="147"/>
        <v>315.63193681299049</v>
      </c>
      <c r="L205" s="291">
        <f t="shared" si="147"/>
        <v>280.89637918249105</v>
      </c>
      <c r="M205" s="291">
        <f t="shared" si="147"/>
        <v>327.03416396073237</v>
      </c>
      <c r="N205" s="291">
        <f t="shared" si="147"/>
        <v>363.88523896469206</v>
      </c>
      <c r="O205" s="291">
        <f t="shared" si="147"/>
        <v>344.11563222320427</v>
      </c>
      <c r="P205" s="291">
        <f t="shared" si="147"/>
        <v>393.3809555216485</v>
      </c>
      <c r="Q205" s="323">
        <f t="shared" si="146"/>
        <v>3772.6045446211183</v>
      </c>
      <c r="R205" s="427"/>
    </row>
    <row r="206" spans="2:18" x14ac:dyDescent="0.25">
      <c r="C206" s="753" t="s">
        <v>359</v>
      </c>
      <c r="D206" s="754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</row>
    <row r="207" spans="2:18" x14ac:dyDescent="0.25">
      <c r="C207" s="805" t="s">
        <v>350</v>
      </c>
      <c r="D207" s="17" t="s">
        <v>360</v>
      </c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>
        <f t="shared" ref="Q207:Q217" si="148">SUM(E207:P207)</f>
        <v>0</v>
      </c>
    </row>
    <row r="208" spans="2:18" x14ac:dyDescent="0.25">
      <c r="C208" s="806"/>
      <c r="D208" s="17" t="s">
        <v>361</v>
      </c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>
        <f t="shared" si="148"/>
        <v>0</v>
      </c>
    </row>
    <row r="209" spans="3:18" x14ac:dyDescent="0.25">
      <c r="C209" s="806"/>
      <c r="D209" s="17" t="s">
        <v>362</v>
      </c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>
        <f t="shared" si="148"/>
        <v>0</v>
      </c>
    </row>
    <row r="210" spans="3:18" x14ac:dyDescent="0.25">
      <c r="C210" s="806"/>
      <c r="D210" s="17" t="s">
        <v>363</v>
      </c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>
        <f t="shared" si="148"/>
        <v>0</v>
      </c>
    </row>
    <row r="211" spans="3:18" x14ac:dyDescent="0.25">
      <c r="C211" s="806"/>
      <c r="D211" s="17" t="s">
        <v>364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>
        <f t="shared" si="148"/>
        <v>0</v>
      </c>
    </row>
    <row r="212" spans="3:18" x14ac:dyDescent="0.25">
      <c r="C212" s="806"/>
      <c r="D212" s="17" t="s">
        <v>365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>
        <f t="shared" si="148"/>
        <v>0</v>
      </c>
    </row>
    <row r="213" spans="3:18" x14ac:dyDescent="0.25">
      <c r="C213" s="806"/>
      <c r="D213" s="17" t="s">
        <v>366</v>
      </c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>
        <f t="shared" si="148"/>
        <v>0</v>
      </c>
    </row>
    <row r="214" spans="3:18" x14ac:dyDescent="0.25">
      <c r="C214" s="806"/>
      <c r="D214" s="17" t="s">
        <v>367</v>
      </c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>
        <f t="shared" si="148"/>
        <v>0</v>
      </c>
    </row>
    <row r="215" spans="3:18" x14ac:dyDescent="0.25">
      <c r="C215" s="80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>
        <f t="shared" si="148"/>
        <v>0</v>
      </c>
    </row>
    <row r="216" spans="3:18" x14ac:dyDescent="0.25">
      <c r="C216" s="806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>
        <f t="shared" si="148"/>
        <v>0</v>
      </c>
    </row>
    <row r="217" spans="3:18" x14ac:dyDescent="0.25">
      <c r="C217" s="806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>
        <f t="shared" si="148"/>
        <v>0</v>
      </c>
    </row>
    <row r="218" spans="3:18" x14ac:dyDescent="0.25">
      <c r="C218" s="806"/>
      <c r="D218" s="325" t="s">
        <v>621</v>
      </c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>
        <f>'[35]PP summary'!$J$59+'[35]PP summary'!$J$60</f>
        <v>585.13321499999995</v>
      </c>
      <c r="R218" s="427"/>
    </row>
    <row r="219" spans="3:18" x14ac:dyDescent="0.25">
      <c r="C219" s="806"/>
      <c r="D219" s="325" t="s">
        <v>622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f t="shared" ref="Q219:Q224" si="149">SUM(E219:P219)</f>
        <v>0</v>
      </c>
    </row>
    <row r="220" spans="3:18" x14ac:dyDescent="0.25">
      <c r="C220" s="806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>
        <f t="shared" si="149"/>
        <v>0</v>
      </c>
    </row>
    <row r="221" spans="3:18" x14ac:dyDescent="0.25">
      <c r="C221" s="806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>
        <f t="shared" si="149"/>
        <v>0</v>
      </c>
    </row>
    <row r="222" spans="3:18" x14ac:dyDescent="0.25">
      <c r="C222" s="806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>
        <f t="shared" si="149"/>
        <v>0</v>
      </c>
    </row>
    <row r="223" spans="3:18" x14ac:dyDescent="0.25">
      <c r="C223" s="806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>
        <f t="shared" si="149"/>
        <v>0</v>
      </c>
    </row>
    <row r="224" spans="3:18" x14ac:dyDescent="0.25">
      <c r="C224" s="807"/>
      <c r="D224" s="10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>
        <f t="shared" si="149"/>
        <v>0</v>
      </c>
    </row>
    <row r="225" spans="3:18" x14ac:dyDescent="0.25">
      <c r="C225" s="751" t="s">
        <v>212</v>
      </c>
      <c r="D225" s="752"/>
      <c r="E225" s="66">
        <f>SUM('[35]TGNPDCL MoD'!U57:U96)</f>
        <v>17.787482103043349</v>
      </c>
      <c r="F225" s="66">
        <f>SUM('[35]TGNPDCL MoD'!V57:V96)</f>
        <v>19.06050344899684</v>
      </c>
      <c r="G225" s="66">
        <f>SUM('[35]TGNPDCL MoD'!W57:W96)</f>
        <v>19.747604564134647</v>
      </c>
      <c r="H225" s="66">
        <f>SUM('[35]TGNPDCL MoD'!X57:X96)</f>
        <v>43.172724982047768</v>
      </c>
      <c r="I225" s="66">
        <f>SUM('[35]TGNPDCL MoD'!Y57:Y96)</f>
        <v>101.36167703060731</v>
      </c>
      <c r="J225" s="66">
        <f>SUM('[35]TGNPDCL MoD'!Z57:Z96)</f>
        <v>51.194374064365135</v>
      </c>
      <c r="K225" s="66">
        <f>SUM('[35]TGNPDCL MoD'!AA57:AA96)</f>
        <v>56.429150027290127</v>
      </c>
      <c r="L225" s="66">
        <f>SUM('[35]TGNPDCL MoD'!AB57:AB96)</f>
        <v>19.354032086520984</v>
      </c>
      <c r="M225" s="66">
        <f>SUM('[35]TGNPDCL MoD'!AC57:AC96)</f>
        <v>33.201938623626191</v>
      </c>
      <c r="N225" s="66">
        <f>SUM('[35]TGNPDCL MoD'!AD57:AD96)</f>
        <v>63.353866230227894</v>
      </c>
      <c r="O225" s="66">
        <f>SUM('[35]TGNPDCL MoD'!AE57:AE96)</f>
        <v>56.898854527729227</v>
      </c>
      <c r="P225" s="66">
        <f>SUM('[35]TGNPDCL MoD'!AF57:AF96)</f>
        <v>26.429677311410451</v>
      </c>
      <c r="Q225" s="86">
        <f>SUM(E225:P225)+Q218</f>
        <v>1093.1250999999997</v>
      </c>
      <c r="R225" s="427"/>
    </row>
    <row r="226" spans="3:18" x14ac:dyDescent="0.25">
      <c r="C226" s="753" t="s">
        <v>368</v>
      </c>
      <c r="D226" s="754"/>
      <c r="E226" s="17">
        <f t="shared" ref="E226:Q226" si="150">E205+E225</f>
        <v>378.7687979839688</v>
      </c>
      <c r="F226" s="17">
        <f t="shared" si="150"/>
        <v>214.22980960794217</v>
      </c>
      <c r="G226" s="17">
        <f t="shared" si="150"/>
        <v>262.37860835569882</v>
      </c>
      <c r="H226" s="17">
        <f t="shared" si="150"/>
        <v>331.44736805926948</v>
      </c>
      <c r="I226" s="17">
        <f t="shared" si="150"/>
        <v>421.87677715070811</v>
      </c>
      <c r="J226" s="17">
        <f t="shared" si="150"/>
        <v>391.28324299096738</v>
      </c>
      <c r="K226" s="17">
        <f t="shared" si="150"/>
        <v>372.06108684028061</v>
      </c>
      <c r="L226" s="17">
        <f t="shared" si="150"/>
        <v>300.25041126901203</v>
      </c>
      <c r="M226" s="17">
        <f t="shared" si="150"/>
        <v>360.23610258435855</v>
      </c>
      <c r="N226" s="17">
        <f t="shared" si="150"/>
        <v>427.23910519491994</v>
      </c>
      <c r="O226" s="17">
        <f t="shared" si="150"/>
        <v>401.01448675093349</v>
      </c>
      <c r="P226" s="17">
        <f t="shared" si="150"/>
        <v>419.81063283305895</v>
      </c>
      <c r="Q226" s="86">
        <f t="shared" si="150"/>
        <v>4865.7296446211185</v>
      </c>
    </row>
    <row r="227" spans="3:18" x14ac:dyDescent="0.25">
      <c r="C227" s="800" t="s">
        <v>369</v>
      </c>
      <c r="D227" s="801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</row>
    <row r="228" spans="3:18" x14ac:dyDescent="0.25">
      <c r="C228" s="753" t="s">
        <v>349</v>
      </c>
      <c r="D228" s="754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</row>
    <row r="229" spans="3:18" x14ac:dyDescent="0.25">
      <c r="C229" s="805" t="s">
        <v>370</v>
      </c>
      <c r="D229" s="17" t="s">
        <v>371</v>
      </c>
      <c r="E229" s="66">
        <f>SUM('[35]TGNPDCL MoD'!U25:U30)</f>
        <v>5.2899168958197915</v>
      </c>
      <c r="F229" s="66">
        <f>SUM('[35]TGNPDCL MoD'!V25:V30)</f>
        <v>6.8398821626386139</v>
      </c>
      <c r="G229" s="66">
        <f>SUM('[35]TGNPDCL MoD'!W25:W30)</f>
        <v>6.9812840286891458</v>
      </c>
      <c r="H229" s="66">
        <f>SUM('[35]TGNPDCL MoD'!X25:X30)</f>
        <v>5.7288085126638126</v>
      </c>
      <c r="I229" s="66">
        <f>SUM('[35]TGNPDCL MoD'!Y25:Y30)</f>
        <v>4.6752214262421052</v>
      </c>
      <c r="J229" s="66">
        <f>SUM('[35]TGNPDCL MoD'!Z25:Z30)</f>
        <v>4.9866314490636814</v>
      </c>
      <c r="K229" s="66">
        <f>SUM('[35]TGNPDCL MoD'!AA25:AA30)</f>
        <v>4.8339305673705741</v>
      </c>
      <c r="L229" s="66">
        <f>SUM('[35]TGNPDCL MoD'!AB25:AB30)</f>
        <v>6.8150629803870242</v>
      </c>
      <c r="M229" s="66">
        <f>SUM('[35]TGNPDCL MoD'!AC25:AC30)</f>
        <v>4.4549982683408285</v>
      </c>
      <c r="N229" s="66">
        <f>SUM('[35]TGNPDCL MoD'!AD25:AD30)</f>
        <v>4.5066290789990955</v>
      </c>
      <c r="O229" s="66">
        <f>SUM('[35]TGNPDCL MoD'!AE25:AE30)</f>
        <v>5.3330684794514367</v>
      </c>
      <c r="P229" s="66">
        <f>SUM('[35]TGNPDCL MoD'!AF25:AF30)</f>
        <v>6.870469996487734</v>
      </c>
      <c r="Q229" s="66">
        <f t="shared" ref="Q229:Q255" si="151">SUM(E229:P229)</f>
        <v>67.315903846153844</v>
      </c>
    </row>
    <row r="230" spans="3:18" x14ac:dyDescent="0.25">
      <c r="C230" s="806"/>
      <c r="D230" s="17" t="s">
        <v>372</v>
      </c>
      <c r="E230" s="66">
        <f>'[35]TGNPDCL MoD'!U31</f>
        <v>1.5320902282784385</v>
      </c>
      <c r="F230" s="66">
        <f>'[35]TGNPDCL MoD'!V31</f>
        <v>1.7971004299266014</v>
      </c>
      <c r="G230" s="66">
        <f>'[35]TGNPDCL MoD'!W31</f>
        <v>1.739129448316066</v>
      </c>
      <c r="H230" s="66">
        <f>'[35]TGNPDCL MoD'!X31</f>
        <v>0</v>
      </c>
      <c r="I230" s="66">
        <f>'[35]TGNPDCL MoD'!Y31</f>
        <v>0.59903347664219964</v>
      </c>
      <c r="J230" s="66">
        <f>'[35]TGNPDCL MoD'!Z31</f>
        <v>1.2422353202257599</v>
      </c>
      <c r="K230" s="66">
        <f>'[35]TGNPDCL MoD'!AA31</f>
        <v>1.2836431642332848</v>
      </c>
      <c r="L230" s="66">
        <f>'[35]TGNPDCL MoD'!AB31</f>
        <v>1.6977216043085399</v>
      </c>
      <c r="M230" s="66">
        <f>'[35]TGNPDCL MoD'!AC31</f>
        <v>1.4975836916055001</v>
      </c>
      <c r="N230" s="66">
        <f>'[35]TGNPDCL MoD'!AD31</f>
        <v>1.4975836916055001</v>
      </c>
      <c r="O230" s="66">
        <f>'[35]TGNPDCL MoD'!AE31</f>
        <v>1.4299508797265423</v>
      </c>
      <c r="P230" s="66">
        <f>'[35]TGNPDCL MoD'!AF31</f>
        <v>1.7115242189777153</v>
      </c>
      <c r="Q230" s="66">
        <f t="shared" si="151"/>
        <v>16.027596153846151</v>
      </c>
    </row>
    <row r="231" spans="3:18" x14ac:dyDescent="0.25">
      <c r="C231" s="806"/>
      <c r="D231" s="17" t="s">
        <v>373</v>
      </c>
      <c r="E231" s="66">
        <f>SUM('[35]TGNPDCL MoD'!U42:U45)</f>
        <v>5.4913570935455294</v>
      </c>
      <c r="F231" s="66">
        <f>SUM('[35]TGNPDCL MoD'!V42:V45)</f>
        <v>5.6315420962659166</v>
      </c>
      <c r="G231" s="66">
        <f>SUM('[35]TGNPDCL MoD'!W42:W45)</f>
        <v>5.4913570935455294</v>
      </c>
      <c r="H231" s="66">
        <f>SUM('[35]TGNPDCL MoD'!X42:X45)</f>
        <v>5.6744023299970454</v>
      </c>
      <c r="I231" s="66">
        <f>SUM('[35]TGNPDCL MoD'!Y42:Y45)</f>
        <v>5.6744023299970454</v>
      </c>
      <c r="J231" s="66">
        <f>SUM('[35]TGNPDCL MoD'!Z42:Z45)</f>
        <v>5.4913570935455294</v>
      </c>
      <c r="K231" s="66">
        <f>SUM('[35]TGNPDCL MoD'!AA42:AA45)</f>
        <v>5.2488221552472671</v>
      </c>
      <c r="L231" s="66">
        <f>SUM('[35]TGNPDCL MoD'!AB42:AB45)</f>
        <v>4.0262697379044274</v>
      </c>
      <c r="M231" s="66">
        <f>SUM('[35]TGNPDCL MoD'!AC42:AC45)</f>
        <v>3.4000927027375862</v>
      </c>
      <c r="N231" s="66">
        <f>SUM('[35]TGNPDCL MoD'!AD42:AD45)</f>
        <v>4.9157284165746002</v>
      </c>
      <c r="O231" s="66">
        <f>SUM('[35]TGNPDCL MoD'!AE42:AE45)</f>
        <v>5.1252666206424928</v>
      </c>
      <c r="P231" s="66">
        <f>SUM('[35]TGNPDCL MoD'!AF42:AF45)</f>
        <v>5.6744023299970454</v>
      </c>
      <c r="Q231" s="66">
        <f t="shared" si="151"/>
        <v>61.845000000000013</v>
      </c>
    </row>
    <row r="232" spans="3:18" x14ac:dyDescent="0.25">
      <c r="C232" s="806"/>
      <c r="D232" s="17" t="s">
        <v>374</v>
      </c>
      <c r="E232" s="66">
        <f>'[35]TGNPDCL MoD'!U40</f>
        <v>10.837360921706258</v>
      </c>
      <c r="F232" s="66">
        <f>'[35]TGNPDCL MoD'!V40</f>
        <v>13.131855297425096</v>
      </c>
      <c r="G232" s="66">
        <f>'[35]TGNPDCL MoD'!W40</f>
        <v>12.725388921538286</v>
      </c>
      <c r="H232" s="66">
        <f>'[35]TGNPDCL MoD'!X40</f>
        <v>10.242669698455389</v>
      </c>
      <c r="I232" s="66">
        <f>'[35]TGNPDCL MoD'!Y40</f>
        <v>8.0020857019182703</v>
      </c>
      <c r="J232" s="66">
        <f>'[35]TGNPDCL MoD'!Z40</f>
        <v>8.9829865298953493</v>
      </c>
      <c r="K232" s="66">
        <f>'[35]TGNPDCL MoD'!AA40</f>
        <v>7.9497780875712163</v>
      </c>
      <c r="L232" s="66">
        <f>'[35]TGNPDCL MoD'!AB40</f>
        <v>0</v>
      </c>
      <c r="M232" s="66">
        <f>'[35]TGNPDCL MoD'!AC40</f>
        <v>5.2813765632660594</v>
      </c>
      <c r="N232" s="66">
        <f>'[35]TGNPDCL MoD'!AD40</f>
        <v>10.562753126532119</v>
      </c>
      <c r="O232" s="66">
        <f>'[35]TGNPDCL MoD'!AE40</f>
        <v>10.407874048430473</v>
      </c>
      <c r="P232" s="66">
        <f>'[35]TGNPDCL MoD'!AF40</f>
        <v>12.622795790325108</v>
      </c>
      <c r="Q232" s="66">
        <f t="shared" si="151"/>
        <v>110.74692468706363</v>
      </c>
    </row>
    <row r="233" spans="3:18" x14ac:dyDescent="0.25">
      <c r="C233" s="806"/>
      <c r="D233" s="17" t="s">
        <v>375</v>
      </c>
      <c r="E233" s="66">
        <f>'[35]TGNPDCL MoD'!U41</f>
        <v>10.680155487073375</v>
      </c>
      <c r="F233" s="66">
        <f>'[35]TGNPDCL MoD'!V41</f>
        <v>13.243392803970988</v>
      </c>
      <c r="G233" s="66">
        <f>'[35]TGNPDCL MoD'!W41</f>
        <v>0</v>
      </c>
      <c r="H233" s="66">
        <f>'[35]TGNPDCL MoD'!X41</f>
        <v>5.0451020205603658</v>
      </c>
      <c r="I233" s="66">
        <f>'[35]TGNPDCL MoD'!Y41</f>
        <v>7.9278933341376643</v>
      </c>
      <c r="J233" s="66">
        <f>'[35]TGNPDCL MoD'!Z41</f>
        <v>8.9616461406647687</v>
      </c>
      <c r="K233" s="66">
        <f>'[35]TGNPDCL MoD'!AA41</f>
        <v>8.3885396257946674</v>
      </c>
      <c r="L233" s="66">
        <f>'[35]TGNPDCL MoD'!AB41</f>
        <v>12.511039284857386</v>
      </c>
      <c r="M233" s="66">
        <f>'[35]TGNPDCL MoD'!AC41</f>
        <v>10.717928753607262</v>
      </c>
      <c r="N233" s="66">
        <f>'[35]TGNPDCL MoD'!AD41</f>
        <v>10.405522917405778</v>
      </c>
      <c r="O233" s="66">
        <f>'[35]TGNPDCL MoD'!AE41</f>
        <v>10.252949267590438</v>
      </c>
      <c r="P233" s="66">
        <f>'[35]TGNPDCL MoD'!AF41</f>
        <v>12.612755051400942</v>
      </c>
      <c r="Q233" s="66">
        <f t="shared" si="151"/>
        <v>110.74692468706364</v>
      </c>
    </row>
    <row r="234" spans="3:18" x14ac:dyDescent="0.25">
      <c r="C234" s="806"/>
      <c r="D234" s="17" t="s">
        <v>376</v>
      </c>
      <c r="E234" s="66">
        <f>SUM('[35]TGNPDCL MoD'!U49:U51)</f>
        <v>8.612472887513908</v>
      </c>
      <c r="F234" s="66">
        <f>SUM('[35]TGNPDCL MoD'!V49:V51)</f>
        <v>10.47006507893844</v>
      </c>
      <c r="G234" s="66">
        <f>SUM('[35]TGNPDCL MoD'!W49:W51)</f>
        <v>6.5884067106290765</v>
      </c>
      <c r="H234" s="66">
        <f>SUM('[35]TGNPDCL MoD'!X49:X51)</f>
        <v>6.4994143150811805</v>
      </c>
      <c r="I234" s="66">
        <f>SUM('[35]TGNPDCL MoD'!Y49:Y51)</f>
        <v>6.5437906743365337</v>
      </c>
      <c r="J234" s="66">
        <f>SUM('[35]TGNPDCL MoD'!Z49:Z51)</f>
        <v>7.0926247308937986</v>
      </c>
      <c r="K234" s="66">
        <f>SUM('[35]TGNPDCL MoD'!AA49:AA51)</f>
        <v>6.2820390473630718</v>
      </c>
      <c r="L234" s="66">
        <f>SUM('[35]TGNPDCL MoD'!AB49:AB51)</f>
        <v>6.8235610999003562</v>
      </c>
      <c r="M234" s="66">
        <f>SUM('[35]TGNPDCL MoD'!AC49:AC51)</f>
        <v>6.3445567123424427</v>
      </c>
      <c r="N234" s="66">
        <f>SUM('[35]TGNPDCL MoD'!AD49:AD51)</f>
        <v>7.8495264383267056</v>
      </c>
      <c r="O234" s="66">
        <f>SUM('[35]TGNPDCL MoD'!AE49:AE51)</f>
        <v>8.274728852709444</v>
      </c>
      <c r="P234" s="66">
        <f>SUM('[35]TGNPDCL MoD'!AF49:AF51)</f>
        <v>10.20831345196502</v>
      </c>
      <c r="Q234" s="66">
        <f t="shared" si="151"/>
        <v>91.589499999999973</v>
      </c>
    </row>
    <row r="235" spans="3:18" x14ac:dyDescent="0.25">
      <c r="C235" s="806"/>
      <c r="D235" s="17" t="s">
        <v>377</v>
      </c>
      <c r="E235" s="66">
        <f>'[35]TGNPDCL MoD'!U53</f>
        <v>0</v>
      </c>
      <c r="F235" s="66">
        <f>'[35]TGNPDCL MoD'!V53</f>
        <v>0</v>
      </c>
      <c r="G235" s="66">
        <f>'[35]TGNPDCL MoD'!W53</f>
        <v>0</v>
      </c>
      <c r="H235" s="66">
        <f>'[35]TGNPDCL MoD'!X53</f>
        <v>0</v>
      </c>
      <c r="I235" s="66">
        <f>'[35]TGNPDCL MoD'!Y53</f>
        <v>0</v>
      </c>
      <c r="J235" s="66">
        <f>'[35]TGNPDCL MoD'!Z53</f>
        <v>0</v>
      </c>
      <c r="K235" s="66">
        <f>'[35]TGNPDCL MoD'!AA53</f>
        <v>0</v>
      </c>
      <c r="L235" s="66">
        <f>'[35]TGNPDCL MoD'!AB53</f>
        <v>0</v>
      </c>
      <c r="M235" s="66">
        <f>'[35]TGNPDCL MoD'!AC53</f>
        <v>0</v>
      </c>
      <c r="N235" s="66">
        <f>'[35]TGNPDCL MoD'!AD53</f>
        <v>0</v>
      </c>
      <c r="O235" s="66">
        <f>'[35]TGNPDCL MoD'!AE53</f>
        <v>0</v>
      </c>
      <c r="P235" s="66">
        <f>'[35]TGNPDCL MoD'!AF53</f>
        <v>0</v>
      </c>
      <c r="Q235" s="17">
        <f t="shared" si="151"/>
        <v>0</v>
      </c>
    </row>
    <row r="236" spans="3:18" x14ac:dyDescent="0.25">
      <c r="C236" s="806"/>
      <c r="D236" s="17" t="s">
        <v>378</v>
      </c>
      <c r="E236" s="66">
        <f>'[35]TGNPDCL MoD'!U54</f>
        <v>0</v>
      </c>
      <c r="F236" s="66">
        <f>'[35]TGNPDCL MoD'!V54</f>
        <v>0</v>
      </c>
      <c r="G236" s="66">
        <f>'[35]TGNPDCL MoD'!W54</f>
        <v>0</v>
      </c>
      <c r="H236" s="66">
        <f>'[35]TGNPDCL MoD'!X54</f>
        <v>0</v>
      </c>
      <c r="I236" s="66">
        <f>'[35]TGNPDCL MoD'!Y54</f>
        <v>0</v>
      </c>
      <c r="J236" s="66">
        <f>'[35]TGNPDCL MoD'!Z54</f>
        <v>0</v>
      </c>
      <c r="K236" s="66">
        <f>'[35]TGNPDCL MoD'!AA54</f>
        <v>0</v>
      </c>
      <c r="L236" s="66">
        <f>'[35]TGNPDCL MoD'!AB54</f>
        <v>0</v>
      </c>
      <c r="M236" s="66">
        <f>'[35]TGNPDCL MoD'!AC54</f>
        <v>0</v>
      </c>
      <c r="N236" s="66">
        <f>'[35]TGNPDCL MoD'!AD54</f>
        <v>0</v>
      </c>
      <c r="O236" s="66">
        <f>'[35]TGNPDCL MoD'!AE54</f>
        <v>0</v>
      </c>
      <c r="P236" s="66">
        <f>'[35]TGNPDCL MoD'!AF54</f>
        <v>0</v>
      </c>
      <c r="Q236" s="17">
        <f t="shared" si="151"/>
        <v>0</v>
      </c>
    </row>
    <row r="237" spans="3:18" x14ac:dyDescent="0.25">
      <c r="C237" s="807"/>
      <c r="D237" s="17" t="s">
        <v>379</v>
      </c>
      <c r="E237" s="66">
        <f>'[35]TGNPDCL MoD'!U55</f>
        <v>28.74866443448396</v>
      </c>
      <c r="F237" s="66">
        <f>'[35]TGNPDCL MoD'!V55</f>
        <v>29.706953248966762</v>
      </c>
      <c r="G237" s="66">
        <f>'[35]TGNPDCL MoD'!W55</f>
        <v>28.74866443448396</v>
      </c>
      <c r="H237" s="66">
        <f>'[35]TGNPDCL MoD'!X55</f>
        <v>30.316711982509283</v>
      </c>
      <c r="I237" s="66">
        <f>'[35]TGNPDCL MoD'!Y55</f>
        <v>24.259728066217026</v>
      </c>
      <c r="J237" s="66">
        <f>'[35]TGNPDCL MoD'!Z55</f>
        <v>26.32087503954898</v>
      </c>
      <c r="K237" s="66">
        <f>'[35]TGNPDCL MoD'!AA55</f>
        <v>23.088516028032473</v>
      </c>
      <c r="L237" s="66">
        <f>'[35]TGNPDCL MoD'!AB55</f>
        <v>28.74866443448396</v>
      </c>
      <c r="M237" s="66">
        <f>'[35]TGNPDCL MoD'!AC55</f>
        <v>28.45172987224986</v>
      </c>
      <c r="N237" s="66">
        <f>'[35]TGNPDCL MoD'!AD55</f>
        <v>25.928367486175325</v>
      </c>
      <c r="O237" s="66">
        <f>'[35]TGNPDCL MoD'!AE55</f>
        <v>25.698336658806323</v>
      </c>
      <c r="P237" s="66">
        <f>'[35]TGNPDCL MoD'!AF55</f>
        <v>31.589788314042117</v>
      </c>
      <c r="Q237" s="66">
        <f t="shared" si="151"/>
        <v>331.60700000000008</v>
      </c>
    </row>
    <row r="238" spans="3:18" x14ac:dyDescent="0.25">
      <c r="C238" s="17"/>
      <c r="D238" s="125" t="s">
        <v>451</v>
      </c>
      <c r="E238" s="66">
        <f>'[35]TGNPDCL MoD'!U56</f>
        <v>29.089111907759388</v>
      </c>
      <c r="F238" s="66">
        <f>'[35]TGNPDCL MoD'!V56</f>
        <v>30.187470600790675</v>
      </c>
      <c r="G238" s="66">
        <f>'[35]TGNPDCL MoD'!W56</f>
        <v>29.213681226571605</v>
      </c>
      <c r="H238" s="66">
        <f>'[35]TGNPDCL MoD'!X56</f>
        <v>29.211607153624669</v>
      </c>
      <c r="I238" s="66">
        <f>'[35]TGNPDCL MoD'!Y56</f>
        <v>24.051637323195813</v>
      </c>
      <c r="J238" s="66">
        <f>'[35]TGNPDCL MoD'!Z56</f>
        <v>25.598895942163175</v>
      </c>
      <c r="K238" s="66">
        <f>'[35]TGNPDCL MoD'!AA56</f>
        <v>23.085798754038073</v>
      </c>
      <c r="L238" s="66">
        <f>'[35]TGNPDCL MoD'!AB56</f>
        <v>29.213681226571623</v>
      </c>
      <c r="M238" s="66">
        <f>'[35]TGNPDCL MoD'!AC56</f>
        <v>28.126193610758691</v>
      </c>
      <c r="N238" s="66">
        <f>'[35]TGNPDCL MoD'!AD56</f>
        <v>25.723126357011751</v>
      </c>
      <c r="O238" s="66">
        <f>'[35]TGNPDCL MoD'!AE56</f>
        <v>26.096261363452648</v>
      </c>
      <c r="P238" s="66">
        <f>'[35]TGNPDCL MoD'!AF56</f>
        <v>32.009534534061835</v>
      </c>
      <c r="Q238" s="66">
        <f t="shared" si="151"/>
        <v>331.60699999999997</v>
      </c>
    </row>
    <row r="239" spans="3:18" x14ac:dyDescent="0.25">
      <c r="C239" s="17"/>
      <c r="D239" s="17" t="s">
        <v>385</v>
      </c>
      <c r="E239" s="66">
        <f>'[35]TGNPDCL MoD'!U46</f>
        <v>0</v>
      </c>
      <c r="F239" s="66">
        <f>'[35]TGNPDCL MoD'!V46</f>
        <v>0</v>
      </c>
      <c r="G239" s="66">
        <f>'[35]TGNPDCL MoD'!W46</f>
        <v>0</v>
      </c>
      <c r="H239" s="66">
        <f>'[35]TGNPDCL MoD'!X46</f>
        <v>0</v>
      </c>
      <c r="I239" s="66">
        <f>'[35]TGNPDCL MoD'!Y46</f>
        <v>0</v>
      </c>
      <c r="J239" s="66">
        <f>'[35]TGNPDCL MoD'!Z46</f>
        <v>0</v>
      </c>
      <c r="K239" s="66">
        <f>'[35]TGNPDCL MoD'!AA46</f>
        <v>0</v>
      </c>
      <c r="L239" s="66">
        <f>'[35]TGNPDCL MoD'!AB46</f>
        <v>0</v>
      </c>
      <c r="M239" s="66">
        <f>'[35]TGNPDCL MoD'!AC46</f>
        <v>0</v>
      </c>
      <c r="N239" s="66">
        <f>'[35]TGNPDCL MoD'!AD46</f>
        <v>0</v>
      </c>
      <c r="O239" s="66">
        <f>'[35]TGNPDCL MoD'!AE46</f>
        <v>0</v>
      </c>
      <c r="P239" s="66">
        <f>'[35]TGNPDCL MoD'!AF46</f>
        <v>0</v>
      </c>
      <c r="Q239" s="17">
        <f t="shared" si="151"/>
        <v>0</v>
      </c>
    </row>
    <row r="240" spans="3:18" x14ac:dyDescent="0.25">
      <c r="C240" s="17"/>
      <c r="D240" s="17" t="s">
        <v>386</v>
      </c>
      <c r="E240" s="66">
        <f>'[35]TGNPDCL MoD'!U35</f>
        <v>0</v>
      </c>
      <c r="F240" s="66">
        <f>'[35]TGNPDCL MoD'!V35</f>
        <v>0</v>
      </c>
      <c r="G240" s="66">
        <f>'[35]TGNPDCL MoD'!W35</f>
        <v>0</v>
      </c>
      <c r="H240" s="66">
        <f>'[35]TGNPDCL MoD'!X35</f>
        <v>0</v>
      </c>
      <c r="I240" s="66">
        <f>'[35]TGNPDCL MoD'!Y35</f>
        <v>0</v>
      </c>
      <c r="J240" s="66">
        <f>'[35]TGNPDCL MoD'!Z35</f>
        <v>0</v>
      </c>
      <c r="K240" s="66">
        <f>'[35]TGNPDCL MoD'!AA35</f>
        <v>0</v>
      </c>
      <c r="L240" s="66">
        <f>'[35]TGNPDCL MoD'!AB35</f>
        <v>0</v>
      </c>
      <c r="M240" s="66">
        <f>'[35]TGNPDCL MoD'!AC35</f>
        <v>0</v>
      </c>
      <c r="N240" s="66">
        <f>'[35]TGNPDCL MoD'!AD35</f>
        <v>0</v>
      </c>
      <c r="O240" s="66">
        <f>'[35]TGNPDCL MoD'!AE35</f>
        <v>0</v>
      </c>
      <c r="P240" s="66">
        <f>'[35]TGNPDCL MoD'!AF35</f>
        <v>0</v>
      </c>
      <c r="Q240" s="17">
        <f t="shared" si="151"/>
        <v>0</v>
      </c>
    </row>
    <row r="241" spans="3:18" x14ac:dyDescent="0.25">
      <c r="C241" s="17"/>
      <c r="D241" s="17" t="s">
        <v>380</v>
      </c>
      <c r="E241" s="66">
        <f>'[35]TGNPDCL MoD'!U33</f>
        <v>5.1392643284858111E-2</v>
      </c>
      <c r="F241" s="66">
        <f>'[35]TGNPDCL MoD'!V33</f>
        <v>6.2477331052183713E-2</v>
      </c>
      <c r="G241" s="66">
        <f>'[35]TGNPDCL MoD'!W33</f>
        <v>6.0461933276302615E-2</v>
      </c>
      <c r="H241" s="66">
        <f>'[35]TGNPDCL MoD'!X33</f>
        <v>4.5296065012831718E-2</v>
      </c>
      <c r="I241" s="66">
        <f>'[35]TGNPDCL MoD'!Y33</f>
        <v>3.9048331907614406E-2</v>
      </c>
      <c r="J241" s="66">
        <f>'[35]TGNPDCL MoD'!Z33</f>
        <v>3.9300256629598761E-2</v>
      </c>
      <c r="K241" s="66">
        <f>'[35]TGNPDCL MoD'!AA33</f>
        <v>3.7486398631310064E-2</v>
      </c>
      <c r="L241" s="66">
        <f>'[35]TGNPDCL MoD'!AB33</f>
        <v>6.0461933276302615E-2</v>
      </c>
      <c r="M241" s="66">
        <f>'[35]TGNPDCL MoD'!AC33</f>
        <v>4.373413173652739E-2</v>
      </c>
      <c r="N241" s="66">
        <f>'[35]TGNPDCL MoD'!AD33</f>
        <v>4.2172198460223062E-2</v>
      </c>
      <c r="O241" s="66">
        <f>'[35]TGNPDCL MoD'!AE33</f>
        <v>4.9377245508981177E-2</v>
      </c>
      <c r="P241" s="66">
        <f>'[35]TGNPDCL MoD'!AF33</f>
        <v>5.7791531223266392E-2</v>
      </c>
      <c r="Q241" s="66">
        <f t="shared" si="151"/>
        <v>0.58900000000000008</v>
      </c>
    </row>
    <row r="242" spans="3:18" x14ac:dyDescent="0.25">
      <c r="C242" s="17"/>
      <c r="D242" s="17" t="s">
        <v>381</v>
      </c>
      <c r="E242" s="66">
        <f>'[35]TGNPDCL MoD'!U34</f>
        <v>0</v>
      </c>
      <c r="F242" s="66">
        <f>'[35]TGNPDCL MoD'!V34</f>
        <v>0</v>
      </c>
      <c r="G242" s="66">
        <f>'[35]TGNPDCL MoD'!W34</f>
        <v>0</v>
      </c>
      <c r="H242" s="66">
        <f>'[35]TGNPDCL MoD'!X34</f>
        <v>0</v>
      </c>
      <c r="I242" s="66">
        <f>'[35]TGNPDCL MoD'!Y34</f>
        <v>0</v>
      </c>
      <c r="J242" s="66">
        <f>'[35]TGNPDCL MoD'!Z34</f>
        <v>0</v>
      </c>
      <c r="K242" s="66">
        <f>'[35]TGNPDCL MoD'!AA34</f>
        <v>0</v>
      </c>
      <c r="L242" s="66">
        <f>'[35]TGNPDCL MoD'!AB34</f>
        <v>0</v>
      </c>
      <c r="M242" s="66">
        <f>'[35]TGNPDCL MoD'!AC34</f>
        <v>0</v>
      </c>
      <c r="N242" s="66">
        <f>'[35]TGNPDCL MoD'!AD34</f>
        <v>0</v>
      </c>
      <c r="O242" s="66">
        <f>'[35]TGNPDCL MoD'!AE34</f>
        <v>0</v>
      </c>
      <c r="P242" s="66">
        <f>'[35]TGNPDCL MoD'!AF34</f>
        <v>0</v>
      </c>
      <c r="Q242" s="17">
        <f t="shared" si="151"/>
        <v>0</v>
      </c>
    </row>
    <row r="243" spans="3:18" x14ac:dyDescent="0.25">
      <c r="C243" s="17"/>
      <c r="D243" s="17" t="s">
        <v>382</v>
      </c>
      <c r="E243" s="66">
        <f>'[35]TGNPDCL MoD'!U52</f>
        <v>1.8640112581329045</v>
      </c>
      <c r="F243" s="66">
        <f>'[35]TGNPDCL MoD'!V52</f>
        <v>1.9261449667373345</v>
      </c>
      <c r="G243" s="66">
        <f>'[35]TGNPDCL MoD'!W52</f>
        <v>1.8640112581329045</v>
      </c>
      <c r="H243" s="66">
        <f>'[35]TGNPDCL MoD'!X52</f>
        <v>2.0823188829592807</v>
      </c>
      <c r="I243" s="66">
        <f>'[35]TGNPDCL MoD'!Y52</f>
        <v>1.7309275714599022</v>
      </c>
      <c r="J243" s="66">
        <f>'[35]TGNPDCL MoD'!Z52</f>
        <v>2.0151473060896263</v>
      </c>
      <c r="K243" s="66">
        <f>'[35]TGNPDCL MoD'!AA52</f>
        <v>1.8090145295708748</v>
      </c>
      <c r="L243" s="66">
        <f>'[35]TGNPDCL MoD'!AB52</f>
        <v>1.8640112581329045</v>
      </c>
      <c r="M243" s="66">
        <f>'[35]TGNPDCL MoD'!AC52</f>
        <v>1.9261449667373345</v>
      </c>
      <c r="N243" s="66">
        <f>'[35]TGNPDCL MoD'!AD52</f>
        <v>1.9261449667373345</v>
      </c>
      <c r="O243" s="66">
        <f>'[35]TGNPDCL MoD'!AE52</f>
        <v>1.8808041523503174</v>
      </c>
      <c r="P243" s="66">
        <f>'[35]TGNPDCL MoD'!AF52</f>
        <v>2.0823188829592807</v>
      </c>
      <c r="Q243" s="66">
        <f t="shared" si="151"/>
        <v>22.971000000000004</v>
      </c>
    </row>
    <row r="244" spans="3:18" x14ac:dyDescent="0.25">
      <c r="C244" s="17"/>
      <c r="D244" s="17" t="s">
        <v>667</v>
      </c>
      <c r="E244" s="66">
        <f>'[35]TGNPDCL MoD'!U47</f>
        <v>3.8276696204935114</v>
      </c>
      <c r="F244" s="66">
        <f>'[35]TGNPDCL MoD'!V47</f>
        <v>0</v>
      </c>
      <c r="G244" s="66">
        <f>'[35]TGNPDCL MoD'!W47</f>
        <v>1.9551405975182679</v>
      </c>
      <c r="H244" s="66">
        <f>'[35]TGNPDCL MoD'!X47</f>
        <v>3.7730443433922956</v>
      </c>
      <c r="I244" s="66">
        <f>'[35]TGNPDCL MoD'!Y47</f>
        <v>3.101605670898703</v>
      </c>
      <c r="J244" s="66">
        <f>'[35]TGNPDCL MoD'!Z47</f>
        <v>3.2493885986923368</v>
      </c>
      <c r="K244" s="66">
        <f>'[35]TGNPDCL MoD'!AA47</f>
        <v>3.0162403772042437</v>
      </c>
      <c r="L244" s="66">
        <f>'[35]TGNPDCL MoD'!AB47</f>
        <v>3.9102811950365477</v>
      </c>
      <c r="M244" s="66">
        <f>'[35]TGNPDCL MoD'!AC47</f>
        <v>3.5485757590914231</v>
      </c>
      <c r="N244" s="66">
        <f>'[35]TGNPDCL MoD'!AD47</f>
        <v>3.443066845676539</v>
      </c>
      <c r="O244" s="66">
        <f>'[35]TGNPDCL MoD'!AE47</f>
        <v>3.365132503069455</v>
      </c>
      <c r="P244" s="66">
        <f>'[35]TGNPDCL MoD'!AF47</f>
        <v>4.2113544889266716</v>
      </c>
      <c r="Q244" s="66">
        <f t="shared" si="151"/>
        <v>37.401499999999999</v>
      </c>
    </row>
    <row r="245" spans="3:18" x14ac:dyDescent="0.25"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>
        <f t="shared" si="151"/>
        <v>0</v>
      </c>
    </row>
    <row r="246" spans="3:18" x14ac:dyDescent="0.25"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>
        <f t="shared" si="151"/>
        <v>0</v>
      </c>
    </row>
    <row r="247" spans="3:18" x14ac:dyDescent="0.25"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>
        <f t="shared" si="151"/>
        <v>0</v>
      </c>
    </row>
    <row r="248" spans="3:18" x14ac:dyDescent="0.25"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>
        <f t="shared" si="151"/>
        <v>0</v>
      </c>
    </row>
    <row r="249" spans="3:18" x14ac:dyDescent="0.25"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>
        <f t="shared" si="151"/>
        <v>0</v>
      </c>
    </row>
    <row r="250" spans="3:18" x14ac:dyDescent="0.25"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>
        <f t="shared" si="151"/>
        <v>0</v>
      </c>
    </row>
    <row r="251" spans="3:18" x14ac:dyDescent="0.25"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>
        <f t="shared" si="151"/>
        <v>0</v>
      </c>
    </row>
    <row r="252" spans="3:18" x14ac:dyDescent="0.25"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>
        <f t="shared" si="151"/>
        <v>0</v>
      </c>
    </row>
    <row r="253" spans="3:18" x14ac:dyDescent="0.25"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>
        <f t="shared" si="151"/>
        <v>0</v>
      </c>
    </row>
    <row r="254" spans="3:18" x14ac:dyDescent="0.25"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>
        <f t="shared" si="151"/>
        <v>0</v>
      </c>
    </row>
    <row r="255" spans="3:18" x14ac:dyDescent="0.25">
      <c r="C255" s="751" t="s">
        <v>212</v>
      </c>
      <c r="D255" s="752"/>
      <c r="E255" s="66">
        <f t="shared" ref="E255:P255" si="152">SUM(E229:E254)</f>
        <v>106.02420337809193</v>
      </c>
      <c r="F255" s="66">
        <f t="shared" si="152"/>
        <v>112.99688401671261</v>
      </c>
      <c r="G255" s="66">
        <f t="shared" si="152"/>
        <v>95.367525652701147</v>
      </c>
      <c r="H255" s="66">
        <f t="shared" si="152"/>
        <v>98.619375304256167</v>
      </c>
      <c r="I255" s="66">
        <f t="shared" si="152"/>
        <v>86.605373906952863</v>
      </c>
      <c r="J255" s="66">
        <f t="shared" si="152"/>
        <v>93.981088407412614</v>
      </c>
      <c r="K255" s="66">
        <f t="shared" si="152"/>
        <v>85.023808735057059</v>
      </c>
      <c r="L255" s="66">
        <f t="shared" si="152"/>
        <v>95.670754754859075</v>
      </c>
      <c r="M255" s="66">
        <f t="shared" si="152"/>
        <v>93.792915032473516</v>
      </c>
      <c r="N255" s="66">
        <f t="shared" si="152"/>
        <v>96.800621523504972</v>
      </c>
      <c r="O255" s="66">
        <f t="shared" si="152"/>
        <v>97.913750071738548</v>
      </c>
      <c r="P255" s="66">
        <f t="shared" si="152"/>
        <v>119.65104859036676</v>
      </c>
      <c r="Q255" s="86">
        <f t="shared" si="151"/>
        <v>1182.4473493741275</v>
      </c>
      <c r="R255" s="427"/>
    </row>
    <row r="256" spans="3:18" x14ac:dyDescent="0.25">
      <c r="C256" s="753" t="s">
        <v>387</v>
      </c>
      <c r="D256" s="754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</row>
    <row r="257" spans="3:18" x14ac:dyDescent="0.25">
      <c r="C257" s="805" t="s">
        <v>388</v>
      </c>
      <c r="D257" s="17" t="s">
        <v>389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f t="shared" ref="Q257:Q271" si="153">SUM(E257:P257)</f>
        <v>0</v>
      </c>
    </row>
    <row r="258" spans="3:18" x14ac:dyDescent="0.25">
      <c r="C258" s="806"/>
      <c r="D258" s="17" t="s">
        <v>390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f t="shared" si="153"/>
        <v>0</v>
      </c>
    </row>
    <row r="259" spans="3:18" x14ac:dyDescent="0.25">
      <c r="C259" s="806"/>
      <c r="D259" s="17" t="s">
        <v>391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f t="shared" si="153"/>
        <v>0</v>
      </c>
    </row>
    <row r="260" spans="3:18" x14ac:dyDescent="0.25">
      <c r="C260" s="807"/>
      <c r="D260" s="17" t="s">
        <v>392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f t="shared" si="153"/>
        <v>0</v>
      </c>
    </row>
    <row r="261" spans="3:18" x14ac:dyDescent="0.25">
      <c r="C261" s="17"/>
      <c r="D261" s="17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>
        <f t="shared" si="153"/>
        <v>0</v>
      </c>
    </row>
    <row r="262" spans="3:18" x14ac:dyDescent="0.25">
      <c r="C262" s="17"/>
      <c r="D262" s="17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>
        <f t="shared" si="153"/>
        <v>0</v>
      </c>
    </row>
    <row r="263" spans="3:18" x14ac:dyDescent="0.25">
      <c r="C263" s="17"/>
      <c r="D263" s="17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>
        <f t="shared" si="153"/>
        <v>0</v>
      </c>
    </row>
    <row r="264" spans="3:18" x14ac:dyDescent="0.25">
      <c r="C264" s="17"/>
      <c r="D264" s="17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>
        <f t="shared" si="153"/>
        <v>0</v>
      </c>
    </row>
    <row r="265" spans="3:18" x14ac:dyDescent="0.25">
      <c r="C265" s="17"/>
      <c r="D265" s="17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>
        <f t="shared" si="153"/>
        <v>0</v>
      </c>
    </row>
    <row r="266" spans="3:18" x14ac:dyDescent="0.25">
      <c r="C266" s="17"/>
      <c r="D266" s="17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>
        <f t="shared" si="153"/>
        <v>0</v>
      </c>
    </row>
    <row r="267" spans="3:18" x14ac:dyDescent="0.25">
      <c r="C267" s="17"/>
      <c r="D267" s="17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>
        <f t="shared" si="153"/>
        <v>0</v>
      </c>
    </row>
    <row r="268" spans="3:18" x14ac:dyDescent="0.25">
      <c r="C268" s="17"/>
      <c r="D268" s="17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>
        <f t="shared" si="153"/>
        <v>0</v>
      </c>
    </row>
    <row r="269" spans="3:18" x14ac:dyDescent="0.25">
      <c r="C269" s="17"/>
      <c r="D269" s="17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>
        <f t="shared" si="153"/>
        <v>0</v>
      </c>
    </row>
    <row r="270" spans="3:18" x14ac:dyDescent="0.25">
      <c r="C270" s="17"/>
      <c r="D270" s="17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>
        <f t="shared" si="153"/>
        <v>0</v>
      </c>
    </row>
    <row r="271" spans="3:18" x14ac:dyDescent="0.25">
      <c r="C271" s="751" t="s">
        <v>212</v>
      </c>
      <c r="D271" s="752"/>
      <c r="E271" s="66">
        <f t="shared" ref="E271:P271" si="154">SUM(E257:E270)</f>
        <v>0</v>
      </c>
      <c r="F271" s="66">
        <f t="shared" si="154"/>
        <v>0</v>
      </c>
      <c r="G271" s="66">
        <f t="shared" si="154"/>
        <v>0</v>
      </c>
      <c r="H271" s="66">
        <f t="shared" si="154"/>
        <v>0</v>
      </c>
      <c r="I271" s="66">
        <f t="shared" si="154"/>
        <v>0</v>
      </c>
      <c r="J271" s="66">
        <f t="shared" si="154"/>
        <v>0</v>
      </c>
      <c r="K271" s="66">
        <f t="shared" si="154"/>
        <v>0</v>
      </c>
      <c r="L271" s="66">
        <f t="shared" si="154"/>
        <v>0</v>
      </c>
      <c r="M271" s="66">
        <f t="shared" si="154"/>
        <v>0</v>
      </c>
      <c r="N271" s="66">
        <f t="shared" si="154"/>
        <v>0</v>
      </c>
      <c r="O271" s="66">
        <f t="shared" si="154"/>
        <v>0</v>
      </c>
      <c r="P271" s="66">
        <f t="shared" si="154"/>
        <v>0</v>
      </c>
      <c r="Q271" s="86">
        <f t="shared" si="153"/>
        <v>0</v>
      </c>
    </row>
    <row r="272" spans="3:18" x14ac:dyDescent="0.25">
      <c r="C272" s="753" t="s">
        <v>394</v>
      </c>
      <c r="D272" s="754"/>
      <c r="E272" s="66">
        <f t="shared" ref="E272:Q272" si="155">E255+E271</f>
        <v>106.02420337809193</v>
      </c>
      <c r="F272" s="66">
        <f t="shared" si="155"/>
        <v>112.99688401671261</v>
      </c>
      <c r="G272" s="66">
        <f t="shared" si="155"/>
        <v>95.367525652701147</v>
      </c>
      <c r="H272" s="66">
        <f t="shared" si="155"/>
        <v>98.619375304256167</v>
      </c>
      <c r="I272" s="66">
        <f t="shared" si="155"/>
        <v>86.605373906952863</v>
      </c>
      <c r="J272" s="66">
        <f t="shared" si="155"/>
        <v>93.981088407412614</v>
      </c>
      <c r="K272" s="66">
        <f t="shared" si="155"/>
        <v>85.023808735057059</v>
      </c>
      <c r="L272" s="66">
        <f t="shared" si="155"/>
        <v>95.670754754859075</v>
      </c>
      <c r="M272" s="66">
        <f t="shared" si="155"/>
        <v>93.792915032473516</v>
      </c>
      <c r="N272" s="66">
        <f t="shared" si="155"/>
        <v>96.800621523504972</v>
      </c>
      <c r="O272" s="66">
        <f t="shared" si="155"/>
        <v>97.913750071738548</v>
      </c>
      <c r="P272" s="66">
        <f t="shared" si="155"/>
        <v>119.65104859036676</v>
      </c>
      <c r="Q272" s="86">
        <f t="shared" si="155"/>
        <v>1182.4473493741275</v>
      </c>
      <c r="R272" s="427"/>
    </row>
    <row r="273" spans="3:18" x14ac:dyDescent="0.25">
      <c r="C273" s="800" t="s">
        <v>395</v>
      </c>
      <c r="D273" s="801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</row>
    <row r="274" spans="3:18" x14ac:dyDescent="0.25">
      <c r="C274" s="17" t="s">
        <v>396</v>
      </c>
      <c r="D274" s="17" t="s">
        <v>396</v>
      </c>
      <c r="E274" s="66">
        <f>'[35]TGNPDCL MoD'!U23</f>
        <v>7.5074071620808365</v>
      </c>
      <c r="F274" s="66">
        <f>'[35]TGNPDCL MoD'!V23</f>
        <v>7.7576540674835242</v>
      </c>
      <c r="G274" s="66">
        <f>'[35]TGNPDCL MoD'!W23</f>
        <v>7.5074071620808294</v>
      </c>
      <c r="H274" s="66">
        <f>'[35]TGNPDCL MoD'!X23</f>
        <v>8.386653045928135</v>
      </c>
      <c r="I274" s="66">
        <f>'[35]TGNPDCL MoD'!Y23</f>
        <v>6.971405344427767</v>
      </c>
      <c r="J274" s="66">
        <f>'[35]TGNPDCL MoD'!Z23</f>
        <v>8.1161158508982005</v>
      </c>
      <c r="K274" s="66">
        <f>'[35]TGNPDCL MoD'!AA23</f>
        <v>7.2859048336500738</v>
      </c>
      <c r="L274" s="66">
        <f>'[35]TGNPDCL MoD'!AB23</f>
        <v>7.5074071620808294</v>
      </c>
      <c r="M274" s="66">
        <f>'[35]TGNPDCL MoD'!AC23</f>
        <v>7.7576540674835242</v>
      </c>
      <c r="N274" s="66">
        <f>'[35]TGNPDCL MoD'!AD23</f>
        <v>7.7576540674835242</v>
      </c>
      <c r="O274" s="66">
        <f>'[35]TGNPDCL MoD'!AE23</f>
        <v>7.5750414608383227</v>
      </c>
      <c r="P274" s="66">
        <f>'[35]TGNPDCL MoD'!AF23</f>
        <v>8.3866530459281421</v>
      </c>
      <c r="Q274" s="17">
        <f t="shared" ref="Q274:Q281" si="156">SUM(E274:P274)</f>
        <v>92.516957270363719</v>
      </c>
    </row>
    <row r="275" spans="3:18" x14ac:dyDescent="0.25">
      <c r="C275" s="17" t="s">
        <v>397</v>
      </c>
      <c r="D275" s="17" t="s">
        <v>397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f t="shared" si="156"/>
        <v>0</v>
      </c>
    </row>
    <row r="276" spans="3:18" x14ac:dyDescent="0.25"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>
        <f t="shared" si="156"/>
        <v>0</v>
      </c>
    </row>
    <row r="277" spans="3:18" x14ac:dyDescent="0.25"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>
        <f t="shared" si="156"/>
        <v>0</v>
      </c>
    </row>
    <row r="278" spans="3:18" x14ac:dyDescent="0.25"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>
        <f t="shared" si="156"/>
        <v>0</v>
      </c>
    </row>
    <row r="279" spans="3:18" x14ac:dyDescent="0.25"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>
        <f t="shared" si="156"/>
        <v>0</v>
      </c>
    </row>
    <row r="280" spans="3:18" x14ac:dyDescent="0.25"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>
        <f t="shared" si="156"/>
        <v>0</v>
      </c>
    </row>
    <row r="281" spans="3:18" x14ac:dyDescent="0.25">
      <c r="C281" s="753" t="s">
        <v>398</v>
      </c>
      <c r="D281" s="754"/>
      <c r="E281" s="66">
        <f t="shared" ref="E281:P281" si="157">SUM(E274:E280)</f>
        <v>7.5074071620808365</v>
      </c>
      <c r="F281" s="66">
        <f t="shared" si="157"/>
        <v>7.7576540674835242</v>
      </c>
      <c r="G281" s="66">
        <f t="shared" si="157"/>
        <v>7.5074071620808294</v>
      </c>
      <c r="H281" s="66">
        <f t="shared" si="157"/>
        <v>8.386653045928135</v>
      </c>
      <c r="I281" s="66">
        <f t="shared" si="157"/>
        <v>6.971405344427767</v>
      </c>
      <c r="J281" s="66">
        <f t="shared" si="157"/>
        <v>8.1161158508982005</v>
      </c>
      <c r="K281" s="66">
        <f t="shared" si="157"/>
        <v>7.2859048336500738</v>
      </c>
      <c r="L281" s="66">
        <f t="shared" si="157"/>
        <v>7.5074071620808294</v>
      </c>
      <c r="M281" s="66">
        <f t="shared" si="157"/>
        <v>7.7576540674835242</v>
      </c>
      <c r="N281" s="66">
        <f t="shared" si="157"/>
        <v>7.7576540674835242</v>
      </c>
      <c r="O281" s="66">
        <f t="shared" si="157"/>
        <v>7.5750414608383227</v>
      </c>
      <c r="P281" s="66">
        <f t="shared" si="157"/>
        <v>8.3866530459281421</v>
      </c>
      <c r="Q281" s="86">
        <f t="shared" si="156"/>
        <v>92.516957270363719</v>
      </c>
      <c r="R281" s="427"/>
    </row>
    <row r="282" spans="3:18" x14ac:dyDescent="0.25">
      <c r="C282" s="800" t="s">
        <v>399</v>
      </c>
      <c r="D282" s="801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</row>
    <row r="283" spans="3:18" x14ac:dyDescent="0.25">
      <c r="C283" s="17" t="s">
        <v>400</v>
      </c>
      <c r="D283" s="17" t="s">
        <v>400</v>
      </c>
      <c r="E283" s="66">
        <f>'[35]TGNPDCL MoD'!U20+'[35]TGNPDCL MoD'!U21+'[35]TGNPDCL MoD'!U22</f>
        <v>81.770240105720802</v>
      </c>
      <c r="F283" s="66">
        <f>'[35]TGNPDCL MoD'!V20+'[35]TGNPDCL MoD'!V21+'[35]TGNPDCL MoD'!V22</f>
        <v>19.05538270720249</v>
      </c>
      <c r="G283" s="66">
        <f>'[35]TGNPDCL MoD'!W20+'[35]TGNPDCL MoD'!W21+'[35]TGNPDCL MoD'!W22</f>
        <v>32.453125401181055</v>
      </c>
      <c r="H283" s="66">
        <f>'[35]TGNPDCL MoD'!X20+'[35]TGNPDCL MoD'!X21+'[35]TGNPDCL MoD'!X22</f>
        <v>77.322299870864555</v>
      </c>
      <c r="I283" s="66">
        <f>'[35]TGNPDCL MoD'!Y20+'[35]TGNPDCL MoD'!Y21+'[35]TGNPDCL MoD'!Y22</f>
        <v>71.006165198195617</v>
      </c>
      <c r="J283" s="66">
        <f>'[35]TGNPDCL MoD'!Z20+'[35]TGNPDCL MoD'!Z21+'[35]TGNPDCL MoD'!Z22</f>
        <v>79.585448798355401</v>
      </c>
      <c r="K283" s="66">
        <f>'[35]TGNPDCL MoD'!AA20+'[35]TGNPDCL MoD'!AA21+'[35]TGNPDCL MoD'!AA22</f>
        <v>68.103973863682711</v>
      </c>
      <c r="L283" s="66">
        <f>'[35]TGNPDCL MoD'!AB20+'[35]TGNPDCL MoD'!AB21+'[35]TGNPDCL MoD'!AB22</f>
        <v>82.552889252227672</v>
      </c>
      <c r="M283" s="66">
        <f>'[35]TGNPDCL MoD'!AC20+'[35]TGNPDCL MoD'!AC21+'[35]TGNPDCL MoD'!AC22</f>
        <v>84.58947900343837</v>
      </c>
      <c r="N283" s="66">
        <f>'[35]TGNPDCL MoD'!AD20+'[35]TGNPDCL MoD'!AD21+'[35]TGNPDCL MoD'!AD22</f>
        <v>77.222535489383532</v>
      </c>
      <c r="O283" s="66">
        <f>'[35]TGNPDCL MoD'!AE20+'[35]TGNPDCL MoD'!AE21+'[35]TGNPDCL MoD'!AE22</f>
        <v>75.926577067629751</v>
      </c>
      <c r="P283" s="66">
        <f>'[35]TGNPDCL MoD'!AF20+'[35]TGNPDCL MoD'!AF21+'[35]TGNPDCL MoD'!AF22</f>
        <v>94.660923242117931</v>
      </c>
      <c r="Q283" s="66">
        <f t="shared" ref="Q283:Q291" si="158">SUM(E283:P283)</f>
        <v>844.24903999999981</v>
      </c>
    </row>
    <row r="284" spans="3:18" x14ac:dyDescent="0.25">
      <c r="C284" s="17" t="s">
        <v>401</v>
      </c>
      <c r="D284" s="17" t="s">
        <v>401</v>
      </c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>
        <f t="shared" si="158"/>
        <v>0</v>
      </c>
    </row>
    <row r="285" spans="3:18" x14ac:dyDescent="0.25">
      <c r="C285" s="17" t="s">
        <v>402</v>
      </c>
      <c r="D285" s="17" t="s">
        <v>402</v>
      </c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>
        <f t="shared" si="158"/>
        <v>0</v>
      </c>
    </row>
    <row r="286" spans="3:18" x14ac:dyDescent="0.25"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>
        <f t="shared" si="158"/>
        <v>0</v>
      </c>
    </row>
    <row r="287" spans="3:18" x14ac:dyDescent="0.25"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>
        <f t="shared" si="158"/>
        <v>0</v>
      </c>
    </row>
    <row r="288" spans="3:18" x14ac:dyDescent="0.25"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>
        <f t="shared" si="158"/>
        <v>0</v>
      </c>
    </row>
    <row r="289" spans="3:18" x14ac:dyDescent="0.25"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>
        <f t="shared" si="158"/>
        <v>0</v>
      </c>
    </row>
    <row r="290" spans="3:18" x14ac:dyDescent="0.25"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>
        <f t="shared" si="158"/>
        <v>0</v>
      </c>
    </row>
    <row r="291" spans="3:18" x14ac:dyDescent="0.25">
      <c r="C291" s="753" t="s">
        <v>403</v>
      </c>
      <c r="D291" s="754"/>
      <c r="E291" s="66">
        <f t="shared" ref="E291:P291" si="159">SUM(E283:E290)</f>
        <v>81.770240105720802</v>
      </c>
      <c r="F291" s="66">
        <f t="shared" si="159"/>
        <v>19.05538270720249</v>
      </c>
      <c r="G291" s="66">
        <f t="shared" si="159"/>
        <v>32.453125401181055</v>
      </c>
      <c r="H291" s="66">
        <f t="shared" si="159"/>
        <v>77.322299870864555</v>
      </c>
      <c r="I291" s="66">
        <f t="shared" si="159"/>
        <v>71.006165198195617</v>
      </c>
      <c r="J291" s="66">
        <f t="shared" si="159"/>
        <v>79.585448798355401</v>
      </c>
      <c r="K291" s="66">
        <f t="shared" si="159"/>
        <v>68.103973863682711</v>
      </c>
      <c r="L291" s="66">
        <f t="shared" si="159"/>
        <v>82.552889252227672</v>
      </c>
      <c r="M291" s="66">
        <f t="shared" si="159"/>
        <v>84.58947900343837</v>
      </c>
      <c r="N291" s="66">
        <f t="shared" si="159"/>
        <v>77.222535489383532</v>
      </c>
      <c r="O291" s="66">
        <f t="shared" si="159"/>
        <v>75.926577067629751</v>
      </c>
      <c r="P291" s="66">
        <f t="shared" si="159"/>
        <v>94.660923242117931</v>
      </c>
      <c r="Q291" s="86">
        <f t="shared" si="158"/>
        <v>844.24903999999981</v>
      </c>
      <c r="R291" s="427"/>
    </row>
    <row r="292" spans="3:18" x14ac:dyDescent="0.25">
      <c r="C292" s="800" t="s">
        <v>404</v>
      </c>
      <c r="D292" s="801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</row>
    <row r="293" spans="3:18" x14ac:dyDescent="0.25">
      <c r="C293" s="17"/>
      <c r="D293" s="17" t="s">
        <v>405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f t="shared" ref="Q293:Q317" si="160">SUM(E293:P293)</f>
        <v>0</v>
      </c>
    </row>
    <row r="294" spans="3:18" x14ac:dyDescent="0.25">
      <c r="C294" s="17"/>
      <c r="D294" s="17" t="s">
        <v>406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f t="shared" si="160"/>
        <v>0</v>
      </c>
    </row>
    <row r="295" spans="3:18" x14ac:dyDescent="0.25">
      <c r="C295" s="17"/>
      <c r="D295" s="17" t="s">
        <v>407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f t="shared" si="160"/>
        <v>0</v>
      </c>
    </row>
    <row r="296" spans="3:18" x14ac:dyDescent="0.25">
      <c r="C296" s="17"/>
      <c r="D296" s="17" t="s">
        <v>408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f t="shared" si="160"/>
        <v>0</v>
      </c>
    </row>
    <row r="297" spans="3:18" x14ac:dyDescent="0.25">
      <c r="C297" s="17"/>
      <c r="D297" s="17" t="s">
        <v>409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f t="shared" si="160"/>
        <v>0</v>
      </c>
    </row>
    <row r="298" spans="3:18" x14ac:dyDescent="0.25">
      <c r="C298" s="17"/>
      <c r="D298" s="17" t="s">
        <v>367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f t="shared" si="160"/>
        <v>0</v>
      </c>
    </row>
    <row r="299" spans="3:18" x14ac:dyDescent="0.25">
      <c r="C299" s="17"/>
      <c r="D299" s="17" t="s">
        <v>410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f t="shared" si="160"/>
        <v>0</v>
      </c>
    </row>
    <row r="300" spans="3:18" x14ac:dyDescent="0.25">
      <c r="C300" s="17"/>
      <c r="D300" s="17" t="s">
        <v>411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f t="shared" si="160"/>
        <v>0</v>
      </c>
    </row>
    <row r="301" spans="3:18" x14ac:dyDescent="0.25">
      <c r="C301" s="17"/>
      <c r="D301" s="17" t="s">
        <v>412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f t="shared" si="160"/>
        <v>0</v>
      </c>
    </row>
    <row r="302" spans="3:18" x14ac:dyDescent="0.25">
      <c r="C302" s="17"/>
      <c r="D302" s="17" t="s">
        <v>413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f t="shared" si="160"/>
        <v>0</v>
      </c>
    </row>
    <row r="303" spans="3:18" x14ac:dyDescent="0.25">
      <c r="C303" s="17"/>
      <c r="D303" s="17" t="s">
        <v>414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f t="shared" si="160"/>
        <v>0</v>
      </c>
    </row>
    <row r="304" spans="3:18" x14ac:dyDescent="0.25">
      <c r="C304" s="17"/>
      <c r="D304" s="17" t="s">
        <v>415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f t="shared" si="160"/>
        <v>0</v>
      </c>
    </row>
    <row r="305" spans="3:17" x14ac:dyDescent="0.25">
      <c r="C305" s="17"/>
      <c r="D305" s="17" t="s">
        <v>416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f t="shared" si="160"/>
        <v>0</v>
      </c>
    </row>
    <row r="306" spans="3:17" x14ac:dyDescent="0.25">
      <c r="C306" s="17"/>
      <c r="D306" s="17" t="s">
        <v>417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f t="shared" si="160"/>
        <v>0</v>
      </c>
    </row>
    <row r="307" spans="3:17" x14ac:dyDescent="0.25">
      <c r="C307" s="17"/>
      <c r="D307" s="327" t="s">
        <v>418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f t="shared" si="160"/>
        <v>0</v>
      </c>
    </row>
    <row r="308" spans="3:17" x14ac:dyDescent="0.25">
      <c r="C308" s="17"/>
      <c r="D308" s="327" t="s">
        <v>419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f t="shared" si="160"/>
        <v>0</v>
      </c>
    </row>
    <row r="309" spans="3:17" x14ac:dyDescent="0.25"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>
        <f t="shared" si="160"/>
        <v>0</v>
      </c>
    </row>
    <row r="310" spans="3:17" x14ac:dyDescent="0.25"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>
        <f t="shared" si="160"/>
        <v>0</v>
      </c>
    </row>
    <row r="311" spans="3:17" x14ac:dyDescent="0.25"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>
        <f t="shared" si="160"/>
        <v>0</v>
      </c>
    </row>
    <row r="312" spans="3:17" x14ac:dyDescent="0.25"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>
        <f t="shared" si="160"/>
        <v>0</v>
      </c>
    </row>
    <row r="313" spans="3:17" x14ac:dyDescent="0.25"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>
        <f t="shared" si="160"/>
        <v>0</v>
      </c>
    </row>
    <row r="314" spans="3:17" x14ac:dyDescent="0.25"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>
        <f t="shared" si="160"/>
        <v>0</v>
      </c>
    </row>
    <row r="315" spans="3:17" x14ac:dyDescent="0.25"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>
        <f t="shared" si="160"/>
        <v>0</v>
      </c>
    </row>
    <row r="316" spans="3:17" x14ac:dyDescent="0.25"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>
        <f t="shared" si="160"/>
        <v>0</v>
      </c>
    </row>
    <row r="317" spans="3:17" x14ac:dyDescent="0.25">
      <c r="C317" s="753" t="s">
        <v>420</v>
      </c>
      <c r="D317" s="754"/>
      <c r="E317" s="17">
        <f t="shared" ref="E317:P317" si="161">SUM(E293:E316)</f>
        <v>0</v>
      </c>
      <c r="F317" s="17">
        <f t="shared" si="161"/>
        <v>0</v>
      </c>
      <c r="G317" s="17">
        <f t="shared" si="161"/>
        <v>0</v>
      </c>
      <c r="H317" s="17">
        <f t="shared" si="161"/>
        <v>0</v>
      </c>
      <c r="I317" s="17">
        <f t="shared" si="161"/>
        <v>0</v>
      </c>
      <c r="J317" s="17">
        <f t="shared" si="161"/>
        <v>0</v>
      </c>
      <c r="K317" s="17">
        <f t="shared" si="161"/>
        <v>0</v>
      </c>
      <c r="L317" s="17">
        <f t="shared" si="161"/>
        <v>0</v>
      </c>
      <c r="M317" s="17">
        <f t="shared" si="161"/>
        <v>0</v>
      </c>
      <c r="N317" s="17">
        <f t="shared" si="161"/>
        <v>0</v>
      </c>
      <c r="O317" s="17">
        <f t="shared" si="161"/>
        <v>0</v>
      </c>
      <c r="P317" s="17">
        <f t="shared" si="161"/>
        <v>0</v>
      </c>
      <c r="Q317" s="86">
        <f t="shared" si="160"/>
        <v>0</v>
      </c>
    </row>
    <row r="318" spans="3:17" x14ac:dyDescent="0.25">
      <c r="C318" s="800" t="s">
        <v>421</v>
      </c>
      <c r="D318" s="801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</row>
    <row r="319" spans="3:17" x14ac:dyDescent="0.25">
      <c r="C319" s="17"/>
      <c r="D319" s="322" t="s">
        <v>453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f>SUM(E319:P319)</f>
        <v>0</v>
      </c>
    </row>
    <row r="320" spans="3:17" x14ac:dyDescent="0.25">
      <c r="C320" s="17"/>
      <c r="D320" s="322" t="s">
        <v>422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f>SUM(E320:P320)</f>
        <v>0</v>
      </c>
    </row>
    <row r="321" spans="3:17" x14ac:dyDescent="0.25"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>
        <f>SUM(E321:P321)</f>
        <v>0</v>
      </c>
    </row>
    <row r="322" spans="3:17" x14ac:dyDescent="0.25"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>
        <f>SUM(E322:P322)</f>
        <v>0</v>
      </c>
    </row>
    <row r="323" spans="3:17" x14ac:dyDescent="0.25"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</row>
    <row r="324" spans="3:17" x14ac:dyDescent="0.25">
      <c r="C324" s="17"/>
      <c r="D324" s="325" t="s">
        <v>665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/>
    </row>
    <row r="325" spans="3:17" x14ac:dyDescent="0.25">
      <c r="C325" s="17"/>
      <c r="D325" s="325" t="s">
        <v>666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/>
    </row>
    <row r="326" spans="3:17" x14ac:dyDescent="0.25">
      <c r="C326" s="17"/>
      <c r="D326" s="325" t="s">
        <v>629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/>
    </row>
    <row r="327" spans="3:17" x14ac:dyDescent="0.25">
      <c r="C327" s="17"/>
      <c r="D327" s="325" t="s">
        <v>630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/>
    </row>
    <row r="328" spans="3:17" x14ac:dyDescent="0.25">
      <c r="C328" s="17"/>
      <c r="D328" s="326" t="s">
        <v>631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/>
    </row>
    <row r="329" spans="3:17" x14ac:dyDescent="0.25">
      <c r="C329" s="17"/>
      <c r="D329" s="325" t="s">
        <v>632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/>
    </row>
    <row r="330" spans="3:17" x14ac:dyDescent="0.25">
      <c r="C330" s="17"/>
      <c r="D330" s="325" t="s">
        <v>633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/>
    </row>
    <row r="331" spans="3:17" x14ac:dyDescent="0.25">
      <c r="C331" s="17"/>
      <c r="D331" s="325" t="s">
        <v>634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/>
    </row>
    <row r="332" spans="3:17" x14ac:dyDescent="0.25">
      <c r="C332" s="17"/>
      <c r="D332" s="325" t="s">
        <v>635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/>
    </row>
    <row r="333" spans="3:17" x14ac:dyDescent="0.25">
      <c r="C333" s="17"/>
      <c r="D333" s="325" t="s">
        <v>636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/>
    </row>
    <row r="334" spans="3:17" x14ac:dyDescent="0.25">
      <c r="C334" s="17"/>
      <c r="D334" s="325" t="s">
        <v>637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/>
    </row>
    <row r="335" spans="3:17" x14ac:dyDescent="0.25">
      <c r="C335" s="17"/>
      <c r="D335" s="325" t="s">
        <v>638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/>
    </row>
    <row r="336" spans="3:17" x14ac:dyDescent="0.25">
      <c r="C336" s="17"/>
      <c r="D336" s="325" t="s">
        <v>639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/>
    </row>
    <row r="337" spans="3:17" x14ac:dyDescent="0.25"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</row>
    <row r="338" spans="3:17" x14ac:dyDescent="0.25"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>
        <f t="shared" ref="Q338:Q348" si="162">SUM(E338:P338)</f>
        <v>0</v>
      </c>
    </row>
    <row r="339" spans="3:17" x14ac:dyDescent="0.25"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>
        <f t="shared" si="162"/>
        <v>0</v>
      </c>
    </row>
    <row r="340" spans="3:17" x14ac:dyDescent="0.25"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>
        <f t="shared" si="162"/>
        <v>0</v>
      </c>
    </row>
    <row r="341" spans="3:17" x14ac:dyDescent="0.25"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>
        <f t="shared" si="162"/>
        <v>0</v>
      </c>
    </row>
    <row r="342" spans="3:17" x14ac:dyDescent="0.25"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>
        <f t="shared" si="162"/>
        <v>0</v>
      </c>
    </row>
    <row r="343" spans="3:17" x14ac:dyDescent="0.25"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>
        <f t="shared" si="162"/>
        <v>0</v>
      </c>
    </row>
    <row r="344" spans="3:17" x14ac:dyDescent="0.25"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>
        <f t="shared" si="162"/>
        <v>0</v>
      </c>
    </row>
    <row r="345" spans="3:17" x14ac:dyDescent="0.25">
      <c r="C345" s="753" t="s">
        <v>423</v>
      </c>
      <c r="D345" s="754"/>
      <c r="E345" s="17">
        <f t="shared" ref="E345:P345" si="163">SUM(E319:E344)</f>
        <v>0</v>
      </c>
      <c r="F345" s="17">
        <f t="shared" si="163"/>
        <v>0</v>
      </c>
      <c r="G345" s="17">
        <f t="shared" si="163"/>
        <v>0</v>
      </c>
      <c r="H345" s="17">
        <f t="shared" si="163"/>
        <v>0</v>
      </c>
      <c r="I345" s="17">
        <f t="shared" si="163"/>
        <v>0</v>
      </c>
      <c r="J345" s="17">
        <f t="shared" si="163"/>
        <v>0</v>
      </c>
      <c r="K345" s="17">
        <f t="shared" si="163"/>
        <v>0</v>
      </c>
      <c r="L345" s="17">
        <f t="shared" si="163"/>
        <v>0</v>
      </c>
      <c r="M345" s="17">
        <f t="shared" si="163"/>
        <v>0</v>
      </c>
      <c r="N345" s="17">
        <f t="shared" si="163"/>
        <v>0</v>
      </c>
      <c r="O345" s="17">
        <f t="shared" si="163"/>
        <v>0</v>
      </c>
      <c r="P345" s="17">
        <f t="shared" si="163"/>
        <v>0</v>
      </c>
      <c r="Q345" s="86">
        <f t="shared" si="162"/>
        <v>0</v>
      </c>
    </row>
    <row r="346" spans="3:17" x14ac:dyDescent="0.25">
      <c r="C346" s="800" t="s">
        <v>424</v>
      </c>
      <c r="D346" s="801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</row>
    <row r="347" spans="3:17" x14ac:dyDescent="0.25">
      <c r="C347" s="17" t="s">
        <v>425</v>
      </c>
      <c r="D347" s="17" t="s">
        <v>426</v>
      </c>
      <c r="E347" s="17">
        <f t="shared" ref="E347:P347" si="164">SUM(E321:E346)</f>
        <v>0</v>
      </c>
      <c r="F347" s="17">
        <f t="shared" si="164"/>
        <v>0</v>
      </c>
      <c r="G347" s="17">
        <f t="shared" si="164"/>
        <v>0</v>
      </c>
      <c r="H347" s="17">
        <f t="shared" si="164"/>
        <v>0</v>
      </c>
      <c r="I347" s="17">
        <f t="shared" si="164"/>
        <v>0</v>
      </c>
      <c r="J347" s="17">
        <f t="shared" si="164"/>
        <v>0</v>
      </c>
      <c r="K347" s="17">
        <f t="shared" si="164"/>
        <v>0</v>
      </c>
      <c r="L347" s="17">
        <f t="shared" si="164"/>
        <v>0</v>
      </c>
      <c r="M347" s="17">
        <f t="shared" si="164"/>
        <v>0</v>
      </c>
      <c r="N347" s="17">
        <f t="shared" si="164"/>
        <v>0</v>
      </c>
      <c r="O347" s="17">
        <f t="shared" si="164"/>
        <v>0</v>
      </c>
      <c r="P347" s="17">
        <f t="shared" si="164"/>
        <v>0</v>
      </c>
      <c r="Q347" s="17">
        <f t="shared" si="162"/>
        <v>0</v>
      </c>
    </row>
    <row r="348" spans="3:17" x14ac:dyDescent="0.25">
      <c r="C348" s="17" t="s">
        <v>425</v>
      </c>
      <c r="D348" s="17" t="s">
        <v>427</v>
      </c>
      <c r="E348" s="17">
        <f t="shared" ref="E348:P348" si="165">SUM(E322:E347)</f>
        <v>0</v>
      </c>
      <c r="F348" s="17">
        <f t="shared" si="165"/>
        <v>0</v>
      </c>
      <c r="G348" s="17">
        <f t="shared" si="165"/>
        <v>0</v>
      </c>
      <c r="H348" s="17">
        <f t="shared" si="165"/>
        <v>0</v>
      </c>
      <c r="I348" s="17">
        <f t="shared" si="165"/>
        <v>0</v>
      </c>
      <c r="J348" s="17">
        <f t="shared" si="165"/>
        <v>0</v>
      </c>
      <c r="K348" s="17">
        <f t="shared" si="165"/>
        <v>0</v>
      </c>
      <c r="L348" s="17">
        <f t="shared" si="165"/>
        <v>0</v>
      </c>
      <c r="M348" s="17">
        <f t="shared" si="165"/>
        <v>0</v>
      </c>
      <c r="N348" s="17">
        <f t="shared" si="165"/>
        <v>0</v>
      </c>
      <c r="O348" s="17">
        <f t="shared" si="165"/>
        <v>0</v>
      </c>
      <c r="P348" s="17">
        <f t="shared" si="165"/>
        <v>0</v>
      </c>
      <c r="Q348" s="17">
        <f t="shared" si="162"/>
        <v>0</v>
      </c>
    </row>
    <row r="349" spans="3:17" x14ac:dyDescent="0.25">
      <c r="C349" s="753" t="s">
        <v>428</v>
      </c>
      <c r="D349" s="754"/>
      <c r="E349" s="17">
        <f>E347+E348</f>
        <v>0</v>
      </c>
      <c r="F349" s="17">
        <f t="shared" ref="F349:P349" si="166">F347+F348</f>
        <v>0</v>
      </c>
      <c r="G349" s="17">
        <f t="shared" si="166"/>
        <v>0</v>
      </c>
      <c r="H349" s="17">
        <f t="shared" si="166"/>
        <v>0</v>
      </c>
      <c r="I349" s="17">
        <f t="shared" si="166"/>
        <v>0</v>
      </c>
      <c r="J349" s="17">
        <f t="shared" si="166"/>
        <v>0</v>
      </c>
      <c r="K349" s="17">
        <f t="shared" si="166"/>
        <v>0</v>
      </c>
      <c r="L349" s="17">
        <f t="shared" si="166"/>
        <v>0</v>
      </c>
      <c r="M349" s="17">
        <f t="shared" si="166"/>
        <v>0</v>
      </c>
      <c r="N349" s="17">
        <f t="shared" si="166"/>
        <v>0</v>
      </c>
      <c r="O349" s="17">
        <f t="shared" si="166"/>
        <v>0</v>
      </c>
      <c r="P349" s="17">
        <f t="shared" si="166"/>
        <v>0</v>
      </c>
      <c r="Q349" s="17">
        <f t="shared" ref="Q349" si="167">Q347+Q348</f>
        <v>0</v>
      </c>
    </row>
    <row r="350" spans="3:17" x14ac:dyDescent="0.25">
      <c r="C350" s="753" t="s">
        <v>220</v>
      </c>
      <c r="D350" s="754"/>
      <c r="E350" s="66">
        <f t="shared" ref="E350:Q350" si="168">E226+E272+E281+E291+E317+E345+E349</f>
        <v>574.07064862986238</v>
      </c>
      <c r="F350" s="66">
        <f t="shared" si="168"/>
        <v>354.03973039934084</v>
      </c>
      <c r="G350" s="66">
        <f t="shared" si="168"/>
        <v>397.70666657166186</v>
      </c>
      <c r="H350" s="66">
        <f t="shared" si="168"/>
        <v>515.77569628031836</v>
      </c>
      <c r="I350" s="66">
        <f t="shared" si="168"/>
        <v>586.45972160028441</v>
      </c>
      <c r="J350" s="66">
        <f t="shared" si="168"/>
        <v>572.96589604763358</v>
      </c>
      <c r="K350" s="66">
        <f t="shared" si="168"/>
        <v>532.4747742726704</v>
      </c>
      <c r="L350" s="66">
        <f t="shared" si="168"/>
        <v>485.98146243817962</v>
      </c>
      <c r="M350" s="66">
        <f t="shared" si="168"/>
        <v>546.37615068775392</v>
      </c>
      <c r="N350" s="66">
        <f t="shared" si="168"/>
        <v>609.01991627529196</v>
      </c>
      <c r="O350" s="66">
        <f t="shared" si="168"/>
        <v>582.42985535114008</v>
      </c>
      <c r="P350" s="66">
        <f t="shared" si="168"/>
        <v>642.50925771147183</v>
      </c>
      <c r="Q350" s="86">
        <f t="shared" si="168"/>
        <v>6984.9429912656096</v>
      </c>
    </row>
    <row r="351" spans="3:17" x14ac:dyDescent="0.25">
      <c r="D351" s="22"/>
      <c r="E351" s="22"/>
    </row>
    <row r="352" spans="3:17" x14ac:dyDescent="0.25">
      <c r="C352" s="22" t="s">
        <v>649</v>
      </c>
      <c r="J352" s="25"/>
    </row>
    <row r="353" spans="2:17" x14ac:dyDescent="0.25">
      <c r="C353" s="14"/>
      <c r="Q353" s="25" t="s">
        <v>3</v>
      </c>
    </row>
    <row r="354" spans="2:17" x14ac:dyDescent="0.25">
      <c r="C354" s="762" t="s">
        <v>346</v>
      </c>
      <c r="D354" s="762" t="s">
        <v>347</v>
      </c>
      <c r="E354" s="768" t="s">
        <v>256</v>
      </c>
      <c r="F354" s="768"/>
      <c r="G354" s="768"/>
      <c r="H354" s="768"/>
      <c r="I354" s="768"/>
      <c r="J354" s="768"/>
      <c r="K354" s="768"/>
      <c r="L354" s="768"/>
      <c r="M354" s="768"/>
      <c r="N354" s="768"/>
      <c r="O354" s="768"/>
      <c r="P354" s="768"/>
      <c r="Q354" s="768"/>
    </row>
    <row r="355" spans="2:17" x14ac:dyDescent="0.25">
      <c r="C355" s="764"/>
      <c r="D355" s="764"/>
      <c r="E355" s="13" t="s">
        <v>239</v>
      </c>
      <c r="F355" s="13" t="s">
        <v>240</v>
      </c>
      <c r="G355" s="13" t="s">
        <v>241</v>
      </c>
      <c r="H355" s="13" t="s">
        <v>242</v>
      </c>
      <c r="I355" s="13" t="s">
        <v>243</v>
      </c>
      <c r="J355" s="13" t="s">
        <v>244</v>
      </c>
      <c r="K355" s="13" t="s">
        <v>245</v>
      </c>
      <c r="L355" s="13" t="s">
        <v>246</v>
      </c>
      <c r="M355" s="13" t="s">
        <v>247</v>
      </c>
      <c r="N355" s="13" t="s">
        <v>248</v>
      </c>
      <c r="O355" s="13" t="s">
        <v>249</v>
      </c>
      <c r="P355" s="13" t="s">
        <v>250</v>
      </c>
      <c r="Q355" s="13" t="s">
        <v>251</v>
      </c>
    </row>
    <row r="356" spans="2:17" x14ac:dyDescent="0.25">
      <c r="C356" s="766"/>
      <c r="D356" s="7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</row>
    <row r="357" spans="2:17" x14ac:dyDescent="0.25">
      <c r="B357" s="60"/>
      <c r="C357" s="800" t="s">
        <v>348</v>
      </c>
      <c r="D357" s="801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</row>
    <row r="358" spans="2:17" x14ac:dyDescent="0.25">
      <c r="C358" s="753" t="s">
        <v>349</v>
      </c>
      <c r="D358" s="754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</row>
    <row r="359" spans="2:17" x14ac:dyDescent="0.25">
      <c r="B359" s="60"/>
      <c r="C359" s="802" t="s">
        <v>350</v>
      </c>
      <c r="D359" s="59" t="s">
        <v>351</v>
      </c>
      <c r="E359" s="291">
        <f>'[35]TGNPDCL MoD'!AJ4+'[35]TGNPDCL MoD'!AJ5</f>
        <v>32.335717169842752</v>
      </c>
      <c r="F359" s="291">
        <f>'[35]TGNPDCL MoD'!AK4+'[35]TGNPDCL MoD'!AK5</f>
        <v>38.704603016434746</v>
      </c>
      <c r="G359" s="291">
        <f>'[35]TGNPDCL MoD'!AL4+'[35]TGNPDCL MoD'!AL5</f>
        <v>37.425119187320163</v>
      </c>
      <c r="H359" s="291">
        <f>'[35]TGNPDCL MoD'!AM4+'[35]TGNPDCL MoD'!AM5</f>
        <v>0</v>
      </c>
      <c r="I359" s="291">
        <f>'[35]TGNPDCL MoD'!AN4+'[35]TGNPDCL MoD'!AN5</f>
        <v>12.884047759339889</v>
      </c>
      <c r="J359" s="291">
        <f>'[35]TGNPDCL MoD'!AO4+'[35]TGNPDCL MoD'!AO5</f>
        <v>27.9375861288989</v>
      </c>
      <c r="K359" s="291">
        <f>'[35]TGNPDCL MoD'!AP4+'[35]TGNPDCL MoD'!AP5</f>
        <v>24.918597864217801</v>
      </c>
      <c r="L359" s="291">
        <f>'[35]TGNPDCL MoD'!AQ4+'[35]TGNPDCL MoD'!AQ5</f>
        <v>38.090378700068989</v>
      </c>
      <c r="M359" s="291">
        <f>'[35]TGNPDCL MoD'!AR4+'[35]TGNPDCL MoD'!AR5</f>
        <v>32.026761734880424</v>
      </c>
      <c r="N359" s="291">
        <f>'[35]TGNPDCL MoD'!AS4+'[35]TGNPDCL MoD'!AS5</f>
        <v>32.284133284794287</v>
      </c>
      <c r="O359" s="291">
        <f>'[35]TGNPDCL MoD'!AT4+'[35]TGNPDCL MoD'!AT5</f>
        <v>30.983790322866703</v>
      </c>
      <c r="P359" s="291">
        <f>'[35]TGNPDCL MoD'!AU4+'[35]TGNPDCL MoD'!AU5</f>
        <v>37.661062681147357</v>
      </c>
      <c r="Q359" s="291">
        <f t="shared" ref="Q359:Q377" si="169">SUM(E359:P359)</f>
        <v>345.25179784981202</v>
      </c>
    </row>
    <row r="360" spans="2:17" x14ac:dyDescent="0.25">
      <c r="B360" s="60"/>
      <c r="C360" s="803"/>
      <c r="D360" s="59" t="s">
        <v>352</v>
      </c>
      <c r="E360" s="291">
        <f>'[35]TGNPDCL MoD'!AJ6</f>
        <v>30.10555932843036</v>
      </c>
      <c r="F360" s="291">
        <f>'[35]TGNPDCL MoD'!AK6</f>
        <v>0</v>
      </c>
      <c r="G360" s="291">
        <f>'[35]TGNPDCL MoD'!AL6</f>
        <v>17.376944140890394</v>
      </c>
      <c r="H360" s="291">
        <f>'[35]TGNPDCL MoD'!AM6</f>
        <v>29.754448735859874</v>
      </c>
      <c r="I360" s="291">
        <f>'[35]TGNPDCL MoD'!AN6</f>
        <v>24.689681881576742</v>
      </c>
      <c r="J360" s="291">
        <f>'[35]TGNPDCL MoD'!AO6</f>
        <v>25.943043365272977</v>
      </c>
      <c r="K360" s="291">
        <f>'[35]TGNPDCL MoD'!AP6</f>
        <v>25.905465359789247</v>
      </c>
      <c r="L360" s="291">
        <f>'[35]TGNPDCL MoD'!AQ6</f>
        <v>34.019651205405133</v>
      </c>
      <c r="M360" s="291">
        <f>'[35]TGNPDCL MoD'!AR6</f>
        <v>30.601369705389612</v>
      </c>
      <c r="N360" s="291">
        <f>'[35]TGNPDCL MoD'!AS6</f>
        <v>29.990461188460962</v>
      </c>
      <c r="O360" s="291">
        <f>'[35]TGNPDCL MoD'!AT6</f>
        <v>28.798561295728994</v>
      </c>
      <c r="P360" s="291">
        <f>'[35]TGNPDCL MoD'!AU6</f>
        <v>34.394927933330472</v>
      </c>
      <c r="Q360" s="291">
        <f t="shared" si="169"/>
        <v>311.5801141401347</v>
      </c>
    </row>
    <row r="361" spans="2:17" x14ac:dyDescent="0.25">
      <c r="B361" s="60"/>
      <c r="C361" s="803"/>
      <c r="D361" s="59" t="s">
        <v>353</v>
      </c>
      <c r="E361" s="291">
        <f>'[35]TGNPDCL MoD'!AJ7</f>
        <v>51.140202124830765</v>
      </c>
      <c r="F361" s="291">
        <f>'[35]TGNPDCL MoD'!AK7</f>
        <v>0</v>
      </c>
      <c r="G361" s="291">
        <f>'[35]TGNPDCL MoD'!AL7</f>
        <v>26.830298795314956</v>
      </c>
      <c r="H361" s="291">
        <f>'[35]TGNPDCL MoD'!AM7</f>
        <v>50.407863568296889</v>
      </c>
      <c r="I361" s="291">
        <f>'[35]TGNPDCL MoD'!AN7</f>
        <v>40.827393189538839</v>
      </c>
      <c r="J361" s="291">
        <f>'[35]TGNPDCL MoD'!AO7</f>
        <v>40.751562997218208</v>
      </c>
      <c r="K361" s="291">
        <f>'[35]TGNPDCL MoD'!AP7</f>
        <v>41.391719174368532</v>
      </c>
      <c r="L361" s="291">
        <f>'[35]TGNPDCL MoD'!AQ7</f>
        <v>53.027950713142424</v>
      </c>
      <c r="M361" s="291">
        <f>'[35]TGNPDCL MoD'!AR7</f>
        <v>47.310298421494956</v>
      </c>
      <c r="N361" s="291">
        <f>'[35]TGNPDCL MoD'!AS7</f>
        <v>47.24903792545841</v>
      </c>
      <c r="O361" s="291">
        <f>'[35]TGNPDCL MoD'!AT7</f>
        <v>45.518057027031396</v>
      </c>
      <c r="P361" s="291">
        <f>'[35]TGNPDCL MoD'!AU7</f>
        <v>54.66745452038888</v>
      </c>
      <c r="Q361" s="291">
        <f t="shared" si="169"/>
        <v>499.12183845708432</v>
      </c>
    </row>
    <row r="362" spans="2:17" x14ac:dyDescent="0.25">
      <c r="B362" s="60"/>
      <c r="C362" s="803"/>
      <c r="D362" s="59" t="s">
        <v>354</v>
      </c>
      <c r="E362" s="291">
        <f>'[35]TGNPDCL MoD'!AJ8</f>
        <v>4.4681450788720189</v>
      </c>
      <c r="F362" s="291">
        <f>'[35]TGNPDCL MoD'!AK8</f>
        <v>0</v>
      </c>
      <c r="G362" s="291">
        <f>'[35]TGNPDCL MoD'!AL8</f>
        <v>2.5748632657906265</v>
      </c>
      <c r="H362" s="291">
        <f>'[35]TGNPDCL MoD'!AM8</f>
        <v>4.2649328309346144</v>
      </c>
      <c r="I362" s="291">
        <f>'[35]TGNPDCL MoD'!AN8</f>
        <v>3.5606319964683388</v>
      </c>
      <c r="J362" s="291">
        <f>'[35]TGNPDCL MoD'!AO8</f>
        <v>3.7865636261627187</v>
      </c>
      <c r="K362" s="291">
        <f>'[35]TGNPDCL MoD'!AP8</f>
        <v>3.4432485240572923</v>
      </c>
      <c r="L362" s="291">
        <f>'[35]TGNPDCL MoD'!AQ8</f>
        <v>5.2599960848088934</v>
      </c>
      <c r="M362" s="291">
        <f>'[35]TGNPDCL MoD'!AR8</f>
        <v>4.181245034410809</v>
      </c>
      <c r="N362" s="291">
        <f>'[35]TGNPDCL MoD'!AS8</f>
        <v>4.3823163033456618</v>
      </c>
      <c r="O362" s="291">
        <f>'[35]TGNPDCL MoD'!AT8</f>
        <v>4.2762925218131089</v>
      </c>
      <c r="P362" s="291">
        <f>'[35]TGNPDCL MoD'!AU8</f>
        <v>5.2040006102229821</v>
      </c>
      <c r="Q362" s="291">
        <f t="shared" si="169"/>
        <v>45.402235876887069</v>
      </c>
    </row>
    <row r="363" spans="2:17" x14ac:dyDescent="0.25">
      <c r="B363" s="60"/>
      <c r="C363" s="803"/>
      <c r="D363" s="59" t="s">
        <v>355</v>
      </c>
      <c r="E363" s="291">
        <f>'[35]TGNPDCL MoD'!AJ9</f>
        <v>31.272929920224215</v>
      </c>
      <c r="F363" s="291">
        <f>'[35]TGNPDCL MoD'!AK9</f>
        <v>32.315360917565023</v>
      </c>
      <c r="G363" s="291">
        <f>'[35]TGNPDCL MoD'!AL9</f>
        <v>31.38457672054879</v>
      </c>
      <c r="H363" s="291">
        <f>'[35]TGNPDCL MoD'!AM9</f>
        <v>32.998079810189637</v>
      </c>
      <c r="I363" s="291">
        <f>'[35]TGNPDCL MoD'!AN9</f>
        <v>26.853609776568124</v>
      </c>
      <c r="J363" s="291">
        <f>'[35]TGNPDCL MoD'!AO9</f>
        <v>29.290842812604371</v>
      </c>
      <c r="K363" s="291">
        <f>'[35]TGNPDCL MoD'!AP9</f>
        <v>0</v>
      </c>
      <c r="L363" s="291">
        <f>'[35]TGNPDCL MoD'!AQ9</f>
        <v>15.636464960112107</v>
      </c>
      <c r="M363" s="291">
        <f>'[35]TGNPDCL MoD'!AR9</f>
        <v>31.474452105682342</v>
      </c>
      <c r="N363" s="291">
        <f>'[35]TGNPDCL MoD'!AS9</f>
        <v>28.219047561817341</v>
      </c>
      <c r="O363" s="291">
        <f>'[35]TGNPDCL MoD'!AT9</f>
        <v>28.371331805051021</v>
      </c>
      <c r="P363" s="291">
        <f>'[35]TGNPDCL MoD'!AU9</f>
        <v>34.628926568903935</v>
      </c>
      <c r="Q363" s="291">
        <f t="shared" si="169"/>
        <v>322.44562295926687</v>
      </c>
    </row>
    <row r="364" spans="2:17" x14ac:dyDescent="0.25">
      <c r="B364" s="60"/>
      <c r="C364" s="803"/>
      <c r="D364" s="59" t="s">
        <v>356</v>
      </c>
      <c r="E364" s="291">
        <f>'[35]TGNPDCL MoD'!AJ10</f>
        <v>36.721580891161871</v>
      </c>
      <c r="F364" s="291">
        <f>'[35]TGNPDCL MoD'!AK10</f>
        <v>37.299406739174145</v>
      </c>
      <c r="G364" s="291">
        <f>'[35]TGNPDCL MoD'!AL10</f>
        <v>36.721580891161871</v>
      </c>
      <c r="H364" s="291">
        <f>'[35]TGNPDCL MoD'!AM10</f>
        <v>40.733118333532005</v>
      </c>
      <c r="I364" s="291">
        <f>'[35]TGNPDCL MoD'!AN10</f>
        <v>33.591233284094635</v>
      </c>
      <c r="J364" s="291">
        <f>'[35]TGNPDCL MoD'!AO10</f>
        <v>38.04561089576891</v>
      </c>
      <c r="K364" s="291">
        <f>'[35]TGNPDCL MoD'!AP10</f>
        <v>34.164153731937624</v>
      </c>
      <c r="L364" s="291">
        <f>'[35]TGNPDCL MoD'!AQ10</f>
        <v>0</v>
      </c>
      <c r="M364" s="291">
        <f>'[35]TGNPDCL MoD'!AR10</f>
        <v>18.866151289078953</v>
      </c>
      <c r="N364" s="291">
        <f>'[35]TGNPDCL MoD'!AS10</f>
        <v>37.945633587533926</v>
      </c>
      <c r="O364" s="291">
        <f>'[35]TGNPDCL MoD'!AT10</f>
        <v>36.951715653636995</v>
      </c>
      <c r="P364" s="291">
        <f>'[35]TGNPDCL MoD'!AU10</f>
        <v>41.022306581117768</v>
      </c>
      <c r="Q364" s="291">
        <f t="shared" si="169"/>
        <v>392.06249187819873</v>
      </c>
    </row>
    <row r="365" spans="2:17" x14ac:dyDescent="0.25">
      <c r="B365" s="60"/>
      <c r="C365" s="803"/>
      <c r="D365" s="59" t="s">
        <v>357</v>
      </c>
      <c r="E365" s="291">
        <f>SUM('[35]TGNPDCL MoD'!AJ11:AJ14)</f>
        <v>68.800020019851701</v>
      </c>
      <c r="F365" s="291">
        <f>SUM('[35]TGNPDCL MoD'!AK11:AK14)</f>
        <v>35.310002267416472</v>
      </c>
      <c r="G365" s="291">
        <f>SUM('[35]TGNPDCL MoD'!AL11:AL14)</f>
        <v>51.395917682987829</v>
      </c>
      <c r="H365" s="291">
        <f>SUM('[35]TGNPDCL MoD'!AM11:AM14)</f>
        <v>73.748713024087664</v>
      </c>
      <c r="I365" s="291">
        <f>SUM('[35]TGNPDCL MoD'!AN11:AN14)</f>
        <v>53.635547911141259</v>
      </c>
      <c r="J365" s="291">
        <f>SUM('[35]TGNPDCL MoD'!AO11:AO14)</f>
        <v>53.377411658975461</v>
      </c>
      <c r="K365" s="291">
        <f>SUM('[35]TGNPDCL MoD'!AP11:AP14)</f>
        <v>61.357565530281946</v>
      </c>
      <c r="L365" s="291">
        <f>SUM('[35]TGNPDCL MoD'!AQ11:AQ14)</f>
        <v>51.341984065991959</v>
      </c>
      <c r="M365" s="291">
        <f>SUM('[35]TGNPDCL MoD'!AR11:AR14)</f>
        <v>61.792503967978774</v>
      </c>
      <c r="N365" s="291">
        <f>SUM('[35]TGNPDCL MoD'!AS11:AS14)</f>
        <v>69.966581631989499</v>
      </c>
      <c r="O365" s="291">
        <f>SUM('[35]TGNPDCL MoD'!AT11:AT14)</f>
        <v>66.183255160012237</v>
      </c>
      <c r="P365" s="291">
        <f>SUM('[35]TGNPDCL MoD'!AU11:AU14)</f>
        <v>77.925522245332857</v>
      </c>
      <c r="Q365" s="291">
        <f t="shared" si="169"/>
        <v>724.83502516604756</v>
      </c>
    </row>
    <row r="366" spans="2:17" x14ac:dyDescent="0.25">
      <c r="B366" s="60"/>
      <c r="C366" s="803"/>
      <c r="D366" s="59" t="s">
        <v>358</v>
      </c>
      <c r="E366" s="291">
        <f>SUM('[35]TGNPDCL MoD'!AJ15:AJ19)+'[35]TGNPDCL MoD'!$AW$15/12</f>
        <v>206.32554115779558</v>
      </c>
      <c r="F366" s="291">
        <f>SUM('[35]TGNPDCL MoD'!AK15:AK19)+'[35]TGNPDCL MoD'!$AW$15/12</f>
        <v>124.23880407147438</v>
      </c>
      <c r="G366" s="291">
        <f>SUM('[35]TGNPDCL MoD'!AL15:AL19)+'[35]TGNPDCL MoD'!$AW$15/12</f>
        <v>122.72054387985828</v>
      </c>
      <c r="H366" s="291">
        <f>SUM('[35]TGNPDCL MoD'!AM15:AM19)+'[35]TGNPDCL MoD'!$AW$15/12</f>
        <v>131.84458333366149</v>
      </c>
      <c r="I366" s="291">
        <f>SUM('[35]TGNPDCL MoD'!AN15:AN19)+'[35]TGNPDCL MoD'!$AW$15/12</f>
        <v>202.98968843219242</v>
      </c>
      <c r="J366" s="291">
        <f>SUM('[35]TGNPDCL MoD'!AO15:AO19)+'[35]TGNPDCL MoD'!$AW$15/12</f>
        <v>212.60647804793811</v>
      </c>
      <c r="K366" s="291">
        <f>SUM('[35]TGNPDCL MoD'!AP15:AP19)+'[35]TGNPDCL MoD'!$AW$15/12</f>
        <v>197.15056423667215</v>
      </c>
      <c r="L366" s="291">
        <f>SUM('[35]TGNPDCL MoD'!AQ15:AQ19)+'[35]TGNPDCL MoD'!$AW$15/12</f>
        <v>160.55907054963316</v>
      </c>
      <c r="M366" s="291">
        <f>SUM('[35]TGNPDCL MoD'!AR15:AR19)+'[35]TGNPDCL MoD'!$AW$15/12</f>
        <v>191.84635991567976</v>
      </c>
      <c r="N366" s="291">
        <f>SUM('[35]TGNPDCL MoD'!AS15:AS19)+'[35]TGNPDCL MoD'!$AW$15/12</f>
        <v>213.13827823786986</v>
      </c>
      <c r="O366" s="291">
        <f>SUM('[35]TGNPDCL MoD'!AT15:AT19)+'[35]TGNPDCL MoD'!$AW$15/12</f>
        <v>198.43772458929305</v>
      </c>
      <c r="P366" s="291">
        <f>SUM('[35]TGNPDCL MoD'!AU15:AU19)+'[35]TGNPDCL MoD'!$AW$15/12</f>
        <v>219.69085477726065</v>
      </c>
      <c r="Q366" s="291">
        <f t="shared" si="169"/>
        <v>2181.5484912293291</v>
      </c>
    </row>
    <row r="367" spans="2:17" x14ac:dyDescent="0.25">
      <c r="B367" s="60"/>
      <c r="C367" s="803"/>
      <c r="D367" s="325" t="s">
        <v>620</v>
      </c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>
        <f t="shared" si="169"/>
        <v>0</v>
      </c>
    </row>
    <row r="368" spans="2:17" x14ac:dyDescent="0.25">
      <c r="B368" s="60"/>
      <c r="C368" s="803"/>
      <c r="D368" s="59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>
        <f t="shared" si="169"/>
        <v>0</v>
      </c>
    </row>
    <row r="369" spans="2:18" x14ac:dyDescent="0.25">
      <c r="B369" s="60"/>
      <c r="C369" s="803"/>
      <c r="D369" s="59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>
        <f t="shared" si="169"/>
        <v>0</v>
      </c>
    </row>
    <row r="370" spans="2:18" x14ac:dyDescent="0.25">
      <c r="B370" s="60"/>
      <c r="C370" s="803"/>
      <c r="D370" s="59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>
        <f t="shared" si="169"/>
        <v>0</v>
      </c>
    </row>
    <row r="371" spans="2:18" x14ac:dyDescent="0.25">
      <c r="B371" s="60"/>
      <c r="C371" s="803"/>
      <c r="D371" s="59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>
        <f t="shared" si="169"/>
        <v>0</v>
      </c>
    </row>
    <row r="372" spans="2:18" x14ac:dyDescent="0.25">
      <c r="B372" s="60"/>
      <c r="C372" s="803"/>
      <c r="D372" s="59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>
        <f t="shared" si="169"/>
        <v>0</v>
      </c>
    </row>
    <row r="373" spans="2:18" x14ac:dyDescent="0.25">
      <c r="B373" s="60"/>
      <c r="C373" s="803"/>
      <c r="D373" s="59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>
        <f t="shared" si="169"/>
        <v>0</v>
      </c>
    </row>
    <row r="374" spans="2:18" x14ac:dyDescent="0.25">
      <c r="B374" s="60"/>
      <c r="C374" s="803"/>
      <c r="D374" s="59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>
        <f t="shared" si="169"/>
        <v>0</v>
      </c>
    </row>
    <row r="375" spans="2:18" x14ac:dyDescent="0.25">
      <c r="B375" s="60"/>
      <c r="C375" s="803"/>
      <c r="D375" s="59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>
        <f t="shared" si="169"/>
        <v>0</v>
      </c>
    </row>
    <row r="376" spans="2:18" x14ac:dyDescent="0.25">
      <c r="B376" s="60"/>
      <c r="C376" s="804"/>
      <c r="D376" s="59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>
        <f t="shared" si="169"/>
        <v>0</v>
      </c>
    </row>
    <row r="377" spans="2:18" x14ac:dyDescent="0.25">
      <c r="C377" s="751" t="s">
        <v>212</v>
      </c>
      <c r="D377" s="752"/>
      <c r="E377" s="291">
        <f t="shared" ref="E377:P377" si="170">SUM(E359:E376)</f>
        <v>461.16969569100922</v>
      </c>
      <c r="F377" s="291">
        <f t="shared" si="170"/>
        <v>267.86817701206479</v>
      </c>
      <c r="G377" s="291">
        <f t="shared" si="170"/>
        <v>326.4298445638729</v>
      </c>
      <c r="H377" s="291">
        <f t="shared" si="170"/>
        <v>363.75173963656221</v>
      </c>
      <c r="I377" s="291">
        <f t="shared" si="170"/>
        <v>399.03183423092025</v>
      </c>
      <c r="J377" s="291">
        <f t="shared" si="170"/>
        <v>431.73909953283965</v>
      </c>
      <c r="K377" s="291">
        <f t="shared" si="170"/>
        <v>388.33131442132458</v>
      </c>
      <c r="L377" s="291">
        <f t="shared" si="170"/>
        <v>357.93549627916269</v>
      </c>
      <c r="M377" s="291">
        <f t="shared" si="170"/>
        <v>418.09914217459561</v>
      </c>
      <c r="N377" s="291">
        <f t="shared" si="170"/>
        <v>463.17548972126997</v>
      </c>
      <c r="O377" s="291">
        <f t="shared" si="170"/>
        <v>439.52072837543352</v>
      </c>
      <c r="P377" s="291">
        <f t="shared" si="170"/>
        <v>505.19505591770491</v>
      </c>
      <c r="Q377" s="323">
        <f t="shared" si="169"/>
        <v>4822.2476175567599</v>
      </c>
      <c r="R377" s="427"/>
    </row>
    <row r="378" spans="2:18" x14ac:dyDescent="0.25">
      <c r="C378" s="753" t="s">
        <v>359</v>
      </c>
      <c r="D378" s="754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</row>
    <row r="379" spans="2:18" x14ac:dyDescent="0.25">
      <c r="C379" s="805" t="s">
        <v>350</v>
      </c>
      <c r="D379" s="17" t="s">
        <v>360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f t="shared" ref="Q379:Q397" si="171">SUM(E379:P379)</f>
        <v>0</v>
      </c>
    </row>
    <row r="380" spans="2:18" x14ac:dyDescent="0.25">
      <c r="C380" s="806"/>
      <c r="D380" s="17" t="s">
        <v>361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f t="shared" si="171"/>
        <v>0</v>
      </c>
    </row>
    <row r="381" spans="2:18" x14ac:dyDescent="0.25">
      <c r="C381" s="806"/>
      <c r="D381" s="17" t="s">
        <v>362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f t="shared" si="171"/>
        <v>0</v>
      </c>
    </row>
    <row r="382" spans="2:18" x14ac:dyDescent="0.25">
      <c r="C382" s="806"/>
      <c r="D382" s="17" t="s">
        <v>363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f t="shared" si="171"/>
        <v>0</v>
      </c>
    </row>
    <row r="383" spans="2:18" x14ac:dyDescent="0.25">
      <c r="C383" s="806"/>
      <c r="D383" s="17" t="s">
        <v>364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f t="shared" si="171"/>
        <v>0</v>
      </c>
    </row>
    <row r="384" spans="2:18" x14ac:dyDescent="0.25">
      <c r="C384" s="806"/>
      <c r="D384" s="17" t="s">
        <v>365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f t="shared" si="171"/>
        <v>0</v>
      </c>
    </row>
    <row r="385" spans="3:18" x14ac:dyDescent="0.25">
      <c r="C385" s="806"/>
      <c r="D385" s="17" t="s">
        <v>366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f t="shared" si="171"/>
        <v>0</v>
      </c>
    </row>
    <row r="386" spans="3:18" x14ac:dyDescent="0.25">
      <c r="C386" s="806"/>
      <c r="D386" s="17" t="s">
        <v>367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f t="shared" si="171"/>
        <v>0</v>
      </c>
    </row>
    <row r="387" spans="3:18" x14ac:dyDescent="0.25">
      <c r="C387" s="80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>
        <f t="shared" si="171"/>
        <v>0</v>
      </c>
    </row>
    <row r="388" spans="3:18" x14ac:dyDescent="0.25">
      <c r="C388" s="80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>
        <f t="shared" si="171"/>
        <v>0</v>
      </c>
    </row>
    <row r="389" spans="3:18" x14ac:dyDescent="0.25">
      <c r="C389" s="80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>
        <f t="shared" si="171"/>
        <v>0</v>
      </c>
    </row>
    <row r="390" spans="3:18" x14ac:dyDescent="0.25">
      <c r="C390" s="806"/>
      <c r="D390" s="325" t="s">
        <v>621</v>
      </c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>
        <f t="shared" si="171"/>
        <v>0</v>
      </c>
    </row>
    <row r="391" spans="3:18" x14ac:dyDescent="0.25">
      <c r="C391" s="806"/>
      <c r="D391" s="325" t="s">
        <v>622</v>
      </c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>
        <f t="shared" si="171"/>
        <v>0</v>
      </c>
    </row>
    <row r="392" spans="3:18" x14ac:dyDescent="0.25">
      <c r="C392" s="806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>
        <f t="shared" si="171"/>
        <v>0</v>
      </c>
    </row>
    <row r="393" spans="3:18" x14ac:dyDescent="0.25">
      <c r="C393" s="806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>
        <f t="shared" si="171"/>
        <v>0</v>
      </c>
    </row>
    <row r="394" spans="3:18" x14ac:dyDescent="0.25">
      <c r="C394" s="806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>
        <f t="shared" si="171"/>
        <v>0</v>
      </c>
    </row>
    <row r="395" spans="3:18" x14ac:dyDescent="0.25">
      <c r="C395" s="806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>
        <f t="shared" si="171"/>
        <v>0</v>
      </c>
    </row>
    <row r="396" spans="3:18" x14ac:dyDescent="0.25">
      <c r="C396" s="807"/>
      <c r="D396" s="10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>
        <f t="shared" si="171"/>
        <v>0</v>
      </c>
    </row>
    <row r="397" spans="3:18" x14ac:dyDescent="0.25">
      <c r="C397" s="751" t="s">
        <v>212</v>
      </c>
      <c r="D397" s="752"/>
      <c r="E397" s="17">
        <f t="shared" ref="E397:P397" si="172">SUM(E379:E396)</f>
        <v>0</v>
      </c>
      <c r="F397" s="17">
        <f t="shared" si="172"/>
        <v>0</v>
      </c>
      <c r="G397" s="17">
        <f t="shared" si="172"/>
        <v>0</v>
      </c>
      <c r="H397" s="17">
        <f t="shared" si="172"/>
        <v>0</v>
      </c>
      <c r="I397" s="17">
        <f t="shared" si="172"/>
        <v>0</v>
      </c>
      <c r="J397" s="17">
        <f t="shared" si="172"/>
        <v>0</v>
      </c>
      <c r="K397" s="17">
        <f t="shared" si="172"/>
        <v>0</v>
      </c>
      <c r="L397" s="17">
        <f t="shared" si="172"/>
        <v>0</v>
      </c>
      <c r="M397" s="17">
        <f t="shared" si="172"/>
        <v>0</v>
      </c>
      <c r="N397" s="17">
        <f t="shared" si="172"/>
        <v>0</v>
      </c>
      <c r="O397" s="17">
        <f t="shared" si="172"/>
        <v>0</v>
      </c>
      <c r="P397" s="17">
        <f t="shared" si="172"/>
        <v>0</v>
      </c>
      <c r="Q397" s="86">
        <f t="shared" si="171"/>
        <v>0</v>
      </c>
      <c r="R397" s="427"/>
    </row>
    <row r="398" spans="3:18" x14ac:dyDescent="0.25">
      <c r="C398" s="753" t="s">
        <v>368</v>
      </c>
      <c r="D398" s="754"/>
      <c r="E398" s="17">
        <f t="shared" ref="E398:Q398" si="173">E377+E397</f>
        <v>461.16969569100922</v>
      </c>
      <c r="F398" s="17">
        <f t="shared" si="173"/>
        <v>267.86817701206479</v>
      </c>
      <c r="G398" s="17">
        <f t="shared" si="173"/>
        <v>326.4298445638729</v>
      </c>
      <c r="H398" s="17">
        <f t="shared" si="173"/>
        <v>363.75173963656221</v>
      </c>
      <c r="I398" s="17">
        <f t="shared" si="173"/>
        <v>399.03183423092025</v>
      </c>
      <c r="J398" s="17">
        <f t="shared" si="173"/>
        <v>431.73909953283965</v>
      </c>
      <c r="K398" s="17">
        <f t="shared" si="173"/>
        <v>388.33131442132458</v>
      </c>
      <c r="L398" s="17">
        <f t="shared" si="173"/>
        <v>357.93549627916269</v>
      </c>
      <c r="M398" s="17">
        <f t="shared" si="173"/>
        <v>418.09914217459561</v>
      </c>
      <c r="N398" s="17">
        <f t="shared" si="173"/>
        <v>463.17548972126997</v>
      </c>
      <c r="O398" s="17">
        <f t="shared" si="173"/>
        <v>439.52072837543352</v>
      </c>
      <c r="P398" s="17">
        <f t="shared" si="173"/>
        <v>505.19505591770491</v>
      </c>
      <c r="Q398" s="86">
        <f t="shared" si="173"/>
        <v>4822.2476175567599</v>
      </c>
    </row>
    <row r="399" spans="3:18" x14ac:dyDescent="0.25">
      <c r="C399" s="800" t="s">
        <v>369</v>
      </c>
      <c r="D399" s="801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</row>
    <row r="400" spans="3:18" x14ac:dyDescent="0.25">
      <c r="C400" s="753" t="s">
        <v>349</v>
      </c>
      <c r="D400" s="754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</row>
    <row r="401" spans="3:17" x14ac:dyDescent="0.25">
      <c r="C401" s="843" t="s">
        <v>370</v>
      </c>
      <c r="D401" s="17" t="s">
        <v>371</v>
      </c>
      <c r="E401" s="66">
        <f>SUM('[35]TGNPDCL MoD'!AJ25:AJ30)+'[35]TGNPDCL MoD'!$AW$25/12</f>
        <v>18.868235841731998</v>
      </c>
      <c r="F401" s="66">
        <f>SUM('[35]TGNPDCL MoD'!AK25:AK30)+'[35]TGNPDCL MoD'!$AW$25/12</f>
        <v>24.218038515758533</v>
      </c>
      <c r="G401" s="66">
        <f>SUM('[35]TGNPDCL MoD'!AL25:AL30)+'[35]TGNPDCL MoD'!$AW$25/12</f>
        <v>24.6163772304633</v>
      </c>
      <c r="H401" s="66">
        <f>SUM('[35]TGNPDCL MoD'!AM25:AM30)+'[35]TGNPDCL MoD'!$AW$25/12</f>
        <v>20.263947149092871</v>
      </c>
      <c r="I401" s="66">
        <f>SUM('[35]TGNPDCL MoD'!AN25:AN30)+'[35]TGNPDCL MoD'!$AW$25/12</f>
        <v>16.554380039798811</v>
      </c>
      <c r="J401" s="66">
        <f>SUM('[35]TGNPDCL MoD'!AO25:AO30)+'[35]TGNPDCL MoD'!$AW$25/12</f>
        <v>17.636745663811354</v>
      </c>
      <c r="K401" s="66">
        <f>SUM('[35]TGNPDCL MoD'!AP25:AP30)+'[35]TGNPDCL MoD'!$AW$25/12</f>
        <v>17.126903011449514</v>
      </c>
      <c r="L401" s="66">
        <f>SUM('[35]TGNPDCL MoD'!AQ25:AQ30)+'[35]TGNPDCL MoD'!$AW$25/12</f>
        <v>24.034741266575637</v>
      </c>
      <c r="M401" s="66">
        <f>SUM('[35]TGNPDCL MoD'!AR25:AR30)+'[35]TGNPDCL MoD'!$AW$25/12</f>
        <v>16.170879673837398</v>
      </c>
      <c r="N401" s="66">
        <f>SUM('[35]TGNPDCL MoD'!AS25:AS30)+'[35]TGNPDCL MoD'!$AW$25/12</f>
        <v>16.289606056352312</v>
      </c>
      <c r="O401" s="66">
        <f>SUM('[35]TGNPDCL MoD'!AT25:AT30)+'[35]TGNPDCL MoD'!$AW$25/12</f>
        <v>18.917437058474821</v>
      </c>
      <c r="P401" s="66">
        <f>SUM('[35]TGNPDCL MoD'!AU25:AU30)+'[35]TGNPDCL MoD'!$AW$25/12</f>
        <v>24.228619921204871</v>
      </c>
      <c r="Q401" s="66">
        <f t="shared" ref="Q401:Q428" si="174">SUM(E401:P401)</f>
        <v>238.92591142855144</v>
      </c>
    </row>
    <row r="402" spans="3:17" x14ac:dyDescent="0.25">
      <c r="C402" s="844"/>
      <c r="D402" s="17" t="s">
        <v>372</v>
      </c>
      <c r="E402" s="66">
        <f>'[35]TGNPDCL MoD'!AJ31</f>
        <v>5.1900218265684828</v>
      </c>
      <c r="F402" s="66">
        <f>'[35]TGNPDCL MoD'!AK31</f>
        <v>6.0877553317046544</v>
      </c>
      <c r="G402" s="66">
        <f>'[35]TGNPDCL MoD'!AL31</f>
        <v>5.8913761274561178</v>
      </c>
      <c r="H402" s="66">
        <f>'[35]TGNPDCL MoD'!AM31</f>
        <v>0</v>
      </c>
      <c r="I402" s="66">
        <f>'[35]TGNPDCL MoD'!AN31</f>
        <v>2.0292517772348821</v>
      </c>
      <c r="J402" s="66">
        <f>'[35]TGNPDCL MoD'!AO31</f>
        <v>4.2081258053257935</v>
      </c>
      <c r="K402" s="66">
        <f>'[35]TGNPDCL MoD'!AP31</f>
        <v>4.3483966655033193</v>
      </c>
      <c r="L402" s="66">
        <f>'[35]TGNPDCL MoD'!AQ31</f>
        <v>5.7511052672785894</v>
      </c>
      <c r="M402" s="66">
        <f>'[35]TGNPDCL MoD'!AR31</f>
        <v>5.0731294430872085</v>
      </c>
      <c r="N402" s="66">
        <f>'[35]TGNPDCL MoD'!AS31</f>
        <v>5.0731294430872085</v>
      </c>
      <c r="O402" s="66">
        <f>'[35]TGNPDCL MoD'!AT31</f>
        <v>4.8440203714639161</v>
      </c>
      <c r="P402" s="66">
        <f>'[35]TGNPDCL MoD'!AU31</f>
        <v>5.7978622206710977</v>
      </c>
      <c r="Q402" s="66">
        <f t="shared" si="174"/>
        <v>54.294174279381274</v>
      </c>
    </row>
    <row r="403" spans="3:17" x14ac:dyDescent="0.25">
      <c r="C403" s="844"/>
      <c r="D403" s="17" t="s">
        <v>373</v>
      </c>
      <c r="E403" s="66">
        <f>SUM('[35]TGNPDCL MoD'!AJ42:AJ45)</f>
        <v>7.7379951388350827</v>
      </c>
      <c r="F403" s="66">
        <f>SUM('[35]TGNPDCL MoD'!AK42:AK45)</f>
        <v>7.9393788620268033</v>
      </c>
      <c r="G403" s="66">
        <f>SUM('[35]TGNPDCL MoD'!AL42:AL45)</f>
        <v>7.7379951388350827</v>
      </c>
      <c r="H403" s="66">
        <f>SUM('[35]TGNPDCL MoD'!AM42:AM45)</f>
        <v>7.9959283101295826</v>
      </c>
      <c r="I403" s="66">
        <f>SUM('[35]TGNPDCL MoD'!AN42:AN45)</f>
        <v>7.9959283101295826</v>
      </c>
      <c r="J403" s="66">
        <f>SUM('[35]TGNPDCL MoD'!AO42:AO45)</f>
        <v>7.7379951388350827</v>
      </c>
      <c r="K403" s="66">
        <f>SUM('[35]TGNPDCL MoD'!AP42:AP45)</f>
        <v>7.3962336868698646</v>
      </c>
      <c r="L403" s="66">
        <f>SUM('[35]TGNPDCL MoD'!AQ42:AQ45)</f>
        <v>5.8034963541263123</v>
      </c>
      <c r="M403" s="66">
        <f>SUM('[35]TGNPDCL MoD'!AR42:AR45)</f>
        <v>4.9974551938309899</v>
      </c>
      <c r="N403" s="66">
        <f>SUM('[35]TGNPDCL MoD'!AS42:AS45)</f>
        <v>6.9964372713633853</v>
      </c>
      <c r="O403" s="66">
        <f>SUM('[35]TGNPDCL MoD'!AT42:AT45)</f>
        <v>7.2221287962460758</v>
      </c>
      <c r="P403" s="66">
        <f>SUM('[35]TGNPDCL MoD'!AU42:AU45)</f>
        <v>7.9959283101295826</v>
      </c>
      <c r="Q403" s="66">
        <f t="shared" si="174"/>
        <v>87.556900511357441</v>
      </c>
    </row>
    <row r="404" spans="3:17" x14ac:dyDescent="0.25">
      <c r="C404" s="844"/>
      <c r="D404" s="17" t="s">
        <v>374</v>
      </c>
      <c r="E404" s="66">
        <f>'[35]TGNPDCL MoD'!AJ40</f>
        <v>33.125490470303767</v>
      </c>
      <c r="F404" s="66">
        <f>'[35]TGNPDCL MoD'!AK40</f>
        <v>40.138844747801926</v>
      </c>
      <c r="G404" s="66">
        <f>'[35]TGNPDCL MoD'!AL40</f>
        <v>38.896439132799344</v>
      </c>
      <c r="H404" s="66">
        <f>'[35]TGNPDCL MoD'!AM40</f>
        <v>31.307756559724691</v>
      </c>
      <c r="I404" s="66">
        <f>'[35]TGNPDCL MoD'!AN40</f>
        <v>24.45918481228491</v>
      </c>
      <c r="J404" s="66">
        <f>'[35]TGNPDCL MoD'!AO40</f>
        <v>27.457407466694029</v>
      </c>
      <c r="K404" s="66">
        <f>'[35]TGNPDCL MoD'!AP40</f>
        <v>24.299301295154166</v>
      </c>
      <c r="L404" s="66">
        <f>'[35]TGNPDCL MoD'!AQ40</f>
        <v>0</v>
      </c>
      <c r="M404" s="66">
        <f>'[35]TGNPDCL MoD'!AR40</f>
        <v>16.143061976108044</v>
      </c>
      <c r="N404" s="66">
        <f>'[35]TGNPDCL MoD'!AS40</f>
        <v>32.286123952216087</v>
      </c>
      <c r="O404" s="66">
        <f>'[35]TGNPDCL MoD'!AT40</f>
        <v>31.812720375204115</v>
      </c>
      <c r="P404" s="66">
        <f>'[35]TGNPDCL MoD'!AU40</f>
        <v>38.582852844138053</v>
      </c>
      <c r="Q404" s="66">
        <f t="shared" si="174"/>
        <v>338.50918363242909</v>
      </c>
    </row>
    <row r="405" spans="3:17" x14ac:dyDescent="0.25">
      <c r="C405" s="844"/>
      <c r="D405" s="17" t="s">
        <v>375</v>
      </c>
      <c r="E405" s="66">
        <f>'[35]TGNPDCL MoD'!AJ41+'[35]TGNPDCL MoD'!$AW$41/12</f>
        <v>15.736803847396514</v>
      </c>
      <c r="F405" s="66">
        <f>'[35]TGNPDCL MoD'!AK41+'[35]TGNPDCL MoD'!$AW$41/12</f>
        <v>19.449315040757774</v>
      </c>
      <c r="G405" s="66">
        <f>'[35]TGNPDCL MoD'!AL41+'[35]TGNPDCL MoD'!$AW$41/12</f>
        <v>0.268007208391289</v>
      </c>
      <c r="H405" s="66">
        <f>'[35]TGNPDCL MoD'!AM41+'[35]TGNPDCL MoD'!$AW$41/12</f>
        <v>7.5751720969118379</v>
      </c>
      <c r="I405" s="66">
        <f>'[35]TGNPDCL MoD'!AN41+'[35]TGNPDCL MoD'!$AW$41/12</f>
        <v>11.750515109135872</v>
      </c>
      <c r="J405" s="66">
        <f>'[35]TGNPDCL MoD'!AO41+'[35]TGNPDCL MoD'!$AW$41/12</f>
        <v>13.247769709831818</v>
      </c>
      <c r="K405" s="66">
        <f>'[35]TGNPDCL MoD'!AP41+'[35]TGNPDCL MoD'!$AW$41/12</f>
        <v>12.417700508897001</v>
      </c>
      <c r="L405" s="66">
        <f>'[35]TGNPDCL MoD'!AQ41+'[35]TGNPDCL MoD'!$AW$41/12</f>
        <v>18.388597556940272</v>
      </c>
      <c r="M405" s="66">
        <f>'[35]TGNPDCL MoD'!AR41+'[35]TGNPDCL MoD'!$AW$41/12</f>
        <v>15.791513442131428</v>
      </c>
      <c r="N405" s="66">
        <f>'[35]TGNPDCL MoD'!AS41+'[35]TGNPDCL MoD'!$AW$41/12</f>
        <v>15.339034790964957</v>
      </c>
      <c r="O405" s="66">
        <f>'[35]TGNPDCL MoD'!AT41+'[35]TGNPDCL MoD'!$AW$41/12</f>
        <v>15.118051981836301</v>
      </c>
      <c r="P405" s="66">
        <f>'[35]TGNPDCL MoD'!AU41+'[35]TGNPDCL MoD'!$AW$41/12</f>
        <v>18.535919429692704</v>
      </c>
      <c r="Q405" s="66">
        <f t="shared" si="174"/>
        <v>163.61840072288774</v>
      </c>
    </row>
    <row r="406" spans="3:17" x14ac:dyDescent="0.25">
      <c r="C406" s="844"/>
      <c r="D406" s="17" t="s">
        <v>376</v>
      </c>
      <c r="E406" s="66">
        <f>SUM('[35]TGNPDCL MoD'!AJ49:AJ51)</f>
        <v>22.456177153650984</v>
      </c>
      <c r="F406" s="66">
        <f>SUM('[35]TGNPDCL MoD'!AK49:AK51)</f>
        <v>27.299666343654039</v>
      </c>
      <c r="G406" s="66">
        <f>SUM('[35]TGNPDCL MoD'!AL49:AL51)</f>
        <v>17.612687963647847</v>
      </c>
      <c r="H406" s="66">
        <f>SUM('[35]TGNPDCL MoD'!AM49:AM51)</f>
        <v>17.103987110079089</v>
      </c>
      <c r="I406" s="66">
        <f>SUM('[35]TGNPDCL MoD'!AN49:AN51)</f>
        <v>17.062291464783797</v>
      </c>
      <c r="J406" s="66">
        <f>SUM('[35]TGNPDCL MoD'!AO49:AO51)</f>
        <v>18.493322361830202</v>
      </c>
      <c r="K406" s="66">
        <f>SUM('[35]TGNPDCL MoD'!AP49:AP51)</f>
        <v>16.379799806192445</v>
      </c>
      <c r="L406" s="66">
        <f>SUM('[35]TGNPDCL MoD'!AQ49:AQ51)</f>
        <v>17.612687963647847</v>
      </c>
      <c r="M406" s="66">
        <f>SUM('[35]TGNPDCL MoD'!AR49:AR51)</f>
        <v>16.507402718443466</v>
      </c>
      <c r="N406" s="66">
        <f>SUM('[35]TGNPDCL MoD'!AS49:AS51)</f>
        <v>20.453059831709606</v>
      </c>
      <c r="O406" s="66">
        <f>SUM('[35]TGNPDCL MoD'!AT49:AT51)</f>
        <v>21.575542755468597</v>
      </c>
      <c r="P406" s="66">
        <f>SUM('[35]TGNPDCL MoD'!AU49:AU51)</f>
        <v>26.6171746850628</v>
      </c>
      <c r="Q406" s="66">
        <f t="shared" si="174"/>
        <v>239.17380015817071</v>
      </c>
    </row>
    <row r="407" spans="3:17" x14ac:dyDescent="0.25">
      <c r="C407" s="844"/>
      <c r="D407" s="17" t="s">
        <v>377</v>
      </c>
      <c r="E407" s="66">
        <f>'[35]TGNPDCL MoD'!AJ53</f>
        <v>2.8640102201597601</v>
      </c>
      <c r="F407" s="66">
        <f>'[35]TGNPDCL MoD'!AK53</f>
        <v>3.4817379147040191</v>
      </c>
      <c r="G407" s="66">
        <f>'[35]TGNPDCL MoD'!AL53</f>
        <v>3.3694237884232465</v>
      </c>
      <c r="H407" s="66">
        <f>'[35]TGNPDCL MoD'!AM53</f>
        <v>2.7576773412137534</v>
      </c>
      <c r="I407" s="66">
        <f>'[35]TGNPDCL MoD'!AN53</f>
        <v>2.1760861966900156</v>
      </c>
      <c r="J407" s="66">
        <f>'[35]TGNPDCL MoD'!AO53</f>
        <v>2.3585966518962751</v>
      </c>
      <c r="K407" s="66">
        <f>'[35]TGNPDCL MoD'!AP53</f>
        <v>2.0890427488224161</v>
      </c>
      <c r="L407" s="66">
        <f>'[35]TGNPDCL MoD'!AQ53</f>
        <v>3.4536593831338274</v>
      </c>
      <c r="M407" s="66">
        <f>'[35]TGNPDCL MoD'!AR53</f>
        <v>2.6983468838956175</v>
      </c>
      <c r="N407" s="66">
        <f>'[35]TGNPDCL MoD'!AS53</f>
        <v>2.7853903317632178</v>
      </c>
      <c r="O407" s="66">
        <f>'[35]TGNPDCL MoD'!AT53</f>
        <v>2.7516960938789845</v>
      </c>
      <c r="P407" s="66">
        <f>'[35]TGNPDCL MoD'!AU53</f>
        <v>3.3946944668364196</v>
      </c>
      <c r="Q407" s="66">
        <f t="shared" si="174"/>
        <v>34.180362021417551</v>
      </c>
    </row>
    <row r="408" spans="3:17" x14ac:dyDescent="0.25">
      <c r="C408" s="844"/>
      <c r="D408" s="17" t="s">
        <v>378</v>
      </c>
      <c r="E408" s="66">
        <f>'[35]TGNPDCL MoD'!AJ54</f>
        <v>16.532107552071373</v>
      </c>
      <c r="F408" s="66">
        <f>'[35]TGNPDCL MoD'!AK54</f>
        <v>20.097856239773034</v>
      </c>
      <c r="G408" s="66">
        <f>'[35]TGNPDCL MoD'!AL54</f>
        <v>19.449538296554547</v>
      </c>
      <c r="H408" s="66">
        <f>'[35]TGNPDCL MoD'!AM54</f>
        <v>14.570945773835451</v>
      </c>
      <c r="I408" s="66">
        <f>'[35]TGNPDCL MoD'!AN54</f>
        <v>12.561160149858146</v>
      </c>
      <c r="J408" s="66">
        <f>'[35]TGNPDCL MoD'!AO54</f>
        <v>13.097187239717934</v>
      </c>
      <c r="K408" s="66">
        <f>'[35]TGNPDCL MoD'!AP54</f>
        <v>12.058713743863821</v>
      </c>
      <c r="L408" s="66">
        <f>'[35]TGNPDCL MoD'!AQ54</f>
        <v>19.449538296554547</v>
      </c>
      <c r="M408" s="66">
        <f>'[35]TGNPDCL MoD'!AR54</f>
        <v>14.099186887712921</v>
      </c>
      <c r="N408" s="66">
        <f>'[35]TGNPDCL MoD'!AS54</f>
        <v>14.103882995127739</v>
      </c>
      <c r="O408" s="66">
        <f>'[35]TGNPDCL MoD'!AT54</f>
        <v>15.883789608852885</v>
      </c>
      <c r="P408" s="66">
        <f>'[35]TGNPDCL MoD'!AU54</f>
        <v>19.099375761899388</v>
      </c>
      <c r="Q408" s="66">
        <f t="shared" si="174"/>
        <v>191.00328254582178</v>
      </c>
    </row>
    <row r="409" spans="3:17" x14ac:dyDescent="0.25">
      <c r="C409" s="844"/>
      <c r="D409" s="125" t="s">
        <v>379</v>
      </c>
      <c r="E409" s="66">
        <f>'[35]TGNPDCL MoD'!AJ55</f>
        <v>43.863404781304162</v>
      </c>
      <c r="F409" s="66">
        <f>'[35]TGNPDCL MoD'!AK55</f>
        <v>45.3255182740143</v>
      </c>
      <c r="G409" s="66">
        <f>'[35]TGNPDCL MoD'!AL55</f>
        <v>43.863404781304162</v>
      </c>
      <c r="H409" s="66">
        <f>'[35]TGNPDCL MoD'!AM55</f>
        <v>46.255860419447302</v>
      </c>
      <c r="I409" s="66">
        <f>'[35]TGNPDCL MoD'!AN55</f>
        <v>37.014389815494866</v>
      </c>
      <c r="J409" s="66">
        <f>'[35]TGNPDCL MoD'!AO55</f>
        <v>40.159194131919882</v>
      </c>
      <c r="K409" s="66">
        <f>'[35]TGNPDCL MoD'!AP55</f>
        <v>35.227407751242758</v>
      </c>
      <c r="L409" s="66">
        <f>'[35]TGNPDCL MoD'!AQ55</f>
        <v>43.863404781304162</v>
      </c>
      <c r="M409" s="66">
        <f>'[35]TGNPDCL MoD'!AR55</f>
        <v>43.410355530041869</v>
      </c>
      <c r="N409" s="66">
        <f>'[35]TGNPDCL MoD'!AS55</f>
        <v>39.560323957182419</v>
      </c>
      <c r="O409" s="66">
        <f>'[35]TGNPDCL MoD'!AT55</f>
        <v>39.209353381973308</v>
      </c>
      <c r="P409" s="66">
        <f>'[35]TGNPDCL MoD'!AU55</f>
        <v>48.198262389972953</v>
      </c>
      <c r="Q409" s="66">
        <f t="shared" si="174"/>
        <v>505.95087999520211</v>
      </c>
    </row>
    <row r="410" spans="3:17" x14ac:dyDescent="0.25">
      <c r="C410" s="845"/>
      <c r="D410" s="125" t="s">
        <v>451</v>
      </c>
      <c r="E410" s="66">
        <f>'[35]TGNPDCL MoD'!AJ56</f>
        <v>43.678377765392256</v>
      </c>
      <c r="F410" s="66">
        <f>'[35]TGNPDCL MoD'!AK56</f>
        <v>45.327603979937706</v>
      </c>
      <c r="G410" s="66">
        <f>'[35]TGNPDCL MoD'!AL56</f>
        <v>43.865423206391306</v>
      </c>
      <c r="H410" s="66">
        <f>'[35]TGNPDCL MoD'!AM56</f>
        <v>43.862308909125147</v>
      </c>
      <c r="I410" s="66">
        <f>'[35]TGNPDCL MoD'!AN56</f>
        <v>36.114423300717149</v>
      </c>
      <c r="J410" s="66">
        <f>'[35]TGNPDCL MoD'!AO56</f>
        <v>38.437689362407703</v>
      </c>
      <c r="K410" s="66">
        <f>'[35]TGNPDCL MoD'!AP56</f>
        <v>34.664180955133389</v>
      </c>
      <c r="L410" s="66">
        <f>'[35]TGNPDCL MoD'!AQ56</f>
        <v>43.865423206391327</v>
      </c>
      <c r="M410" s="66">
        <f>'[35]TGNPDCL MoD'!AR56</f>
        <v>42.232520316496206</v>
      </c>
      <c r="N410" s="66">
        <f>'[35]TGNPDCL MoD'!AS56</f>
        <v>38.624225926566609</v>
      </c>
      <c r="O410" s="66">
        <f>'[35]TGNPDCL MoD'!AT56</f>
        <v>39.18450194394719</v>
      </c>
      <c r="P410" s="66">
        <f>'[35]TGNPDCL MoD'!AU56</f>
        <v>48.063500388273411</v>
      </c>
      <c r="Q410" s="66">
        <f t="shared" si="174"/>
        <v>497.92017926077938</v>
      </c>
    </row>
    <row r="411" spans="3:17" x14ac:dyDescent="0.25">
      <c r="C411" s="17"/>
      <c r="D411" s="17" t="s">
        <v>380</v>
      </c>
      <c r="E411" s="66">
        <f>'[35]TGNPDCL MoD'!AJ33</f>
        <v>0.58011197353553634</v>
      </c>
      <c r="F411" s="66">
        <f>'[35]TGNPDCL MoD'!AK33</f>
        <v>0.70523416390598304</v>
      </c>
      <c r="G411" s="66">
        <f>'[35]TGNPDCL MoD'!AL33</f>
        <v>0.68248467474767804</v>
      </c>
      <c r="H411" s="66">
        <f>'[35]TGNPDCL MoD'!AM33</f>
        <v>0.51129476883182101</v>
      </c>
      <c r="I411" s="66">
        <f>'[35]TGNPDCL MoD'!AN33</f>
        <v>0.44077135244123467</v>
      </c>
      <c r="J411" s="66">
        <f>'[35]TGNPDCL MoD'!AO33</f>
        <v>0.44361503858601398</v>
      </c>
      <c r="K411" s="66">
        <f>'[35]TGNPDCL MoD'!AP33</f>
        <v>0.42314049834358797</v>
      </c>
      <c r="L411" s="66">
        <f>'[35]TGNPDCL MoD'!AQ33</f>
        <v>0.68248467474767804</v>
      </c>
      <c r="M411" s="66">
        <f>'[35]TGNPDCL MoD'!AR33</f>
        <v>0.49366391473417437</v>
      </c>
      <c r="N411" s="66">
        <f>'[35]TGNPDCL MoD'!AS33</f>
        <v>0.47603306063652784</v>
      </c>
      <c r="O411" s="66">
        <f>'[35]TGNPDCL MoD'!AT33</f>
        <v>0.55736248437727842</v>
      </c>
      <c r="P411" s="66">
        <f>'[35]TGNPDCL MoD'!AU33</f>
        <v>0.65234160161299415</v>
      </c>
      <c r="Q411" s="66">
        <f t="shared" si="174"/>
        <v>6.6485382065005076</v>
      </c>
    </row>
    <row r="412" spans="3:17" x14ac:dyDescent="0.25">
      <c r="C412" s="17"/>
      <c r="D412" s="17" t="s">
        <v>381</v>
      </c>
      <c r="E412" s="66">
        <f>'[35]TGNPDCL MoD'!AJ34</f>
        <v>0.46770800785769018</v>
      </c>
      <c r="F412" s="66">
        <f>'[35]TGNPDCL MoD'!AK34</f>
        <v>0.47350168813520666</v>
      </c>
      <c r="G412" s="66">
        <f>'[35]TGNPDCL MoD'!AL34</f>
        <v>0.46770800785769018</v>
      </c>
      <c r="H412" s="66">
        <f>'[35]TGNPDCL MoD'!AM34</f>
        <v>0.50289144808842645</v>
      </c>
      <c r="I412" s="66">
        <f>'[35]TGNPDCL MoD'!AN34</f>
        <v>0.42451875487984053</v>
      </c>
      <c r="J412" s="66">
        <f>'[35]TGNPDCL MoD'!AO34</f>
        <v>0.47718857558453526</v>
      </c>
      <c r="K412" s="66">
        <f>'[35]TGNPDCL MoD'!AP34</f>
        <v>0.43431534153091372</v>
      </c>
      <c r="L412" s="66">
        <f>'[35]TGNPDCL MoD'!AQ34</f>
        <v>0.46770800785769018</v>
      </c>
      <c r="M412" s="66">
        <f>'[35]TGNPDCL MoD'!AR34</f>
        <v>0.47350168813520666</v>
      </c>
      <c r="N412" s="66">
        <f>'[35]TGNPDCL MoD'!AS34</f>
        <v>0.48329827478627985</v>
      </c>
      <c r="O412" s="66">
        <f>'[35]TGNPDCL MoD'!AT34</f>
        <v>0.45422453375728838</v>
      </c>
      <c r="P412" s="66">
        <f>'[35]TGNPDCL MoD'!AU34</f>
        <v>0.52248462139057283</v>
      </c>
      <c r="Q412" s="66">
        <f t="shared" si="174"/>
        <v>5.6490489498613394</v>
      </c>
    </row>
    <row r="413" spans="3:17" x14ac:dyDescent="0.25">
      <c r="C413" s="17"/>
      <c r="D413" s="17" t="s">
        <v>382</v>
      </c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17">
        <f t="shared" si="174"/>
        <v>0</v>
      </c>
    </row>
    <row r="414" spans="3:17" x14ac:dyDescent="0.25">
      <c r="C414" s="17"/>
      <c r="D414" s="17" t="s">
        <v>383</v>
      </c>
      <c r="E414" s="66">
        <f>'[35]TGNPDCL MoD'!AJ52</f>
        <v>3.2886847124775294</v>
      </c>
      <c r="F414" s="66">
        <f>'[35]TGNPDCL MoD'!AK52</f>
        <v>3.3983075362267798</v>
      </c>
      <c r="G414" s="66">
        <f>'[35]TGNPDCL MoD'!AL52</f>
        <v>3.2886847124775294</v>
      </c>
      <c r="H414" s="66">
        <f>'[35]TGNPDCL MoD'!AM52</f>
        <v>3.6738459851100322</v>
      </c>
      <c r="I414" s="66">
        <f>'[35]TGNPDCL MoD'!AN52</f>
        <v>3.0538844751227145</v>
      </c>
      <c r="J414" s="66">
        <f>'[35]TGNPDCL MoD'!AO52</f>
        <v>3.5553348243000307</v>
      </c>
      <c r="K414" s="66">
        <f>'[35]TGNPDCL MoD'!AP52</f>
        <v>3.1916536995643403</v>
      </c>
      <c r="L414" s="66">
        <f>'[35]TGNPDCL MoD'!AQ52</f>
        <v>3.2886847124775294</v>
      </c>
      <c r="M414" s="66">
        <f>'[35]TGNPDCL MoD'!AR52</f>
        <v>3.3983075362267798</v>
      </c>
      <c r="N414" s="66">
        <f>'[35]TGNPDCL MoD'!AS52</f>
        <v>3.3983075362267798</v>
      </c>
      <c r="O414" s="66">
        <f>'[35]TGNPDCL MoD'!AT52</f>
        <v>3.3183125026800284</v>
      </c>
      <c r="P414" s="66">
        <f>'[35]TGNPDCL MoD'!AU52</f>
        <v>3.6738459851100322</v>
      </c>
      <c r="Q414" s="17">
        <f t="shared" si="174"/>
        <v>40.527854218000108</v>
      </c>
    </row>
    <row r="415" spans="3:17" x14ac:dyDescent="0.25">
      <c r="C415" s="17"/>
      <c r="D415" s="17" t="s">
        <v>384</v>
      </c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>
        <f t="shared" si="174"/>
        <v>0</v>
      </c>
    </row>
    <row r="416" spans="3:17" x14ac:dyDescent="0.25">
      <c r="C416" s="17"/>
      <c r="D416" s="17" t="s">
        <v>385</v>
      </c>
      <c r="E416" s="66">
        <f>'[35]TGNPDCL MoD'!AJ46</f>
        <v>6.5310088152071923</v>
      </c>
      <c r="F416" s="66">
        <f>'[35]TGNPDCL MoD'!AK46</f>
        <v>8.0984509308569237</v>
      </c>
      <c r="G416" s="66">
        <f>'[35]TGNPDCL MoD'!AL46</f>
        <v>7.8372105782486345</v>
      </c>
      <c r="H416" s="66">
        <f>'[35]TGNPDCL MoD'!AM46</f>
        <v>6.1702483282719358</v>
      </c>
      <c r="I416" s="66">
        <f>'[35]TGNPDCL MoD'!AN46</f>
        <v>4.8205065064624462</v>
      </c>
      <c r="J416" s="66">
        <f>'[35]TGNPDCL MoD'!AO46</f>
        <v>5.4114073040288151</v>
      </c>
      <c r="K416" s="66">
        <f>'[35]TGNPDCL MoD'!AP46</f>
        <v>4.858196094260431</v>
      </c>
      <c r="L416" s="66">
        <f>'[35]TGNPDCL MoD'!AQ46</f>
        <v>7.6506103263855696</v>
      </c>
      <c r="M416" s="66">
        <f>'[35]TGNPDCL MoD'!AR46</f>
        <v>6.3630685885304334</v>
      </c>
      <c r="N416" s="66">
        <f>'[35]TGNPDCL MoD'!AS46</f>
        <v>6.3630685885304334</v>
      </c>
      <c r="O416" s="66">
        <f>'[35]TGNPDCL MoD'!AT46</f>
        <v>6.2697684625989076</v>
      </c>
      <c r="P416" s="66">
        <f>'[35]TGNPDCL MoD'!AU46</f>
        <v>7.7128104103399222</v>
      </c>
      <c r="Q416" s="66">
        <f t="shared" si="174"/>
        <v>78.086354933721637</v>
      </c>
    </row>
    <row r="417" spans="3:17" x14ac:dyDescent="0.25">
      <c r="C417" s="17"/>
      <c r="D417" s="17" t="s">
        <v>386</v>
      </c>
      <c r="E417" s="66">
        <f>'[35]TGNPDCL MoD'!AJ47</f>
        <v>9.3682610772104002</v>
      </c>
      <c r="F417" s="66">
        <f>'[35]TGNPDCL MoD'!AK47</f>
        <v>0</v>
      </c>
      <c r="G417" s="66">
        <f>'[35]TGNPDCL MoD'!AL47</f>
        <v>4.7852268811650243</v>
      </c>
      <c r="H417" s="66">
        <f>'[35]TGNPDCL MoD'!AM47</f>
        <v>9.2345651452106132</v>
      </c>
      <c r="I417" s="66">
        <f>'[35]TGNPDCL MoD'!AN47</f>
        <v>7.591212033547718</v>
      </c>
      <c r="J417" s="66">
        <f>'[35]TGNPDCL MoD'!AO47</f>
        <v>7.9529122813728659</v>
      </c>
      <c r="K417" s="66">
        <f>'[35]TGNPDCL MoD'!AP47</f>
        <v>7.3822795922574143</v>
      </c>
      <c r="L417" s="66">
        <f>'[35]TGNPDCL MoD'!AQ47</f>
        <v>9.5704537623300769</v>
      </c>
      <c r="M417" s="66">
        <f>'[35]TGNPDCL MoD'!AR47</f>
        <v>8.6851759580917793</v>
      </c>
      <c r="N417" s="66">
        <f>'[35]TGNPDCL MoD'!AS47</f>
        <v>8.4269417987089277</v>
      </c>
      <c r="O417" s="66">
        <f>'[35]TGNPDCL MoD'!AT47</f>
        <v>8.2361966872408718</v>
      </c>
      <c r="P417" s="66">
        <f>'[35]TGNPDCL MoD'!AU47</f>
        <v>10.307333770321655</v>
      </c>
      <c r="Q417" s="66">
        <f t="shared" si="174"/>
        <v>91.540558987457359</v>
      </c>
    </row>
    <row r="418" spans="3:17" x14ac:dyDescent="0.25">
      <c r="C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>
        <f t="shared" si="174"/>
        <v>0</v>
      </c>
    </row>
    <row r="419" spans="3:17" x14ac:dyDescent="0.25"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>
        <f t="shared" si="174"/>
        <v>0</v>
      </c>
    </row>
    <row r="420" spans="3:17" x14ac:dyDescent="0.25"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>
        <f t="shared" si="174"/>
        <v>0</v>
      </c>
    </row>
    <row r="421" spans="3:17" x14ac:dyDescent="0.25"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>
        <f t="shared" si="174"/>
        <v>0</v>
      </c>
    </row>
    <row r="422" spans="3:17" x14ac:dyDescent="0.25"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>
        <f t="shared" si="174"/>
        <v>0</v>
      </c>
    </row>
    <row r="423" spans="3:17" x14ac:dyDescent="0.25"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>
        <f t="shared" si="174"/>
        <v>0</v>
      </c>
    </row>
    <row r="424" spans="3:17" x14ac:dyDescent="0.25"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>
        <f t="shared" si="174"/>
        <v>0</v>
      </c>
    </row>
    <row r="425" spans="3:17" x14ac:dyDescent="0.25"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>
        <f t="shared" si="174"/>
        <v>0</v>
      </c>
    </row>
    <row r="426" spans="3:17" x14ac:dyDescent="0.25"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>
        <f t="shared" si="174"/>
        <v>0</v>
      </c>
    </row>
    <row r="427" spans="3:17" x14ac:dyDescent="0.25"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>
        <f t="shared" si="174"/>
        <v>0</v>
      </c>
    </row>
    <row r="428" spans="3:17" x14ac:dyDescent="0.25">
      <c r="C428" s="751" t="s">
        <v>212</v>
      </c>
      <c r="D428" s="752"/>
      <c r="E428" s="291">
        <f t="shared" ref="E428:P428" si="175">SUM(E401:E427)</f>
        <v>230.28839918370272</v>
      </c>
      <c r="F428" s="291">
        <f t="shared" si="175"/>
        <v>252.04120956925766</v>
      </c>
      <c r="G428" s="291">
        <f t="shared" si="175"/>
        <v>222.63198772876279</v>
      </c>
      <c r="H428" s="291">
        <f t="shared" si="175"/>
        <v>211.78642934507252</v>
      </c>
      <c r="I428" s="291">
        <f t="shared" si="175"/>
        <v>184.04850409858196</v>
      </c>
      <c r="J428" s="291">
        <f t="shared" si="175"/>
        <v>200.67449155614233</v>
      </c>
      <c r="K428" s="291">
        <f t="shared" si="175"/>
        <v>182.2972653990854</v>
      </c>
      <c r="L428" s="291">
        <f t="shared" si="175"/>
        <v>203.88259555975105</v>
      </c>
      <c r="M428" s="291">
        <f t="shared" si="175"/>
        <v>196.53756975130352</v>
      </c>
      <c r="N428" s="291">
        <f t="shared" si="175"/>
        <v>210.65886381522247</v>
      </c>
      <c r="O428" s="291">
        <f t="shared" si="175"/>
        <v>215.35510703800054</v>
      </c>
      <c r="P428" s="291">
        <f t="shared" si="175"/>
        <v>263.38300680665645</v>
      </c>
      <c r="Q428" s="323">
        <f t="shared" si="174"/>
        <v>2573.5854298515392</v>
      </c>
    </row>
    <row r="429" spans="3:17" x14ac:dyDescent="0.25">
      <c r="C429" s="753" t="s">
        <v>387</v>
      </c>
      <c r="D429" s="754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</row>
    <row r="430" spans="3:17" x14ac:dyDescent="0.25">
      <c r="C430" s="805" t="s">
        <v>388</v>
      </c>
      <c r="D430" s="125" t="s">
        <v>389</v>
      </c>
      <c r="E430" s="66">
        <f>'[35]TGNPDCL MoD'!AJ32</f>
        <v>1.2048453543712676</v>
      </c>
      <c r="F430" s="66">
        <f>'[35]TGNPDCL MoD'!AK32</f>
        <v>1.2450068661836435</v>
      </c>
      <c r="G430" s="66">
        <f>'[35]TGNPDCL MoD'!AL32</f>
        <v>1.2048453543712676</v>
      </c>
      <c r="H430" s="66">
        <f>'[35]TGNPDCL MoD'!AM32</f>
        <v>1.2450068661836435</v>
      </c>
      <c r="I430" s="66">
        <f>'[35]TGNPDCL MoD'!AN32</f>
        <v>1.2450068661836435</v>
      </c>
      <c r="J430" s="66">
        <f>'[35]TGNPDCL MoD'!AO32</f>
        <v>1.2048453543712676</v>
      </c>
      <c r="K430" s="66">
        <f>'[35]TGNPDCL MoD'!AP32</f>
        <v>1.2450068661836435</v>
      </c>
      <c r="L430" s="66">
        <f>'[35]TGNPDCL MoD'!AQ32</f>
        <v>1.2048453543712676</v>
      </c>
      <c r="M430" s="66">
        <f>'[35]TGNPDCL MoD'!AR32</f>
        <v>1.2450068661836435</v>
      </c>
      <c r="N430" s="66">
        <f>'[35]TGNPDCL MoD'!AS32</f>
        <v>1.2450068661836435</v>
      </c>
      <c r="O430" s="66">
        <f>'[35]TGNPDCL MoD'!AT32</f>
        <v>1.1245223307465162</v>
      </c>
      <c r="P430" s="66">
        <f>'[35]TGNPDCL MoD'!AU32</f>
        <v>1.2450068661836435</v>
      </c>
      <c r="Q430" s="66">
        <f t="shared" ref="Q430:Q444" si="176">SUM(E430:P430)</f>
        <v>14.658951811517092</v>
      </c>
    </row>
    <row r="431" spans="3:17" x14ac:dyDescent="0.25">
      <c r="C431" s="806"/>
      <c r="D431" s="125" t="s">
        <v>390</v>
      </c>
      <c r="E431" s="66">
        <f>'[35]TGNPDCL MoD'!AJ37+'[35]TGNPDCL MoD'!AJ36</f>
        <v>5.1629135032843383</v>
      </c>
      <c r="F431" s="66">
        <f>'[35]TGNPDCL MoD'!AK37+'[35]TGNPDCL MoD'!AK36</f>
        <v>5.3350106200604817</v>
      </c>
      <c r="G431" s="66">
        <f>'[35]TGNPDCL MoD'!AL37+'[35]TGNPDCL MoD'!AL36</f>
        <v>5.1629135032843383</v>
      </c>
      <c r="H431" s="66">
        <f>'[35]TGNPDCL MoD'!AM37+'[35]TGNPDCL MoD'!AM36</f>
        <v>5.3350106200604817</v>
      </c>
      <c r="I431" s="66">
        <f>'[35]TGNPDCL MoD'!AN37+'[35]TGNPDCL MoD'!AN36</f>
        <v>5.3350106200604817</v>
      </c>
      <c r="J431" s="66">
        <f>'[35]TGNPDCL MoD'!AO37+'[35]TGNPDCL MoD'!AO36</f>
        <v>5.1629135032843383</v>
      </c>
      <c r="K431" s="66">
        <f>'[35]TGNPDCL MoD'!AP37+'[35]TGNPDCL MoD'!AP36</f>
        <v>5.3350106200604817</v>
      </c>
      <c r="L431" s="66">
        <f>'[35]TGNPDCL MoD'!AQ37+'[35]TGNPDCL MoD'!AQ36</f>
        <v>5.1629135032843383</v>
      </c>
      <c r="M431" s="66">
        <f>'[35]TGNPDCL MoD'!AR37+'[35]TGNPDCL MoD'!AR36</f>
        <v>5.3350106200604817</v>
      </c>
      <c r="N431" s="66">
        <f>'[35]TGNPDCL MoD'!AS37+'[35]TGNPDCL MoD'!AS36</f>
        <v>5.3350106200604817</v>
      </c>
      <c r="O431" s="66">
        <f>'[35]TGNPDCL MoD'!AT37+'[35]TGNPDCL MoD'!AT36</f>
        <v>4.8187192697320471</v>
      </c>
      <c r="P431" s="66">
        <f>'[35]TGNPDCL MoD'!AU37+'[35]TGNPDCL MoD'!AU36</f>
        <v>5.3350106200604817</v>
      </c>
      <c r="Q431" s="66">
        <f t="shared" si="176"/>
        <v>62.815447623292762</v>
      </c>
    </row>
    <row r="432" spans="3:17" x14ac:dyDescent="0.25">
      <c r="C432" s="806"/>
      <c r="D432" s="125" t="s">
        <v>391</v>
      </c>
      <c r="E432" s="66">
        <f>'[35]TGNPDCL MoD'!AJ38+'[35]TGNPDCL MoD'!AJ39</f>
        <v>5.1629135032843383</v>
      </c>
      <c r="F432" s="66">
        <f>'[35]TGNPDCL MoD'!AK38+'[35]TGNPDCL MoD'!AK39</f>
        <v>5.3350106200604817</v>
      </c>
      <c r="G432" s="66">
        <f>'[35]TGNPDCL MoD'!AL38+'[35]TGNPDCL MoD'!AL39</f>
        <v>5.1629135032843383</v>
      </c>
      <c r="H432" s="66">
        <f>'[35]TGNPDCL MoD'!AM38+'[35]TGNPDCL MoD'!AM39</f>
        <v>5.3350106200604817</v>
      </c>
      <c r="I432" s="66">
        <f>'[35]TGNPDCL MoD'!AN38+'[35]TGNPDCL MoD'!AN39</f>
        <v>5.3350106200604817</v>
      </c>
      <c r="J432" s="66">
        <f>'[35]TGNPDCL MoD'!AO38+'[35]TGNPDCL MoD'!AO39</f>
        <v>5.1629135032843383</v>
      </c>
      <c r="K432" s="66">
        <f>'[35]TGNPDCL MoD'!AP38+'[35]TGNPDCL MoD'!AP39</f>
        <v>5.3350106200604817</v>
      </c>
      <c r="L432" s="66">
        <f>'[35]TGNPDCL MoD'!AQ38+'[35]TGNPDCL MoD'!AQ39</f>
        <v>5.1629135032843383</v>
      </c>
      <c r="M432" s="66">
        <f>'[35]TGNPDCL MoD'!AR38+'[35]TGNPDCL MoD'!AR39</f>
        <v>5.3350106200604817</v>
      </c>
      <c r="N432" s="66">
        <f>'[35]TGNPDCL MoD'!AS38+'[35]TGNPDCL MoD'!AS39</f>
        <v>5.3350106200604817</v>
      </c>
      <c r="O432" s="66">
        <f>'[35]TGNPDCL MoD'!AT38+'[35]TGNPDCL MoD'!AT39</f>
        <v>4.8187192697320471</v>
      </c>
      <c r="P432" s="66">
        <f>'[35]TGNPDCL MoD'!AU38+'[35]TGNPDCL MoD'!AU39</f>
        <v>5.3350106200604817</v>
      </c>
      <c r="Q432" s="66">
        <f t="shared" si="176"/>
        <v>62.815447623292762</v>
      </c>
    </row>
    <row r="433" spans="3:21" x14ac:dyDescent="0.25">
      <c r="C433" s="807"/>
      <c r="D433" s="125" t="s">
        <v>392</v>
      </c>
      <c r="E433" s="66">
        <f>'[35]TGNPDCL MoD'!AJ48</f>
        <v>4.8408449546670775</v>
      </c>
      <c r="F433" s="66">
        <f>'[35]TGNPDCL MoD'!AK48</f>
        <v>5.0022064531559804</v>
      </c>
      <c r="G433" s="66">
        <f>'[35]TGNPDCL MoD'!AL48</f>
        <v>4.8408449546670775</v>
      </c>
      <c r="H433" s="66">
        <f>'[35]TGNPDCL MoD'!AM48</f>
        <v>5.0022064531559804</v>
      </c>
      <c r="I433" s="66">
        <f>'[35]TGNPDCL MoD'!AN48</f>
        <v>5.0022064531559804</v>
      </c>
      <c r="J433" s="66">
        <f>'[35]TGNPDCL MoD'!AO48</f>
        <v>4.8408449546670775</v>
      </c>
      <c r="K433" s="66">
        <f>'[35]TGNPDCL MoD'!AP48</f>
        <v>5.0022064531559804</v>
      </c>
      <c r="L433" s="66">
        <f>'[35]TGNPDCL MoD'!AQ48</f>
        <v>4.8408449546670775</v>
      </c>
      <c r="M433" s="66">
        <f>'[35]TGNPDCL MoD'!AR48</f>
        <v>5.0022064531559804</v>
      </c>
      <c r="N433" s="66">
        <f>'[35]TGNPDCL MoD'!AS48</f>
        <v>5.0022064531559804</v>
      </c>
      <c r="O433" s="66">
        <f>'[35]TGNPDCL MoD'!AT48</f>
        <v>4.5181219576892717</v>
      </c>
      <c r="P433" s="66">
        <f>'[35]TGNPDCL MoD'!AU48</f>
        <v>5.0022064531559804</v>
      </c>
      <c r="Q433" s="66">
        <f t="shared" si="176"/>
        <v>58.89694694844944</v>
      </c>
    </row>
    <row r="434" spans="3:21" x14ac:dyDescent="0.25">
      <c r="C434" s="17"/>
      <c r="D434" s="17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>
        <f t="shared" si="176"/>
        <v>0</v>
      </c>
    </row>
    <row r="435" spans="3:21" x14ac:dyDescent="0.25">
      <c r="C435" s="17"/>
      <c r="D435" s="17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>
        <f t="shared" si="176"/>
        <v>0</v>
      </c>
    </row>
    <row r="436" spans="3:21" x14ac:dyDescent="0.25">
      <c r="C436" s="17"/>
      <c r="D436" s="17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>
        <f t="shared" si="176"/>
        <v>0</v>
      </c>
    </row>
    <row r="437" spans="3:21" x14ac:dyDescent="0.25">
      <c r="C437" s="17"/>
      <c r="D437" s="17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>
        <f t="shared" si="176"/>
        <v>0</v>
      </c>
    </row>
    <row r="438" spans="3:21" x14ac:dyDescent="0.25">
      <c r="C438" s="17"/>
      <c r="D438" s="17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>
        <f t="shared" si="176"/>
        <v>0</v>
      </c>
    </row>
    <row r="439" spans="3:21" x14ac:dyDescent="0.25">
      <c r="C439" s="17"/>
      <c r="D439" s="17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>
        <f t="shared" si="176"/>
        <v>0</v>
      </c>
    </row>
    <row r="440" spans="3:21" x14ac:dyDescent="0.25">
      <c r="C440" s="17"/>
      <c r="D440" s="17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>
        <f t="shared" si="176"/>
        <v>0</v>
      </c>
    </row>
    <row r="441" spans="3:21" x14ac:dyDescent="0.25">
      <c r="C441" s="17"/>
      <c r="D441" s="17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>
        <f t="shared" si="176"/>
        <v>0</v>
      </c>
      <c r="U441" s="4">
        <f>(5408/3439)</f>
        <v>1.5725501599302123</v>
      </c>
    </row>
    <row r="442" spans="3:21" x14ac:dyDescent="0.25">
      <c r="C442" s="17"/>
      <c r="D442" s="17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>
        <f t="shared" si="176"/>
        <v>0</v>
      </c>
      <c r="U442" s="4">
        <f>U441^(1/5)</f>
        <v>1.0947649924397851</v>
      </c>
    </row>
    <row r="443" spans="3:21" x14ac:dyDescent="0.25">
      <c r="C443" s="17"/>
      <c r="D443" s="17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>
        <f t="shared" si="176"/>
        <v>0</v>
      </c>
      <c r="U443" s="156">
        <f>U442-1</f>
        <v>9.476499243978509E-2</v>
      </c>
    </row>
    <row r="444" spans="3:21" x14ac:dyDescent="0.25">
      <c r="C444" s="751" t="s">
        <v>212</v>
      </c>
      <c r="D444" s="752"/>
      <c r="E444" s="66">
        <f t="shared" ref="E444:P444" si="177">SUM(E430:E443)</f>
        <v>16.371517315607022</v>
      </c>
      <c r="F444" s="66">
        <f t="shared" si="177"/>
        <v>16.917234559460589</v>
      </c>
      <c r="G444" s="66">
        <f t="shared" si="177"/>
        <v>16.371517315607022</v>
      </c>
      <c r="H444" s="66">
        <f t="shared" si="177"/>
        <v>16.917234559460589</v>
      </c>
      <c r="I444" s="66">
        <f t="shared" si="177"/>
        <v>16.917234559460589</v>
      </c>
      <c r="J444" s="66">
        <f t="shared" si="177"/>
        <v>16.371517315607022</v>
      </c>
      <c r="K444" s="66">
        <f t="shared" si="177"/>
        <v>16.917234559460589</v>
      </c>
      <c r="L444" s="66">
        <f t="shared" si="177"/>
        <v>16.371517315607022</v>
      </c>
      <c r="M444" s="66">
        <f t="shared" si="177"/>
        <v>16.917234559460589</v>
      </c>
      <c r="N444" s="66">
        <f t="shared" si="177"/>
        <v>16.917234559460589</v>
      </c>
      <c r="O444" s="66">
        <f t="shared" si="177"/>
        <v>15.280082827899882</v>
      </c>
      <c r="P444" s="66">
        <f t="shared" si="177"/>
        <v>16.917234559460589</v>
      </c>
      <c r="Q444" s="86">
        <f t="shared" si="176"/>
        <v>199.18679400655211</v>
      </c>
      <c r="R444" s="427"/>
    </row>
    <row r="445" spans="3:21" x14ac:dyDescent="0.25">
      <c r="C445" s="753" t="s">
        <v>394</v>
      </c>
      <c r="D445" s="754"/>
      <c r="E445" s="66">
        <f t="shared" ref="E445:Q445" si="178">E428+E444</f>
        <v>246.65991649930976</v>
      </c>
      <c r="F445" s="66">
        <f t="shared" si="178"/>
        <v>268.95844412871827</v>
      </c>
      <c r="G445" s="66">
        <f t="shared" si="178"/>
        <v>239.00350504436983</v>
      </c>
      <c r="H445" s="66">
        <f t="shared" si="178"/>
        <v>228.7036639045331</v>
      </c>
      <c r="I445" s="66">
        <f t="shared" si="178"/>
        <v>200.96573865804254</v>
      </c>
      <c r="J445" s="66">
        <f t="shared" si="178"/>
        <v>217.04600887174934</v>
      </c>
      <c r="K445" s="66">
        <f t="shared" si="178"/>
        <v>199.21449995854599</v>
      </c>
      <c r="L445" s="66">
        <f t="shared" si="178"/>
        <v>220.25411287535809</v>
      </c>
      <c r="M445" s="66">
        <f t="shared" si="178"/>
        <v>213.4548043107641</v>
      </c>
      <c r="N445" s="66">
        <f t="shared" si="178"/>
        <v>227.57609837468306</v>
      </c>
      <c r="O445" s="66">
        <f t="shared" si="178"/>
        <v>230.63518986590043</v>
      </c>
      <c r="P445" s="66">
        <f t="shared" si="178"/>
        <v>280.30024136611706</v>
      </c>
      <c r="Q445" s="86">
        <f t="shared" si="178"/>
        <v>2772.7722238580914</v>
      </c>
      <c r="R445" s="427"/>
    </row>
    <row r="446" spans="3:21" x14ac:dyDescent="0.25">
      <c r="C446" s="800" t="s">
        <v>395</v>
      </c>
      <c r="D446" s="801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</row>
    <row r="447" spans="3:21" x14ac:dyDescent="0.25">
      <c r="C447" s="17" t="s">
        <v>396</v>
      </c>
      <c r="D447" s="17" t="s">
        <v>396</v>
      </c>
      <c r="E447" s="66">
        <f>'[35]TGNPDCL MoD'!AJ23</f>
        <v>14.075008064880169</v>
      </c>
      <c r="F447" s="66">
        <f>'[35]TGNPDCL MoD'!AK23</f>
        <v>14.544175000376161</v>
      </c>
      <c r="G447" s="66">
        <f>'[35]TGNPDCL MoD'!AL23</f>
        <v>14.075008064880157</v>
      </c>
      <c r="H447" s="66">
        <f>'[35]TGNPDCL MoD'!AM23</f>
        <v>15.723432432839095</v>
      </c>
      <c r="I447" s="66">
        <f>'[35]TGNPDCL MoD'!AN23</f>
        <v>13.070103209797505</v>
      </c>
      <c r="J447" s="66">
        <f>'[35]TGNPDCL MoD'!AO23</f>
        <v>15.216224935005588</v>
      </c>
      <c r="K447" s="66">
        <f>'[35]TGNPDCL MoD'!AP23</f>
        <v>13.659731926028973</v>
      </c>
      <c r="L447" s="66">
        <f>'[35]TGNPDCL MoD'!AQ23</f>
        <v>14.075008064880157</v>
      </c>
      <c r="M447" s="66">
        <f>'[35]TGNPDCL MoD'!AR23</f>
        <v>14.544175000376161</v>
      </c>
      <c r="N447" s="66">
        <f>'[35]TGNPDCL MoD'!AS23</f>
        <v>14.544175000376161</v>
      </c>
      <c r="O447" s="66">
        <f>'[35]TGNPDCL MoD'!AT23</f>
        <v>14.201809939338549</v>
      </c>
      <c r="P447" s="66">
        <f>'[35]TGNPDCL MoD'!AU23</f>
        <v>15.723432432839108</v>
      </c>
      <c r="Q447" s="66">
        <f>SUM(E447:P447)</f>
        <v>173.45228407161775</v>
      </c>
    </row>
    <row r="448" spans="3:21" x14ac:dyDescent="0.25">
      <c r="C448" s="17" t="s">
        <v>397</v>
      </c>
      <c r="D448" s="17" t="s">
        <v>397</v>
      </c>
      <c r="E448" s="66">
        <f>'[35]TGNPDCL MoD'!AJ24</f>
        <v>0</v>
      </c>
      <c r="F448" s="66">
        <f>'[35]TGNPDCL MoD'!AK24</f>
        <v>0</v>
      </c>
      <c r="G448" s="66">
        <f>'[35]TGNPDCL MoD'!AL24</f>
        <v>0</v>
      </c>
      <c r="H448" s="66">
        <f>'[35]TGNPDCL MoD'!AM24</f>
        <v>0</v>
      </c>
      <c r="I448" s="66">
        <f>'[35]TGNPDCL MoD'!AN24</f>
        <v>0</v>
      </c>
      <c r="J448" s="66">
        <f>'[35]TGNPDCL MoD'!AO24</f>
        <v>0</v>
      </c>
      <c r="K448" s="66">
        <f>'[35]TGNPDCL MoD'!AP24</f>
        <v>0</v>
      </c>
      <c r="L448" s="66">
        <f>'[35]TGNPDCL MoD'!AQ24</f>
        <v>0</v>
      </c>
      <c r="M448" s="66">
        <f>'[35]TGNPDCL MoD'!AR24</f>
        <v>0</v>
      </c>
      <c r="N448" s="66">
        <f>'[35]TGNPDCL MoD'!AS24</f>
        <v>0</v>
      </c>
      <c r="O448" s="66">
        <f>'[35]TGNPDCL MoD'!AT24</f>
        <v>0</v>
      </c>
      <c r="P448" s="66">
        <f>'[35]TGNPDCL MoD'!AU24</f>
        <v>0</v>
      </c>
      <c r="Q448" s="66">
        <f>SUM(E448:P448)</f>
        <v>0</v>
      </c>
    </row>
    <row r="449" spans="3:18" x14ac:dyDescent="0.25">
      <c r="C449" s="17"/>
      <c r="D449" s="17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</row>
    <row r="450" spans="3:18" x14ac:dyDescent="0.25">
      <c r="C450" s="17"/>
      <c r="D450" s="17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</row>
    <row r="451" spans="3:18" x14ac:dyDescent="0.25">
      <c r="C451" s="17"/>
      <c r="D451" s="17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</row>
    <row r="452" spans="3:18" x14ac:dyDescent="0.25">
      <c r="C452" s="17"/>
      <c r="D452" s="17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</row>
    <row r="453" spans="3:18" x14ac:dyDescent="0.25">
      <c r="C453" s="17"/>
      <c r="D453" s="17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</row>
    <row r="454" spans="3:18" x14ac:dyDescent="0.25">
      <c r="C454" s="753" t="s">
        <v>398</v>
      </c>
      <c r="D454" s="754"/>
      <c r="E454" s="66">
        <f t="shared" ref="E454:P454" si="179">SUM(E447:E453)</f>
        <v>14.075008064880169</v>
      </c>
      <c r="F454" s="66">
        <f t="shared" si="179"/>
        <v>14.544175000376161</v>
      </c>
      <c r="G454" s="66">
        <f t="shared" si="179"/>
        <v>14.075008064880157</v>
      </c>
      <c r="H454" s="66">
        <f t="shared" si="179"/>
        <v>15.723432432839095</v>
      </c>
      <c r="I454" s="66">
        <f t="shared" si="179"/>
        <v>13.070103209797505</v>
      </c>
      <c r="J454" s="66">
        <f t="shared" si="179"/>
        <v>15.216224935005588</v>
      </c>
      <c r="K454" s="66">
        <f t="shared" si="179"/>
        <v>13.659731926028973</v>
      </c>
      <c r="L454" s="66">
        <f t="shared" si="179"/>
        <v>14.075008064880157</v>
      </c>
      <c r="M454" s="66">
        <f t="shared" si="179"/>
        <v>14.544175000376161</v>
      </c>
      <c r="N454" s="66">
        <f t="shared" si="179"/>
        <v>14.544175000376161</v>
      </c>
      <c r="O454" s="66">
        <f t="shared" si="179"/>
        <v>14.201809939338549</v>
      </c>
      <c r="P454" s="66">
        <f t="shared" si="179"/>
        <v>15.723432432839108</v>
      </c>
      <c r="Q454" s="86">
        <f>SUM(E454:P454)</f>
        <v>173.45228407161775</v>
      </c>
      <c r="R454" s="427"/>
    </row>
    <row r="455" spans="3:18" x14ac:dyDescent="0.25">
      <c r="C455" s="800" t="s">
        <v>399</v>
      </c>
      <c r="D455" s="801"/>
    </row>
    <row r="456" spans="3:18" x14ac:dyDescent="0.25">
      <c r="C456" s="17" t="s">
        <v>400</v>
      </c>
      <c r="D456" s="17" t="s">
        <v>400</v>
      </c>
      <c r="E456" s="66">
        <f>SUM('[35]TGNPDCL MoD'!AJ20:AJ22)</f>
        <v>124.70114839701779</v>
      </c>
      <c r="F456" s="66">
        <f>SUM('[35]TGNPDCL MoD'!AK20:AK22)</f>
        <v>39.153800082929479</v>
      </c>
      <c r="G456" s="66">
        <f>SUM('[35]TGNPDCL MoD'!AL20:AL22)</f>
        <v>44.567487895413059</v>
      </c>
      <c r="H456" s="66">
        <f>SUM('[35]TGNPDCL MoD'!AM20:AM22)</f>
        <v>113.19523361370346</v>
      </c>
      <c r="I456" s="66">
        <f>SUM('[35]TGNPDCL MoD'!AN20:AN22)</f>
        <v>108.71915941296005</v>
      </c>
      <c r="J456" s="66">
        <f>SUM('[35]TGNPDCL MoD'!AO20:AO22)</f>
        <v>122.21562700646261</v>
      </c>
      <c r="K456" s="66">
        <f>SUM('[35]TGNPDCL MoD'!AP20:AP22)</f>
        <v>104.60327527694852</v>
      </c>
      <c r="L456" s="66">
        <f>SUM('[35]TGNPDCL MoD'!AQ20:AQ22)</f>
        <v>126.30355550984997</v>
      </c>
      <c r="M456" s="66">
        <f>SUM('[35]TGNPDCL MoD'!AR20:AR22)</f>
        <v>129.08458953860156</v>
      </c>
      <c r="N456" s="66">
        <f>SUM('[35]TGNPDCL MoD'!AS20:AS22)</f>
        <v>118.98669246587657</v>
      </c>
      <c r="O456" s="66">
        <f>SUM('[35]TGNPDCL MoD'!AT20:AT22)</f>
        <v>116.46584637896841</v>
      </c>
      <c r="P456" s="66">
        <f>SUM('[35]TGNPDCL MoD'!AU20:AU22)</f>
        <v>144.59582289232654</v>
      </c>
      <c r="Q456" s="66">
        <f>SUM(E456:P456)</f>
        <v>1292.592238471058</v>
      </c>
    </row>
    <row r="457" spans="3:18" x14ac:dyDescent="0.25">
      <c r="C457" s="17" t="s">
        <v>401</v>
      </c>
      <c r="D457" s="17" t="s">
        <v>401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</row>
    <row r="458" spans="3:18" x14ac:dyDescent="0.25">
      <c r="C458" s="17" t="s">
        <v>402</v>
      </c>
      <c r="D458" s="17" t="s">
        <v>402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</row>
    <row r="459" spans="3:18" x14ac:dyDescent="0.25"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>
        <f t="shared" ref="Q459:Q464" si="180">SUM(E459:P459)</f>
        <v>0</v>
      </c>
    </row>
    <row r="460" spans="3:18" x14ac:dyDescent="0.25"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>
        <f t="shared" si="180"/>
        <v>0</v>
      </c>
    </row>
    <row r="461" spans="3:18" x14ac:dyDescent="0.25"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>
        <f t="shared" si="180"/>
        <v>0</v>
      </c>
    </row>
    <row r="462" spans="3:18" x14ac:dyDescent="0.25"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>
        <f t="shared" si="180"/>
        <v>0</v>
      </c>
    </row>
    <row r="463" spans="3:18" x14ac:dyDescent="0.25"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>
        <f t="shared" si="180"/>
        <v>0</v>
      </c>
    </row>
    <row r="464" spans="3:18" x14ac:dyDescent="0.25">
      <c r="C464" s="753" t="s">
        <v>403</v>
      </c>
      <c r="D464" s="754"/>
      <c r="E464" s="66">
        <f t="shared" ref="E464:P464" si="181">SUM(E456:E463)</f>
        <v>124.70114839701779</v>
      </c>
      <c r="F464" s="66">
        <f t="shared" si="181"/>
        <v>39.153800082929479</v>
      </c>
      <c r="G464" s="66">
        <f t="shared" si="181"/>
        <v>44.567487895413059</v>
      </c>
      <c r="H464" s="66">
        <f t="shared" si="181"/>
        <v>113.19523361370346</v>
      </c>
      <c r="I464" s="66">
        <f t="shared" si="181"/>
        <v>108.71915941296005</v>
      </c>
      <c r="J464" s="66">
        <f t="shared" si="181"/>
        <v>122.21562700646261</v>
      </c>
      <c r="K464" s="66">
        <f t="shared" si="181"/>
        <v>104.60327527694852</v>
      </c>
      <c r="L464" s="66">
        <f t="shared" si="181"/>
        <v>126.30355550984997</v>
      </c>
      <c r="M464" s="66">
        <f t="shared" si="181"/>
        <v>129.08458953860156</v>
      </c>
      <c r="N464" s="66">
        <f t="shared" si="181"/>
        <v>118.98669246587657</v>
      </c>
      <c r="O464" s="66">
        <f t="shared" si="181"/>
        <v>116.46584637896841</v>
      </c>
      <c r="P464" s="66">
        <f t="shared" si="181"/>
        <v>144.59582289232654</v>
      </c>
      <c r="Q464" s="86">
        <f t="shared" si="180"/>
        <v>1292.592238471058</v>
      </c>
      <c r="R464" s="427"/>
    </row>
    <row r="465" spans="3:26" x14ac:dyDescent="0.25">
      <c r="C465" s="800" t="s">
        <v>404</v>
      </c>
      <c r="D465" s="801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</row>
    <row r="466" spans="3:26" x14ac:dyDescent="0.25">
      <c r="C466" s="17"/>
      <c r="D466" s="17" t="s">
        <v>405</v>
      </c>
      <c r="E466" s="66">
        <f>'[35]TGNPDCL MoD'!F104*[35]Gen_Cost!$BN359/10</f>
        <v>2.4381312685857193E-2</v>
      </c>
      <c r="F466" s="66">
        <f>'[35]TGNPDCL MoD'!G104*[35]Gen_Cost!$BN359/10</f>
        <v>2.0907855515269132E-2</v>
      </c>
      <c r="G466" s="66">
        <f>'[35]TGNPDCL MoD'!H104*[35]Gen_Cost!$BN359/10</f>
        <v>4.973274024739318E-2</v>
      </c>
      <c r="H466" s="66">
        <f>'[35]TGNPDCL MoD'!I104*[35]Gen_Cost!$BN359/10</f>
        <v>7.2339346358981899E-2</v>
      </c>
      <c r="I466" s="66">
        <f>'[35]TGNPDCL MoD'!J104*[35]Gen_Cost!$BN359/10</f>
        <v>3.9474120766783555E-2</v>
      </c>
      <c r="J466" s="66">
        <f>'[35]TGNPDCL MoD'!K104*[35]Gen_Cost!$BN359/10</f>
        <v>2.9028112746704186E-2</v>
      </c>
      <c r="K466" s="66">
        <f>'[35]TGNPDCL MoD'!L104*[35]Gen_Cost!$BN359/10</f>
        <v>1.7603497323007453E-2</v>
      </c>
      <c r="L466" s="66">
        <f>'[35]TGNPDCL MoD'!M104*[35]Gen_Cost!$BN359/10</f>
        <v>2.4443849476385053E-2</v>
      </c>
      <c r="M466" s="66">
        <f>'[35]TGNPDCL MoD'!N104*[35]Gen_Cost!$BN359/10</f>
        <v>2.7950799985229129E-2</v>
      </c>
      <c r="N466" s="66">
        <f>'[35]TGNPDCL MoD'!O104*[35]Gen_Cost!$BN359/10</f>
        <v>2.7032252798690055E-2</v>
      </c>
      <c r="O466" s="66">
        <f>'[35]TGNPDCL MoD'!P104*[35]Gen_Cost!$BN359/10</f>
        <v>1.8534539948314631E-2</v>
      </c>
      <c r="P466" s="66">
        <f>'[35]TGNPDCL MoD'!Q104*[35]Gen_Cost!$BN359/10</f>
        <v>2.4071572147384597E-2</v>
      </c>
      <c r="Q466" s="66">
        <f>SUM(E466:P466)</f>
        <v>0.37550000000000006</v>
      </c>
    </row>
    <row r="467" spans="3:26" x14ac:dyDescent="0.25">
      <c r="C467" s="17"/>
      <c r="D467" s="17" t="s">
        <v>406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  <c r="O467" s="66">
        <v>0</v>
      </c>
      <c r="P467" s="66">
        <v>0</v>
      </c>
      <c r="Q467" s="66">
        <v>0</v>
      </c>
    </row>
    <row r="468" spans="3:26" x14ac:dyDescent="0.25">
      <c r="C468" s="17"/>
      <c r="D468" s="17" t="s">
        <v>407</v>
      </c>
      <c r="E468" s="66">
        <f>'[35]TGNPDCL MoD'!F101*[35]Gen_Cost!$BN$361/10</f>
        <v>0</v>
      </c>
      <c r="F468" s="66">
        <f>'[35]TGNPDCL MoD'!G101*[35]Gen_Cost!$BN$361/10</f>
        <v>0</v>
      </c>
      <c r="G468" s="66">
        <f>'[35]TGNPDCL MoD'!H101*[35]Gen_Cost!$BN$361/10</f>
        <v>0</v>
      </c>
      <c r="H468" s="66">
        <f>'[35]TGNPDCL MoD'!I101*[35]Gen_Cost!$BN$361/10</f>
        <v>0</v>
      </c>
      <c r="I468" s="66">
        <f>'[35]TGNPDCL MoD'!J101*[35]Gen_Cost!$BN$361/10</f>
        <v>0</v>
      </c>
      <c r="J468" s="66">
        <f>'[35]TGNPDCL MoD'!K101*[35]Gen_Cost!$BN$361/10</f>
        <v>0</v>
      </c>
      <c r="K468" s="66">
        <f>'[35]TGNPDCL MoD'!L101*[35]Gen_Cost!$BN$361/10</f>
        <v>0</v>
      </c>
      <c r="L468" s="66">
        <f>'[35]TGNPDCL MoD'!M101*[35]Gen_Cost!$BN$361/10</f>
        <v>0</v>
      </c>
      <c r="M468" s="66">
        <f>'[35]TGNPDCL MoD'!N101*[35]Gen_Cost!$BN$361/10</f>
        <v>0</v>
      </c>
      <c r="N468" s="66">
        <f>'[35]TGNPDCL MoD'!O101*[35]Gen_Cost!$BN$361/10</f>
        <v>0</v>
      </c>
      <c r="O468" s="66">
        <f>'[35]TGNPDCL MoD'!P101*[35]Gen_Cost!$BN$361/10</f>
        <v>0</v>
      </c>
      <c r="P468" s="66">
        <f>'[35]TGNPDCL MoD'!Q101*[35]Gen_Cost!$BN$361/10</f>
        <v>0</v>
      </c>
      <c r="Q468" s="66">
        <f t="shared" ref="Q468:Q490" si="182">SUM(E468:P468)</f>
        <v>0</v>
      </c>
      <c r="X468" s="4">
        <v>359</v>
      </c>
      <c r="Y468" s="4">
        <f>231</f>
        <v>231</v>
      </c>
      <c r="Z468" s="4">
        <f>X468-Y468</f>
        <v>128</v>
      </c>
    </row>
    <row r="469" spans="3:26" x14ac:dyDescent="0.25">
      <c r="C469" s="17"/>
      <c r="D469" s="17" t="s">
        <v>408</v>
      </c>
      <c r="E469" s="66">
        <f>'[35]TGNPDCL MoD'!F102*[35]Gen_Cost!$BN$362/10</f>
        <v>2.2249895511391147</v>
      </c>
      <c r="F469" s="66">
        <f>'[35]TGNPDCL MoD'!G102*[35]Gen_Cost!$BN$362/10</f>
        <v>1.5644831478619623</v>
      </c>
      <c r="G469" s="66">
        <f>'[35]TGNPDCL MoD'!H102*[35]Gen_Cost!$BN$362/10</f>
        <v>1.3007824572567179</v>
      </c>
      <c r="H469" s="66">
        <f>'[35]TGNPDCL MoD'!I102*[35]Gen_Cost!$BN$362/10</f>
        <v>1.8367290909338596</v>
      </c>
      <c r="I469" s="66">
        <f>'[35]TGNPDCL MoD'!J102*[35]Gen_Cost!$BN$362/10</f>
        <v>1.8367290909338596</v>
      </c>
      <c r="J469" s="66">
        <f>'[35]TGNPDCL MoD'!K102*[35]Gen_Cost!$BN$362/10</f>
        <v>1.3093235064511304</v>
      </c>
      <c r="K469" s="66">
        <f>'[35]TGNPDCL MoD'!L102*[35]Gen_Cost!$BN$362/10</f>
        <v>1.8367290909338596</v>
      </c>
      <c r="L469" s="66">
        <f>'[35]TGNPDCL MoD'!M102*[35]Gen_Cost!$BN$362/10</f>
        <v>1.7258208490283669</v>
      </c>
      <c r="M469" s="66">
        <f>'[35]TGNPDCL MoD'!N102*[35]Gen_Cost!$BN$362/10</f>
        <v>2.8165819049286767</v>
      </c>
      <c r="N469" s="66">
        <f>'[35]TGNPDCL MoD'!O102*[35]Gen_Cost!$BN$362/10</f>
        <v>2.8636459442150133</v>
      </c>
      <c r="O469" s="66">
        <f>'[35]TGNPDCL MoD'!P102*[35]Gen_Cost!$BN$362/10</f>
        <v>3.0204630260858516</v>
      </c>
      <c r="P469" s="66">
        <f>'[35]TGNPDCL MoD'!Q102*[35]Gen_Cost!$BN$362/10</f>
        <v>3.0332381715180441</v>
      </c>
      <c r="Q469" s="66">
        <f t="shared" si="182"/>
        <v>25.369515831286456</v>
      </c>
    </row>
    <row r="470" spans="3:26" x14ac:dyDescent="0.25">
      <c r="C470" s="17"/>
      <c r="D470" s="17" t="s">
        <v>409</v>
      </c>
      <c r="E470" s="66">
        <f>SUM('[35]TGNPDCL MoD'!F99:F100)*[35]Gen_Cost!$BN$363/10</f>
        <v>0</v>
      </c>
      <c r="F470" s="66">
        <f>SUM('[35]TGNPDCL MoD'!G99:G100)*[35]Gen_Cost!$BN$363/10</f>
        <v>0</v>
      </c>
      <c r="G470" s="66">
        <f>SUM('[35]TGNPDCL MoD'!H99:H100)*[35]Gen_Cost!$BN$363/10</f>
        <v>0</v>
      </c>
      <c r="H470" s="66">
        <f>SUM('[35]TGNPDCL MoD'!I99:I100)*[35]Gen_Cost!$BN$363/10</f>
        <v>0</v>
      </c>
      <c r="I470" s="66">
        <f>SUM('[35]TGNPDCL MoD'!J99:J100)*[35]Gen_Cost!$BN$363/10</f>
        <v>0</v>
      </c>
      <c r="J470" s="66">
        <f>SUM('[35]TGNPDCL MoD'!K99:K100)*[35]Gen_Cost!$BN$363/10</f>
        <v>0</v>
      </c>
      <c r="K470" s="66">
        <f>SUM('[35]TGNPDCL MoD'!L99:L100)*[35]Gen_Cost!$BN$363/10</f>
        <v>0</v>
      </c>
      <c r="L470" s="66">
        <f>SUM('[35]TGNPDCL MoD'!M99:M100)*[35]Gen_Cost!$BN$363/10</f>
        <v>0</v>
      </c>
      <c r="M470" s="66">
        <f>SUM('[35]TGNPDCL MoD'!N99:N100)*[35]Gen_Cost!$BN$363/10</f>
        <v>0</v>
      </c>
      <c r="N470" s="66">
        <f>SUM('[35]TGNPDCL MoD'!O99:O100)*[35]Gen_Cost!$BN$363/10</f>
        <v>0</v>
      </c>
      <c r="O470" s="66">
        <f>SUM('[35]TGNPDCL MoD'!P99:P100)*[35]Gen_Cost!$BN$363/10</f>
        <v>0</v>
      </c>
      <c r="P470" s="66">
        <f>SUM('[35]TGNPDCL MoD'!Q99:Q100)*[35]Gen_Cost!$BN$363/10</f>
        <v>0</v>
      </c>
      <c r="Q470" s="66">
        <f t="shared" si="182"/>
        <v>0</v>
      </c>
    </row>
    <row r="471" spans="3:26" x14ac:dyDescent="0.25">
      <c r="C471" s="17"/>
      <c r="D471" s="17" t="s">
        <v>367</v>
      </c>
      <c r="E471" s="66">
        <f>'[35]TGNPDCL MoD'!F103*[35]Gen_Cost!$BN$364/10</f>
        <v>2.1910495839580898E-3</v>
      </c>
      <c r="F471" s="66">
        <f>'[35]TGNPDCL MoD'!G103*[35]Gen_Cost!$BN$364/10</f>
        <v>2.3478594615035974E-3</v>
      </c>
      <c r="G471" s="66">
        <f>'[35]TGNPDCL MoD'!H103*[35]Gen_Cost!$BN$364/10</f>
        <v>2.4324960954992718E-3</v>
      </c>
      <c r="H471" s="66">
        <f>'[35]TGNPDCL MoD'!I103*[35]Gen_Cost!$BN$364/10</f>
        <v>5.317986017485201E-3</v>
      </c>
      <c r="I471" s="66">
        <f>'[35]TGNPDCL MoD'!J103*[35]Gen_Cost!$BN$364/10</f>
        <v>1.2485660365005128E-2</v>
      </c>
      <c r="J471" s="66">
        <f>'[35]TGNPDCL MoD'!K103*[35]Gen_Cost!$BN$364/10</f>
        <v>6.3060871316649395E-3</v>
      </c>
      <c r="K471" s="66">
        <f>'[35]TGNPDCL MoD'!L103*[35]Gen_Cost!$BN$364/10</f>
        <v>6.9509031674161812E-3</v>
      </c>
      <c r="L471" s="66">
        <f>'[35]TGNPDCL MoD'!M103*[35]Gen_Cost!$BN$364/10</f>
        <v>2.3840161134345114E-3</v>
      </c>
      <c r="M471" s="66">
        <f>'[35]TGNPDCL MoD'!N103*[35]Gen_Cost!$BN$364/10</f>
        <v>4.0897915391550294E-3</v>
      </c>
      <c r="N471" s="66">
        <f>'[35]TGNPDCL MoD'!O103*[35]Gen_Cost!$BN$364/10</f>
        <v>7.8038848579995157E-3</v>
      </c>
      <c r="O471" s="66">
        <f>'[35]TGNPDCL MoD'!P103*[35]Gen_Cost!$BN$364/10</f>
        <v>7.0087610387162599E-3</v>
      </c>
      <c r="P471" s="66">
        <f>'[35]TGNPDCL MoD'!Q103*[35]Gen_Cost!$BN$364/10</f>
        <v>3.2555891352045035E-3</v>
      </c>
      <c r="Q471" s="66">
        <f t="shared" si="182"/>
        <v>6.257408450704223E-2</v>
      </c>
    </row>
    <row r="472" spans="3:26" x14ac:dyDescent="0.25">
      <c r="C472" s="17"/>
      <c r="D472" s="17" t="s">
        <v>410</v>
      </c>
      <c r="E472" s="291">
        <f>'[35]TGNPDCL MoD'!F114*[35]Gen_Cost!$BN365/10</f>
        <v>133.25255782318277</v>
      </c>
      <c r="F472" s="291">
        <f>'[35]TGNPDCL MoD'!G114*[35]Gen_Cost!$BN365/10</f>
        <v>137.40462000872691</v>
      </c>
      <c r="G472" s="291">
        <f>'[35]TGNPDCL MoD'!H114*[35]Gen_Cost!$BN365/10</f>
        <v>128.64517720218217</v>
      </c>
      <c r="H472" s="291">
        <f>'[35]TGNPDCL MoD'!I114*[35]Gen_Cost!$BN365/10</f>
        <v>100.75662466023161</v>
      </c>
      <c r="I472" s="291">
        <f>'[35]TGNPDCL MoD'!J114*[35]Gen_Cost!$BN365/10</f>
        <v>123.92354356785151</v>
      </c>
      <c r="J472" s="291">
        <f>'[35]TGNPDCL MoD'!K114*[35]Gen_Cost!$BN365/10</f>
        <v>109.23460863265113</v>
      </c>
      <c r="K472" s="291">
        <f>'[35]TGNPDCL MoD'!L114*[35]Gen_Cost!$BN365/10</f>
        <v>133.91913365610515</v>
      </c>
      <c r="L472" s="291">
        <f>'[35]TGNPDCL MoD'!M114*[35]Gen_Cost!$BN365/10</f>
        <v>103.261204460583</v>
      </c>
      <c r="M472" s="291">
        <f>'[35]TGNPDCL MoD'!N114*[35]Gen_Cost!$BN365/10</f>
        <v>113.19702402443386</v>
      </c>
      <c r="N472" s="291">
        <f>'[35]TGNPDCL MoD'!O114*[35]Gen_Cost!$BN365/10</f>
        <v>120.68460774754062</v>
      </c>
      <c r="O472" s="291">
        <f>'[35]TGNPDCL MoD'!P114*[35]Gen_Cost!$BN365/10</f>
        <v>123.87502992699115</v>
      </c>
      <c r="P472" s="291">
        <f>'[35]TGNPDCL MoD'!Q114*[35]Gen_Cost!$BN365/10</f>
        <v>132.82887930661744</v>
      </c>
      <c r="Q472" s="291">
        <f t="shared" si="182"/>
        <v>1460.9830110170974</v>
      </c>
    </row>
    <row r="473" spans="3:26" x14ac:dyDescent="0.25">
      <c r="C473" s="17"/>
      <c r="D473" s="17" t="s">
        <v>411</v>
      </c>
      <c r="E473" s="66">
        <f>'[35]TGNPDCL MoD'!F107*[35]Gen_Cost!$BN$370/10</f>
        <v>6.3463029034186142</v>
      </c>
      <c r="F473" s="66">
        <f>'[35]TGNPDCL MoD'!G107*[35]Gen_Cost!$BN$370/10</f>
        <v>6.5440495338304556</v>
      </c>
      <c r="G473" s="66">
        <f>'[35]TGNPDCL MoD'!H107*[35]Gen_Cost!$BN$370/10</f>
        <v>6.1268712205310694</v>
      </c>
      <c r="H473" s="66">
        <f>'[35]TGNPDCL MoD'!I107*[35]Gen_Cost!$BN$370/10</f>
        <v>4.7986475461759692</v>
      </c>
      <c r="I473" s="66">
        <f>'[35]TGNPDCL MoD'!J107*[35]Gen_Cost!$BN$370/10</f>
        <v>5.90199810941081</v>
      </c>
      <c r="J473" s="66">
        <f>'[35]TGNPDCL MoD'!K107*[35]Gen_Cost!$BN$370/10</f>
        <v>5.2024210660111132</v>
      </c>
      <c r="K473" s="66">
        <f>'[35]TGNPDCL MoD'!L107*[35]Gen_Cost!$BN$370/10</f>
        <v>6.3780493269989949</v>
      </c>
      <c r="L473" s="66">
        <f>'[35]TGNPDCL MoD'!M107*[35]Gen_Cost!$BN$370/10</f>
        <v>4.9179309754659721</v>
      </c>
      <c r="M473" s="66">
        <f>'[35]TGNPDCL MoD'!N107*[35]Gen_Cost!$BN$370/10</f>
        <v>5.3911355546199484</v>
      </c>
      <c r="N473" s="66">
        <f>'[35]TGNPDCL MoD'!O107*[35]Gen_Cost!$BN$370/10</f>
        <v>5.7477401489167139</v>
      </c>
      <c r="O473" s="66">
        <f>'[35]TGNPDCL MoD'!P107*[35]Gen_Cost!$BN$370/10</f>
        <v>5.8996875927132146</v>
      </c>
      <c r="P473" s="66">
        <f>'[35]TGNPDCL MoD'!Q107*[35]Gen_Cost!$BN$370/10</f>
        <v>6.3261247376579046</v>
      </c>
      <c r="Q473" s="66">
        <f t="shared" si="182"/>
        <v>69.580958715750782</v>
      </c>
    </row>
    <row r="474" spans="3:26" x14ac:dyDescent="0.25">
      <c r="C474" s="17"/>
      <c r="D474" s="17" t="s">
        <v>412</v>
      </c>
      <c r="E474" s="66">
        <f>'[35]TGNPDCL MoD'!F108*[35]Gen_Cost!$BN$371/10</f>
        <v>14.502737444074501</v>
      </c>
      <c r="F474" s="66">
        <f>'[35]TGNPDCL MoD'!G108*[35]Gen_Cost!$BN$371/10</f>
        <v>14.954633217875099</v>
      </c>
      <c r="G474" s="66">
        <f>'[35]TGNPDCL MoD'!H108*[35]Gen_Cost!$BN$371/10</f>
        <v>14.001286420973281</v>
      </c>
      <c r="H474" s="66">
        <f>'[35]TGNPDCL MoD'!I108*[35]Gen_Cost!$BN$371/10</f>
        <v>10.965994927748238</v>
      </c>
      <c r="I474" s="66">
        <f>'[35]TGNPDCL MoD'!J108*[35]Gen_Cost!$BN$371/10</f>
        <v>13.48740050370127</v>
      </c>
      <c r="J474" s="66">
        <f>'[35]TGNPDCL MoD'!K108*[35]Gen_Cost!$BN$371/10</f>
        <v>11.888708739893021</v>
      </c>
      <c r="K474" s="66">
        <f>'[35]TGNPDCL MoD'!L108*[35]Gen_Cost!$BN$371/10</f>
        <v>14.575285201876387</v>
      </c>
      <c r="L474" s="66">
        <f>'[35]TGNPDCL MoD'!M108*[35]Gen_Cost!$BN$371/10</f>
        <v>11.238584541378222</v>
      </c>
      <c r="M474" s="66">
        <f>'[35]TGNPDCL MoD'!N108*[35]Gen_Cost!$BN$371/10</f>
        <v>12.319964026922012</v>
      </c>
      <c r="N474" s="66">
        <f>'[35]TGNPDCL MoD'!O108*[35]Gen_Cost!$BN$371/10</f>
        <v>13.134886176265184</v>
      </c>
      <c r="O474" s="66">
        <f>'[35]TGNPDCL MoD'!P108*[35]Gen_Cost!$BN$371/10</f>
        <v>13.482120450489921</v>
      </c>
      <c r="P474" s="66">
        <f>'[35]TGNPDCL MoD'!Q108*[35]Gen_Cost!$BN$371/10</f>
        <v>14.456625771722248</v>
      </c>
      <c r="Q474" s="66">
        <f t="shared" si="182"/>
        <v>159.00822742291939</v>
      </c>
    </row>
    <row r="475" spans="3:26" x14ac:dyDescent="0.25">
      <c r="C475" s="17"/>
      <c r="D475" s="17" t="s">
        <v>413</v>
      </c>
      <c r="E475" s="291">
        <f>'[35]TGNPDCL MoD'!F109*[35]Gen_Cost!$BN$368/10</f>
        <v>12.567298437965182</v>
      </c>
      <c r="F475" s="291">
        <f>'[35]TGNPDCL MoD'!G109*[35]Gen_Cost!$BN$368/10</f>
        <v>12.958887203472878</v>
      </c>
      <c r="G475" s="291">
        <f>'[35]TGNPDCL MoD'!H109*[35]Gen_Cost!$BN$368/10</f>
        <v>12.13276773756208</v>
      </c>
      <c r="H475" s="291">
        <f>'[35]TGNPDCL MoD'!I109*[35]Gen_Cost!$BN$368/10</f>
        <v>9.5025460853621038</v>
      </c>
      <c r="I475" s="291">
        <f>'[35]TGNPDCL MoD'!J109*[35]Gen_Cost!$BN$368/10</f>
        <v>11.687461621366513</v>
      </c>
      <c r="J475" s="291">
        <f>'[35]TGNPDCL MoD'!K109*[35]Gen_Cost!$BN$368/10</f>
        <v>10.30212064118459</v>
      </c>
      <c r="K475" s="291">
        <f>'[35]TGNPDCL MoD'!L109*[35]Gen_Cost!$BN$368/10</f>
        <v>12.630164453903024</v>
      </c>
      <c r="L475" s="291">
        <f>'[35]TGNPDCL MoD'!M109*[35]Gen_Cost!$BN$368/10</f>
        <v>9.7387576998099199</v>
      </c>
      <c r="M475" s="291">
        <f>'[35]TGNPDCL MoD'!N109*[35]Gen_Cost!$BN$368/10</f>
        <v>10.675823462182574</v>
      </c>
      <c r="N475" s="291">
        <f>'[35]TGNPDCL MoD'!O109*[35]Gen_Cost!$BN$368/10</f>
        <v>11.381991514524172</v>
      </c>
      <c r="O475" s="291">
        <f>'[35]TGNPDCL MoD'!P109*[35]Gen_Cost!$BN$368/10</f>
        <v>11.682886208984456</v>
      </c>
      <c r="P475" s="291">
        <f>'[35]TGNPDCL MoD'!Q109*[35]Gen_Cost!$BN$368/10</f>
        <v>12.527340523112274</v>
      </c>
      <c r="Q475" s="291">
        <f t="shared" si="182"/>
        <v>137.78804558942977</v>
      </c>
    </row>
    <row r="476" spans="3:26" x14ac:dyDescent="0.25">
      <c r="C476" s="17"/>
      <c r="D476" s="17" t="s">
        <v>414</v>
      </c>
      <c r="E476" s="66">
        <f>'[35]TGNPDCL MoD'!F110*[35]Gen_Cost!$BN$367/10</f>
        <v>29.908224700895641</v>
      </c>
      <c r="F476" s="66">
        <f>'[35]TGNPDCL MoD'!G110*[35]Gen_Cost!$BN$367/10</f>
        <v>30.84014533976341</v>
      </c>
      <c r="G476" s="66">
        <f>'[35]TGNPDCL MoD'!H110*[35]Gen_Cost!$BN$367/10</f>
        <v>28.874108904947555</v>
      </c>
      <c r="H476" s="66">
        <f>'[35]TGNPDCL MoD'!I110*[35]Gen_Cost!$BN$367/10</f>
        <v>22.614588565276609</v>
      </c>
      <c r="I476" s="66">
        <f>'[35]TGNPDCL MoD'!J110*[35]Gen_Cost!$BN$367/10</f>
        <v>27.81434928758809</v>
      </c>
      <c r="J476" s="66">
        <f>'[35]TGNPDCL MoD'!K110*[35]Gen_Cost!$BN$367/10</f>
        <v>24.517452223580069</v>
      </c>
      <c r="K476" s="66">
        <f>'[35]TGNPDCL MoD'!L110*[35]Gen_Cost!$BN$367/10</f>
        <v>30.057836086349738</v>
      </c>
      <c r="L476" s="66">
        <f>'[35]TGNPDCL MoD'!M110*[35]Gen_Cost!$BN$367/10</f>
        <v>23.17673563902833</v>
      </c>
      <c r="M476" s="66">
        <f>'[35]TGNPDCL MoD'!N110*[35]Gen_Cost!$BN$367/10</f>
        <v>25.406807083491863</v>
      </c>
      <c r="N476" s="66">
        <f>'[35]TGNPDCL MoD'!O110*[35]Gen_Cost!$BN$367/10</f>
        <v>27.087377724053972</v>
      </c>
      <c r="O476" s="66">
        <f>'[35]TGNPDCL MoD'!P110*[35]Gen_Cost!$BN$367/10</f>
        <v>27.803460514452212</v>
      </c>
      <c r="P476" s="66">
        <f>'[35]TGNPDCL MoD'!Q110*[35]Gen_Cost!$BN$367/10</f>
        <v>29.813131049551306</v>
      </c>
      <c r="Q476" s="66">
        <f t="shared" si="182"/>
        <v>327.91421711897885</v>
      </c>
    </row>
    <row r="477" spans="3:26" x14ac:dyDescent="0.25">
      <c r="C477" s="17"/>
      <c r="D477" s="17" t="s">
        <v>415</v>
      </c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>
        <f t="shared" si="182"/>
        <v>0</v>
      </c>
    </row>
    <row r="478" spans="3:26" x14ac:dyDescent="0.25">
      <c r="C478" s="17"/>
      <c r="D478" s="17" t="s">
        <v>416</v>
      </c>
      <c r="E478" s="66">
        <f>[35]Gen_Cost!$BN366*'[35]TGNPDCL MoD'!F112/10</f>
        <v>36.557529508471887</v>
      </c>
      <c r="F478" s="66">
        <f>[35]Gen_Cost!$BN366*'[35]TGNPDCL MoD'!G112/10</f>
        <v>37.696638118082618</v>
      </c>
      <c r="G478" s="66">
        <f>[35]Gen_Cost!$BN366*'[35]TGNPDCL MoD'!H112/10</f>
        <v>35.293505344429249</v>
      </c>
      <c r="H478" s="66">
        <f>[35]Gen_Cost!$BN366*'[35]TGNPDCL MoD'!I112/10</f>
        <v>27.642345778293322</v>
      </c>
      <c r="I478" s="66">
        <f>[35]Gen_Cost!$BN366*'[35]TGNPDCL MoD'!J112/10</f>
        <v>33.998136131747579</v>
      </c>
      <c r="J478" s="66">
        <f>[35]Gen_Cost!$BN366*'[35]TGNPDCL MoD'!K112/10</f>
        <v>29.968260975023277</v>
      </c>
      <c r="K478" s="66">
        <f>[35]Gen_Cost!$BN366*'[35]TGNPDCL MoD'!L112/10</f>
        <v>36.740403038854915</v>
      </c>
      <c r="L478" s="66">
        <f>[35]Gen_Cost!$BN366*'[35]TGNPDCL MoD'!M112/10</f>
        <v>28.329471424910658</v>
      </c>
      <c r="M478" s="66">
        <f>[35]Gen_Cost!$BN366*'[35]TGNPDCL MoD'!N112/10</f>
        <v>31.055340427577836</v>
      </c>
      <c r="N478" s="66">
        <f>[35]Gen_Cost!$BN366*'[35]TGNPDCL MoD'!O112/10</f>
        <v>33.109541617980852</v>
      </c>
      <c r="O478" s="66">
        <f>[35]Gen_Cost!$BN366*'[35]TGNPDCL MoD'!P112/10</f>
        <v>33.984826527141934</v>
      </c>
      <c r="P478" s="66">
        <f>[35]Gen_Cost!$BN366*'[35]TGNPDCL MoD'!Q112/10</f>
        <v>36.4412942922444</v>
      </c>
      <c r="Q478" s="66">
        <f t="shared" si="182"/>
        <v>400.81729318475851</v>
      </c>
    </row>
    <row r="479" spans="3:26" x14ac:dyDescent="0.25">
      <c r="C479" s="17"/>
      <c r="D479" s="17" t="s">
        <v>417</v>
      </c>
      <c r="E479" s="66">
        <f>'[35]TGNPDCL MoD'!F113*[35]Gen_Cost!$BN369/10</f>
        <v>18.708483596129707</v>
      </c>
      <c r="F479" s="66">
        <f>'[35]TGNPDCL MoD'!G113*[35]Gen_Cost!$BN369/10</f>
        <v>19.291427657822222</v>
      </c>
      <c r="G479" s="66">
        <f>'[35]TGNPDCL MoD'!H113*[35]Gen_Cost!$BN369/10</f>
        <v>18.061613425851299</v>
      </c>
      <c r="H479" s="66">
        <f>'[35]TGNPDCL MoD'!I113*[35]Gen_Cost!$BN369/10</f>
        <v>14.146097384176404</v>
      </c>
      <c r="I479" s="66">
        <f>'[35]TGNPDCL MoD'!J113*[35]Gen_Cost!$BN369/10</f>
        <v>17.398702282997114</v>
      </c>
      <c r="J479" s="66">
        <f>'[35]TGNPDCL MoD'!K113*[35]Gen_Cost!$BN369/10</f>
        <v>15.336395166577896</v>
      </c>
      <c r="K479" s="66">
        <f>'[35]TGNPDCL MoD'!L113*[35]Gen_Cost!$BN369/10</f>
        <v>18.802069965048435</v>
      </c>
      <c r="L479" s="66">
        <f>'[35]TGNPDCL MoD'!M113*[35]Gen_Cost!$BN369/10</f>
        <v>14.497737089076088</v>
      </c>
      <c r="M479" s="66">
        <f>'[35]TGNPDCL MoD'!N113*[35]Gen_Cost!$BN369/10</f>
        <v>15.892713068231881</v>
      </c>
      <c r="N479" s="66">
        <f>'[35]TGNPDCL MoD'!O113*[35]Gen_Cost!$BN369/10</f>
        <v>16.943959960199752</v>
      </c>
      <c r="O479" s="66">
        <f>'[35]TGNPDCL MoD'!P113*[35]Gen_Cost!$BN369/10</f>
        <v>17.391891031723205</v>
      </c>
      <c r="P479" s="66">
        <f>'[35]TGNPDCL MoD'!Q113*[35]Gen_Cost!$BN369/10</f>
        <v>18.64899969047956</v>
      </c>
      <c r="Q479" s="66">
        <f t="shared" si="182"/>
        <v>205.12009031831354</v>
      </c>
    </row>
    <row r="480" spans="3:26" x14ac:dyDescent="0.25">
      <c r="C480" s="17"/>
      <c r="D480" s="337" t="s">
        <v>418</v>
      </c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>
        <f t="shared" si="182"/>
        <v>0</v>
      </c>
    </row>
    <row r="481" spans="3:18" x14ac:dyDescent="0.25">
      <c r="C481" s="17"/>
      <c r="D481" s="337" t="s">
        <v>419</v>
      </c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>
        <f t="shared" si="182"/>
        <v>0</v>
      </c>
    </row>
    <row r="482" spans="3:18" x14ac:dyDescent="0.25"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>
        <f t="shared" si="182"/>
        <v>0</v>
      </c>
    </row>
    <row r="483" spans="3:18" x14ac:dyDescent="0.25"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>
        <f t="shared" si="182"/>
        <v>0</v>
      </c>
    </row>
    <row r="484" spans="3:18" x14ac:dyDescent="0.25"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>
        <f t="shared" si="182"/>
        <v>0</v>
      </c>
    </row>
    <row r="485" spans="3:18" x14ac:dyDescent="0.25"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>
        <f t="shared" si="182"/>
        <v>0</v>
      </c>
    </row>
    <row r="486" spans="3:18" x14ac:dyDescent="0.25"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>
        <f t="shared" si="182"/>
        <v>0</v>
      </c>
    </row>
    <row r="487" spans="3:18" x14ac:dyDescent="0.25"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>
        <f t="shared" si="182"/>
        <v>0</v>
      </c>
    </row>
    <row r="488" spans="3:18" x14ac:dyDescent="0.25"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>
        <f t="shared" si="182"/>
        <v>0</v>
      </c>
    </row>
    <row r="489" spans="3:18" x14ac:dyDescent="0.25"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>
        <f t="shared" si="182"/>
        <v>0</v>
      </c>
    </row>
    <row r="490" spans="3:18" x14ac:dyDescent="0.25">
      <c r="C490" s="841" t="s">
        <v>420</v>
      </c>
      <c r="D490" s="842"/>
      <c r="E490" s="17">
        <f t="shared" ref="E490:P490" si="183">SUM(E466:E489)</f>
        <v>254.09469632754721</v>
      </c>
      <c r="F490" s="17">
        <f t="shared" si="183"/>
        <v>261.27813994241234</v>
      </c>
      <c r="G490" s="17">
        <f t="shared" si="183"/>
        <v>244.48827795007634</v>
      </c>
      <c r="H490" s="17">
        <f t="shared" si="183"/>
        <v>192.3412313705746</v>
      </c>
      <c r="I490" s="17">
        <f t="shared" si="183"/>
        <v>236.10028037672853</v>
      </c>
      <c r="J490" s="17">
        <f t="shared" si="183"/>
        <v>207.79462515125059</v>
      </c>
      <c r="K490" s="17">
        <f t="shared" si="183"/>
        <v>254.96422522056093</v>
      </c>
      <c r="L490" s="17">
        <f t="shared" si="183"/>
        <v>196.91307054487035</v>
      </c>
      <c r="M490" s="17">
        <f t="shared" si="183"/>
        <v>216.78743014391301</v>
      </c>
      <c r="N490" s="17">
        <f t="shared" si="183"/>
        <v>230.98858697135296</v>
      </c>
      <c r="O490" s="17">
        <f t="shared" si="183"/>
        <v>237.16590857956896</v>
      </c>
      <c r="P490" s="17">
        <f t="shared" si="183"/>
        <v>254.10296070418579</v>
      </c>
      <c r="Q490" s="86">
        <f t="shared" si="182"/>
        <v>2787.019433283042</v>
      </c>
      <c r="R490" s="427"/>
    </row>
    <row r="491" spans="3:18" x14ac:dyDescent="0.25">
      <c r="C491" s="800" t="s">
        <v>421</v>
      </c>
      <c r="D491" s="801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</row>
    <row r="492" spans="3:18" x14ac:dyDescent="0.25">
      <c r="C492" s="17"/>
      <c r="D492" s="322" t="s">
        <v>453</v>
      </c>
      <c r="E492" s="66">
        <f>'[35]ST,D-D'!D28</f>
        <v>0</v>
      </c>
      <c r="F492" s="66">
        <f>'[35]ST,D-D'!E28</f>
        <v>0</v>
      </c>
      <c r="G492" s="66">
        <f>'[35]ST,D-D'!F28</f>
        <v>0</v>
      </c>
      <c r="H492" s="66">
        <f>'[35]ST,D-D'!G28</f>
        <v>0</v>
      </c>
      <c r="I492" s="66">
        <f>'[35]ST,D-D'!H28</f>
        <v>0</v>
      </c>
      <c r="J492" s="66">
        <f>'[35]ST,D-D'!I28</f>
        <v>0</v>
      </c>
      <c r="K492" s="66">
        <f>'[35]ST,D-D'!J28</f>
        <v>0</v>
      </c>
      <c r="L492" s="66">
        <f>'[35]ST,D-D'!K28</f>
        <v>0</v>
      </c>
      <c r="M492" s="66">
        <f>'[35]ST,D-D'!L28</f>
        <v>0</v>
      </c>
      <c r="N492" s="66">
        <f>'[35]ST,D-D'!M28</f>
        <v>0</v>
      </c>
      <c r="O492" s="66">
        <f>'[35]ST,D-D'!N28</f>
        <v>0</v>
      </c>
      <c r="P492" s="66">
        <f>'[35]ST,D-D'!O28</f>
        <v>0</v>
      </c>
      <c r="Q492" s="66">
        <f>SUM(E492:P492)</f>
        <v>0</v>
      </c>
    </row>
    <row r="493" spans="3:18" x14ac:dyDescent="0.25">
      <c r="C493" s="17"/>
      <c r="D493" s="322" t="s">
        <v>422</v>
      </c>
      <c r="E493" s="66">
        <f>'[35]ST,D-D'!D30</f>
        <v>0</v>
      </c>
      <c r="F493" s="66">
        <f>'[35]ST,D-D'!E30</f>
        <v>0</v>
      </c>
      <c r="G493" s="66">
        <f>'[35]ST,D-D'!F30</f>
        <v>0</v>
      </c>
      <c r="H493" s="66">
        <f>'[35]ST,D-D'!G30</f>
        <v>0</v>
      </c>
      <c r="I493" s="66">
        <f>'[35]ST,D-D'!H30</f>
        <v>0</v>
      </c>
      <c r="J493" s="66">
        <f>'[35]ST,D-D'!I30</f>
        <v>0</v>
      </c>
      <c r="K493" s="66">
        <f>'[35]ST,D-D'!J30</f>
        <v>-56.704202581571302</v>
      </c>
      <c r="L493" s="66">
        <f>'[35]ST,D-D'!K30</f>
        <v>0</v>
      </c>
      <c r="M493" s="66">
        <f>'[35]ST,D-D'!L30</f>
        <v>0</v>
      </c>
      <c r="N493" s="66">
        <f>'[35]ST,D-D'!M30</f>
        <v>0</v>
      </c>
      <c r="O493" s="66">
        <f>'[35]ST,D-D'!N30</f>
        <v>0</v>
      </c>
      <c r="P493" s="66">
        <f>'[35]ST,D-D'!O30</f>
        <v>0</v>
      </c>
      <c r="Q493" s="17">
        <f>SUM(E493:P493)</f>
        <v>-56.704202581571302</v>
      </c>
      <c r="R493" s="427"/>
    </row>
    <row r="494" spans="3:18" x14ac:dyDescent="0.25"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>
        <f>SUM(E494:P494)</f>
        <v>0</v>
      </c>
    </row>
    <row r="495" spans="3:18" x14ac:dyDescent="0.25"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>
        <v>0</v>
      </c>
    </row>
    <row r="496" spans="3:18" x14ac:dyDescent="0.25">
      <c r="C496" s="17"/>
      <c r="D496" s="337" t="s">
        <v>665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</row>
    <row r="497" spans="3:17" x14ac:dyDescent="0.25">
      <c r="C497" s="17"/>
      <c r="D497" s="325" t="s">
        <v>666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</row>
    <row r="498" spans="3:17" x14ac:dyDescent="0.25">
      <c r="C498" s="17"/>
      <c r="D498" s="325" t="s">
        <v>629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</row>
    <row r="499" spans="3:17" x14ac:dyDescent="0.25">
      <c r="C499" s="17"/>
      <c r="D499" s="325" t="s">
        <v>630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</row>
    <row r="500" spans="3:17" x14ac:dyDescent="0.25">
      <c r="C500" s="17"/>
      <c r="D500" s="326" t="s">
        <v>631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</row>
    <row r="501" spans="3:17" x14ac:dyDescent="0.25">
      <c r="C501" s="17"/>
      <c r="D501" s="325" t="s">
        <v>632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</row>
    <row r="502" spans="3:17" x14ac:dyDescent="0.25">
      <c r="C502" s="17"/>
      <c r="D502" s="325" t="s">
        <v>633</v>
      </c>
      <c r="E502" s="17">
        <v>0</v>
      </c>
      <c r="F502" s="17">
        <v>0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</row>
    <row r="503" spans="3:17" x14ac:dyDescent="0.25">
      <c r="C503" s="17"/>
      <c r="D503" s="325" t="s">
        <v>634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</row>
    <row r="504" spans="3:17" x14ac:dyDescent="0.25">
      <c r="C504" s="17"/>
      <c r="D504" s="325" t="s">
        <v>635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</row>
    <row r="505" spans="3:17" x14ac:dyDescent="0.25">
      <c r="C505" s="17"/>
      <c r="D505" s="325" t="s">
        <v>636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</row>
    <row r="506" spans="3:17" x14ac:dyDescent="0.25">
      <c r="C506" s="17"/>
      <c r="D506" s="325" t="s">
        <v>637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</row>
    <row r="507" spans="3:17" x14ac:dyDescent="0.25">
      <c r="C507" s="17"/>
      <c r="D507" s="325" t="s">
        <v>638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</row>
    <row r="508" spans="3:17" x14ac:dyDescent="0.25">
      <c r="C508" s="17"/>
      <c r="D508" s="325" t="s">
        <v>639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</row>
    <row r="509" spans="3:17" x14ac:dyDescent="0.25"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>
        <v>0</v>
      </c>
    </row>
    <row r="510" spans="3:17" x14ac:dyDescent="0.25"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>
        <v>0</v>
      </c>
    </row>
    <row r="511" spans="3:17" x14ac:dyDescent="0.25"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>
        <v>0</v>
      </c>
    </row>
    <row r="512" spans="3:17" x14ac:dyDescent="0.25"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>
        <f t="shared" ref="Q512:Q523" si="184">SUM(E512:P512)</f>
        <v>0</v>
      </c>
    </row>
    <row r="513" spans="3:18" x14ac:dyDescent="0.25"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f t="shared" si="184"/>
        <v>0</v>
      </c>
    </row>
    <row r="514" spans="3:18" x14ac:dyDescent="0.25"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>
        <f t="shared" si="184"/>
        <v>0</v>
      </c>
    </row>
    <row r="515" spans="3:18" x14ac:dyDescent="0.25"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>
        <f t="shared" si="184"/>
        <v>0</v>
      </c>
    </row>
    <row r="516" spans="3:18" x14ac:dyDescent="0.25"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>
        <f t="shared" si="184"/>
        <v>0</v>
      </c>
    </row>
    <row r="517" spans="3:18" x14ac:dyDescent="0.25"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>
        <f t="shared" si="184"/>
        <v>0</v>
      </c>
    </row>
    <row r="518" spans="3:18" x14ac:dyDescent="0.25"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>
        <f t="shared" si="184"/>
        <v>0</v>
      </c>
    </row>
    <row r="519" spans="3:18" x14ac:dyDescent="0.25"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>
        <f t="shared" si="184"/>
        <v>0</v>
      </c>
    </row>
    <row r="520" spans="3:18" x14ac:dyDescent="0.25">
      <c r="C520" s="753" t="s">
        <v>423</v>
      </c>
      <c r="D520" s="754"/>
      <c r="E520" s="17">
        <f t="shared" ref="E520:P520" si="185">SUM(E492:E519)</f>
        <v>0</v>
      </c>
      <c r="F520" s="17">
        <f t="shared" si="185"/>
        <v>0</v>
      </c>
      <c r="G520" s="17">
        <f t="shared" si="185"/>
        <v>0</v>
      </c>
      <c r="H520" s="17">
        <f t="shared" si="185"/>
        <v>0</v>
      </c>
      <c r="I520" s="17">
        <f t="shared" si="185"/>
        <v>0</v>
      </c>
      <c r="J520" s="17">
        <f t="shared" si="185"/>
        <v>0</v>
      </c>
      <c r="K520" s="17">
        <f t="shared" si="185"/>
        <v>-56.704202581571302</v>
      </c>
      <c r="L520" s="17">
        <f t="shared" si="185"/>
        <v>0</v>
      </c>
      <c r="M520" s="17">
        <f t="shared" si="185"/>
        <v>0</v>
      </c>
      <c r="N520" s="17">
        <f t="shared" si="185"/>
        <v>0</v>
      </c>
      <c r="O520" s="17">
        <f t="shared" si="185"/>
        <v>0</v>
      </c>
      <c r="P520" s="17">
        <f t="shared" si="185"/>
        <v>0</v>
      </c>
      <c r="Q520" s="86">
        <f t="shared" si="184"/>
        <v>-56.704202581571302</v>
      </c>
      <c r="R520" s="427"/>
    </row>
    <row r="521" spans="3:18" x14ac:dyDescent="0.25">
      <c r="C521" s="800" t="s">
        <v>424</v>
      </c>
      <c r="D521" s="801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3:18" x14ac:dyDescent="0.25">
      <c r="C522" s="17" t="s">
        <v>425</v>
      </c>
      <c r="D522" s="17" t="s">
        <v>426</v>
      </c>
      <c r="E522" s="66">
        <f>-'[35]ST,D-D'!D21</f>
        <v>-173.18364056134649</v>
      </c>
      <c r="F522" s="66">
        <f>-'[35]ST,D-D'!E21</f>
        <v>-267.83982727971005</v>
      </c>
      <c r="G522" s="66">
        <f>-'[35]ST,D-D'!F21</f>
        <v>-272.285907771952</v>
      </c>
      <c r="H522" s="66">
        <f>-'[35]ST,D-D'!G21</f>
        <v>-229.07151999093981</v>
      </c>
      <c r="I522" s="66">
        <f>-'[35]ST,D-D'!H21</f>
        <v>-267.9703683128804</v>
      </c>
      <c r="J522" s="66">
        <f>-'[35]ST,D-D'!I21</f>
        <v>-261.38107883477227</v>
      </c>
      <c r="K522" s="66">
        <f>-'[35]ST,D-D'!J21</f>
        <v>-262.21638517473696</v>
      </c>
      <c r="L522" s="66">
        <f>-'[35]ST,D-D'!K21</f>
        <v>-242.32495790175875</v>
      </c>
      <c r="M522" s="66">
        <f>-'[35]ST,D-D'!L21</f>
        <v>-185.71356613431061</v>
      </c>
      <c r="N522" s="66">
        <f>-'[35]ST,D-D'!M21</f>
        <v>-188.39362767257612</v>
      </c>
      <c r="O522" s="66">
        <f>-'[35]ST,D-D'!N21</f>
        <v>-32.035800317346983</v>
      </c>
      <c r="P522" s="66">
        <f>-'[35]ST,D-D'!O21</f>
        <v>-34.050336148684138</v>
      </c>
      <c r="Q522" s="17">
        <f t="shared" si="184"/>
        <v>-2416.4670161010145</v>
      </c>
      <c r="R522" s="427"/>
    </row>
    <row r="523" spans="3:18" x14ac:dyDescent="0.25">
      <c r="C523" s="17" t="s">
        <v>425</v>
      </c>
      <c r="D523" s="17" t="s">
        <v>427</v>
      </c>
      <c r="E523" s="66">
        <v>0</v>
      </c>
      <c r="F523" s="66">
        <v>0</v>
      </c>
      <c r="G523" s="66">
        <v>0</v>
      </c>
      <c r="H523" s="66">
        <v>0</v>
      </c>
      <c r="I523" s="66">
        <v>0</v>
      </c>
      <c r="J523" s="66">
        <v>0</v>
      </c>
      <c r="K523" s="66">
        <v>0</v>
      </c>
      <c r="L523" s="66">
        <v>0</v>
      </c>
      <c r="M523" s="66">
        <v>0</v>
      </c>
      <c r="N523" s="66">
        <v>0</v>
      </c>
      <c r="O523" s="66">
        <v>0</v>
      </c>
      <c r="P523" s="66">
        <v>0</v>
      </c>
      <c r="Q523" s="17">
        <f t="shared" si="184"/>
        <v>0</v>
      </c>
    </row>
    <row r="524" spans="3:18" x14ac:dyDescent="0.25">
      <c r="C524" s="753" t="s">
        <v>428</v>
      </c>
      <c r="D524" s="754"/>
      <c r="E524" s="66">
        <f>E522+E523</f>
        <v>-173.18364056134649</v>
      </c>
      <c r="F524" s="66">
        <f t="shared" ref="F524:P524" si="186">F522+F523</f>
        <v>-267.83982727971005</v>
      </c>
      <c r="G524" s="66">
        <f t="shared" si="186"/>
        <v>-272.285907771952</v>
      </c>
      <c r="H524" s="66">
        <f t="shared" si="186"/>
        <v>-229.07151999093981</v>
      </c>
      <c r="I524" s="66">
        <f t="shared" si="186"/>
        <v>-267.9703683128804</v>
      </c>
      <c r="J524" s="66">
        <f t="shared" si="186"/>
        <v>-261.38107883477227</v>
      </c>
      <c r="K524" s="66">
        <f t="shared" si="186"/>
        <v>-262.21638517473696</v>
      </c>
      <c r="L524" s="66">
        <f t="shared" si="186"/>
        <v>-242.32495790175875</v>
      </c>
      <c r="M524" s="66">
        <f t="shared" si="186"/>
        <v>-185.71356613431061</v>
      </c>
      <c r="N524" s="66">
        <f t="shared" si="186"/>
        <v>-188.39362767257612</v>
      </c>
      <c r="O524" s="66">
        <f t="shared" si="186"/>
        <v>-32.035800317346983</v>
      </c>
      <c r="P524" s="66">
        <f t="shared" si="186"/>
        <v>-34.050336148684138</v>
      </c>
      <c r="Q524" s="66">
        <f t="shared" ref="Q524" si="187">Q522+Q523</f>
        <v>-2416.4670161010145</v>
      </c>
      <c r="R524" s="427"/>
    </row>
    <row r="525" spans="3:18" x14ac:dyDescent="0.25">
      <c r="C525" s="753" t="s">
        <v>220</v>
      </c>
      <c r="D525" s="754"/>
      <c r="E525" s="329">
        <f t="shared" ref="E525:Q525" si="188">E398+E445+E454+E464+E490+E520+E524</f>
        <v>927.51682441841763</v>
      </c>
      <c r="F525" s="329">
        <f t="shared" si="188"/>
        <v>583.96290888679096</v>
      </c>
      <c r="G525" s="329">
        <f t="shared" si="188"/>
        <v>596.27821574666018</v>
      </c>
      <c r="H525" s="329">
        <f t="shared" si="188"/>
        <v>684.64378096727273</v>
      </c>
      <c r="I525" s="329">
        <f t="shared" si="188"/>
        <v>689.91674757556848</v>
      </c>
      <c r="J525" s="329">
        <f t="shared" si="188"/>
        <v>732.63050666253548</v>
      </c>
      <c r="K525" s="329">
        <f t="shared" si="188"/>
        <v>641.85245904710064</v>
      </c>
      <c r="L525" s="329">
        <f t="shared" si="188"/>
        <v>673.15628537236262</v>
      </c>
      <c r="M525" s="329">
        <f t="shared" si="188"/>
        <v>806.25657503393973</v>
      </c>
      <c r="N525" s="329">
        <f t="shared" si="188"/>
        <v>866.87741486098264</v>
      </c>
      <c r="O525" s="329">
        <f t="shared" si="188"/>
        <v>1005.9536828218628</v>
      </c>
      <c r="P525" s="329">
        <f t="shared" si="188"/>
        <v>1165.8671771644892</v>
      </c>
      <c r="Q525" s="323">
        <f t="shared" si="188"/>
        <v>9374.9125785579818</v>
      </c>
    </row>
    <row r="526" spans="3:18" x14ac:dyDescent="0.25">
      <c r="D526" s="24"/>
      <c r="E526" s="24"/>
    </row>
    <row r="527" spans="3:18" x14ac:dyDescent="0.25">
      <c r="E527" s="24"/>
    </row>
    <row r="528" spans="3:18" x14ac:dyDescent="0.25">
      <c r="E528" s="24"/>
    </row>
  </sheetData>
  <mergeCells count="91">
    <mergeCell ref="C520:D520"/>
    <mergeCell ref="C455:D455"/>
    <mergeCell ref="C524:D524"/>
    <mergeCell ref="C525:D525"/>
    <mergeCell ref="C454:D454"/>
    <mergeCell ref="C464:D464"/>
    <mergeCell ref="C465:D465"/>
    <mergeCell ref="C490:D490"/>
    <mergeCell ref="C491:D491"/>
    <mergeCell ref="C521:D521"/>
    <mergeCell ref="C446:D446"/>
    <mergeCell ref="C317:D317"/>
    <mergeCell ref="C318:D318"/>
    <mergeCell ref="C397:D397"/>
    <mergeCell ref="C398:D398"/>
    <mergeCell ref="C399:D399"/>
    <mergeCell ref="C345:D345"/>
    <mergeCell ref="C346:D346"/>
    <mergeCell ref="C349:D349"/>
    <mergeCell ref="C350:D350"/>
    <mergeCell ref="C354:C356"/>
    <mergeCell ref="D354:D356"/>
    <mergeCell ref="C378:D378"/>
    <mergeCell ref="C430:C433"/>
    <mergeCell ref="C444:D444"/>
    <mergeCell ref="C445:D445"/>
    <mergeCell ref="C292:D292"/>
    <mergeCell ref="E354:Q354"/>
    <mergeCell ref="C428:D428"/>
    <mergeCell ref="C357:D357"/>
    <mergeCell ref="C358:D358"/>
    <mergeCell ref="C359:C376"/>
    <mergeCell ref="C377:D377"/>
    <mergeCell ref="C379:C396"/>
    <mergeCell ref="C400:D400"/>
    <mergeCell ref="C401:C410"/>
    <mergeCell ref="C291:D291"/>
    <mergeCell ref="C2:Q2"/>
    <mergeCell ref="C429:D429"/>
    <mergeCell ref="C182:C184"/>
    <mergeCell ref="D182:D184"/>
    <mergeCell ref="C256:D256"/>
    <mergeCell ref="C257:C260"/>
    <mergeCell ref="C272:D272"/>
    <mergeCell ref="C273:D273"/>
    <mergeCell ref="C255:D255"/>
    <mergeCell ref="C207:C224"/>
    <mergeCell ref="C225:D225"/>
    <mergeCell ref="C226:D226"/>
    <mergeCell ref="C227:D227"/>
    <mergeCell ref="C228:D228"/>
    <mergeCell ref="C282:D282"/>
    <mergeCell ref="C271:D271"/>
    <mergeCell ref="C281:D281"/>
    <mergeCell ref="C205:D205"/>
    <mergeCell ref="C186:D186"/>
    <mergeCell ref="C173:D173"/>
    <mergeCell ref="C174:D174"/>
    <mergeCell ref="C177:D177"/>
    <mergeCell ref="C178:D178"/>
    <mergeCell ref="C185:D185"/>
    <mergeCell ref="C229:C237"/>
    <mergeCell ref="C206:D206"/>
    <mergeCell ref="C187:C204"/>
    <mergeCell ref="E182:Q182"/>
    <mergeCell ref="C142:D142"/>
    <mergeCell ref="C141:D141"/>
    <mergeCell ref="C105:D105"/>
    <mergeCell ref="C106:D106"/>
    <mergeCell ref="C115:D115"/>
    <mergeCell ref="C116:D116"/>
    <mergeCell ref="C97:D97"/>
    <mergeCell ref="C79:D79"/>
    <mergeCell ref="C80:D80"/>
    <mergeCell ref="C81:C84"/>
    <mergeCell ref="C96:D96"/>
    <mergeCell ref="C95:D95"/>
    <mergeCell ref="E6:Q6"/>
    <mergeCell ref="C9:D9"/>
    <mergeCell ref="C10:D10"/>
    <mergeCell ref="C53:C61"/>
    <mergeCell ref="C29:D29"/>
    <mergeCell ref="C11:C28"/>
    <mergeCell ref="C30:D30"/>
    <mergeCell ref="C6:C8"/>
    <mergeCell ref="D6:D8"/>
    <mergeCell ref="C49:D49"/>
    <mergeCell ref="C31:C48"/>
    <mergeCell ref="C50:D50"/>
    <mergeCell ref="C51:D51"/>
    <mergeCell ref="C52:D52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Q25"/>
  <sheetViews>
    <sheetView showGridLines="0" zoomScale="68" zoomScaleNormal="80" workbookViewId="0">
      <selection activeCell="K17" sqref="K17"/>
    </sheetView>
  </sheetViews>
  <sheetFormatPr defaultColWidth="9.33203125" defaultRowHeight="13.8" x14ac:dyDescent="0.25"/>
  <cols>
    <col min="1" max="1" width="3.33203125" style="4" customWidth="1"/>
    <col min="2" max="2" width="8.33203125" style="4" customWidth="1"/>
    <col min="3" max="3" width="8.33203125" style="24" customWidth="1"/>
    <col min="4" max="4" width="48" style="4" customWidth="1"/>
    <col min="5" max="5" width="16.88671875" style="24" customWidth="1"/>
    <col min="6" max="8" width="16.44140625" style="4" hidden="1" customWidth="1"/>
    <col min="9" max="9" width="16.6640625" style="4" hidden="1" customWidth="1"/>
    <col min="10" max="10" width="13.6640625" style="4" hidden="1" customWidth="1"/>
    <col min="11" max="11" width="12.5546875" style="4" hidden="1" customWidth="1"/>
    <col min="12" max="12" width="13.44140625" style="4" hidden="1" customWidth="1"/>
    <col min="13" max="13" width="11.109375" style="4" hidden="1" customWidth="1"/>
    <col min="14" max="14" width="16" style="4" customWidth="1"/>
    <col min="15" max="15" width="14.6640625" style="4" hidden="1" customWidth="1"/>
    <col min="16" max="16" width="12.5546875" style="4" hidden="1" customWidth="1"/>
    <col min="17" max="17" width="11.6640625" style="4" hidden="1" customWidth="1"/>
    <col min="18" max="18" width="13.6640625" style="4" bestFit="1" customWidth="1"/>
    <col min="19" max="21" width="11.6640625" style="4" bestFit="1" customWidth="1"/>
    <col min="22" max="22" width="11.44140625" style="4" bestFit="1" customWidth="1"/>
    <col min="23" max="23" width="12.44140625" style="4" customWidth="1"/>
    <col min="24" max="24" width="12.6640625" style="4" customWidth="1"/>
    <col min="25" max="16384" width="9.33203125" style="4"/>
  </cols>
  <sheetData>
    <row r="2" spans="2:17" x14ac:dyDescent="0.25">
      <c r="D2" s="515" t="s">
        <v>160</v>
      </c>
      <c r="J2" s="23" t="s">
        <v>38</v>
      </c>
    </row>
    <row r="3" spans="2:17" x14ac:dyDescent="0.25">
      <c r="D3" s="516" t="s">
        <v>1237</v>
      </c>
      <c r="J3" s="25" t="s">
        <v>672</v>
      </c>
    </row>
    <row r="4" spans="2:17" x14ac:dyDescent="0.25">
      <c r="D4" s="22"/>
      <c r="J4" s="25"/>
    </row>
    <row r="5" spans="2:17" x14ac:dyDescent="0.25">
      <c r="B5" s="14"/>
      <c r="C5" s="25"/>
      <c r="D5" s="14"/>
      <c r="F5" s="57"/>
      <c r="G5" s="57"/>
      <c r="H5" s="57"/>
      <c r="I5" s="57"/>
      <c r="J5" s="57"/>
      <c r="K5" s="57"/>
      <c r="L5" s="57"/>
      <c r="N5" s="25"/>
      <c r="Q5" s="15"/>
    </row>
    <row r="6" spans="2:17" hidden="1" x14ac:dyDescent="0.25">
      <c r="B6" s="60"/>
      <c r="C6" s="849" t="s">
        <v>4</v>
      </c>
      <c r="D6" s="762" t="s">
        <v>5</v>
      </c>
      <c r="E6" s="758" t="s">
        <v>298</v>
      </c>
      <c r="F6" s="755" t="s">
        <v>230</v>
      </c>
      <c r="G6" s="756"/>
      <c r="H6" s="757"/>
      <c r="I6" s="755" t="s">
        <v>131</v>
      </c>
      <c r="J6" s="756"/>
      <c r="K6" s="756"/>
      <c r="L6" s="756"/>
      <c r="M6" s="768" t="s">
        <v>9</v>
      </c>
      <c r="N6" s="768"/>
      <c r="O6" s="768"/>
      <c r="P6" s="768"/>
      <c r="Q6" s="768"/>
    </row>
    <row r="7" spans="2:17" ht="41.4" x14ac:dyDescent="0.25">
      <c r="B7" s="60"/>
      <c r="C7" s="850"/>
      <c r="D7" s="764"/>
      <c r="E7" s="792"/>
      <c r="F7" s="7" t="s">
        <v>10</v>
      </c>
      <c r="G7" s="7" t="s">
        <v>11</v>
      </c>
      <c r="H7" s="7" t="s">
        <v>12</v>
      </c>
      <c r="I7" s="7" t="s">
        <v>10</v>
      </c>
      <c r="J7" s="7" t="s">
        <v>13</v>
      </c>
      <c r="K7" s="7" t="s">
        <v>14</v>
      </c>
      <c r="L7" s="7" t="s">
        <v>15</v>
      </c>
      <c r="M7" s="7" t="s">
        <v>673</v>
      </c>
      <c r="N7" s="7" t="s">
        <v>674</v>
      </c>
      <c r="O7" s="7" t="s">
        <v>675</v>
      </c>
      <c r="P7" s="7" t="s">
        <v>676</v>
      </c>
      <c r="Q7" s="7" t="s">
        <v>677</v>
      </c>
    </row>
    <row r="8" spans="2:17" ht="15" customHeight="1" x14ac:dyDescent="0.25">
      <c r="B8" s="60"/>
      <c r="C8" s="851"/>
      <c r="D8" s="766"/>
      <c r="E8" s="793"/>
      <c r="F8" s="7" t="s">
        <v>21</v>
      </c>
      <c r="G8" s="7" t="s">
        <v>22</v>
      </c>
      <c r="H8" s="7" t="s">
        <v>23</v>
      </c>
      <c r="I8" s="7" t="s">
        <v>21</v>
      </c>
      <c r="J8" s="7" t="s">
        <v>24</v>
      </c>
      <c r="K8" s="7" t="s">
        <v>25</v>
      </c>
      <c r="L8" s="7" t="s">
        <v>25</v>
      </c>
      <c r="M8" s="7" t="s">
        <v>26</v>
      </c>
      <c r="N8" s="7" t="s">
        <v>26</v>
      </c>
      <c r="O8" s="7" t="s">
        <v>26</v>
      </c>
      <c r="P8" s="7" t="s">
        <v>26</v>
      </c>
      <c r="Q8" s="7" t="s">
        <v>26</v>
      </c>
    </row>
    <row r="9" spans="2:17" x14ac:dyDescent="0.25">
      <c r="B9" s="60"/>
      <c r="C9" s="78" t="s">
        <v>279</v>
      </c>
      <c r="D9" s="71" t="s">
        <v>142</v>
      </c>
      <c r="E9" s="73"/>
      <c r="F9" s="77">
        <v>465.33</v>
      </c>
      <c r="G9" s="133">
        <f>'[51]FY 2022-23 Input NP'!$P$178</f>
        <v>717.49665131803806</v>
      </c>
      <c r="H9" s="129">
        <f>G9-F9</f>
        <v>252.16665131803808</v>
      </c>
      <c r="I9" s="77">
        <v>451.19</v>
      </c>
      <c r="J9" s="17"/>
      <c r="K9" s="17"/>
      <c r="L9" s="168">
        <f>[52]TGNPDCL!D5</f>
        <v>715.66519036669627</v>
      </c>
      <c r="M9" s="168">
        <f>'[53]TRANSMISSION projections'!E18</f>
        <v>677.78521398480007</v>
      </c>
      <c r="N9" s="168">
        <v>711</v>
      </c>
      <c r="O9" s="168">
        <f>'[53]TRANSMISSION projections'!G18</f>
        <v>747.25819841824193</v>
      </c>
      <c r="P9" s="168">
        <f>'[53]TRANSMISSION projections'!H18</f>
        <v>784.62110833915415</v>
      </c>
      <c r="Q9" s="168">
        <f>'[53]TRANSMISSION projections'!I18</f>
        <v>823.85216375611185</v>
      </c>
    </row>
    <row r="10" spans="2:17" x14ac:dyDescent="0.25">
      <c r="B10" s="60"/>
      <c r="C10" s="78"/>
      <c r="D10" s="71"/>
      <c r="E10" s="73"/>
      <c r="F10" s="77"/>
      <c r="G10" s="59"/>
      <c r="H10" s="58"/>
      <c r="I10" s="77"/>
      <c r="J10" s="17"/>
      <c r="K10" s="17"/>
      <c r="L10" s="17"/>
      <c r="M10" s="17"/>
      <c r="N10" s="17"/>
      <c r="O10" s="17"/>
      <c r="P10" s="17"/>
      <c r="Q10" s="17"/>
    </row>
    <row r="11" spans="2:17" x14ac:dyDescent="0.25">
      <c r="C11" s="13" t="s">
        <v>285</v>
      </c>
      <c r="D11" s="71" t="s">
        <v>143</v>
      </c>
      <c r="E11" s="74"/>
      <c r="F11" s="11"/>
      <c r="G11" s="17"/>
      <c r="H11" s="17"/>
      <c r="I11" s="11"/>
      <c r="J11" s="17"/>
      <c r="K11" s="17"/>
      <c r="L11" s="17"/>
      <c r="M11" s="17"/>
      <c r="N11" s="17"/>
      <c r="O11" s="17"/>
      <c r="P11" s="17"/>
      <c r="Q11" s="17"/>
    </row>
    <row r="12" spans="2:17" x14ac:dyDescent="0.25">
      <c r="C12" s="11">
        <v>1</v>
      </c>
      <c r="D12" s="75" t="s">
        <v>678</v>
      </c>
      <c r="E12" s="74" t="s">
        <v>679</v>
      </c>
      <c r="F12" s="11"/>
      <c r="G12" s="17"/>
      <c r="H12" s="17"/>
      <c r="I12" s="11"/>
      <c r="J12" s="17"/>
      <c r="K12" s="17"/>
      <c r="L12" s="17"/>
      <c r="M12" s="132">
        <f>'[53]TRANSMISSION projections'!E$5*29.45%</f>
        <v>6653.0023799999999</v>
      </c>
      <c r="N12" s="132">
        <f>23544.83*29.45%</f>
        <v>6933.9524350000002</v>
      </c>
      <c r="O12" s="132">
        <f>'[53]TRANSMISSION projections'!G$5*29.45%</f>
        <v>6560.3467899999996</v>
      </c>
      <c r="P12" s="132">
        <f>'[53]TRANSMISSION projections'!H$5*29.45%</f>
        <v>6517.5942249999998</v>
      </c>
      <c r="Q12" s="132">
        <f>'[53]TRANSMISSION projections'!I$5*29.45%</f>
        <v>6363.1525350000002</v>
      </c>
    </row>
    <row r="13" spans="2:17" x14ac:dyDescent="0.25">
      <c r="C13" s="77">
        <v>2</v>
      </c>
      <c r="D13" s="76" t="s">
        <v>680</v>
      </c>
      <c r="E13" s="77" t="s">
        <v>681</v>
      </c>
      <c r="F13" s="11"/>
      <c r="G13" s="17"/>
      <c r="H13" s="66"/>
      <c r="I13" s="11"/>
      <c r="J13" s="17"/>
      <c r="K13" s="17"/>
      <c r="L13" s="111"/>
      <c r="M13" s="129">
        <f>'[53]TRANSMISSION projections'!E6</f>
        <v>109.55</v>
      </c>
      <c r="N13" s="129">
        <v>73.64</v>
      </c>
      <c r="O13" s="129">
        <f>'[53]TRANSMISSION projections'!G6</f>
        <v>166.83</v>
      </c>
      <c r="P13" s="129">
        <f>'[53]TRANSMISSION projections'!H6</f>
        <v>188.64</v>
      </c>
      <c r="Q13" s="129">
        <f>'[53]TRANSMISSION projections'!I6</f>
        <v>211.85</v>
      </c>
    </row>
    <row r="14" spans="2:17" x14ac:dyDescent="0.25">
      <c r="C14" s="11">
        <v>3</v>
      </c>
      <c r="D14" s="71" t="s">
        <v>143</v>
      </c>
      <c r="E14" s="70" t="s">
        <v>682</v>
      </c>
      <c r="F14" s="13">
        <v>1005.43</v>
      </c>
      <c r="G14" s="134">
        <f>'[51]FY 2022-23 Input NP'!$P$176</f>
        <v>1005.9486699</v>
      </c>
      <c r="H14" s="130">
        <f t="shared" ref="H14" si="0">G14-F14</f>
        <v>0.51866990000007718</v>
      </c>
      <c r="I14" s="13">
        <v>1126.29</v>
      </c>
      <c r="J14" s="28"/>
      <c r="K14" s="28"/>
      <c r="L14" s="134">
        <f>[52]TGNPDCL!$D$4</f>
        <v>1126.2939468</v>
      </c>
      <c r="M14" s="134">
        <f>'[53]TRANSMISSION projections'!E11</f>
        <v>874.57076000000006</v>
      </c>
      <c r="N14" s="134">
        <f>N12*N13*12/10000</f>
        <v>612.73950877608002</v>
      </c>
      <c r="O14" s="134">
        <f>'[53]TRANSMISSION projections'!G11</f>
        <v>1313.3875400000002</v>
      </c>
      <c r="P14" s="134">
        <f>'[53]TRANSMISSION projections'!H11</f>
        <v>1475.3949349999998</v>
      </c>
      <c r="Q14" s="134">
        <f>'[53]TRANSMISSION projections'!I11</f>
        <v>1617.6207650000001</v>
      </c>
    </row>
    <row r="15" spans="2:17" x14ac:dyDescent="0.25">
      <c r="C15" s="11"/>
      <c r="D15" s="19"/>
      <c r="E15" s="11"/>
      <c r="F15" s="11"/>
      <c r="G15" s="11"/>
      <c r="H15" s="11"/>
      <c r="I15" s="11"/>
      <c r="J15" s="17"/>
      <c r="K15" s="17"/>
      <c r="L15" s="17"/>
      <c r="M15" s="17"/>
      <c r="N15" s="17"/>
      <c r="O15" s="17"/>
      <c r="P15" s="17"/>
      <c r="Q15" s="17"/>
    </row>
    <row r="16" spans="2:17" x14ac:dyDescent="0.25">
      <c r="C16" s="13" t="s">
        <v>288</v>
      </c>
      <c r="D16" s="71" t="s">
        <v>144</v>
      </c>
      <c r="E16" s="74"/>
      <c r="F16" s="11"/>
      <c r="G16" s="11"/>
      <c r="H16" s="11"/>
      <c r="I16" s="11"/>
      <c r="J16" s="17"/>
      <c r="K16" s="17"/>
      <c r="L16" s="17"/>
      <c r="M16" s="17"/>
      <c r="N16" s="17"/>
      <c r="O16" s="17"/>
      <c r="P16" s="17"/>
      <c r="Q16" s="17"/>
    </row>
    <row r="17" spans="3:17" x14ac:dyDescent="0.25">
      <c r="C17" s="11">
        <v>1</v>
      </c>
      <c r="D17" s="75" t="s">
        <v>683</v>
      </c>
      <c r="E17" s="74" t="s">
        <v>679</v>
      </c>
      <c r="F17" s="11"/>
      <c r="G17" s="11"/>
      <c r="H17" s="11"/>
      <c r="I17" s="11"/>
      <c r="J17" s="17"/>
      <c r="K17" s="17"/>
      <c r="L17" s="17"/>
      <c r="M17" s="132">
        <f>'[53]SLDC projections'!D6*29.45%</f>
        <v>6949.7641399999993</v>
      </c>
      <c r="N17" s="129">
        <f>(24584.78-129)*29.45%</f>
        <v>7202.2272099999991</v>
      </c>
      <c r="O17" s="132">
        <f>'[53]SLDC projections'!F6*29.45%</f>
        <v>6857.1085499999999</v>
      </c>
      <c r="P17" s="132">
        <f>'[53]SLDC projections'!G6*29.45%</f>
        <v>6811.9970400000002</v>
      </c>
      <c r="Q17" s="132">
        <f>'[53]SLDC projections'!H6*29.45%</f>
        <v>6655.791295</v>
      </c>
    </row>
    <row r="18" spans="3:17" x14ac:dyDescent="0.25">
      <c r="C18" s="77">
        <v>2</v>
      </c>
      <c r="D18" s="76" t="s">
        <v>144</v>
      </c>
      <c r="E18" s="77" t="s">
        <v>681</v>
      </c>
      <c r="F18" s="11"/>
      <c r="G18" s="11"/>
      <c r="H18" s="129"/>
      <c r="I18" s="11"/>
      <c r="J18" s="17"/>
      <c r="K18" s="17"/>
      <c r="L18" s="129"/>
      <c r="M18" s="129">
        <f>'[53]SLDC projections'!D7</f>
        <v>2.9518</v>
      </c>
      <c r="N18" s="129">
        <v>2.5949800000000001</v>
      </c>
      <c r="O18" s="129">
        <f>'[53]SLDC projections'!F7</f>
        <v>3.9462199999999998</v>
      </c>
      <c r="P18" s="129">
        <f>'[53]SLDC projections'!G7</f>
        <v>4.1099700000000006</v>
      </c>
      <c r="Q18" s="129">
        <f>'[53]SLDC projections'!H7</f>
        <v>4.3550300000000002</v>
      </c>
    </row>
    <row r="19" spans="3:17" x14ac:dyDescent="0.25">
      <c r="C19" s="11">
        <v>3</v>
      </c>
      <c r="D19" s="79" t="s">
        <v>144</v>
      </c>
      <c r="E19" s="70" t="s">
        <v>682</v>
      </c>
      <c r="F19" s="13">
        <v>13.23</v>
      </c>
      <c r="G19" s="130">
        <f>'[51]FY 2022-23 Input NP'!$P$177</f>
        <v>13.235678800000001</v>
      </c>
      <c r="H19" s="130">
        <f t="shared" ref="H19" si="1">G19-F19</f>
        <v>5.6788000000000949E-3</v>
      </c>
      <c r="I19" s="13">
        <v>13.69</v>
      </c>
      <c r="J19" s="28"/>
      <c r="K19" s="28"/>
      <c r="L19" s="130">
        <f>[52]TGNPDCL!$D$6</f>
        <v>13.689398799999999</v>
      </c>
      <c r="M19" s="134">
        <f>'[53]SLDC projections'!D11</f>
        <v>24.617255</v>
      </c>
      <c r="N19" s="505">
        <f>N17*N18*12/10000</f>
        <v>22.427562678486957</v>
      </c>
      <c r="O19" s="134">
        <f>'[53]SLDC projections'!F11</f>
        <v>32.47157</v>
      </c>
      <c r="P19" s="134">
        <f>'[53]SLDC projections'!G11</f>
        <v>33.596559999999997</v>
      </c>
      <c r="Q19" s="134">
        <f>'[53]SLDC projections'!H11</f>
        <v>34.783394999999999</v>
      </c>
    </row>
    <row r="22" spans="3:17" x14ac:dyDescent="0.25">
      <c r="E22" s="25"/>
      <c r="F22" s="22"/>
      <c r="G22" s="22"/>
      <c r="H22" s="22"/>
      <c r="I22" s="22"/>
      <c r="J22" s="22"/>
    </row>
    <row r="23" spans="3:17" x14ac:dyDescent="0.25">
      <c r="F23" s="24"/>
      <c r="G23" s="24"/>
      <c r="H23" s="24"/>
      <c r="I23" s="24"/>
      <c r="J23" s="24"/>
    </row>
    <row r="24" spans="3:17" x14ac:dyDescent="0.25">
      <c r="F24" s="24"/>
      <c r="G24" s="24"/>
      <c r="H24" s="24"/>
      <c r="I24" s="24"/>
      <c r="J24" s="24"/>
    </row>
    <row r="25" spans="3:17" x14ac:dyDescent="0.25">
      <c r="F25" s="24"/>
      <c r="G25" s="24"/>
      <c r="H25" s="24"/>
      <c r="I25" s="24"/>
      <c r="J25" s="24"/>
    </row>
  </sheetData>
  <mergeCells count="6">
    <mergeCell ref="M6:Q6"/>
    <mergeCell ref="C6:C8"/>
    <mergeCell ref="D6:D8"/>
    <mergeCell ref="E6:E8"/>
    <mergeCell ref="F6:H6"/>
    <mergeCell ref="I6:L6"/>
  </mergeCell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A1:Q38"/>
  <sheetViews>
    <sheetView showGridLines="0" topLeftCell="A7" zoomScale="75" zoomScaleNormal="75" zoomScaleSheetLayoutView="80" workbookViewId="0">
      <selection activeCell="L13" sqref="L13"/>
    </sheetView>
  </sheetViews>
  <sheetFormatPr defaultColWidth="9.109375" defaultRowHeight="13.8" x14ac:dyDescent="0.25"/>
  <cols>
    <col min="1" max="1" width="9.109375" style="4"/>
    <col min="2" max="2" width="7.33203125" style="4" customWidth="1"/>
    <col min="3" max="3" width="32.33203125" style="4" customWidth="1"/>
    <col min="4" max="4" width="14.44140625" style="4" customWidth="1"/>
    <col min="5" max="7" width="14.6640625" style="4" hidden="1" customWidth="1"/>
    <col min="8" max="9" width="12.33203125" style="4" hidden="1" customWidth="1"/>
    <col min="10" max="10" width="11.88671875" style="4" hidden="1" customWidth="1"/>
    <col min="11" max="11" width="12.33203125" style="4" hidden="1" customWidth="1"/>
    <col min="12" max="12" width="12.33203125" style="4" customWidth="1"/>
    <col min="13" max="13" width="12.33203125" style="4" bestFit="1" customWidth="1"/>
    <col min="14" max="14" width="13" style="4" hidden="1" customWidth="1"/>
    <col min="15" max="15" width="13.44140625" style="4" hidden="1" customWidth="1"/>
    <col min="16" max="16" width="12.6640625" style="4" hidden="1" customWidth="1"/>
    <col min="17" max="16384" width="9.109375" style="4"/>
  </cols>
  <sheetData>
    <row r="1" spans="2:17" x14ac:dyDescent="0.25">
      <c r="C1" s="26"/>
      <c r="D1" s="26"/>
      <c r="E1" s="26"/>
      <c r="F1" s="26"/>
      <c r="G1" s="26"/>
      <c r="I1" s="26"/>
      <c r="J1" s="26"/>
      <c r="K1" s="439"/>
      <c r="L1" s="26"/>
    </row>
    <row r="2" spans="2:17" x14ac:dyDescent="0.25">
      <c r="C2" s="26"/>
      <c r="D2" s="26"/>
      <c r="E2" s="26"/>
      <c r="F2" s="26"/>
      <c r="G2" s="26"/>
      <c r="H2" s="251" t="s">
        <v>0</v>
      </c>
      <c r="I2" s="26"/>
      <c r="J2" s="26"/>
      <c r="K2" s="439"/>
      <c r="L2" s="26"/>
    </row>
    <row r="3" spans="2:17" x14ac:dyDescent="0.25">
      <c r="B3" s="440"/>
      <c r="C3" s="440"/>
      <c r="D3" s="440"/>
      <c r="E3" s="440"/>
      <c r="F3" s="440"/>
      <c r="G3" s="440"/>
      <c r="H3" s="440" t="s">
        <v>1</v>
      </c>
      <c r="I3" s="440"/>
      <c r="J3" s="440"/>
      <c r="K3" s="440"/>
      <c r="L3" s="440"/>
    </row>
    <row r="4" spans="2:17" x14ac:dyDescent="0.2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7" x14ac:dyDescent="0.25">
      <c r="B5" s="14" t="s">
        <v>2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7" x14ac:dyDescent="0.25">
      <c r="M6" s="15" t="s">
        <v>1215</v>
      </c>
      <c r="P6" s="16" t="s">
        <v>3</v>
      </c>
    </row>
    <row r="7" spans="2:17" x14ac:dyDescent="0.25">
      <c r="B7" s="852" t="s">
        <v>4</v>
      </c>
      <c r="C7" s="852" t="s">
        <v>5</v>
      </c>
      <c r="D7" s="853" t="s">
        <v>6</v>
      </c>
      <c r="E7" s="755" t="s">
        <v>7</v>
      </c>
      <c r="F7" s="756"/>
      <c r="G7" s="757"/>
      <c r="H7" s="755" t="s">
        <v>8</v>
      </c>
      <c r="I7" s="756"/>
      <c r="J7" s="756"/>
      <c r="K7" s="756"/>
      <c r="L7" s="768" t="s">
        <v>9</v>
      </c>
      <c r="M7" s="768"/>
      <c r="N7" s="768"/>
      <c r="O7" s="768"/>
      <c r="P7" s="768"/>
      <c r="Q7" s="443"/>
    </row>
    <row r="8" spans="2:17" ht="27.6" x14ac:dyDescent="0.25">
      <c r="B8" s="852"/>
      <c r="C8" s="852"/>
      <c r="D8" s="854"/>
      <c r="E8" s="435" t="s">
        <v>10</v>
      </c>
      <c r="F8" s="435" t="s">
        <v>11</v>
      </c>
      <c r="G8" s="435" t="s">
        <v>12</v>
      </c>
      <c r="H8" s="435" t="s">
        <v>10</v>
      </c>
      <c r="I8" s="435" t="s">
        <v>13</v>
      </c>
      <c r="J8" s="435" t="s">
        <v>14</v>
      </c>
      <c r="K8" s="435" t="s">
        <v>15</v>
      </c>
      <c r="L8" s="435" t="s">
        <v>16</v>
      </c>
      <c r="M8" s="435" t="s">
        <v>17</v>
      </c>
      <c r="N8" s="435" t="s">
        <v>18</v>
      </c>
      <c r="O8" s="435" t="s">
        <v>19</v>
      </c>
      <c r="P8" s="435" t="s">
        <v>20</v>
      </c>
    </row>
    <row r="9" spans="2:17" x14ac:dyDescent="0.25">
      <c r="B9" s="852"/>
      <c r="C9" s="852"/>
      <c r="D9" s="855"/>
      <c r="E9" s="435" t="s">
        <v>21</v>
      </c>
      <c r="F9" s="435" t="s">
        <v>22</v>
      </c>
      <c r="G9" s="435" t="s">
        <v>23</v>
      </c>
      <c r="H9" s="435" t="s">
        <v>21</v>
      </c>
      <c r="I9" s="435" t="s">
        <v>24</v>
      </c>
      <c r="J9" s="435" t="s">
        <v>25</v>
      </c>
      <c r="K9" s="435" t="s">
        <v>25</v>
      </c>
      <c r="L9" s="435" t="s">
        <v>26</v>
      </c>
      <c r="M9" s="435" t="s">
        <v>26</v>
      </c>
      <c r="N9" s="435" t="s">
        <v>26</v>
      </c>
      <c r="O9" s="435" t="s">
        <v>26</v>
      </c>
      <c r="P9" s="435" t="s">
        <v>26</v>
      </c>
    </row>
    <row r="10" spans="2:17" x14ac:dyDescent="0.25">
      <c r="B10" s="438">
        <v>1</v>
      </c>
      <c r="C10" s="19" t="s">
        <v>27</v>
      </c>
      <c r="D10" s="19" t="s">
        <v>28</v>
      </c>
      <c r="E10" s="19"/>
      <c r="F10" s="93">
        <f>F20+F30</f>
        <v>2096.9223000000002</v>
      </c>
      <c r="G10" s="105"/>
      <c r="H10" s="29"/>
      <c r="I10" s="93" t="e">
        <f t="shared" ref="I10:J12" si="0">I20+I30</f>
        <v>#REF!</v>
      </c>
      <c r="J10" s="93" t="e">
        <f t="shared" si="0"/>
        <v>#REF!</v>
      </c>
      <c r="K10" s="93" t="e">
        <f>I10+J10</f>
        <v>#REF!</v>
      </c>
      <c r="L10" s="93">
        <f>L20+L30</f>
        <v>2711.5530192691463</v>
      </c>
      <c r="M10" s="93">
        <f>M20+M30</f>
        <v>2868.5519390848303</v>
      </c>
      <c r="N10" s="93">
        <f>'[54]O&amp;M Projections New Methodology'!L5</f>
        <v>3486.5266523454998</v>
      </c>
      <c r="O10" s="93">
        <f>'[54]O&amp;M Projections New Methodology'!M5</f>
        <v>3735.504086704469</v>
      </c>
      <c r="P10" s="93">
        <f>'[54]O&amp;M Projections New Methodology'!N5</f>
        <v>4002.303586964149</v>
      </c>
    </row>
    <row r="11" spans="2:17" x14ac:dyDescent="0.25">
      <c r="B11" s="438">
        <f>B10+1</f>
        <v>2</v>
      </c>
      <c r="C11" s="27" t="s">
        <v>29</v>
      </c>
      <c r="D11" s="27" t="s">
        <v>30</v>
      </c>
      <c r="E11" s="27"/>
      <c r="F11" s="93">
        <f>F21+F31</f>
        <v>237.08170000000001</v>
      </c>
      <c r="G11" s="105"/>
      <c r="H11" s="29"/>
      <c r="I11" s="93">
        <f t="shared" si="0"/>
        <v>0</v>
      </c>
      <c r="J11" s="93">
        <f t="shared" si="0"/>
        <v>0</v>
      </c>
      <c r="K11" s="93">
        <f>I11+J11</f>
        <v>0</v>
      </c>
      <c r="L11" s="93">
        <f t="shared" ref="L11:M12" si="1">L21+L31</f>
        <v>303.6862297518</v>
      </c>
      <c r="M11" s="93">
        <f t="shared" si="1"/>
        <v>318.65796087856364</v>
      </c>
      <c r="N11" s="93">
        <f>'[54]O&amp;M Projections New Methodology'!L6</f>
        <v>334.36779834987681</v>
      </c>
      <c r="O11" s="93">
        <f>'[54]O&amp;M Projections New Methodology'!M6</f>
        <v>350.85213080852571</v>
      </c>
      <c r="P11" s="93">
        <f>'[54]O&amp;M Projections New Methodology'!N6</f>
        <v>368.14914085738599</v>
      </c>
    </row>
    <row r="12" spans="2:17" x14ac:dyDescent="0.25">
      <c r="B12" s="438">
        <f>B11+1</f>
        <v>3</v>
      </c>
      <c r="C12" s="19" t="s">
        <v>31</v>
      </c>
      <c r="D12" s="19" t="s">
        <v>32</v>
      </c>
      <c r="E12" s="19"/>
      <c r="F12" s="93">
        <f>F22+F32</f>
        <v>115.27767899999999</v>
      </c>
      <c r="G12" s="105"/>
      <c r="H12" s="29"/>
      <c r="I12" s="93">
        <f t="shared" si="0"/>
        <v>0</v>
      </c>
      <c r="J12" s="93">
        <f t="shared" ca="1" si="0"/>
        <v>8.4370678754859969E-25</v>
      </c>
      <c r="K12" s="93">
        <f ca="1">I12+J12</f>
        <v>8.4370678754859969E-25</v>
      </c>
      <c r="L12" s="93">
        <f t="shared" si="1"/>
        <v>130.36097092491684</v>
      </c>
      <c r="M12" s="93">
        <f t="shared" si="1"/>
        <v>149.22810912741539</v>
      </c>
      <c r="N12" s="93">
        <f>'[54]O&amp;M Projections New Methodology'!L7</f>
        <v>194.90220786213172</v>
      </c>
      <c r="O12" s="93">
        <f>'[54]O&amp;M Projections New Methodology'!M7</f>
        <v>219.19779902049754</v>
      </c>
      <c r="P12" s="93">
        <f>'[54]O&amp;M Projections New Methodology'!N7</f>
        <v>246.11992468043087</v>
      </c>
    </row>
    <row r="13" spans="2:17" x14ac:dyDescent="0.25">
      <c r="B13" s="438">
        <f>B12+1</f>
        <v>4</v>
      </c>
      <c r="C13" s="19" t="s">
        <v>33</v>
      </c>
      <c r="D13" s="19"/>
      <c r="E13" s="19"/>
      <c r="F13" s="94">
        <f>SUM(F10:F12)</f>
        <v>2449.2816790000002</v>
      </c>
      <c r="G13" s="95"/>
      <c r="H13" s="29"/>
      <c r="I13" s="95" t="e">
        <f>SUM(I10:I12)</f>
        <v>#REF!</v>
      </c>
      <c r="J13" s="95" t="e">
        <f>SUM(J10:J12)</f>
        <v>#REF!</v>
      </c>
      <c r="K13" s="95" t="e">
        <f>I13+J13</f>
        <v>#REF!</v>
      </c>
      <c r="L13" s="444">
        <f>SUM(L10:L12)</f>
        <v>3145.600219945863</v>
      </c>
      <c r="M13" s="444">
        <f>SUM(M10:M12)</f>
        <v>3336.4380090908094</v>
      </c>
      <c r="N13" s="252">
        <f>SUM(N10:N12)</f>
        <v>4015.7966585575086</v>
      </c>
      <c r="O13" s="252">
        <f>SUM(O10:O12)</f>
        <v>4305.5540165334924</v>
      </c>
      <c r="P13" s="252">
        <f>SUM(P10:P12)</f>
        <v>4616.5726525019654</v>
      </c>
    </row>
    <row r="14" spans="2:17" x14ac:dyDescent="0.25">
      <c r="B14" s="24"/>
      <c r="C14" s="35"/>
      <c r="D14" s="35"/>
      <c r="E14" s="35"/>
      <c r="F14" s="253"/>
      <c r="G14" s="254"/>
      <c r="H14" s="36"/>
      <c r="I14" s="254"/>
      <c r="J14" s="254"/>
      <c r="K14" s="254"/>
      <c r="L14" s="253"/>
      <c r="M14" s="253"/>
      <c r="N14" s="253"/>
      <c r="O14" s="253"/>
      <c r="P14" s="253"/>
    </row>
    <row r="15" spans="2:17" x14ac:dyDescent="0.25">
      <c r="B15" s="14" t="s">
        <v>34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</row>
    <row r="16" spans="2:17" x14ac:dyDescent="0.25">
      <c r="M16" s="15" t="s">
        <v>1215</v>
      </c>
      <c r="P16" s="16" t="s">
        <v>3</v>
      </c>
    </row>
    <row r="17" spans="1:17" ht="13.95" customHeight="1" x14ac:dyDescent="0.25">
      <c r="B17" s="852" t="s">
        <v>4</v>
      </c>
      <c r="C17" s="852" t="s">
        <v>5</v>
      </c>
      <c r="D17" s="853" t="s">
        <v>6</v>
      </c>
      <c r="E17" s="755" t="s">
        <v>7</v>
      </c>
      <c r="F17" s="756"/>
      <c r="G17" s="757"/>
      <c r="H17" s="755" t="s">
        <v>8</v>
      </c>
      <c r="I17" s="756"/>
      <c r="J17" s="756"/>
      <c r="K17" s="756"/>
      <c r="L17" s="768" t="s">
        <v>9</v>
      </c>
      <c r="M17" s="768"/>
      <c r="N17" s="768"/>
      <c r="O17" s="768"/>
      <c r="P17" s="768"/>
      <c r="Q17" s="443"/>
    </row>
    <row r="18" spans="1:17" ht="27.6" x14ac:dyDescent="0.25">
      <c r="B18" s="852"/>
      <c r="C18" s="852"/>
      <c r="D18" s="854"/>
      <c r="E18" s="435" t="s">
        <v>10</v>
      </c>
      <c r="F18" s="435" t="s">
        <v>11</v>
      </c>
      <c r="G18" s="435" t="s">
        <v>12</v>
      </c>
      <c r="H18" s="435" t="s">
        <v>10</v>
      </c>
      <c r="I18" s="435" t="s">
        <v>13</v>
      </c>
      <c r="J18" s="435" t="s">
        <v>14</v>
      </c>
      <c r="K18" s="435" t="s">
        <v>15</v>
      </c>
      <c r="L18" s="435" t="s">
        <v>16</v>
      </c>
      <c r="M18" s="435" t="s">
        <v>17</v>
      </c>
      <c r="N18" s="435" t="s">
        <v>18</v>
      </c>
      <c r="O18" s="435" t="s">
        <v>19</v>
      </c>
      <c r="P18" s="435" t="s">
        <v>20</v>
      </c>
    </row>
    <row r="19" spans="1:17" x14ac:dyDescent="0.25">
      <c r="B19" s="852"/>
      <c r="C19" s="852"/>
      <c r="D19" s="855"/>
      <c r="E19" s="435" t="s">
        <v>21</v>
      </c>
      <c r="F19" s="435" t="s">
        <v>22</v>
      </c>
      <c r="G19" s="435" t="s">
        <v>23</v>
      </c>
      <c r="H19" s="435" t="s">
        <v>21</v>
      </c>
      <c r="I19" s="435" t="s">
        <v>24</v>
      </c>
      <c r="J19" s="435" t="s">
        <v>25</v>
      </c>
      <c r="K19" s="435" t="s">
        <v>25</v>
      </c>
      <c r="L19" s="435" t="s">
        <v>26</v>
      </c>
      <c r="M19" s="435" t="s">
        <v>26</v>
      </c>
      <c r="N19" s="435" t="s">
        <v>26</v>
      </c>
      <c r="O19" s="435" t="s">
        <v>26</v>
      </c>
      <c r="P19" s="435" t="s">
        <v>26</v>
      </c>
    </row>
    <row r="20" spans="1:17" x14ac:dyDescent="0.25">
      <c r="B20" s="438">
        <v>1</v>
      </c>
      <c r="C20" s="19" t="s">
        <v>27</v>
      </c>
      <c r="D20" s="19" t="s">
        <v>28</v>
      </c>
      <c r="E20" s="19"/>
      <c r="F20" s="93">
        <f>F15.1!G67</f>
        <v>1887.2300700000003</v>
      </c>
      <c r="G20" s="105"/>
      <c r="H20" s="29"/>
      <c r="I20" s="93" t="e">
        <f>#REF!</f>
        <v>#REF!</v>
      </c>
      <c r="J20" s="93" t="e">
        <f>#REF!</f>
        <v>#REF!</v>
      </c>
      <c r="K20" s="93" t="e">
        <f>I20+J20</f>
        <v>#REF!</v>
      </c>
      <c r="L20" s="93">
        <f>90%*'[54]O&amp;M Projections New Methodology'!J5</f>
        <v>2440.3977173422318</v>
      </c>
      <c r="M20" s="93">
        <f>90%*'[54]O&amp;M Projections New Methodology'!K5</f>
        <v>2581.6967451763471</v>
      </c>
      <c r="N20" s="93">
        <f t="shared" ref="N20:P22" si="2">90%*N10</f>
        <v>3137.8739871109497</v>
      </c>
      <c r="O20" s="93">
        <f t="shared" si="2"/>
        <v>3361.9536780340222</v>
      </c>
      <c r="P20" s="93">
        <f t="shared" si="2"/>
        <v>3602.0732282677341</v>
      </c>
    </row>
    <row r="21" spans="1:17" x14ac:dyDescent="0.25">
      <c r="B21" s="438">
        <f>B20+1</f>
        <v>2</v>
      </c>
      <c r="C21" s="27" t="s">
        <v>29</v>
      </c>
      <c r="D21" s="27" t="s">
        <v>30</v>
      </c>
      <c r="E21" s="27"/>
      <c r="F21" s="93">
        <f>F15.2!G75</f>
        <v>213.37353000000002</v>
      </c>
      <c r="G21" s="105"/>
      <c r="H21" s="29"/>
      <c r="I21" s="93">
        <f>F15.2!H75</f>
        <v>0</v>
      </c>
      <c r="J21" s="93">
        <f>F15.2!I75</f>
        <v>0</v>
      </c>
      <c r="K21" s="93">
        <f>F15.2!J75</f>
        <v>248.238</v>
      </c>
      <c r="L21" s="93">
        <f>90%*'[54]O&amp;M Projections New Methodology'!J6</f>
        <v>273.31760677661998</v>
      </c>
      <c r="M21" s="93">
        <f>90%*'[54]O&amp;M Projections New Methodology'!K6</f>
        <v>286.79216479070726</v>
      </c>
      <c r="N21" s="93">
        <f t="shared" si="2"/>
        <v>300.93101851488916</v>
      </c>
      <c r="O21" s="93">
        <f t="shared" si="2"/>
        <v>315.76691772767316</v>
      </c>
      <c r="P21" s="93">
        <f t="shared" si="2"/>
        <v>331.33422677164742</v>
      </c>
    </row>
    <row r="22" spans="1:17" x14ac:dyDescent="0.25">
      <c r="B22" s="438">
        <f>B21+1</f>
        <v>3</v>
      </c>
      <c r="C22" s="19" t="s">
        <v>31</v>
      </c>
      <c r="D22" s="19" t="s">
        <v>32</v>
      </c>
      <c r="E22" s="19"/>
      <c r="F22" s="93">
        <f>F15.3!G37</f>
        <v>104.79789</v>
      </c>
      <c r="G22" s="105"/>
      <c r="H22" s="29"/>
      <c r="I22" s="93">
        <f>F15.3!H37</f>
        <v>0</v>
      </c>
      <c r="J22" s="93">
        <f ca="1">F15.3!I37</f>
        <v>7.5933610879373957E-25</v>
      </c>
      <c r="K22" s="93">
        <f ca="1">F15.3!J37</f>
        <v>7.5933610879373957E-25</v>
      </c>
      <c r="L22" s="93">
        <f>90%*'[54]O&amp;M Projections New Methodology'!J7</f>
        <v>117.32487383242515</v>
      </c>
      <c r="M22" s="93">
        <f>90%*'[54]O&amp;M Projections New Methodology'!K7</f>
        <v>134.30529821467385</v>
      </c>
      <c r="N22" s="93">
        <f t="shared" si="2"/>
        <v>175.41198707591855</v>
      </c>
      <c r="O22" s="93">
        <f t="shared" si="2"/>
        <v>197.27801911844779</v>
      </c>
      <c r="P22" s="93">
        <f t="shared" si="2"/>
        <v>221.5079322123878</v>
      </c>
    </row>
    <row r="23" spans="1:17" x14ac:dyDescent="0.25">
      <c r="B23" s="438">
        <f>B22+1</f>
        <v>4</v>
      </c>
      <c r="C23" s="19" t="s">
        <v>33</v>
      </c>
      <c r="D23" s="19"/>
      <c r="E23" s="19"/>
      <c r="F23" s="94">
        <f>SUM(F20:F22)</f>
        <v>2205.4014900000002</v>
      </c>
      <c r="G23" s="95"/>
      <c r="H23" s="29"/>
      <c r="I23" s="95" t="e">
        <f>SUM(I20:I22)</f>
        <v>#REF!</v>
      </c>
      <c r="J23" s="95" t="e">
        <f>SUM(J20:J22)</f>
        <v>#REF!</v>
      </c>
      <c r="K23" s="95" t="e">
        <f>I23+J23</f>
        <v>#REF!</v>
      </c>
      <c r="L23" s="95">
        <f>SUM(L20:L22)</f>
        <v>2831.0401979512767</v>
      </c>
      <c r="M23" s="95">
        <f>SUM(M20:M22)</f>
        <v>3002.7942081817282</v>
      </c>
      <c r="N23" s="95">
        <f>SUM(N20:N22)</f>
        <v>3614.2169927017576</v>
      </c>
      <c r="O23" s="95">
        <f>SUM(O20:O22)</f>
        <v>3874.9986148801431</v>
      </c>
      <c r="P23" s="95">
        <f>SUM(P20:P22)</f>
        <v>4154.9153872517691</v>
      </c>
    </row>
    <row r="24" spans="1:17" x14ac:dyDescent="0.25">
      <c r="B24" s="24"/>
      <c r="C24" s="35"/>
      <c r="D24" s="35"/>
      <c r="E24" s="35"/>
      <c r="F24" s="253"/>
      <c r="G24" s="254"/>
      <c r="H24" s="36"/>
      <c r="I24" s="254"/>
      <c r="J24" s="254"/>
      <c r="K24" s="254"/>
      <c r="L24" s="253"/>
      <c r="M24" s="253"/>
      <c r="N24" s="253"/>
      <c r="O24" s="253"/>
      <c r="P24" s="253"/>
    </row>
    <row r="25" spans="1:17" x14ac:dyDescent="0.25">
      <c r="A25" s="35"/>
      <c r="B25" s="14" t="s">
        <v>35</v>
      </c>
      <c r="C25" s="35"/>
      <c r="D25" s="35"/>
      <c r="E25" s="35"/>
      <c r="F25" s="253"/>
      <c r="G25" s="254"/>
      <c r="H25" s="36"/>
      <c r="I25" s="254"/>
      <c r="J25" s="254"/>
      <c r="K25" s="254"/>
      <c r="L25" s="253"/>
      <c r="M25" s="253"/>
      <c r="N25" s="253"/>
      <c r="O25" s="253"/>
      <c r="P25" s="253"/>
    </row>
    <row r="26" spans="1:17" x14ac:dyDescent="0.25">
      <c r="M26" s="15" t="s">
        <v>1215</v>
      </c>
      <c r="P26" s="16" t="s">
        <v>3</v>
      </c>
    </row>
    <row r="27" spans="1:17" ht="13.95" customHeight="1" x14ac:dyDescent="0.25">
      <c r="B27" s="852" t="s">
        <v>4</v>
      </c>
      <c r="C27" s="852" t="s">
        <v>5</v>
      </c>
      <c r="D27" s="853" t="s">
        <v>6</v>
      </c>
      <c r="E27" s="755" t="s">
        <v>7</v>
      </c>
      <c r="F27" s="756"/>
      <c r="G27" s="757"/>
      <c r="H27" s="755" t="s">
        <v>8</v>
      </c>
      <c r="I27" s="756"/>
      <c r="J27" s="756"/>
      <c r="K27" s="756"/>
      <c r="L27" s="768" t="s">
        <v>9</v>
      </c>
      <c r="M27" s="768"/>
      <c r="N27" s="768"/>
      <c r="O27" s="768"/>
      <c r="P27" s="768"/>
      <c r="Q27" s="443"/>
    </row>
    <row r="28" spans="1:17" ht="27.6" x14ac:dyDescent="0.25">
      <c r="B28" s="852"/>
      <c r="C28" s="852"/>
      <c r="D28" s="854"/>
      <c r="E28" s="435" t="s">
        <v>10</v>
      </c>
      <c r="F28" s="435" t="s">
        <v>11</v>
      </c>
      <c r="G28" s="435" t="s">
        <v>12</v>
      </c>
      <c r="H28" s="435" t="s">
        <v>10</v>
      </c>
      <c r="I28" s="435" t="s">
        <v>13</v>
      </c>
      <c r="J28" s="435" t="s">
        <v>14</v>
      </c>
      <c r="K28" s="435" t="s">
        <v>15</v>
      </c>
      <c r="L28" s="435" t="s">
        <v>16</v>
      </c>
      <c r="M28" s="435" t="s">
        <v>17</v>
      </c>
      <c r="N28" s="435" t="s">
        <v>18</v>
      </c>
      <c r="O28" s="435" t="s">
        <v>19</v>
      </c>
      <c r="P28" s="435" t="s">
        <v>20</v>
      </c>
    </row>
    <row r="29" spans="1:17" x14ac:dyDescent="0.25">
      <c r="B29" s="852"/>
      <c r="C29" s="852"/>
      <c r="D29" s="855"/>
      <c r="E29" s="435" t="s">
        <v>21</v>
      </c>
      <c r="F29" s="435" t="s">
        <v>22</v>
      </c>
      <c r="G29" s="435" t="s">
        <v>23</v>
      </c>
      <c r="H29" s="435" t="s">
        <v>21</v>
      </c>
      <c r="I29" s="435" t="s">
        <v>24</v>
      </c>
      <c r="J29" s="435" t="s">
        <v>25</v>
      </c>
      <c r="K29" s="435" t="s">
        <v>25</v>
      </c>
      <c r="L29" s="435" t="s">
        <v>26</v>
      </c>
      <c r="M29" s="435" t="s">
        <v>26</v>
      </c>
      <c r="N29" s="435" t="s">
        <v>26</v>
      </c>
      <c r="O29" s="435" t="s">
        <v>26</v>
      </c>
      <c r="P29" s="435" t="s">
        <v>26</v>
      </c>
    </row>
    <row r="30" spans="1:17" x14ac:dyDescent="0.25">
      <c r="B30" s="438">
        <v>1</v>
      </c>
      <c r="C30" s="19" t="s">
        <v>27</v>
      </c>
      <c r="D30" s="19" t="s">
        <v>28</v>
      </c>
      <c r="E30" s="19"/>
      <c r="F30" s="93">
        <f>F15.1!G100</f>
        <v>209.69223000000002</v>
      </c>
      <c r="G30" s="105"/>
      <c r="H30" s="29"/>
      <c r="I30" s="93" t="e">
        <f>#REF!</f>
        <v>#REF!</v>
      </c>
      <c r="J30" s="93" t="e">
        <f>#REF!</f>
        <v>#REF!</v>
      </c>
      <c r="K30" s="93" t="e">
        <f>#REF!</f>
        <v>#REF!</v>
      </c>
      <c r="L30" s="93">
        <f>10%*'[54]O&amp;M Projections New Methodology'!J5</f>
        <v>271.15530192691466</v>
      </c>
      <c r="M30" s="93">
        <f>10%*'[54]O&amp;M Projections New Methodology'!K5</f>
        <v>286.85519390848299</v>
      </c>
      <c r="N30" s="93">
        <f t="shared" ref="N30:P32" si="3">10%*N10</f>
        <v>348.65266523455</v>
      </c>
      <c r="O30" s="93">
        <f t="shared" si="3"/>
        <v>373.55040867044693</v>
      </c>
      <c r="P30" s="93">
        <f t="shared" si="3"/>
        <v>400.2303586964149</v>
      </c>
    </row>
    <row r="31" spans="1:17" x14ac:dyDescent="0.25">
      <c r="B31" s="438">
        <f>B30+1</f>
        <v>2</v>
      </c>
      <c r="C31" s="27" t="s">
        <v>29</v>
      </c>
      <c r="D31" s="27" t="s">
        <v>30</v>
      </c>
      <c r="E31" s="27"/>
      <c r="F31" s="93">
        <f>F15.2!G112</f>
        <v>23.708170000000003</v>
      </c>
      <c r="G31" s="105"/>
      <c r="H31" s="29"/>
      <c r="I31" s="93">
        <f>F15.2!H112</f>
        <v>0</v>
      </c>
      <c r="J31" s="93">
        <f>F15.2!I112</f>
        <v>0</v>
      </c>
      <c r="K31" s="93">
        <f>F15.2!J112</f>
        <v>27.582000000000001</v>
      </c>
      <c r="L31" s="93">
        <f>10%*'[54]O&amp;M Projections New Methodology'!J6</f>
        <v>30.368622975179996</v>
      </c>
      <c r="M31" s="93">
        <f>10%*'[54]O&amp;M Projections New Methodology'!K6</f>
        <v>31.865796087856367</v>
      </c>
      <c r="N31" s="93">
        <f t="shared" si="3"/>
        <v>33.436779834987682</v>
      </c>
      <c r="O31" s="93">
        <f t="shared" si="3"/>
        <v>35.085213080852576</v>
      </c>
      <c r="P31" s="93">
        <f t="shared" si="3"/>
        <v>36.8149140857386</v>
      </c>
    </row>
    <row r="32" spans="1:17" x14ac:dyDescent="0.25">
      <c r="B32" s="438">
        <f>B31+1</f>
        <v>3</v>
      </c>
      <c r="C32" s="19" t="s">
        <v>31</v>
      </c>
      <c r="D32" s="19" t="s">
        <v>32</v>
      </c>
      <c r="E32" s="19"/>
      <c r="F32" s="93">
        <f>F15.3!G56</f>
        <v>10.479788999999998</v>
      </c>
      <c r="G32" s="105"/>
      <c r="H32" s="29"/>
      <c r="I32" s="93">
        <f>F15.3!H56</f>
        <v>0</v>
      </c>
      <c r="J32" s="93">
        <f ca="1">F15.3!I56</f>
        <v>7.5933610879373971E-26</v>
      </c>
      <c r="K32" s="93">
        <f ca="1">F15.3!J56</f>
        <v>7.5933610879373971E-26</v>
      </c>
      <c r="L32" s="93">
        <f>10%*'[54]O&amp;M Projections New Methodology'!J7</f>
        <v>13.036097092491685</v>
      </c>
      <c r="M32" s="93">
        <f>10%*'[54]O&amp;M Projections New Methodology'!K7</f>
        <v>14.922810912741539</v>
      </c>
      <c r="N32" s="93">
        <f t="shared" si="3"/>
        <v>19.490220786213172</v>
      </c>
      <c r="O32" s="93">
        <f t="shared" si="3"/>
        <v>21.919779902049754</v>
      </c>
      <c r="P32" s="93">
        <f t="shared" si="3"/>
        <v>24.611992468043088</v>
      </c>
    </row>
    <row r="33" spans="2:16" x14ac:dyDescent="0.25">
      <c r="B33" s="438">
        <f>B32+1</f>
        <v>4</v>
      </c>
      <c r="C33" s="19" t="s">
        <v>33</v>
      </c>
      <c r="D33" s="19"/>
      <c r="E33" s="19"/>
      <c r="F33" s="94">
        <f>SUM(F30:F32)</f>
        <v>243.88018900000003</v>
      </c>
      <c r="G33" s="95"/>
      <c r="H33" s="29"/>
      <c r="I33" s="95" t="e">
        <f>SUM(I30:I32)</f>
        <v>#REF!</v>
      </c>
      <c r="J33" s="95" t="e">
        <f>SUM(J30:J32)</f>
        <v>#REF!</v>
      </c>
      <c r="K33" s="95" t="e">
        <f>I33+J33</f>
        <v>#REF!</v>
      </c>
      <c r="L33" s="95">
        <f>SUM(L30:L32)</f>
        <v>314.56002199458635</v>
      </c>
      <c r="M33" s="95">
        <f>SUM(M30:M32)</f>
        <v>333.64380090908094</v>
      </c>
      <c r="N33" s="95">
        <f>SUM(N30:N32)</f>
        <v>401.57966585575087</v>
      </c>
      <c r="O33" s="95">
        <f>SUM(O30:O32)</f>
        <v>430.55540165334924</v>
      </c>
      <c r="P33" s="95">
        <f>SUM(P30:P32)</f>
        <v>461.65726525019659</v>
      </c>
    </row>
    <row r="34" spans="2:16" x14ac:dyDescent="0.25">
      <c r="B34" s="24"/>
      <c r="C34" s="35"/>
      <c r="D34" s="35"/>
      <c r="E34" s="35"/>
      <c r="F34" s="253"/>
      <c r="G34" s="254"/>
      <c r="H34" s="36"/>
      <c r="I34" s="254"/>
      <c r="J34" s="254"/>
      <c r="K34" s="254"/>
      <c r="L34" s="253"/>
      <c r="M34" s="253"/>
      <c r="N34" s="253"/>
      <c r="O34" s="253"/>
      <c r="P34" s="253"/>
    </row>
    <row r="35" spans="2:16" ht="14.4" x14ac:dyDescent="0.25">
      <c r="B35" s="37" t="s">
        <v>36</v>
      </c>
      <c r="C35" s="38"/>
      <c r="D35" s="35"/>
      <c r="E35" s="35"/>
      <c r="F35" s="35"/>
      <c r="G35" s="36"/>
      <c r="H35" s="36"/>
      <c r="I35" s="36"/>
      <c r="J35" s="36"/>
      <c r="K35" s="36"/>
      <c r="L35" s="36"/>
      <c r="M35" s="36"/>
      <c r="N35" s="36"/>
      <c r="O35" s="36"/>
      <c r="P35" s="36"/>
    </row>
    <row r="36" spans="2:16" ht="14.4" x14ac:dyDescent="0.25">
      <c r="B36" s="39">
        <v>1</v>
      </c>
      <c r="C36" s="38" t="s">
        <v>37</v>
      </c>
    </row>
    <row r="38" spans="2:16" x14ac:dyDescent="0.25">
      <c r="B38" s="24"/>
    </row>
  </sheetData>
  <mergeCells count="18">
    <mergeCell ref="L7:P7"/>
    <mergeCell ref="B7:B9"/>
    <mergeCell ref="C7:C9"/>
    <mergeCell ref="D7:D9"/>
    <mergeCell ref="E7:G7"/>
    <mergeCell ref="H7:K7"/>
    <mergeCell ref="L27:P27"/>
    <mergeCell ref="B17:B19"/>
    <mergeCell ref="C17:C19"/>
    <mergeCell ref="D17:D19"/>
    <mergeCell ref="E17:G17"/>
    <mergeCell ref="H17:K17"/>
    <mergeCell ref="L17:P17"/>
    <mergeCell ref="B27:B29"/>
    <mergeCell ref="C27:C29"/>
    <mergeCell ref="D27:D29"/>
    <mergeCell ref="E27:G27"/>
    <mergeCell ref="H27:K2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102"/>
  <sheetViews>
    <sheetView showGridLines="0" zoomScale="75" zoomScaleNormal="75" zoomScaleSheetLayoutView="70" workbookViewId="0">
      <selection activeCell="L13" sqref="L13"/>
    </sheetView>
  </sheetViews>
  <sheetFormatPr defaultColWidth="9.109375" defaultRowHeight="13.8" x14ac:dyDescent="0.25"/>
  <cols>
    <col min="1" max="1" width="6.88671875" style="5" customWidth="1"/>
    <col min="2" max="2" width="7" style="5" customWidth="1"/>
    <col min="3" max="3" width="47.88671875" style="5" customWidth="1"/>
    <col min="4" max="6" width="16.6640625" style="5" hidden="1" customWidth="1"/>
    <col min="7" max="7" width="16" style="5" hidden="1" customWidth="1"/>
    <col min="8" max="9" width="14.44140625" style="5" hidden="1" customWidth="1"/>
    <col min="10" max="10" width="17.33203125" style="5" customWidth="1"/>
    <col min="11" max="11" width="12.33203125" style="5" customWidth="1"/>
    <col min="12" max="12" width="12.33203125" style="5" bestFit="1" customWidth="1"/>
    <col min="13" max="13" width="13" style="5" hidden="1" customWidth="1"/>
    <col min="14" max="14" width="13.44140625" style="5" hidden="1" customWidth="1"/>
    <col min="15" max="15" width="12.6640625" style="5" hidden="1" customWidth="1"/>
    <col min="16" max="16384" width="9.109375" style="5"/>
  </cols>
  <sheetData>
    <row r="2" spans="2:16" x14ac:dyDescent="0.25">
      <c r="C2" s="4"/>
      <c r="D2" s="4"/>
      <c r="E2" s="4"/>
      <c r="F2" s="4"/>
      <c r="G2" s="251" t="s">
        <v>0</v>
      </c>
      <c r="H2" s="439" t="s">
        <v>38</v>
      </c>
      <c r="I2" s="4"/>
      <c r="J2" s="4"/>
    </row>
    <row r="3" spans="2:16" s="3" customFormat="1" x14ac:dyDescent="0.25">
      <c r="C3" s="4"/>
      <c r="D3" s="64"/>
      <c r="E3" s="4"/>
      <c r="F3" s="4"/>
      <c r="G3" s="4"/>
      <c r="H3" s="440" t="s">
        <v>473</v>
      </c>
      <c r="I3" s="4"/>
      <c r="J3" s="4"/>
    </row>
    <row r="4" spans="2:16" s="3" customFormat="1" x14ac:dyDescent="0.25">
      <c r="C4" s="30"/>
      <c r="D4" s="30"/>
      <c r="E4" s="30"/>
      <c r="F4" s="30"/>
      <c r="G4" s="31"/>
      <c r="H4" s="31"/>
      <c r="I4" s="31"/>
      <c r="J4" s="31"/>
    </row>
    <row r="5" spans="2:16" s="3" customFormat="1" x14ac:dyDescent="0.25">
      <c r="B5" s="255" t="s">
        <v>684</v>
      </c>
      <c r="C5" s="30"/>
      <c r="D5" s="30"/>
      <c r="E5" s="30"/>
      <c r="F5" s="30"/>
      <c r="G5" s="31"/>
      <c r="H5" s="31"/>
      <c r="I5" s="31"/>
      <c r="J5" s="31"/>
    </row>
    <row r="6" spans="2:16" x14ac:dyDescent="0.25">
      <c r="L6" s="16" t="s">
        <v>1215</v>
      </c>
      <c r="O6" s="16" t="s">
        <v>3</v>
      </c>
    </row>
    <row r="7" spans="2:16" ht="12.75" customHeight="1" x14ac:dyDescent="0.25">
      <c r="B7" s="760" t="s">
        <v>474</v>
      </c>
      <c r="C7" s="760" t="s">
        <v>5</v>
      </c>
      <c r="D7" s="435" t="s">
        <v>222</v>
      </c>
      <c r="E7" s="435" t="s">
        <v>223</v>
      </c>
      <c r="F7" s="435" t="s">
        <v>224</v>
      </c>
      <c r="G7" s="435" t="s">
        <v>7</v>
      </c>
      <c r="H7" s="729" t="s">
        <v>8</v>
      </c>
      <c r="I7" s="729"/>
      <c r="J7" s="729"/>
      <c r="K7" s="768" t="s">
        <v>9</v>
      </c>
      <c r="L7" s="768"/>
      <c r="M7" s="768"/>
      <c r="N7" s="768"/>
      <c r="O7" s="768"/>
      <c r="P7" s="445"/>
    </row>
    <row r="8" spans="2:16" x14ac:dyDescent="0.25">
      <c r="B8" s="760"/>
      <c r="C8" s="760"/>
      <c r="D8" s="435" t="s">
        <v>11</v>
      </c>
      <c r="E8" s="435" t="s">
        <v>11</v>
      </c>
      <c r="F8" s="435" t="s">
        <v>11</v>
      </c>
      <c r="G8" s="435" t="s">
        <v>11</v>
      </c>
      <c r="H8" s="435" t="s">
        <v>13</v>
      </c>
      <c r="I8" s="435" t="s">
        <v>14</v>
      </c>
      <c r="J8" s="435" t="s">
        <v>15</v>
      </c>
      <c r="K8" s="435" t="s">
        <v>16</v>
      </c>
      <c r="L8" s="435" t="s">
        <v>17</v>
      </c>
      <c r="M8" s="435" t="s">
        <v>18</v>
      </c>
      <c r="N8" s="435" t="s">
        <v>19</v>
      </c>
      <c r="O8" s="435" t="s">
        <v>20</v>
      </c>
    </row>
    <row r="9" spans="2:16" x14ac:dyDescent="0.25">
      <c r="B9" s="856"/>
      <c r="C9" s="760"/>
      <c r="D9" s="435" t="s">
        <v>22</v>
      </c>
      <c r="E9" s="435" t="s">
        <v>22</v>
      </c>
      <c r="F9" s="435" t="s">
        <v>22</v>
      </c>
      <c r="G9" s="435" t="s">
        <v>22</v>
      </c>
      <c r="H9" s="435" t="s">
        <v>24</v>
      </c>
      <c r="I9" s="435" t="s">
        <v>25</v>
      </c>
      <c r="J9" s="435" t="s">
        <v>25</v>
      </c>
      <c r="K9" s="435" t="s">
        <v>26</v>
      </c>
      <c r="L9" s="435" t="s">
        <v>26</v>
      </c>
      <c r="M9" s="435" t="s">
        <v>26</v>
      </c>
      <c r="N9" s="435" t="s">
        <v>26</v>
      </c>
      <c r="O9" s="435" t="s">
        <v>26</v>
      </c>
    </row>
    <row r="10" spans="2:16" hidden="1" x14ac:dyDescent="0.25">
      <c r="B10" s="1">
        <v>1</v>
      </c>
      <c r="C10" s="32" t="s">
        <v>475</v>
      </c>
      <c r="D10" s="256">
        <f>[55]F15.1!C5</f>
        <v>753.61011496100002</v>
      </c>
      <c r="E10" s="256">
        <f>[55]F15.1!D5</f>
        <v>780.53873324099993</v>
      </c>
      <c r="F10" s="256">
        <f>[55]F15.1!E5</f>
        <v>797.66544691800004</v>
      </c>
      <c r="G10" s="256">
        <f>[55]F15.1!F5</f>
        <v>811.87</v>
      </c>
      <c r="H10" s="256"/>
      <c r="I10" s="256">
        <f t="shared" ref="I10:I33" si="0">I43+I76</f>
        <v>0</v>
      </c>
      <c r="J10" s="256">
        <f>'[56]Employee Cost (Abridged)'!E9</f>
        <v>1758.7078999999999</v>
      </c>
      <c r="K10" s="256">
        <f>'[56]Employee Cost (Abridged)'!F9</f>
        <v>1881.8174529999999</v>
      </c>
      <c r="L10" s="256">
        <f>'[56]Employee Cost (Abridged)'!G9</f>
        <v>2013.54467471</v>
      </c>
      <c r="M10" s="256">
        <f>'[56]Employee Cost (Abridged)'!H9</f>
        <v>2557.2017368817001</v>
      </c>
      <c r="N10" s="256">
        <f>'[56]Employee Cost (Abridged)'!I9</f>
        <v>2736.2058584634192</v>
      </c>
      <c r="O10" s="256">
        <f>'[56]Employee Cost (Abridged)'!J9</f>
        <v>2927.7402685558586</v>
      </c>
    </row>
    <row r="11" spans="2:16" hidden="1" x14ac:dyDescent="0.25">
      <c r="B11" s="1">
        <v>2</v>
      </c>
      <c r="C11" s="32" t="s">
        <v>476</v>
      </c>
      <c r="D11" s="256">
        <f>[55]F15.1!C6</f>
        <v>66.304229739999997</v>
      </c>
      <c r="E11" s="256">
        <f>[55]F15.1!D6</f>
        <v>123.69982584</v>
      </c>
      <c r="F11" s="256">
        <f>[55]F15.1!E6</f>
        <v>173.48435764999999</v>
      </c>
      <c r="G11" s="256">
        <f>[55]F15.1!F6</f>
        <v>229.15321714999999</v>
      </c>
      <c r="H11" s="256"/>
      <c r="I11" s="256">
        <f t="shared" si="0"/>
        <v>0</v>
      </c>
      <c r="J11" s="256">
        <v>0</v>
      </c>
      <c r="K11" s="256">
        <v>0</v>
      </c>
      <c r="L11" s="256">
        <v>0</v>
      </c>
      <c r="M11" s="256">
        <v>0</v>
      </c>
      <c r="N11" s="256">
        <v>0</v>
      </c>
      <c r="O11" s="256">
        <v>0</v>
      </c>
    </row>
    <row r="12" spans="2:16" hidden="1" x14ac:dyDescent="0.25">
      <c r="B12" s="1">
        <v>3</v>
      </c>
      <c r="C12" s="2" t="s">
        <v>477</v>
      </c>
      <c r="D12" s="256">
        <f>[55]F15.1!C7</f>
        <v>27.994442069999998</v>
      </c>
      <c r="E12" s="256">
        <f>[55]F15.1!D7</f>
        <v>54.034532529999993</v>
      </c>
      <c r="F12" s="256">
        <f>[55]F15.1!E7</f>
        <v>59.282168599999999</v>
      </c>
      <c r="G12" s="256">
        <f>[55]F15.1!F7</f>
        <v>67.180000000000007</v>
      </c>
      <c r="H12" s="256"/>
      <c r="I12" s="256">
        <f t="shared" si="0"/>
        <v>0</v>
      </c>
      <c r="J12" s="256">
        <v>0</v>
      </c>
      <c r="K12" s="256">
        <v>0</v>
      </c>
      <c r="L12" s="256">
        <v>0</v>
      </c>
      <c r="M12" s="256">
        <v>0</v>
      </c>
      <c r="N12" s="256">
        <v>0</v>
      </c>
      <c r="O12" s="256">
        <v>0</v>
      </c>
    </row>
    <row r="13" spans="2:16" hidden="1" x14ac:dyDescent="0.25">
      <c r="B13" s="1">
        <v>4</v>
      </c>
      <c r="C13" s="32" t="s">
        <v>478</v>
      </c>
      <c r="D13" s="256">
        <f>[55]F15.1!C8</f>
        <v>10.526063799999999</v>
      </c>
      <c r="E13" s="256">
        <f>[55]F15.1!D8</f>
        <v>11.172685550000001</v>
      </c>
      <c r="F13" s="256">
        <f>[55]F15.1!E8</f>
        <v>11.3708048</v>
      </c>
      <c r="G13" s="256">
        <f>[55]F15.1!F8</f>
        <v>11.4303855</v>
      </c>
      <c r="H13" s="256"/>
      <c r="I13" s="256">
        <f t="shared" si="0"/>
        <v>0</v>
      </c>
      <c r="J13" s="256">
        <v>0</v>
      </c>
      <c r="K13" s="256">
        <v>0</v>
      </c>
      <c r="L13" s="256">
        <v>0</v>
      </c>
      <c r="M13" s="256">
        <v>0</v>
      </c>
      <c r="N13" s="256">
        <v>0</v>
      </c>
      <c r="O13" s="256">
        <v>0</v>
      </c>
    </row>
    <row r="14" spans="2:16" hidden="1" x14ac:dyDescent="0.25">
      <c r="B14" s="1">
        <v>5</v>
      </c>
      <c r="C14" s="32" t="s">
        <v>479</v>
      </c>
      <c r="D14" s="256">
        <v>0</v>
      </c>
      <c r="E14" s="256">
        <v>0</v>
      </c>
      <c r="F14" s="256">
        <v>0</v>
      </c>
      <c r="G14" s="256">
        <v>0</v>
      </c>
      <c r="H14" s="256"/>
      <c r="I14" s="256">
        <f t="shared" si="0"/>
        <v>0</v>
      </c>
      <c r="J14" s="256">
        <v>0</v>
      </c>
      <c r="K14" s="256">
        <v>0</v>
      </c>
      <c r="L14" s="256">
        <v>0</v>
      </c>
      <c r="M14" s="256">
        <v>0</v>
      </c>
      <c r="N14" s="256">
        <v>0</v>
      </c>
      <c r="O14" s="256">
        <v>0</v>
      </c>
    </row>
    <row r="15" spans="2:16" hidden="1" x14ac:dyDescent="0.25">
      <c r="B15" s="1">
        <v>6</v>
      </c>
      <c r="C15" s="2" t="s">
        <v>480</v>
      </c>
      <c r="D15" s="256">
        <f>[55]F15.1!C10</f>
        <v>111.67412640000001</v>
      </c>
      <c r="E15" s="256">
        <f>[55]F15.1!D10</f>
        <v>208.65295399999999</v>
      </c>
      <c r="F15" s="256">
        <f>[55]F15.1!E10</f>
        <v>97.2138597</v>
      </c>
      <c r="G15" s="256">
        <f>[55]F15.1!F10</f>
        <v>101.6690399</v>
      </c>
      <c r="H15" s="256"/>
      <c r="I15" s="256">
        <f t="shared" si="0"/>
        <v>0</v>
      </c>
      <c r="J15" s="256">
        <v>0</v>
      </c>
      <c r="K15" s="256">
        <v>0</v>
      </c>
      <c r="L15" s="256">
        <v>0</v>
      </c>
      <c r="M15" s="256">
        <v>0</v>
      </c>
      <c r="N15" s="256">
        <v>0</v>
      </c>
      <c r="O15" s="256">
        <v>0</v>
      </c>
    </row>
    <row r="16" spans="2:16" hidden="1" x14ac:dyDescent="0.25">
      <c r="B16" s="1">
        <v>7</v>
      </c>
      <c r="C16" s="32" t="s">
        <v>481</v>
      </c>
      <c r="D16" s="256">
        <f>[55]F15.1!C11</f>
        <v>91.45</v>
      </c>
      <c r="E16" s="256">
        <f>[55]F15.1!D11</f>
        <v>70.264622320000001</v>
      </c>
      <c r="F16" s="256">
        <f>[55]F15.1!E11</f>
        <v>65.929320300000001</v>
      </c>
      <c r="G16" s="256">
        <f>[55]F15.1!F11</f>
        <v>59.89</v>
      </c>
      <c r="H16" s="256"/>
      <c r="I16" s="256">
        <f t="shared" si="0"/>
        <v>0</v>
      </c>
      <c r="J16" s="256">
        <v>0</v>
      </c>
      <c r="K16" s="256">
        <v>0</v>
      </c>
      <c r="L16" s="256">
        <v>0</v>
      </c>
      <c r="M16" s="256">
        <v>0</v>
      </c>
      <c r="N16" s="256">
        <v>0</v>
      </c>
      <c r="O16" s="256">
        <v>0</v>
      </c>
    </row>
    <row r="17" spans="2:15" hidden="1" x14ac:dyDescent="0.25">
      <c r="B17" s="1">
        <v>8</v>
      </c>
      <c r="C17" s="32" t="s">
        <v>482</v>
      </c>
      <c r="D17" s="256">
        <f>[55]F15.1!C12</f>
        <v>16.8267621</v>
      </c>
      <c r="E17" s="256">
        <f>[55]F15.1!D12</f>
        <v>9.6869517799999993</v>
      </c>
      <c r="F17" s="256">
        <f>[55]F15.1!E12</f>
        <v>16.691386600000001</v>
      </c>
      <c r="G17" s="256">
        <f>[55]F15.1!F12</f>
        <v>24.13</v>
      </c>
      <c r="H17" s="256"/>
      <c r="I17" s="256">
        <f t="shared" si="0"/>
        <v>0</v>
      </c>
      <c r="J17" s="256">
        <v>0</v>
      </c>
      <c r="K17" s="256">
        <v>0</v>
      </c>
      <c r="L17" s="256">
        <v>0</v>
      </c>
      <c r="M17" s="256">
        <v>0</v>
      </c>
      <c r="N17" s="256">
        <v>0</v>
      </c>
      <c r="O17" s="256">
        <v>0</v>
      </c>
    </row>
    <row r="18" spans="2:15" hidden="1" x14ac:dyDescent="0.25">
      <c r="B18" s="1">
        <v>9</v>
      </c>
      <c r="C18" s="32" t="s">
        <v>483</v>
      </c>
      <c r="D18" s="256">
        <v>0</v>
      </c>
      <c r="E18" s="256">
        <v>0</v>
      </c>
      <c r="F18" s="256">
        <v>0</v>
      </c>
      <c r="G18" s="256">
        <v>0</v>
      </c>
      <c r="H18" s="256"/>
      <c r="I18" s="256">
        <f t="shared" si="0"/>
        <v>0</v>
      </c>
      <c r="J18" s="256">
        <v>0</v>
      </c>
      <c r="K18" s="256">
        <v>0</v>
      </c>
      <c r="L18" s="256">
        <v>0</v>
      </c>
      <c r="M18" s="256">
        <v>0</v>
      </c>
      <c r="N18" s="256">
        <v>0</v>
      </c>
      <c r="O18" s="256">
        <v>0</v>
      </c>
    </row>
    <row r="19" spans="2:15" hidden="1" x14ac:dyDescent="0.25">
      <c r="B19" s="1">
        <v>10</v>
      </c>
      <c r="C19" s="32" t="s">
        <v>484</v>
      </c>
      <c r="D19" s="256">
        <v>0</v>
      </c>
      <c r="E19" s="256">
        <v>0</v>
      </c>
      <c r="F19" s="256">
        <v>0</v>
      </c>
      <c r="G19" s="256">
        <v>0</v>
      </c>
      <c r="H19" s="256"/>
      <c r="I19" s="256">
        <f t="shared" si="0"/>
        <v>0</v>
      </c>
      <c r="J19" s="256">
        <v>0</v>
      </c>
      <c r="K19" s="256">
        <v>0</v>
      </c>
      <c r="L19" s="256">
        <v>0</v>
      </c>
      <c r="M19" s="256">
        <v>0</v>
      </c>
      <c r="N19" s="256">
        <v>0</v>
      </c>
      <c r="O19" s="256">
        <v>0</v>
      </c>
    </row>
    <row r="20" spans="2:15" hidden="1" x14ac:dyDescent="0.25">
      <c r="B20" s="1">
        <v>11</v>
      </c>
      <c r="C20" s="32" t="s">
        <v>485</v>
      </c>
      <c r="D20" s="256">
        <v>0</v>
      </c>
      <c r="E20" s="256">
        <v>0</v>
      </c>
      <c r="F20" s="256">
        <v>0</v>
      </c>
      <c r="G20" s="256">
        <v>0</v>
      </c>
      <c r="H20" s="256"/>
      <c r="I20" s="256">
        <f t="shared" si="0"/>
        <v>0</v>
      </c>
      <c r="J20" s="256">
        <v>0</v>
      </c>
      <c r="K20" s="256">
        <v>0</v>
      </c>
      <c r="L20" s="256">
        <v>0</v>
      </c>
      <c r="M20" s="256">
        <v>0</v>
      </c>
      <c r="N20" s="256">
        <v>0</v>
      </c>
      <c r="O20" s="256">
        <v>0</v>
      </c>
    </row>
    <row r="21" spans="2:15" hidden="1" x14ac:dyDescent="0.25">
      <c r="B21" s="1">
        <v>12</v>
      </c>
      <c r="C21" s="32" t="s">
        <v>486</v>
      </c>
      <c r="D21" s="256">
        <f>[55]F15.1!C16</f>
        <v>3.0786844100000001</v>
      </c>
      <c r="E21" s="256">
        <f>[55]F15.1!D16</f>
        <v>3.8089866049999999</v>
      </c>
      <c r="F21" s="256">
        <f>[55]F15.1!E16</f>
        <v>4.1670583900000002</v>
      </c>
      <c r="G21" s="256">
        <f>[55]F15.1!F16</f>
        <v>2.1314493199999998</v>
      </c>
      <c r="H21" s="256"/>
      <c r="I21" s="256">
        <f t="shared" si="0"/>
        <v>0</v>
      </c>
      <c r="J21" s="256">
        <f>'[56]Employee Cost (Abridged)'!E16</f>
        <v>34.359200000000001</v>
      </c>
      <c r="K21" s="256">
        <f>'[56]Employee Cost (Abridged)'!F16</f>
        <v>36.764344000000001</v>
      </c>
      <c r="L21" s="256">
        <f>'[56]Employee Cost (Abridged)'!G16</f>
        <v>39.337848080000001</v>
      </c>
      <c r="M21" s="256">
        <f>'[56]Employee Cost (Abridged)'!H16</f>
        <v>49.959067061600003</v>
      </c>
      <c r="N21" s="256">
        <f>'[56]Employee Cost (Abridged)'!I16</f>
        <v>53.456201755912005</v>
      </c>
      <c r="O21" s="256">
        <f>'[56]Employee Cost (Abridged)'!J16</f>
        <v>57.198135878825852</v>
      </c>
    </row>
    <row r="22" spans="2:15" hidden="1" x14ac:dyDescent="0.25">
      <c r="B22" s="1">
        <v>13</v>
      </c>
      <c r="C22" s="32" t="s">
        <v>487</v>
      </c>
      <c r="D22" s="256">
        <v>0</v>
      </c>
      <c r="E22" s="256">
        <v>0</v>
      </c>
      <c r="F22" s="256">
        <v>0</v>
      </c>
      <c r="G22" s="256">
        <v>0</v>
      </c>
      <c r="H22" s="256"/>
      <c r="I22" s="256">
        <f t="shared" si="0"/>
        <v>0</v>
      </c>
      <c r="J22" s="256">
        <v>0</v>
      </c>
      <c r="K22" s="256">
        <v>0</v>
      </c>
      <c r="L22" s="256">
        <v>0</v>
      </c>
      <c r="M22" s="256">
        <v>0</v>
      </c>
      <c r="N22" s="256">
        <v>0</v>
      </c>
      <c r="O22" s="256">
        <v>0</v>
      </c>
    </row>
    <row r="23" spans="2:15" hidden="1" x14ac:dyDescent="0.25">
      <c r="B23" s="1">
        <v>14</v>
      </c>
      <c r="C23" s="32" t="s">
        <v>488</v>
      </c>
      <c r="D23" s="256">
        <v>0</v>
      </c>
      <c r="E23" s="256">
        <v>0</v>
      </c>
      <c r="F23" s="256">
        <v>0</v>
      </c>
      <c r="G23" s="256">
        <v>0</v>
      </c>
      <c r="H23" s="256"/>
      <c r="I23" s="256">
        <f t="shared" si="0"/>
        <v>0</v>
      </c>
      <c r="J23" s="256">
        <f>'[56]Employee Cost (Abridged)'!E14+'[56]Employee Cost (Abridged)'!E15</f>
        <v>1.7628999999999999</v>
      </c>
      <c r="K23" s="256">
        <f>'[56]Employee Cost (Abridged)'!F14+'[56]Employee Cost (Abridged)'!F15</f>
        <v>1.8863030000000001</v>
      </c>
      <c r="L23" s="256">
        <f>'[56]Employee Cost (Abridged)'!G14+'[56]Employee Cost (Abridged)'!G15</f>
        <v>2.01834421</v>
      </c>
      <c r="M23" s="256">
        <f>'[56]Employee Cost (Abridged)'!H14+'[56]Employee Cost (Abridged)'!H15</f>
        <v>2.5632971467000001</v>
      </c>
      <c r="N23" s="256">
        <f>'[56]Employee Cost (Abridged)'!I14+'[56]Employee Cost (Abridged)'!I15</f>
        <v>2.7427279469690005</v>
      </c>
      <c r="O23" s="256">
        <f>'[56]Employee Cost (Abridged)'!J14+'[56]Employee Cost (Abridged)'!J15</f>
        <v>2.9347189032568308</v>
      </c>
    </row>
    <row r="24" spans="2:15" hidden="1" x14ac:dyDescent="0.25">
      <c r="B24" s="1">
        <v>15</v>
      </c>
      <c r="C24" s="32" t="s">
        <v>489</v>
      </c>
      <c r="D24" s="256">
        <v>0</v>
      </c>
      <c r="E24" s="256">
        <v>0</v>
      </c>
      <c r="F24" s="256">
        <v>0</v>
      </c>
      <c r="G24" s="256">
        <v>0</v>
      </c>
      <c r="H24" s="256"/>
      <c r="I24" s="256">
        <f t="shared" si="0"/>
        <v>0</v>
      </c>
      <c r="J24" s="256">
        <v>0</v>
      </c>
      <c r="K24" s="256">
        <v>0</v>
      </c>
      <c r="L24" s="256">
        <v>0</v>
      </c>
      <c r="M24" s="256">
        <v>0</v>
      </c>
      <c r="N24" s="256">
        <v>0</v>
      </c>
      <c r="O24" s="256">
        <v>0</v>
      </c>
    </row>
    <row r="25" spans="2:15" hidden="1" x14ac:dyDescent="0.25">
      <c r="B25" s="1">
        <v>16</v>
      </c>
      <c r="C25" s="32" t="s">
        <v>490</v>
      </c>
      <c r="D25" s="256">
        <v>0</v>
      </c>
      <c r="E25" s="256">
        <v>0</v>
      </c>
      <c r="F25" s="256">
        <v>0</v>
      </c>
      <c r="G25" s="256">
        <v>0</v>
      </c>
      <c r="H25" s="256"/>
      <c r="I25" s="256">
        <f t="shared" si="0"/>
        <v>0</v>
      </c>
      <c r="J25" s="256">
        <f>'[56]Employee Cost (Abridged)'!E10+'[56]Employee Cost (Abridged)'!E12</f>
        <v>161.2594</v>
      </c>
      <c r="K25" s="256">
        <f>'[56]Employee Cost (Abridged)'!F10+'[56]Employee Cost (Abridged)'!F12</f>
        <v>172.54755800000004</v>
      </c>
      <c r="L25" s="256">
        <f>'[56]Employee Cost (Abridged)'!G10+'[56]Employee Cost (Abridged)'!G12</f>
        <v>184.62588706000003</v>
      </c>
      <c r="M25" s="256">
        <f>'[56]Employee Cost (Abridged)'!H10+'[56]Employee Cost (Abridged)'!H12</f>
        <v>234.47487656620004</v>
      </c>
      <c r="N25" s="256">
        <f>'[56]Employee Cost (Abridged)'!I10+'[56]Employee Cost (Abridged)'!I12</f>
        <v>250.88811792583405</v>
      </c>
      <c r="O25" s="256">
        <f>'[56]Employee Cost (Abridged)'!J10+'[56]Employee Cost (Abridged)'!J12</f>
        <v>268.45028618064248</v>
      </c>
    </row>
    <row r="26" spans="2:15" hidden="1" x14ac:dyDescent="0.25">
      <c r="B26" s="1">
        <v>17</v>
      </c>
      <c r="C26" s="32" t="s">
        <v>491</v>
      </c>
      <c r="D26" s="256">
        <v>0</v>
      </c>
      <c r="E26" s="256">
        <v>0</v>
      </c>
      <c r="F26" s="256">
        <v>0</v>
      </c>
      <c r="G26" s="256">
        <v>0</v>
      </c>
      <c r="H26" s="256"/>
      <c r="I26" s="256">
        <f t="shared" si="0"/>
        <v>0</v>
      </c>
      <c r="J26" s="256">
        <v>0</v>
      </c>
      <c r="K26" s="256">
        <v>0</v>
      </c>
      <c r="L26" s="256">
        <v>0</v>
      </c>
      <c r="M26" s="256">
        <v>0</v>
      </c>
      <c r="N26" s="256">
        <v>0</v>
      </c>
      <c r="O26" s="256">
        <v>0</v>
      </c>
    </row>
    <row r="27" spans="2:15" hidden="1" x14ac:dyDescent="0.25">
      <c r="B27" s="1">
        <v>18</v>
      </c>
      <c r="C27" s="32" t="s">
        <v>492</v>
      </c>
      <c r="D27" s="256">
        <v>0</v>
      </c>
      <c r="E27" s="256">
        <v>0</v>
      </c>
      <c r="F27" s="256">
        <v>0</v>
      </c>
      <c r="G27" s="256">
        <v>0</v>
      </c>
      <c r="H27" s="256"/>
      <c r="I27" s="256">
        <f t="shared" si="0"/>
        <v>0</v>
      </c>
      <c r="J27" s="256">
        <f>'[56]Employee Cost (Abridged)'!E13</f>
        <v>329.57769999999994</v>
      </c>
      <c r="K27" s="256">
        <f>'[56]Employee Cost (Abridged)'!F13</f>
        <v>355.94391599999994</v>
      </c>
      <c r="L27" s="256">
        <f>'[56]Employee Cost (Abridged)'!G13</f>
        <v>384.41942927999997</v>
      </c>
      <c r="M27" s="256">
        <f>'[56]Employee Cost (Abridged)'!H13</f>
        <v>492.05686947839996</v>
      </c>
      <c r="N27" s="256">
        <f>'[56]Employee Cost (Abridged)'!I13</f>
        <v>531.42141903667198</v>
      </c>
      <c r="O27" s="256">
        <f>'[56]Employee Cost (Abridged)'!J13</f>
        <v>573.93513255960579</v>
      </c>
    </row>
    <row r="28" spans="2:15" hidden="1" x14ac:dyDescent="0.25">
      <c r="B28" s="1">
        <f>+B27+0.1</f>
        <v>18.100000000000001</v>
      </c>
      <c r="C28" s="32" t="s">
        <v>493</v>
      </c>
      <c r="D28" s="256">
        <f>[55]F15.1!C23</f>
        <v>61.6</v>
      </c>
      <c r="E28" s="256">
        <f>[55]F15.1!D23</f>
        <v>73.62</v>
      </c>
      <c r="F28" s="256">
        <f>[55]F15.1!E23</f>
        <v>78.004760304000001</v>
      </c>
      <c r="G28" s="256">
        <f>[55]F15.1!F23</f>
        <v>84.490938579999991</v>
      </c>
      <c r="H28" s="256"/>
      <c r="I28" s="256">
        <f t="shared" si="0"/>
        <v>0</v>
      </c>
      <c r="J28" s="256">
        <f>'[56]Employee Cost (Abridged)'!E11</f>
        <v>103.34829999999999</v>
      </c>
      <c r="K28" s="256">
        <f>'[56]Employee Cost (Abridged)'!F11</f>
        <v>110.58268099999999</v>
      </c>
      <c r="L28" s="256">
        <f>'[56]Employee Cost (Abridged)'!G11</f>
        <v>118.32346867</v>
      </c>
      <c r="M28" s="256">
        <f>'[56]Employee Cost (Abridged)'!H11</f>
        <v>150.27080521089999</v>
      </c>
      <c r="N28" s="256">
        <f>'[56]Employee Cost (Abridged)'!I11</f>
        <v>160.78976157566299</v>
      </c>
      <c r="O28" s="256">
        <f>'[56]Employee Cost (Abridged)'!J11</f>
        <v>172.04504488595941</v>
      </c>
    </row>
    <row r="29" spans="2:15" hidden="1" x14ac:dyDescent="0.25">
      <c r="B29" s="1">
        <f>+B28+0.1</f>
        <v>18.200000000000003</v>
      </c>
      <c r="C29" s="32" t="s">
        <v>494</v>
      </c>
      <c r="D29" s="256">
        <f>[55]F15.1!C24</f>
        <v>185.8</v>
      </c>
      <c r="E29" s="256">
        <f>[55]F15.1!D24</f>
        <v>363.35</v>
      </c>
      <c r="F29" s="256">
        <f>[55]F15.1!E24</f>
        <v>328.87</v>
      </c>
      <c r="G29" s="256">
        <f>[55]F15.1!F24</f>
        <v>310.39999999999998</v>
      </c>
      <c r="H29" s="256"/>
      <c r="I29" s="256">
        <f t="shared" si="0"/>
        <v>0</v>
      </c>
      <c r="J29" s="256">
        <v>0</v>
      </c>
      <c r="K29" s="256">
        <v>0</v>
      </c>
      <c r="L29" s="256">
        <v>0</v>
      </c>
      <c r="M29" s="256">
        <v>0</v>
      </c>
      <c r="N29" s="256">
        <v>0</v>
      </c>
      <c r="O29" s="256">
        <v>0</v>
      </c>
    </row>
    <row r="30" spans="2:15" hidden="1" x14ac:dyDescent="0.25">
      <c r="B30" s="1">
        <f>+B29+0.1</f>
        <v>18.300000000000004</v>
      </c>
      <c r="C30" s="32" t="s">
        <v>495</v>
      </c>
      <c r="D30" s="256">
        <v>0</v>
      </c>
      <c r="E30" s="256">
        <v>0</v>
      </c>
      <c r="F30" s="256">
        <v>0</v>
      </c>
      <c r="G30" s="256">
        <v>0</v>
      </c>
      <c r="H30" s="256"/>
      <c r="I30" s="256">
        <f t="shared" si="0"/>
        <v>0</v>
      </c>
      <c r="J30" s="256">
        <v>0</v>
      </c>
      <c r="K30" s="256">
        <v>0</v>
      </c>
      <c r="L30" s="256">
        <v>0</v>
      </c>
      <c r="M30" s="256">
        <v>0</v>
      </c>
      <c r="N30" s="256">
        <v>0</v>
      </c>
      <c r="O30" s="256">
        <v>0</v>
      </c>
    </row>
    <row r="31" spans="2:15" hidden="1" x14ac:dyDescent="0.25">
      <c r="B31" s="1">
        <f>+B30+0.1</f>
        <v>18.400000000000006</v>
      </c>
      <c r="C31" s="32" t="s">
        <v>496</v>
      </c>
      <c r="D31" s="256">
        <f>[55]F15.1!C26</f>
        <v>4.8319463999999996</v>
      </c>
      <c r="E31" s="256">
        <f>[55]F15.1!D26</f>
        <v>-0.2392301</v>
      </c>
      <c r="F31" s="256">
        <f>[55]F15.1!E26</f>
        <v>6.6808347000000001</v>
      </c>
      <c r="G31" s="256">
        <f>[55]F15.1!F26</f>
        <v>27.640720900000002</v>
      </c>
      <c r="H31" s="256"/>
      <c r="I31" s="256">
        <f t="shared" si="0"/>
        <v>0</v>
      </c>
      <c r="J31" s="256">
        <v>0</v>
      </c>
      <c r="K31" s="256">
        <v>0</v>
      </c>
      <c r="L31" s="256">
        <v>0</v>
      </c>
      <c r="M31" s="256">
        <v>0</v>
      </c>
      <c r="N31" s="256">
        <v>0</v>
      </c>
      <c r="O31" s="256">
        <v>0</v>
      </c>
    </row>
    <row r="32" spans="2:15" ht="27.6" hidden="1" x14ac:dyDescent="0.25">
      <c r="B32" s="1">
        <v>19</v>
      </c>
      <c r="C32" s="34" t="s">
        <v>497</v>
      </c>
      <c r="D32" s="256">
        <v>0</v>
      </c>
      <c r="E32" s="256">
        <v>0</v>
      </c>
      <c r="F32" s="256">
        <v>0</v>
      </c>
      <c r="G32" s="256">
        <v>0</v>
      </c>
      <c r="H32" s="256"/>
      <c r="I32" s="256">
        <f t="shared" si="0"/>
        <v>0</v>
      </c>
      <c r="J32" s="256">
        <v>0</v>
      </c>
      <c r="K32" s="256">
        <v>0</v>
      </c>
      <c r="L32" s="256">
        <v>0</v>
      </c>
      <c r="M32" s="256">
        <v>0</v>
      </c>
      <c r="N32" s="256">
        <v>0</v>
      </c>
      <c r="O32" s="256">
        <v>0</v>
      </c>
    </row>
    <row r="33" spans="2:16" hidden="1" x14ac:dyDescent="0.25">
      <c r="B33" s="1">
        <v>20</v>
      </c>
      <c r="C33" s="32" t="s">
        <v>498</v>
      </c>
      <c r="D33" s="256">
        <v>145.59455214399992</v>
      </c>
      <c r="E33" s="256">
        <v>148.01882901999977</v>
      </c>
      <c r="F33" s="256">
        <v>150.77933695000047</v>
      </c>
      <c r="G33" s="256">
        <v>366.93654865000008</v>
      </c>
      <c r="H33" s="256"/>
      <c r="I33" s="256">
        <f t="shared" si="0"/>
        <v>0</v>
      </c>
      <c r="J33" s="256">
        <v>0</v>
      </c>
      <c r="K33" s="256">
        <v>0</v>
      </c>
      <c r="L33" s="256">
        <v>0</v>
      </c>
      <c r="M33" s="256">
        <v>0</v>
      </c>
      <c r="N33" s="256">
        <v>0</v>
      </c>
      <c r="O33" s="256">
        <v>0</v>
      </c>
    </row>
    <row r="34" spans="2:16" x14ac:dyDescent="0.25">
      <c r="B34" s="437">
        <v>21</v>
      </c>
      <c r="C34" s="33" t="s">
        <v>499</v>
      </c>
      <c r="D34" s="257">
        <f t="shared" ref="D34:O34" si="1">SUM(D10:D33)</f>
        <v>1479.2909220249999</v>
      </c>
      <c r="E34" s="257">
        <f t="shared" si="1"/>
        <v>1846.6088907859998</v>
      </c>
      <c r="F34" s="257">
        <f t="shared" si="1"/>
        <v>1790.1393349120008</v>
      </c>
      <c r="G34" s="257">
        <f t="shared" si="1"/>
        <v>2096.9223000000002</v>
      </c>
      <c r="H34" s="257">
        <f t="shared" si="1"/>
        <v>0</v>
      </c>
      <c r="I34" s="257">
        <f t="shared" si="1"/>
        <v>0</v>
      </c>
      <c r="J34" s="257">
        <f t="shared" si="1"/>
        <v>2389.0153999999998</v>
      </c>
      <c r="K34" s="257">
        <f ca="1">K35+K36</f>
        <v>2770.2270708308629</v>
      </c>
      <c r="L34" s="257">
        <f ca="1">L35+L36</f>
        <v>2930.6232182319695</v>
      </c>
      <c r="M34" s="257">
        <f t="shared" si="1"/>
        <v>3486.5266523455002</v>
      </c>
      <c r="N34" s="257">
        <f t="shared" si="1"/>
        <v>3735.504086704469</v>
      </c>
      <c r="O34" s="257">
        <f t="shared" si="1"/>
        <v>4002.3035869641485</v>
      </c>
    </row>
    <row r="35" spans="2:16" x14ac:dyDescent="0.25">
      <c r="B35" s="1">
        <v>22</v>
      </c>
      <c r="C35" s="32" t="s">
        <v>500</v>
      </c>
      <c r="D35" s="256">
        <v>49.638795133999999</v>
      </c>
      <c r="E35" s="256">
        <v>38.516262619999999</v>
      </c>
      <c r="F35" s="256">
        <v>40.205581164000002</v>
      </c>
      <c r="G35" s="256">
        <v>43.097900000000003</v>
      </c>
      <c r="H35" s="256"/>
      <c r="I35" s="256"/>
      <c r="J35" s="256">
        <f>'[56]Employee Cost'!F29</f>
        <v>50.599899999999998</v>
      </c>
      <c r="K35" s="256">
        <f ca="1">$J$35/$J$34*K34</f>
        <v>58.674051561716425</v>
      </c>
      <c r="L35" s="256">
        <f ca="1">$J$35/$J$34*L34</f>
        <v>62.071279147139798</v>
      </c>
      <c r="M35" s="256">
        <f>'[56]Employee Cost'!I29</f>
        <v>0</v>
      </c>
      <c r="N35" s="256">
        <f>'[56]Employee Cost'!J29</f>
        <v>0</v>
      </c>
      <c r="O35" s="256">
        <f>'[56]Employee Cost'!K29</f>
        <v>0</v>
      </c>
    </row>
    <row r="36" spans="2:16" x14ac:dyDescent="0.25">
      <c r="B36" s="437">
        <v>23</v>
      </c>
      <c r="C36" s="10" t="s">
        <v>501</v>
      </c>
      <c r="D36" s="106">
        <f t="shared" ref="D36:O36" si="2">D34-D35</f>
        <v>1429.6521268909999</v>
      </c>
      <c r="E36" s="106">
        <f t="shared" si="2"/>
        <v>1808.0926281659999</v>
      </c>
      <c r="F36" s="106">
        <f t="shared" si="2"/>
        <v>1749.9337537480008</v>
      </c>
      <c r="G36" s="106">
        <f t="shared" si="2"/>
        <v>2053.8244</v>
      </c>
      <c r="H36" s="106">
        <f t="shared" si="2"/>
        <v>0</v>
      </c>
      <c r="I36" s="106">
        <f t="shared" si="2"/>
        <v>0</v>
      </c>
      <c r="J36" s="106">
        <f t="shared" si="2"/>
        <v>2338.4154999999996</v>
      </c>
      <c r="K36" s="106">
        <f>'[54]O&amp;M Projections New Methodology'!$J$5</f>
        <v>2711.5530192691463</v>
      </c>
      <c r="L36" s="106">
        <f>'[54]O&amp;M Projections New Methodology'!$K$5</f>
        <v>2868.5519390848299</v>
      </c>
      <c r="M36" s="106">
        <f t="shared" si="2"/>
        <v>3486.5266523455002</v>
      </c>
      <c r="N36" s="106">
        <f t="shared" si="2"/>
        <v>3735.504086704469</v>
      </c>
      <c r="O36" s="106">
        <f t="shared" si="2"/>
        <v>4002.3035869641485</v>
      </c>
    </row>
    <row r="37" spans="2:16" x14ac:dyDescent="0.25">
      <c r="B37" s="439"/>
      <c r="C37" s="26"/>
      <c r="D37" s="258"/>
      <c r="E37" s="258"/>
      <c r="F37" s="258"/>
      <c r="G37" s="258"/>
      <c r="H37" s="259"/>
      <c r="I37" s="259"/>
      <c r="J37" s="259"/>
      <c r="K37" s="259"/>
      <c r="L37" s="259"/>
      <c r="M37" s="259"/>
      <c r="N37" s="259"/>
      <c r="O37" s="259"/>
    </row>
    <row r="38" spans="2:16" s="3" customFormat="1" x14ac:dyDescent="0.25">
      <c r="B38" s="255" t="s">
        <v>685</v>
      </c>
      <c r="C38" s="30"/>
      <c r="D38" s="30"/>
      <c r="E38" s="30"/>
      <c r="F38" s="30"/>
      <c r="G38" s="31"/>
      <c r="H38" s="31"/>
      <c r="I38" s="31"/>
      <c r="J38" s="31"/>
    </row>
    <row r="39" spans="2:16" x14ac:dyDescent="0.25">
      <c r="D39" s="260"/>
      <c r="E39" s="260"/>
      <c r="F39" s="260"/>
      <c r="G39" s="260"/>
      <c r="L39" s="16" t="s">
        <v>1215</v>
      </c>
      <c r="O39" s="16" t="s">
        <v>3</v>
      </c>
    </row>
    <row r="40" spans="2:16" ht="12.75" customHeight="1" x14ac:dyDescent="0.25">
      <c r="B40" s="760" t="s">
        <v>474</v>
      </c>
      <c r="C40" s="760" t="s">
        <v>5</v>
      </c>
      <c r="D40" s="435" t="s">
        <v>222</v>
      </c>
      <c r="E40" s="435" t="s">
        <v>223</v>
      </c>
      <c r="F40" s="435" t="s">
        <v>224</v>
      </c>
      <c r="G40" s="435" t="s">
        <v>7</v>
      </c>
      <c r="H40" s="729" t="s">
        <v>8</v>
      </c>
      <c r="I40" s="729"/>
      <c r="J40" s="729"/>
      <c r="K40" s="768" t="s">
        <v>9</v>
      </c>
      <c r="L40" s="768"/>
      <c r="M40" s="768"/>
      <c r="N40" s="768"/>
      <c r="O40" s="768"/>
      <c r="P40" s="445"/>
    </row>
    <row r="41" spans="2:16" x14ac:dyDescent="0.25">
      <c r="B41" s="760"/>
      <c r="C41" s="760"/>
      <c r="D41" s="435" t="s">
        <v>11</v>
      </c>
      <c r="E41" s="435" t="s">
        <v>11</v>
      </c>
      <c r="F41" s="435" t="s">
        <v>11</v>
      </c>
      <c r="G41" s="435" t="s">
        <v>11</v>
      </c>
      <c r="H41" s="435" t="s">
        <v>13</v>
      </c>
      <c r="I41" s="435" t="s">
        <v>14</v>
      </c>
      <c r="J41" s="435" t="s">
        <v>15</v>
      </c>
      <c r="K41" s="435" t="s">
        <v>16</v>
      </c>
      <c r="L41" s="435" t="s">
        <v>17</v>
      </c>
      <c r="M41" s="435" t="s">
        <v>18</v>
      </c>
      <c r="N41" s="435" t="s">
        <v>19</v>
      </c>
      <c r="O41" s="435" t="s">
        <v>20</v>
      </c>
    </row>
    <row r="42" spans="2:16" x14ac:dyDescent="0.25">
      <c r="B42" s="856"/>
      <c r="C42" s="760"/>
      <c r="D42" s="435" t="s">
        <v>22</v>
      </c>
      <c r="E42" s="435" t="s">
        <v>22</v>
      </c>
      <c r="F42" s="435" t="s">
        <v>22</v>
      </c>
      <c r="G42" s="435" t="s">
        <v>22</v>
      </c>
      <c r="H42" s="435" t="s">
        <v>24</v>
      </c>
      <c r="I42" s="435" t="s">
        <v>25</v>
      </c>
      <c r="J42" s="435" t="s">
        <v>25</v>
      </c>
      <c r="K42" s="435" t="s">
        <v>26</v>
      </c>
      <c r="L42" s="435" t="s">
        <v>26</v>
      </c>
      <c r="M42" s="435" t="s">
        <v>26</v>
      </c>
      <c r="N42" s="435" t="s">
        <v>26</v>
      </c>
      <c r="O42" s="435" t="s">
        <v>26</v>
      </c>
    </row>
    <row r="43" spans="2:16" hidden="1" x14ac:dyDescent="0.25">
      <c r="B43" s="1">
        <v>1</v>
      </c>
      <c r="C43" s="32" t="s">
        <v>475</v>
      </c>
      <c r="D43" s="261">
        <f t="shared" ref="D43:G58" si="3">90%*D10</f>
        <v>678.24910346490003</v>
      </c>
      <c r="E43" s="261">
        <f t="shared" si="3"/>
        <v>702.48485991689995</v>
      </c>
      <c r="F43" s="261">
        <f t="shared" si="3"/>
        <v>717.89890222620011</v>
      </c>
      <c r="G43" s="261">
        <f t="shared" si="3"/>
        <v>730.68299999999999</v>
      </c>
      <c r="H43" s="262"/>
      <c r="I43" s="262"/>
      <c r="J43" s="263">
        <f t="shared" ref="J43:O58" si="4">90%*J10</f>
        <v>1582.8371099999999</v>
      </c>
      <c r="K43" s="263">
        <f t="shared" si="4"/>
        <v>1693.6357077</v>
      </c>
      <c r="L43" s="263">
        <f t="shared" si="4"/>
        <v>1812.1902072390001</v>
      </c>
      <c r="M43" s="263">
        <f t="shared" si="4"/>
        <v>2301.4815631935303</v>
      </c>
      <c r="N43" s="263">
        <f t="shared" si="4"/>
        <v>2462.5852726170774</v>
      </c>
      <c r="O43" s="263">
        <f t="shared" si="4"/>
        <v>2634.9662417002728</v>
      </c>
    </row>
    <row r="44" spans="2:16" hidden="1" x14ac:dyDescent="0.25">
      <c r="B44" s="1">
        <v>2</v>
      </c>
      <c r="C44" s="32" t="s">
        <v>476</v>
      </c>
      <c r="D44" s="261">
        <f t="shared" si="3"/>
        <v>59.673806765999998</v>
      </c>
      <c r="E44" s="261">
        <f t="shared" si="3"/>
        <v>111.329843256</v>
      </c>
      <c r="F44" s="261">
        <f t="shared" si="3"/>
        <v>156.13592188499999</v>
      </c>
      <c r="G44" s="261">
        <f t="shared" si="3"/>
        <v>206.23789543499998</v>
      </c>
      <c r="H44" s="262"/>
      <c r="I44" s="262"/>
      <c r="J44" s="263">
        <f t="shared" si="4"/>
        <v>0</v>
      </c>
      <c r="K44" s="263">
        <f t="shared" si="4"/>
        <v>0</v>
      </c>
      <c r="L44" s="263">
        <f t="shared" si="4"/>
        <v>0</v>
      </c>
      <c r="M44" s="263">
        <f t="shared" si="4"/>
        <v>0</v>
      </c>
      <c r="N44" s="263">
        <f t="shared" si="4"/>
        <v>0</v>
      </c>
      <c r="O44" s="263">
        <f t="shared" si="4"/>
        <v>0</v>
      </c>
    </row>
    <row r="45" spans="2:16" hidden="1" x14ac:dyDescent="0.25">
      <c r="B45" s="1">
        <v>3</v>
      </c>
      <c r="C45" s="2" t="s">
        <v>477</v>
      </c>
      <c r="D45" s="261">
        <f t="shared" si="3"/>
        <v>25.194997862999998</v>
      </c>
      <c r="E45" s="261">
        <f t="shared" si="3"/>
        <v>48.631079276999998</v>
      </c>
      <c r="F45" s="261">
        <f t="shared" si="3"/>
        <v>53.353951739999999</v>
      </c>
      <c r="G45" s="261">
        <f t="shared" si="3"/>
        <v>60.46200000000001</v>
      </c>
      <c r="H45" s="262"/>
      <c r="I45" s="262"/>
      <c r="J45" s="263">
        <f t="shared" si="4"/>
        <v>0</v>
      </c>
      <c r="K45" s="263">
        <f t="shared" si="4"/>
        <v>0</v>
      </c>
      <c r="L45" s="263">
        <f t="shared" si="4"/>
        <v>0</v>
      </c>
      <c r="M45" s="263">
        <f t="shared" si="4"/>
        <v>0</v>
      </c>
      <c r="N45" s="263">
        <f t="shared" si="4"/>
        <v>0</v>
      </c>
      <c r="O45" s="263">
        <f t="shared" si="4"/>
        <v>0</v>
      </c>
    </row>
    <row r="46" spans="2:16" hidden="1" x14ac:dyDescent="0.25">
      <c r="B46" s="1">
        <v>4</v>
      </c>
      <c r="C46" s="32" t="s">
        <v>478</v>
      </c>
      <c r="D46" s="261">
        <f t="shared" si="3"/>
        <v>9.473457419999999</v>
      </c>
      <c r="E46" s="261">
        <f t="shared" si="3"/>
        <v>10.055416995000002</v>
      </c>
      <c r="F46" s="261">
        <f t="shared" si="3"/>
        <v>10.23372432</v>
      </c>
      <c r="G46" s="261">
        <f t="shared" si="3"/>
        <v>10.28734695</v>
      </c>
      <c r="H46" s="262"/>
      <c r="I46" s="262"/>
      <c r="J46" s="263">
        <f t="shared" si="4"/>
        <v>0</v>
      </c>
      <c r="K46" s="263">
        <f t="shared" si="4"/>
        <v>0</v>
      </c>
      <c r="L46" s="263">
        <f t="shared" si="4"/>
        <v>0</v>
      </c>
      <c r="M46" s="263">
        <f t="shared" si="4"/>
        <v>0</v>
      </c>
      <c r="N46" s="263">
        <f t="shared" si="4"/>
        <v>0</v>
      </c>
      <c r="O46" s="263">
        <f t="shared" si="4"/>
        <v>0</v>
      </c>
    </row>
    <row r="47" spans="2:16" hidden="1" x14ac:dyDescent="0.25">
      <c r="B47" s="1">
        <v>5</v>
      </c>
      <c r="C47" s="32" t="s">
        <v>479</v>
      </c>
      <c r="D47" s="261">
        <f t="shared" si="3"/>
        <v>0</v>
      </c>
      <c r="E47" s="261">
        <f t="shared" si="3"/>
        <v>0</v>
      </c>
      <c r="F47" s="261">
        <f t="shared" si="3"/>
        <v>0</v>
      </c>
      <c r="G47" s="261">
        <f t="shared" si="3"/>
        <v>0</v>
      </c>
      <c r="H47" s="262"/>
      <c r="I47" s="262"/>
      <c r="J47" s="263">
        <f t="shared" si="4"/>
        <v>0</v>
      </c>
      <c r="K47" s="263">
        <f t="shared" si="4"/>
        <v>0</v>
      </c>
      <c r="L47" s="263">
        <f t="shared" si="4"/>
        <v>0</v>
      </c>
      <c r="M47" s="263">
        <f t="shared" si="4"/>
        <v>0</v>
      </c>
      <c r="N47" s="263">
        <f t="shared" si="4"/>
        <v>0</v>
      </c>
      <c r="O47" s="263">
        <f t="shared" si="4"/>
        <v>0</v>
      </c>
    </row>
    <row r="48" spans="2:16" hidden="1" x14ac:dyDescent="0.25">
      <c r="B48" s="1">
        <v>6</v>
      </c>
      <c r="C48" s="2" t="s">
        <v>480</v>
      </c>
      <c r="D48" s="261">
        <f t="shared" si="3"/>
        <v>100.50671376000001</v>
      </c>
      <c r="E48" s="261">
        <f t="shared" si="3"/>
        <v>187.78765859999999</v>
      </c>
      <c r="F48" s="261">
        <f t="shared" si="3"/>
        <v>87.49247373</v>
      </c>
      <c r="G48" s="261">
        <f t="shared" si="3"/>
        <v>91.502135910000007</v>
      </c>
      <c r="H48" s="262"/>
      <c r="I48" s="262"/>
      <c r="J48" s="263">
        <f t="shared" si="4"/>
        <v>0</v>
      </c>
      <c r="K48" s="263">
        <f t="shared" si="4"/>
        <v>0</v>
      </c>
      <c r="L48" s="263">
        <f t="shared" si="4"/>
        <v>0</v>
      </c>
      <c r="M48" s="263">
        <f t="shared" si="4"/>
        <v>0</v>
      </c>
      <c r="N48" s="263">
        <f t="shared" si="4"/>
        <v>0</v>
      </c>
      <c r="O48" s="263">
        <f t="shared" si="4"/>
        <v>0</v>
      </c>
    </row>
    <row r="49" spans="2:15" hidden="1" x14ac:dyDescent="0.25">
      <c r="B49" s="1">
        <v>7</v>
      </c>
      <c r="C49" s="32" t="s">
        <v>481</v>
      </c>
      <c r="D49" s="261">
        <f t="shared" si="3"/>
        <v>82.305000000000007</v>
      </c>
      <c r="E49" s="261">
        <f t="shared" si="3"/>
        <v>63.238160088000001</v>
      </c>
      <c r="F49" s="261">
        <f t="shared" si="3"/>
        <v>59.33638827</v>
      </c>
      <c r="G49" s="261">
        <f t="shared" si="3"/>
        <v>53.901000000000003</v>
      </c>
      <c r="H49" s="262"/>
      <c r="I49" s="262"/>
      <c r="J49" s="263">
        <f t="shared" si="4"/>
        <v>0</v>
      </c>
      <c r="K49" s="263">
        <f t="shared" si="4"/>
        <v>0</v>
      </c>
      <c r="L49" s="263">
        <f t="shared" si="4"/>
        <v>0</v>
      </c>
      <c r="M49" s="263">
        <f t="shared" si="4"/>
        <v>0</v>
      </c>
      <c r="N49" s="263">
        <f t="shared" si="4"/>
        <v>0</v>
      </c>
      <c r="O49" s="263">
        <f t="shared" si="4"/>
        <v>0</v>
      </c>
    </row>
    <row r="50" spans="2:15" hidden="1" x14ac:dyDescent="0.25">
      <c r="B50" s="1">
        <v>8</v>
      </c>
      <c r="C50" s="32" t="s">
        <v>482</v>
      </c>
      <c r="D50" s="261">
        <f t="shared" si="3"/>
        <v>15.144085889999999</v>
      </c>
      <c r="E50" s="261">
        <f t="shared" si="3"/>
        <v>8.7182566020000003</v>
      </c>
      <c r="F50" s="261">
        <f t="shared" si="3"/>
        <v>15.022247940000002</v>
      </c>
      <c r="G50" s="261">
        <f t="shared" si="3"/>
        <v>21.716999999999999</v>
      </c>
      <c r="H50" s="262"/>
      <c r="I50" s="262"/>
      <c r="J50" s="263">
        <f t="shared" si="4"/>
        <v>0</v>
      </c>
      <c r="K50" s="263">
        <f t="shared" si="4"/>
        <v>0</v>
      </c>
      <c r="L50" s="263">
        <f t="shared" si="4"/>
        <v>0</v>
      </c>
      <c r="M50" s="263">
        <f t="shared" si="4"/>
        <v>0</v>
      </c>
      <c r="N50" s="263">
        <f t="shared" si="4"/>
        <v>0</v>
      </c>
      <c r="O50" s="263">
        <f t="shared" si="4"/>
        <v>0</v>
      </c>
    </row>
    <row r="51" spans="2:15" hidden="1" x14ac:dyDescent="0.25">
      <c r="B51" s="1">
        <v>9</v>
      </c>
      <c r="C51" s="32" t="s">
        <v>483</v>
      </c>
      <c r="D51" s="261">
        <f t="shared" si="3"/>
        <v>0</v>
      </c>
      <c r="E51" s="261">
        <f t="shared" si="3"/>
        <v>0</v>
      </c>
      <c r="F51" s="261">
        <f t="shared" si="3"/>
        <v>0</v>
      </c>
      <c r="G51" s="261">
        <f t="shared" si="3"/>
        <v>0</v>
      </c>
      <c r="H51" s="262"/>
      <c r="I51" s="262"/>
      <c r="J51" s="263">
        <f t="shared" si="4"/>
        <v>0</v>
      </c>
      <c r="K51" s="263">
        <f t="shared" si="4"/>
        <v>0</v>
      </c>
      <c r="L51" s="263">
        <f t="shared" si="4"/>
        <v>0</v>
      </c>
      <c r="M51" s="263">
        <f t="shared" si="4"/>
        <v>0</v>
      </c>
      <c r="N51" s="263">
        <f t="shared" si="4"/>
        <v>0</v>
      </c>
      <c r="O51" s="263">
        <f t="shared" si="4"/>
        <v>0</v>
      </c>
    </row>
    <row r="52" spans="2:15" hidden="1" x14ac:dyDescent="0.25">
      <c r="B52" s="1">
        <v>10</v>
      </c>
      <c r="C52" s="32" t="s">
        <v>484</v>
      </c>
      <c r="D52" s="261">
        <f t="shared" si="3"/>
        <v>0</v>
      </c>
      <c r="E52" s="261">
        <f t="shared" si="3"/>
        <v>0</v>
      </c>
      <c r="F52" s="261">
        <f t="shared" si="3"/>
        <v>0</v>
      </c>
      <c r="G52" s="261">
        <f t="shared" si="3"/>
        <v>0</v>
      </c>
      <c r="H52" s="262"/>
      <c r="I52" s="262"/>
      <c r="J52" s="263">
        <f t="shared" si="4"/>
        <v>0</v>
      </c>
      <c r="K52" s="263">
        <f t="shared" si="4"/>
        <v>0</v>
      </c>
      <c r="L52" s="263">
        <f t="shared" si="4"/>
        <v>0</v>
      </c>
      <c r="M52" s="263">
        <f t="shared" si="4"/>
        <v>0</v>
      </c>
      <c r="N52" s="263">
        <f t="shared" si="4"/>
        <v>0</v>
      </c>
      <c r="O52" s="263">
        <f t="shared" si="4"/>
        <v>0</v>
      </c>
    </row>
    <row r="53" spans="2:15" hidden="1" x14ac:dyDescent="0.25">
      <c r="B53" s="1">
        <v>11</v>
      </c>
      <c r="C53" s="32" t="s">
        <v>485</v>
      </c>
      <c r="D53" s="261">
        <f t="shared" si="3"/>
        <v>0</v>
      </c>
      <c r="E53" s="261">
        <f t="shared" si="3"/>
        <v>0</v>
      </c>
      <c r="F53" s="261">
        <f t="shared" si="3"/>
        <v>0</v>
      </c>
      <c r="G53" s="261">
        <f t="shared" si="3"/>
        <v>0</v>
      </c>
      <c r="H53" s="262"/>
      <c r="I53" s="262"/>
      <c r="J53" s="263">
        <f t="shared" si="4"/>
        <v>0</v>
      </c>
      <c r="K53" s="263">
        <f t="shared" si="4"/>
        <v>0</v>
      </c>
      <c r="L53" s="263">
        <f t="shared" si="4"/>
        <v>0</v>
      </c>
      <c r="M53" s="263">
        <f t="shared" si="4"/>
        <v>0</v>
      </c>
      <c r="N53" s="263">
        <f t="shared" si="4"/>
        <v>0</v>
      </c>
      <c r="O53" s="263">
        <f t="shared" si="4"/>
        <v>0</v>
      </c>
    </row>
    <row r="54" spans="2:15" hidden="1" x14ac:dyDescent="0.25">
      <c r="B54" s="1">
        <v>12</v>
      </c>
      <c r="C54" s="32" t="s">
        <v>486</v>
      </c>
      <c r="D54" s="261">
        <f t="shared" si="3"/>
        <v>2.770815969</v>
      </c>
      <c r="E54" s="261">
        <f t="shared" si="3"/>
        <v>3.4280879445000001</v>
      </c>
      <c r="F54" s="261">
        <f t="shared" si="3"/>
        <v>3.7503525510000002</v>
      </c>
      <c r="G54" s="261">
        <f t="shared" si="3"/>
        <v>1.9183043879999999</v>
      </c>
      <c r="H54" s="262"/>
      <c r="I54" s="262"/>
      <c r="J54" s="263">
        <f t="shared" si="4"/>
        <v>30.923280000000002</v>
      </c>
      <c r="K54" s="263">
        <f t="shared" si="4"/>
        <v>33.087909600000003</v>
      </c>
      <c r="L54" s="263">
        <f t="shared" si="4"/>
        <v>35.404063272000002</v>
      </c>
      <c r="M54" s="263">
        <f t="shared" si="4"/>
        <v>44.963160355440003</v>
      </c>
      <c r="N54" s="263">
        <f t="shared" si="4"/>
        <v>48.110581580320805</v>
      </c>
      <c r="O54" s="263">
        <f t="shared" si="4"/>
        <v>51.478322290943268</v>
      </c>
    </row>
    <row r="55" spans="2:15" hidden="1" x14ac:dyDescent="0.25">
      <c r="B55" s="1">
        <v>13</v>
      </c>
      <c r="C55" s="32" t="s">
        <v>487</v>
      </c>
      <c r="D55" s="261">
        <f t="shared" si="3"/>
        <v>0</v>
      </c>
      <c r="E55" s="261">
        <f t="shared" si="3"/>
        <v>0</v>
      </c>
      <c r="F55" s="261">
        <f t="shared" si="3"/>
        <v>0</v>
      </c>
      <c r="G55" s="261">
        <f t="shared" si="3"/>
        <v>0</v>
      </c>
      <c r="H55" s="262"/>
      <c r="I55" s="262"/>
      <c r="J55" s="263">
        <f t="shared" si="4"/>
        <v>0</v>
      </c>
      <c r="K55" s="263">
        <f t="shared" si="4"/>
        <v>0</v>
      </c>
      <c r="L55" s="263">
        <f t="shared" si="4"/>
        <v>0</v>
      </c>
      <c r="M55" s="263">
        <f t="shared" si="4"/>
        <v>0</v>
      </c>
      <c r="N55" s="263">
        <f t="shared" si="4"/>
        <v>0</v>
      </c>
      <c r="O55" s="263">
        <f t="shared" si="4"/>
        <v>0</v>
      </c>
    </row>
    <row r="56" spans="2:15" hidden="1" x14ac:dyDescent="0.25">
      <c r="B56" s="1">
        <v>14</v>
      </c>
      <c r="C56" s="32" t="s">
        <v>488</v>
      </c>
      <c r="D56" s="261">
        <f t="shared" si="3"/>
        <v>0</v>
      </c>
      <c r="E56" s="261">
        <f t="shared" si="3"/>
        <v>0</v>
      </c>
      <c r="F56" s="261">
        <f t="shared" si="3"/>
        <v>0</v>
      </c>
      <c r="G56" s="261">
        <f t="shared" si="3"/>
        <v>0</v>
      </c>
      <c r="H56" s="262"/>
      <c r="I56" s="262"/>
      <c r="J56" s="263">
        <f t="shared" si="4"/>
        <v>1.5866099999999999</v>
      </c>
      <c r="K56" s="263">
        <f t="shared" si="4"/>
        <v>1.6976727</v>
      </c>
      <c r="L56" s="263">
        <f t="shared" si="4"/>
        <v>1.8165097889999999</v>
      </c>
      <c r="M56" s="263">
        <f t="shared" si="4"/>
        <v>2.30696743203</v>
      </c>
      <c r="N56" s="263">
        <f t="shared" si="4"/>
        <v>2.4684551522721003</v>
      </c>
      <c r="O56" s="263">
        <f t="shared" si="4"/>
        <v>2.6412470129311476</v>
      </c>
    </row>
    <row r="57" spans="2:15" hidden="1" x14ac:dyDescent="0.25">
      <c r="B57" s="1">
        <v>15</v>
      </c>
      <c r="C57" s="32" t="s">
        <v>489</v>
      </c>
      <c r="D57" s="261">
        <f t="shared" si="3"/>
        <v>0</v>
      </c>
      <c r="E57" s="261">
        <f t="shared" si="3"/>
        <v>0</v>
      </c>
      <c r="F57" s="261">
        <f t="shared" si="3"/>
        <v>0</v>
      </c>
      <c r="G57" s="261">
        <f t="shared" si="3"/>
        <v>0</v>
      </c>
      <c r="H57" s="262"/>
      <c r="I57" s="262"/>
      <c r="J57" s="263">
        <f t="shared" si="4"/>
        <v>0</v>
      </c>
      <c r="K57" s="263">
        <f t="shared" si="4"/>
        <v>0</v>
      </c>
      <c r="L57" s="263">
        <f t="shared" si="4"/>
        <v>0</v>
      </c>
      <c r="M57" s="263">
        <f t="shared" si="4"/>
        <v>0</v>
      </c>
      <c r="N57" s="263">
        <f t="shared" si="4"/>
        <v>0</v>
      </c>
      <c r="O57" s="263">
        <f t="shared" si="4"/>
        <v>0</v>
      </c>
    </row>
    <row r="58" spans="2:15" hidden="1" x14ac:dyDescent="0.25">
      <c r="B58" s="1">
        <v>16</v>
      </c>
      <c r="C58" s="32" t="s">
        <v>490</v>
      </c>
      <c r="D58" s="261">
        <f t="shared" si="3"/>
        <v>0</v>
      </c>
      <c r="E58" s="261">
        <f t="shared" si="3"/>
        <v>0</v>
      </c>
      <c r="F58" s="261">
        <f t="shared" si="3"/>
        <v>0</v>
      </c>
      <c r="G58" s="261">
        <f t="shared" si="3"/>
        <v>0</v>
      </c>
      <c r="H58" s="262"/>
      <c r="I58" s="262"/>
      <c r="J58" s="263">
        <f t="shared" si="4"/>
        <v>145.13346000000001</v>
      </c>
      <c r="K58" s="263">
        <f t="shared" si="4"/>
        <v>155.29280220000004</v>
      </c>
      <c r="L58" s="263">
        <f t="shared" si="4"/>
        <v>166.16329835400003</v>
      </c>
      <c r="M58" s="263">
        <f t="shared" si="4"/>
        <v>211.02738890958003</v>
      </c>
      <c r="N58" s="263">
        <f t="shared" si="4"/>
        <v>225.79930613325064</v>
      </c>
      <c r="O58" s="263">
        <f t="shared" si="4"/>
        <v>241.60525756257823</v>
      </c>
    </row>
    <row r="59" spans="2:15" hidden="1" x14ac:dyDescent="0.25">
      <c r="B59" s="1">
        <v>17</v>
      </c>
      <c r="C59" s="32" t="s">
        <v>491</v>
      </c>
      <c r="D59" s="261">
        <f t="shared" ref="D59:G66" si="5">90%*D26</f>
        <v>0</v>
      </c>
      <c r="E59" s="261">
        <f t="shared" si="5"/>
        <v>0</v>
      </c>
      <c r="F59" s="261">
        <f t="shared" si="5"/>
        <v>0</v>
      </c>
      <c r="G59" s="261">
        <f t="shared" si="5"/>
        <v>0</v>
      </c>
      <c r="H59" s="262"/>
      <c r="I59" s="262"/>
      <c r="J59" s="263">
        <f t="shared" ref="J59:O69" si="6">90%*J26</f>
        <v>0</v>
      </c>
      <c r="K59" s="263">
        <f t="shared" si="6"/>
        <v>0</v>
      </c>
      <c r="L59" s="263">
        <f t="shared" si="6"/>
        <v>0</v>
      </c>
      <c r="M59" s="263">
        <f t="shared" si="6"/>
        <v>0</v>
      </c>
      <c r="N59" s="263">
        <f t="shared" si="6"/>
        <v>0</v>
      </c>
      <c r="O59" s="263">
        <f t="shared" si="6"/>
        <v>0</v>
      </c>
    </row>
    <row r="60" spans="2:15" hidden="1" x14ac:dyDescent="0.25">
      <c r="B60" s="1">
        <v>18</v>
      </c>
      <c r="C60" s="32" t="s">
        <v>492</v>
      </c>
      <c r="D60" s="261">
        <f t="shared" si="5"/>
        <v>0</v>
      </c>
      <c r="E60" s="261">
        <f t="shared" si="5"/>
        <v>0</v>
      </c>
      <c r="F60" s="261">
        <f t="shared" si="5"/>
        <v>0</v>
      </c>
      <c r="G60" s="261">
        <f t="shared" si="5"/>
        <v>0</v>
      </c>
      <c r="H60" s="262"/>
      <c r="I60" s="262"/>
      <c r="J60" s="263">
        <f t="shared" si="6"/>
        <v>296.61992999999995</v>
      </c>
      <c r="K60" s="263">
        <f t="shared" si="6"/>
        <v>320.34952439999995</v>
      </c>
      <c r="L60" s="263">
        <f t="shared" si="6"/>
        <v>345.97748635199997</v>
      </c>
      <c r="M60" s="263">
        <f t="shared" si="6"/>
        <v>442.85118253055998</v>
      </c>
      <c r="N60" s="263">
        <f t="shared" si="6"/>
        <v>478.27927713300477</v>
      </c>
      <c r="O60" s="263">
        <f t="shared" si="6"/>
        <v>516.54161930364523</v>
      </c>
    </row>
    <row r="61" spans="2:15" hidden="1" x14ac:dyDescent="0.25">
      <c r="B61" s="1">
        <f>+B60+0.1</f>
        <v>18.100000000000001</v>
      </c>
      <c r="C61" s="32" t="s">
        <v>493</v>
      </c>
      <c r="D61" s="261">
        <f t="shared" si="5"/>
        <v>55.440000000000005</v>
      </c>
      <c r="E61" s="261">
        <f t="shared" si="5"/>
        <v>66.25800000000001</v>
      </c>
      <c r="F61" s="261">
        <f t="shared" si="5"/>
        <v>70.20428427360001</v>
      </c>
      <c r="G61" s="261">
        <f t="shared" si="5"/>
        <v>76.041844721999993</v>
      </c>
      <c r="H61" s="262"/>
      <c r="I61" s="262"/>
      <c r="J61" s="263">
        <f t="shared" si="6"/>
        <v>93.013469999999998</v>
      </c>
      <c r="K61" s="263">
        <f t="shared" si="6"/>
        <v>99.524412900000002</v>
      </c>
      <c r="L61" s="263">
        <f t="shared" si="6"/>
        <v>106.491121803</v>
      </c>
      <c r="M61" s="263">
        <f t="shared" si="6"/>
        <v>135.24372468980999</v>
      </c>
      <c r="N61" s="263">
        <f t="shared" si="6"/>
        <v>144.71078541809669</v>
      </c>
      <c r="O61" s="263">
        <f t="shared" si="6"/>
        <v>154.84054039736347</v>
      </c>
    </row>
    <row r="62" spans="2:15" hidden="1" x14ac:dyDescent="0.25">
      <c r="B62" s="1">
        <f>+B61+0.1</f>
        <v>18.200000000000003</v>
      </c>
      <c r="C62" s="32" t="s">
        <v>494</v>
      </c>
      <c r="D62" s="261">
        <f t="shared" si="5"/>
        <v>167.22000000000003</v>
      </c>
      <c r="E62" s="261">
        <f t="shared" si="5"/>
        <v>327.01500000000004</v>
      </c>
      <c r="F62" s="261">
        <f t="shared" si="5"/>
        <v>295.983</v>
      </c>
      <c r="G62" s="261">
        <f t="shared" si="5"/>
        <v>279.36</v>
      </c>
      <c r="H62" s="262"/>
      <c r="I62" s="262"/>
      <c r="J62" s="263">
        <f t="shared" si="6"/>
        <v>0</v>
      </c>
      <c r="K62" s="263">
        <f t="shared" si="6"/>
        <v>0</v>
      </c>
      <c r="L62" s="263">
        <f t="shared" si="6"/>
        <v>0</v>
      </c>
      <c r="M62" s="263">
        <f t="shared" si="6"/>
        <v>0</v>
      </c>
      <c r="N62" s="263">
        <f t="shared" si="6"/>
        <v>0</v>
      </c>
      <c r="O62" s="263">
        <f t="shared" si="6"/>
        <v>0</v>
      </c>
    </row>
    <row r="63" spans="2:15" hidden="1" x14ac:dyDescent="0.25">
      <c r="B63" s="1">
        <f>+B62+0.1</f>
        <v>18.300000000000004</v>
      </c>
      <c r="C63" s="32" t="s">
        <v>495</v>
      </c>
      <c r="D63" s="261">
        <f t="shared" si="5"/>
        <v>0</v>
      </c>
      <c r="E63" s="261">
        <f t="shared" si="5"/>
        <v>0</v>
      </c>
      <c r="F63" s="261">
        <f t="shared" si="5"/>
        <v>0</v>
      </c>
      <c r="G63" s="261">
        <f t="shared" si="5"/>
        <v>0</v>
      </c>
      <c r="H63" s="262"/>
      <c r="I63" s="262"/>
      <c r="J63" s="263">
        <f t="shared" si="6"/>
        <v>0</v>
      </c>
      <c r="K63" s="263">
        <f t="shared" si="6"/>
        <v>0</v>
      </c>
      <c r="L63" s="263">
        <f t="shared" si="6"/>
        <v>0</v>
      </c>
      <c r="M63" s="263">
        <f t="shared" si="6"/>
        <v>0</v>
      </c>
      <c r="N63" s="263">
        <f t="shared" si="6"/>
        <v>0</v>
      </c>
      <c r="O63" s="263">
        <f t="shared" si="6"/>
        <v>0</v>
      </c>
    </row>
    <row r="64" spans="2:15" hidden="1" x14ac:dyDescent="0.25">
      <c r="B64" s="1">
        <f>+B63+0.1</f>
        <v>18.400000000000006</v>
      </c>
      <c r="C64" s="32" t="s">
        <v>496</v>
      </c>
      <c r="D64" s="261">
        <f t="shared" si="5"/>
        <v>4.3487517599999999</v>
      </c>
      <c r="E64" s="261">
        <f t="shared" si="5"/>
        <v>-0.21530709000000001</v>
      </c>
      <c r="F64" s="261">
        <f t="shared" si="5"/>
        <v>6.0127512300000001</v>
      </c>
      <c r="G64" s="261">
        <f t="shared" si="5"/>
        <v>24.876648810000002</v>
      </c>
      <c r="H64" s="262"/>
      <c r="I64" s="262"/>
      <c r="J64" s="263">
        <f t="shared" si="6"/>
        <v>0</v>
      </c>
      <c r="K64" s="263">
        <f t="shared" si="6"/>
        <v>0</v>
      </c>
      <c r="L64" s="263">
        <f t="shared" si="6"/>
        <v>0</v>
      </c>
      <c r="M64" s="263">
        <f t="shared" si="6"/>
        <v>0</v>
      </c>
      <c r="N64" s="263">
        <f t="shared" si="6"/>
        <v>0</v>
      </c>
      <c r="O64" s="263">
        <f t="shared" si="6"/>
        <v>0</v>
      </c>
    </row>
    <row r="65" spans="2:16" ht="27.6" hidden="1" x14ac:dyDescent="0.25">
      <c r="B65" s="1">
        <v>19</v>
      </c>
      <c r="C65" s="34" t="s">
        <v>497</v>
      </c>
      <c r="D65" s="261">
        <f t="shared" si="5"/>
        <v>0</v>
      </c>
      <c r="E65" s="261">
        <f t="shared" si="5"/>
        <v>0</v>
      </c>
      <c r="F65" s="261">
        <f t="shared" si="5"/>
        <v>0</v>
      </c>
      <c r="G65" s="261">
        <f t="shared" si="5"/>
        <v>0</v>
      </c>
      <c r="H65" s="262"/>
      <c r="I65" s="262"/>
      <c r="J65" s="263">
        <f t="shared" si="6"/>
        <v>0</v>
      </c>
      <c r="K65" s="263">
        <f t="shared" si="6"/>
        <v>0</v>
      </c>
      <c r="L65" s="263">
        <f t="shared" si="6"/>
        <v>0</v>
      </c>
      <c r="M65" s="263">
        <f t="shared" si="6"/>
        <v>0</v>
      </c>
      <c r="N65" s="263">
        <f t="shared" si="6"/>
        <v>0</v>
      </c>
      <c r="O65" s="263">
        <f t="shared" si="6"/>
        <v>0</v>
      </c>
    </row>
    <row r="66" spans="2:16" hidden="1" x14ac:dyDescent="0.25">
      <c r="B66" s="1">
        <v>20</v>
      </c>
      <c r="C66" s="32" t="s">
        <v>498</v>
      </c>
      <c r="D66" s="261">
        <f t="shared" si="5"/>
        <v>131.03509692959994</v>
      </c>
      <c r="E66" s="261">
        <f t="shared" si="5"/>
        <v>133.21694611799981</v>
      </c>
      <c r="F66" s="261">
        <f t="shared" si="5"/>
        <v>135.70140325500043</v>
      </c>
      <c r="G66" s="261">
        <f t="shared" si="5"/>
        <v>330.24289378500009</v>
      </c>
      <c r="H66" s="262"/>
      <c r="I66" s="262"/>
      <c r="J66" s="263">
        <f t="shared" si="6"/>
        <v>0</v>
      </c>
      <c r="K66" s="263">
        <f t="shared" si="6"/>
        <v>0</v>
      </c>
      <c r="L66" s="263">
        <f t="shared" si="6"/>
        <v>0</v>
      </c>
      <c r="M66" s="263">
        <f t="shared" si="6"/>
        <v>0</v>
      </c>
      <c r="N66" s="263">
        <f t="shared" si="6"/>
        <v>0</v>
      </c>
      <c r="O66" s="263">
        <f t="shared" si="6"/>
        <v>0</v>
      </c>
    </row>
    <row r="67" spans="2:16" x14ac:dyDescent="0.25">
      <c r="B67" s="437">
        <v>21</v>
      </c>
      <c r="C67" s="33" t="s">
        <v>499</v>
      </c>
      <c r="D67" s="257">
        <f t="shared" ref="D67:I68" si="7">D34*0.9</f>
        <v>1331.3618298224999</v>
      </c>
      <c r="E67" s="257">
        <f t="shared" si="7"/>
        <v>1661.9480017074</v>
      </c>
      <c r="F67" s="257">
        <f t="shared" si="7"/>
        <v>1611.1254014208007</v>
      </c>
      <c r="G67" s="257">
        <f t="shared" si="7"/>
        <v>1887.2300700000003</v>
      </c>
      <c r="H67" s="257">
        <f t="shared" si="7"/>
        <v>0</v>
      </c>
      <c r="I67" s="257">
        <f t="shared" si="7"/>
        <v>0</v>
      </c>
      <c r="J67" s="257">
        <f t="shared" ref="J67:O67" si="8">SUM(J43:J66)</f>
        <v>2150.1138599999999</v>
      </c>
      <c r="K67" s="257">
        <f t="shared" ca="1" si="6"/>
        <v>2493.2043637477768</v>
      </c>
      <c r="L67" s="257">
        <f t="shared" ca="1" si="6"/>
        <v>2637.5608964087728</v>
      </c>
      <c r="M67" s="257">
        <f t="shared" si="8"/>
        <v>3137.8739871109501</v>
      </c>
      <c r="N67" s="257">
        <f t="shared" si="8"/>
        <v>3361.9536780340227</v>
      </c>
      <c r="O67" s="257">
        <f t="shared" si="8"/>
        <v>3602.0732282677341</v>
      </c>
    </row>
    <row r="68" spans="2:16" x14ac:dyDescent="0.25">
      <c r="B68" s="1">
        <v>22</v>
      </c>
      <c r="C68" s="32" t="s">
        <v>500</v>
      </c>
      <c r="D68" s="256">
        <f t="shared" si="7"/>
        <v>44.674915620599997</v>
      </c>
      <c r="E68" s="256">
        <f t="shared" si="7"/>
        <v>34.664636358000003</v>
      </c>
      <c r="F68" s="256">
        <f t="shared" si="7"/>
        <v>36.185023047600005</v>
      </c>
      <c r="G68" s="256">
        <f t="shared" si="7"/>
        <v>38.788110000000003</v>
      </c>
      <c r="H68" s="256">
        <f t="shared" si="7"/>
        <v>0</v>
      </c>
      <c r="I68" s="256">
        <f t="shared" si="7"/>
        <v>0</v>
      </c>
      <c r="J68" s="256">
        <f t="shared" ref="J68:O68" si="9">J35*90%</f>
        <v>45.539909999999999</v>
      </c>
      <c r="K68" s="256">
        <f t="shared" ca="1" si="6"/>
        <v>52.806646405544782</v>
      </c>
      <c r="L68" s="256">
        <f t="shared" ca="1" si="6"/>
        <v>55.864151232425819</v>
      </c>
      <c r="M68" s="256">
        <f t="shared" si="9"/>
        <v>0</v>
      </c>
      <c r="N68" s="256">
        <f t="shared" si="9"/>
        <v>0</v>
      </c>
      <c r="O68" s="256">
        <f t="shared" si="9"/>
        <v>0</v>
      </c>
    </row>
    <row r="69" spans="2:16" x14ac:dyDescent="0.25">
      <c r="B69" s="437">
        <v>23</v>
      </c>
      <c r="C69" s="10" t="s">
        <v>501</v>
      </c>
      <c r="D69" s="106">
        <f t="shared" ref="D69:O69" si="10">D67-D68</f>
        <v>1286.6869142019</v>
      </c>
      <c r="E69" s="106">
        <f t="shared" si="10"/>
        <v>1627.2833653493999</v>
      </c>
      <c r="F69" s="106">
        <f t="shared" si="10"/>
        <v>1574.9403783732007</v>
      </c>
      <c r="G69" s="106">
        <f t="shared" si="10"/>
        <v>1848.4419600000003</v>
      </c>
      <c r="H69" s="106">
        <f t="shared" si="10"/>
        <v>0</v>
      </c>
      <c r="I69" s="106">
        <f t="shared" si="10"/>
        <v>0</v>
      </c>
      <c r="J69" s="106">
        <f t="shared" si="10"/>
        <v>2104.57395</v>
      </c>
      <c r="K69" s="106">
        <f t="shared" si="6"/>
        <v>2440.3977173422318</v>
      </c>
      <c r="L69" s="106">
        <f t="shared" si="6"/>
        <v>2581.6967451763471</v>
      </c>
      <c r="M69" s="106">
        <f t="shared" si="10"/>
        <v>3137.8739871109501</v>
      </c>
      <c r="N69" s="106">
        <f t="shared" si="10"/>
        <v>3361.9536780340227</v>
      </c>
      <c r="O69" s="106">
        <f t="shared" si="10"/>
        <v>3602.0732282677341</v>
      </c>
    </row>
    <row r="71" spans="2:16" x14ac:dyDescent="0.25">
      <c r="B71" s="45" t="s">
        <v>158</v>
      </c>
    </row>
    <row r="72" spans="2:16" x14ac:dyDescent="0.25">
      <c r="L72" s="16" t="s">
        <v>1215</v>
      </c>
      <c r="O72" s="16" t="s">
        <v>3</v>
      </c>
    </row>
    <row r="73" spans="2:16" ht="13.95" customHeight="1" x14ac:dyDescent="0.25">
      <c r="B73" s="760" t="s">
        <v>474</v>
      </c>
      <c r="C73" s="760" t="s">
        <v>5</v>
      </c>
      <c r="D73" s="435" t="s">
        <v>222</v>
      </c>
      <c r="E73" s="435" t="s">
        <v>223</v>
      </c>
      <c r="F73" s="435" t="s">
        <v>224</v>
      </c>
      <c r="G73" s="435" t="s">
        <v>7</v>
      </c>
      <c r="H73" s="729" t="s">
        <v>8</v>
      </c>
      <c r="I73" s="729"/>
      <c r="J73" s="729"/>
      <c r="K73" s="768" t="s">
        <v>9</v>
      </c>
      <c r="L73" s="768"/>
      <c r="M73" s="768"/>
      <c r="N73" s="768"/>
      <c r="O73" s="768"/>
      <c r="P73" s="445"/>
    </row>
    <row r="74" spans="2:16" x14ac:dyDescent="0.25">
      <c r="B74" s="760"/>
      <c r="C74" s="760"/>
      <c r="D74" s="435" t="s">
        <v>11</v>
      </c>
      <c r="E74" s="435" t="s">
        <v>11</v>
      </c>
      <c r="F74" s="435" t="s">
        <v>11</v>
      </c>
      <c r="G74" s="435" t="s">
        <v>11</v>
      </c>
      <c r="H74" s="435" t="s">
        <v>13</v>
      </c>
      <c r="I74" s="435" t="s">
        <v>14</v>
      </c>
      <c r="J74" s="435" t="s">
        <v>15</v>
      </c>
      <c r="K74" s="435" t="s">
        <v>16</v>
      </c>
      <c r="L74" s="435" t="s">
        <v>17</v>
      </c>
      <c r="M74" s="435" t="s">
        <v>18</v>
      </c>
      <c r="N74" s="435" t="s">
        <v>19</v>
      </c>
      <c r="O74" s="435" t="s">
        <v>20</v>
      </c>
    </row>
    <row r="75" spans="2:16" x14ac:dyDescent="0.25">
      <c r="B75" s="856"/>
      <c r="C75" s="760"/>
      <c r="D75" s="435" t="s">
        <v>22</v>
      </c>
      <c r="E75" s="435" t="s">
        <v>22</v>
      </c>
      <c r="F75" s="435" t="s">
        <v>22</v>
      </c>
      <c r="G75" s="435" t="s">
        <v>22</v>
      </c>
      <c r="H75" s="435" t="s">
        <v>24</v>
      </c>
      <c r="I75" s="435" t="s">
        <v>25</v>
      </c>
      <c r="J75" s="435" t="s">
        <v>25</v>
      </c>
      <c r="K75" s="435" t="s">
        <v>26</v>
      </c>
      <c r="L75" s="435" t="s">
        <v>26</v>
      </c>
      <c r="M75" s="435" t="s">
        <v>26</v>
      </c>
      <c r="N75" s="435" t="s">
        <v>26</v>
      </c>
      <c r="O75" s="435" t="s">
        <v>26</v>
      </c>
    </row>
    <row r="76" spans="2:16" hidden="1" x14ac:dyDescent="0.25">
      <c r="B76" s="1">
        <v>1</v>
      </c>
      <c r="C76" s="32" t="s">
        <v>475</v>
      </c>
      <c r="D76" s="261">
        <f t="shared" ref="D76:G91" si="11">10%*D10</f>
        <v>75.361011496100005</v>
      </c>
      <c r="E76" s="261">
        <f t="shared" si="11"/>
        <v>78.053873324099996</v>
      </c>
      <c r="F76" s="261">
        <f t="shared" si="11"/>
        <v>79.766544691800007</v>
      </c>
      <c r="G76" s="261">
        <f t="shared" si="11"/>
        <v>81.187000000000012</v>
      </c>
      <c r="H76" s="262"/>
      <c r="I76" s="262"/>
      <c r="J76" s="263">
        <f t="shared" ref="J76:O91" si="12">10%*J10</f>
        <v>175.87079</v>
      </c>
      <c r="K76" s="263">
        <f t="shared" si="12"/>
        <v>188.18174529999999</v>
      </c>
      <c r="L76" s="263">
        <f t="shared" si="12"/>
        <v>201.35446747100002</v>
      </c>
      <c r="M76" s="263">
        <f t="shared" si="12"/>
        <v>255.72017368817001</v>
      </c>
      <c r="N76" s="263">
        <f t="shared" si="12"/>
        <v>273.62058584634195</v>
      </c>
      <c r="O76" s="263">
        <f t="shared" si="12"/>
        <v>292.77402685558587</v>
      </c>
    </row>
    <row r="77" spans="2:16" hidden="1" x14ac:dyDescent="0.25">
      <c r="B77" s="1">
        <v>2</v>
      </c>
      <c r="C77" s="32" t="s">
        <v>476</v>
      </c>
      <c r="D77" s="261">
        <f t="shared" si="11"/>
        <v>6.630422974</v>
      </c>
      <c r="E77" s="261">
        <f t="shared" si="11"/>
        <v>12.369982584000001</v>
      </c>
      <c r="F77" s="261">
        <f t="shared" si="11"/>
        <v>17.348435765000001</v>
      </c>
      <c r="G77" s="261">
        <f t="shared" si="11"/>
        <v>22.915321715000001</v>
      </c>
      <c r="H77" s="262"/>
      <c r="I77" s="262"/>
      <c r="J77" s="263">
        <f t="shared" si="12"/>
        <v>0</v>
      </c>
      <c r="K77" s="263">
        <f t="shared" si="12"/>
        <v>0</v>
      </c>
      <c r="L77" s="263">
        <f t="shared" si="12"/>
        <v>0</v>
      </c>
      <c r="M77" s="263">
        <f t="shared" si="12"/>
        <v>0</v>
      </c>
      <c r="N77" s="263">
        <f t="shared" si="12"/>
        <v>0</v>
      </c>
      <c r="O77" s="263">
        <f t="shared" si="12"/>
        <v>0</v>
      </c>
    </row>
    <row r="78" spans="2:16" hidden="1" x14ac:dyDescent="0.25">
      <c r="B78" s="1">
        <v>3</v>
      </c>
      <c r="C78" s="2" t="s">
        <v>477</v>
      </c>
      <c r="D78" s="261">
        <f t="shared" si="11"/>
        <v>2.7994442070000001</v>
      </c>
      <c r="E78" s="261">
        <f t="shared" si="11"/>
        <v>5.4034532529999995</v>
      </c>
      <c r="F78" s="261">
        <f t="shared" si="11"/>
        <v>5.92821686</v>
      </c>
      <c r="G78" s="261">
        <f t="shared" si="11"/>
        <v>6.7180000000000009</v>
      </c>
      <c r="H78" s="262"/>
      <c r="I78" s="262"/>
      <c r="J78" s="263">
        <f t="shared" si="12"/>
        <v>0</v>
      </c>
      <c r="K78" s="263">
        <f t="shared" si="12"/>
        <v>0</v>
      </c>
      <c r="L78" s="263">
        <f t="shared" si="12"/>
        <v>0</v>
      </c>
      <c r="M78" s="263">
        <f t="shared" si="12"/>
        <v>0</v>
      </c>
      <c r="N78" s="263">
        <f t="shared" si="12"/>
        <v>0</v>
      </c>
      <c r="O78" s="263">
        <f t="shared" si="12"/>
        <v>0</v>
      </c>
    </row>
    <row r="79" spans="2:16" hidden="1" x14ac:dyDescent="0.25">
      <c r="B79" s="1">
        <v>4</v>
      </c>
      <c r="C79" s="32" t="s">
        <v>478</v>
      </c>
      <c r="D79" s="261">
        <f t="shared" si="11"/>
        <v>1.0526063800000001</v>
      </c>
      <c r="E79" s="261">
        <f t="shared" si="11"/>
        <v>1.1172685550000001</v>
      </c>
      <c r="F79" s="261">
        <f t="shared" si="11"/>
        <v>1.1370804800000001</v>
      </c>
      <c r="G79" s="261">
        <f t="shared" si="11"/>
        <v>1.14303855</v>
      </c>
      <c r="H79" s="262"/>
      <c r="I79" s="262"/>
      <c r="J79" s="263">
        <f t="shared" si="12"/>
        <v>0</v>
      </c>
      <c r="K79" s="263">
        <f t="shared" si="12"/>
        <v>0</v>
      </c>
      <c r="L79" s="263">
        <f t="shared" si="12"/>
        <v>0</v>
      </c>
      <c r="M79" s="263">
        <f t="shared" si="12"/>
        <v>0</v>
      </c>
      <c r="N79" s="263">
        <f t="shared" si="12"/>
        <v>0</v>
      </c>
      <c r="O79" s="263">
        <f t="shared" si="12"/>
        <v>0</v>
      </c>
    </row>
    <row r="80" spans="2:16" hidden="1" x14ac:dyDescent="0.25">
      <c r="B80" s="1">
        <v>5</v>
      </c>
      <c r="C80" s="32" t="s">
        <v>479</v>
      </c>
      <c r="D80" s="261">
        <f t="shared" si="11"/>
        <v>0</v>
      </c>
      <c r="E80" s="261">
        <f t="shared" si="11"/>
        <v>0</v>
      </c>
      <c r="F80" s="261">
        <f t="shared" si="11"/>
        <v>0</v>
      </c>
      <c r="G80" s="261">
        <f t="shared" si="11"/>
        <v>0</v>
      </c>
      <c r="H80" s="262"/>
      <c r="I80" s="262"/>
      <c r="J80" s="263">
        <f t="shared" si="12"/>
        <v>0</v>
      </c>
      <c r="K80" s="263">
        <f t="shared" si="12"/>
        <v>0</v>
      </c>
      <c r="L80" s="263">
        <f t="shared" si="12"/>
        <v>0</v>
      </c>
      <c r="M80" s="263">
        <f t="shared" si="12"/>
        <v>0</v>
      </c>
      <c r="N80" s="263">
        <f t="shared" si="12"/>
        <v>0</v>
      </c>
      <c r="O80" s="263">
        <f t="shared" si="12"/>
        <v>0</v>
      </c>
    </row>
    <row r="81" spans="2:15" hidden="1" x14ac:dyDescent="0.25">
      <c r="B81" s="1">
        <v>6</v>
      </c>
      <c r="C81" s="2" t="s">
        <v>480</v>
      </c>
      <c r="D81" s="261">
        <f t="shared" si="11"/>
        <v>11.167412640000002</v>
      </c>
      <c r="E81" s="261">
        <f t="shared" si="11"/>
        <v>20.865295400000001</v>
      </c>
      <c r="F81" s="261">
        <f t="shared" si="11"/>
        <v>9.72138597</v>
      </c>
      <c r="G81" s="261">
        <f t="shared" si="11"/>
        <v>10.166903990000002</v>
      </c>
      <c r="H81" s="262"/>
      <c r="I81" s="262"/>
      <c r="J81" s="263">
        <f t="shared" si="12"/>
        <v>0</v>
      </c>
      <c r="K81" s="263">
        <f t="shared" si="12"/>
        <v>0</v>
      </c>
      <c r="L81" s="263">
        <f t="shared" si="12"/>
        <v>0</v>
      </c>
      <c r="M81" s="263">
        <f t="shared" si="12"/>
        <v>0</v>
      </c>
      <c r="N81" s="263">
        <f t="shared" si="12"/>
        <v>0</v>
      </c>
      <c r="O81" s="263">
        <f t="shared" si="12"/>
        <v>0</v>
      </c>
    </row>
    <row r="82" spans="2:15" hidden="1" x14ac:dyDescent="0.25">
      <c r="B82" s="1">
        <v>7</v>
      </c>
      <c r="C82" s="32" t="s">
        <v>481</v>
      </c>
      <c r="D82" s="261">
        <f t="shared" si="11"/>
        <v>9.1450000000000014</v>
      </c>
      <c r="E82" s="261">
        <f t="shared" si="11"/>
        <v>7.0264622320000001</v>
      </c>
      <c r="F82" s="261">
        <f t="shared" si="11"/>
        <v>6.5929320300000001</v>
      </c>
      <c r="G82" s="261">
        <f t="shared" si="11"/>
        <v>5.9890000000000008</v>
      </c>
      <c r="H82" s="262"/>
      <c r="I82" s="262"/>
      <c r="J82" s="263">
        <f t="shared" si="12"/>
        <v>0</v>
      </c>
      <c r="K82" s="263">
        <f t="shared" si="12"/>
        <v>0</v>
      </c>
      <c r="L82" s="263">
        <f t="shared" si="12"/>
        <v>0</v>
      </c>
      <c r="M82" s="263">
        <f t="shared" si="12"/>
        <v>0</v>
      </c>
      <c r="N82" s="263">
        <f t="shared" si="12"/>
        <v>0</v>
      </c>
      <c r="O82" s="263">
        <f t="shared" si="12"/>
        <v>0</v>
      </c>
    </row>
    <row r="83" spans="2:15" hidden="1" x14ac:dyDescent="0.25">
      <c r="B83" s="1">
        <v>8</v>
      </c>
      <c r="C83" s="32" t="s">
        <v>482</v>
      </c>
      <c r="D83" s="261">
        <f t="shared" si="11"/>
        <v>1.6826762100000001</v>
      </c>
      <c r="E83" s="261">
        <f t="shared" si="11"/>
        <v>0.96869517799999993</v>
      </c>
      <c r="F83" s="261">
        <f t="shared" si="11"/>
        <v>1.6691386600000002</v>
      </c>
      <c r="G83" s="261">
        <f t="shared" si="11"/>
        <v>2.4130000000000003</v>
      </c>
      <c r="H83" s="262"/>
      <c r="I83" s="262"/>
      <c r="J83" s="263">
        <f t="shared" si="12"/>
        <v>0</v>
      </c>
      <c r="K83" s="263">
        <f t="shared" si="12"/>
        <v>0</v>
      </c>
      <c r="L83" s="263">
        <f t="shared" si="12"/>
        <v>0</v>
      </c>
      <c r="M83" s="263">
        <f t="shared" si="12"/>
        <v>0</v>
      </c>
      <c r="N83" s="263">
        <f t="shared" si="12"/>
        <v>0</v>
      </c>
      <c r="O83" s="263">
        <f t="shared" si="12"/>
        <v>0</v>
      </c>
    </row>
    <row r="84" spans="2:15" hidden="1" x14ac:dyDescent="0.25">
      <c r="B84" s="1">
        <v>9</v>
      </c>
      <c r="C84" s="32" t="s">
        <v>483</v>
      </c>
      <c r="D84" s="261">
        <f t="shared" si="11"/>
        <v>0</v>
      </c>
      <c r="E84" s="261">
        <f t="shared" si="11"/>
        <v>0</v>
      </c>
      <c r="F84" s="261">
        <f t="shared" si="11"/>
        <v>0</v>
      </c>
      <c r="G84" s="261">
        <f t="shared" si="11"/>
        <v>0</v>
      </c>
      <c r="H84" s="262"/>
      <c r="I84" s="262"/>
      <c r="J84" s="263">
        <f t="shared" si="12"/>
        <v>0</v>
      </c>
      <c r="K84" s="263">
        <f t="shared" si="12"/>
        <v>0</v>
      </c>
      <c r="L84" s="263">
        <f t="shared" si="12"/>
        <v>0</v>
      </c>
      <c r="M84" s="263">
        <f t="shared" si="12"/>
        <v>0</v>
      </c>
      <c r="N84" s="263">
        <f t="shared" si="12"/>
        <v>0</v>
      </c>
      <c r="O84" s="263">
        <f t="shared" si="12"/>
        <v>0</v>
      </c>
    </row>
    <row r="85" spans="2:15" hidden="1" x14ac:dyDescent="0.25">
      <c r="B85" s="1">
        <v>10</v>
      </c>
      <c r="C85" s="32" t="s">
        <v>484</v>
      </c>
      <c r="D85" s="261">
        <f t="shared" si="11"/>
        <v>0</v>
      </c>
      <c r="E85" s="261">
        <f t="shared" si="11"/>
        <v>0</v>
      </c>
      <c r="F85" s="261">
        <f t="shared" si="11"/>
        <v>0</v>
      </c>
      <c r="G85" s="261">
        <f t="shared" si="11"/>
        <v>0</v>
      </c>
      <c r="H85" s="262"/>
      <c r="I85" s="262"/>
      <c r="J85" s="263">
        <f t="shared" si="12"/>
        <v>0</v>
      </c>
      <c r="K85" s="263">
        <f t="shared" si="12"/>
        <v>0</v>
      </c>
      <c r="L85" s="263">
        <f t="shared" si="12"/>
        <v>0</v>
      </c>
      <c r="M85" s="263">
        <f t="shared" si="12"/>
        <v>0</v>
      </c>
      <c r="N85" s="263">
        <f t="shared" si="12"/>
        <v>0</v>
      </c>
      <c r="O85" s="263">
        <f t="shared" si="12"/>
        <v>0</v>
      </c>
    </row>
    <row r="86" spans="2:15" hidden="1" x14ac:dyDescent="0.25">
      <c r="B86" s="1">
        <v>11</v>
      </c>
      <c r="C86" s="32" t="s">
        <v>485</v>
      </c>
      <c r="D86" s="261">
        <f t="shared" si="11"/>
        <v>0</v>
      </c>
      <c r="E86" s="261">
        <f t="shared" si="11"/>
        <v>0</v>
      </c>
      <c r="F86" s="261">
        <f t="shared" si="11"/>
        <v>0</v>
      </c>
      <c r="G86" s="261">
        <f t="shared" si="11"/>
        <v>0</v>
      </c>
      <c r="H86" s="262"/>
      <c r="I86" s="262"/>
      <c r="J86" s="263">
        <f t="shared" si="12"/>
        <v>0</v>
      </c>
      <c r="K86" s="263">
        <f t="shared" si="12"/>
        <v>0</v>
      </c>
      <c r="L86" s="263">
        <f t="shared" si="12"/>
        <v>0</v>
      </c>
      <c r="M86" s="263">
        <f t="shared" si="12"/>
        <v>0</v>
      </c>
      <c r="N86" s="263">
        <f t="shared" si="12"/>
        <v>0</v>
      </c>
      <c r="O86" s="263">
        <f t="shared" si="12"/>
        <v>0</v>
      </c>
    </row>
    <row r="87" spans="2:15" hidden="1" x14ac:dyDescent="0.25">
      <c r="B87" s="1">
        <v>12</v>
      </c>
      <c r="C87" s="32" t="s">
        <v>486</v>
      </c>
      <c r="D87" s="261">
        <f t="shared" si="11"/>
        <v>0.30786844100000005</v>
      </c>
      <c r="E87" s="261">
        <f t="shared" si="11"/>
        <v>0.38089866049999999</v>
      </c>
      <c r="F87" s="261">
        <f t="shared" si="11"/>
        <v>0.41670583900000002</v>
      </c>
      <c r="G87" s="261">
        <f t="shared" si="11"/>
        <v>0.21314493199999998</v>
      </c>
      <c r="H87" s="262"/>
      <c r="I87" s="262"/>
      <c r="J87" s="263">
        <f t="shared" si="12"/>
        <v>3.4359200000000003</v>
      </c>
      <c r="K87" s="263">
        <f t="shared" si="12"/>
        <v>3.6764344000000002</v>
      </c>
      <c r="L87" s="263">
        <f t="shared" si="12"/>
        <v>3.9337848080000004</v>
      </c>
      <c r="M87" s="263">
        <f t="shared" si="12"/>
        <v>4.9959067061600004</v>
      </c>
      <c r="N87" s="263">
        <f t="shared" si="12"/>
        <v>5.3456201755912005</v>
      </c>
      <c r="O87" s="263">
        <f t="shared" si="12"/>
        <v>5.7198135878825855</v>
      </c>
    </row>
    <row r="88" spans="2:15" hidden="1" x14ac:dyDescent="0.25">
      <c r="B88" s="1">
        <v>13</v>
      </c>
      <c r="C88" s="32" t="s">
        <v>487</v>
      </c>
      <c r="D88" s="261">
        <f t="shared" si="11"/>
        <v>0</v>
      </c>
      <c r="E88" s="261">
        <f t="shared" si="11"/>
        <v>0</v>
      </c>
      <c r="F88" s="261">
        <f t="shared" si="11"/>
        <v>0</v>
      </c>
      <c r="G88" s="261">
        <f t="shared" si="11"/>
        <v>0</v>
      </c>
      <c r="H88" s="262"/>
      <c r="I88" s="262"/>
      <c r="J88" s="263">
        <f t="shared" si="12"/>
        <v>0</v>
      </c>
      <c r="K88" s="263">
        <f t="shared" si="12"/>
        <v>0</v>
      </c>
      <c r="L88" s="263">
        <f t="shared" si="12"/>
        <v>0</v>
      </c>
      <c r="M88" s="263">
        <f t="shared" si="12"/>
        <v>0</v>
      </c>
      <c r="N88" s="263">
        <f t="shared" si="12"/>
        <v>0</v>
      </c>
      <c r="O88" s="263">
        <f t="shared" si="12"/>
        <v>0</v>
      </c>
    </row>
    <row r="89" spans="2:15" hidden="1" x14ac:dyDescent="0.25">
      <c r="B89" s="1">
        <v>14</v>
      </c>
      <c r="C89" s="32" t="s">
        <v>488</v>
      </c>
      <c r="D89" s="261">
        <f t="shared" si="11"/>
        <v>0</v>
      </c>
      <c r="E89" s="261">
        <f t="shared" si="11"/>
        <v>0</v>
      </c>
      <c r="F89" s="261">
        <f t="shared" si="11"/>
        <v>0</v>
      </c>
      <c r="G89" s="261">
        <f t="shared" si="11"/>
        <v>0</v>
      </c>
      <c r="H89" s="262"/>
      <c r="I89" s="262"/>
      <c r="J89" s="263">
        <f t="shared" si="12"/>
        <v>0.17629</v>
      </c>
      <c r="K89" s="263">
        <f t="shared" si="12"/>
        <v>0.18863030000000003</v>
      </c>
      <c r="L89" s="263">
        <f t="shared" si="12"/>
        <v>0.20183442100000001</v>
      </c>
      <c r="M89" s="263">
        <f t="shared" si="12"/>
        <v>0.25632971467000004</v>
      </c>
      <c r="N89" s="263">
        <f t="shared" si="12"/>
        <v>0.27427279469690008</v>
      </c>
      <c r="O89" s="263">
        <f t="shared" si="12"/>
        <v>0.2934718903256831</v>
      </c>
    </row>
    <row r="90" spans="2:15" hidden="1" x14ac:dyDescent="0.25">
      <c r="B90" s="1">
        <v>15</v>
      </c>
      <c r="C90" s="32" t="s">
        <v>489</v>
      </c>
      <c r="D90" s="261">
        <f t="shared" si="11"/>
        <v>0</v>
      </c>
      <c r="E90" s="261">
        <f t="shared" si="11"/>
        <v>0</v>
      </c>
      <c r="F90" s="261">
        <f t="shared" si="11"/>
        <v>0</v>
      </c>
      <c r="G90" s="261">
        <f t="shared" si="11"/>
        <v>0</v>
      </c>
      <c r="H90" s="262"/>
      <c r="I90" s="262"/>
      <c r="J90" s="263">
        <f t="shared" si="12"/>
        <v>0</v>
      </c>
      <c r="K90" s="263">
        <f t="shared" si="12"/>
        <v>0</v>
      </c>
      <c r="L90" s="263">
        <f t="shared" si="12"/>
        <v>0</v>
      </c>
      <c r="M90" s="263">
        <f t="shared" si="12"/>
        <v>0</v>
      </c>
      <c r="N90" s="263">
        <f t="shared" si="12"/>
        <v>0</v>
      </c>
      <c r="O90" s="263">
        <f t="shared" si="12"/>
        <v>0</v>
      </c>
    </row>
    <row r="91" spans="2:15" hidden="1" x14ac:dyDescent="0.25">
      <c r="B91" s="1">
        <v>16</v>
      </c>
      <c r="C91" s="32" t="s">
        <v>490</v>
      </c>
      <c r="D91" s="261">
        <f t="shared" si="11"/>
        <v>0</v>
      </c>
      <c r="E91" s="261">
        <f t="shared" si="11"/>
        <v>0</v>
      </c>
      <c r="F91" s="261">
        <f t="shared" si="11"/>
        <v>0</v>
      </c>
      <c r="G91" s="261">
        <f t="shared" si="11"/>
        <v>0</v>
      </c>
      <c r="H91" s="262"/>
      <c r="I91" s="262"/>
      <c r="J91" s="263">
        <f t="shared" si="12"/>
        <v>16.12594</v>
      </c>
      <c r="K91" s="263">
        <f t="shared" si="12"/>
        <v>17.254755800000005</v>
      </c>
      <c r="L91" s="263">
        <f t="shared" si="12"/>
        <v>18.462588706000002</v>
      </c>
      <c r="M91" s="263">
        <f t="shared" si="12"/>
        <v>23.447487656620005</v>
      </c>
      <c r="N91" s="263">
        <f t="shared" si="12"/>
        <v>25.088811792583407</v>
      </c>
      <c r="O91" s="263">
        <f t="shared" si="12"/>
        <v>26.845028618064248</v>
      </c>
    </row>
    <row r="92" spans="2:15" hidden="1" x14ac:dyDescent="0.25">
      <c r="B92" s="1">
        <v>17</v>
      </c>
      <c r="C92" s="32" t="s">
        <v>491</v>
      </c>
      <c r="D92" s="261">
        <f t="shared" ref="D92:G99" si="13">10%*D26</f>
        <v>0</v>
      </c>
      <c r="E92" s="261">
        <f t="shared" si="13"/>
        <v>0</v>
      </c>
      <c r="F92" s="261">
        <f t="shared" si="13"/>
        <v>0</v>
      </c>
      <c r="G92" s="261">
        <f t="shared" si="13"/>
        <v>0</v>
      </c>
      <c r="H92" s="262"/>
      <c r="I92" s="262"/>
      <c r="J92" s="263">
        <f t="shared" ref="J92:O102" si="14">10%*J26</f>
        <v>0</v>
      </c>
      <c r="K92" s="263">
        <f t="shared" si="14"/>
        <v>0</v>
      </c>
      <c r="L92" s="263">
        <f t="shared" si="14"/>
        <v>0</v>
      </c>
      <c r="M92" s="263">
        <f t="shared" si="14"/>
        <v>0</v>
      </c>
      <c r="N92" s="263">
        <f t="shared" si="14"/>
        <v>0</v>
      </c>
      <c r="O92" s="263">
        <f t="shared" si="14"/>
        <v>0</v>
      </c>
    </row>
    <row r="93" spans="2:15" hidden="1" x14ac:dyDescent="0.25">
      <c r="B93" s="1">
        <v>18</v>
      </c>
      <c r="C93" s="32" t="s">
        <v>492</v>
      </c>
      <c r="D93" s="261">
        <f t="shared" si="13"/>
        <v>0</v>
      </c>
      <c r="E93" s="261">
        <f t="shared" si="13"/>
        <v>0</v>
      </c>
      <c r="F93" s="261">
        <f t="shared" si="13"/>
        <v>0</v>
      </c>
      <c r="G93" s="261">
        <f t="shared" si="13"/>
        <v>0</v>
      </c>
      <c r="H93" s="262"/>
      <c r="I93" s="262"/>
      <c r="J93" s="263">
        <f t="shared" si="14"/>
        <v>32.957769999999996</v>
      </c>
      <c r="K93" s="263">
        <f t="shared" si="14"/>
        <v>35.594391599999994</v>
      </c>
      <c r="L93" s="263">
        <f t="shared" si="14"/>
        <v>38.441942928000003</v>
      </c>
      <c r="M93" s="263">
        <f t="shared" si="14"/>
        <v>49.20568694784</v>
      </c>
      <c r="N93" s="263">
        <f t="shared" si="14"/>
        <v>53.142141903667202</v>
      </c>
      <c r="O93" s="263">
        <f t="shared" si="14"/>
        <v>57.393513255960585</v>
      </c>
    </row>
    <row r="94" spans="2:15" hidden="1" x14ac:dyDescent="0.25">
      <c r="B94" s="1">
        <f>+B93+0.1</f>
        <v>18.100000000000001</v>
      </c>
      <c r="C94" s="32" t="s">
        <v>493</v>
      </c>
      <c r="D94" s="261">
        <f t="shared" si="13"/>
        <v>6.16</v>
      </c>
      <c r="E94" s="261">
        <f t="shared" si="13"/>
        <v>7.362000000000001</v>
      </c>
      <c r="F94" s="261">
        <f t="shared" si="13"/>
        <v>7.8004760304000005</v>
      </c>
      <c r="G94" s="261">
        <f t="shared" si="13"/>
        <v>8.4490938579999995</v>
      </c>
      <c r="H94" s="262"/>
      <c r="I94" s="262"/>
      <c r="J94" s="263">
        <f t="shared" si="14"/>
        <v>10.33483</v>
      </c>
      <c r="K94" s="263">
        <f t="shared" si="14"/>
        <v>11.058268099999999</v>
      </c>
      <c r="L94" s="263">
        <f t="shared" si="14"/>
        <v>11.832346867</v>
      </c>
      <c r="M94" s="263">
        <f t="shared" si="14"/>
        <v>15.027080521089999</v>
      </c>
      <c r="N94" s="263">
        <f t="shared" si="14"/>
        <v>16.078976157566299</v>
      </c>
      <c r="O94" s="263">
        <f t="shared" si="14"/>
        <v>17.204504488595941</v>
      </c>
    </row>
    <row r="95" spans="2:15" hidden="1" x14ac:dyDescent="0.25">
      <c r="B95" s="1">
        <f>+B94+0.1</f>
        <v>18.200000000000003</v>
      </c>
      <c r="C95" s="32" t="s">
        <v>494</v>
      </c>
      <c r="D95" s="261">
        <f t="shared" si="13"/>
        <v>18.580000000000002</v>
      </c>
      <c r="E95" s="261">
        <f t="shared" si="13"/>
        <v>36.335000000000001</v>
      </c>
      <c r="F95" s="261">
        <f t="shared" si="13"/>
        <v>32.887</v>
      </c>
      <c r="G95" s="261">
        <f t="shared" si="13"/>
        <v>31.04</v>
      </c>
      <c r="H95" s="262"/>
      <c r="I95" s="262"/>
      <c r="J95" s="263">
        <f t="shared" si="14"/>
        <v>0</v>
      </c>
      <c r="K95" s="263">
        <f t="shared" si="14"/>
        <v>0</v>
      </c>
      <c r="L95" s="263">
        <f t="shared" si="14"/>
        <v>0</v>
      </c>
      <c r="M95" s="263">
        <f t="shared" si="14"/>
        <v>0</v>
      </c>
      <c r="N95" s="263">
        <f t="shared" si="14"/>
        <v>0</v>
      </c>
      <c r="O95" s="263">
        <f t="shared" si="14"/>
        <v>0</v>
      </c>
    </row>
    <row r="96" spans="2:15" hidden="1" x14ac:dyDescent="0.25">
      <c r="B96" s="1">
        <f>+B95+0.1</f>
        <v>18.300000000000004</v>
      </c>
      <c r="C96" s="32" t="s">
        <v>495</v>
      </c>
      <c r="D96" s="261">
        <f t="shared" si="13"/>
        <v>0</v>
      </c>
      <c r="E96" s="261">
        <f t="shared" si="13"/>
        <v>0</v>
      </c>
      <c r="F96" s="261">
        <f t="shared" si="13"/>
        <v>0</v>
      </c>
      <c r="G96" s="261">
        <f t="shared" si="13"/>
        <v>0</v>
      </c>
      <c r="H96" s="262"/>
      <c r="I96" s="262"/>
      <c r="J96" s="263">
        <f t="shared" si="14"/>
        <v>0</v>
      </c>
      <c r="K96" s="263">
        <f t="shared" si="14"/>
        <v>0</v>
      </c>
      <c r="L96" s="263">
        <f t="shared" si="14"/>
        <v>0</v>
      </c>
      <c r="M96" s="263">
        <f t="shared" si="14"/>
        <v>0</v>
      </c>
      <c r="N96" s="263">
        <f t="shared" si="14"/>
        <v>0</v>
      </c>
      <c r="O96" s="263">
        <f t="shared" si="14"/>
        <v>0</v>
      </c>
    </row>
    <row r="97" spans="2:15" hidden="1" x14ac:dyDescent="0.25">
      <c r="B97" s="1">
        <f>+B96+0.1</f>
        <v>18.400000000000006</v>
      </c>
      <c r="C97" s="32" t="s">
        <v>496</v>
      </c>
      <c r="D97" s="261">
        <f t="shared" si="13"/>
        <v>0.48319464000000001</v>
      </c>
      <c r="E97" s="261">
        <f t="shared" si="13"/>
        <v>-2.3923010000000001E-2</v>
      </c>
      <c r="F97" s="261">
        <f t="shared" si="13"/>
        <v>0.66808347000000001</v>
      </c>
      <c r="G97" s="261">
        <f t="shared" si="13"/>
        <v>2.7640720900000004</v>
      </c>
      <c r="H97" s="262"/>
      <c r="I97" s="262"/>
      <c r="J97" s="263">
        <f t="shared" si="14"/>
        <v>0</v>
      </c>
      <c r="K97" s="263">
        <f t="shared" si="14"/>
        <v>0</v>
      </c>
      <c r="L97" s="263">
        <f t="shared" si="14"/>
        <v>0</v>
      </c>
      <c r="M97" s="263">
        <f t="shared" si="14"/>
        <v>0</v>
      </c>
      <c r="N97" s="263">
        <f t="shared" si="14"/>
        <v>0</v>
      </c>
      <c r="O97" s="263">
        <f t="shared" si="14"/>
        <v>0</v>
      </c>
    </row>
    <row r="98" spans="2:15" ht="27.6" hidden="1" x14ac:dyDescent="0.25">
      <c r="B98" s="1">
        <v>19</v>
      </c>
      <c r="C98" s="34" t="s">
        <v>497</v>
      </c>
      <c r="D98" s="261">
        <f t="shared" si="13"/>
        <v>0</v>
      </c>
      <c r="E98" s="261">
        <f t="shared" si="13"/>
        <v>0</v>
      </c>
      <c r="F98" s="261">
        <f t="shared" si="13"/>
        <v>0</v>
      </c>
      <c r="G98" s="261">
        <f t="shared" si="13"/>
        <v>0</v>
      </c>
      <c r="H98" s="262"/>
      <c r="I98" s="262"/>
      <c r="J98" s="263">
        <f t="shared" si="14"/>
        <v>0</v>
      </c>
      <c r="K98" s="263">
        <f t="shared" si="14"/>
        <v>0</v>
      </c>
      <c r="L98" s="263">
        <f t="shared" si="14"/>
        <v>0</v>
      </c>
      <c r="M98" s="263">
        <f t="shared" si="14"/>
        <v>0</v>
      </c>
      <c r="N98" s="263">
        <f t="shared" si="14"/>
        <v>0</v>
      </c>
      <c r="O98" s="263">
        <f t="shared" si="14"/>
        <v>0</v>
      </c>
    </row>
    <row r="99" spans="2:15" hidden="1" x14ac:dyDescent="0.25">
      <c r="B99" s="1">
        <v>20</v>
      </c>
      <c r="C99" s="32" t="s">
        <v>498</v>
      </c>
      <c r="D99" s="261">
        <f t="shared" si="13"/>
        <v>14.559455214399993</v>
      </c>
      <c r="E99" s="261">
        <f t="shared" si="13"/>
        <v>14.801882901999978</v>
      </c>
      <c r="F99" s="261">
        <f t="shared" si="13"/>
        <v>15.077933695000048</v>
      </c>
      <c r="G99" s="261">
        <f t="shared" si="13"/>
        <v>36.693654865000006</v>
      </c>
      <c r="H99" s="262"/>
      <c r="I99" s="262"/>
      <c r="J99" s="263">
        <f t="shared" si="14"/>
        <v>0</v>
      </c>
      <c r="K99" s="263">
        <f t="shared" si="14"/>
        <v>0</v>
      </c>
      <c r="L99" s="263">
        <f t="shared" si="14"/>
        <v>0</v>
      </c>
      <c r="M99" s="263">
        <f t="shared" si="14"/>
        <v>0</v>
      </c>
      <c r="N99" s="263">
        <f t="shared" si="14"/>
        <v>0</v>
      </c>
      <c r="O99" s="263">
        <f t="shared" si="14"/>
        <v>0</v>
      </c>
    </row>
    <row r="100" spans="2:15" x14ac:dyDescent="0.25">
      <c r="B100" s="437">
        <v>21</v>
      </c>
      <c r="C100" s="33" t="s">
        <v>499</v>
      </c>
      <c r="D100" s="257">
        <f t="shared" ref="D100:O101" si="15">D34*0.1</f>
        <v>147.92909220249999</v>
      </c>
      <c r="E100" s="257">
        <f t="shared" si="15"/>
        <v>184.66088907860001</v>
      </c>
      <c r="F100" s="257">
        <f t="shared" si="15"/>
        <v>179.01393349120008</v>
      </c>
      <c r="G100" s="257">
        <f t="shared" si="15"/>
        <v>209.69223000000002</v>
      </c>
      <c r="H100" s="257">
        <f t="shared" si="15"/>
        <v>0</v>
      </c>
      <c r="I100" s="257">
        <f t="shared" si="15"/>
        <v>0</v>
      </c>
      <c r="J100" s="257">
        <f t="shared" si="15"/>
        <v>238.90153999999998</v>
      </c>
      <c r="K100" s="96">
        <f t="shared" ca="1" si="14"/>
        <v>277.02270708308629</v>
      </c>
      <c r="L100" s="96">
        <f t="shared" ca="1" si="14"/>
        <v>293.06232182319695</v>
      </c>
      <c r="M100" s="96">
        <f t="shared" si="15"/>
        <v>348.65266523455006</v>
      </c>
      <c r="N100" s="96">
        <f t="shared" si="15"/>
        <v>373.55040867044693</v>
      </c>
      <c r="O100" s="96">
        <f t="shared" si="15"/>
        <v>400.2303586964149</v>
      </c>
    </row>
    <row r="101" spans="2:15" x14ac:dyDescent="0.25">
      <c r="B101" s="1">
        <v>22</v>
      </c>
      <c r="C101" s="32" t="s">
        <v>500</v>
      </c>
      <c r="D101" s="256">
        <f t="shared" si="15"/>
        <v>4.9638795134000002</v>
      </c>
      <c r="E101" s="256">
        <f t="shared" si="15"/>
        <v>3.8516262619999999</v>
      </c>
      <c r="F101" s="256">
        <f t="shared" si="15"/>
        <v>4.0205581164000002</v>
      </c>
      <c r="G101" s="256">
        <f t="shared" si="15"/>
        <v>4.3097900000000005</v>
      </c>
      <c r="H101" s="256">
        <f t="shared" si="15"/>
        <v>0</v>
      </c>
      <c r="I101" s="256">
        <f t="shared" si="15"/>
        <v>0</v>
      </c>
      <c r="J101" s="256">
        <f t="shared" si="15"/>
        <v>5.05999</v>
      </c>
      <c r="K101" s="256">
        <f t="shared" ca="1" si="14"/>
        <v>5.8674051561716425</v>
      </c>
      <c r="L101" s="256">
        <f t="shared" ca="1" si="14"/>
        <v>6.20712791471398</v>
      </c>
      <c r="M101" s="256">
        <f t="shared" si="15"/>
        <v>0</v>
      </c>
      <c r="N101" s="256">
        <f t="shared" si="15"/>
        <v>0</v>
      </c>
      <c r="O101" s="256">
        <f t="shared" si="15"/>
        <v>0</v>
      </c>
    </row>
    <row r="102" spans="2:15" x14ac:dyDescent="0.25">
      <c r="B102" s="437">
        <v>23</v>
      </c>
      <c r="C102" s="10" t="s">
        <v>501</v>
      </c>
      <c r="D102" s="106">
        <f t="shared" ref="D102:O102" si="16">D100-D101</f>
        <v>142.96521268909999</v>
      </c>
      <c r="E102" s="106">
        <f t="shared" si="16"/>
        <v>180.80926281660001</v>
      </c>
      <c r="F102" s="106">
        <f t="shared" si="16"/>
        <v>174.99337537480008</v>
      </c>
      <c r="G102" s="106">
        <f t="shared" si="16"/>
        <v>205.38244000000003</v>
      </c>
      <c r="H102" s="106">
        <f t="shared" si="16"/>
        <v>0</v>
      </c>
      <c r="I102" s="106">
        <f t="shared" si="16"/>
        <v>0</v>
      </c>
      <c r="J102" s="106">
        <f t="shared" si="16"/>
        <v>233.84154999999998</v>
      </c>
      <c r="K102" s="97">
        <f t="shared" si="14"/>
        <v>271.15530192691466</v>
      </c>
      <c r="L102" s="97">
        <f t="shared" si="14"/>
        <v>286.85519390848299</v>
      </c>
      <c r="M102" s="97">
        <f t="shared" si="16"/>
        <v>348.65266523455006</v>
      </c>
      <c r="N102" s="97">
        <f t="shared" si="16"/>
        <v>373.55040867044693</v>
      </c>
      <c r="O102" s="97">
        <f t="shared" si="16"/>
        <v>400.2303586964149</v>
      </c>
    </row>
  </sheetData>
  <mergeCells count="12">
    <mergeCell ref="B73:B75"/>
    <mergeCell ref="C73:C75"/>
    <mergeCell ref="H73:J73"/>
    <mergeCell ref="K73:O73"/>
    <mergeCell ref="B7:B9"/>
    <mergeCell ref="C7:C9"/>
    <mergeCell ref="H7:J7"/>
    <mergeCell ref="K7:O7"/>
    <mergeCell ref="B40:B42"/>
    <mergeCell ref="C40:C42"/>
    <mergeCell ref="H40:J40"/>
    <mergeCell ref="K40:O40"/>
  </mergeCells>
  <pageMargins left="0.75" right="0.75" top="1" bottom="1" header="0.5" footer="0.5"/>
  <pageSetup paperSize="9" scale="69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2:P114"/>
  <sheetViews>
    <sheetView showGridLines="0" topLeftCell="A3" zoomScale="75" zoomScaleNormal="75" zoomScaleSheetLayoutView="70" workbookViewId="0">
      <selection activeCell="L13" sqref="L13"/>
    </sheetView>
  </sheetViews>
  <sheetFormatPr defaultColWidth="9.109375" defaultRowHeight="13.8" x14ac:dyDescent="0.25"/>
  <cols>
    <col min="1" max="1" width="6.88671875" style="5" customWidth="1"/>
    <col min="2" max="2" width="7" style="5" customWidth="1"/>
    <col min="3" max="3" width="44.109375" style="5" customWidth="1"/>
    <col min="4" max="9" width="15.6640625" style="5" hidden="1" customWidth="1"/>
    <col min="10" max="10" width="15.6640625" style="5" customWidth="1"/>
    <col min="11" max="11" width="12.33203125" style="5" customWidth="1"/>
    <col min="12" max="12" width="12.33203125" style="5" bestFit="1" customWidth="1"/>
    <col min="13" max="13" width="13" style="5" hidden="1" customWidth="1"/>
    <col min="14" max="14" width="13.44140625" style="5" hidden="1" customWidth="1"/>
    <col min="15" max="15" width="12.6640625" style="5" hidden="1" customWidth="1"/>
    <col min="16" max="16384" width="9.109375" style="5"/>
  </cols>
  <sheetData>
    <row r="2" spans="2:16" x14ac:dyDescent="0.25">
      <c r="C2" s="4"/>
      <c r="D2" s="4"/>
      <c r="E2" s="4"/>
      <c r="F2" s="4"/>
      <c r="G2" s="4"/>
      <c r="H2" s="439" t="s">
        <v>38</v>
      </c>
      <c r="I2" s="4"/>
      <c r="J2" s="4"/>
      <c r="K2" s="4"/>
      <c r="L2" s="4"/>
    </row>
    <row r="3" spans="2:16" s="3" customFormat="1" x14ac:dyDescent="0.25">
      <c r="C3" s="4"/>
      <c r="D3" s="4"/>
      <c r="E3" s="4"/>
      <c r="F3" s="4"/>
      <c r="G3" s="251" t="s">
        <v>0</v>
      </c>
      <c r="H3" s="440" t="s">
        <v>502</v>
      </c>
      <c r="I3" s="4"/>
      <c r="J3" s="4"/>
      <c r="K3" s="4"/>
      <c r="L3" s="4"/>
    </row>
    <row r="4" spans="2:16" s="3" customFormat="1" x14ac:dyDescent="0.25">
      <c r="C4" s="4"/>
      <c r="D4" s="4"/>
      <c r="E4" s="4"/>
      <c r="F4" s="4"/>
      <c r="G4" s="4"/>
      <c r="H4" s="440"/>
      <c r="I4" s="4"/>
      <c r="J4" s="4"/>
      <c r="K4" s="4"/>
      <c r="L4" s="4"/>
    </row>
    <row r="5" spans="2:16" x14ac:dyDescent="0.25">
      <c r="B5" s="26" t="s">
        <v>684</v>
      </c>
    </row>
    <row r="6" spans="2:16" x14ac:dyDescent="0.25">
      <c r="L6" s="16" t="s">
        <v>1215</v>
      </c>
      <c r="O6" s="16" t="s">
        <v>3</v>
      </c>
    </row>
    <row r="7" spans="2:16" ht="12.75" customHeight="1" x14ac:dyDescent="0.25">
      <c r="B7" s="729" t="s">
        <v>4</v>
      </c>
      <c r="C7" s="760" t="s">
        <v>5</v>
      </c>
      <c r="D7" s="435" t="s">
        <v>222</v>
      </c>
      <c r="E7" s="435" t="s">
        <v>223</v>
      </c>
      <c r="F7" s="435" t="s">
        <v>224</v>
      </c>
      <c r="G7" s="435" t="s">
        <v>7</v>
      </c>
      <c r="H7" s="729" t="s">
        <v>8</v>
      </c>
      <c r="I7" s="729"/>
      <c r="J7" s="729"/>
      <c r="K7" s="768" t="s">
        <v>9</v>
      </c>
      <c r="L7" s="768"/>
      <c r="M7" s="768"/>
      <c r="N7" s="768"/>
      <c r="O7" s="768"/>
      <c r="P7" s="445"/>
    </row>
    <row r="8" spans="2:16" x14ac:dyDescent="0.25">
      <c r="B8" s="729"/>
      <c r="C8" s="760"/>
      <c r="D8" s="435" t="s">
        <v>11</v>
      </c>
      <c r="E8" s="435" t="s">
        <v>11</v>
      </c>
      <c r="F8" s="435" t="s">
        <v>11</v>
      </c>
      <c r="G8" s="435" t="s">
        <v>11</v>
      </c>
      <c r="H8" s="435" t="s">
        <v>13</v>
      </c>
      <c r="I8" s="435" t="s">
        <v>14</v>
      </c>
      <c r="J8" s="435" t="s">
        <v>15</v>
      </c>
      <c r="K8" s="435" t="s">
        <v>16</v>
      </c>
      <c r="L8" s="435" t="s">
        <v>17</v>
      </c>
      <c r="M8" s="435" t="s">
        <v>18</v>
      </c>
      <c r="N8" s="435" t="s">
        <v>19</v>
      </c>
      <c r="O8" s="435" t="s">
        <v>20</v>
      </c>
    </row>
    <row r="9" spans="2:16" x14ac:dyDescent="0.25">
      <c r="B9" s="729"/>
      <c r="C9" s="760"/>
      <c r="D9" s="435" t="s">
        <v>22</v>
      </c>
      <c r="E9" s="435" t="s">
        <v>22</v>
      </c>
      <c r="F9" s="435" t="s">
        <v>22</v>
      </c>
      <c r="G9" s="435" t="s">
        <v>22</v>
      </c>
      <c r="H9" s="435" t="s">
        <v>24</v>
      </c>
      <c r="I9" s="435" t="s">
        <v>25</v>
      </c>
      <c r="J9" s="435" t="s">
        <v>25</v>
      </c>
      <c r="K9" s="435" t="s">
        <v>26</v>
      </c>
      <c r="L9" s="435" t="s">
        <v>26</v>
      </c>
      <c r="M9" s="435" t="s">
        <v>26</v>
      </c>
      <c r="N9" s="435" t="s">
        <v>26</v>
      </c>
      <c r="O9" s="435" t="s">
        <v>26</v>
      </c>
    </row>
    <row r="10" spans="2:16" hidden="1" x14ac:dyDescent="0.25">
      <c r="B10" s="2">
        <v>1</v>
      </c>
      <c r="C10" s="40" t="s">
        <v>503</v>
      </c>
      <c r="D10" s="264">
        <f>[55]F15.2!C5</f>
        <v>3.9417773999999999</v>
      </c>
      <c r="E10" s="264">
        <f>[55]F15.2!D5</f>
        <v>1.888782296</v>
      </c>
      <c r="F10" s="264">
        <f>[55]F15.2!E5</f>
        <v>1.1096717199999999</v>
      </c>
      <c r="G10" s="264">
        <f>[55]F15.2!F5</f>
        <v>1.2597</v>
      </c>
      <c r="H10" s="136"/>
      <c r="I10" s="92">
        <f t="shared" ref="I10:I37" si="0">I47+I84</f>
        <v>0</v>
      </c>
      <c r="J10" s="92">
        <f t="shared" ref="J10:J37" si="1">G10/$G$38*$J$38</f>
        <v>1.46553046481445</v>
      </c>
      <c r="K10" s="92">
        <f ca="1">J10/J$38*K$38</f>
        <v>1.6670728538224984</v>
      </c>
      <c r="L10" s="92">
        <f t="shared" ref="L10:O25" ca="1" si="2">K10/K$38*L$38</f>
        <v>1.7492595455159472</v>
      </c>
      <c r="M10" s="92">
        <f t="shared" ca="1" si="2"/>
        <v>1.776615890561523</v>
      </c>
      <c r="N10" s="92">
        <f t="shared" ca="1" si="2"/>
        <v>1.864203053966206</v>
      </c>
      <c r="O10" s="92">
        <f t="shared" ca="1" si="2"/>
        <v>1.9561082645267398</v>
      </c>
    </row>
    <row r="11" spans="2:16" hidden="1" x14ac:dyDescent="0.25">
      <c r="B11" s="2">
        <v>2</v>
      </c>
      <c r="C11" s="41" t="s">
        <v>504</v>
      </c>
      <c r="D11" s="264">
        <f>[55]F15.2!C6</f>
        <v>8.3035411000000003E-2</v>
      </c>
      <c r="E11" s="264">
        <f>[55]F15.2!D6</f>
        <v>7.6063656000000007E-2</v>
      </c>
      <c r="F11" s="264">
        <f>[55]F15.2!E6</f>
        <v>6.0987411999999998E-2</v>
      </c>
      <c r="G11" s="264">
        <f>[55]F15.2!F6</f>
        <v>5.3899999999999997E-2</v>
      </c>
      <c r="H11" s="136"/>
      <c r="I11" s="92">
        <f t="shared" si="0"/>
        <v>0</v>
      </c>
      <c r="J11" s="92">
        <f t="shared" si="1"/>
        <v>6.2707066804396958E-2</v>
      </c>
      <c r="K11" s="92">
        <f t="shared" ref="K11:O37" ca="1" si="3">J11/J$38*K$38</f>
        <v>7.133065556960598E-2</v>
      </c>
      <c r="L11" s="92">
        <f t="shared" ca="1" si="3"/>
        <v>7.4847256889187544E-2</v>
      </c>
      <c r="M11" s="92">
        <f t="shared" ca="1" si="3"/>
        <v>7.6017779234155813E-2</v>
      </c>
      <c r="N11" s="92">
        <f t="shared" ca="1" si="3"/>
        <v>7.97654557503997E-2</v>
      </c>
      <c r="O11" s="92">
        <f t="shared" ca="1" si="2"/>
        <v>8.3697892718894398E-2</v>
      </c>
    </row>
    <row r="12" spans="2:16" hidden="1" x14ac:dyDescent="0.25">
      <c r="B12" s="2">
        <v>3</v>
      </c>
      <c r="C12" s="41" t="s">
        <v>505</v>
      </c>
      <c r="D12" s="264">
        <f>[55]F15.2!C7</f>
        <v>1.774659414</v>
      </c>
      <c r="E12" s="264">
        <f>[55]F15.2!D7</f>
        <v>2.8063642940000002</v>
      </c>
      <c r="F12" s="264">
        <f>[55]F15.2!E7</f>
        <v>3.928783353</v>
      </c>
      <c r="G12" s="264">
        <f>[55]F15.2!F7</f>
        <v>4.0922999999999998</v>
      </c>
      <c r="H12" s="136"/>
      <c r="I12" s="92">
        <f t="shared" si="0"/>
        <v>0</v>
      </c>
      <c r="J12" s="92">
        <f t="shared" si="1"/>
        <v>4.7609671518299388</v>
      </c>
      <c r="K12" s="92">
        <f t="shared" ca="1" si="3"/>
        <v>5.415703929267135</v>
      </c>
      <c r="L12" s="92">
        <f t="shared" ca="1" si="3"/>
        <v>5.6826981329800033</v>
      </c>
      <c r="M12" s="92">
        <f t="shared" ca="1" si="3"/>
        <v>5.7715687933197746</v>
      </c>
      <c r="N12" s="92">
        <f t="shared" ca="1" si="3"/>
        <v>6.0561071348304392</v>
      </c>
      <c r="O12" s="92">
        <f t="shared" ca="1" si="2"/>
        <v>6.354673216577579</v>
      </c>
    </row>
    <row r="13" spans="2:16" hidden="1" x14ac:dyDescent="0.25">
      <c r="B13" s="2">
        <v>4</v>
      </c>
      <c r="C13" s="41" t="s">
        <v>506</v>
      </c>
      <c r="D13" s="264">
        <f>[55]F15.2!C8</f>
        <v>0.65598690000000004</v>
      </c>
      <c r="E13" s="264">
        <f>[55]F15.2!D8</f>
        <v>0.91303449999999997</v>
      </c>
      <c r="F13" s="264">
        <f>[55]F15.2!E8</f>
        <v>1.0695046499999998</v>
      </c>
      <c r="G13" s="264">
        <f>[55]F15.2!F8</f>
        <v>2.9282999999999997</v>
      </c>
      <c r="H13" s="136"/>
      <c r="I13" s="92">
        <f t="shared" si="0"/>
        <v>0</v>
      </c>
      <c r="J13" s="92">
        <f t="shared" si="1"/>
        <v>3.4067737239947236</v>
      </c>
      <c r="K13" s="92">
        <f t="shared" ca="1" si="3"/>
        <v>3.8752793822723035</v>
      </c>
      <c r="L13" s="92">
        <f t="shared" ca="1" si="3"/>
        <v>4.0663306558183274</v>
      </c>
      <c r="M13" s="92">
        <f t="shared" ca="1" si="3"/>
        <v>4.1299232454801196</v>
      </c>
      <c r="N13" s="92">
        <f t="shared" ca="1" si="3"/>
        <v>4.3335284614822891</v>
      </c>
      <c r="O13" s="92">
        <f t="shared" ca="1" si="2"/>
        <v>4.5471714146333655</v>
      </c>
    </row>
    <row r="14" spans="2:16" hidden="1" x14ac:dyDescent="0.25">
      <c r="B14" s="2">
        <v>5</v>
      </c>
      <c r="C14" s="41" t="s">
        <v>507</v>
      </c>
      <c r="D14" s="264">
        <f>[55]F15.2!C9</f>
        <v>18.51937023</v>
      </c>
      <c r="E14" s="264">
        <f>[55]F15.2!D9</f>
        <v>15.339109591999998</v>
      </c>
      <c r="F14" s="264">
        <f>[55]F15.2!E9</f>
        <v>16.915769744999999</v>
      </c>
      <c r="G14" s="264">
        <f>[55]F15.2!F9</f>
        <v>23.045900000000003</v>
      </c>
      <c r="H14" s="136"/>
      <c r="I14" s="92">
        <f t="shared" si="0"/>
        <v>0</v>
      </c>
      <c r="J14" s="92">
        <f t="shared" si="1"/>
        <v>26.811517455796885</v>
      </c>
      <c r="K14" s="92">
        <f t="shared" ca="1" si="3"/>
        <v>30.498685625075744</v>
      </c>
      <c r="L14" s="92">
        <f t="shared" ca="1" si="3"/>
        <v>32.002270826391971</v>
      </c>
      <c r="M14" s="92">
        <f t="shared" ca="1" si="3"/>
        <v>32.502748394293718</v>
      </c>
      <c r="N14" s="92">
        <f t="shared" ca="1" si="3"/>
        <v>34.1051338901324</v>
      </c>
      <c r="O14" s="92">
        <f t="shared" ca="1" si="2"/>
        <v>35.786516990915921</v>
      </c>
    </row>
    <row r="15" spans="2:16" hidden="1" x14ac:dyDescent="0.25">
      <c r="B15" s="2">
        <v>6</v>
      </c>
      <c r="C15" s="41" t="s">
        <v>508</v>
      </c>
      <c r="D15" s="264">
        <f>[55]F15.2!C10</f>
        <v>13.870033299999999</v>
      </c>
      <c r="E15" s="264">
        <f>[55]F15.2!D10</f>
        <v>15.590052999999999</v>
      </c>
      <c r="F15" s="264">
        <f>[55]F15.2!E10</f>
        <v>13.86033645</v>
      </c>
      <c r="G15" s="264">
        <f>[55]F15.2!F10</f>
        <v>14.048399999999999</v>
      </c>
      <c r="H15" s="136"/>
      <c r="I15" s="92">
        <f t="shared" si="0"/>
        <v>0</v>
      </c>
      <c r="J15" s="92">
        <f t="shared" si="1"/>
        <v>16.343858205842121</v>
      </c>
      <c r="K15" s="92">
        <f t="shared" ca="1" si="3"/>
        <v>18.591495022338641</v>
      </c>
      <c r="L15" s="92">
        <f t="shared" ca="1" si="3"/>
        <v>19.508055726939933</v>
      </c>
      <c r="M15" s="92">
        <f t="shared" ca="1" si="3"/>
        <v>19.813138586143129</v>
      </c>
      <c r="N15" s="92">
        <f t="shared" ca="1" si="3"/>
        <v>20.789926318439985</v>
      </c>
      <c r="O15" s="92">
        <f t="shared" ca="1" si="2"/>
        <v>21.814869685939072</v>
      </c>
    </row>
    <row r="16" spans="2:16" hidden="1" x14ac:dyDescent="0.25">
      <c r="B16" s="2">
        <v>7</v>
      </c>
      <c r="C16" s="41" t="s">
        <v>509</v>
      </c>
      <c r="D16" s="264">
        <f>[55]F15.2!C11</f>
        <v>4.7346574459999999</v>
      </c>
      <c r="E16" s="264">
        <f>[55]F15.2!D11</f>
        <v>4.7779978729999995</v>
      </c>
      <c r="F16" s="264">
        <f>[55]F15.2!E11</f>
        <v>4.8152312319999995</v>
      </c>
      <c r="G16" s="264">
        <f>[55]F15.2!F11</f>
        <v>5.6592999999999991</v>
      </c>
      <c r="H16" s="136"/>
      <c r="I16" s="92">
        <f t="shared" si="0"/>
        <v>0</v>
      </c>
      <c r="J16" s="92">
        <f t="shared" si="1"/>
        <v>6.5840093351785463</v>
      </c>
      <c r="K16" s="92">
        <f t="shared" ca="1" si="3"/>
        <v>7.4894541570514104</v>
      </c>
      <c r="L16" s="92">
        <f t="shared" ca="1" si="3"/>
        <v>7.8586842469940441</v>
      </c>
      <c r="M16" s="92">
        <f t="shared" ca="1" si="3"/>
        <v>7.9815847499045995</v>
      </c>
      <c r="N16" s="92">
        <f t="shared" ca="1" si="3"/>
        <v>8.3750768780748963</v>
      </c>
      <c r="O16" s="92">
        <f t="shared" ca="1" si="2"/>
        <v>8.787968168163987</v>
      </c>
    </row>
    <row r="17" spans="2:15" hidden="1" x14ac:dyDescent="0.25">
      <c r="B17" s="2">
        <v>8</v>
      </c>
      <c r="C17" s="41" t="s">
        <v>510</v>
      </c>
      <c r="D17" s="264">
        <v>0</v>
      </c>
      <c r="E17" s="264">
        <v>0</v>
      </c>
      <c r="F17" s="264">
        <v>0</v>
      </c>
      <c r="G17" s="264">
        <v>0</v>
      </c>
      <c r="H17" s="136"/>
      <c r="I17" s="92">
        <f t="shared" si="0"/>
        <v>0</v>
      </c>
      <c r="J17" s="92">
        <f t="shared" si="1"/>
        <v>0</v>
      </c>
      <c r="K17" s="92">
        <f t="shared" ca="1" si="3"/>
        <v>0</v>
      </c>
      <c r="L17" s="92">
        <f t="shared" ca="1" si="3"/>
        <v>0</v>
      </c>
      <c r="M17" s="92">
        <f t="shared" ca="1" si="3"/>
        <v>0</v>
      </c>
      <c r="N17" s="92">
        <f t="shared" ca="1" si="3"/>
        <v>0</v>
      </c>
      <c r="O17" s="92">
        <f t="shared" ca="1" si="2"/>
        <v>0</v>
      </c>
    </row>
    <row r="18" spans="2:15" hidden="1" x14ac:dyDescent="0.25">
      <c r="B18" s="2">
        <v>9</v>
      </c>
      <c r="C18" s="41" t="s">
        <v>511</v>
      </c>
      <c r="D18" s="264">
        <v>0</v>
      </c>
      <c r="E18" s="264">
        <v>0</v>
      </c>
      <c r="F18" s="264">
        <v>0</v>
      </c>
      <c r="G18" s="264">
        <v>0</v>
      </c>
      <c r="H18" s="136"/>
      <c r="I18" s="92">
        <f t="shared" si="0"/>
        <v>0</v>
      </c>
      <c r="J18" s="92">
        <f t="shared" si="1"/>
        <v>0</v>
      </c>
      <c r="K18" s="92">
        <f t="shared" ca="1" si="3"/>
        <v>0</v>
      </c>
      <c r="L18" s="92">
        <f t="shared" ca="1" si="3"/>
        <v>0</v>
      </c>
      <c r="M18" s="92">
        <f t="shared" ca="1" si="3"/>
        <v>0</v>
      </c>
      <c r="N18" s="92">
        <f t="shared" ca="1" si="3"/>
        <v>0</v>
      </c>
      <c r="O18" s="92">
        <f t="shared" ca="1" si="2"/>
        <v>0</v>
      </c>
    </row>
    <row r="19" spans="2:15" hidden="1" x14ac:dyDescent="0.25">
      <c r="B19" s="2">
        <v>10</v>
      </c>
      <c r="C19" s="41" t="s">
        <v>512</v>
      </c>
      <c r="D19" s="264">
        <v>0</v>
      </c>
      <c r="E19" s="264">
        <v>0</v>
      </c>
      <c r="F19" s="264">
        <v>0</v>
      </c>
      <c r="G19" s="264">
        <v>0</v>
      </c>
      <c r="H19" s="136"/>
      <c r="I19" s="92">
        <f t="shared" si="0"/>
        <v>0</v>
      </c>
      <c r="J19" s="92">
        <f t="shared" si="1"/>
        <v>0</v>
      </c>
      <c r="K19" s="92">
        <f t="shared" ca="1" si="3"/>
        <v>0</v>
      </c>
      <c r="L19" s="92">
        <f t="shared" ca="1" si="3"/>
        <v>0</v>
      </c>
      <c r="M19" s="92">
        <f t="shared" ca="1" si="3"/>
        <v>0</v>
      </c>
      <c r="N19" s="92">
        <f t="shared" ca="1" si="3"/>
        <v>0</v>
      </c>
      <c r="O19" s="92">
        <f t="shared" ca="1" si="2"/>
        <v>0</v>
      </c>
    </row>
    <row r="20" spans="2:15" hidden="1" x14ac:dyDescent="0.25">
      <c r="B20" s="2">
        <v>11</v>
      </c>
      <c r="C20" s="41" t="s">
        <v>513</v>
      </c>
      <c r="D20" s="264">
        <v>0</v>
      </c>
      <c r="E20" s="264">
        <v>0</v>
      </c>
      <c r="F20" s="264">
        <v>0</v>
      </c>
      <c r="G20" s="264">
        <v>0</v>
      </c>
      <c r="H20" s="136"/>
      <c r="I20" s="92">
        <f t="shared" si="0"/>
        <v>0</v>
      </c>
      <c r="J20" s="92">
        <f t="shared" si="1"/>
        <v>0</v>
      </c>
      <c r="K20" s="92">
        <f t="shared" ca="1" si="3"/>
        <v>0</v>
      </c>
      <c r="L20" s="92">
        <f t="shared" ca="1" si="3"/>
        <v>0</v>
      </c>
      <c r="M20" s="92">
        <f t="shared" ca="1" si="3"/>
        <v>0</v>
      </c>
      <c r="N20" s="92">
        <f t="shared" ca="1" si="3"/>
        <v>0</v>
      </c>
      <c r="O20" s="92">
        <f t="shared" ca="1" si="2"/>
        <v>0</v>
      </c>
    </row>
    <row r="21" spans="2:15" hidden="1" x14ac:dyDescent="0.25">
      <c r="B21" s="2">
        <v>12</v>
      </c>
      <c r="C21" s="41" t="s">
        <v>514</v>
      </c>
      <c r="D21" s="264">
        <v>0</v>
      </c>
      <c r="E21" s="264">
        <v>0</v>
      </c>
      <c r="F21" s="264">
        <v>0</v>
      </c>
      <c r="G21" s="264">
        <v>0</v>
      </c>
      <c r="H21" s="136"/>
      <c r="I21" s="92">
        <f t="shared" si="0"/>
        <v>0</v>
      </c>
      <c r="J21" s="92">
        <f t="shared" si="1"/>
        <v>0</v>
      </c>
      <c r="K21" s="92">
        <f t="shared" ca="1" si="3"/>
        <v>0</v>
      </c>
      <c r="L21" s="92">
        <f t="shared" ca="1" si="3"/>
        <v>0</v>
      </c>
      <c r="M21" s="92">
        <f t="shared" ca="1" si="3"/>
        <v>0</v>
      </c>
      <c r="N21" s="92">
        <f t="shared" ca="1" si="3"/>
        <v>0</v>
      </c>
      <c r="O21" s="92">
        <f t="shared" ca="1" si="2"/>
        <v>0</v>
      </c>
    </row>
    <row r="22" spans="2:15" hidden="1" x14ac:dyDescent="0.25">
      <c r="B22" s="2">
        <v>13</v>
      </c>
      <c r="C22" s="41" t="s">
        <v>515</v>
      </c>
      <c r="D22" s="264">
        <f>[55]F15.2!C17</f>
        <v>2.7903187600000003</v>
      </c>
      <c r="E22" s="264">
        <f>[55]F15.2!D17</f>
        <v>3.1301399059999997</v>
      </c>
      <c r="F22" s="264">
        <f>[55]F15.2!E17</f>
        <v>2.7478870180000001</v>
      </c>
      <c r="G22" s="264">
        <f>[55]F15.2!F17</f>
        <v>4.0925000000000002</v>
      </c>
      <c r="H22" s="136"/>
      <c r="I22" s="92">
        <f t="shared" si="0"/>
        <v>0</v>
      </c>
      <c r="J22" s="92">
        <f t="shared" si="1"/>
        <v>4.7611998311130712</v>
      </c>
      <c r="K22" s="92">
        <f t="shared" ca="1" si="3"/>
        <v>5.4159686070243502</v>
      </c>
      <c r="L22" s="92">
        <f t="shared" ca="1" si="3"/>
        <v>5.6829758593506492</v>
      </c>
      <c r="M22" s="92">
        <f t="shared" ca="1" si="3"/>
        <v>5.7718508630015339</v>
      </c>
      <c r="N22" s="92">
        <f t="shared" ca="1" si="3"/>
        <v>6.0564031105475093</v>
      </c>
      <c r="O22" s="92">
        <f t="shared" ca="1" si="2"/>
        <v>6.3549837838975005</v>
      </c>
    </row>
    <row r="23" spans="2:15" hidden="1" x14ac:dyDescent="0.25">
      <c r="B23" s="2">
        <v>14</v>
      </c>
      <c r="C23" s="41" t="s">
        <v>516</v>
      </c>
      <c r="D23" s="264">
        <f>[55]F15.2!C18</f>
        <v>0.24400609500000001</v>
      </c>
      <c r="E23" s="264">
        <f>[55]F15.2!D18</f>
        <v>0.42872860599999996</v>
      </c>
      <c r="F23" s="264">
        <f>[55]F15.2!E18</f>
        <v>0.26313373799999995</v>
      </c>
      <c r="G23" s="264">
        <f>[55]F15.2!F18</f>
        <v>0.38670000000000004</v>
      </c>
      <c r="H23" s="136"/>
      <c r="I23" s="92">
        <f t="shared" si="0"/>
        <v>0</v>
      </c>
      <c r="J23" s="92">
        <f t="shared" si="1"/>
        <v>0.44988539393803911</v>
      </c>
      <c r="K23" s="92">
        <f t="shared" ca="1" si="3"/>
        <v>0.51175444357637545</v>
      </c>
      <c r="L23" s="92">
        <f t="shared" ca="1" si="3"/>
        <v>0.53698393764469066</v>
      </c>
      <c r="M23" s="92">
        <f t="shared" ca="1" si="3"/>
        <v>0.54538172968178211</v>
      </c>
      <c r="N23" s="92">
        <f t="shared" ca="1" si="3"/>
        <v>0.5722690489550939</v>
      </c>
      <c r="O23" s="92">
        <f t="shared" ca="1" si="2"/>
        <v>0.60048191306858001</v>
      </c>
    </row>
    <row r="24" spans="2:15" hidden="1" x14ac:dyDescent="0.25">
      <c r="B24" s="2">
        <v>15</v>
      </c>
      <c r="C24" s="41" t="s">
        <v>517</v>
      </c>
      <c r="D24" s="264">
        <v>0</v>
      </c>
      <c r="E24" s="264">
        <v>0</v>
      </c>
      <c r="F24" s="264">
        <v>0</v>
      </c>
      <c r="G24" s="264">
        <v>0</v>
      </c>
      <c r="H24" s="136"/>
      <c r="I24" s="92">
        <f t="shared" si="0"/>
        <v>0</v>
      </c>
      <c r="J24" s="92">
        <f t="shared" si="1"/>
        <v>0</v>
      </c>
      <c r="K24" s="92">
        <f t="shared" ca="1" si="3"/>
        <v>0</v>
      </c>
      <c r="L24" s="92">
        <f t="shared" ca="1" si="3"/>
        <v>0</v>
      </c>
      <c r="M24" s="92">
        <f t="shared" ca="1" si="3"/>
        <v>0</v>
      </c>
      <c r="N24" s="92">
        <f t="shared" ca="1" si="3"/>
        <v>0</v>
      </c>
      <c r="O24" s="92">
        <f t="shared" ca="1" si="2"/>
        <v>0</v>
      </c>
    </row>
    <row r="25" spans="2:15" hidden="1" x14ac:dyDescent="0.25">
      <c r="B25" s="2">
        <v>16</v>
      </c>
      <c r="C25" s="40" t="s">
        <v>518</v>
      </c>
      <c r="D25" s="264">
        <v>0</v>
      </c>
      <c r="E25" s="264">
        <v>0</v>
      </c>
      <c r="F25" s="264">
        <v>0</v>
      </c>
      <c r="G25" s="264">
        <v>0</v>
      </c>
      <c r="H25" s="136"/>
      <c r="I25" s="92">
        <f t="shared" si="0"/>
        <v>0</v>
      </c>
      <c r="J25" s="92">
        <f t="shared" si="1"/>
        <v>0</v>
      </c>
      <c r="K25" s="92">
        <f t="shared" ca="1" si="3"/>
        <v>0</v>
      </c>
      <c r="L25" s="92">
        <f t="shared" ca="1" si="3"/>
        <v>0</v>
      </c>
      <c r="M25" s="92">
        <f t="shared" ca="1" si="3"/>
        <v>0</v>
      </c>
      <c r="N25" s="92">
        <f t="shared" ca="1" si="3"/>
        <v>0</v>
      </c>
      <c r="O25" s="92">
        <f t="shared" ca="1" si="2"/>
        <v>0</v>
      </c>
    </row>
    <row r="26" spans="2:15" hidden="1" x14ac:dyDescent="0.25">
      <c r="B26" s="2">
        <v>17</v>
      </c>
      <c r="C26" s="40" t="s">
        <v>519</v>
      </c>
      <c r="D26" s="264">
        <f>[55]F15.2!C21</f>
        <v>5.9445481999999998</v>
      </c>
      <c r="E26" s="264">
        <f>[55]F15.2!D21</f>
        <v>0.52205000000000001</v>
      </c>
      <c r="F26" s="264">
        <f>[55]F15.2!E21</f>
        <v>3.3362695000000002</v>
      </c>
      <c r="G26" s="264">
        <f>[55]F15.2!F21</f>
        <v>4.0152999999999999</v>
      </c>
      <c r="H26" s="136"/>
      <c r="I26" s="92">
        <f t="shared" si="0"/>
        <v>0</v>
      </c>
      <c r="J26" s="92">
        <f t="shared" si="1"/>
        <v>4.671385627823657</v>
      </c>
      <c r="K26" s="92">
        <f t="shared" ca="1" si="3"/>
        <v>5.3138029927391255</v>
      </c>
      <c r="L26" s="92">
        <f t="shared" ca="1" si="3"/>
        <v>5.5757734802811632</v>
      </c>
      <c r="M26" s="92">
        <f t="shared" ca="1" si="3"/>
        <v>5.6629719658424085</v>
      </c>
      <c r="N26" s="92">
        <f t="shared" ca="1" si="3"/>
        <v>5.9421564837584393</v>
      </c>
      <c r="O26" s="92">
        <f t="shared" ca="1" si="3"/>
        <v>6.235104798407729</v>
      </c>
    </row>
    <row r="27" spans="2:15" hidden="1" x14ac:dyDescent="0.25">
      <c r="B27" s="2">
        <v>18</v>
      </c>
      <c r="C27" s="41" t="s">
        <v>520</v>
      </c>
      <c r="D27" s="264">
        <f>[55]F15.2!C22</f>
        <v>1.23270671</v>
      </c>
      <c r="E27" s="264">
        <f>[55]F15.2!D22</f>
        <v>1.091170561</v>
      </c>
      <c r="F27" s="264">
        <f>[55]F15.2!E22</f>
        <v>1.2066203090000001</v>
      </c>
      <c r="G27" s="264">
        <f>[55]F15.2!F22</f>
        <v>1.3433999999999999</v>
      </c>
      <c r="H27" s="136"/>
      <c r="I27" s="92">
        <f t="shared" si="0"/>
        <v>0</v>
      </c>
      <c r="J27" s="92">
        <f t="shared" si="1"/>
        <v>1.5629067448056935</v>
      </c>
      <c r="K27" s="92">
        <f t="shared" ca="1" si="3"/>
        <v>1.7778404952172295</v>
      </c>
      <c r="L27" s="92">
        <f t="shared" ca="1" si="3"/>
        <v>1.8654880316314386</v>
      </c>
      <c r="M27" s="92">
        <f t="shared" ca="1" si="3"/>
        <v>1.8946620523778277</v>
      </c>
      <c r="N27" s="92">
        <f t="shared" ca="1" si="3"/>
        <v>1.9880688915600546</v>
      </c>
      <c r="O27" s="92">
        <f t="shared" ca="1" si="3"/>
        <v>2.0860806879139648</v>
      </c>
    </row>
    <row r="28" spans="2:15" hidden="1" x14ac:dyDescent="0.25">
      <c r="B28" s="2">
        <v>19</v>
      </c>
      <c r="C28" s="41" t="s">
        <v>521</v>
      </c>
      <c r="D28" s="264">
        <f>[55]F15.2!C23</f>
        <v>9.7631454409999989</v>
      </c>
      <c r="E28" s="264">
        <f>[55]F15.2!D23</f>
        <v>9.4112574129999995</v>
      </c>
      <c r="F28" s="264">
        <f>[55]F15.2!E23</f>
        <v>13.435125765</v>
      </c>
      <c r="G28" s="264">
        <f>[55]F15.2!F23</f>
        <v>16.794499999999999</v>
      </c>
      <c r="H28" s="136"/>
      <c r="I28" s="92">
        <f t="shared" si="0"/>
        <v>0</v>
      </c>
      <c r="J28" s="92">
        <f t="shared" si="1"/>
        <v>19.538661102902498</v>
      </c>
      <c r="K28" s="92">
        <f t="shared" ca="1" si="3"/>
        <v>22.225652967787521</v>
      </c>
      <c r="L28" s="92">
        <f t="shared" ca="1" si="3"/>
        <v>23.321377659099443</v>
      </c>
      <c r="M28" s="92">
        <f t="shared" ca="1" si="3"/>
        <v>23.686096351540439</v>
      </c>
      <c r="N28" s="92">
        <f t="shared" ca="1" si="3"/>
        <v>24.85382090167138</v>
      </c>
      <c r="O28" s="92">
        <f t="shared" ca="1" si="3"/>
        <v>26.079114272123778</v>
      </c>
    </row>
    <row r="29" spans="2:15" hidden="1" x14ac:dyDescent="0.25">
      <c r="B29" s="2">
        <v>20</v>
      </c>
      <c r="C29" s="41" t="s">
        <v>522</v>
      </c>
      <c r="D29" s="264">
        <v>0</v>
      </c>
      <c r="E29" s="264">
        <v>0</v>
      </c>
      <c r="F29" s="264">
        <v>0</v>
      </c>
      <c r="G29" s="264">
        <v>0</v>
      </c>
      <c r="H29" s="136"/>
      <c r="I29" s="92">
        <f t="shared" si="0"/>
        <v>0</v>
      </c>
      <c r="J29" s="92">
        <f t="shared" si="1"/>
        <v>0</v>
      </c>
      <c r="K29" s="92">
        <f t="shared" ca="1" si="3"/>
        <v>0</v>
      </c>
      <c r="L29" s="92">
        <f t="shared" ca="1" si="3"/>
        <v>0</v>
      </c>
      <c r="M29" s="92">
        <f t="shared" ca="1" si="3"/>
        <v>0</v>
      </c>
      <c r="N29" s="92">
        <f t="shared" ca="1" si="3"/>
        <v>0</v>
      </c>
      <c r="O29" s="92">
        <f t="shared" ca="1" si="3"/>
        <v>0</v>
      </c>
    </row>
    <row r="30" spans="2:15" hidden="1" x14ac:dyDescent="0.25">
      <c r="B30" s="2">
        <v>21</v>
      </c>
      <c r="C30" s="41" t="s">
        <v>523</v>
      </c>
      <c r="D30" s="264">
        <v>0</v>
      </c>
      <c r="E30" s="264">
        <v>0</v>
      </c>
      <c r="F30" s="264">
        <v>0</v>
      </c>
      <c r="G30" s="264">
        <v>0</v>
      </c>
      <c r="H30" s="136"/>
      <c r="I30" s="92">
        <f t="shared" si="0"/>
        <v>0</v>
      </c>
      <c r="J30" s="92">
        <f t="shared" si="1"/>
        <v>0</v>
      </c>
      <c r="K30" s="92">
        <f t="shared" ca="1" si="3"/>
        <v>0</v>
      </c>
      <c r="L30" s="92">
        <f t="shared" ca="1" si="3"/>
        <v>0</v>
      </c>
      <c r="M30" s="92">
        <f t="shared" ca="1" si="3"/>
        <v>0</v>
      </c>
      <c r="N30" s="92">
        <f t="shared" ca="1" si="3"/>
        <v>0</v>
      </c>
      <c r="O30" s="92">
        <f t="shared" ca="1" si="3"/>
        <v>0</v>
      </c>
    </row>
    <row r="31" spans="2:15" hidden="1" x14ac:dyDescent="0.25">
      <c r="B31" s="2">
        <v>22</v>
      </c>
      <c r="C31" s="41" t="s">
        <v>524</v>
      </c>
      <c r="D31" s="264">
        <v>0</v>
      </c>
      <c r="E31" s="264">
        <v>0</v>
      </c>
      <c r="F31" s="264">
        <v>0</v>
      </c>
      <c r="G31" s="264">
        <v>0</v>
      </c>
      <c r="H31" s="136"/>
      <c r="I31" s="92">
        <f t="shared" si="0"/>
        <v>0</v>
      </c>
      <c r="J31" s="92">
        <f t="shared" si="1"/>
        <v>0</v>
      </c>
      <c r="K31" s="92">
        <f t="shared" ca="1" si="3"/>
        <v>0</v>
      </c>
      <c r="L31" s="92">
        <f t="shared" ca="1" si="3"/>
        <v>0</v>
      </c>
      <c r="M31" s="92">
        <f t="shared" ca="1" si="3"/>
        <v>0</v>
      </c>
      <c r="N31" s="92">
        <f t="shared" ca="1" si="3"/>
        <v>0</v>
      </c>
      <c r="O31" s="92">
        <f t="shared" ca="1" si="3"/>
        <v>0</v>
      </c>
    </row>
    <row r="32" spans="2:15" hidden="1" x14ac:dyDescent="0.25">
      <c r="B32" s="2">
        <v>23</v>
      </c>
      <c r="C32" s="41" t="s">
        <v>525</v>
      </c>
      <c r="D32" s="264">
        <v>0</v>
      </c>
      <c r="E32" s="264">
        <v>0</v>
      </c>
      <c r="F32" s="264">
        <v>0</v>
      </c>
      <c r="G32" s="264">
        <v>0</v>
      </c>
      <c r="H32" s="136"/>
      <c r="I32" s="92">
        <f t="shared" si="0"/>
        <v>0</v>
      </c>
      <c r="J32" s="92">
        <f t="shared" si="1"/>
        <v>0</v>
      </c>
      <c r="K32" s="92">
        <f t="shared" ca="1" si="3"/>
        <v>0</v>
      </c>
      <c r="L32" s="92">
        <f t="shared" ca="1" si="3"/>
        <v>0</v>
      </c>
      <c r="M32" s="92">
        <f t="shared" ca="1" si="3"/>
        <v>0</v>
      </c>
      <c r="N32" s="92">
        <f t="shared" ca="1" si="3"/>
        <v>0</v>
      </c>
      <c r="O32" s="92">
        <f t="shared" ca="1" si="3"/>
        <v>0</v>
      </c>
    </row>
    <row r="33" spans="2:16" hidden="1" x14ac:dyDescent="0.25">
      <c r="B33" s="2">
        <v>24</v>
      </c>
      <c r="C33" s="41" t="s">
        <v>526</v>
      </c>
      <c r="D33" s="264">
        <f>[55]F15.2!C28</f>
        <v>4.4738199999999999E-2</v>
      </c>
      <c r="E33" s="264">
        <f>[55]F15.2!D28</f>
        <v>0.64913564899999998</v>
      </c>
      <c r="F33" s="264">
        <f>[55]F15.2!E28</f>
        <v>0.42413494699999993</v>
      </c>
      <c r="G33" s="264">
        <f>[55]F15.2!F28</f>
        <v>0</v>
      </c>
      <c r="H33" s="136"/>
      <c r="I33" s="92">
        <f t="shared" si="0"/>
        <v>0</v>
      </c>
      <c r="J33" s="92">
        <f t="shared" si="1"/>
        <v>0</v>
      </c>
      <c r="K33" s="92">
        <f t="shared" ca="1" si="3"/>
        <v>0</v>
      </c>
      <c r="L33" s="92">
        <f t="shared" ca="1" si="3"/>
        <v>0</v>
      </c>
      <c r="M33" s="92">
        <f t="shared" ca="1" si="3"/>
        <v>0</v>
      </c>
      <c r="N33" s="92">
        <f t="shared" ca="1" si="3"/>
        <v>0</v>
      </c>
      <c r="O33" s="92">
        <f t="shared" ca="1" si="3"/>
        <v>0</v>
      </c>
    </row>
    <row r="34" spans="2:16" hidden="1" x14ac:dyDescent="0.25">
      <c r="B34" s="2">
        <v>25</v>
      </c>
      <c r="C34" s="41" t="s">
        <v>527</v>
      </c>
      <c r="D34" s="264">
        <f>[55]F15.2!C29</f>
        <v>5.4717254840000003</v>
      </c>
      <c r="E34" s="264">
        <f>[55]F15.2!D29</f>
        <v>37.382921317000005</v>
      </c>
      <c r="F34" s="264">
        <f>[55]F15.2!E29</f>
        <v>47.103105279000005</v>
      </c>
      <c r="G34" s="264">
        <f>[55]F15.2!F29</f>
        <v>31.876899999999999</v>
      </c>
      <c r="H34" s="136"/>
      <c r="I34" s="92">
        <f t="shared" si="0"/>
        <v>0</v>
      </c>
      <c r="J34" s="92">
        <f t="shared" si="1"/>
        <v>37.08547120254326</v>
      </c>
      <c r="K34" s="92">
        <f t="shared" ca="1" si="3"/>
        <v>42.185531994930855</v>
      </c>
      <c r="L34" s="92">
        <f t="shared" ca="1" si="3"/>
        <v>44.265278722280939</v>
      </c>
      <c r="M34" s="92">
        <f t="shared" ca="1" si="3"/>
        <v>44.957535192379623</v>
      </c>
      <c r="N34" s="92">
        <f t="shared" ca="1" si="3"/>
        <v>47.173941677363935</v>
      </c>
      <c r="O34" s="92">
        <f t="shared" ca="1" si="3"/>
        <v>49.499617002057974</v>
      </c>
    </row>
    <row r="35" spans="2:16" hidden="1" x14ac:dyDescent="0.25">
      <c r="B35" s="2">
        <v>26</v>
      </c>
      <c r="C35" s="41" t="s">
        <v>528</v>
      </c>
      <c r="D35" s="264">
        <f>[55]F15.2!C30</f>
        <v>10.992361149000001</v>
      </c>
      <c r="E35" s="264">
        <f>[55]F15.2!D30</f>
        <v>11.111675071000001</v>
      </c>
      <c r="F35" s="264">
        <f>[55]F15.2!E30</f>
        <v>10.752211881000001</v>
      </c>
      <c r="G35" s="264">
        <f>[55]F15.2!F30</f>
        <v>11.663000000000002</v>
      </c>
      <c r="H35" s="136"/>
      <c r="I35" s="92">
        <f t="shared" si="0"/>
        <v>0</v>
      </c>
      <c r="J35" s="92">
        <f t="shared" si="1"/>
        <v>13.568692395912464</v>
      </c>
      <c r="K35" s="92">
        <f t="shared" ca="1" si="3"/>
        <v>15.434683412028102</v>
      </c>
      <c r="L35" s="92">
        <f t="shared" ca="1" si="3"/>
        <v>16.195613304241085</v>
      </c>
      <c r="M35" s="92">
        <f t="shared" ca="1" si="3"/>
        <v>16.448893491798877</v>
      </c>
      <c r="N35" s="92">
        <f t="shared" ca="1" si="3"/>
        <v>17.25982394094456</v>
      </c>
      <c r="O35" s="92">
        <f t="shared" ca="1" si="3"/>
        <v>18.110733261233126</v>
      </c>
    </row>
    <row r="36" spans="2:16" hidden="1" x14ac:dyDescent="0.25">
      <c r="B36" s="2">
        <v>27</v>
      </c>
      <c r="C36" s="41" t="s">
        <v>529</v>
      </c>
      <c r="D36" s="264">
        <v>0</v>
      </c>
      <c r="E36" s="264">
        <v>0</v>
      </c>
      <c r="F36" s="264">
        <v>0</v>
      </c>
      <c r="G36" s="264">
        <v>0</v>
      </c>
      <c r="H36" s="136"/>
      <c r="I36" s="92">
        <f t="shared" si="0"/>
        <v>0</v>
      </c>
      <c r="J36" s="92">
        <f t="shared" si="1"/>
        <v>0</v>
      </c>
      <c r="K36" s="92">
        <f t="shared" ca="1" si="3"/>
        <v>0</v>
      </c>
      <c r="L36" s="92">
        <f t="shared" ca="1" si="3"/>
        <v>0</v>
      </c>
      <c r="M36" s="92">
        <f t="shared" ca="1" si="3"/>
        <v>0</v>
      </c>
      <c r="N36" s="92">
        <f t="shared" ca="1" si="3"/>
        <v>0</v>
      </c>
      <c r="O36" s="92">
        <f t="shared" ca="1" si="3"/>
        <v>0</v>
      </c>
    </row>
    <row r="37" spans="2:16" hidden="1" x14ac:dyDescent="0.25">
      <c r="B37" s="2">
        <v>28</v>
      </c>
      <c r="C37" s="41" t="s">
        <v>498</v>
      </c>
      <c r="D37" s="264">
        <f>[55]F15.2!C32</f>
        <v>164.88914510499998</v>
      </c>
      <c r="E37" s="264">
        <f>[55]F15.2!D32</f>
        <v>24.912896694000001</v>
      </c>
      <c r="F37" s="264">
        <f>[55]F15.2!E32</f>
        <v>27.8447</v>
      </c>
      <c r="G37" s="264">
        <f>[55]F15.2!F32</f>
        <v>115.8216</v>
      </c>
      <c r="H37" s="136"/>
      <c r="I37" s="92">
        <f t="shared" si="0"/>
        <v>0</v>
      </c>
      <c r="J37" s="92">
        <f t="shared" si="1"/>
        <v>134.74643429670024</v>
      </c>
      <c r="K37" s="92">
        <f t="shared" ca="1" si="3"/>
        <v>153.27700662561551</v>
      </c>
      <c r="L37" s="92">
        <f t="shared" ca="1" si="3"/>
        <v>160.83356305225831</v>
      </c>
      <c r="M37" s="92">
        <f t="shared" ca="1" si="3"/>
        <v>163.34880926431725</v>
      </c>
      <c r="N37" s="92">
        <f t="shared" ca="1" si="3"/>
        <v>171.4019055610481</v>
      </c>
      <c r="O37" s="92">
        <f t="shared" ca="1" si="3"/>
        <v>179.85201950520775</v>
      </c>
    </row>
    <row r="38" spans="2:16" x14ac:dyDescent="0.25">
      <c r="B38" s="2">
        <v>29</v>
      </c>
      <c r="C38" s="42" t="s">
        <v>530</v>
      </c>
      <c r="D38" s="135">
        <f>SUM(D10:D37)</f>
        <v>244.95221524499999</v>
      </c>
      <c r="E38" s="135">
        <f t="shared" ref="E38:I38" si="4">SUM(E10:E37)</f>
        <v>130.03138042800001</v>
      </c>
      <c r="F38" s="135">
        <f t="shared" si="4"/>
        <v>148.873472999</v>
      </c>
      <c r="G38" s="135">
        <f t="shared" si="4"/>
        <v>237.08170000000001</v>
      </c>
      <c r="H38" s="135">
        <f t="shared" si="4"/>
        <v>0</v>
      </c>
      <c r="I38" s="97">
        <f t="shared" si="4"/>
        <v>0</v>
      </c>
      <c r="J38" s="97">
        <f>'[54]O&amp;M Projections New Methodology'!I6</f>
        <v>275.82</v>
      </c>
      <c r="K38" s="97">
        <f ca="1">K40+K39</f>
        <v>313.75126316431641</v>
      </c>
      <c r="L38" s="97">
        <f ca="1">L40+L39</f>
        <v>329.21920043831716</v>
      </c>
      <c r="M38" s="97">
        <f>'[54]O&amp;M Projections New Methodology'!L6</f>
        <v>334.36779834987681</v>
      </c>
      <c r="N38" s="97">
        <f>'[54]O&amp;M Projections New Methodology'!M6</f>
        <v>350.85213080852571</v>
      </c>
      <c r="O38" s="97">
        <f>'[54]O&amp;M Projections New Methodology'!N6</f>
        <v>368.14914085738599</v>
      </c>
    </row>
    <row r="39" spans="2:16" x14ac:dyDescent="0.25">
      <c r="B39" s="2">
        <v>30</v>
      </c>
      <c r="C39" s="32" t="s">
        <v>500</v>
      </c>
      <c r="D39" s="136">
        <f>[55]F15.2!C34</f>
        <v>8.7597875999999992</v>
      </c>
      <c r="E39" s="136">
        <f>[55]F15.2!D34</f>
        <v>6.7969881870000002</v>
      </c>
      <c r="F39" s="136">
        <f>[55]F15.2!E34</f>
        <v>7.0951034370000006</v>
      </c>
      <c r="G39" s="136">
        <f>[55]F15.2!F34</f>
        <v>7.6054999999999993</v>
      </c>
      <c r="H39" s="136"/>
      <c r="I39" s="99"/>
      <c r="J39" s="99">
        <f>$G$39/$G$38*J38</f>
        <v>8.8482114393477005</v>
      </c>
      <c r="K39" s="99">
        <f ca="1">$J$39/$J$38*K38</f>
        <v>10.065033412516479</v>
      </c>
      <c r="L39" s="99">
        <f ca="1">$J$39/$J$38*L38</f>
        <v>10.56123955975354</v>
      </c>
      <c r="M39" s="99">
        <f t="shared" ref="M39:O39" si="5">$G$39/$G$38*M38</f>
        <v>10.726404823105232</v>
      </c>
      <c r="N39" s="99">
        <f t="shared" si="5"/>
        <v>11.255216580884319</v>
      </c>
      <c r="O39" s="99">
        <f t="shared" si="5"/>
        <v>11.810098758321915</v>
      </c>
    </row>
    <row r="40" spans="2:16" x14ac:dyDescent="0.25">
      <c r="B40" s="2">
        <v>31</v>
      </c>
      <c r="C40" s="10" t="s">
        <v>531</v>
      </c>
      <c r="D40" s="135">
        <f>D38-D39</f>
        <v>236.19242764499998</v>
      </c>
      <c r="E40" s="135">
        <f t="shared" ref="E40:O40" si="6">E38-E39</f>
        <v>123.23439224100001</v>
      </c>
      <c r="F40" s="135">
        <f t="shared" si="6"/>
        <v>141.77836956199999</v>
      </c>
      <c r="G40" s="135">
        <f t="shared" si="6"/>
        <v>229.47620000000001</v>
      </c>
      <c r="H40" s="135">
        <f t="shared" si="6"/>
        <v>0</v>
      </c>
      <c r="I40" s="97">
        <f t="shared" si="6"/>
        <v>0</v>
      </c>
      <c r="J40" s="97">
        <f t="shared" si="6"/>
        <v>266.97178856065227</v>
      </c>
      <c r="K40" s="97">
        <f>'[54]O&amp;M Projections New Methodology'!J6</f>
        <v>303.68622975179994</v>
      </c>
      <c r="L40" s="97">
        <f>'[54]O&amp;M Projections New Methodology'!K6</f>
        <v>318.65796087856364</v>
      </c>
      <c r="M40" s="97">
        <f t="shared" si="6"/>
        <v>323.64139352677159</v>
      </c>
      <c r="N40" s="97">
        <f t="shared" si="6"/>
        <v>339.59691422764138</v>
      </c>
      <c r="O40" s="97">
        <f t="shared" si="6"/>
        <v>356.33904209906405</v>
      </c>
    </row>
    <row r="42" spans="2:16" x14ac:dyDescent="0.25">
      <c r="B42" s="26" t="s">
        <v>686</v>
      </c>
    </row>
    <row r="43" spans="2:16" x14ac:dyDescent="0.25">
      <c r="L43" s="16" t="s">
        <v>1215</v>
      </c>
      <c r="O43" s="16" t="s">
        <v>3</v>
      </c>
    </row>
    <row r="44" spans="2:16" ht="12.75" customHeight="1" x14ac:dyDescent="0.25">
      <c r="B44" s="729" t="s">
        <v>4</v>
      </c>
      <c r="C44" s="760" t="s">
        <v>5</v>
      </c>
      <c r="D44" s="435" t="s">
        <v>222</v>
      </c>
      <c r="E44" s="435" t="s">
        <v>223</v>
      </c>
      <c r="F44" s="435" t="s">
        <v>224</v>
      </c>
      <c r="G44" s="435" t="s">
        <v>7</v>
      </c>
      <c r="H44" s="729" t="s">
        <v>8</v>
      </c>
      <c r="I44" s="729"/>
      <c r="J44" s="729"/>
      <c r="K44" s="768" t="s">
        <v>9</v>
      </c>
      <c r="L44" s="768"/>
      <c r="M44" s="768"/>
      <c r="N44" s="768"/>
      <c r="O44" s="768"/>
      <c r="P44" s="445"/>
    </row>
    <row r="45" spans="2:16" x14ac:dyDescent="0.25">
      <c r="B45" s="729"/>
      <c r="C45" s="760"/>
      <c r="D45" s="435" t="s">
        <v>11</v>
      </c>
      <c r="E45" s="435" t="s">
        <v>11</v>
      </c>
      <c r="F45" s="435" t="s">
        <v>11</v>
      </c>
      <c r="G45" s="435" t="s">
        <v>11</v>
      </c>
      <c r="H45" s="435" t="s">
        <v>13</v>
      </c>
      <c r="I45" s="435" t="s">
        <v>14</v>
      </c>
      <c r="J45" s="435" t="s">
        <v>15</v>
      </c>
      <c r="K45" s="435" t="s">
        <v>16</v>
      </c>
      <c r="L45" s="435" t="s">
        <v>17</v>
      </c>
      <c r="M45" s="435" t="s">
        <v>18</v>
      </c>
      <c r="N45" s="435" t="s">
        <v>19</v>
      </c>
      <c r="O45" s="435" t="s">
        <v>20</v>
      </c>
    </row>
    <row r="46" spans="2:16" x14ac:dyDescent="0.25">
      <c r="B46" s="729"/>
      <c r="C46" s="760"/>
      <c r="D46" s="435" t="s">
        <v>22</v>
      </c>
      <c r="E46" s="435" t="s">
        <v>22</v>
      </c>
      <c r="F46" s="435" t="s">
        <v>22</v>
      </c>
      <c r="G46" s="435" t="s">
        <v>22</v>
      </c>
      <c r="H46" s="435" t="s">
        <v>24</v>
      </c>
      <c r="I46" s="435" t="s">
        <v>25</v>
      </c>
      <c r="J46" s="435" t="s">
        <v>25</v>
      </c>
      <c r="K46" s="435" t="s">
        <v>26</v>
      </c>
      <c r="L46" s="435" t="s">
        <v>26</v>
      </c>
      <c r="M46" s="435" t="s">
        <v>26</v>
      </c>
      <c r="N46" s="435" t="s">
        <v>26</v>
      </c>
      <c r="O46" s="435" t="s">
        <v>26</v>
      </c>
    </row>
    <row r="47" spans="2:16" hidden="1" x14ac:dyDescent="0.25">
      <c r="B47" s="2">
        <v>1</v>
      </c>
      <c r="C47" s="40" t="s">
        <v>503</v>
      </c>
      <c r="D47" s="263">
        <f>90%*D10</f>
        <v>3.5475996599999999</v>
      </c>
      <c r="E47" s="263">
        <f t="shared" ref="E47:G47" si="7">90%*E10</f>
        <v>1.6999040664</v>
      </c>
      <c r="F47" s="263">
        <f t="shared" si="7"/>
        <v>0.99870454799999997</v>
      </c>
      <c r="G47" s="263">
        <f t="shared" si="7"/>
        <v>1.1337300000000001</v>
      </c>
      <c r="H47" s="2"/>
      <c r="I47" s="2"/>
      <c r="J47" s="265">
        <f>90%*J10</f>
        <v>1.318977418333005</v>
      </c>
      <c r="K47" s="265">
        <f t="shared" ref="K47:O47" ca="1" si="8">90%*K10</f>
        <v>1.5003655684402486</v>
      </c>
      <c r="L47" s="265">
        <f t="shared" ca="1" si="8"/>
        <v>1.5743335909643525</v>
      </c>
      <c r="M47" s="265">
        <f t="shared" ca="1" si="8"/>
        <v>1.5989543015053707</v>
      </c>
      <c r="N47" s="265">
        <f t="shared" ca="1" si="8"/>
        <v>1.6777827485695855</v>
      </c>
      <c r="O47" s="265">
        <f t="shared" ca="1" si="8"/>
        <v>1.7604974380740659</v>
      </c>
    </row>
    <row r="48" spans="2:16" hidden="1" x14ac:dyDescent="0.25">
      <c r="B48" s="2">
        <v>2</v>
      </c>
      <c r="C48" s="41" t="s">
        <v>504</v>
      </c>
      <c r="D48" s="263">
        <f t="shared" ref="D48:G63" si="9">90%*D11</f>
        <v>7.4731869900000011E-2</v>
      </c>
      <c r="E48" s="263">
        <f t="shared" si="9"/>
        <v>6.8457290400000009E-2</v>
      </c>
      <c r="F48" s="263">
        <f t="shared" si="9"/>
        <v>5.4888670799999997E-2</v>
      </c>
      <c r="G48" s="263">
        <f t="shared" si="9"/>
        <v>4.8509999999999998E-2</v>
      </c>
      <c r="H48" s="2"/>
      <c r="I48" s="2"/>
      <c r="J48" s="265">
        <f t="shared" ref="J48:O63" si="10">90%*J11</f>
        <v>5.6436360123957266E-2</v>
      </c>
      <c r="K48" s="265">
        <f t="shared" ca="1" si="10"/>
        <v>6.4197590012645384E-2</v>
      </c>
      <c r="L48" s="265">
        <f t="shared" ca="1" si="10"/>
        <v>6.7362531200268791E-2</v>
      </c>
      <c r="M48" s="265">
        <f t="shared" ca="1" si="10"/>
        <v>6.8416001310740229E-2</v>
      </c>
      <c r="N48" s="265">
        <f t="shared" ca="1" si="10"/>
        <v>7.1788910175359738E-2</v>
      </c>
      <c r="O48" s="265">
        <f t="shared" ca="1" si="10"/>
        <v>7.5328103447004954E-2</v>
      </c>
    </row>
    <row r="49" spans="2:15" hidden="1" x14ac:dyDescent="0.25">
      <c r="B49" s="2">
        <v>3</v>
      </c>
      <c r="C49" s="41" t="s">
        <v>505</v>
      </c>
      <c r="D49" s="263">
        <f t="shared" si="9"/>
        <v>1.5971934726000001</v>
      </c>
      <c r="E49" s="263">
        <f t="shared" si="9"/>
        <v>2.5257278646000003</v>
      </c>
      <c r="F49" s="263">
        <f t="shared" si="9"/>
        <v>3.5359050177000002</v>
      </c>
      <c r="G49" s="263">
        <f t="shared" si="9"/>
        <v>3.6830699999999998</v>
      </c>
      <c r="H49" s="2"/>
      <c r="I49" s="2"/>
      <c r="J49" s="265">
        <f t="shared" si="10"/>
        <v>4.284870436646945</v>
      </c>
      <c r="K49" s="265">
        <f t="shared" ca="1" si="10"/>
        <v>4.8741335363404215</v>
      </c>
      <c r="L49" s="265">
        <f t="shared" ca="1" si="10"/>
        <v>5.1144283196820028</v>
      </c>
      <c r="M49" s="265">
        <f t="shared" ca="1" si="10"/>
        <v>5.1944119139877971</v>
      </c>
      <c r="N49" s="265">
        <f t="shared" ca="1" si="10"/>
        <v>5.4504964213473954</v>
      </c>
      <c r="O49" s="265">
        <f t="shared" ca="1" si="10"/>
        <v>5.7192058949198215</v>
      </c>
    </row>
    <row r="50" spans="2:15" hidden="1" x14ac:dyDescent="0.25">
      <c r="B50" s="2">
        <v>4</v>
      </c>
      <c r="C50" s="41" t="s">
        <v>506</v>
      </c>
      <c r="D50" s="263">
        <f t="shared" si="9"/>
        <v>0.59038821000000008</v>
      </c>
      <c r="E50" s="263">
        <f t="shared" si="9"/>
        <v>0.82173105000000002</v>
      </c>
      <c r="F50" s="263">
        <f t="shared" si="9"/>
        <v>0.9625541849999999</v>
      </c>
      <c r="G50" s="263">
        <f t="shared" si="9"/>
        <v>2.6354699999999998</v>
      </c>
      <c r="H50" s="2"/>
      <c r="I50" s="2"/>
      <c r="J50" s="265">
        <f t="shared" si="10"/>
        <v>3.0660963515952511</v>
      </c>
      <c r="K50" s="265">
        <f t="shared" ca="1" si="10"/>
        <v>3.4877514440450734</v>
      </c>
      <c r="L50" s="265">
        <f t="shared" ca="1" si="10"/>
        <v>3.6596975902364948</v>
      </c>
      <c r="M50" s="265">
        <f t="shared" ca="1" si="10"/>
        <v>3.7169309209321075</v>
      </c>
      <c r="N50" s="265">
        <f t="shared" ca="1" si="10"/>
        <v>3.9001756153340601</v>
      </c>
      <c r="O50" s="265">
        <f t="shared" ca="1" si="10"/>
        <v>4.0924542731700289</v>
      </c>
    </row>
    <row r="51" spans="2:15" hidden="1" x14ac:dyDescent="0.25">
      <c r="B51" s="2">
        <v>5</v>
      </c>
      <c r="C51" s="41" t="s">
        <v>507</v>
      </c>
      <c r="D51" s="263">
        <f t="shared" si="9"/>
        <v>16.667433207000002</v>
      </c>
      <c r="E51" s="263">
        <f t="shared" si="9"/>
        <v>13.805198632799998</v>
      </c>
      <c r="F51" s="263">
        <f t="shared" si="9"/>
        <v>15.224192770499998</v>
      </c>
      <c r="G51" s="263">
        <f t="shared" si="9"/>
        <v>20.741310000000002</v>
      </c>
      <c r="H51" s="2"/>
      <c r="I51" s="2"/>
      <c r="J51" s="265">
        <f t="shared" si="10"/>
        <v>24.130365710217198</v>
      </c>
      <c r="K51" s="265">
        <f t="shared" ca="1" si="10"/>
        <v>27.448817062568171</v>
      </c>
      <c r="L51" s="265">
        <f t="shared" ca="1" si="10"/>
        <v>28.802043743752776</v>
      </c>
      <c r="M51" s="265">
        <f t="shared" ca="1" si="10"/>
        <v>29.252473554864348</v>
      </c>
      <c r="N51" s="265">
        <f t="shared" ca="1" si="10"/>
        <v>30.694620501119161</v>
      </c>
      <c r="O51" s="265">
        <f t="shared" ca="1" si="10"/>
        <v>32.207865291824326</v>
      </c>
    </row>
    <row r="52" spans="2:15" hidden="1" x14ac:dyDescent="0.25">
      <c r="B52" s="2">
        <v>6</v>
      </c>
      <c r="C52" s="41" t="s">
        <v>508</v>
      </c>
      <c r="D52" s="263">
        <f t="shared" si="9"/>
        <v>12.48302997</v>
      </c>
      <c r="E52" s="263">
        <f t="shared" si="9"/>
        <v>14.0310477</v>
      </c>
      <c r="F52" s="263">
        <f t="shared" si="9"/>
        <v>12.474302805000001</v>
      </c>
      <c r="G52" s="263">
        <f t="shared" si="9"/>
        <v>12.643559999999999</v>
      </c>
      <c r="H52" s="2"/>
      <c r="I52" s="2"/>
      <c r="J52" s="265">
        <f t="shared" si="10"/>
        <v>14.709472385257909</v>
      </c>
      <c r="K52" s="265">
        <f t="shared" ca="1" si="10"/>
        <v>16.732345520104779</v>
      </c>
      <c r="L52" s="265">
        <f t="shared" ca="1" si="10"/>
        <v>17.557250154245938</v>
      </c>
      <c r="M52" s="265">
        <f t="shared" ca="1" si="10"/>
        <v>17.831824727528815</v>
      </c>
      <c r="N52" s="265">
        <f t="shared" ca="1" si="10"/>
        <v>18.710933686595986</v>
      </c>
      <c r="O52" s="265">
        <f t="shared" ca="1" si="10"/>
        <v>19.633382717345167</v>
      </c>
    </row>
    <row r="53" spans="2:15" hidden="1" x14ac:dyDescent="0.25">
      <c r="B53" s="2">
        <v>7</v>
      </c>
      <c r="C53" s="41" t="s">
        <v>509</v>
      </c>
      <c r="D53" s="263">
        <f t="shared" si="9"/>
        <v>4.2611917014000005</v>
      </c>
      <c r="E53" s="263">
        <f t="shared" si="9"/>
        <v>4.3001980857</v>
      </c>
      <c r="F53" s="263">
        <f t="shared" si="9"/>
        <v>4.3337081087999998</v>
      </c>
      <c r="G53" s="263">
        <f t="shared" si="9"/>
        <v>5.0933699999999993</v>
      </c>
      <c r="H53" s="2"/>
      <c r="I53" s="2"/>
      <c r="J53" s="265">
        <f t="shared" si="10"/>
        <v>5.9256084016606918</v>
      </c>
      <c r="K53" s="265">
        <f t="shared" ca="1" si="10"/>
        <v>6.7405087413462699</v>
      </c>
      <c r="L53" s="265">
        <f t="shared" ca="1" si="10"/>
        <v>7.0728158222946398</v>
      </c>
      <c r="M53" s="265">
        <f t="shared" ca="1" si="10"/>
        <v>7.1834262749141393</v>
      </c>
      <c r="N53" s="265">
        <f t="shared" ca="1" si="10"/>
        <v>7.5375691902674067</v>
      </c>
      <c r="O53" s="265">
        <f t="shared" ca="1" si="10"/>
        <v>7.9091713513475881</v>
      </c>
    </row>
    <row r="54" spans="2:15" hidden="1" x14ac:dyDescent="0.25">
      <c r="B54" s="2">
        <v>8</v>
      </c>
      <c r="C54" s="41" t="s">
        <v>510</v>
      </c>
      <c r="D54" s="263">
        <f t="shared" si="9"/>
        <v>0</v>
      </c>
      <c r="E54" s="263">
        <f t="shared" si="9"/>
        <v>0</v>
      </c>
      <c r="F54" s="263">
        <f t="shared" si="9"/>
        <v>0</v>
      </c>
      <c r="G54" s="263">
        <f t="shared" si="9"/>
        <v>0</v>
      </c>
      <c r="H54" s="2"/>
      <c r="I54" s="2"/>
      <c r="J54" s="265">
        <f t="shared" si="10"/>
        <v>0</v>
      </c>
      <c r="K54" s="265">
        <f t="shared" ca="1" si="10"/>
        <v>0</v>
      </c>
      <c r="L54" s="265">
        <f t="shared" ca="1" si="10"/>
        <v>0</v>
      </c>
      <c r="M54" s="265">
        <f t="shared" ca="1" si="10"/>
        <v>0</v>
      </c>
      <c r="N54" s="265">
        <f t="shared" ca="1" si="10"/>
        <v>0</v>
      </c>
      <c r="O54" s="265">
        <f t="shared" ca="1" si="10"/>
        <v>0</v>
      </c>
    </row>
    <row r="55" spans="2:15" hidden="1" x14ac:dyDescent="0.25">
      <c r="B55" s="2">
        <v>9</v>
      </c>
      <c r="C55" s="41" t="s">
        <v>511</v>
      </c>
      <c r="D55" s="263">
        <f t="shared" si="9"/>
        <v>0</v>
      </c>
      <c r="E55" s="263">
        <f t="shared" si="9"/>
        <v>0</v>
      </c>
      <c r="F55" s="263">
        <f t="shared" si="9"/>
        <v>0</v>
      </c>
      <c r="G55" s="263">
        <f t="shared" si="9"/>
        <v>0</v>
      </c>
      <c r="H55" s="2"/>
      <c r="I55" s="2"/>
      <c r="J55" s="265">
        <f t="shared" si="10"/>
        <v>0</v>
      </c>
      <c r="K55" s="265">
        <f t="shared" ca="1" si="10"/>
        <v>0</v>
      </c>
      <c r="L55" s="265">
        <f t="shared" ca="1" si="10"/>
        <v>0</v>
      </c>
      <c r="M55" s="265">
        <f t="shared" ca="1" si="10"/>
        <v>0</v>
      </c>
      <c r="N55" s="265">
        <f t="shared" ca="1" si="10"/>
        <v>0</v>
      </c>
      <c r="O55" s="265">
        <f t="shared" ca="1" si="10"/>
        <v>0</v>
      </c>
    </row>
    <row r="56" spans="2:15" hidden="1" x14ac:dyDescent="0.25">
      <c r="B56" s="2">
        <v>10</v>
      </c>
      <c r="C56" s="41" t="s">
        <v>512</v>
      </c>
      <c r="D56" s="263">
        <f t="shared" si="9"/>
        <v>0</v>
      </c>
      <c r="E56" s="263">
        <f t="shared" si="9"/>
        <v>0</v>
      </c>
      <c r="F56" s="263">
        <f t="shared" si="9"/>
        <v>0</v>
      </c>
      <c r="G56" s="263">
        <f t="shared" si="9"/>
        <v>0</v>
      </c>
      <c r="H56" s="2"/>
      <c r="I56" s="2"/>
      <c r="J56" s="265">
        <f t="shared" si="10"/>
        <v>0</v>
      </c>
      <c r="K56" s="265">
        <f t="shared" ca="1" si="10"/>
        <v>0</v>
      </c>
      <c r="L56" s="265">
        <f t="shared" ca="1" si="10"/>
        <v>0</v>
      </c>
      <c r="M56" s="265">
        <f t="shared" ca="1" si="10"/>
        <v>0</v>
      </c>
      <c r="N56" s="265">
        <f t="shared" ca="1" si="10"/>
        <v>0</v>
      </c>
      <c r="O56" s="265">
        <f t="shared" ca="1" si="10"/>
        <v>0</v>
      </c>
    </row>
    <row r="57" spans="2:15" hidden="1" x14ac:dyDescent="0.25">
      <c r="B57" s="2">
        <v>11</v>
      </c>
      <c r="C57" s="41" t="s">
        <v>513</v>
      </c>
      <c r="D57" s="263">
        <f t="shared" si="9"/>
        <v>0</v>
      </c>
      <c r="E57" s="263">
        <f t="shared" si="9"/>
        <v>0</v>
      </c>
      <c r="F57" s="263">
        <f t="shared" si="9"/>
        <v>0</v>
      </c>
      <c r="G57" s="263">
        <f t="shared" si="9"/>
        <v>0</v>
      </c>
      <c r="H57" s="2"/>
      <c r="I57" s="2"/>
      <c r="J57" s="265">
        <f t="shared" si="10"/>
        <v>0</v>
      </c>
      <c r="K57" s="265">
        <f t="shared" ca="1" si="10"/>
        <v>0</v>
      </c>
      <c r="L57" s="265">
        <f t="shared" ca="1" si="10"/>
        <v>0</v>
      </c>
      <c r="M57" s="265">
        <f t="shared" ca="1" si="10"/>
        <v>0</v>
      </c>
      <c r="N57" s="265">
        <f t="shared" ca="1" si="10"/>
        <v>0</v>
      </c>
      <c r="O57" s="265">
        <f t="shared" ca="1" si="10"/>
        <v>0</v>
      </c>
    </row>
    <row r="58" spans="2:15" hidden="1" x14ac:dyDescent="0.25">
      <c r="B58" s="2">
        <v>12</v>
      </c>
      <c r="C58" s="41" t="s">
        <v>514</v>
      </c>
      <c r="D58" s="263">
        <f t="shared" si="9"/>
        <v>0</v>
      </c>
      <c r="E58" s="263">
        <f t="shared" si="9"/>
        <v>0</v>
      </c>
      <c r="F58" s="263">
        <f t="shared" si="9"/>
        <v>0</v>
      </c>
      <c r="G58" s="263">
        <f t="shared" si="9"/>
        <v>0</v>
      </c>
      <c r="H58" s="2"/>
      <c r="I58" s="2"/>
      <c r="J58" s="265">
        <f t="shared" si="10"/>
        <v>0</v>
      </c>
      <c r="K58" s="265">
        <f t="shared" ca="1" si="10"/>
        <v>0</v>
      </c>
      <c r="L58" s="265">
        <f t="shared" ca="1" si="10"/>
        <v>0</v>
      </c>
      <c r="M58" s="265">
        <f t="shared" ca="1" si="10"/>
        <v>0</v>
      </c>
      <c r="N58" s="265">
        <f t="shared" ca="1" si="10"/>
        <v>0</v>
      </c>
      <c r="O58" s="265">
        <f t="shared" ca="1" si="10"/>
        <v>0</v>
      </c>
    </row>
    <row r="59" spans="2:15" hidden="1" x14ac:dyDescent="0.25">
      <c r="B59" s="2">
        <v>13</v>
      </c>
      <c r="C59" s="41" t="s">
        <v>515</v>
      </c>
      <c r="D59" s="263">
        <f t="shared" si="9"/>
        <v>2.5112868840000004</v>
      </c>
      <c r="E59" s="263">
        <f t="shared" si="9"/>
        <v>2.8171259153999997</v>
      </c>
      <c r="F59" s="263">
        <f t="shared" si="9"/>
        <v>2.4730983162000002</v>
      </c>
      <c r="G59" s="263">
        <f t="shared" si="9"/>
        <v>3.6832500000000001</v>
      </c>
      <c r="H59" s="2"/>
      <c r="I59" s="2"/>
      <c r="J59" s="265">
        <f t="shared" si="10"/>
        <v>4.2850798480017644</v>
      </c>
      <c r="K59" s="265">
        <f t="shared" ca="1" si="10"/>
        <v>4.8743717463219154</v>
      </c>
      <c r="L59" s="265">
        <f t="shared" ca="1" si="10"/>
        <v>5.114678273415584</v>
      </c>
      <c r="M59" s="265">
        <f t="shared" ca="1" si="10"/>
        <v>5.1946657767013811</v>
      </c>
      <c r="N59" s="265">
        <f t="shared" ca="1" si="10"/>
        <v>5.4507627994927583</v>
      </c>
      <c r="O59" s="265">
        <f t="shared" ca="1" si="10"/>
        <v>5.7194854055077506</v>
      </c>
    </row>
    <row r="60" spans="2:15" hidden="1" x14ac:dyDescent="0.25">
      <c r="B60" s="2">
        <v>14</v>
      </c>
      <c r="C60" s="41" t="s">
        <v>516</v>
      </c>
      <c r="D60" s="263">
        <f t="shared" si="9"/>
        <v>0.2196054855</v>
      </c>
      <c r="E60" s="263">
        <f t="shared" si="9"/>
        <v>0.38585574539999995</v>
      </c>
      <c r="F60" s="263">
        <f t="shared" si="9"/>
        <v>0.23682036419999997</v>
      </c>
      <c r="G60" s="263">
        <f t="shared" si="9"/>
        <v>0.34803000000000006</v>
      </c>
      <c r="H60" s="2"/>
      <c r="I60" s="2"/>
      <c r="J60" s="265">
        <f t="shared" si="10"/>
        <v>0.40489685454423519</v>
      </c>
      <c r="K60" s="265">
        <f t="shared" ca="1" si="10"/>
        <v>0.46057899921873791</v>
      </c>
      <c r="L60" s="265">
        <f t="shared" ca="1" si="10"/>
        <v>0.4832855438802216</v>
      </c>
      <c r="M60" s="265">
        <f t="shared" ca="1" si="10"/>
        <v>0.49084355671360391</v>
      </c>
      <c r="N60" s="265">
        <f t="shared" ca="1" si="10"/>
        <v>0.51504214405958448</v>
      </c>
      <c r="O60" s="265">
        <f t="shared" ca="1" si="10"/>
        <v>0.540433721761722</v>
      </c>
    </row>
    <row r="61" spans="2:15" hidden="1" x14ac:dyDescent="0.25">
      <c r="B61" s="2">
        <v>15</v>
      </c>
      <c r="C61" s="41" t="s">
        <v>517</v>
      </c>
      <c r="D61" s="263">
        <f t="shared" si="9"/>
        <v>0</v>
      </c>
      <c r="E61" s="263">
        <f t="shared" si="9"/>
        <v>0</v>
      </c>
      <c r="F61" s="263">
        <f t="shared" si="9"/>
        <v>0</v>
      </c>
      <c r="G61" s="263">
        <f t="shared" si="9"/>
        <v>0</v>
      </c>
      <c r="H61" s="2"/>
      <c r="I61" s="2"/>
      <c r="J61" s="265">
        <f t="shared" si="10"/>
        <v>0</v>
      </c>
      <c r="K61" s="265">
        <f t="shared" ca="1" si="10"/>
        <v>0</v>
      </c>
      <c r="L61" s="265">
        <f t="shared" ca="1" si="10"/>
        <v>0</v>
      </c>
      <c r="M61" s="265">
        <f t="shared" ca="1" si="10"/>
        <v>0</v>
      </c>
      <c r="N61" s="265">
        <f t="shared" ca="1" si="10"/>
        <v>0</v>
      </c>
      <c r="O61" s="265">
        <f t="shared" ca="1" si="10"/>
        <v>0</v>
      </c>
    </row>
    <row r="62" spans="2:15" hidden="1" x14ac:dyDescent="0.25">
      <c r="B62" s="2">
        <v>16</v>
      </c>
      <c r="C62" s="40" t="s">
        <v>518</v>
      </c>
      <c r="D62" s="263">
        <f t="shared" si="9"/>
        <v>0</v>
      </c>
      <c r="E62" s="263">
        <f t="shared" si="9"/>
        <v>0</v>
      </c>
      <c r="F62" s="263">
        <f t="shared" si="9"/>
        <v>0</v>
      </c>
      <c r="G62" s="263">
        <f t="shared" si="9"/>
        <v>0</v>
      </c>
      <c r="H62" s="2"/>
      <c r="I62" s="2"/>
      <c r="J62" s="265">
        <f t="shared" si="10"/>
        <v>0</v>
      </c>
      <c r="K62" s="265">
        <f t="shared" ca="1" si="10"/>
        <v>0</v>
      </c>
      <c r="L62" s="265">
        <f t="shared" ca="1" si="10"/>
        <v>0</v>
      </c>
      <c r="M62" s="265">
        <f t="shared" ca="1" si="10"/>
        <v>0</v>
      </c>
      <c r="N62" s="265">
        <f t="shared" ca="1" si="10"/>
        <v>0</v>
      </c>
      <c r="O62" s="265">
        <f t="shared" ca="1" si="10"/>
        <v>0</v>
      </c>
    </row>
    <row r="63" spans="2:15" hidden="1" x14ac:dyDescent="0.25">
      <c r="B63" s="2">
        <v>17</v>
      </c>
      <c r="C63" s="40" t="s">
        <v>519</v>
      </c>
      <c r="D63" s="263">
        <f t="shared" si="9"/>
        <v>5.3500933799999997</v>
      </c>
      <c r="E63" s="263">
        <f t="shared" si="9"/>
        <v>0.46984500000000001</v>
      </c>
      <c r="F63" s="263">
        <f t="shared" si="9"/>
        <v>3.0026425500000005</v>
      </c>
      <c r="G63" s="263">
        <f t="shared" si="9"/>
        <v>3.6137700000000001</v>
      </c>
      <c r="H63" s="2"/>
      <c r="I63" s="2"/>
      <c r="J63" s="265">
        <f t="shared" si="10"/>
        <v>4.2042470650412911</v>
      </c>
      <c r="K63" s="265">
        <f t="shared" ca="1" si="10"/>
        <v>4.7824226934652128</v>
      </c>
      <c r="L63" s="265">
        <f t="shared" ca="1" si="10"/>
        <v>5.0181961322530473</v>
      </c>
      <c r="M63" s="265">
        <f t="shared" ca="1" si="10"/>
        <v>5.0966747692581675</v>
      </c>
      <c r="N63" s="265">
        <f t="shared" ca="1" si="10"/>
        <v>5.3479408353825955</v>
      </c>
      <c r="O63" s="265">
        <f t="shared" ca="1" si="10"/>
        <v>5.6115943185669561</v>
      </c>
    </row>
    <row r="64" spans="2:15" hidden="1" x14ac:dyDescent="0.25">
      <c r="B64" s="2">
        <v>18</v>
      </c>
      <c r="C64" s="41" t="s">
        <v>520</v>
      </c>
      <c r="D64" s="263">
        <f t="shared" ref="D64:G74" si="11">90%*D27</f>
        <v>1.109436039</v>
      </c>
      <c r="E64" s="263">
        <f t="shared" si="11"/>
        <v>0.98205350489999998</v>
      </c>
      <c r="F64" s="263">
        <f t="shared" si="11"/>
        <v>1.0859582781000001</v>
      </c>
      <c r="G64" s="263">
        <f t="shared" si="11"/>
        <v>1.20906</v>
      </c>
      <c r="H64" s="2"/>
      <c r="I64" s="2"/>
      <c r="J64" s="265">
        <f t="shared" ref="J64:O74" si="12">90%*J27</f>
        <v>1.4066160703251243</v>
      </c>
      <c r="K64" s="265">
        <f t="shared" ca="1" si="12"/>
        <v>1.6000564456955066</v>
      </c>
      <c r="L64" s="265">
        <f t="shared" ca="1" si="12"/>
        <v>1.6789392284682947</v>
      </c>
      <c r="M64" s="265">
        <f t="shared" ca="1" si="12"/>
        <v>1.705195847140045</v>
      </c>
      <c r="N64" s="265">
        <f t="shared" ca="1" si="12"/>
        <v>1.7892620024040491</v>
      </c>
      <c r="O64" s="265">
        <f t="shared" ca="1" si="12"/>
        <v>1.8774726191225684</v>
      </c>
    </row>
    <row r="65" spans="2:15" hidden="1" x14ac:dyDescent="0.25">
      <c r="B65" s="2">
        <v>19</v>
      </c>
      <c r="C65" s="41" t="s">
        <v>521</v>
      </c>
      <c r="D65" s="263">
        <f t="shared" si="11"/>
        <v>8.7868308968999997</v>
      </c>
      <c r="E65" s="263">
        <f t="shared" si="11"/>
        <v>8.470131671699999</v>
      </c>
      <c r="F65" s="263">
        <f t="shared" si="11"/>
        <v>12.0916131885</v>
      </c>
      <c r="G65" s="263">
        <f t="shared" si="11"/>
        <v>15.11505</v>
      </c>
      <c r="H65" s="2"/>
      <c r="I65" s="2"/>
      <c r="J65" s="265">
        <f t="shared" si="12"/>
        <v>17.584794992612249</v>
      </c>
      <c r="K65" s="265">
        <f t="shared" ca="1" si="12"/>
        <v>20.003087671008771</v>
      </c>
      <c r="L65" s="265">
        <f t="shared" ca="1" si="12"/>
        <v>20.989239893189499</v>
      </c>
      <c r="M65" s="265">
        <f t="shared" ca="1" si="12"/>
        <v>21.317486716386394</v>
      </c>
      <c r="N65" s="265">
        <f t="shared" ca="1" si="12"/>
        <v>22.368438811504241</v>
      </c>
      <c r="O65" s="265">
        <f t="shared" ca="1" si="12"/>
        <v>23.471202844911399</v>
      </c>
    </row>
    <row r="66" spans="2:15" hidden="1" x14ac:dyDescent="0.25">
      <c r="B66" s="2">
        <v>20</v>
      </c>
      <c r="C66" s="41" t="s">
        <v>522</v>
      </c>
      <c r="D66" s="263">
        <f t="shared" si="11"/>
        <v>0</v>
      </c>
      <c r="E66" s="263">
        <f t="shared" si="11"/>
        <v>0</v>
      </c>
      <c r="F66" s="263">
        <f t="shared" si="11"/>
        <v>0</v>
      </c>
      <c r="G66" s="263">
        <f t="shared" si="11"/>
        <v>0</v>
      </c>
      <c r="H66" s="2"/>
      <c r="I66" s="2"/>
      <c r="J66" s="265">
        <f t="shared" si="12"/>
        <v>0</v>
      </c>
      <c r="K66" s="265">
        <f t="shared" ca="1" si="12"/>
        <v>0</v>
      </c>
      <c r="L66" s="265">
        <f t="shared" ca="1" si="12"/>
        <v>0</v>
      </c>
      <c r="M66" s="265">
        <f t="shared" ca="1" si="12"/>
        <v>0</v>
      </c>
      <c r="N66" s="265">
        <f t="shared" ca="1" si="12"/>
        <v>0</v>
      </c>
      <c r="O66" s="265">
        <f t="shared" ca="1" si="12"/>
        <v>0</v>
      </c>
    </row>
    <row r="67" spans="2:15" hidden="1" x14ac:dyDescent="0.25">
      <c r="B67" s="2">
        <v>21</v>
      </c>
      <c r="C67" s="41" t="s">
        <v>523</v>
      </c>
      <c r="D67" s="263">
        <f t="shared" si="11"/>
        <v>0</v>
      </c>
      <c r="E67" s="263">
        <f t="shared" si="11"/>
        <v>0</v>
      </c>
      <c r="F67" s="263">
        <f t="shared" si="11"/>
        <v>0</v>
      </c>
      <c r="G67" s="263">
        <f t="shared" si="11"/>
        <v>0</v>
      </c>
      <c r="H67" s="2"/>
      <c r="I67" s="2"/>
      <c r="J67" s="265">
        <f t="shared" si="12"/>
        <v>0</v>
      </c>
      <c r="K67" s="265">
        <f t="shared" ca="1" si="12"/>
        <v>0</v>
      </c>
      <c r="L67" s="265">
        <f t="shared" ca="1" si="12"/>
        <v>0</v>
      </c>
      <c r="M67" s="265">
        <f t="shared" ca="1" si="12"/>
        <v>0</v>
      </c>
      <c r="N67" s="265">
        <f t="shared" ca="1" si="12"/>
        <v>0</v>
      </c>
      <c r="O67" s="265">
        <f t="shared" ca="1" si="12"/>
        <v>0</v>
      </c>
    </row>
    <row r="68" spans="2:15" hidden="1" x14ac:dyDescent="0.25">
      <c r="B68" s="2">
        <v>22</v>
      </c>
      <c r="C68" s="41" t="s">
        <v>524</v>
      </c>
      <c r="D68" s="263">
        <f t="shared" si="11"/>
        <v>0</v>
      </c>
      <c r="E68" s="263">
        <f t="shared" si="11"/>
        <v>0</v>
      </c>
      <c r="F68" s="263">
        <f t="shared" si="11"/>
        <v>0</v>
      </c>
      <c r="G68" s="263">
        <f t="shared" si="11"/>
        <v>0</v>
      </c>
      <c r="H68" s="2"/>
      <c r="I68" s="2"/>
      <c r="J68" s="265">
        <f t="shared" si="12"/>
        <v>0</v>
      </c>
      <c r="K68" s="265">
        <f t="shared" ca="1" si="12"/>
        <v>0</v>
      </c>
      <c r="L68" s="265">
        <f t="shared" ca="1" si="12"/>
        <v>0</v>
      </c>
      <c r="M68" s="265">
        <f t="shared" ca="1" si="12"/>
        <v>0</v>
      </c>
      <c r="N68" s="265">
        <f t="shared" ca="1" si="12"/>
        <v>0</v>
      </c>
      <c r="O68" s="265">
        <f t="shared" ca="1" si="12"/>
        <v>0</v>
      </c>
    </row>
    <row r="69" spans="2:15" hidden="1" x14ac:dyDescent="0.25">
      <c r="B69" s="2">
        <v>23</v>
      </c>
      <c r="C69" s="41" t="s">
        <v>525</v>
      </c>
      <c r="D69" s="263">
        <f t="shared" si="11"/>
        <v>0</v>
      </c>
      <c r="E69" s="263">
        <f t="shared" si="11"/>
        <v>0</v>
      </c>
      <c r="F69" s="263">
        <f t="shared" si="11"/>
        <v>0</v>
      </c>
      <c r="G69" s="263">
        <f t="shared" si="11"/>
        <v>0</v>
      </c>
      <c r="H69" s="2"/>
      <c r="I69" s="2"/>
      <c r="J69" s="265">
        <f t="shared" si="12"/>
        <v>0</v>
      </c>
      <c r="K69" s="265">
        <f t="shared" ca="1" si="12"/>
        <v>0</v>
      </c>
      <c r="L69" s="265">
        <f t="shared" ca="1" si="12"/>
        <v>0</v>
      </c>
      <c r="M69" s="265">
        <f t="shared" ca="1" si="12"/>
        <v>0</v>
      </c>
      <c r="N69" s="265">
        <f t="shared" ca="1" si="12"/>
        <v>0</v>
      </c>
      <c r="O69" s="265">
        <f t="shared" ca="1" si="12"/>
        <v>0</v>
      </c>
    </row>
    <row r="70" spans="2:15" hidden="1" x14ac:dyDescent="0.25">
      <c r="B70" s="2">
        <v>24</v>
      </c>
      <c r="C70" s="41" t="s">
        <v>526</v>
      </c>
      <c r="D70" s="263">
        <f t="shared" si="11"/>
        <v>4.0264380000000002E-2</v>
      </c>
      <c r="E70" s="263">
        <f t="shared" si="11"/>
        <v>0.58422208409999998</v>
      </c>
      <c r="F70" s="263">
        <f t="shared" si="11"/>
        <v>0.38172145229999993</v>
      </c>
      <c r="G70" s="263">
        <f t="shared" si="11"/>
        <v>0</v>
      </c>
      <c r="H70" s="2"/>
      <c r="I70" s="2"/>
      <c r="J70" s="265">
        <f t="shared" si="12"/>
        <v>0</v>
      </c>
      <c r="K70" s="265">
        <f t="shared" ca="1" si="12"/>
        <v>0</v>
      </c>
      <c r="L70" s="265">
        <f t="shared" ca="1" si="12"/>
        <v>0</v>
      </c>
      <c r="M70" s="265">
        <f t="shared" ca="1" si="12"/>
        <v>0</v>
      </c>
      <c r="N70" s="265">
        <f t="shared" ca="1" si="12"/>
        <v>0</v>
      </c>
      <c r="O70" s="265">
        <f t="shared" ca="1" si="12"/>
        <v>0</v>
      </c>
    </row>
    <row r="71" spans="2:15" hidden="1" x14ac:dyDescent="0.25">
      <c r="B71" s="2">
        <v>25</v>
      </c>
      <c r="C71" s="41" t="s">
        <v>527</v>
      </c>
      <c r="D71" s="263">
        <f t="shared" si="11"/>
        <v>4.9245529356000004</v>
      </c>
      <c r="E71" s="263">
        <f t="shared" si="11"/>
        <v>33.644629185300005</v>
      </c>
      <c r="F71" s="263">
        <f t="shared" si="11"/>
        <v>42.392794751100006</v>
      </c>
      <c r="G71" s="263">
        <f t="shared" si="11"/>
        <v>28.689209999999999</v>
      </c>
      <c r="H71" s="2"/>
      <c r="I71" s="2"/>
      <c r="J71" s="265">
        <f t="shared" si="12"/>
        <v>33.376924082288937</v>
      </c>
      <c r="K71" s="265">
        <f t="shared" ca="1" si="12"/>
        <v>37.966978795437768</v>
      </c>
      <c r="L71" s="265">
        <f t="shared" ca="1" si="12"/>
        <v>39.838750850052847</v>
      </c>
      <c r="M71" s="265">
        <f t="shared" ca="1" si="12"/>
        <v>40.461781673141665</v>
      </c>
      <c r="N71" s="265">
        <f t="shared" ca="1" si="12"/>
        <v>42.456547509627541</v>
      </c>
      <c r="O71" s="265">
        <f t="shared" ca="1" si="12"/>
        <v>44.549655301852177</v>
      </c>
    </row>
    <row r="72" spans="2:15" hidden="1" x14ac:dyDescent="0.25">
      <c r="B72" s="2">
        <v>26</v>
      </c>
      <c r="C72" s="41" t="s">
        <v>528</v>
      </c>
      <c r="D72" s="263">
        <f t="shared" si="11"/>
        <v>9.8931250341000005</v>
      </c>
      <c r="E72" s="263">
        <f t="shared" si="11"/>
        <v>10.000507563900001</v>
      </c>
      <c r="F72" s="263">
        <f t="shared" si="11"/>
        <v>9.6769906929000005</v>
      </c>
      <c r="G72" s="263">
        <f t="shared" si="11"/>
        <v>10.496700000000002</v>
      </c>
      <c r="H72" s="2"/>
      <c r="I72" s="2"/>
      <c r="J72" s="265">
        <f t="shared" si="12"/>
        <v>12.211823156321218</v>
      </c>
      <c r="K72" s="265">
        <f t="shared" ca="1" si="12"/>
        <v>13.891215070825291</v>
      </c>
      <c r="L72" s="265">
        <f t="shared" ca="1" si="12"/>
        <v>14.576051973816977</v>
      </c>
      <c r="M72" s="265">
        <f t="shared" ca="1" si="12"/>
        <v>14.804004142618989</v>
      </c>
      <c r="N72" s="265">
        <f t="shared" ca="1" si="12"/>
        <v>15.533841546850105</v>
      </c>
      <c r="O72" s="265">
        <f t="shared" ca="1" si="12"/>
        <v>16.299659935109812</v>
      </c>
    </row>
    <row r="73" spans="2:15" hidden="1" x14ac:dyDescent="0.25">
      <c r="B73" s="2">
        <v>27</v>
      </c>
      <c r="C73" s="41" t="s">
        <v>529</v>
      </c>
      <c r="D73" s="263">
        <f t="shared" si="11"/>
        <v>0</v>
      </c>
      <c r="E73" s="263">
        <f t="shared" si="11"/>
        <v>0</v>
      </c>
      <c r="F73" s="263">
        <f t="shared" si="11"/>
        <v>0</v>
      </c>
      <c r="G73" s="263">
        <f t="shared" si="11"/>
        <v>0</v>
      </c>
      <c r="H73" s="2"/>
      <c r="I73" s="2"/>
      <c r="J73" s="265">
        <f t="shared" si="12"/>
        <v>0</v>
      </c>
      <c r="K73" s="265">
        <f t="shared" ca="1" si="12"/>
        <v>0</v>
      </c>
      <c r="L73" s="265">
        <f t="shared" ca="1" si="12"/>
        <v>0</v>
      </c>
      <c r="M73" s="265">
        <f t="shared" ca="1" si="12"/>
        <v>0</v>
      </c>
      <c r="N73" s="265">
        <f t="shared" ca="1" si="12"/>
        <v>0</v>
      </c>
      <c r="O73" s="265">
        <f t="shared" ca="1" si="12"/>
        <v>0</v>
      </c>
    </row>
    <row r="74" spans="2:15" hidden="1" x14ac:dyDescent="0.25">
      <c r="B74" s="2">
        <v>28</v>
      </c>
      <c r="C74" s="41" t="s">
        <v>498</v>
      </c>
      <c r="D74" s="263">
        <f t="shared" si="11"/>
        <v>148.40023059449999</v>
      </c>
      <c r="E74" s="263">
        <f t="shared" si="11"/>
        <v>22.4216070246</v>
      </c>
      <c r="F74" s="263">
        <f t="shared" si="11"/>
        <v>25.060230000000001</v>
      </c>
      <c r="G74" s="263">
        <f t="shared" si="11"/>
        <v>104.23944</v>
      </c>
      <c r="H74" s="2"/>
      <c r="I74" s="2"/>
      <c r="J74" s="265">
        <f t="shared" si="12"/>
        <v>121.27179086703022</v>
      </c>
      <c r="K74" s="265">
        <f t="shared" ca="1" si="12"/>
        <v>137.94930596305397</v>
      </c>
      <c r="L74" s="265">
        <f t="shared" ca="1" si="12"/>
        <v>144.75020674703248</v>
      </c>
      <c r="M74" s="265">
        <f t="shared" ca="1" si="12"/>
        <v>147.01392833788555</v>
      </c>
      <c r="N74" s="265">
        <f t="shared" ca="1" si="12"/>
        <v>154.26171500494328</v>
      </c>
      <c r="O74" s="265">
        <f t="shared" ca="1" si="12"/>
        <v>161.86681755468697</v>
      </c>
    </row>
    <row r="75" spans="2:15" x14ac:dyDescent="0.25">
      <c r="B75" s="2">
        <v>29</v>
      </c>
      <c r="C75" s="42" t="s">
        <v>530</v>
      </c>
      <c r="D75" s="97">
        <f>D38*0.9</f>
        <v>220.45699372050001</v>
      </c>
      <c r="E75" s="97">
        <f t="shared" ref="E75:J76" si="13">E38*0.9</f>
        <v>117.0282423852</v>
      </c>
      <c r="F75" s="97">
        <f t="shared" si="13"/>
        <v>133.9861256991</v>
      </c>
      <c r="G75" s="97">
        <f t="shared" si="13"/>
        <v>213.37353000000002</v>
      </c>
      <c r="H75" s="97">
        <f t="shared" si="13"/>
        <v>0</v>
      </c>
      <c r="I75" s="97">
        <f t="shared" si="13"/>
        <v>0</v>
      </c>
      <c r="J75" s="97">
        <f>SUM(J47:J74)</f>
        <v>248.238</v>
      </c>
      <c r="K75" s="97">
        <f ca="1">K38*90%</f>
        <v>282.37613684788477</v>
      </c>
      <c r="L75" s="97">
        <f ca="1">L38*90%</f>
        <v>296.29728039448543</v>
      </c>
      <c r="M75" s="97">
        <f t="shared" ref="M75:O75" ca="1" si="14">SUM(M47:M74)</f>
        <v>300.93101851488916</v>
      </c>
      <c r="N75" s="97">
        <f t="shared" ca="1" si="14"/>
        <v>315.7669177276731</v>
      </c>
      <c r="O75" s="97">
        <f t="shared" ca="1" si="14"/>
        <v>331.33422677164737</v>
      </c>
    </row>
    <row r="76" spans="2:15" x14ac:dyDescent="0.25">
      <c r="B76" s="2">
        <v>30</v>
      </c>
      <c r="C76" s="32" t="s">
        <v>500</v>
      </c>
      <c r="D76" s="92">
        <f>D39*0.9</f>
        <v>7.8838088399999995</v>
      </c>
      <c r="E76" s="92">
        <f t="shared" si="13"/>
        <v>6.1172893683000007</v>
      </c>
      <c r="F76" s="92">
        <f t="shared" si="13"/>
        <v>6.3855930933000007</v>
      </c>
      <c r="G76" s="92">
        <f t="shared" si="13"/>
        <v>6.8449499999999999</v>
      </c>
      <c r="H76" s="92">
        <f t="shared" si="13"/>
        <v>0</v>
      </c>
      <c r="I76" s="92">
        <f t="shared" si="13"/>
        <v>0</v>
      </c>
      <c r="J76" s="92">
        <f t="shared" si="13"/>
        <v>7.963390295412931</v>
      </c>
      <c r="K76" s="99">
        <f t="shared" ref="K76:L77" ca="1" si="15">K39*90%</f>
        <v>9.0585300712648316</v>
      </c>
      <c r="L76" s="99">
        <f t="shared" ca="1" si="15"/>
        <v>9.5051156037781865</v>
      </c>
      <c r="M76" s="92">
        <f t="shared" ref="M76:O76" si="16">M39*0.9</f>
        <v>9.6537643407947087</v>
      </c>
      <c r="N76" s="92">
        <f t="shared" si="16"/>
        <v>10.129694922795888</v>
      </c>
      <c r="O76" s="92">
        <f t="shared" si="16"/>
        <v>10.629088882489723</v>
      </c>
    </row>
    <row r="77" spans="2:15" x14ac:dyDescent="0.25">
      <c r="B77" s="2">
        <v>31</v>
      </c>
      <c r="C77" s="10" t="s">
        <v>531</v>
      </c>
      <c r="D77" s="97">
        <f>D75-D76</f>
        <v>212.57318488050001</v>
      </c>
      <c r="E77" s="97">
        <f>E75-E76</f>
        <v>110.9109530169</v>
      </c>
      <c r="F77" s="97">
        <f>F75-F76</f>
        <v>127.6005326058</v>
      </c>
      <c r="G77" s="97">
        <f>G75-G76</f>
        <v>206.52858000000001</v>
      </c>
      <c r="H77" s="97">
        <f t="shared" ref="H77:J77" si="17">H75-H76</f>
        <v>0</v>
      </c>
      <c r="I77" s="97">
        <f t="shared" si="17"/>
        <v>0</v>
      </c>
      <c r="J77" s="97">
        <f t="shared" si="17"/>
        <v>240.27460970458708</v>
      </c>
      <c r="K77" s="97">
        <f t="shared" si="15"/>
        <v>273.31760677661998</v>
      </c>
      <c r="L77" s="97">
        <f t="shared" si="15"/>
        <v>286.79216479070726</v>
      </c>
      <c r="M77" s="97">
        <f t="shared" ref="M77:O77" ca="1" si="18">M75-M76</f>
        <v>291.27725417409442</v>
      </c>
      <c r="N77" s="97">
        <f t="shared" ca="1" si="18"/>
        <v>305.63722280487724</v>
      </c>
      <c r="O77" s="97">
        <f t="shared" ca="1" si="18"/>
        <v>320.70513788915764</v>
      </c>
    </row>
    <row r="79" spans="2:15" x14ac:dyDescent="0.25">
      <c r="B79" s="26" t="s">
        <v>158</v>
      </c>
    </row>
    <row r="80" spans="2:15" x14ac:dyDescent="0.25">
      <c r="L80" s="16" t="s">
        <v>1215</v>
      </c>
      <c r="O80" s="16" t="s">
        <v>3</v>
      </c>
    </row>
    <row r="81" spans="2:16" ht="13.95" customHeight="1" x14ac:dyDescent="0.25">
      <c r="B81" s="729" t="s">
        <v>4</v>
      </c>
      <c r="C81" s="760" t="s">
        <v>5</v>
      </c>
      <c r="D81" s="435" t="s">
        <v>222</v>
      </c>
      <c r="E81" s="435" t="s">
        <v>223</v>
      </c>
      <c r="F81" s="435" t="s">
        <v>224</v>
      </c>
      <c r="G81" s="435" t="s">
        <v>7</v>
      </c>
      <c r="H81" s="729" t="s">
        <v>8</v>
      </c>
      <c r="I81" s="729"/>
      <c r="J81" s="729"/>
      <c r="K81" s="768" t="s">
        <v>9</v>
      </c>
      <c r="L81" s="768"/>
      <c r="M81" s="768"/>
      <c r="N81" s="768"/>
      <c r="O81" s="768"/>
      <c r="P81" s="445"/>
    </row>
    <row r="82" spans="2:16" x14ac:dyDescent="0.25">
      <c r="B82" s="729"/>
      <c r="C82" s="760"/>
      <c r="D82" s="435" t="s">
        <v>11</v>
      </c>
      <c r="E82" s="435" t="s">
        <v>11</v>
      </c>
      <c r="F82" s="435" t="s">
        <v>11</v>
      </c>
      <c r="G82" s="435" t="s">
        <v>11</v>
      </c>
      <c r="H82" s="435" t="s">
        <v>13</v>
      </c>
      <c r="I82" s="435" t="s">
        <v>14</v>
      </c>
      <c r="J82" s="435" t="s">
        <v>15</v>
      </c>
      <c r="K82" s="435" t="s">
        <v>16</v>
      </c>
      <c r="L82" s="435" t="s">
        <v>17</v>
      </c>
      <c r="M82" s="435" t="s">
        <v>18</v>
      </c>
      <c r="N82" s="435" t="s">
        <v>19</v>
      </c>
      <c r="O82" s="435" t="s">
        <v>20</v>
      </c>
    </row>
    <row r="83" spans="2:16" x14ac:dyDescent="0.25">
      <c r="B83" s="729"/>
      <c r="C83" s="760"/>
      <c r="D83" s="435" t="s">
        <v>22</v>
      </c>
      <c r="E83" s="435" t="s">
        <v>22</v>
      </c>
      <c r="F83" s="435" t="s">
        <v>22</v>
      </c>
      <c r="G83" s="435" t="s">
        <v>22</v>
      </c>
      <c r="H83" s="435" t="s">
        <v>24</v>
      </c>
      <c r="I83" s="435" t="s">
        <v>25</v>
      </c>
      <c r="J83" s="435" t="s">
        <v>25</v>
      </c>
      <c r="K83" s="435" t="s">
        <v>26</v>
      </c>
      <c r="L83" s="435" t="s">
        <v>26</v>
      </c>
      <c r="M83" s="435" t="s">
        <v>26</v>
      </c>
      <c r="N83" s="435" t="s">
        <v>26</v>
      </c>
      <c r="O83" s="435" t="s">
        <v>26</v>
      </c>
    </row>
    <row r="84" spans="2:16" hidden="1" x14ac:dyDescent="0.25">
      <c r="B84" s="2">
        <v>1</v>
      </c>
      <c r="C84" s="40" t="s">
        <v>503</v>
      </c>
      <c r="D84" s="263">
        <f>10%*D10</f>
        <v>0.39417774</v>
      </c>
      <c r="E84" s="263">
        <f t="shared" ref="E84:G84" si="19">10%*E10</f>
        <v>0.1888782296</v>
      </c>
      <c r="F84" s="263">
        <f t="shared" si="19"/>
        <v>0.110967172</v>
      </c>
      <c r="G84" s="263">
        <f t="shared" si="19"/>
        <v>0.12597</v>
      </c>
      <c r="H84" s="2"/>
      <c r="I84" s="2"/>
      <c r="J84" s="265">
        <f>10%*J10</f>
        <v>0.14655304648144502</v>
      </c>
      <c r="K84" s="265">
        <f t="shared" ref="K84:O84" ca="1" si="20">10%*K10</f>
        <v>0.16670728538224985</v>
      </c>
      <c r="L84" s="265">
        <f t="shared" ca="1" si="20"/>
        <v>0.17492595455159474</v>
      </c>
      <c r="M84" s="265">
        <f t="shared" ca="1" si="20"/>
        <v>0.17766158905615231</v>
      </c>
      <c r="N84" s="265">
        <f t="shared" ca="1" si="20"/>
        <v>0.18642030539662061</v>
      </c>
      <c r="O84" s="265">
        <f t="shared" ca="1" si="20"/>
        <v>0.195610826452674</v>
      </c>
    </row>
    <row r="85" spans="2:16" hidden="1" x14ac:dyDescent="0.25">
      <c r="B85" s="2">
        <v>2</v>
      </c>
      <c r="C85" s="41" t="s">
        <v>504</v>
      </c>
      <c r="D85" s="263">
        <f t="shared" ref="D85:G100" si="21">10%*D11</f>
        <v>8.3035411000000007E-3</v>
      </c>
      <c r="E85" s="263">
        <f t="shared" si="21"/>
        <v>7.6063656000000014E-3</v>
      </c>
      <c r="F85" s="263">
        <f t="shared" si="21"/>
        <v>6.0987412000000005E-3</v>
      </c>
      <c r="G85" s="263">
        <f t="shared" si="21"/>
        <v>5.3899999999999998E-3</v>
      </c>
      <c r="H85" s="2"/>
      <c r="I85" s="2"/>
      <c r="J85" s="265">
        <f t="shared" ref="J85:O100" si="22">10%*J11</f>
        <v>6.2707066804396959E-3</v>
      </c>
      <c r="K85" s="265">
        <f t="shared" ca="1" si="22"/>
        <v>7.1330655569605984E-3</v>
      </c>
      <c r="L85" s="265">
        <f t="shared" ca="1" si="22"/>
        <v>7.4847256889187547E-3</v>
      </c>
      <c r="M85" s="265">
        <f t="shared" ca="1" si="22"/>
        <v>7.6017779234155815E-3</v>
      </c>
      <c r="N85" s="265">
        <f t="shared" ca="1" si="22"/>
        <v>7.9765455750399703E-3</v>
      </c>
      <c r="O85" s="265">
        <f t="shared" ca="1" si="22"/>
        <v>8.3697892718894405E-3</v>
      </c>
    </row>
    <row r="86" spans="2:16" hidden="1" x14ac:dyDescent="0.25">
      <c r="B86" s="2">
        <v>3</v>
      </c>
      <c r="C86" s="41" t="s">
        <v>505</v>
      </c>
      <c r="D86" s="263">
        <f t="shared" si="21"/>
        <v>0.17746594140000002</v>
      </c>
      <c r="E86" s="263">
        <f t="shared" si="21"/>
        <v>0.28063642940000005</v>
      </c>
      <c r="F86" s="263">
        <f t="shared" si="21"/>
        <v>0.39287833530000005</v>
      </c>
      <c r="G86" s="263">
        <f t="shared" si="21"/>
        <v>0.40922999999999998</v>
      </c>
      <c r="H86" s="2"/>
      <c r="I86" s="2"/>
      <c r="J86" s="265">
        <f t="shared" si="22"/>
        <v>0.4760967151829939</v>
      </c>
      <c r="K86" s="265">
        <f t="shared" ca="1" si="22"/>
        <v>0.5415703929267135</v>
      </c>
      <c r="L86" s="265">
        <f t="shared" ca="1" si="22"/>
        <v>0.5682698132980003</v>
      </c>
      <c r="M86" s="265">
        <f t="shared" ca="1" si="22"/>
        <v>0.57715687933197746</v>
      </c>
      <c r="N86" s="265">
        <f t="shared" ca="1" si="22"/>
        <v>0.60561071348304396</v>
      </c>
      <c r="O86" s="265">
        <f t="shared" ca="1" si="22"/>
        <v>0.63546732165775799</v>
      </c>
    </row>
    <row r="87" spans="2:16" hidden="1" x14ac:dyDescent="0.25">
      <c r="B87" s="2">
        <v>4</v>
      </c>
      <c r="C87" s="41" t="s">
        <v>506</v>
      </c>
      <c r="D87" s="263">
        <f t="shared" si="21"/>
        <v>6.5598690000000001E-2</v>
      </c>
      <c r="E87" s="263">
        <f t="shared" si="21"/>
        <v>9.1303450000000008E-2</v>
      </c>
      <c r="F87" s="263">
        <f t="shared" si="21"/>
        <v>0.10695046499999999</v>
      </c>
      <c r="G87" s="263">
        <f t="shared" si="21"/>
        <v>0.29282999999999998</v>
      </c>
      <c r="H87" s="2"/>
      <c r="I87" s="2"/>
      <c r="J87" s="265">
        <f t="shared" si="22"/>
        <v>0.34067737239947238</v>
      </c>
      <c r="K87" s="265">
        <f t="shared" ca="1" si="22"/>
        <v>0.38752793822723036</v>
      </c>
      <c r="L87" s="265">
        <f t="shared" ca="1" si="22"/>
        <v>0.40663306558183276</v>
      </c>
      <c r="M87" s="265">
        <f t="shared" ca="1" si="22"/>
        <v>0.41299232454801199</v>
      </c>
      <c r="N87" s="265">
        <f t="shared" ca="1" si="22"/>
        <v>0.43335284614822894</v>
      </c>
      <c r="O87" s="265">
        <f t="shared" ca="1" si="22"/>
        <v>0.45471714146333658</v>
      </c>
    </row>
    <row r="88" spans="2:16" hidden="1" x14ac:dyDescent="0.25">
      <c r="B88" s="2">
        <v>5</v>
      </c>
      <c r="C88" s="41" t="s">
        <v>507</v>
      </c>
      <c r="D88" s="263">
        <f t="shared" si="21"/>
        <v>1.8519370230000001</v>
      </c>
      <c r="E88" s="263">
        <f t="shared" si="21"/>
        <v>1.5339109592</v>
      </c>
      <c r="F88" s="263">
        <f t="shared" si="21"/>
        <v>1.6915769745</v>
      </c>
      <c r="G88" s="263">
        <f t="shared" si="21"/>
        <v>2.3045900000000006</v>
      </c>
      <c r="H88" s="2"/>
      <c r="I88" s="2"/>
      <c r="J88" s="265">
        <f t="shared" si="22"/>
        <v>2.6811517455796885</v>
      </c>
      <c r="K88" s="265">
        <f t="shared" ca="1" si="22"/>
        <v>3.0498685625075748</v>
      </c>
      <c r="L88" s="265">
        <f t="shared" ca="1" si="22"/>
        <v>3.2002270826391972</v>
      </c>
      <c r="M88" s="265">
        <f t="shared" ca="1" si="22"/>
        <v>3.2502748394293719</v>
      </c>
      <c r="N88" s="265">
        <f t="shared" ca="1" si="22"/>
        <v>3.4105133890132402</v>
      </c>
      <c r="O88" s="265">
        <f t="shared" ca="1" si="22"/>
        <v>3.5786516990915924</v>
      </c>
    </row>
    <row r="89" spans="2:16" hidden="1" x14ac:dyDescent="0.25">
      <c r="B89" s="2">
        <v>6</v>
      </c>
      <c r="C89" s="41" t="s">
        <v>508</v>
      </c>
      <c r="D89" s="263">
        <f t="shared" si="21"/>
        <v>1.38700333</v>
      </c>
      <c r="E89" s="263">
        <f t="shared" si="21"/>
        <v>1.5590052999999999</v>
      </c>
      <c r="F89" s="263">
        <f t="shared" si="21"/>
        <v>1.3860336450000001</v>
      </c>
      <c r="G89" s="263">
        <f t="shared" si="21"/>
        <v>1.4048400000000001</v>
      </c>
      <c r="H89" s="2"/>
      <c r="I89" s="2"/>
      <c r="J89" s="265">
        <f t="shared" si="22"/>
        <v>1.6343858205842121</v>
      </c>
      <c r="K89" s="265">
        <f t="shared" ca="1" si="22"/>
        <v>1.8591495022338642</v>
      </c>
      <c r="L89" s="265">
        <f t="shared" ca="1" si="22"/>
        <v>1.9508055726939935</v>
      </c>
      <c r="M89" s="265">
        <f t="shared" ca="1" si="22"/>
        <v>1.9813138586143131</v>
      </c>
      <c r="N89" s="265">
        <f t="shared" ca="1" si="22"/>
        <v>2.0789926318439984</v>
      </c>
      <c r="O89" s="265">
        <f t="shared" ca="1" si="22"/>
        <v>2.1814869685939073</v>
      </c>
    </row>
    <row r="90" spans="2:16" hidden="1" x14ac:dyDescent="0.25">
      <c r="B90" s="2">
        <v>7</v>
      </c>
      <c r="C90" s="41" t="s">
        <v>509</v>
      </c>
      <c r="D90" s="263">
        <f t="shared" si="21"/>
        <v>0.47346574460000002</v>
      </c>
      <c r="E90" s="263">
        <f t="shared" si="21"/>
        <v>0.47779978729999995</v>
      </c>
      <c r="F90" s="263">
        <f t="shared" si="21"/>
        <v>0.48152312319999996</v>
      </c>
      <c r="G90" s="263">
        <f t="shared" si="21"/>
        <v>0.56592999999999993</v>
      </c>
      <c r="H90" s="2"/>
      <c r="I90" s="2"/>
      <c r="J90" s="265">
        <f t="shared" si="22"/>
        <v>0.65840093351785467</v>
      </c>
      <c r="K90" s="265">
        <f t="shared" ca="1" si="22"/>
        <v>0.74894541570514106</v>
      </c>
      <c r="L90" s="265">
        <f t="shared" ca="1" si="22"/>
        <v>0.78586842469940443</v>
      </c>
      <c r="M90" s="265">
        <f t="shared" ca="1" si="22"/>
        <v>0.79815847499046</v>
      </c>
      <c r="N90" s="265">
        <f t="shared" ca="1" si="22"/>
        <v>0.83750768780748963</v>
      </c>
      <c r="O90" s="265">
        <f t="shared" ca="1" si="22"/>
        <v>0.87879681681639876</v>
      </c>
    </row>
    <row r="91" spans="2:16" hidden="1" x14ac:dyDescent="0.25">
      <c r="B91" s="2">
        <v>8</v>
      </c>
      <c r="C91" s="41" t="s">
        <v>510</v>
      </c>
      <c r="D91" s="263">
        <f t="shared" si="21"/>
        <v>0</v>
      </c>
      <c r="E91" s="263">
        <f t="shared" si="21"/>
        <v>0</v>
      </c>
      <c r="F91" s="263">
        <f t="shared" si="21"/>
        <v>0</v>
      </c>
      <c r="G91" s="263">
        <f t="shared" si="21"/>
        <v>0</v>
      </c>
      <c r="H91" s="2"/>
      <c r="I91" s="2"/>
      <c r="J91" s="265">
        <f t="shared" si="22"/>
        <v>0</v>
      </c>
      <c r="K91" s="265">
        <f t="shared" ca="1" si="22"/>
        <v>0</v>
      </c>
      <c r="L91" s="265">
        <f t="shared" ca="1" si="22"/>
        <v>0</v>
      </c>
      <c r="M91" s="265">
        <f t="shared" ca="1" si="22"/>
        <v>0</v>
      </c>
      <c r="N91" s="265">
        <f t="shared" ca="1" si="22"/>
        <v>0</v>
      </c>
      <c r="O91" s="265">
        <f t="shared" ca="1" si="22"/>
        <v>0</v>
      </c>
    </row>
    <row r="92" spans="2:16" hidden="1" x14ac:dyDescent="0.25">
      <c r="B92" s="2">
        <v>9</v>
      </c>
      <c r="C92" s="41" t="s">
        <v>511</v>
      </c>
      <c r="D92" s="263">
        <f t="shared" si="21"/>
        <v>0</v>
      </c>
      <c r="E92" s="263">
        <f t="shared" si="21"/>
        <v>0</v>
      </c>
      <c r="F92" s="263">
        <f t="shared" si="21"/>
        <v>0</v>
      </c>
      <c r="G92" s="263">
        <f t="shared" si="21"/>
        <v>0</v>
      </c>
      <c r="H92" s="2"/>
      <c r="I92" s="2"/>
      <c r="J92" s="265">
        <f t="shared" si="22"/>
        <v>0</v>
      </c>
      <c r="K92" s="265">
        <f t="shared" ca="1" si="22"/>
        <v>0</v>
      </c>
      <c r="L92" s="265">
        <f t="shared" ca="1" si="22"/>
        <v>0</v>
      </c>
      <c r="M92" s="265">
        <f t="shared" ca="1" si="22"/>
        <v>0</v>
      </c>
      <c r="N92" s="265">
        <f t="shared" ca="1" si="22"/>
        <v>0</v>
      </c>
      <c r="O92" s="265">
        <f t="shared" ca="1" si="22"/>
        <v>0</v>
      </c>
    </row>
    <row r="93" spans="2:16" hidden="1" x14ac:dyDescent="0.25">
      <c r="B93" s="2">
        <v>10</v>
      </c>
      <c r="C93" s="41" t="s">
        <v>512</v>
      </c>
      <c r="D93" s="263">
        <f t="shared" si="21"/>
        <v>0</v>
      </c>
      <c r="E93" s="263">
        <f t="shared" si="21"/>
        <v>0</v>
      </c>
      <c r="F93" s="263">
        <f t="shared" si="21"/>
        <v>0</v>
      </c>
      <c r="G93" s="263">
        <f t="shared" si="21"/>
        <v>0</v>
      </c>
      <c r="H93" s="2"/>
      <c r="I93" s="2"/>
      <c r="J93" s="265">
        <f t="shared" si="22"/>
        <v>0</v>
      </c>
      <c r="K93" s="265">
        <f t="shared" ca="1" si="22"/>
        <v>0</v>
      </c>
      <c r="L93" s="265">
        <f t="shared" ca="1" si="22"/>
        <v>0</v>
      </c>
      <c r="M93" s="265">
        <f t="shared" ca="1" si="22"/>
        <v>0</v>
      </c>
      <c r="N93" s="265">
        <f t="shared" ca="1" si="22"/>
        <v>0</v>
      </c>
      <c r="O93" s="265">
        <f t="shared" ca="1" si="22"/>
        <v>0</v>
      </c>
    </row>
    <row r="94" spans="2:16" hidden="1" x14ac:dyDescent="0.25">
      <c r="B94" s="2">
        <v>11</v>
      </c>
      <c r="C94" s="41" t="s">
        <v>513</v>
      </c>
      <c r="D94" s="263">
        <f t="shared" si="21"/>
        <v>0</v>
      </c>
      <c r="E94" s="263">
        <f t="shared" si="21"/>
        <v>0</v>
      </c>
      <c r="F94" s="263">
        <f t="shared" si="21"/>
        <v>0</v>
      </c>
      <c r="G94" s="263">
        <f t="shared" si="21"/>
        <v>0</v>
      </c>
      <c r="H94" s="2"/>
      <c r="I94" s="2"/>
      <c r="J94" s="265">
        <f t="shared" si="22"/>
        <v>0</v>
      </c>
      <c r="K94" s="265">
        <f t="shared" ca="1" si="22"/>
        <v>0</v>
      </c>
      <c r="L94" s="265">
        <f t="shared" ca="1" si="22"/>
        <v>0</v>
      </c>
      <c r="M94" s="265">
        <f t="shared" ca="1" si="22"/>
        <v>0</v>
      </c>
      <c r="N94" s="265">
        <f t="shared" ca="1" si="22"/>
        <v>0</v>
      </c>
      <c r="O94" s="265">
        <f t="shared" ca="1" si="22"/>
        <v>0</v>
      </c>
    </row>
    <row r="95" spans="2:16" hidden="1" x14ac:dyDescent="0.25">
      <c r="B95" s="2">
        <v>12</v>
      </c>
      <c r="C95" s="41" t="s">
        <v>514</v>
      </c>
      <c r="D95" s="263">
        <f t="shared" si="21"/>
        <v>0</v>
      </c>
      <c r="E95" s="263">
        <f t="shared" si="21"/>
        <v>0</v>
      </c>
      <c r="F95" s="263">
        <f t="shared" si="21"/>
        <v>0</v>
      </c>
      <c r="G95" s="263">
        <f t="shared" si="21"/>
        <v>0</v>
      </c>
      <c r="H95" s="2"/>
      <c r="I95" s="2"/>
      <c r="J95" s="265">
        <f t="shared" si="22"/>
        <v>0</v>
      </c>
      <c r="K95" s="265">
        <f t="shared" ca="1" si="22"/>
        <v>0</v>
      </c>
      <c r="L95" s="265">
        <f t="shared" ca="1" si="22"/>
        <v>0</v>
      </c>
      <c r="M95" s="265">
        <f t="shared" ca="1" si="22"/>
        <v>0</v>
      </c>
      <c r="N95" s="265">
        <f t="shared" ca="1" si="22"/>
        <v>0</v>
      </c>
      <c r="O95" s="265">
        <f t="shared" ca="1" si="22"/>
        <v>0</v>
      </c>
    </row>
    <row r="96" spans="2:16" hidden="1" x14ac:dyDescent="0.25">
      <c r="B96" s="2">
        <v>13</v>
      </c>
      <c r="C96" s="41" t="s">
        <v>515</v>
      </c>
      <c r="D96" s="263">
        <f t="shared" si="21"/>
        <v>0.27903187600000007</v>
      </c>
      <c r="E96" s="263">
        <f t="shared" si="21"/>
        <v>0.31301399060000001</v>
      </c>
      <c r="F96" s="263">
        <f t="shared" si="21"/>
        <v>0.27478870180000003</v>
      </c>
      <c r="G96" s="263">
        <f t="shared" si="21"/>
        <v>0.40925000000000006</v>
      </c>
      <c r="H96" s="2"/>
      <c r="I96" s="2"/>
      <c r="J96" s="265">
        <f t="shared" si="22"/>
        <v>0.47611998311130715</v>
      </c>
      <c r="K96" s="265">
        <f t="shared" ca="1" si="22"/>
        <v>0.54159686070243507</v>
      </c>
      <c r="L96" s="265">
        <f t="shared" ca="1" si="22"/>
        <v>0.56829758593506496</v>
      </c>
      <c r="M96" s="265">
        <f t="shared" ca="1" si="22"/>
        <v>0.57718508630015342</v>
      </c>
      <c r="N96" s="265">
        <f t="shared" ca="1" si="22"/>
        <v>0.60564031105475102</v>
      </c>
      <c r="O96" s="265">
        <f t="shared" ca="1" si="22"/>
        <v>0.6354983783897501</v>
      </c>
    </row>
    <row r="97" spans="2:15" hidden="1" x14ac:dyDescent="0.25">
      <c r="B97" s="2">
        <v>14</v>
      </c>
      <c r="C97" s="41" t="s">
        <v>516</v>
      </c>
      <c r="D97" s="263">
        <f t="shared" si="21"/>
        <v>2.4400609500000003E-2</v>
      </c>
      <c r="E97" s="263">
        <f t="shared" si="21"/>
        <v>4.28728606E-2</v>
      </c>
      <c r="F97" s="263">
        <f t="shared" si="21"/>
        <v>2.6313373799999998E-2</v>
      </c>
      <c r="G97" s="263">
        <f t="shared" si="21"/>
        <v>3.867000000000001E-2</v>
      </c>
      <c r="H97" s="2"/>
      <c r="I97" s="2"/>
      <c r="J97" s="265">
        <f t="shared" si="22"/>
        <v>4.4988539393803914E-2</v>
      </c>
      <c r="K97" s="265">
        <f t="shared" ca="1" si="22"/>
        <v>5.1175444357637545E-2</v>
      </c>
      <c r="L97" s="265">
        <f t="shared" ca="1" si="22"/>
        <v>5.3698393764469068E-2</v>
      </c>
      <c r="M97" s="265">
        <f t="shared" ca="1" si="22"/>
        <v>5.4538172968178214E-2</v>
      </c>
      <c r="N97" s="265">
        <f t="shared" ca="1" si="22"/>
        <v>5.7226904895509391E-2</v>
      </c>
      <c r="O97" s="265">
        <f t="shared" ca="1" si="22"/>
        <v>6.0048191306858005E-2</v>
      </c>
    </row>
    <row r="98" spans="2:15" hidden="1" x14ac:dyDescent="0.25">
      <c r="B98" s="2">
        <v>15</v>
      </c>
      <c r="C98" s="41" t="s">
        <v>517</v>
      </c>
      <c r="D98" s="263">
        <f t="shared" si="21"/>
        <v>0</v>
      </c>
      <c r="E98" s="263">
        <f t="shared" si="21"/>
        <v>0</v>
      </c>
      <c r="F98" s="263">
        <f t="shared" si="21"/>
        <v>0</v>
      </c>
      <c r="G98" s="263">
        <f t="shared" si="21"/>
        <v>0</v>
      </c>
      <c r="H98" s="2"/>
      <c r="I98" s="2"/>
      <c r="J98" s="265">
        <f t="shared" si="22"/>
        <v>0</v>
      </c>
      <c r="K98" s="265">
        <f t="shared" ca="1" si="22"/>
        <v>0</v>
      </c>
      <c r="L98" s="265">
        <f t="shared" ca="1" si="22"/>
        <v>0</v>
      </c>
      <c r="M98" s="265">
        <f t="shared" ca="1" si="22"/>
        <v>0</v>
      </c>
      <c r="N98" s="265">
        <f t="shared" ca="1" si="22"/>
        <v>0</v>
      </c>
      <c r="O98" s="265">
        <f t="shared" ca="1" si="22"/>
        <v>0</v>
      </c>
    </row>
    <row r="99" spans="2:15" hidden="1" x14ac:dyDescent="0.25">
      <c r="B99" s="2">
        <v>16</v>
      </c>
      <c r="C99" s="40" t="s">
        <v>518</v>
      </c>
      <c r="D99" s="263">
        <f t="shared" si="21"/>
        <v>0</v>
      </c>
      <c r="E99" s="263">
        <f t="shared" si="21"/>
        <v>0</v>
      </c>
      <c r="F99" s="263">
        <f t="shared" si="21"/>
        <v>0</v>
      </c>
      <c r="G99" s="263">
        <f t="shared" si="21"/>
        <v>0</v>
      </c>
      <c r="H99" s="2"/>
      <c r="I99" s="2"/>
      <c r="J99" s="265">
        <f t="shared" si="22"/>
        <v>0</v>
      </c>
      <c r="K99" s="265">
        <f t="shared" ca="1" si="22"/>
        <v>0</v>
      </c>
      <c r="L99" s="265">
        <f t="shared" ca="1" si="22"/>
        <v>0</v>
      </c>
      <c r="M99" s="265">
        <f t="shared" ca="1" si="22"/>
        <v>0</v>
      </c>
      <c r="N99" s="265">
        <f t="shared" ca="1" si="22"/>
        <v>0</v>
      </c>
      <c r="O99" s="265">
        <f t="shared" ca="1" si="22"/>
        <v>0</v>
      </c>
    </row>
    <row r="100" spans="2:15" hidden="1" x14ac:dyDescent="0.25">
      <c r="B100" s="2">
        <v>17</v>
      </c>
      <c r="C100" s="40" t="s">
        <v>519</v>
      </c>
      <c r="D100" s="263">
        <f t="shared" si="21"/>
        <v>0.59445482000000005</v>
      </c>
      <c r="E100" s="263">
        <f t="shared" si="21"/>
        <v>5.2205000000000001E-2</v>
      </c>
      <c r="F100" s="263">
        <f t="shared" si="21"/>
        <v>0.33362695000000003</v>
      </c>
      <c r="G100" s="263">
        <f t="shared" si="21"/>
        <v>0.40153</v>
      </c>
      <c r="H100" s="2"/>
      <c r="I100" s="2"/>
      <c r="J100" s="265">
        <f t="shared" si="22"/>
        <v>0.46713856278236571</v>
      </c>
      <c r="K100" s="265">
        <f t="shared" ca="1" si="22"/>
        <v>0.53138029927391262</v>
      </c>
      <c r="L100" s="265">
        <f t="shared" ca="1" si="22"/>
        <v>0.55757734802811632</v>
      </c>
      <c r="M100" s="265">
        <f t="shared" ca="1" si="22"/>
        <v>0.56629719658424083</v>
      </c>
      <c r="N100" s="265">
        <f t="shared" ca="1" si="22"/>
        <v>0.59421564837584395</v>
      </c>
      <c r="O100" s="265">
        <f t="shared" ca="1" si="22"/>
        <v>0.6235104798407729</v>
      </c>
    </row>
    <row r="101" spans="2:15" hidden="1" x14ac:dyDescent="0.25">
      <c r="B101" s="2">
        <v>18</v>
      </c>
      <c r="C101" s="41" t="s">
        <v>520</v>
      </c>
      <c r="D101" s="263">
        <f t="shared" ref="D101:G111" si="23">10%*D27</f>
        <v>0.123270671</v>
      </c>
      <c r="E101" s="263">
        <f t="shared" si="23"/>
        <v>0.1091170561</v>
      </c>
      <c r="F101" s="263">
        <f t="shared" si="23"/>
        <v>0.12066203090000001</v>
      </c>
      <c r="G101" s="263">
        <f t="shared" si="23"/>
        <v>0.13433999999999999</v>
      </c>
      <c r="H101" s="2"/>
      <c r="I101" s="2"/>
      <c r="J101" s="265">
        <f t="shared" ref="J101:O111" si="24">10%*J27</f>
        <v>0.15629067448056935</v>
      </c>
      <c r="K101" s="265">
        <f t="shared" ca="1" si="24"/>
        <v>0.17778404952172297</v>
      </c>
      <c r="L101" s="265">
        <f t="shared" ca="1" si="24"/>
        <v>0.18654880316314387</v>
      </c>
      <c r="M101" s="265">
        <f t="shared" ca="1" si="24"/>
        <v>0.18946620523778279</v>
      </c>
      <c r="N101" s="265">
        <f t="shared" ca="1" si="24"/>
        <v>0.19880688915600547</v>
      </c>
      <c r="O101" s="265">
        <f t="shared" ca="1" si="24"/>
        <v>0.20860806879139648</v>
      </c>
    </row>
    <row r="102" spans="2:15" hidden="1" x14ac:dyDescent="0.25">
      <c r="B102" s="2">
        <v>19</v>
      </c>
      <c r="C102" s="41" t="s">
        <v>521</v>
      </c>
      <c r="D102" s="263">
        <f t="shared" si="23"/>
        <v>0.97631454409999996</v>
      </c>
      <c r="E102" s="263">
        <f t="shared" si="23"/>
        <v>0.94112574130000004</v>
      </c>
      <c r="F102" s="263">
        <f t="shared" si="23"/>
        <v>1.3435125765000002</v>
      </c>
      <c r="G102" s="263">
        <f t="shared" si="23"/>
        <v>1.6794500000000001</v>
      </c>
      <c r="H102" s="2"/>
      <c r="I102" s="2"/>
      <c r="J102" s="265">
        <f t="shared" si="24"/>
        <v>1.9538661102902499</v>
      </c>
      <c r="K102" s="265">
        <f t="shared" ca="1" si="24"/>
        <v>2.2225652967787521</v>
      </c>
      <c r="L102" s="265">
        <f t="shared" ca="1" si="24"/>
        <v>2.3321377659099443</v>
      </c>
      <c r="M102" s="265">
        <f t="shared" ca="1" si="24"/>
        <v>2.3686096351540438</v>
      </c>
      <c r="N102" s="265">
        <f t="shared" ca="1" si="24"/>
        <v>2.4853820901671382</v>
      </c>
      <c r="O102" s="265">
        <f t="shared" ca="1" si="24"/>
        <v>2.607911427212378</v>
      </c>
    </row>
    <row r="103" spans="2:15" hidden="1" x14ac:dyDescent="0.25">
      <c r="B103" s="2">
        <v>20</v>
      </c>
      <c r="C103" s="41" t="s">
        <v>522</v>
      </c>
      <c r="D103" s="263">
        <f t="shared" si="23"/>
        <v>0</v>
      </c>
      <c r="E103" s="263">
        <f t="shared" si="23"/>
        <v>0</v>
      </c>
      <c r="F103" s="263">
        <f t="shared" si="23"/>
        <v>0</v>
      </c>
      <c r="G103" s="263">
        <f t="shared" si="23"/>
        <v>0</v>
      </c>
      <c r="H103" s="2"/>
      <c r="I103" s="2"/>
      <c r="J103" s="265">
        <f t="shared" si="24"/>
        <v>0</v>
      </c>
      <c r="K103" s="265">
        <f t="shared" ca="1" si="24"/>
        <v>0</v>
      </c>
      <c r="L103" s="265">
        <f t="shared" ca="1" si="24"/>
        <v>0</v>
      </c>
      <c r="M103" s="265">
        <f t="shared" ca="1" si="24"/>
        <v>0</v>
      </c>
      <c r="N103" s="265">
        <f t="shared" ca="1" si="24"/>
        <v>0</v>
      </c>
      <c r="O103" s="265">
        <f t="shared" ca="1" si="24"/>
        <v>0</v>
      </c>
    </row>
    <row r="104" spans="2:15" hidden="1" x14ac:dyDescent="0.25">
      <c r="B104" s="2">
        <v>21</v>
      </c>
      <c r="C104" s="41" t="s">
        <v>523</v>
      </c>
      <c r="D104" s="263">
        <f t="shared" si="23"/>
        <v>0</v>
      </c>
      <c r="E104" s="263">
        <f t="shared" si="23"/>
        <v>0</v>
      </c>
      <c r="F104" s="263">
        <f t="shared" si="23"/>
        <v>0</v>
      </c>
      <c r="G104" s="263">
        <f t="shared" si="23"/>
        <v>0</v>
      </c>
      <c r="H104" s="2"/>
      <c r="I104" s="2"/>
      <c r="J104" s="265">
        <f t="shared" si="24"/>
        <v>0</v>
      </c>
      <c r="K104" s="265">
        <f t="shared" ca="1" si="24"/>
        <v>0</v>
      </c>
      <c r="L104" s="265">
        <f t="shared" ca="1" si="24"/>
        <v>0</v>
      </c>
      <c r="M104" s="265">
        <f t="shared" ca="1" si="24"/>
        <v>0</v>
      </c>
      <c r="N104" s="265">
        <f t="shared" ca="1" si="24"/>
        <v>0</v>
      </c>
      <c r="O104" s="265">
        <f t="shared" ca="1" si="24"/>
        <v>0</v>
      </c>
    </row>
    <row r="105" spans="2:15" hidden="1" x14ac:dyDescent="0.25">
      <c r="B105" s="2">
        <v>22</v>
      </c>
      <c r="C105" s="41" t="s">
        <v>524</v>
      </c>
      <c r="D105" s="263">
        <f t="shared" si="23"/>
        <v>0</v>
      </c>
      <c r="E105" s="263">
        <f t="shared" si="23"/>
        <v>0</v>
      </c>
      <c r="F105" s="263">
        <f t="shared" si="23"/>
        <v>0</v>
      </c>
      <c r="G105" s="263">
        <f t="shared" si="23"/>
        <v>0</v>
      </c>
      <c r="H105" s="2"/>
      <c r="I105" s="2"/>
      <c r="J105" s="265">
        <f t="shared" si="24"/>
        <v>0</v>
      </c>
      <c r="K105" s="265">
        <f t="shared" ca="1" si="24"/>
        <v>0</v>
      </c>
      <c r="L105" s="265">
        <f t="shared" ca="1" si="24"/>
        <v>0</v>
      </c>
      <c r="M105" s="265">
        <f t="shared" ca="1" si="24"/>
        <v>0</v>
      </c>
      <c r="N105" s="265">
        <f t="shared" ca="1" si="24"/>
        <v>0</v>
      </c>
      <c r="O105" s="265">
        <f t="shared" ca="1" si="24"/>
        <v>0</v>
      </c>
    </row>
    <row r="106" spans="2:15" hidden="1" x14ac:dyDescent="0.25">
      <c r="B106" s="2">
        <v>23</v>
      </c>
      <c r="C106" s="41" t="s">
        <v>525</v>
      </c>
      <c r="D106" s="263">
        <f t="shared" si="23"/>
        <v>0</v>
      </c>
      <c r="E106" s="263">
        <f t="shared" si="23"/>
        <v>0</v>
      </c>
      <c r="F106" s="263">
        <f t="shared" si="23"/>
        <v>0</v>
      </c>
      <c r="G106" s="263">
        <f t="shared" si="23"/>
        <v>0</v>
      </c>
      <c r="H106" s="2"/>
      <c r="I106" s="2"/>
      <c r="J106" s="265">
        <f t="shared" si="24"/>
        <v>0</v>
      </c>
      <c r="K106" s="265">
        <f t="shared" ca="1" si="24"/>
        <v>0</v>
      </c>
      <c r="L106" s="265">
        <f t="shared" ca="1" si="24"/>
        <v>0</v>
      </c>
      <c r="M106" s="265">
        <f t="shared" ca="1" si="24"/>
        <v>0</v>
      </c>
      <c r="N106" s="265">
        <f t="shared" ca="1" si="24"/>
        <v>0</v>
      </c>
      <c r="O106" s="265">
        <f t="shared" ca="1" si="24"/>
        <v>0</v>
      </c>
    </row>
    <row r="107" spans="2:15" hidden="1" x14ac:dyDescent="0.25">
      <c r="B107" s="2">
        <v>24</v>
      </c>
      <c r="C107" s="41" t="s">
        <v>526</v>
      </c>
      <c r="D107" s="263">
        <f t="shared" si="23"/>
        <v>4.4738199999999999E-3</v>
      </c>
      <c r="E107" s="263">
        <f t="shared" si="23"/>
        <v>6.4913564899999998E-2</v>
      </c>
      <c r="F107" s="263">
        <f t="shared" si="23"/>
        <v>4.2413494699999998E-2</v>
      </c>
      <c r="G107" s="263">
        <f t="shared" si="23"/>
        <v>0</v>
      </c>
      <c r="H107" s="2"/>
      <c r="I107" s="2"/>
      <c r="J107" s="265">
        <f t="shared" si="24"/>
        <v>0</v>
      </c>
      <c r="K107" s="265">
        <f t="shared" ca="1" si="24"/>
        <v>0</v>
      </c>
      <c r="L107" s="265">
        <f t="shared" ca="1" si="24"/>
        <v>0</v>
      </c>
      <c r="M107" s="265">
        <f t="shared" ca="1" si="24"/>
        <v>0</v>
      </c>
      <c r="N107" s="265">
        <f t="shared" ca="1" si="24"/>
        <v>0</v>
      </c>
      <c r="O107" s="265">
        <f t="shared" ca="1" si="24"/>
        <v>0</v>
      </c>
    </row>
    <row r="108" spans="2:15" hidden="1" x14ac:dyDescent="0.25">
      <c r="B108" s="2">
        <v>25</v>
      </c>
      <c r="C108" s="41" t="s">
        <v>527</v>
      </c>
      <c r="D108" s="263">
        <f t="shared" si="23"/>
        <v>0.54717254840000007</v>
      </c>
      <c r="E108" s="263">
        <f t="shared" si="23"/>
        <v>3.7382921317000006</v>
      </c>
      <c r="F108" s="263">
        <f t="shared" si="23"/>
        <v>4.7103105279000008</v>
      </c>
      <c r="G108" s="263">
        <f t="shared" si="23"/>
        <v>3.1876899999999999</v>
      </c>
      <c r="H108" s="2"/>
      <c r="I108" s="2"/>
      <c r="J108" s="265">
        <f t="shared" si="24"/>
        <v>3.7085471202543263</v>
      </c>
      <c r="K108" s="265">
        <f t="shared" ca="1" si="24"/>
        <v>4.218553199493086</v>
      </c>
      <c r="L108" s="265">
        <f t="shared" ca="1" si="24"/>
        <v>4.4265278722280943</v>
      </c>
      <c r="M108" s="265">
        <f t="shared" ca="1" si="24"/>
        <v>4.4957535192379625</v>
      </c>
      <c r="N108" s="265">
        <f t="shared" ca="1" si="24"/>
        <v>4.7173941677363933</v>
      </c>
      <c r="O108" s="265">
        <f t="shared" ca="1" si="24"/>
        <v>4.9499617002057974</v>
      </c>
    </row>
    <row r="109" spans="2:15" hidden="1" x14ac:dyDescent="0.25">
      <c r="B109" s="2">
        <v>26</v>
      </c>
      <c r="C109" s="41" t="s">
        <v>528</v>
      </c>
      <c r="D109" s="263">
        <f t="shared" si="23"/>
        <v>1.0992361149000001</v>
      </c>
      <c r="E109" s="263">
        <f t="shared" si="23"/>
        <v>1.1111675071</v>
      </c>
      <c r="F109" s="263">
        <f t="shared" si="23"/>
        <v>1.0752211881000002</v>
      </c>
      <c r="G109" s="263">
        <f t="shared" si="23"/>
        <v>1.1663000000000003</v>
      </c>
      <c r="H109" s="2"/>
      <c r="I109" s="2"/>
      <c r="J109" s="265">
        <f t="shared" si="24"/>
        <v>1.3568692395912465</v>
      </c>
      <c r="K109" s="265">
        <f t="shared" ca="1" si="24"/>
        <v>1.5434683412028103</v>
      </c>
      <c r="L109" s="265">
        <f t="shared" ca="1" si="24"/>
        <v>1.6195613304241085</v>
      </c>
      <c r="M109" s="265">
        <f t="shared" ca="1" si="24"/>
        <v>1.6448893491798877</v>
      </c>
      <c r="N109" s="265">
        <f t="shared" ca="1" si="24"/>
        <v>1.7259823940944561</v>
      </c>
      <c r="O109" s="265">
        <f t="shared" ca="1" si="24"/>
        <v>1.8110733261233127</v>
      </c>
    </row>
    <row r="110" spans="2:15" hidden="1" x14ac:dyDescent="0.25">
      <c r="B110" s="2">
        <v>27</v>
      </c>
      <c r="C110" s="41" t="s">
        <v>529</v>
      </c>
      <c r="D110" s="263">
        <f t="shared" si="23"/>
        <v>0</v>
      </c>
      <c r="E110" s="263">
        <f t="shared" si="23"/>
        <v>0</v>
      </c>
      <c r="F110" s="263">
        <f t="shared" si="23"/>
        <v>0</v>
      </c>
      <c r="G110" s="263">
        <f t="shared" si="23"/>
        <v>0</v>
      </c>
      <c r="H110" s="2"/>
      <c r="I110" s="2"/>
      <c r="J110" s="265">
        <f t="shared" si="24"/>
        <v>0</v>
      </c>
      <c r="K110" s="265">
        <f t="shared" ca="1" si="24"/>
        <v>0</v>
      </c>
      <c r="L110" s="265">
        <f t="shared" ca="1" si="24"/>
        <v>0</v>
      </c>
      <c r="M110" s="265">
        <f t="shared" ca="1" si="24"/>
        <v>0</v>
      </c>
      <c r="N110" s="265">
        <f t="shared" ca="1" si="24"/>
        <v>0</v>
      </c>
      <c r="O110" s="265">
        <f t="shared" ca="1" si="24"/>
        <v>0</v>
      </c>
    </row>
    <row r="111" spans="2:15" hidden="1" x14ac:dyDescent="0.25">
      <c r="B111" s="2">
        <v>28</v>
      </c>
      <c r="C111" s="41" t="s">
        <v>498</v>
      </c>
      <c r="D111" s="263">
        <f t="shared" si="23"/>
        <v>16.488914510499999</v>
      </c>
      <c r="E111" s="263">
        <f t="shared" si="23"/>
        <v>2.4912896694000004</v>
      </c>
      <c r="F111" s="263">
        <f t="shared" si="23"/>
        <v>2.7844700000000002</v>
      </c>
      <c r="G111" s="263">
        <f t="shared" si="23"/>
        <v>11.582160000000002</v>
      </c>
      <c r="H111" s="2"/>
      <c r="I111" s="2"/>
      <c r="J111" s="265">
        <f t="shared" si="24"/>
        <v>13.474643429670024</v>
      </c>
      <c r="K111" s="265">
        <f t="shared" ca="1" si="24"/>
        <v>15.327700662561552</v>
      </c>
      <c r="L111" s="265">
        <f t="shared" ca="1" si="24"/>
        <v>16.083356305225831</v>
      </c>
      <c r="M111" s="265">
        <f t="shared" ca="1" si="24"/>
        <v>16.334880926431726</v>
      </c>
      <c r="N111" s="265">
        <f t="shared" ca="1" si="24"/>
        <v>17.140190556104809</v>
      </c>
      <c r="O111" s="265">
        <f t="shared" ca="1" si="24"/>
        <v>17.985201950520775</v>
      </c>
    </row>
    <row r="112" spans="2:15" x14ac:dyDescent="0.25">
      <c r="B112" s="2">
        <v>29</v>
      </c>
      <c r="C112" s="42" t="s">
        <v>530</v>
      </c>
      <c r="D112" s="97">
        <f>D38*0.1</f>
        <v>24.4952215245</v>
      </c>
      <c r="E112" s="97">
        <f t="shared" ref="E112:O113" si="25">E38*0.1</f>
        <v>13.003138042800002</v>
      </c>
      <c r="F112" s="97">
        <f t="shared" si="25"/>
        <v>14.8873472999</v>
      </c>
      <c r="G112" s="97">
        <f t="shared" si="25"/>
        <v>23.708170000000003</v>
      </c>
      <c r="H112" s="97">
        <f t="shared" si="25"/>
        <v>0</v>
      </c>
      <c r="I112" s="97">
        <f t="shared" si="25"/>
        <v>0</v>
      </c>
      <c r="J112" s="97">
        <f t="shared" si="25"/>
        <v>27.582000000000001</v>
      </c>
      <c r="K112" s="97">
        <f ca="1">10%*K38</f>
        <v>31.375126316431643</v>
      </c>
      <c r="L112" s="97">
        <f ca="1">10%*L38</f>
        <v>32.921920043831719</v>
      </c>
      <c r="M112" s="97">
        <f t="shared" si="25"/>
        <v>33.436779834987682</v>
      </c>
      <c r="N112" s="97">
        <f t="shared" si="25"/>
        <v>35.085213080852576</v>
      </c>
      <c r="O112" s="97">
        <f t="shared" si="25"/>
        <v>36.8149140857386</v>
      </c>
    </row>
    <row r="113" spans="2:15" x14ac:dyDescent="0.25">
      <c r="B113" s="2">
        <v>30</v>
      </c>
      <c r="C113" s="32" t="s">
        <v>500</v>
      </c>
      <c r="D113" s="92">
        <f>D39*0.1</f>
        <v>0.87597875999999997</v>
      </c>
      <c r="E113" s="92">
        <f>E39*0.1</f>
        <v>0.67969881870000004</v>
      </c>
      <c r="F113" s="92">
        <f>F39*0.1</f>
        <v>0.7095103437000001</v>
      </c>
      <c r="G113" s="92">
        <f>G39*0.1</f>
        <v>0.76054999999999995</v>
      </c>
      <c r="H113" s="92">
        <f t="shared" si="25"/>
        <v>0</v>
      </c>
      <c r="I113" s="92">
        <f t="shared" si="25"/>
        <v>0</v>
      </c>
      <c r="J113" s="92">
        <f t="shared" si="25"/>
        <v>0.88482114393477007</v>
      </c>
      <c r="K113" s="99">
        <f t="shared" ref="K113:L114" ca="1" si="26">10%*K39</f>
        <v>1.006503341251648</v>
      </c>
      <c r="L113" s="99">
        <f t="shared" ca="1" si="26"/>
        <v>1.0561239559753541</v>
      </c>
      <c r="M113" s="92">
        <f t="shared" si="25"/>
        <v>1.0726404823105233</v>
      </c>
      <c r="N113" s="92">
        <f t="shared" si="25"/>
        <v>1.125521658088432</v>
      </c>
      <c r="O113" s="92">
        <f t="shared" si="25"/>
        <v>1.1810098758321916</v>
      </c>
    </row>
    <row r="114" spans="2:15" x14ac:dyDescent="0.25">
      <c r="B114" s="2">
        <v>31</v>
      </c>
      <c r="C114" s="10" t="s">
        <v>531</v>
      </c>
      <c r="D114" s="97">
        <f>D112-D113</f>
        <v>23.619242764500001</v>
      </c>
      <c r="E114" s="97">
        <f>E112-E113</f>
        <v>12.323439224100001</v>
      </c>
      <c r="F114" s="97">
        <f>F112-F113</f>
        <v>14.1778369562</v>
      </c>
      <c r="G114" s="97">
        <f>G112-G113</f>
        <v>22.947620000000004</v>
      </c>
      <c r="H114" s="97">
        <f t="shared" ref="H114:O114" si="27">H112-H113</f>
        <v>0</v>
      </c>
      <c r="I114" s="97">
        <f t="shared" si="27"/>
        <v>0</v>
      </c>
      <c r="J114" s="97">
        <f t="shared" si="27"/>
        <v>26.697178856065232</v>
      </c>
      <c r="K114" s="97">
        <f t="shared" si="26"/>
        <v>30.368622975179996</v>
      </c>
      <c r="L114" s="97">
        <f t="shared" si="26"/>
        <v>31.865796087856367</v>
      </c>
      <c r="M114" s="97">
        <f t="shared" si="27"/>
        <v>32.364139352677157</v>
      </c>
      <c r="N114" s="97">
        <f t="shared" si="27"/>
        <v>33.959691422764145</v>
      </c>
      <c r="O114" s="97">
        <f t="shared" si="27"/>
        <v>35.633904209906412</v>
      </c>
    </row>
  </sheetData>
  <mergeCells count="12">
    <mergeCell ref="B81:B83"/>
    <mergeCell ref="C81:C83"/>
    <mergeCell ref="H81:J81"/>
    <mergeCell ref="K81:O81"/>
    <mergeCell ref="B7:B9"/>
    <mergeCell ref="C7:C9"/>
    <mergeCell ref="H7:J7"/>
    <mergeCell ref="K7:O7"/>
    <mergeCell ref="B44:B46"/>
    <mergeCell ref="C44:C46"/>
    <mergeCell ref="H44:J44"/>
    <mergeCell ref="K44:O44"/>
  </mergeCells>
  <pageMargins left="0.75" right="0.75" top="1" bottom="1" header="0.5" footer="0.5"/>
  <pageSetup paperSize="9" scale="2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2:P60"/>
  <sheetViews>
    <sheetView showGridLines="0" topLeftCell="A44" zoomScale="75" zoomScaleNormal="75" zoomScaleSheetLayoutView="90" workbookViewId="0">
      <selection activeCell="L13" sqref="L13"/>
    </sheetView>
  </sheetViews>
  <sheetFormatPr defaultColWidth="9.109375" defaultRowHeight="13.8" x14ac:dyDescent="0.25"/>
  <cols>
    <col min="1" max="1" width="6.88671875" style="5" customWidth="1"/>
    <col min="2" max="2" width="8.6640625" style="43" customWidth="1"/>
    <col min="3" max="3" width="45.88671875" style="5" customWidth="1"/>
    <col min="4" max="9" width="15.6640625" style="5" hidden="1" customWidth="1"/>
    <col min="10" max="10" width="15.6640625" style="5" customWidth="1"/>
    <col min="11" max="11" width="12.33203125" style="5" customWidth="1"/>
    <col min="12" max="12" width="12.33203125" style="5" bestFit="1" customWidth="1"/>
    <col min="13" max="13" width="13" style="5" hidden="1" customWidth="1"/>
    <col min="14" max="14" width="13.44140625" style="5" hidden="1" customWidth="1"/>
    <col min="15" max="15" width="12.6640625" style="5" hidden="1" customWidth="1"/>
    <col min="16" max="16384" width="9.109375" style="5"/>
  </cols>
  <sheetData>
    <row r="2" spans="2:16" x14ac:dyDescent="0.25">
      <c r="C2" s="4"/>
      <c r="D2" s="4"/>
      <c r="E2" s="4"/>
      <c r="F2" s="251" t="s">
        <v>0</v>
      </c>
      <c r="G2" s="4"/>
      <c r="H2" s="439" t="s">
        <v>38</v>
      </c>
      <c r="I2" s="4"/>
      <c r="J2" s="4"/>
      <c r="K2" s="4"/>
      <c r="L2" s="4"/>
    </row>
    <row r="3" spans="2:16" s="3" customFormat="1" x14ac:dyDescent="0.25">
      <c r="C3" s="4"/>
      <c r="D3" s="4"/>
      <c r="E3" s="4"/>
      <c r="F3" s="4"/>
      <c r="G3" s="4"/>
      <c r="H3" s="440" t="s">
        <v>532</v>
      </c>
      <c r="I3" s="4"/>
      <c r="J3" s="4"/>
      <c r="K3" s="4"/>
      <c r="L3" s="4"/>
    </row>
    <row r="4" spans="2:16" s="3" customFormat="1" x14ac:dyDescent="0.25">
      <c r="C4" s="4"/>
      <c r="D4" s="4"/>
      <c r="E4" s="4"/>
      <c r="F4" s="4"/>
      <c r="G4" s="4"/>
      <c r="H4" s="440"/>
      <c r="I4" s="4"/>
      <c r="J4" s="4"/>
      <c r="K4" s="4"/>
      <c r="L4" s="4"/>
    </row>
    <row r="5" spans="2:16" x14ac:dyDescent="0.25">
      <c r="B5" s="266" t="s">
        <v>684</v>
      </c>
    </row>
    <row r="6" spans="2:16" x14ac:dyDescent="0.25">
      <c r="L6" s="16" t="s">
        <v>1215</v>
      </c>
      <c r="O6" s="16" t="s">
        <v>3</v>
      </c>
    </row>
    <row r="7" spans="2:16" ht="12.75" customHeight="1" x14ac:dyDescent="0.25">
      <c r="B7" s="729" t="s">
        <v>4</v>
      </c>
      <c r="C7" s="760" t="s">
        <v>5</v>
      </c>
      <c r="D7" s="435" t="s">
        <v>222</v>
      </c>
      <c r="E7" s="435" t="s">
        <v>223</v>
      </c>
      <c r="F7" s="435" t="s">
        <v>224</v>
      </c>
      <c r="G7" s="435" t="s">
        <v>7</v>
      </c>
      <c r="H7" s="729" t="s">
        <v>8</v>
      </c>
      <c r="I7" s="729"/>
      <c r="J7" s="729"/>
      <c r="K7" s="768" t="s">
        <v>9</v>
      </c>
      <c r="L7" s="768"/>
      <c r="M7" s="768"/>
      <c r="N7" s="768"/>
      <c r="O7" s="768"/>
      <c r="P7" s="445"/>
    </row>
    <row r="8" spans="2:16" x14ac:dyDescent="0.25">
      <c r="B8" s="729"/>
      <c r="C8" s="760"/>
      <c r="D8" s="435" t="s">
        <v>11</v>
      </c>
      <c r="E8" s="435" t="s">
        <v>11</v>
      </c>
      <c r="F8" s="435" t="s">
        <v>11</v>
      </c>
      <c r="G8" s="435" t="s">
        <v>11</v>
      </c>
      <c r="H8" s="435" t="s">
        <v>13</v>
      </c>
      <c r="I8" s="435" t="s">
        <v>14</v>
      </c>
      <c r="J8" s="435" t="s">
        <v>15</v>
      </c>
      <c r="K8" s="435" t="s">
        <v>16</v>
      </c>
      <c r="L8" s="435" t="s">
        <v>17</v>
      </c>
      <c r="M8" s="435" t="s">
        <v>18</v>
      </c>
      <c r="N8" s="435" t="s">
        <v>19</v>
      </c>
      <c r="O8" s="435" t="s">
        <v>20</v>
      </c>
    </row>
    <row r="9" spans="2:16" x14ac:dyDescent="0.25">
      <c r="B9" s="729"/>
      <c r="C9" s="760"/>
      <c r="D9" s="435" t="s">
        <v>22</v>
      </c>
      <c r="E9" s="435" t="s">
        <v>22</v>
      </c>
      <c r="F9" s="435" t="s">
        <v>22</v>
      </c>
      <c r="G9" s="435" t="s">
        <v>22</v>
      </c>
      <c r="H9" s="435" t="s">
        <v>24</v>
      </c>
      <c r="I9" s="435" t="s">
        <v>25</v>
      </c>
      <c r="J9" s="435" t="s">
        <v>25</v>
      </c>
      <c r="K9" s="435" t="s">
        <v>26</v>
      </c>
      <c r="L9" s="435" t="s">
        <v>26</v>
      </c>
      <c r="M9" s="435" t="s">
        <v>26</v>
      </c>
      <c r="N9" s="435" t="s">
        <v>26</v>
      </c>
      <c r="O9" s="435" t="s">
        <v>26</v>
      </c>
    </row>
    <row r="10" spans="2:16" hidden="1" x14ac:dyDescent="0.25">
      <c r="B10" s="1">
        <v>1</v>
      </c>
      <c r="C10" s="41" t="s">
        <v>533</v>
      </c>
      <c r="D10" s="92">
        <f>[55]F15.3!C5</f>
        <v>44.100935</v>
      </c>
      <c r="E10" s="92">
        <f>[55]F15.3!D5</f>
        <v>48.156790527999995</v>
      </c>
      <c r="F10" s="92">
        <f>[55]F15.3!E5</f>
        <v>68.438390117000012</v>
      </c>
      <c r="G10" s="92">
        <f>[55]F15.3!F5</f>
        <v>85.452899999999985</v>
      </c>
      <c r="H10" s="92"/>
      <c r="I10" s="92">
        <f t="shared" ref="I10:O17" ca="1" si="0">I29+I48</f>
        <v>5.3467567128948015E-25</v>
      </c>
      <c r="J10" s="92">
        <f t="shared" ca="1" si="0"/>
        <v>5.3467567128948015E-25</v>
      </c>
      <c r="K10" s="92">
        <f t="shared" ca="1" si="0"/>
        <v>5.3467567128948015E-25</v>
      </c>
      <c r="L10" s="92">
        <f t="shared" ca="1" si="0"/>
        <v>5.3467567128948015E-25</v>
      </c>
      <c r="M10" s="92">
        <f t="shared" ca="1" si="0"/>
        <v>5.3467567128948015E-25</v>
      </c>
      <c r="N10" s="92">
        <f t="shared" ca="1" si="0"/>
        <v>5.3467567128948015E-25</v>
      </c>
      <c r="O10" s="92">
        <f t="shared" ca="1" si="0"/>
        <v>5.3467567128948015E-25</v>
      </c>
    </row>
    <row r="11" spans="2:16" hidden="1" x14ac:dyDescent="0.25">
      <c r="B11" s="1">
        <v>2</v>
      </c>
      <c r="C11" s="41" t="s">
        <v>534</v>
      </c>
      <c r="D11" s="92">
        <f>[55]F15.3!C6</f>
        <v>6.4623041000000006E-2</v>
      </c>
      <c r="E11" s="92">
        <f>[55]F15.3!D6</f>
        <v>8.5066089999999997E-2</v>
      </c>
      <c r="F11" s="92">
        <f>[55]F15.3!E6</f>
        <v>7.3218352E-2</v>
      </c>
      <c r="G11" s="92">
        <f>[55]F15.3!F6</f>
        <v>6.7900000000000002E-2</v>
      </c>
      <c r="H11" s="92"/>
      <c r="I11" s="92">
        <f t="shared" ca="1" si="0"/>
        <v>7.8348379297270483E-28</v>
      </c>
      <c r="J11" s="92">
        <f t="shared" ca="1" si="0"/>
        <v>7.8348379297270483E-28</v>
      </c>
      <c r="K11" s="92">
        <f t="shared" ca="1" si="0"/>
        <v>7.8348379297270483E-28</v>
      </c>
      <c r="L11" s="92">
        <f t="shared" ca="1" si="0"/>
        <v>7.8348379297270483E-28</v>
      </c>
      <c r="M11" s="92">
        <f t="shared" ca="1" si="0"/>
        <v>7.8348379297270483E-28</v>
      </c>
      <c r="N11" s="92">
        <f t="shared" ca="1" si="0"/>
        <v>7.8348379297270483E-28</v>
      </c>
      <c r="O11" s="92">
        <f t="shared" ca="1" si="0"/>
        <v>7.8348379297270483E-28</v>
      </c>
    </row>
    <row r="12" spans="2:16" hidden="1" x14ac:dyDescent="0.25">
      <c r="B12" s="1">
        <v>3</v>
      </c>
      <c r="C12" s="41" t="s">
        <v>535</v>
      </c>
      <c r="D12" s="92">
        <v>0</v>
      </c>
      <c r="E12" s="92">
        <v>0</v>
      </c>
      <c r="F12" s="92">
        <v>0</v>
      </c>
      <c r="G12" s="92">
        <v>0</v>
      </c>
      <c r="H12" s="92"/>
      <c r="I12" s="92">
        <f t="shared" ca="1" si="0"/>
        <v>0</v>
      </c>
      <c r="J12" s="92">
        <f t="shared" ca="1" si="0"/>
        <v>0</v>
      </c>
      <c r="K12" s="92">
        <f t="shared" ca="1" si="0"/>
        <v>0</v>
      </c>
      <c r="L12" s="92">
        <f t="shared" ca="1" si="0"/>
        <v>0</v>
      </c>
      <c r="M12" s="92">
        <f t="shared" ca="1" si="0"/>
        <v>0</v>
      </c>
      <c r="N12" s="92">
        <f t="shared" ca="1" si="0"/>
        <v>0</v>
      </c>
      <c r="O12" s="92">
        <f t="shared" ca="1" si="0"/>
        <v>0</v>
      </c>
    </row>
    <row r="13" spans="2:16" hidden="1" x14ac:dyDescent="0.25">
      <c r="B13" s="1">
        <v>4</v>
      </c>
      <c r="C13" s="41" t="s">
        <v>536</v>
      </c>
      <c r="D13" s="92">
        <v>0</v>
      </c>
      <c r="E13" s="92">
        <v>0</v>
      </c>
      <c r="F13" s="92">
        <v>0</v>
      </c>
      <c r="G13" s="92">
        <v>0</v>
      </c>
      <c r="H13" s="92"/>
      <c r="I13" s="92">
        <f t="shared" ca="1" si="0"/>
        <v>0</v>
      </c>
      <c r="J13" s="92">
        <f t="shared" ca="1" si="0"/>
        <v>0</v>
      </c>
      <c r="K13" s="92">
        <f t="shared" ca="1" si="0"/>
        <v>0</v>
      </c>
      <c r="L13" s="92">
        <f t="shared" ca="1" si="0"/>
        <v>0</v>
      </c>
      <c r="M13" s="92">
        <f t="shared" ca="1" si="0"/>
        <v>0</v>
      </c>
      <c r="N13" s="92">
        <f t="shared" ca="1" si="0"/>
        <v>0</v>
      </c>
      <c r="O13" s="92">
        <f t="shared" ca="1" si="0"/>
        <v>0</v>
      </c>
    </row>
    <row r="14" spans="2:16" hidden="1" x14ac:dyDescent="0.25">
      <c r="B14" s="1">
        <v>5</v>
      </c>
      <c r="C14" s="41" t="s">
        <v>537</v>
      </c>
      <c r="D14" s="92">
        <f>[55]F15.3!C8</f>
        <v>13.196883868</v>
      </c>
      <c r="E14" s="92">
        <f>[55]F15.3!D8</f>
        <v>13.138698749</v>
      </c>
      <c r="F14" s="92">
        <f>[55]F15.3!E8</f>
        <v>11.943195470999999</v>
      </c>
      <c r="G14" s="92">
        <f>[55]F15.3!F8</f>
        <v>1.9706999999999999</v>
      </c>
      <c r="H14" s="92"/>
      <c r="I14" s="92">
        <f t="shared" ca="1" si="0"/>
        <v>1.5999780369854281E-25</v>
      </c>
      <c r="J14" s="92">
        <f t="shared" ca="1" si="0"/>
        <v>1.5999780369854281E-25</v>
      </c>
      <c r="K14" s="92">
        <f t="shared" ca="1" si="0"/>
        <v>1.5999780369854281E-25</v>
      </c>
      <c r="L14" s="92">
        <f t="shared" ca="1" si="0"/>
        <v>1.5999780369854281E-25</v>
      </c>
      <c r="M14" s="92">
        <f t="shared" ca="1" si="0"/>
        <v>1.5999780369854281E-25</v>
      </c>
      <c r="N14" s="92">
        <f t="shared" ca="1" si="0"/>
        <v>1.5999780369854281E-25</v>
      </c>
      <c r="O14" s="92">
        <f t="shared" ca="1" si="0"/>
        <v>1.5999780369854281E-25</v>
      </c>
    </row>
    <row r="15" spans="2:16" hidden="1" x14ac:dyDescent="0.25">
      <c r="B15" s="1">
        <v>6</v>
      </c>
      <c r="C15" s="41" t="s">
        <v>538</v>
      </c>
      <c r="D15" s="92">
        <f>[55]F15.3!C9</f>
        <v>0</v>
      </c>
      <c r="E15" s="92">
        <f>[55]F15.3!D9</f>
        <v>1.8584376E-2</v>
      </c>
      <c r="F15" s="92">
        <f>[55]F15.3!E9</f>
        <v>1.89718E-2</v>
      </c>
      <c r="G15" s="92">
        <f>[55]F15.3!F9</f>
        <v>2.2799999999999997E-2</v>
      </c>
      <c r="H15" s="92"/>
      <c r="I15" s="92">
        <f t="shared" ca="1" si="0"/>
        <v>0</v>
      </c>
      <c r="J15" s="92">
        <f t="shared" ca="1" si="0"/>
        <v>0</v>
      </c>
      <c r="K15" s="92">
        <f t="shared" ca="1" si="0"/>
        <v>0</v>
      </c>
      <c r="L15" s="92">
        <f t="shared" ca="1" si="0"/>
        <v>0</v>
      </c>
      <c r="M15" s="92">
        <f t="shared" ca="1" si="0"/>
        <v>0</v>
      </c>
      <c r="N15" s="92">
        <f t="shared" ca="1" si="0"/>
        <v>0</v>
      </c>
      <c r="O15" s="92">
        <f t="shared" ca="1" si="0"/>
        <v>0</v>
      </c>
    </row>
    <row r="16" spans="2:16" hidden="1" x14ac:dyDescent="0.25">
      <c r="B16" s="1">
        <v>7</v>
      </c>
      <c r="C16" s="41" t="s">
        <v>539</v>
      </c>
      <c r="D16" s="92">
        <f>[55]F15.3!C10</f>
        <v>10.435190993000001</v>
      </c>
      <c r="E16" s="92">
        <f>[55]F15.3!D10</f>
        <v>12.726864665000001</v>
      </c>
      <c r="F16" s="92">
        <f>[55]F15.3!E10</f>
        <v>19.52243378</v>
      </c>
      <c r="G16" s="92">
        <f>[55]F15.3!F10</f>
        <v>24.451999999999998</v>
      </c>
      <c r="H16" s="92"/>
      <c r="I16" s="92">
        <f t="shared" ca="1" si="0"/>
        <v>1.265152938189683E-25</v>
      </c>
      <c r="J16" s="92">
        <f t="shared" ca="1" si="0"/>
        <v>1.265152938189683E-25</v>
      </c>
      <c r="K16" s="92">
        <f t="shared" ca="1" si="0"/>
        <v>1.265152938189683E-25</v>
      </c>
      <c r="L16" s="92">
        <f t="shared" ca="1" si="0"/>
        <v>1.265152938189683E-25</v>
      </c>
      <c r="M16" s="92">
        <f t="shared" ca="1" si="0"/>
        <v>1.265152938189683E-25</v>
      </c>
      <c r="N16" s="92">
        <f t="shared" ca="1" si="0"/>
        <v>1.265152938189683E-25</v>
      </c>
      <c r="O16" s="92">
        <f t="shared" ca="1" si="0"/>
        <v>1.265152938189683E-25</v>
      </c>
    </row>
    <row r="17" spans="2:16" hidden="1" x14ac:dyDescent="0.25">
      <c r="B17" s="1">
        <v>8</v>
      </c>
      <c r="C17" s="41" t="s">
        <v>540</v>
      </c>
      <c r="D17" s="92">
        <f>[55]F15.3!C11</f>
        <v>1.09679711</v>
      </c>
      <c r="E17" s="92">
        <f>[55]F15.3!D11</f>
        <v>6.1953229299999997</v>
      </c>
      <c r="F17" s="92">
        <f>[55]F15.3!E11</f>
        <v>3.1687452680000003</v>
      </c>
      <c r="G17" s="92">
        <f>[55]F15.3!F11</f>
        <v>4.4757999999999996</v>
      </c>
      <c r="H17" s="92"/>
      <c r="I17" s="92">
        <f t="shared" ca="1" si="0"/>
        <v>1.3297467073149706E-26</v>
      </c>
      <c r="J17" s="92">
        <f t="shared" ca="1" si="0"/>
        <v>1.3297467073149706E-26</v>
      </c>
      <c r="K17" s="92">
        <f t="shared" ca="1" si="0"/>
        <v>1.3297467073149706E-26</v>
      </c>
      <c r="L17" s="92">
        <f t="shared" ca="1" si="0"/>
        <v>1.3297467073149706E-26</v>
      </c>
      <c r="M17" s="92">
        <f t="shared" ca="1" si="0"/>
        <v>1.3297467073149706E-26</v>
      </c>
      <c r="N17" s="92">
        <f t="shared" ca="1" si="0"/>
        <v>1.3297467073149706E-26</v>
      </c>
      <c r="O17" s="92">
        <f t="shared" ca="1" si="0"/>
        <v>1.3297467073149706E-26</v>
      </c>
    </row>
    <row r="18" spans="2:16" x14ac:dyDescent="0.25">
      <c r="B18" s="1">
        <v>9</v>
      </c>
      <c r="C18" s="42" t="s">
        <v>541</v>
      </c>
      <c r="D18" s="97">
        <f>SUM(D10:D17)</f>
        <v>68.894430012000001</v>
      </c>
      <c r="E18" s="97">
        <f t="shared" ref="E18:I18" si="1">SUM(E10:E17)</f>
        <v>80.321327338000003</v>
      </c>
      <c r="F18" s="97">
        <f t="shared" si="1"/>
        <v>103.164954788</v>
      </c>
      <c r="G18" s="97">
        <f t="shared" si="1"/>
        <v>116.44209999999998</v>
      </c>
      <c r="H18" s="97">
        <f t="shared" si="1"/>
        <v>0</v>
      </c>
      <c r="I18" s="97">
        <f t="shared" ca="1" si="1"/>
        <v>8.3526971967311366E-25</v>
      </c>
      <c r="J18" s="267">
        <f>'[54]O&amp;M Projections New Methodology'!I7</f>
        <v>116.96979999999999</v>
      </c>
      <c r="K18" s="267">
        <f>'[54]O&amp;M Projections New Methodology'!J15</f>
        <v>130.36097092491684</v>
      </c>
      <c r="L18" s="267">
        <f>'[54]O&amp;M Projections New Methodology'!K15</f>
        <v>149.22810912741539</v>
      </c>
      <c r="M18" s="267">
        <f>'[54]O&amp;M Projections New Methodology'!L7</f>
        <v>194.90220786213172</v>
      </c>
      <c r="N18" s="267">
        <f>'[54]O&amp;M Projections New Methodology'!M7</f>
        <v>219.19779902049754</v>
      </c>
      <c r="O18" s="267">
        <f>'[54]O&amp;M Projections New Methodology'!N7</f>
        <v>246.11992468043087</v>
      </c>
    </row>
    <row r="19" spans="2:16" x14ac:dyDescent="0.25">
      <c r="B19" s="1"/>
      <c r="C19" s="40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6" x14ac:dyDescent="0.25">
      <c r="B20" s="1">
        <v>10</v>
      </c>
      <c r="C20" s="44" t="s">
        <v>542</v>
      </c>
      <c r="D20" s="92">
        <f>[55]F15.3!C13</f>
        <v>7030.47</v>
      </c>
      <c r="E20" s="92">
        <f>[55]F15.3!D13</f>
        <v>7887.88</v>
      </c>
      <c r="F20" s="92">
        <f>[55]F15.3!E13</f>
        <v>8606.74</v>
      </c>
      <c r="G20" s="92">
        <f>[55]F15.3!F13</f>
        <v>9054.74</v>
      </c>
      <c r="H20" s="92"/>
      <c r="I20" s="2"/>
      <c r="J20" s="92">
        <f>'[54]O&amp;M Projections New Methodology'!I12</f>
        <v>9602.5944019660001</v>
      </c>
      <c r="K20" s="92">
        <f>'[54]O&amp;M Projections New Methodology'!J12</f>
        <v>10199.121173671781</v>
      </c>
      <c r="L20" s="92">
        <f>'[54]O&amp;M Projections New Methodology'!K12</f>
        <v>11851.401658837272</v>
      </c>
      <c r="M20" s="92">
        <f>'[54]O&amp;M Projections New Methodology'!L12</f>
        <v>15248.668530913019</v>
      </c>
      <c r="N20" s="92">
        <f>'[54]O&amp;M Projections New Methodology'!M12</f>
        <v>17149.495722150201</v>
      </c>
      <c r="O20" s="92">
        <f>'[54]O&amp;M Projections New Methodology'!N12</f>
        <v>19255.816501370446</v>
      </c>
    </row>
    <row r="21" spans="2:16" x14ac:dyDescent="0.25">
      <c r="B21" s="1">
        <v>11</v>
      </c>
      <c r="C21" s="44" t="s">
        <v>543</v>
      </c>
      <c r="D21" s="2"/>
      <c r="E21" s="2"/>
      <c r="F21" s="2"/>
      <c r="G21" s="446">
        <f>G18/G20</f>
        <v>1.2859794980308654E-2</v>
      </c>
      <c r="H21" s="2"/>
      <c r="I21" s="2"/>
      <c r="J21" s="446">
        <f>J18/J20</f>
        <v>1.218106223210386E-2</v>
      </c>
      <c r="K21" s="446">
        <f>'[54]O&amp;M Projections New Methodology'!J13</f>
        <v>1.2E-2</v>
      </c>
      <c r="L21" s="446">
        <f>'[54]O&amp;M Projections New Methodology'!K13</f>
        <v>1.2E-2</v>
      </c>
      <c r="M21" s="446">
        <f t="shared" ref="M21:O21" si="2">M18/M20</f>
        <v>1.2781588600146578E-2</v>
      </c>
      <c r="N21" s="446">
        <f t="shared" si="2"/>
        <v>1.278158860014658E-2</v>
      </c>
      <c r="O21" s="446">
        <f t="shared" si="2"/>
        <v>1.2781588600146578E-2</v>
      </c>
    </row>
    <row r="22" spans="2:16" x14ac:dyDescent="0.25">
      <c r="B22" s="1"/>
      <c r="C22" s="40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4" spans="2:16" x14ac:dyDescent="0.25">
      <c r="B24" s="266" t="s">
        <v>687</v>
      </c>
    </row>
    <row r="25" spans="2:16" x14ac:dyDescent="0.25">
      <c r="L25" s="16" t="s">
        <v>1215</v>
      </c>
      <c r="O25" s="16" t="s">
        <v>3</v>
      </c>
    </row>
    <row r="26" spans="2:16" ht="12.75" customHeight="1" x14ac:dyDescent="0.25">
      <c r="B26" s="729" t="s">
        <v>4</v>
      </c>
      <c r="C26" s="760" t="s">
        <v>5</v>
      </c>
      <c r="D26" s="435" t="s">
        <v>222</v>
      </c>
      <c r="E26" s="435" t="s">
        <v>223</v>
      </c>
      <c r="F26" s="435" t="s">
        <v>224</v>
      </c>
      <c r="G26" s="435" t="s">
        <v>7</v>
      </c>
      <c r="H26" s="729" t="s">
        <v>8</v>
      </c>
      <c r="I26" s="729"/>
      <c r="J26" s="729"/>
      <c r="K26" s="768" t="s">
        <v>9</v>
      </c>
      <c r="L26" s="768"/>
      <c r="M26" s="768"/>
      <c r="N26" s="768"/>
      <c r="O26" s="768"/>
      <c r="P26" s="445"/>
    </row>
    <row r="27" spans="2:16" x14ac:dyDescent="0.25">
      <c r="B27" s="729"/>
      <c r="C27" s="760"/>
      <c r="D27" s="435" t="s">
        <v>11</v>
      </c>
      <c r="E27" s="435" t="s">
        <v>11</v>
      </c>
      <c r="F27" s="435" t="s">
        <v>11</v>
      </c>
      <c r="G27" s="435" t="s">
        <v>11</v>
      </c>
      <c r="H27" s="435" t="s">
        <v>13</v>
      </c>
      <c r="I27" s="435" t="s">
        <v>14</v>
      </c>
      <c r="J27" s="435" t="s">
        <v>15</v>
      </c>
      <c r="K27" s="435" t="s">
        <v>16</v>
      </c>
      <c r="L27" s="435" t="s">
        <v>17</v>
      </c>
      <c r="M27" s="435" t="s">
        <v>18</v>
      </c>
      <c r="N27" s="435" t="s">
        <v>19</v>
      </c>
      <c r="O27" s="435" t="s">
        <v>20</v>
      </c>
    </row>
    <row r="28" spans="2:16" x14ac:dyDescent="0.25">
      <c r="B28" s="729"/>
      <c r="C28" s="760"/>
      <c r="D28" s="435" t="s">
        <v>22</v>
      </c>
      <c r="E28" s="435" t="s">
        <v>22</v>
      </c>
      <c r="F28" s="435" t="s">
        <v>22</v>
      </c>
      <c r="G28" s="435" t="s">
        <v>22</v>
      </c>
      <c r="H28" s="435" t="s">
        <v>24</v>
      </c>
      <c r="I28" s="435" t="s">
        <v>25</v>
      </c>
      <c r="J28" s="435" t="s">
        <v>25</v>
      </c>
      <c r="K28" s="435" t="s">
        <v>26</v>
      </c>
      <c r="L28" s="435" t="s">
        <v>26</v>
      </c>
      <c r="M28" s="435" t="s">
        <v>26</v>
      </c>
      <c r="N28" s="435" t="s">
        <v>26</v>
      </c>
      <c r="O28" s="435" t="s">
        <v>26</v>
      </c>
    </row>
    <row r="29" spans="2:16" hidden="1" x14ac:dyDescent="0.25">
      <c r="B29" s="1">
        <v>1</v>
      </c>
      <c r="C29" s="41" t="s">
        <v>533</v>
      </c>
      <c r="D29" s="265">
        <f>90%*D10</f>
        <v>39.690841499999998</v>
      </c>
      <c r="E29" s="265">
        <f t="shared" ref="E29:O29" si="3">90%*E10</f>
        <v>43.341111475199995</v>
      </c>
      <c r="F29" s="265">
        <f t="shared" si="3"/>
        <v>61.594551105300013</v>
      </c>
      <c r="G29" s="265">
        <f t="shared" si="3"/>
        <v>76.907609999999991</v>
      </c>
      <c r="H29" s="265">
        <f t="shared" si="3"/>
        <v>0</v>
      </c>
      <c r="I29" s="265">
        <f t="shared" ca="1" si="3"/>
        <v>4.8120810416053215E-25</v>
      </c>
      <c r="J29" s="265">
        <f t="shared" ca="1" si="3"/>
        <v>4.8120810416053215E-25</v>
      </c>
      <c r="K29" s="265">
        <f t="shared" ca="1" si="3"/>
        <v>4.8120810416053215E-25</v>
      </c>
      <c r="L29" s="265">
        <f t="shared" ca="1" si="3"/>
        <v>4.8120810416053215E-25</v>
      </c>
      <c r="M29" s="265">
        <f t="shared" ca="1" si="3"/>
        <v>4.8120810416053215E-25</v>
      </c>
      <c r="N29" s="265">
        <f t="shared" ca="1" si="3"/>
        <v>4.8120810416053215E-25</v>
      </c>
      <c r="O29" s="265">
        <f t="shared" ca="1" si="3"/>
        <v>4.8120810416053215E-25</v>
      </c>
    </row>
    <row r="30" spans="2:16" hidden="1" x14ac:dyDescent="0.25">
      <c r="B30" s="1">
        <v>2</v>
      </c>
      <c r="C30" s="41" t="s">
        <v>534</v>
      </c>
      <c r="D30" s="265">
        <f t="shared" ref="D30:O36" si="4">90%*D11</f>
        <v>5.816073690000001E-2</v>
      </c>
      <c r="E30" s="265">
        <f t="shared" si="4"/>
        <v>7.6559480999999999E-2</v>
      </c>
      <c r="F30" s="265">
        <f t="shared" si="4"/>
        <v>6.5896516799999999E-2</v>
      </c>
      <c r="G30" s="265">
        <f t="shared" si="4"/>
        <v>6.1110000000000005E-2</v>
      </c>
      <c r="H30" s="265">
        <f t="shared" si="4"/>
        <v>0</v>
      </c>
      <c r="I30" s="265">
        <f t="shared" ca="1" si="4"/>
        <v>7.0513541367543438E-28</v>
      </c>
      <c r="J30" s="265">
        <f t="shared" ca="1" si="4"/>
        <v>7.0513541367543438E-28</v>
      </c>
      <c r="K30" s="265">
        <f t="shared" ca="1" si="4"/>
        <v>7.0513541367543438E-28</v>
      </c>
      <c r="L30" s="265">
        <f t="shared" ca="1" si="4"/>
        <v>7.0513541367543438E-28</v>
      </c>
      <c r="M30" s="265">
        <f t="shared" ca="1" si="4"/>
        <v>7.0513541367543438E-28</v>
      </c>
      <c r="N30" s="265">
        <f t="shared" ca="1" si="4"/>
        <v>7.0513541367543438E-28</v>
      </c>
      <c r="O30" s="265">
        <f t="shared" ca="1" si="4"/>
        <v>7.0513541367543438E-28</v>
      </c>
    </row>
    <row r="31" spans="2:16" hidden="1" x14ac:dyDescent="0.25">
      <c r="B31" s="1">
        <v>3</v>
      </c>
      <c r="C31" s="41" t="s">
        <v>535</v>
      </c>
      <c r="D31" s="265">
        <f t="shared" si="4"/>
        <v>0</v>
      </c>
      <c r="E31" s="265">
        <f t="shared" si="4"/>
        <v>0</v>
      </c>
      <c r="F31" s="265">
        <f t="shared" si="4"/>
        <v>0</v>
      </c>
      <c r="G31" s="265">
        <f t="shared" si="4"/>
        <v>0</v>
      </c>
      <c r="H31" s="265">
        <f t="shared" si="4"/>
        <v>0</v>
      </c>
      <c r="I31" s="265">
        <f t="shared" ca="1" si="4"/>
        <v>0</v>
      </c>
      <c r="J31" s="265">
        <f t="shared" ca="1" si="4"/>
        <v>0</v>
      </c>
      <c r="K31" s="265">
        <f t="shared" ca="1" si="4"/>
        <v>0</v>
      </c>
      <c r="L31" s="265">
        <f t="shared" ca="1" si="4"/>
        <v>0</v>
      </c>
      <c r="M31" s="265">
        <f t="shared" ca="1" si="4"/>
        <v>0</v>
      </c>
      <c r="N31" s="265">
        <f t="shared" ca="1" si="4"/>
        <v>0</v>
      </c>
      <c r="O31" s="265">
        <f t="shared" ca="1" si="4"/>
        <v>0</v>
      </c>
    </row>
    <row r="32" spans="2:16" hidden="1" x14ac:dyDescent="0.25">
      <c r="B32" s="1">
        <v>4</v>
      </c>
      <c r="C32" s="41" t="s">
        <v>536</v>
      </c>
      <c r="D32" s="265">
        <f t="shared" si="4"/>
        <v>0</v>
      </c>
      <c r="E32" s="265">
        <f t="shared" si="4"/>
        <v>0</v>
      </c>
      <c r="F32" s="265">
        <f t="shared" si="4"/>
        <v>0</v>
      </c>
      <c r="G32" s="265">
        <f t="shared" si="4"/>
        <v>0</v>
      </c>
      <c r="H32" s="265">
        <f t="shared" si="4"/>
        <v>0</v>
      </c>
      <c r="I32" s="265">
        <f t="shared" ca="1" si="4"/>
        <v>0</v>
      </c>
      <c r="J32" s="265">
        <f t="shared" ca="1" si="4"/>
        <v>0</v>
      </c>
      <c r="K32" s="265">
        <f t="shared" ca="1" si="4"/>
        <v>0</v>
      </c>
      <c r="L32" s="265">
        <f t="shared" ca="1" si="4"/>
        <v>0</v>
      </c>
      <c r="M32" s="265">
        <f t="shared" ca="1" si="4"/>
        <v>0</v>
      </c>
      <c r="N32" s="265">
        <f t="shared" ca="1" si="4"/>
        <v>0</v>
      </c>
      <c r="O32" s="265">
        <f t="shared" ca="1" si="4"/>
        <v>0</v>
      </c>
    </row>
    <row r="33" spans="2:16" hidden="1" x14ac:dyDescent="0.25">
      <c r="B33" s="1">
        <v>5</v>
      </c>
      <c r="C33" s="41" t="s">
        <v>537</v>
      </c>
      <c r="D33" s="265">
        <f t="shared" si="4"/>
        <v>11.877195481200001</v>
      </c>
      <c r="E33" s="265">
        <f t="shared" si="4"/>
        <v>11.8248288741</v>
      </c>
      <c r="F33" s="265">
        <f t="shared" si="4"/>
        <v>10.7488759239</v>
      </c>
      <c r="G33" s="265">
        <f t="shared" si="4"/>
        <v>1.77363</v>
      </c>
      <c r="H33" s="265">
        <f t="shared" si="4"/>
        <v>0</v>
      </c>
      <c r="I33" s="265">
        <f t="shared" ca="1" si="4"/>
        <v>1.4399802332868853E-25</v>
      </c>
      <c r="J33" s="265">
        <f t="shared" ca="1" si="4"/>
        <v>1.4399802332868853E-25</v>
      </c>
      <c r="K33" s="265">
        <f t="shared" ca="1" si="4"/>
        <v>1.4399802332868853E-25</v>
      </c>
      <c r="L33" s="265">
        <f t="shared" ca="1" si="4"/>
        <v>1.4399802332868853E-25</v>
      </c>
      <c r="M33" s="265">
        <f t="shared" ca="1" si="4"/>
        <v>1.4399802332868853E-25</v>
      </c>
      <c r="N33" s="265">
        <f t="shared" ca="1" si="4"/>
        <v>1.4399802332868853E-25</v>
      </c>
      <c r="O33" s="265">
        <f t="shared" ca="1" si="4"/>
        <v>1.4399802332868853E-25</v>
      </c>
    </row>
    <row r="34" spans="2:16" hidden="1" x14ac:dyDescent="0.25">
      <c r="B34" s="1">
        <v>6</v>
      </c>
      <c r="C34" s="41" t="s">
        <v>538</v>
      </c>
      <c r="D34" s="265">
        <f t="shared" si="4"/>
        <v>0</v>
      </c>
      <c r="E34" s="265">
        <f t="shared" si="4"/>
        <v>1.6725938400000001E-2</v>
      </c>
      <c r="F34" s="265">
        <f t="shared" si="4"/>
        <v>1.7074620000000002E-2</v>
      </c>
      <c r="G34" s="265">
        <f t="shared" si="4"/>
        <v>2.0519999999999997E-2</v>
      </c>
      <c r="H34" s="265">
        <f t="shared" si="4"/>
        <v>0</v>
      </c>
      <c r="I34" s="265">
        <f t="shared" ca="1" si="4"/>
        <v>0</v>
      </c>
      <c r="J34" s="265">
        <f t="shared" ca="1" si="4"/>
        <v>0</v>
      </c>
      <c r="K34" s="265">
        <f t="shared" ca="1" si="4"/>
        <v>0</v>
      </c>
      <c r="L34" s="265">
        <f t="shared" ca="1" si="4"/>
        <v>0</v>
      </c>
      <c r="M34" s="265">
        <f t="shared" ca="1" si="4"/>
        <v>0</v>
      </c>
      <c r="N34" s="265">
        <f t="shared" ca="1" si="4"/>
        <v>0</v>
      </c>
      <c r="O34" s="265">
        <f t="shared" ca="1" si="4"/>
        <v>0</v>
      </c>
    </row>
    <row r="35" spans="2:16" hidden="1" x14ac:dyDescent="0.25">
      <c r="B35" s="1">
        <v>7</v>
      </c>
      <c r="C35" s="41" t="s">
        <v>539</v>
      </c>
      <c r="D35" s="265">
        <f t="shared" si="4"/>
        <v>9.3916718937000017</v>
      </c>
      <c r="E35" s="265">
        <f t="shared" si="4"/>
        <v>11.454178198500001</v>
      </c>
      <c r="F35" s="265">
        <f t="shared" si="4"/>
        <v>17.570190402000001</v>
      </c>
      <c r="G35" s="265">
        <f t="shared" si="4"/>
        <v>22.006799999999998</v>
      </c>
      <c r="H35" s="265">
        <f t="shared" si="4"/>
        <v>0</v>
      </c>
      <c r="I35" s="265">
        <f t="shared" ca="1" si="4"/>
        <v>1.1386376443707147E-25</v>
      </c>
      <c r="J35" s="265">
        <f t="shared" ca="1" si="4"/>
        <v>1.1386376443707147E-25</v>
      </c>
      <c r="K35" s="265">
        <f t="shared" ca="1" si="4"/>
        <v>1.1386376443707147E-25</v>
      </c>
      <c r="L35" s="265">
        <f t="shared" ca="1" si="4"/>
        <v>1.1386376443707147E-25</v>
      </c>
      <c r="M35" s="265">
        <f t="shared" ca="1" si="4"/>
        <v>1.1386376443707147E-25</v>
      </c>
      <c r="N35" s="265">
        <f t="shared" ca="1" si="4"/>
        <v>1.1386376443707147E-25</v>
      </c>
      <c r="O35" s="265">
        <f t="shared" ca="1" si="4"/>
        <v>1.1386376443707147E-25</v>
      </c>
    </row>
    <row r="36" spans="2:16" hidden="1" x14ac:dyDescent="0.25">
      <c r="B36" s="1">
        <v>8</v>
      </c>
      <c r="C36" s="41" t="s">
        <v>540</v>
      </c>
      <c r="D36" s="265">
        <f t="shared" si="4"/>
        <v>0.98711739900000006</v>
      </c>
      <c r="E36" s="265">
        <f t="shared" si="4"/>
        <v>5.5757906369999999</v>
      </c>
      <c r="F36" s="265">
        <f t="shared" si="4"/>
        <v>2.8518707412000004</v>
      </c>
      <c r="G36" s="265">
        <f t="shared" si="4"/>
        <v>4.0282200000000001</v>
      </c>
      <c r="H36" s="265">
        <f t="shared" si="4"/>
        <v>0</v>
      </c>
      <c r="I36" s="265">
        <f t="shared" ca="1" si="4"/>
        <v>1.1967720365834736E-26</v>
      </c>
      <c r="J36" s="265">
        <f t="shared" ca="1" si="4"/>
        <v>1.1967720365834736E-26</v>
      </c>
      <c r="K36" s="265">
        <f t="shared" ca="1" si="4"/>
        <v>1.1967720365834736E-26</v>
      </c>
      <c r="L36" s="265">
        <f t="shared" ca="1" si="4"/>
        <v>1.1967720365834736E-26</v>
      </c>
      <c r="M36" s="265">
        <f t="shared" ca="1" si="4"/>
        <v>1.1967720365834736E-26</v>
      </c>
      <c r="N36" s="265">
        <f t="shared" ca="1" si="4"/>
        <v>1.1967720365834736E-26</v>
      </c>
      <c r="O36" s="265">
        <f t="shared" ca="1" si="4"/>
        <v>1.1967720365834736E-26</v>
      </c>
    </row>
    <row r="37" spans="2:16" x14ac:dyDescent="0.25">
      <c r="B37" s="1">
        <v>9</v>
      </c>
      <c r="C37" s="42" t="s">
        <v>541</v>
      </c>
      <c r="D37" s="97">
        <f>SUM(D29:D36)</f>
        <v>62.004987010800001</v>
      </c>
      <c r="E37" s="97">
        <f t="shared" ref="E37:O37" si="5">SUM(E29:E36)</f>
        <v>72.289194604199992</v>
      </c>
      <c r="F37" s="97">
        <f t="shared" si="5"/>
        <v>92.848459309200024</v>
      </c>
      <c r="G37" s="97">
        <f t="shared" si="5"/>
        <v>104.79789</v>
      </c>
      <c r="H37" s="97">
        <f t="shared" si="5"/>
        <v>0</v>
      </c>
      <c r="I37" s="97">
        <f t="shared" ca="1" si="5"/>
        <v>7.5174274770580228E-25</v>
      </c>
      <c r="J37" s="97">
        <f t="shared" ca="1" si="5"/>
        <v>7.5174274770580228E-25</v>
      </c>
      <c r="K37" s="97">
        <f>90%*K18</f>
        <v>117.32487383242515</v>
      </c>
      <c r="L37" s="97">
        <f>90%*L18</f>
        <v>134.30529821467385</v>
      </c>
      <c r="M37" s="97">
        <f t="shared" ca="1" si="5"/>
        <v>7.5174274770580228E-25</v>
      </c>
      <c r="N37" s="97">
        <f t="shared" ca="1" si="5"/>
        <v>7.5174274770580228E-25</v>
      </c>
      <c r="O37" s="97">
        <f t="shared" ca="1" si="5"/>
        <v>7.5174274770580228E-25</v>
      </c>
    </row>
    <row r="38" spans="2:16" x14ac:dyDescent="0.25">
      <c r="B38" s="1"/>
      <c r="C38" s="40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6" x14ac:dyDescent="0.25">
      <c r="B39" s="1">
        <v>10</v>
      </c>
      <c r="C39" s="44" t="s">
        <v>542</v>
      </c>
      <c r="D39" s="92"/>
      <c r="E39" s="92"/>
      <c r="F39" s="2"/>
      <c r="G39" s="92">
        <f>G20</f>
        <v>9054.74</v>
      </c>
      <c r="H39" s="92">
        <f t="shared" ref="H39:L40" si="6">H20</f>
        <v>0</v>
      </c>
      <c r="I39" s="92">
        <f t="shared" si="6"/>
        <v>0</v>
      </c>
      <c r="J39" s="92">
        <f t="shared" si="6"/>
        <v>9602.5944019660001</v>
      </c>
      <c r="K39" s="92">
        <f t="shared" si="6"/>
        <v>10199.121173671781</v>
      </c>
      <c r="L39" s="92">
        <f t="shared" si="6"/>
        <v>11851.401658837272</v>
      </c>
      <c r="M39" s="92">
        <f t="shared" ref="M39:O39" si="7">90%*M20</f>
        <v>13723.801677821717</v>
      </c>
      <c r="N39" s="92">
        <f t="shared" si="7"/>
        <v>15434.54614993518</v>
      </c>
      <c r="O39" s="92">
        <f t="shared" si="7"/>
        <v>17330.234851233403</v>
      </c>
    </row>
    <row r="40" spans="2:16" x14ac:dyDescent="0.25">
      <c r="B40" s="1">
        <v>11</v>
      </c>
      <c r="C40" s="44" t="s">
        <v>543</v>
      </c>
      <c r="D40" s="2"/>
      <c r="E40" s="2"/>
      <c r="F40" s="2"/>
      <c r="G40" s="268">
        <f>G21</f>
        <v>1.2859794980308654E-2</v>
      </c>
      <c r="H40" s="268">
        <f t="shared" si="6"/>
        <v>0</v>
      </c>
      <c r="I40" s="268">
        <f t="shared" si="6"/>
        <v>0</v>
      </c>
      <c r="J40" s="268">
        <f t="shared" si="6"/>
        <v>1.218106223210386E-2</v>
      </c>
      <c r="K40" s="268">
        <f t="shared" si="6"/>
        <v>1.2E-2</v>
      </c>
      <c r="L40" s="268">
        <f t="shared" si="6"/>
        <v>1.2E-2</v>
      </c>
      <c r="M40" s="268">
        <f t="shared" ref="M40:O40" ca="1" si="8">M37/M39</f>
        <v>5.4776567408479277E-29</v>
      </c>
      <c r="N40" s="268">
        <f t="shared" ca="1" si="8"/>
        <v>4.8705205867615314E-29</v>
      </c>
      <c r="O40" s="268">
        <f t="shared" ca="1" si="8"/>
        <v>4.3377528011531838E-29</v>
      </c>
    </row>
    <row r="41" spans="2:16" x14ac:dyDescent="0.25">
      <c r="B41" s="1"/>
      <c r="C41" s="40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3" spans="2:16" x14ac:dyDescent="0.25">
      <c r="B43" s="266" t="s">
        <v>688</v>
      </c>
    </row>
    <row r="44" spans="2:16" x14ac:dyDescent="0.25">
      <c r="L44" s="16" t="s">
        <v>1215</v>
      </c>
      <c r="O44" s="16" t="s">
        <v>3</v>
      </c>
    </row>
    <row r="45" spans="2:16" ht="13.95" customHeight="1" x14ac:dyDescent="0.25">
      <c r="B45" s="729" t="s">
        <v>4</v>
      </c>
      <c r="C45" s="760" t="s">
        <v>5</v>
      </c>
      <c r="D45" s="435" t="s">
        <v>222</v>
      </c>
      <c r="E45" s="435" t="s">
        <v>223</v>
      </c>
      <c r="F45" s="435" t="s">
        <v>224</v>
      </c>
      <c r="G45" s="435" t="s">
        <v>7</v>
      </c>
      <c r="H45" s="729" t="s">
        <v>8</v>
      </c>
      <c r="I45" s="729"/>
      <c r="J45" s="729"/>
      <c r="K45" s="768" t="s">
        <v>9</v>
      </c>
      <c r="L45" s="768"/>
      <c r="M45" s="768"/>
      <c r="N45" s="768"/>
      <c r="O45" s="768"/>
      <c r="P45" s="445"/>
    </row>
    <row r="46" spans="2:16" x14ac:dyDescent="0.25">
      <c r="B46" s="729"/>
      <c r="C46" s="760"/>
      <c r="D46" s="435" t="s">
        <v>11</v>
      </c>
      <c r="E46" s="435" t="s">
        <v>11</v>
      </c>
      <c r="F46" s="435" t="s">
        <v>11</v>
      </c>
      <c r="G46" s="435" t="s">
        <v>11</v>
      </c>
      <c r="H46" s="435" t="s">
        <v>13</v>
      </c>
      <c r="I46" s="435" t="s">
        <v>14</v>
      </c>
      <c r="J46" s="435" t="s">
        <v>15</v>
      </c>
      <c r="K46" s="435" t="s">
        <v>16</v>
      </c>
      <c r="L46" s="435" t="s">
        <v>17</v>
      </c>
      <c r="M46" s="435" t="s">
        <v>18</v>
      </c>
      <c r="N46" s="435" t="s">
        <v>19</v>
      </c>
      <c r="O46" s="435" t="s">
        <v>20</v>
      </c>
    </row>
    <row r="47" spans="2:16" x14ac:dyDescent="0.25">
      <c r="B47" s="729"/>
      <c r="C47" s="760"/>
      <c r="D47" s="435" t="s">
        <v>22</v>
      </c>
      <c r="E47" s="435" t="s">
        <v>22</v>
      </c>
      <c r="F47" s="435" t="s">
        <v>22</v>
      </c>
      <c r="G47" s="435" t="s">
        <v>22</v>
      </c>
      <c r="H47" s="435" t="s">
        <v>24</v>
      </c>
      <c r="I47" s="435" t="s">
        <v>25</v>
      </c>
      <c r="J47" s="435" t="s">
        <v>25</v>
      </c>
      <c r="K47" s="435" t="s">
        <v>26</v>
      </c>
      <c r="L47" s="435" t="s">
        <v>26</v>
      </c>
      <c r="M47" s="435" t="s">
        <v>26</v>
      </c>
      <c r="N47" s="435" t="s">
        <v>26</v>
      </c>
      <c r="O47" s="435" t="s">
        <v>26</v>
      </c>
    </row>
    <row r="48" spans="2:16" hidden="1" x14ac:dyDescent="0.25">
      <c r="B48" s="1">
        <v>1</v>
      </c>
      <c r="C48" s="41" t="s">
        <v>533</v>
      </c>
      <c r="D48" s="265">
        <f>10%*D29</f>
        <v>3.96908415</v>
      </c>
      <c r="E48" s="265">
        <f t="shared" ref="E48:O48" si="9">10%*E29</f>
        <v>4.3341111475199998</v>
      </c>
      <c r="F48" s="265">
        <f t="shared" si="9"/>
        <v>6.1594551105300015</v>
      </c>
      <c r="G48" s="265">
        <f t="shared" si="9"/>
        <v>7.6907609999999993</v>
      </c>
      <c r="H48" s="265">
        <f t="shared" si="9"/>
        <v>0</v>
      </c>
      <c r="I48" s="265">
        <f t="shared" ca="1" si="9"/>
        <v>4.8120810416053216E-26</v>
      </c>
      <c r="J48" s="265">
        <f t="shared" ca="1" si="9"/>
        <v>4.8120810416053216E-26</v>
      </c>
      <c r="K48" s="265">
        <f t="shared" ca="1" si="9"/>
        <v>4.8120810416053216E-26</v>
      </c>
      <c r="L48" s="265">
        <f t="shared" ca="1" si="9"/>
        <v>4.8120810416053216E-26</v>
      </c>
      <c r="M48" s="265">
        <f t="shared" ca="1" si="9"/>
        <v>4.8120810416053216E-26</v>
      </c>
      <c r="N48" s="265">
        <f t="shared" ca="1" si="9"/>
        <v>4.8120810416053216E-26</v>
      </c>
      <c r="O48" s="265">
        <f t="shared" ca="1" si="9"/>
        <v>4.8120810416053216E-26</v>
      </c>
    </row>
    <row r="49" spans="2:15" hidden="1" x14ac:dyDescent="0.25">
      <c r="B49" s="1">
        <v>2</v>
      </c>
      <c r="C49" s="41" t="s">
        <v>534</v>
      </c>
      <c r="D49" s="265">
        <f t="shared" ref="D49:O55" si="10">10%*D30</f>
        <v>5.8160736900000013E-3</v>
      </c>
      <c r="E49" s="265">
        <f t="shared" si="10"/>
        <v>7.6559481000000006E-3</v>
      </c>
      <c r="F49" s="265">
        <f t="shared" si="10"/>
        <v>6.5896516800000001E-3</v>
      </c>
      <c r="G49" s="265">
        <f t="shared" si="10"/>
        <v>6.111000000000001E-3</v>
      </c>
      <c r="H49" s="265">
        <f t="shared" si="10"/>
        <v>0</v>
      </c>
      <c r="I49" s="265">
        <f t="shared" ca="1" si="10"/>
        <v>7.0513541367543447E-29</v>
      </c>
      <c r="J49" s="265">
        <f t="shared" ca="1" si="10"/>
        <v>7.0513541367543447E-29</v>
      </c>
      <c r="K49" s="265">
        <f t="shared" ca="1" si="10"/>
        <v>7.0513541367543447E-29</v>
      </c>
      <c r="L49" s="265">
        <f t="shared" ca="1" si="10"/>
        <v>7.0513541367543447E-29</v>
      </c>
      <c r="M49" s="265">
        <f t="shared" ca="1" si="10"/>
        <v>7.0513541367543447E-29</v>
      </c>
      <c r="N49" s="265">
        <f t="shared" ca="1" si="10"/>
        <v>7.0513541367543447E-29</v>
      </c>
      <c r="O49" s="265">
        <f t="shared" ca="1" si="10"/>
        <v>7.0513541367543447E-29</v>
      </c>
    </row>
    <row r="50" spans="2:15" hidden="1" x14ac:dyDescent="0.25">
      <c r="B50" s="1">
        <v>3</v>
      </c>
      <c r="C50" s="41" t="s">
        <v>535</v>
      </c>
      <c r="D50" s="265">
        <f t="shared" si="10"/>
        <v>0</v>
      </c>
      <c r="E50" s="265">
        <f t="shared" si="10"/>
        <v>0</v>
      </c>
      <c r="F50" s="265">
        <f t="shared" si="10"/>
        <v>0</v>
      </c>
      <c r="G50" s="265">
        <f t="shared" si="10"/>
        <v>0</v>
      </c>
      <c r="H50" s="265">
        <f t="shared" si="10"/>
        <v>0</v>
      </c>
      <c r="I50" s="265">
        <f t="shared" ca="1" si="10"/>
        <v>0</v>
      </c>
      <c r="J50" s="265">
        <f t="shared" ca="1" si="10"/>
        <v>0</v>
      </c>
      <c r="K50" s="265">
        <f t="shared" ca="1" si="10"/>
        <v>0</v>
      </c>
      <c r="L50" s="265">
        <f t="shared" ca="1" si="10"/>
        <v>0</v>
      </c>
      <c r="M50" s="265">
        <f t="shared" ca="1" si="10"/>
        <v>0</v>
      </c>
      <c r="N50" s="265">
        <f t="shared" ca="1" si="10"/>
        <v>0</v>
      </c>
      <c r="O50" s="265">
        <f t="shared" ca="1" si="10"/>
        <v>0</v>
      </c>
    </row>
    <row r="51" spans="2:15" hidden="1" x14ac:dyDescent="0.25">
      <c r="B51" s="1">
        <v>4</v>
      </c>
      <c r="C51" s="41" t="s">
        <v>536</v>
      </c>
      <c r="D51" s="265">
        <f t="shared" si="10"/>
        <v>0</v>
      </c>
      <c r="E51" s="265">
        <f t="shared" si="10"/>
        <v>0</v>
      </c>
      <c r="F51" s="265">
        <f t="shared" si="10"/>
        <v>0</v>
      </c>
      <c r="G51" s="265">
        <f t="shared" si="10"/>
        <v>0</v>
      </c>
      <c r="H51" s="265">
        <f t="shared" si="10"/>
        <v>0</v>
      </c>
      <c r="I51" s="265">
        <f t="shared" ca="1" si="10"/>
        <v>0</v>
      </c>
      <c r="J51" s="265">
        <f t="shared" ca="1" si="10"/>
        <v>0</v>
      </c>
      <c r="K51" s="265">
        <f t="shared" ca="1" si="10"/>
        <v>0</v>
      </c>
      <c r="L51" s="265">
        <f t="shared" ca="1" si="10"/>
        <v>0</v>
      </c>
      <c r="M51" s="265">
        <f t="shared" ca="1" si="10"/>
        <v>0</v>
      </c>
      <c r="N51" s="265">
        <f t="shared" ca="1" si="10"/>
        <v>0</v>
      </c>
      <c r="O51" s="265">
        <f t="shared" ca="1" si="10"/>
        <v>0</v>
      </c>
    </row>
    <row r="52" spans="2:15" hidden="1" x14ac:dyDescent="0.25">
      <c r="B52" s="1">
        <v>5</v>
      </c>
      <c r="C52" s="41" t="s">
        <v>537</v>
      </c>
      <c r="D52" s="265">
        <f t="shared" si="10"/>
        <v>1.1877195481200002</v>
      </c>
      <c r="E52" s="265">
        <f t="shared" si="10"/>
        <v>1.18248288741</v>
      </c>
      <c r="F52" s="265">
        <f t="shared" si="10"/>
        <v>1.0748875923900001</v>
      </c>
      <c r="G52" s="265">
        <f t="shared" si="10"/>
        <v>0.17736300000000002</v>
      </c>
      <c r="H52" s="265">
        <f t="shared" si="10"/>
        <v>0</v>
      </c>
      <c r="I52" s="265">
        <f t="shared" ca="1" si="10"/>
        <v>1.4399802332868853E-26</v>
      </c>
      <c r="J52" s="265">
        <f t="shared" ca="1" si="10"/>
        <v>1.4399802332868853E-26</v>
      </c>
      <c r="K52" s="265">
        <f t="shared" ca="1" si="10"/>
        <v>1.4399802332868853E-26</v>
      </c>
      <c r="L52" s="265">
        <f t="shared" ca="1" si="10"/>
        <v>1.4399802332868853E-26</v>
      </c>
      <c r="M52" s="265">
        <f t="shared" ca="1" si="10"/>
        <v>1.4399802332868853E-26</v>
      </c>
      <c r="N52" s="265">
        <f t="shared" ca="1" si="10"/>
        <v>1.4399802332868853E-26</v>
      </c>
      <c r="O52" s="265">
        <f t="shared" ca="1" si="10"/>
        <v>1.4399802332868853E-26</v>
      </c>
    </row>
    <row r="53" spans="2:15" hidden="1" x14ac:dyDescent="0.25">
      <c r="B53" s="1">
        <v>6</v>
      </c>
      <c r="C53" s="41" t="s">
        <v>538</v>
      </c>
      <c r="D53" s="265">
        <f t="shared" si="10"/>
        <v>0</v>
      </c>
      <c r="E53" s="265">
        <f t="shared" si="10"/>
        <v>1.6725938400000001E-3</v>
      </c>
      <c r="F53" s="265">
        <f t="shared" si="10"/>
        <v>1.7074620000000003E-3</v>
      </c>
      <c r="G53" s="265">
        <f t="shared" si="10"/>
        <v>2.0519999999999996E-3</v>
      </c>
      <c r="H53" s="265">
        <f t="shared" si="10"/>
        <v>0</v>
      </c>
      <c r="I53" s="265">
        <f t="shared" ca="1" si="10"/>
        <v>0</v>
      </c>
      <c r="J53" s="265">
        <f t="shared" ca="1" si="10"/>
        <v>0</v>
      </c>
      <c r="K53" s="265">
        <f t="shared" ca="1" si="10"/>
        <v>0</v>
      </c>
      <c r="L53" s="265">
        <f t="shared" ca="1" si="10"/>
        <v>0</v>
      </c>
      <c r="M53" s="265">
        <f t="shared" ca="1" si="10"/>
        <v>0</v>
      </c>
      <c r="N53" s="265">
        <f t="shared" ca="1" si="10"/>
        <v>0</v>
      </c>
      <c r="O53" s="265">
        <f t="shared" ca="1" si="10"/>
        <v>0</v>
      </c>
    </row>
    <row r="54" spans="2:15" hidden="1" x14ac:dyDescent="0.25">
      <c r="B54" s="1">
        <v>7</v>
      </c>
      <c r="C54" s="41" t="s">
        <v>539</v>
      </c>
      <c r="D54" s="265">
        <f t="shared" si="10"/>
        <v>0.93916718937000021</v>
      </c>
      <c r="E54" s="265">
        <f t="shared" si="10"/>
        <v>1.1454178198500002</v>
      </c>
      <c r="F54" s="265">
        <f t="shared" si="10"/>
        <v>1.7570190402000003</v>
      </c>
      <c r="G54" s="265">
        <f t="shared" si="10"/>
        <v>2.2006799999999997</v>
      </c>
      <c r="H54" s="265">
        <f t="shared" si="10"/>
        <v>0</v>
      </c>
      <c r="I54" s="265">
        <f t="shared" ca="1" si="10"/>
        <v>1.1386376443707148E-26</v>
      </c>
      <c r="J54" s="265">
        <f t="shared" ca="1" si="10"/>
        <v>1.1386376443707148E-26</v>
      </c>
      <c r="K54" s="265">
        <f t="shared" ca="1" si="10"/>
        <v>1.1386376443707148E-26</v>
      </c>
      <c r="L54" s="265">
        <f t="shared" ca="1" si="10"/>
        <v>1.1386376443707148E-26</v>
      </c>
      <c r="M54" s="265">
        <f t="shared" ca="1" si="10"/>
        <v>1.1386376443707148E-26</v>
      </c>
      <c r="N54" s="265">
        <f t="shared" ca="1" si="10"/>
        <v>1.1386376443707148E-26</v>
      </c>
      <c r="O54" s="265">
        <f t="shared" ca="1" si="10"/>
        <v>1.1386376443707148E-26</v>
      </c>
    </row>
    <row r="55" spans="2:15" hidden="1" x14ac:dyDescent="0.25">
      <c r="B55" s="1">
        <v>8</v>
      </c>
      <c r="C55" s="41" t="s">
        <v>540</v>
      </c>
      <c r="D55" s="265">
        <f t="shared" si="10"/>
        <v>9.8711739900000012E-2</v>
      </c>
      <c r="E55" s="265">
        <f t="shared" si="10"/>
        <v>0.55757906369999999</v>
      </c>
      <c r="F55" s="265">
        <f t="shared" si="10"/>
        <v>0.28518707412000005</v>
      </c>
      <c r="G55" s="265">
        <f t="shared" si="10"/>
        <v>0.40282200000000001</v>
      </c>
      <c r="H55" s="265">
        <f t="shared" si="10"/>
        <v>0</v>
      </c>
      <c r="I55" s="265">
        <f t="shared" ca="1" si="10"/>
        <v>1.1967720365834737E-27</v>
      </c>
      <c r="J55" s="265">
        <f t="shared" ca="1" si="10"/>
        <v>1.1967720365834737E-27</v>
      </c>
      <c r="K55" s="265">
        <f t="shared" ca="1" si="10"/>
        <v>1.1967720365834737E-27</v>
      </c>
      <c r="L55" s="265">
        <f t="shared" ca="1" si="10"/>
        <v>1.1967720365834737E-27</v>
      </c>
      <c r="M55" s="265">
        <f t="shared" ca="1" si="10"/>
        <v>1.1967720365834737E-27</v>
      </c>
      <c r="N55" s="265">
        <f t="shared" ca="1" si="10"/>
        <v>1.1967720365834737E-27</v>
      </c>
      <c r="O55" s="265">
        <f t="shared" ca="1" si="10"/>
        <v>1.1967720365834737E-27</v>
      </c>
    </row>
    <row r="56" spans="2:15" x14ac:dyDescent="0.25">
      <c r="B56" s="1">
        <v>9</v>
      </c>
      <c r="C56" s="42" t="s">
        <v>541</v>
      </c>
      <c r="D56" s="97">
        <f>SUM(D48:D55)</f>
        <v>6.2004987010799999</v>
      </c>
      <c r="E56" s="97">
        <f t="shared" ref="E56:O56" si="11">SUM(E48:E55)</f>
        <v>7.2289194604200002</v>
      </c>
      <c r="F56" s="97">
        <f t="shared" si="11"/>
        <v>9.2848459309200013</v>
      </c>
      <c r="G56" s="97">
        <f t="shared" si="11"/>
        <v>10.479788999999998</v>
      </c>
      <c r="H56" s="97">
        <f t="shared" si="11"/>
        <v>0</v>
      </c>
      <c r="I56" s="97">
        <f t="shared" ca="1" si="11"/>
        <v>7.5174274770580248E-26</v>
      </c>
      <c r="J56" s="97">
        <f t="shared" ca="1" si="11"/>
        <v>7.5174274770580248E-26</v>
      </c>
      <c r="K56" s="97">
        <f>K18*10%</f>
        <v>13.036097092491685</v>
      </c>
      <c r="L56" s="97">
        <f>L18*10%</f>
        <v>14.922810912741539</v>
      </c>
      <c r="M56" s="97">
        <f t="shared" ca="1" si="11"/>
        <v>7.5174274770580248E-26</v>
      </c>
      <c r="N56" s="97">
        <f t="shared" ca="1" si="11"/>
        <v>7.5174274770580248E-26</v>
      </c>
      <c r="O56" s="97">
        <f t="shared" ca="1" si="11"/>
        <v>7.5174274770580248E-26</v>
      </c>
    </row>
    <row r="57" spans="2:15" x14ac:dyDescent="0.25">
      <c r="B57" s="1"/>
      <c r="C57" s="40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 x14ac:dyDescent="0.25">
      <c r="B58" s="1">
        <v>10</v>
      </c>
      <c r="C58" s="44" t="s">
        <v>542</v>
      </c>
      <c r="D58" s="92"/>
      <c r="E58" s="92"/>
      <c r="F58" s="2"/>
      <c r="G58" s="92">
        <f>G39</f>
        <v>9054.74</v>
      </c>
      <c r="H58" s="92">
        <f t="shared" ref="H58:L59" si="12">H39</f>
        <v>0</v>
      </c>
      <c r="I58" s="92">
        <f t="shared" si="12"/>
        <v>0</v>
      </c>
      <c r="J58" s="92">
        <f t="shared" si="12"/>
        <v>9602.5944019660001</v>
      </c>
      <c r="K58" s="92">
        <f t="shared" si="12"/>
        <v>10199.121173671781</v>
      </c>
      <c r="L58" s="92">
        <f t="shared" si="12"/>
        <v>11851.401658837272</v>
      </c>
      <c r="M58" s="92">
        <f t="shared" ref="M58:O58" si="13">10%*M20</f>
        <v>1524.8668530913019</v>
      </c>
      <c r="N58" s="92">
        <f t="shared" si="13"/>
        <v>1714.9495722150202</v>
      </c>
      <c r="O58" s="92">
        <f t="shared" si="13"/>
        <v>1925.5816501370446</v>
      </c>
    </row>
    <row r="59" spans="2:15" x14ac:dyDescent="0.25">
      <c r="B59" s="1">
        <v>11</v>
      </c>
      <c r="C59" s="44" t="s">
        <v>543</v>
      </c>
      <c r="D59" s="2"/>
      <c r="E59" s="2"/>
      <c r="F59" s="2"/>
      <c r="G59" s="269">
        <f>G40</f>
        <v>1.2859794980308654E-2</v>
      </c>
      <c r="H59" s="269">
        <f t="shared" si="12"/>
        <v>0</v>
      </c>
      <c r="I59" s="269">
        <f t="shared" si="12"/>
        <v>0</v>
      </c>
      <c r="J59" s="269">
        <f t="shared" si="12"/>
        <v>1.218106223210386E-2</v>
      </c>
      <c r="K59" s="269">
        <f t="shared" si="12"/>
        <v>1.2E-2</v>
      </c>
      <c r="L59" s="269">
        <f t="shared" si="12"/>
        <v>1.2E-2</v>
      </c>
      <c r="M59" s="269">
        <f t="shared" ref="M59:O59" ca="1" si="14">M56/M58</f>
        <v>4.9298910667631364E-29</v>
      </c>
      <c r="N59" s="269">
        <f t="shared" ca="1" si="14"/>
        <v>4.3834685280853789E-29</v>
      </c>
      <c r="O59" s="269">
        <f t="shared" ca="1" si="14"/>
        <v>3.9039775210378671E-29</v>
      </c>
    </row>
    <row r="60" spans="2:15" x14ac:dyDescent="0.25">
      <c r="B60" s="1"/>
      <c r="C60" s="40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</sheetData>
  <mergeCells count="12">
    <mergeCell ref="B45:B47"/>
    <mergeCell ref="C45:C47"/>
    <mergeCell ref="H45:J45"/>
    <mergeCell ref="K45:O45"/>
    <mergeCell ref="B7:B9"/>
    <mergeCell ref="C7:C9"/>
    <mergeCell ref="H7:J7"/>
    <mergeCell ref="K7:O7"/>
    <mergeCell ref="B26:B28"/>
    <mergeCell ref="C26:C28"/>
    <mergeCell ref="H26:J26"/>
    <mergeCell ref="K26:O26"/>
  </mergeCells>
  <pageMargins left="0.75" right="0.75" top="1" bottom="1" header="0.5" footer="0.5"/>
  <pageSetup paperSize="9" scale="54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1:P17"/>
  <sheetViews>
    <sheetView showGridLines="0" zoomScale="75" zoomScaleNormal="75" zoomScaleSheetLayoutView="90" workbookViewId="0">
      <selection activeCell="L13" sqref="L13"/>
    </sheetView>
  </sheetViews>
  <sheetFormatPr defaultColWidth="9.109375" defaultRowHeight="13.8" x14ac:dyDescent="0.25"/>
  <cols>
    <col min="1" max="1" width="4.109375" style="3" customWidth="1"/>
    <col min="2" max="2" width="6.33203125" style="3" customWidth="1"/>
    <col min="3" max="3" width="34.5546875" style="3" customWidth="1"/>
    <col min="4" max="4" width="12.33203125" style="3" hidden="1" customWidth="1"/>
    <col min="5" max="5" width="12.5546875" style="3" hidden="1" customWidth="1"/>
    <col min="6" max="6" width="13.44140625" style="3" hidden="1" customWidth="1"/>
    <col min="7" max="7" width="12.5546875" style="3" hidden="1" customWidth="1"/>
    <col min="8" max="8" width="11.33203125" style="3" hidden="1" customWidth="1"/>
    <col min="9" max="9" width="12" style="3" hidden="1" customWidth="1"/>
    <col min="10" max="10" width="15.33203125" style="3" hidden="1" customWidth="1"/>
    <col min="11" max="11" width="13.6640625" style="3" customWidth="1"/>
    <col min="12" max="12" width="14.5546875" style="3" customWidth="1"/>
    <col min="13" max="13" width="13" style="3" hidden="1" customWidth="1"/>
    <col min="14" max="15" width="14.6640625" style="3" hidden="1" customWidth="1"/>
    <col min="16" max="17" width="11.88671875" style="3" bestFit="1" customWidth="1"/>
    <col min="18" max="18" width="11.6640625" style="3" bestFit="1" customWidth="1"/>
    <col min="19" max="16384" width="9.109375" style="3"/>
  </cols>
  <sheetData>
    <row r="1" spans="2:16" x14ac:dyDescent="0.25">
      <c r="B1" s="45"/>
    </row>
    <row r="2" spans="2:16" x14ac:dyDescent="0.25">
      <c r="C2" s="4"/>
      <c r="D2" s="4"/>
      <c r="E2" s="4"/>
      <c r="F2" s="4"/>
      <c r="G2" s="4"/>
      <c r="H2" s="439" t="s">
        <v>38</v>
      </c>
      <c r="I2" s="4"/>
      <c r="J2" s="251" t="s">
        <v>0</v>
      </c>
      <c r="K2" s="4"/>
      <c r="L2" s="4"/>
      <c r="M2" s="4"/>
    </row>
    <row r="3" spans="2:16" x14ac:dyDescent="0.25">
      <c r="C3" s="4"/>
      <c r="D3" s="4"/>
      <c r="E3" s="4"/>
      <c r="F3" s="4"/>
      <c r="G3" s="4"/>
      <c r="H3" s="440" t="s">
        <v>544</v>
      </c>
      <c r="I3" s="4"/>
      <c r="J3" s="4"/>
      <c r="K3" s="4"/>
      <c r="L3" s="4"/>
      <c r="M3" s="4"/>
    </row>
    <row r="4" spans="2:16" x14ac:dyDescent="0.25">
      <c r="B4" s="2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2:16" x14ac:dyDescent="0.25">
      <c r="L5" s="447" t="s">
        <v>1215</v>
      </c>
      <c r="O5" s="16" t="s">
        <v>3</v>
      </c>
    </row>
    <row r="6" spans="2:16" s="5" customFormat="1" ht="15" customHeight="1" x14ac:dyDescent="0.25">
      <c r="B6" s="758" t="s">
        <v>4</v>
      </c>
      <c r="C6" s="760" t="s">
        <v>5</v>
      </c>
      <c r="D6" s="755" t="s">
        <v>7</v>
      </c>
      <c r="E6" s="756"/>
      <c r="F6" s="757"/>
      <c r="G6" s="755" t="s">
        <v>8</v>
      </c>
      <c r="H6" s="756"/>
      <c r="I6" s="756"/>
      <c r="J6" s="756"/>
      <c r="K6" s="768" t="s">
        <v>9</v>
      </c>
      <c r="L6" s="768"/>
      <c r="M6" s="768"/>
      <c r="N6" s="768"/>
      <c r="O6" s="768"/>
      <c r="P6" s="445"/>
    </row>
    <row r="7" spans="2:16" s="5" customFormat="1" ht="27.6" x14ac:dyDescent="0.25">
      <c r="B7" s="792"/>
      <c r="C7" s="760"/>
      <c r="D7" s="435" t="s">
        <v>10</v>
      </c>
      <c r="E7" s="435" t="s">
        <v>11</v>
      </c>
      <c r="F7" s="435" t="s">
        <v>12</v>
      </c>
      <c r="G7" s="435" t="s">
        <v>10</v>
      </c>
      <c r="H7" s="435" t="s">
        <v>13</v>
      </c>
      <c r="I7" s="435" t="s">
        <v>14</v>
      </c>
      <c r="J7" s="435" t="s">
        <v>15</v>
      </c>
      <c r="K7" s="435" t="s">
        <v>16</v>
      </c>
      <c r="L7" s="435" t="s">
        <v>17</v>
      </c>
      <c r="M7" s="435" t="s">
        <v>18</v>
      </c>
      <c r="N7" s="435" t="s">
        <v>19</v>
      </c>
      <c r="O7" s="435" t="s">
        <v>20</v>
      </c>
    </row>
    <row r="8" spans="2:16" s="5" customFormat="1" x14ac:dyDescent="0.25">
      <c r="B8" s="810"/>
      <c r="C8" s="857"/>
      <c r="D8" s="435" t="s">
        <v>21</v>
      </c>
      <c r="E8" s="435" t="s">
        <v>22</v>
      </c>
      <c r="F8" s="435" t="s">
        <v>23</v>
      </c>
      <c r="G8" s="435" t="s">
        <v>21</v>
      </c>
      <c r="H8" s="435" t="s">
        <v>24</v>
      </c>
      <c r="I8" s="435" t="s">
        <v>25</v>
      </c>
      <c r="J8" s="435" t="s">
        <v>25</v>
      </c>
      <c r="K8" s="435" t="s">
        <v>26</v>
      </c>
      <c r="L8" s="435" t="s">
        <v>26</v>
      </c>
      <c r="M8" s="435" t="s">
        <v>26</v>
      </c>
      <c r="N8" s="435" t="s">
        <v>26</v>
      </c>
      <c r="O8" s="435" t="s">
        <v>26</v>
      </c>
    </row>
    <row r="9" spans="2:16" s="4" customFormat="1" x14ac:dyDescent="0.25">
      <c r="B9" s="442">
        <v>1</v>
      </c>
      <c r="C9" s="441" t="s">
        <v>545</v>
      </c>
      <c r="D9" s="136"/>
      <c r="E9" s="129">
        <f>[57]Capex!$T$36</f>
        <v>503.38513469899999</v>
      </c>
      <c r="F9" s="270"/>
      <c r="G9" s="101"/>
      <c r="H9" s="271"/>
      <c r="I9" s="271"/>
      <c r="J9" s="272">
        <f>'[56]Investment for 5th MYT'!$B$133</f>
        <v>550.80240000000003</v>
      </c>
      <c r="K9" s="272">
        <f>'[56]Investment for 5th MYT'!$B$160</f>
        <v>2018.15</v>
      </c>
      <c r="L9" s="272">
        <f>'[56]Investment for 5th MYT'!$B$187</f>
        <v>1792.8414605507073</v>
      </c>
      <c r="M9" s="272">
        <f>'[56]Investment for 5th MYT'!$B$214</f>
        <v>1782.7158004549219</v>
      </c>
      <c r="N9" s="272">
        <f>'[56]Investment for 5th MYT'!$B$241</f>
        <v>1903.559596184401</v>
      </c>
      <c r="O9" s="272">
        <f>'[56]Investment for 5th MYT'!$B$268</f>
        <v>2062.5322567135781</v>
      </c>
    </row>
    <row r="10" spans="2:16" s="4" customFormat="1" x14ac:dyDescent="0.25">
      <c r="B10" s="438">
        <v>2</v>
      </c>
      <c r="C10" s="441" t="s">
        <v>546</v>
      </c>
      <c r="D10" s="136"/>
      <c r="E10" s="129">
        <f>[57]Capex!$T$39</f>
        <v>595.2675962860003</v>
      </c>
      <c r="F10" s="270"/>
      <c r="G10" s="101"/>
      <c r="H10" s="271"/>
      <c r="I10" s="271"/>
      <c r="J10" s="272">
        <f>'[56]Investment for 5th MYT'!$F$133</f>
        <v>2063.8743717057832</v>
      </c>
      <c r="K10" s="272">
        <f>'[56]Investment for 5th MYT'!$F$160</f>
        <v>1426.9719457161941</v>
      </c>
      <c r="L10" s="272">
        <f>'[56]Investment for 5th MYT'!$F$187</f>
        <v>1632.8230291781974</v>
      </c>
      <c r="M10" s="272">
        <f>'[56]Investment for 5th MYT'!$F$214</f>
        <v>1875.1619785312446</v>
      </c>
      <c r="N10" s="272">
        <f>'[56]Investment for 5th MYT'!$F$241</f>
        <v>2059.7998517663641</v>
      </c>
      <c r="O10" s="272">
        <f>'[56]Investment for 5th MYT'!$F$268</f>
        <v>2329.2958901176221</v>
      </c>
    </row>
    <row r="11" spans="2:16" s="4" customFormat="1" x14ac:dyDescent="0.25">
      <c r="B11" s="438">
        <v>3</v>
      </c>
      <c r="C11" s="19" t="s">
        <v>547</v>
      </c>
      <c r="D11" s="136"/>
      <c r="E11" s="129">
        <f>[57]Capex!$T$38</f>
        <v>547.85033098500026</v>
      </c>
      <c r="F11" s="270"/>
      <c r="G11" s="101"/>
      <c r="H11" s="271"/>
      <c r="I11" s="271"/>
      <c r="J11" s="272">
        <f>'[56]Investment for 5th MYT'!$I$133</f>
        <v>596.52677170578318</v>
      </c>
      <c r="K11" s="272">
        <f>'[56]Investment for 5th MYT'!$I$160</f>
        <v>1652.2804851654869</v>
      </c>
      <c r="L11" s="272">
        <f>'[56]Investment for 5th MYT'!$I$187</f>
        <v>1642.9486892739828</v>
      </c>
      <c r="M11" s="272">
        <f>'[56]Investment for 5th MYT'!$I$214</f>
        <v>1754.3181828017655</v>
      </c>
      <c r="N11" s="272">
        <f>'[56]Investment for 5th MYT'!$I$241</f>
        <v>1900.827191237187</v>
      </c>
      <c r="O11" s="272">
        <f>'[56]Investment for 5th MYT'!$I$268</f>
        <v>2106.3207792202434</v>
      </c>
    </row>
    <row r="12" spans="2:16" s="4" customFormat="1" x14ac:dyDescent="0.25">
      <c r="B12" s="438">
        <v>4</v>
      </c>
      <c r="C12" s="441" t="s">
        <v>548</v>
      </c>
      <c r="D12" s="136"/>
      <c r="E12" s="136">
        <f>E9+E10-E11</f>
        <v>550.80240000000003</v>
      </c>
      <c r="F12" s="270"/>
      <c r="G12" s="136"/>
      <c r="H12" s="273"/>
      <c r="I12" s="273"/>
      <c r="J12" s="243">
        <f>'[56]Investment for 5th MYT'!$J$133</f>
        <v>2018.15</v>
      </c>
      <c r="K12" s="131">
        <f>'[56]Investment for 5th MYT'!$J$160</f>
        <v>1792.8414605507073</v>
      </c>
      <c r="L12" s="131">
        <f>'[56]Investment for 5th MYT'!$J$187</f>
        <v>1782.7158004549219</v>
      </c>
      <c r="M12" s="131">
        <f>'[56]Investment for 5th MYT'!$J$214</f>
        <v>1903.559596184401</v>
      </c>
      <c r="N12" s="131">
        <f>'[56]Investment for 5th MYT'!$J$241</f>
        <v>2062.5322567135781</v>
      </c>
      <c r="O12" s="131">
        <f>'[56]Investment for 5th MYT'!$J$268</f>
        <v>2285.5073676109564</v>
      </c>
    </row>
    <row r="13" spans="2:16" s="22" customFormat="1" ht="14.4" x14ac:dyDescent="0.25">
      <c r="B13" s="50"/>
      <c r="C13" s="37"/>
      <c r="D13" s="47"/>
      <c r="E13" s="47"/>
      <c r="F13" s="47"/>
      <c r="G13" s="48"/>
      <c r="H13" s="14"/>
      <c r="I13" s="14"/>
      <c r="J13" s="14"/>
      <c r="K13" s="14"/>
      <c r="L13" s="14"/>
      <c r="M13" s="14"/>
    </row>
    <row r="14" spans="2:16" x14ac:dyDescent="0.25">
      <c r="D14" s="274"/>
    </row>
    <row r="15" spans="2:16" x14ac:dyDescent="0.25">
      <c r="B15" s="51"/>
      <c r="E15" s="275"/>
    </row>
    <row r="16" spans="2:16" x14ac:dyDescent="0.25">
      <c r="E16" s="448"/>
    </row>
    <row r="17" spans="5:5" x14ac:dyDescent="0.25">
      <c r="E17" s="448"/>
    </row>
  </sheetData>
  <mergeCells count="5"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8" orientation="landscape" r:id="rId1"/>
  <headerFooter alignWithMargins="0">
    <oddHeader>&amp;F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1:P953"/>
  <sheetViews>
    <sheetView showGridLines="0" topLeftCell="A738" zoomScale="75" zoomScaleNormal="75" zoomScaleSheetLayoutView="90" workbookViewId="0">
      <selection activeCell="L13" sqref="L13"/>
    </sheetView>
  </sheetViews>
  <sheetFormatPr defaultColWidth="9.109375" defaultRowHeight="13.8" x14ac:dyDescent="0.25"/>
  <cols>
    <col min="1" max="1" width="4.109375" style="4" customWidth="1"/>
    <col min="2" max="2" width="9.109375" style="4"/>
    <col min="3" max="3" width="46.109375" style="4" customWidth="1"/>
    <col min="4" max="4" width="14.33203125" style="4" customWidth="1"/>
    <col min="5" max="5" width="15.6640625" style="4" customWidth="1"/>
    <col min="6" max="6" width="13.33203125" style="4" customWidth="1"/>
    <col min="7" max="7" width="10.88671875" style="4" customWidth="1"/>
    <col min="8" max="8" width="14.88671875" style="4" customWidth="1"/>
    <col min="9" max="9" width="13.33203125" style="4" customWidth="1"/>
    <col min="10" max="10" width="15.109375" style="4" customWidth="1"/>
    <col min="11" max="12" width="10.88671875" style="4" customWidth="1"/>
    <col min="13" max="13" width="13.6640625" style="4" customWidth="1"/>
    <col min="14" max="14" width="15.33203125" style="4" customWidth="1"/>
    <col min="15" max="15" width="11.88671875" style="4" customWidth="1"/>
    <col min="16" max="16" width="13.88671875" style="4" bestFit="1" customWidth="1"/>
    <col min="17" max="21" width="11.88671875" style="4" bestFit="1" customWidth="1"/>
    <col min="22" max="22" width="11.6640625" style="4" bestFit="1" customWidth="1"/>
    <col min="23" max="16384" width="9.109375" style="4"/>
  </cols>
  <sheetData>
    <row r="1" spans="2:15" x14ac:dyDescent="0.25">
      <c r="B1" s="14"/>
    </row>
    <row r="2" spans="2:15" x14ac:dyDescent="0.25">
      <c r="H2" s="251" t="s">
        <v>0</v>
      </c>
      <c r="I2" s="439"/>
    </row>
    <row r="3" spans="2:15" x14ac:dyDescent="0.25">
      <c r="H3" s="440" t="s">
        <v>555</v>
      </c>
      <c r="I3" s="440"/>
    </row>
    <row r="4" spans="2:15" x14ac:dyDescent="0.25">
      <c r="B4" s="22" t="s">
        <v>684</v>
      </c>
      <c r="H4" s="440"/>
      <c r="I4" s="440"/>
    </row>
    <row r="5" spans="2:15" hidden="1" x14ac:dyDescent="0.25">
      <c r="K5" s="440"/>
      <c r="O5" s="22" t="s">
        <v>3</v>
      </c>
    </row>
    <row r="6" spans="2:15" hidden="1" x14ac:dyDescent="0.25">
      <c r="B6" s="871" t="s">
        <v>7</v>
      </c>
      <c r="C6" s="872"/>
      <c r="D6" s="872"/>
      <c r="E6" s="872"/>
      <c r="F6" s="872"/>
      <c r="G6" s="872"/>
      <c r="H6" s="872"/>
      <c r="I6" s="872"/>
      <c r="J6" s="872"/>
      <c r="K6" s="872"/>
      <c r="L6" s="872"/>
      <c r="M6" s="872"/>
      <c r="N6" s="872"/>
      <c r="O6" s="873"/>
    </row>
    <row r="7" spans="2:15" ht="13.95" hidden="1" customHeight="1" x14ac:dyDescent="0.25">
      <c r="B7" s="861" t="s">
        <v>474</v>
      </c>
      <c r="C7" s="863" t="s">
        <v>556</v>
      </c>
      <c r="D7" s="865" t="s">
        <v>557</v>
      </c>
      <c r="E7" s="865" t="s">
        <v>558</v>
      </c>
      <c r="F7" s="865" t="s">
        <v>559</v>
      </c>
      <c r="G7" s="865"/>
      <c r="H7" s="865"/>
      <c r="I7" s="865"/>
      <c r="J7" s="865" t="s">
        <v>560</v>
      </c>
      <c r="K7" s="865"/>
      <c r="L7" s="865"/>
      <c r="M7" s="865"/>
      <c r="N7" s="865" t="s">
        <v>561</v>
      </c>
      <c r="O7" s="867"/>
    </row>
    <row r="8" spans="2:15" ht="55.2" hidden="1" x14ac:dyDescent="0.25">
      <c r="B8" s="861"/>
      <c r="C8" s="874"/>
      <c r="D8" s="865"/>
      <c r="E8" s="865"/>
      <c r="F8" s="449" t="s">
        <v>562</v>
      </c>
      <c r="G8" s="449" t="s">
        <v>563</v>
      </c>
      <c r="H8" s="449" t="s">
        <v>564</v>
      </c>
      <c r="I8" s="449" t="s">
        <v>565</v>
      </c>
      <c r="J8" s="449" t="s">
        <v>566</v>
      </c>
      <c r="K8" s="449" t="s">
        <v>563</v>
      </c>
      <c r="L8" s="449" t="s">
        <v>567</v>
      </c>
      <c r="M8" s="449" t="s">
        <v>568</v>
      </c>
      <c r="N8" s="449" t="s">
        <v>562</v>
      </c>
      <c r="O8" s="450" t="s">
        <v>565</v>
      </c>
    </row>
    <row r="9" spans="2:15" ht="15.6" hidden="1" x14ac:dyDescent="0.25">
      <c r="B9" s="451">
        <v>1</v>
      </c>
      <c r="C9" s="276" t="s">
        <v>689</v>
      </c>
      <c r="D9" s="452"/>
      <c r="E9" s="453"/>
      <c r="F9" s="454">
        <f>'[58]Dep as per Comp 13'!D8/100</f>
        <v>1.7488949329999999</v>
      </c>
      <c r="G9" s="454">
        <f>'[58]Dep as per Comp 13'!E8/100</f>
        <v>3.2230000000000003E-4</v>
      </c>
      <c r="H9" s="454">
        <f>'[58]Dep as per Comp 13'!F8/100</f>
        <v>0</v>
      </c>
      <c r="I9" s="454">
        <f>F9+G9-H9</f>
        <v>1.749217233</v>
      </c>
      <c r="J9" s="454">
        <f>'[58]Dep as per Comp 13'!H8/100</f>
        <v>0</v>
      </c>
      <c r="K9" s="454">
        <f>'[58]Dep as per Comp 13'!I8/100</f>
        <v>0</v>
      </c>
      <c r="L9" s="454">
        <f>'[58]Dep as per Comp 13'!J8/100</f>
        <v>0</v>
      </c>
      <c r="M9" s="454">
        <f>J9+K9-L9</f>
        <v>0</v>
      </c>
      <c r="N9" s="454">
        <f>F9-J9</f>
        <v>1.7488949329999999</v>
      </c>
      <c r="O9" s="454">
        <f>I9-M9</f>
        <v>1.749217233</v>
      </c>
    </row>
    <row r="10" spans="2:15" ht="15.6" hidden="1" x14ac:dyDescent="0.25">
      <c r="B10" s="451">
        <v>2</v>
      </c>
      <c r="C10" s="276" t="s">
        <v>534</v>
      </c>
      <c r="D10" s="452"/>
      <c r="E10" s="453"/>
      <c r="F10" s="454">
        <f>'[58]Dep as per Comp 13'!D9/100</f>
        <v>326.56351383500004</v>
      </c>
      <c r="G10" s="454">
        <f>'[58]Dep as per Comp 13'!E9/100</f>
        <v>15.384848100999999</v>
      </c>
      <c r="H10" s="454">
        <f>'[58]Dep as per Comp 13'!F9/100</f>
        <v>3.7856230000000001E-3</v>
      </c>
      <c r="I10" s="454">
        <f t="shared" ref="I10" si="0">F10+G10-H10</f>
        <v>341.94457631300003</v>
      </c>
      <c r="J10" s="454">
        <f>'[58]Dep as per Comp 13'!H9/100</f>
        <v>67.098704776000005</v>
      </c>
      <c r="K10" s="454">
        <f>'[58]Dep as per Comp 13'!I9/100</f>
        <v>10.961439116999999</v>
      </c>
      <c r="L10" s="454">
        <f>'[58]Dep as per Comp 13'!J9/100</f>
        <v>9.2948199999999992E-4</v>
      </c>
      <c r="M10" s="454">
        <f>J10+K10-L10</f>
        <v>78.059214410999999</v>
      </c>
      <c r="N10" s="454">
        <f>F10-J10</f>
        <v>259.464809059</v>
      </c>
      <c r="O10" s="454">
        <f>I10-M10</f>
        <v>263.885361902</v>
      </c>
    </row>
    <row r="11" spans="2:15" ht="15.6" hidden="1" x14ac:dyDescent="0.25">
      <c r="B11" s="451">
        <v>3</v>
      </c>
      <c r="C11" s="277" t="s">
        <v>690</v>
      </c>
      <c r="D11" s="455"/>
      <c r="E11" s="278"/>
      <c r="F11" s="456"/>
      <c r="G11" s="456"/>
      <c r="H11" s="456"/>
      <c r="I11" s="456"/>
      <c r="J11" s="456"/>
      <c r="K11" s="456"/>
      <c r="L11" s="456"/>
      <c r="M11" s="456"/>
      <c r="N11" s="456"/>
      <c r="O11" s="456"/>
    </row>
    <row r="12" spans="2:15" ht="15.6" hidden="1" x14ac:dyDescent="0.25">
      <c r="B12" s="451"/>
      <c r="C12" s="276" t="s">
        <v>691</v>
      </c>
      <c r="D12" s="452"/>
      <c r="E12" s="52"/>
      <c r="F12" s="454">
        <f>'[58]Dep as per Comp 13'!D11/100</f>
        <v>4205.4122374630006</v>
      </c>
      <c r="G12" s="454">
        <f>'[58]Dep as per Comp 13'!E11/100</f>
        <v>211.59163456900001</v>
      </c>
      <c r="H12" s="454">
        <f>'[58]Dep as per Comp 13'!F11/100</f>
        <v>2.4620462149999995</v>
      </c>
      <c r="I12" s="454">
        <f t="shared" ref="I12:I19" si="1">F12+G12-H12</f>
        <v>4414.5418258170012</v>
      </c>
      <c r="J12" s="454">
        <f>'[58]Dep as per Comp 13'!H11/100</f>
        <v>2190.622417997</v>
      </c>
      <c r="K12" s="454">
        <f>'[58]Dep as per Comp 13'!I11/100</f>
        <v>165.76779999999999</v>
      </c>
      <c r="L12" s="454">
        <f>'[58]Dep as per Comp 13'!J11/100</f>
        <v>1.794557945</v>
      </c>
      <c r="M12" s="454">
        <f t="shared" ref="M12:M19" si="2">J12+K12-L12</f>
        <v>2354.5956600519999</v>
      </c>
      <c r="N12" s="454">
        <f>F12-J12</f>
        <v>2014.7898194660006</v>
      </c>
      <c r="O12" s="454">
        <f t="shared" ref="O12:O19" si="3">I12-M12</f>
        <v>2059.9461657650013</v>
      </c>
    </row>
    <row r="13" spans="2:15" ht="15.6" hidden="1" x14ac:dyDescent="0.25">
      <c r="B13" s="451"/>
      <c r="C13" s="276" t="s">
        <v>692</v>
      </c>
      <c r="D13" s="452"/>
      <c r="E13" s="52"/>
      <c r="F13" s="454">
        <f>'[58]Dep as per Comp 13'!D12/100</f>
        <v>3702.1965184499991</v>
      </c>
      <c r="G13" s="454">
        <f>'[58]Dep as per Comp 13'!E12/100</f>
        <v>284.01312289099997</v>
      </c>
      <c r="H13" s="454">
        <f>'[58]Dep as per Comp 13'!F12/100</f>
        <v>0.35153765800000003</v>
      </c>
      <c r="I13" s="454">
        <f t="shared" si="1"/>
        <v>3985.8581036829992</v>
      </c>
      <c r="J13" s="454">
        <f>'[58]Dep as per Comp 13'!H12/100</f>
        <v>1842.2799597259998</v>
      </c>
      <c r="K13" s="454">
        <f>'[58]Dep as per Comp 13'!I12/100</f>
        <v>139.4777</v>
      </c>
      <c r="L13" s="454">
        <f>'[58]Dep as per Comp 13'!J12/100</f>
        <v>3.6279699999999998E-2</v>
      </c>
      <c r="M13" s="454">
        <f t="shared" si="2"/>
        <v>1981.7213800259997</v>
      </c>
      <c r="N13" s="454">
        <f>F13-J13</f>
        <v>1859.9165587239993</v>
      </c>
      <c r="O13" s="454">
        <f t="shared" si="3"/>
        <v>2004.1367236569995</v>
      </c>
    </row>
    <row r="14" spans="2:15" ht="15.6" hidden="1" x14ac:dyDescent="0.25">
      <c r="B14" s="451"/>
      <c r="C14" s="276" t="s">
        <v>693</v>
      </c>
      <c r="D14" s="452"/>
      <c r="E14" s="52"/>
      <c r="F14" s="454">
        <f>'[58]Dep as per Comp 13'!D13/100</f>
        <v>680.93775130099993</v>
      </c>
      <c r="G14" s="454">
        <f>'[58]Dep as per Comp 13'!E13/100</f>
        <v>43.298792102</v>
      </c>
      <c r="H14" s="454">
        <f>'[58]Dep as per Comp 13'!F13/100</f>
        <v>11.101317194</v>
      </c>
      <c r="I14" s="454">
        <f t="shared" si="1"/>
        <v>713.13522620899994</v>
      </c>
      <c r="J14" s="454">
        <f>'[58]Dep as per Comp 13'!H13/100</f>
        <v>408.184984886</v>
      </c>
      <c r="K14" s="454">
        <f>'[58]Dep as per Comp 13'!I13/100</f>
        <v>21.451806036000004</v>
      </c>
      <c r="L14" s="454">
        <f>'[58]Dep as per Comp 13'!J13/100</f>
        <v>8.9017618000000009</v>
      </c>
      <c r="M14" s="454">
        <f t="shared" si="2"/>
        <v>420.73502912200001</v>
      </c>
      <c r="N14" s="454">
        <f>F14-J14</f>
        <v>272.75276641499994</v>
      </c>
      <c r="O14" s="454">
        <f t="shared" si="3"/>
        <v>292.40019708699992</v>
      </c>
    </row>
    <row r="15" spans="2:15" ht="15.6" hidden="1" x14ac:dyDescent="0.25">
      <c r="B15" s="451">
        <v>4</v>
      </c>
      <c r="C15" s="279" t="s">
        <v>540</v>
      </c>
      <c r="D15" s="452"/>
      <c r="E15" s="52"/>
      <c r="F15" s="454">
        <f>SUM('[58]Dep as per Comp 13'!D15+'[58]Dep as per Comp 13'!D16)/100</f>
        <v>17.917618094999998</v>
      </c>
      <c r="G15" s="454">
        <f>SUM('[58]Dep as per Comp 13'!E15+'[58]Dep as per Comp 13'!E16)/100</f>
        <v>1.9418848</v>
      </c>
      <c r="H15" s="454">
        <f>SUM('[58]Dep as per Comp 13'!F15+'[58]Dep as per Comp 13'!F16)/100</f>
        <v>0</v>
      </c>
      <c r="I15" s="454">
        <f t="shared" si="1"/>
        <v>19.859502894999999</v>
      </c>
      <c r="J15" s="454">
        <f>SUM('[58]Dep as per Comp 13'!H15+'[58]Dep as per Comp 13'!H16)/100</f>
        <v>8.7523934000000008</v>
      </c>
      <c r="K15" s="454">
        <f>SUM('[58]Dep as per Comp 13'!I15+'[58]Dep as per Comp 13'!I16)/100</f>
        <v>1.0097978060000001</v>
      </c>
      <c r="L15" s="454">
        <f>SUM('[58]Dep as per Comp 13'!J15+'[58]Dep as per Comp 13'!J16)/100</f>
        <v>0</v>
      </c>
      <c r="M15" s="454">
        <f t="shared" si="2"/>
        <v>9.7621912060000007</v>
      </c>
      <c r="N15" s="454">
        <f t="shared" ref="N15:N19" si="4">F15-J15</f>
        <v>9.1652246949999974</v>
      </c>
      <c r="O15" s="454">
        <f t="shared" si="3"/>
        <v>10.097311688999998</v>
      </c>
    </row>
    <row r="16" spans="2:15" ht="15.6" hidden="1" x14ac:dyDescent="0.25">
      <c r="B16" s="451">
        <v>5</v>
      </c>
      <c r="C16" s="279" t="s">
        <v>694</v>
      </c>
      <c r="D16" s="452"/>
      <c r="E16" s="52"/>
      <c r="F16" s="454">
        <f>SUM('[58]Dep as per Comp 13'!D17)/100</f>
        <v>5.1254625450000004</v>
      </c>
      <c r="G16" s="454">
        <f>SUM('[58]Dep as per Comp 13'!E17)/100</f>
        <v>7.8891299999999998E-2</v>
      </c>
      <c r="H16" s="454">
        <f>SUM('[58]Dep as per Comp 13'!F17)/100</f>
        <v>0</v>
      </c>
      <c r="I16" s="454">
        <f t="shared" si="1"/>
        <v>5.204353845</v>
      </c>
      <c r="J16" s="454">
        <f>SUM('[58]Dep as per Comp 13'!H17)/100</f>
        <v>3.7444824999999997</v>
      </c>
      <c r="K16" s="454">
        <f>SUM('[58]Dep as per Comp 13'!I17)/100</f>
        <v>9.7599999999999992E-2</v>
      </c>
      <c r="L16" s="454">
        <f>SUM('[58]Dep as per Comp 13'!J17)/100</f>
        <v>0</v>
      </c>
      <c r="M16" s="454">
        <f t="shared" si="2"/>
        <v>3.8420824999999996</v>
      </c>
      <c r="N16" s="454">
        <f t="shared" si="4"/>
        <v>1.3809800450000007</v>
      </c>
      <c r="O16" s="454">
        <f t="shared" si="3"/>
        <v>1.3622713450000004</v>
      </c>
    </row>
    <row r="17" spans="2:15" ht="15.6" hidden="1" x14ac:dyDescent="0.25">
      <c r="B17" s="451">
        <v>6</v>
      </c>
      <c r="C17" s="279" t="s">
        <v>538</v>
      </c>
      <c r="D17" s="452"/>
      <c r="E17" s="52"/>
      <c r="F17" s="454">
        <f>SUM('[58]Dep as per Comp 13'!D18)/100</f>
        <v>2.8030211039999995</v>
      </c>
      <c r="G17" s="454">
        <f>SUM('[58]Dep as per Comp 13'!E18)/100</f>
        <v>0</v>
      </c>
      <c r="H17" s="454">
        <f>SUM('[58]Dep as per Comp 13'!F18)/100</f>
        <v>7.7877500000000002E-2</v>
      </c>
      <c r="I17" s="454">
        <f t="shared" si="1"/>
        <v>2.7251436039999994</v>
      </c>
      <c r="J17" s="454">
        <f>SUM('[58]Dep as per Comp 13'!H18)/100</f>
        <v>2.4974601000000001</v>
      </c>
      <c r="K17" s="454">
        <f>SUM('[58]Dep as per Comp 13'!I18)/100</f>
        <v>2.3700000000000002E-2</v>
      </c>
      <c r="L17" s="454">
        <f>SUM('[58]Dep as per Comp 13'!J18)/100</f>
        <v>7.0089800000000008E-2</v>
      </c>
      <c r="M17" s="454">
        <f t="shared" si="2"/>
        <v>2.4510703</v>
      </c>
      <c r="N17" s="454">
        <f t="shared" si="4"/>
        <v>0.30556100399999941</v>
      </c>
      <c r="O17" s="454">
        <f t="shared" si="3"/>
        <v>0.27407330399999941</v>
      </c>
    </row>
    <row r="18" spans="2:15" ht="15.6" hidden="1" x14ac:dyDescent="0.25">
      <c r="B18" s="451">
        <v>7</v>
      </c>
      <c r="C18" s="279" t="s">
        <v>695</v>
      </c>
      <c r="D18" s="452"/>
      <c r="E18" s="52"/>
      <c r="F18" s="454">
        <f>SUM('[58]Dep as per Comp 13'!D19)/100</f>
        <v>77.789663676999993</v>
      </c>
      <c r="G18" s="454">
        <f>SUM('[58]Dep as per Comp 13'!E19)/100</f>
        <v>4.8734999999999999</v>
      </c>
      <c r="H18" s="454">
        <f>SUM('[58]Dep as per Comp 13'!F19)/100</f>
        <v>1.4739599999999999E-2</v>
      </c>
      <c r="I18" s="454">
        <f t="shared" si="1"/>
        <v>82.648424077000001</v>
      </c>
      <c r="J18" s="454">
        <f>SUM('[58]Dep as per Comp 13'!H19)/100</f>
        <v>55.862980799999995</v>
      </c>
      <c r="K18" s="454">
        <f>SUM('[58]Dep as per Comp 13'!I19)/100</f>
        <v>7.6789999999999994</v>
      </c>
      <c r="L18" s="454">
        <f>SUM('[58]Dep as per Comp 13'!J19)/100</f>
        <v>1.4739599999999999E-2</v>
      </c>
      <c r="M18" s="454">
        <f t="shared" si="2"/>
        <v>63.527241199999999</v>
      </c>
      <c r="N18" s="454">
        <f t="shared" si="4"/>
        <v>21.926682876999998</v>
      </c>
      <c r="O18" s="454">
        <f t="shared" si="3"/>
        <v>19.121182877000003</v>
      </c>
    </row>
    <row r="19" spans="2:15" ht="15.6" hidden="1" x14ac:dyDescent="0.25">
      <c r="B19" s="451">
        <v>8</v>
      </c>
      <c r="C19" s="279" t="s">
        <v>696</v>
      </c>
      <c r="D19" s="452"/>
      <c r="E19" s="52"/>
      <c r="F19" s="454">
        <f>SUM('[58]Dep as per Comp 13'!D22)/100</f>
        <v>34.249367200000002</v>
      </c>
      <c r="G19" s="454">
        <f>SUM('[58]Dep as per Comp 13'!E22)/100</f>
        <v>0.67863871200000003</v>
      </c>
      <c r="H19" s="454">
        <f>SUM('[58]Dep as per Comp 13'!F22)/100</f>
        <v>0</v>
      </c>
      <c r="I19" s="454">
        <f t="shared" si="1"/>
        <v>34.928005912000003</v>
      </c>
      <c r="J19" s="454">
        <f>SUM('[58]Dep as per Comp 13'!H22)/100</f>
        <v>24.240203600000001</v>
      </c>
      <c r="K19" s="454">
        <f>SUM('[58]Dep as per Comp 13'!I22)/100</f>
        <v>2.4162624399999997</v>
      </c>
      <c r="L19" s="454">
        <f>SUM('[58]Dep as per Comp 13'!J22)/100</f>
        <v>0</v>
      </c>
      <c r="M19" s="454">
        <f t="shared" si="2"/>
        <v>26.656466040000002</v>
      </c>
      <c r="N19" s="454">
        <f t="shared" si="4"/>
        <v>10.009163600000001</v>
      </c>
      <c r="O19" s="454">
        <f t="shared" si="3"/>
        <v>8.2715398720000017</v>
      </c>
    </row>
    <row r="20" spans="2:15" ht="15.6" hidden="1" x14ac:dyDescent="0.25">
      <c r="B20" s="451"/>
      <c r="C20" s="279"/>
      <c r="D20" s="452"/>
      <c r="E20" s="52"/>
      <c r="F20" s="454"/>
      <c r="G20" s="454"/>
      <c r="H20" s="454"/>
      <c r="I20" s="454"/>
      <c r="J20" s="454"/>
      <c r="K20" s="454"/>
      <c r="L20" s="454"/>
      <c r="M20" s="454"/>
      <c r="N20" s="454"/>
      <c r="O20" s="454"/>
    </row>
    <row r="21" spans="2:15" ht="15.6" hidden="1" x14ac:dyDescent="0.25">
      <c r="B21" s="451"/>
      <c r="C21" s="279"/>
      <c r="D21" s="452"/>
      <c r="E21" s="52"/>
      <c r="F21" s="454"/>
      <c r="G21" s="454"/>
      <c r="H21" s="454"/>
      <c r="I21" s="454"/>
      <c r="J21" s="454"/>
      <c r="K21" s="454"/>
      <c r="L21" s="454"/>
      <c r="M21" s="454"/>
      <c r="N21" s="454"/>
      <c r="O21" s="454"/>
    </row>
    <row r="22" spans="2:15" hidden="1" x14ac:dyDescent="0.25">
      <c r="B22" s="451"/>
      <c r="C22" s="457"/>
      <c r="D22" s="452"/>
      <c r="E22" s="52"/>
      <c r="F22" s="454"/>
      <c r="G22" s="454"/>
      <c r="H22" s="454"/>
      <c r="I22" s="454"/>
      <c r="J22" s="454"/>
      <c r="K22" s="454"/>
      <c r="L22" s="454"/>
      <c r="M22" s="454"/>
      <c r="N22" s="454"/>
      <c r="O22" s="454"/>
    </row>
    <row r="23" spans="2:15" hidden="1" x14ac:dyDescent="0.25">
      <c r="B23" s="451"/>
      <c r="C23" s="457"/>
      <c r="D23" s="452"/>
      <c r="E23" s="52"/>
      <c r="F23" s="454"/>
      <c r="G23" s="454"/>
      <c r="H23" s="454"/>
      <c r="I23" s="454"/>
      <c r="J23" s="454"/>
      <c r="K23" s="454"/>
      <c r="L23" s="454"/>
      <c r="M23" s="454"/>
      <c r="N23" s="454"/>
      <c r="O23" s="454"/>
    </row>
    <row r="24" spans="2:15" hidden="1" x14ac:dyDescent="0.25">
      <c r="B24" s="451"/>
      <c r="C24" s="457"/>
      <c r="D24" s="452"/>
      <c r="E24" s="52"/>
      <c r="F24" s="454"/>
      <c r="G24" s="454"/>
      <c r="H24" s="454"/>
      <c r="I24" s="454"/>
      <c r="J24" s="454"/>
      <c r="K24" s="454"/>
      <c r="L24" s="454"/>
      <c r="M24" s="454"/>
      <c r="N24" s="454"/>
      <c r="O24" s="454"/>
    </row>
    <row r="25" spans="2:15" hidden="1" x14ac:dyDescent="0.25">
      <c r="B25" s="451"/>
      <c r="C25" s="457"/>
      <c r="D25" s="452"/>
      <c r="E25" s="52"/>
      <c r="F25" s="454"/>
      <c r="G25" s="454"/>
      <c r="H25" s="454"/>
      <c r="I25" s="454"/>
      <c r="J25" s="454"/>
      <c r="K25" s="454"/>
      <c r="L25" s="454"/>
      <c r="M25" s="454"/>
      <c r="N25" s="454"/>
      <c r="O25" s="454"/>
    </row>
    <row r="26" spans="2:15" hidden="1" x14ac:dyDescent="0.25">
      <c r="B26" s="451"/>
      <c r="C26" s="458"/>
      <c r="D26" s="452"/>
      <c r="E26" s="52"/>
      <c r="F26" s="454"/>
      <c r="G26" s="454"/>
      <c r="H26" s="454"/>
      <c r="I26" s="454"/>
      <c r="J26" s="454"/>
      <c r="K26" s="454"/>
      <c r="L26" s="454"/>
      <c r="M26" s="454"/>
      <c r="N26" s="454"/>
      <c r="O26" s="454"/>
    </row>
    <row r="27" spans="2:15" hidden="1" x14ac:dyDescent="0.25">
      <c r="B27" s="451"/>
      <c r="C27" s="458"/>
      <c r="D27" s="452"/>
      <c r="E27" s="52"/>
      <c r="F27" s="454"/>
      <c r="G27" s="454"/>
      <c r="H27" s="454"/>
      <c r="I27" s="454"/>
      <c r="J27" s="454"/>
      <c r="K27" s="454"/>
      <c r="L27" s="454"/>
      <c r="M27" s="454"/>
      <c r="N27" s="454"/>
      <c r="O27" s="454"/>
    </row>
    <row r="28" spans="2:15" hidden="1" x14ac:dyDescent="0.25">
      <c r="B28" s="451"/>
      <c r="C28" s="458"/>
      <c r="D28" s="452"/>
      <c r="E28" s="52"/>
      <c r="F28" s="454"/>
      <c r="G28" s="454"/>
      <c r="H28" s="454"/>
      <c r="I28" s="454"/>
      <c r="J28" s="454"/>
      <c r="K28" s="454"/>
      <c r="L28" s="454"/>
      <c r="M28" s="454"/>
      <c r="N28" s="454"/>
      <c r="O28" s="454"/>
    </row>
    <row r="29" spans="2:15" hidden="1" x14ac:dyDescent="0.25">
      <c r="B29" s="451"/>
      <c r="C29" s="457"/>
      <c r="D29" s="452"/>
      <c r="E29" s="52"/>
      <c r="F29" s="454"/>
      <c r="G29" s="454"/>
      <c r="H29" s="454"/>
      <c r="I29" s="454"/>
      <c r="J29" s="454"/>
      <c r="K29" s="454"/>
      <c r="L29" s="454"/>
      <c r="M29" s="454"/>
      <c r="N29" s="454"/>
      <c r="O29" s="454"/>
    </row>
    <row r="30" spans="2:15" hidden="1" x14ac:dyDescent="0.25">
      <c r="B30" s="451"/>
      <c r="C30" s="457"/>
      <c r="D30" s="452"/>
      <c r="E30" s="52"/>
      <c r="F30" s="454"/>
      <c r="G30" s="454"/>
      <c r="H30" s="454"/>
      <c r="I30" s="454"/>
      <c r="J30" s="454"/>
      <c r="K30" s="454"/>
      <c r="L30" s="454"/>
      <c r="M30" s="454"/>
      <c r="N30" s="454"/>
      <c r="O30" s="454"/>
    </row>
    <row r="31" spans="2:15" hidden="1" x14ac:dyDescent="0.25">
      <c r="B31" s="459"/>
      <c r="C31" s="460"/>
      <c r="D31" s="452"/>
      <c r="E31" s="52"/>
      <c r="F31" s="454"/>
      <c r="G31" s="454"/>
      <c r="H31" s="454"/>
      <c r="I31" s="454"/>
      <c r="J31" s="454"/>
      <c r="K31" s="454"/>
      <c r="L31" s="454"/>
      <c r="M31" s="454"/>
      <c r="N31" s="454"/>
      <c r="O31" s="454"/>
    </row>
    <row r="32" spans="2:15" hidden="1" x14ac:dyDescent="0.25">
      <c r="B32" s="461"/>
      <c r="C32" s="280"/>
      <c r="D32" s="462"/>
      <c r="E32" s="52"/>
      <c r="F32" s="454"/>
      <c r="G32" s="454"/>
      <c r="H32" s="454"/>
      <c r="I32" s="454"/>
      <c r="J32" s="454"/>
      <c r="K32" s="454"/>
      <c r="L32" s="454"/>
      <c r="M32" s="454"/>
      <c r="N32" s="454"/>
      <c r="O32" s="454"/>
    </row>
    <row r="33" spans="2:15" hidden="1" x14ac:dyDescent="0.25">
      <c r="B33" s="461"/>
      <c r="C33" s="280"/>
      <c r="D33" s="462"/>
      <c r="E33" s="52"/>
      <c r="F33" s="454"/>
      <c r="G33" s="454"/>
      <c r="H33" s="454"/>
      <c r="I33" s="454"/>
      <c r="J33" s="454"/>
      <c r="K33" s="454"/>
      <c r="L33" s="454"/>
      <c r="M33" s="454"/>
      <c r="N33" s="454"/>
      <c r="O33" s="454"/>
    </row>
    <row r="34" spans="2:15" hidden="1" x14ac:dyDescent="0.25">
      <c r="B34" s="461"/>
      <c r="C34" s="280"/>
      <c r="D34" s="462"/>
      <c r="E34" s="52"/>
      <c r="F34" s="454"/>
      <c r="G34" s="454"/>
      <c r="H34" s="454"/>
      <c r="I34" s="454"/>
      <c r="J34" s="454"/>
      <c r="K34" s="454"/>
      <c r="L34" s="454"/>
      <c r="M34" s="454"/>
      <c r="N34" s="454"/>
      <c r="O34" s="454"/>
    </row>
    <row r="35" spans="2:15" hidden="1" x14ac:dyDescent="0.25">
      <c r="B35" s="461"/>
      <c r="C35" s="281"/>
      <c r="D35" s="462"/>
      <c r="E35" s="52"/>
      <c r="F35" s="454"/>
      <c r="G35" s="454"/>
      <c r="H35" s="454"/>
      <c r="I35" s="454"/>
      <c r="J35" s="454"/>
      <c r="K35" s="454"/>
      <c r="L35" s="454"/>
      <c r="M35" s="454"/>
      <c r="N35" s="454"/>
      <c r="O35" s="454"/>
    </row>
    <row r="36" spans="2:15" hidden="1" x14ac:dyDescent="0.25">
      <c r="B36" s="461"/>
      <c r="C36" s="281"/>
      <c r="D36" s="462"/>
      <c r="E36" s="52"/>
      <c r="F36" s="454"/>
      <c r="G36" s="454"/>
      <c r="H36" s="454"/>
      <c r="I36" s="454"/>
      <c r="J36" s="454"/>
      <c r="K36" s="454"/>
      <c r="L36" s="454"/>
      <c r="M36" s="454"/>
      <c r="N36" s="454"/>
      <c r="O36" s="454"/>
    </row>
    <row r="37" spans="2:15" hidden="1" x14ac:dyDescent="0.25">
      <c r="B37" s="461"/>
      <c r="C37" s="281"/>
      <c r="D37" s="462"/>
      <c r="E37" s="52"/>
      <c r="F37" s="454"/>
      <c r="G37" s="454"/>
      <c r="H37" s="454"/>
      <c r="I37" s="454"/>
      <c r="J37" s="454"/>
      <c r="K37" s="454"/>
      <c r="L37" s="454"/>
      <c r="M37" s="454"/>
      <c r="N37" s="454"/>
      <c r="O37" s="454"/>
    </row>
    <row r="38" spans="2:15" hidden="1" x14ac:dyDescent="0.25">
      <c r="B38" s="461"/>
      <c r="C38" s="281"/>
      <c r="D38" s="462"/>
      <c r="E38" s="52"/>
      <c r="F38" s="454"/>
      <c r="G38" s="454"/>
      <c r="H38" s="454"/>
      <c r="I38" s="454"/>
      <c r="J38" s="454"/>
      <c r="K38" s="454"/>
      <c r="L38" s="454"/>
      <c r="M38" s="454"/>
      <c r="N38" s="454"/>
      <c r="O38" s="454"/>
    </row>
    <row r="39" spans="2:15" hidden="1" x14ac:dyDescent="0.25">
      <c r="B39" s="461"/>
      <c r="C39" s="281"/>
      <c r="D39" s="462"/>
      <c r="E39" s="52"/>
      <c r="F39" s="454"/>
      <c r="G39" s="454"/>
      <c r="H39" s="454"/>
      <c r="I39" s="454"/>
      <c r="J39" s="454"/>
      <c r="K39" s="454"/>
      <c r="L39" s="454"/>
      <c r="M39" s="454"/>
      <c r="N39" s="454"/>
      <c r="O39" s="454"/>
    </row>
    <row r="40" spans="2:15" hidden="1" x14ac:dyDescent="0.25">
      <c r="B40" s="461"/>
      <c r="C40" s="281"/>
      <c r="D40" s="462"/>
      <c r="E40" s="52"/>
      <c r="F40" s="454"/>
      <c r="G40" s="454"/>
      <c r="H40" s="454"/>
      <c r="I40" s="454"/>
      <c r="J40" s="454"/>
      <c r="K40" s="454"/>
      <c r="L40" s="454"/>
      <c r="M40" s="454"/>
      <c r="N40" s="454"/>
      <c r="O40" s="454"/>
    </row>
    <row r="41" spans="2:15" hidden="1" x14ac:dyDescent="0.25">
      <c r="B41" s="461"/>
      <c r="C41" s="281"/>
      <c r="D41" s="462"/>
      <c r="E41" s="52"/>
      <c r="F41" s="454"/>
      <c r="G41" s="454"/>
      <c r="H41" s="454"/>
      <c r="I41" s="454"/>
      <c r="J41" s="454"/>
      <c r="K41" s="454"/>
      <c r="L41" s="454"/>
      <c r="M41" s="454"/>
      <c r="N41" s="454"/>
      <c r="O41" s="454"/>
    </row>
    <row r="42" spans="2:15" hidden="1" x14ac:dyDescent="0.25">
      <c r="B42" s="461"/>
      <c r="C42" s="280"/>
      <c r="D42" s="462"/>
      <c r="E42" s="52"/>
      <c r="F42" s="454"/>
      <c r="G42" s="454"/>
      <c r="H42" s="454"/>
      <c r="I42" s="454"/>
      <c r="J42" s="454"/>
      <c r="K42" s="454"/>
      <c r="L42" s="454"/>
      <c r="M42" s="454"/>
      <c r="N42" s="454"/>
      <c r="O42" s="454"/>
    </row>
    <row r="43" spans="2:15" hidden="1" x14ac:dyDescent="0.25">
      <c r="B43" s="461"/>
      <c r="C43" s="281"/>
      <c r="D43" s="462"/>
      <c r="E43" s="52"/>
      <c r="F43" s="454"/>
      <c r="G43" s="454"/>
      <c r="H43" s="454"/>
      <c r="I43" s="454"/>
      <c r="J43" s="454"/>
      <c r="K43" s="454"/>
      <c r="L43" s="454"/>
      <c r="M43" s="454"/>
      <c r="N43" s="454"/>
      <c r="O43" s="454"/>
    </row>
    <row r="44" spans="2:15" hidden="1" x14ac:dyDescent="0.25">
      <c r="B44" s="461"/>
      <c r="C44" s="281"/>
      <c r="D44" s="462"/>
      <c r="E44" s="52"/>
      <c r="F44" s="454"/>
      <c r="G44" s="454"/>
      <c r="H44" s="454"/>
      <c r="I44" s="454"/>
      <c r="J44" s="454"/>
      <c r="K44" s="454"/>
      <c r="L44" s="454"/>
      <c r="M44" s="454"/>
      <c r="N44" s="454"/>
      <c r="O44" s="454"/>
    </row>
    <row r="45" spans="2:15" hidden="1" x14ac:dyDescent="0.25">
      <c r="B45" s="461"/>
      <c r="C45" s="281"/>
      <c r="D45" s="462"/>
      <c r="E45" s="52"/>
      <c r="F45" s="454"/>
      <c r="G45" s="454"/>
      <c r="H45" s="454"/>
      <c r="I45" s="454"/>
      <c r="J45" s="454"/>
      <c r="K45" s="454"/>
      <c r="L45" s="454"/>
      <c r="M45" s="454"/>
      <c r="N45" s="454"/>
      <c r="O45" s="454"/>
    </row>
    <row r="46" spans="2:15" hidden="1" x14ac:dyDescent="0.25">
      <c r="B46" s="461"/>
      <c r="C46" s="280"/>
      <c r="D46" s="462"/>
      <c r="E46" s="52"/>
      <c r="F46" s="454"/>
      <c r="G46" s="454"/>
      <c r="H46" s="454"/>
      <c r="I46" s="454"/>
      <c r="J46" s="454"/>
      <c r="K46" s="454"/>
      <c r="L46" s="454"/>
      <c r="M46" s="454"/>
      <c r="N46" s="454"/>
      <c r="O46" s="454"/>
    </row>
    <row r="47" spans="2:15" hidden="1" x14ac:dyDescent="0.25">
      <c r="B47" s="461"/>
      <c r="C47" s="280"/>
      <c r="D47" s="452"/>
      <c r="E47" s="52"/>
      <c r="F47" s="454"/>
      <c r="G47" s="454"/>
      <c r="H47" s="454"/>
      <c r="I47" s="454"/>
      <c r="J47" s="454"/>
      <c r="K47" s="454"/>
      <c r="L47" s="454"/>
      <c r="M47" s="454"/>
      <c r="N47" s="454"/>
      <c r="O47" s="454"/>
    </row>
    <row r="48" spans="2:15" hidden="1" x14ac:dyDescent="0.25">
      <c r="B48" s="461"/>
      <c r="C48" s="280"/>
      <c r="D48" s="452"/>
      <c r="E48" s="53"/>
      <c r="F48" s="454"/>
      <c r="G48" s="454"/>
      <c r="H48" s="454"/>
      <c r="I48" s="454"/>
      <c r="J48" s="454"/>
      <c r="K48" s="454"/>
      <c r="L48" s="454"/>
      <c r="M48" s="454"/>
      <c r="N48" s="454"/>
      <c r="O48" s="454"/>
    </row>
    <row r="49" spans="2:15" ht="14.4" hidden="1" thickBot="1" x14ac:dyDescent="0.3">
      <c r="B49" s="463"/>
      <c r="C49" s="464" t="s">
        <v>251</v>
      </c>
      <c r="D49" s="464"/>
      <c r="E49" s="465"/>
      <c r="F49" s="466">
        <f t="shared" ref="F49:O49" si="5">SUM(F9:F48)</f>
        <v>9054.7440486030009</v>
      </c>
      <c r="G49" s="466">
        <f t="shared" si="5"/>
        <v>561.86163477499997</v>
      </c>
      <c r="H49" s="466">
        <f t="shared" si="5"/>
        <v>14.011303789999999</v>
      </c>
      <c r="I49" s="466">
        <f t="shared" si="5"/>
        <v>9602.5943795880012</v>
      </c>
      <c r="J49" s="466">
        <f t="shared" si="5"/>
        <v>4603.2835877850002</v>
      </c>
      <c r="K49" s="466">
        <f t="shared" si="5"/>
        <v>348.885105399</v>
      </c>
      <c r="L49" s="466">
        <f t="shared" si="5"/>
        <v>10.818358327000002</v>
      </c>
      <c r="M49" s="466">
        <f t="shared" si="5"/>
        <v>4941.3503348570002</v>
      </c>
      <c r="N49" s="466">
        <f t="shared" si="5"/>
        <v>4451.4604608179989</v>
      </c>
      <c r="O49" s="467">
        <f t="shared" si="5"/>
        <v>4661.2440447310009</v>
      </c>
    </row>
    <row r="51" spans="2:15" hidden="1" x14ac:dyDescent="0.25">
      <c r="B51" s="858" t="s">
        <v>8</v>
      </c>
      <c r="C51" s="859"/>
      <c r="D51" s="859"/>
      <c r="E51" s="859"/>
      <c r="F51" s="859"/>
      <c r="G51" s="859"/>
      <c r="H51" s="859"/>
      <c r="I51" s="859"/>
      <c r="J51" s="859"/>
      <c r="K51" s="859"/>
      <c r="L51" s="859"/>
      <c r="M51" s="859"/>
      <c r="N51" s="859"/>
      <c r="O51" s="860"/>
    </row>
    <row r="52" spans="2:15" ht="13.95" hidden="1" customHeight="1" x14ac:dyDescent="0.25">
      <c r="B52" s="861" t="s">
        <v>474</v>
      </c>
      <c r="C52" s="863" t="s">
        <v>556</v>
      </c>
      <c r="D52" s="865" t="s">
        <v>557</v>
      </c>
      <c r="E52" s="865" t="s">
        <v>558</v>
      </c>
      <c r="F52" s="865" t="s">
        <v>559</v>
      </c>
      <c r="G52" s="865"/>
      <c r="H52" s="865"/>
      <c r="I52" s="865"/>
      <c r="J52" s="865" t="s">
        <v>560</v>
      </c>
      <c r="K52" s="865"/>
      <c r="L52" s="865"/>
      <c r="M52" s="865"/>
      <c r="N52" s="865" t="s">
        <v>561</v>
      </c>
      <c r="O52" s="867"/>
    </row>
    <row r="53" spans="2:15" ht="55.8" hidden="1" thickBot="1" x14ac:dyDescent="0.3">
      <c r="B53" s="862"/>
      <c r="C53" s="864"/>
      <c r="D53" s="866"/>
      <c r="E53" s="866"/>
      <c r="F53" s="468" t="s">
        <v>562</v>
      </c>
      <c r="G53" s="468" t="s">
        <v>563</v>
      </c>
      <c r="H53" s="468" t="s">
        <v>564</v>
      </c>
      <c r="I53" s="468" t="s">
        <v>565</v>
      </c>
      <c r="J53" s="468" t="s">
        <v>566</v>
      </c>
      <c r="K53" s="468" t="s">
        <v>563</v>
      </c>
      <c r="L53" s="468" t="s">
        <v>567</v>
      </c>
      <c r="M53" s="468" t="s">
        <v>568</v>
      </c>
      <c r="N53" s="468" t="s">
        <v>562</v>
      </c>
      <c r="O53" s="469" t="s">
        <v>565</v>
      </c>
    </row>
    <row r="54" spans="2:15" ht="15.6" hidden="1" x14ac:dyDescent="0.25">
      <c r="B54" s="451">
        <v>1</v>
      </c>
      <c r="C54" s="276" t="s">
        <v>689</v>
      </c>
      <c r="D54" s="452"/>
      <c r="E54" s="453"/>
      <c r="F54" s="454">
        <f>'[56]Voltage wise FA from SAP'!$N$31</f>
        <v>1.7491999999999999</v>
      </c>
      <c r="G54" s="454">
        <f>'[56]GFA &amp; Dep-MYT 5th Control'!$L$36</f>
        <v>5.1981079519686135</v>
      </c>
      <c r="H54" s="454">
        <v>0</v>
      </c>
      <c r="I54" s="454">
        <f>F54+G54-H54</f>
        <v>6.9473079519686136</v>
      </c>
      <c r="J54" s="454">
        <f>'[56]Voltage wise FA from SAP'!$S$31</f>
        <v>0</v>
      </c>
      <c r="K54" s="454">
        <f>'[56]GFA &amp; Dep-MYT 5th Control'!$D$107</f>
        <v>0</v>
      </c>
      <c r="L54" s="454">
        <v>0</v>
      </c>
      <c r="M54" s="454">
        <f t="shared" ref="M54:M64" si="6">J54+K54-L54</f>
        <v>0</v>
      </c>
      <c r="N54" s="454">
        <f>F54-J54</f>
        <v>1.7491999999999999</v>
      </c>
      <c r="O54" s="454">
        <f>I54-M54</f>
        <v>6.9473079519686136</v>
      </c>
    </row>
    <row r="55" spans="2:15" ht="15.6" hidden="1" x14ac:dyDescent="0.25">
      <c r="B55" s="451">
        <v>2</v>
      </c>
      <c r="C55" s="276" t="s">
        <v>534</v>
      </c>
      <c r="D55" s="452"/>
      <c r="E55" s="453"/>
      <c r="F55" s="454">
        <f>'[56]Voltage wise FA from SAP'!$N$32</f>
        <v>341.94459999999998</v>
      </c>
      <c r="G55" s="454">
        <f>'[56]GFA &amp; Dep-MYT 5th Control'!$L$35</f>
        <v>7.6802274041529364</v>
      </c>
      <c r="H55" s="454">
        <v>0</v>
      </c>
      <c r="I55" s="454">
        <f>F55+G55-H55</f>
        <v>349.62482740415294</v>
      </c>
      <c r="J55" s="454">
        <f>'[56]Voltage wise FA from SAP'!$S$32</f>
        <v>78.059200000000004</v>
      </c>
      <c r="K55" s="454">
        <f>'[56]GFA &amp; Dep-MYT 5th Control'!$D$108</f>
        <v>11.306287254531147</v>
      </c>
      <c r="L55" s="454">
        <v>0</v>
      </c>
      <c r="M55" s="454">
        <f t="shared" si="6"/>
        <v>89.365487254531146</v>
      </c>
      <c r="N55" s="454">
        <f>F55-J55</f>
        <v>263.8854</v>
      </c>
      <c r="O55" s="454">
        <f>I55-M55</f>
        <v>260.25934014962178</v>
      </c>
    </row>
    <row r="56" spans="2:15" ht="15.6" hidden="1" x14ac:dyDescent="0.25">
      <c r="B56" s="470">
        <v>3</v>
      </c>
      <c r="C56" s="279" t="s">
        <v>690</v>
      </c>
      <c r="D56" s="471"/>
      <c r="E56" s="360"/>
      <c r="F56" s="472"/>
      <c r="G56" s="472"/>
      <c r="H56" s="472">
        <v>0</v>
      </c>
      <c r="I56" s="472"/>
      <c r="J56" s="472"/>
      <c r="K56" s="472"/>
      <c r="L56" s="472"/>
      <c r="M56" s="472">
        <f t="shared" si="6"/>
        <v>0</v>
      </c>
      <c r="N56" s="472"/>
      <c r="O56" s="472"/>
    </row>
    <row r="57" spans="2:15" ht="15.6" hidden="1" x14ac:dyDescent="0.25">
      <c r="B57" s="451"/>
      <c r="C57" s="276" t="s">
        <v>691</v>
      </c>
      <c r="D57" s="452"/>
      <c r="E57" s="52"/>
      <c r="F57" s="454">
        <f>'[56]Voltage wise FA from SAP'!$N$36</f>
        <v>4414.5418</v>
      </c>
      <c r="G57" s="454">
        <f>'[56]GFA &amp; Dep-MYT 5th Control'!$L$31</f>
        <v>267.96846854958397</v>
      </c>
      <c r="H57" s="454">
        <v>0</v>
      </c>
      <c r="I57" s="454">
        <f>F57+G57-H57</f>
        <v>4682.510268549584</v>
      </c>
      <c r="J57" s="454">
        <f>'[56]Voltage wise FA from SAP'!$S$36</f>
        <v>2354.5956999999999</v>
      </c>
      <c r="K57" s="454">
        <f>SUM('[56]GFA &amp; Dep-MYT 5th Control'!$D$113:$D$115)</f>
        <v>176.97023695173911</v>
      </c>
      <c r="L57" s="454">
        <v>0</v>
      </c>
      <c r="M57" s="454">
        <f t="shared" si="6"/>
        <v>2531.5659369517389</v>
      </c>
      <c r="N57" s="454">
        <f t="shared" ref="N57:N64" si="7">F57-J57</f>
        <v>2059.9461000000001</v>
      </c>
      <c r="O57" s="454">
        <f t="shared" ref="O57:O64" si="8">I57-M57</f>
        <v>2150.9443315978451</v>
      </c>
    </row>
    <row r="58" spans="2:15" ht="15.6" hidden="1" x14ac:dyDescent="0.25">
      <c r="B58" s="451"/>
      <c r="C58" s="276" t="s">
        <v>692</v>
      </c>
      <c r="D58" s="452"/>
      <c r="E58" s="52"/>
      <c r="F58" s="454">
        <f>'[56]Voltage wise FA from SAP'!$N$40</f>
        <v>3985.8580999999999</v>
      </c>
      <c r="G58" s="454">
        <f>'[56]GFA &amp; Dep-MYT 5th Control'!$L$32</f>
        <v>291.0791651895899</v>
      </c>
      <c r="H58" s="454">
        <v>0</v>
      </c>
      <c r="I58" s="454">
        <f>F58+G58-H58</f>
        <v>4276.9372651895901</v>
      </c>
      <c r="J58" s="454">
        <f>'[56]Voltage wise FA from SAP'!$S$40</f>
        <v>1981.7214000000001</v>
      </c>
      <c r="K58" s="454">
        <f>SUM('[56]GFA &amp; Dep-MYT 5th Control'!$D$122:$D$124)</f>
        <v>155.78842374879071</v>
      </c>
      <c r="L58" s="454">
        <v>0</v>
      </c>
      <c r="M58" s="454">
        <f t="shared" si="6"/>
        <v>2137.509823748791</v>
      </c>
      <c r="N58" s="454">
        <f t="shared" si="7"/>
        <v>2004.1366999999998</v>
      </c>
      <c r="O58" s="454">
        <f t="shared" si="8"/>
        <v>2139.4274414407992</v>
      </c>
    </row>
    <row r="59" spans="2:15" ht="15.6" hidden="1" x14ac:dyDescent="0.25">
      <c r="B59" s="451"/>
      <c r="C59" s="276" t="s">
        <v>693</v>
      </c>
      <c r="D59" s="452"/>
      <c r="E59" s="52"/>
      <c r="F59" s="454">
        <f>'[56]Voltage wise FA from SAP'!$N$44</f>
        <v>713.13520000000005</v>
      </c>
      <c r="G59" s="454">
        <f>'[56]GFA &amp; Dep-MYT 5th Control'!$L$33</f>
        <v>6.4206895834463467</v>
      </c>
      <c r="H59" s="454">
        <v>0</v>
      </c>
      <c r="I59" s="454">
        <f>F59+G59-H59</f>
        <v>719.5558895834464</v>
      </c>
      <c r="J59" s="454">
        <f>'[56]Voltage wise FA from SAP'!$S$44</f>
        <v>420.73500000000001</v>
      </c>
      <c r="K59" s="454">
        <f>SUM('[56]GFA &amp; Dep-MYT 5th Control'!$D$117:$D$119)</f>
        <v>13.263001839255107</v>
      </c>
      <c r="L59" s="454">
        <v>0</v>
      </c>
      <c r="M59" s="454">
        <f t="shared" si="6"/>
        <v>433.9980018392551</v>
      </c>
      <c r="N59" s="454">
        <f t="shared" si="7"/>
        <v>292.40020000000004</v>
      </c>
      <c r="O59" s="454">
        <f t="shared" si="8"/>
        <v>285.55788774419131</v>
      </c>
    </row>
    <row r="60" spans="2:15" ht="15.6" hidden="1" x14ac:dyDescent="0.25">
      <c r="B60" s="451">
        <v>4</v>
      </c>
      <c r="C60" s="279" t="s">
        <v>540</v>
      </c>
      <c r="D60" s="452"/>
      <c r="E60" s="52"/>
      <c r="F60" s="454">
        <f>'[56]Voltage wise FA from SAP'!$N$50</f>
        <v>18.785799999999998</v>
      </c>
      <c r="G60" s="454">
        <f>'[56]GFA &amp; Dep-MYT 5th Control'!$L$34</f>
        <v>1.7449266919820097</v>
      </c>
      <c r="H60" s="454">
        <v>0</v>
      </c>
      <c r="I60" s="454">
        <f>F60+G60-H60</f>
        <v>20.530726691982007</v>
      </c>
      <c r="J60" s="454">
        <f>'[56]Voltage wise FA from SAP'!$S$50</f>
        <v>8.952300000000001</v>
      </c>
      <c r="K60" s="454">
        <f>'[56]GFA &amp; Dep-MYT 5th Control'!$D$128</f>
        <v>8.1133707841392013</v>
      </c>
      <c r="L60" s="454">
        <v>0</v>
      </c>
      <c r="M60" s="454">
        <f t="shared" si="6"/>
        <v>17.065670784139201</v>
      </c>
      <c r="N60" s="454">
        <f t="shared" si="7"/>
        <v>9.8334999999999972</v>
      </c>
      <c r="O60" s="454">
        <f t="shared" si="8"/>
        <v>3.4650559078428067</v>
      </c>
    </row>
    <row r="61" spans="2:15" ht="15.6" hidden="1" x14ac:dyDescent="0.25">
      <c r="B61" s="451">
        <v>5</v>
      </c>
      <c r="C61" s="279" t="s">
        <v>694</v>
      </c>
      <c r="D61" s="452"/>
      <c r="E61" s="52"/>
      <c r="F61" s="454">
        <f>'[56]Voltage wise FA from SAP'!$N$49+'[56]Voltage wise FA from SAP'!$N$52</f>
        <v>6.2781000000000002</v>
      </c>
      <c r="G61" s="454">
        <v>0</v>
      </c>
      <c r="H61" s="454">
        <v>0</v>
      </c>
      <c r="I61" s="454">
        <f>F61+G61-H61</f>
        <v>6.2781000000000002</v>
      </c>
      <c r="J61" s="454">
        <f>'[56]Voltage wise FA from SAP'!$S$49+'[56]Voltage wise FA from SAP'!$S$52</f>
        <v>4.6518999999999995</v>
      </c>
      <c r="K61" s="454">
        <f>'[56]GFA &amp; Dep-MYT 5th Control'!$D$127</f>
        <v>0.10526232499999999</v>
      </c>
      <c r="L61" s="454">
        <v>0</v>
      </c>
      <c r="M61" s="454">
        <f t="shared" si="6"/>
        <v>4.7571623249999995</v>
      </c>
      <c r="N61" s="454">
        <f t="shared" si="7"/>
        <v>1.6262000000000008</v>
      </c>
      <c r="O61" s="454">
        <f t="shared" si="8"/>
        <v>1.5209376750000008</v>
      </c>
    </row>
    <row r="62" spans="2:15" ht="15.6" hidden="1" x14ac:dyDescent="0.25">
      <c r="B62" s="451">
        <v>6</v>
      </c>
      <c r="C62" s="279" t="s">
        <v>538</v>
      </c>
      <c r="D62" s="452"/>
      <c r="E62" s="52"/>
      <c r="F62" s="454">
        <f>'[56]Voltage wise FA from SAP'!$N$48</f>
        <v>2.7250999999999999</v>
      </c>
      <c r="G62" s="454">
        <v>0</v>
      </c>
      <c r="H62" s="454">
        <v>0</v>
      </c>
      <c r="I62" s="454">
        <f t="shared" ref="I62:I64" si="9">F62+G62-H62</f>
        <v>2.7250999999999999</v>
      </c>
      <c r="J62" s="454">
        <f>'[56]Voltage wise FA from SAP'!$S$48</f>
        <v>2.4511000000000003</v>
      </c>
      <c r="K62" s="454">
        <f>'[56]GFA &amp; Dep-MYT 5th Control'!$D$126</f>
        <v>-7.6104599999959888E-4</v>
      </c>
      <c r="L62" s="454">
        <v>0</v>
      </c>
      <c r="M62" s="454">
        <f t="shared" si="6"/>
        <v>2.4503389540000007</v>
      </c>
      <c r="N62" s="454">
        <f t="shared" si="7"/>
        <v>0.27399999999999958</v>
      </c>
      <c r="O62" s="454">
        <f t="shared" si="8"/>
        <v>0.27476104599999918</v>
      </c>
    </row>
    <row r="63" spans="2:15" ht="15.6" hidden="1" x14ac:dyDescent="0.25">
      <c r="B63" s="451">
        <v>7</v>
      </c>
      <c r="C63" s="279" t="s">
        <v>695</v>
      </c>
      <c r="D63" s="452"/>
      <c r="E63" s="52"/>
      <c r="F63" s="454">
        <f>'[56]Voltage wise FA from SAP'!$N$51</f>
        <v>82.648399999999995</v>
      </c>
      <c r="G63" s="454">
        <f>'[56]GFA &amp; Dep-MYT 5th Control'!$L$37</f>
        <v>16.435186335059537</v>
      </c>
      <c r="H63" s="454">
        <v>0</v>
      </c>
      <c r="I63" s="454">
        <f t="shared" si="9"/>
        <v>99.083586335059536</v>
      </c>
      <c r="J63" s="454">
        <f>'[56]Voltage wise FA from SAP'!$S$51</f>
        <v>63.527200000000001</v>
      </c>
      <c r="K63" s="454">
        <v>0</v>
      </c>
      <c r="L63" s="454">
        <v>0</v>
      </c>
      <c r="M63" s="454">
        <f t="shared" si="6"/>
        <v>63.527200000000001</v>
      </c>
      <c r="N63" s="454">
        <f t="shared" si="7"/>
        <v>19.121199999999995</v>
      </c>
      <c r="O63" s="454">
        <f t="shared" si="8"/>
        <v>35.556386335059535</v>
      </c>
    </row>
    <row r="64" spans="2:15" ht="15.6" hidden="1" x14ac:dyDescent="0.25">
      <c r="B64" s="451">
        <v>8</v>
      </c>
      <c r="C64" s="279" t="s">
        <v>696</v>
      </c>
      <c r="D64" s="452"/>
      <c r="E64" s="52"/>
      <c r="F64" s="454">
        <f>'[56]Voltage wise FA from SAP'!$N$33</f>
        <v>34.928000000000004</v>
      </c>
      <c r="G64" s="454">
        <v>0</v>
      </c>
      <c r="H64" s="454">
        <v>0</v>
      </c>
      <c r="I64" s="454">
        <f t="shared" si="9"/>
        <v>34.928000000000004</v>
      </c>
      <c r="J64" s="454">
        <f>'[56]Voltage wise FA from SAP'!$S$33</f>
        <v>26.656500000000001</v>
      </c>
      <c r="K64" s="454">
        <f>'[56]GFA &amp; Dep-MYT 5th Control'!$D$109</f>
        <v>3.5483729281294676</v>
      </c>
      <c r="L64" s="454">
        <v>0</v>
      </c>
      <c r="M64" s="454">
        <f t="shared" si="6"/>
        <v>30.204872928129468</v>
      </c>
      <c r="N64" s="454">
        <f t="shared" si="7"/>
        <v>8.2715000000000032</v>
      </c>
      <c r="O64" s="454">
        <f t="shared" si="8"/>
        <v>4.723127071870536</v>
      </c>
    </row>
    <row r="65" spans="2:15" ht="15.6" hidden="1" x14ac:dyDescent="0.25">
      <c r="B65" s="451"/>
      <c r="C65" s="279"/>
      <c r="D65" s="452"/>
      <c r="E65" s="52"/>
      <c r="F65" s="454"/>
      <c r="G65" s="454"/>
      <c r="H65" s="454"/>
      <c r="I65" s="454"/>
      <c r="J65" s="454"/>
      <c r="K65" s="454"/>
      <c r="L65" s="454"/>
      <c r="M65" s="454"/>
      <c r="N65" s="454"/>
      <c r="O65" s="454"/>
    </row>
    <row r="66" spans="2:15" ht="15.6" hidden="1" x14ac:dyDescent="0.25">
      <c r="B66" s="451"/>
      <c r="C66" s="279"/>
      <c r="D66" s="452"/>
      <c r="E66" s="52"/>
      <c r="F66" s="454"/>
      <c r="G66" s="473"/>
      <c r="H66" s="473"/>
      <c r="I66" s="454"/>
      <c r="J66" s="454"/>
      <c r="K66" s="473"/>
      <c r="L66" s="473"/>
      <c r="M66" s="454"/>
      <c r="N66" s="454"/>
      <c r="O66" s="454"/>
    </row>
    <row r="67" spans="2:15" hidden="1" x14ac:dyDescent="0.25">
      <c r="B67" s="451"/>
      <c r="C67" s="457"/>
      <c r="D67" s="452"/>
      <c r="E67" s="52"/>
      <c r="F67" s="454"/>
      <c r="G67" s="454"/>
      <c r="H67" s="454"/>
      <c r="I67" s="454"/>
      <c r="J67" s="454"/>
      <c r="K67" s="454"/>
      <c r="L67" s="454"/>
      <c r="M67" s="454"/>
      <c r="N67" s="454"/>
      <c r="O67" s="454"/>
    </row>
    <row r="68" spans="2:15" hidden="1" x14ac:dyDescent="0.25">
      <c r="B68" s="451"/>
      <c r="C68" s="457"/>
      <c r="D68" s="452"/>
      <c r="E68" s="52"/>
      <c r="F68" s="454"/>
      <c r="G68" s="454"/>
      <c r="H68" s="454"/>
      <c r="I68" s="454"/>
      <c r="J68" s="454"/>
      <c r="K68" s="454"/>
      <c r="L68" s="454"/>
      <c r="M68" s="454"/>
      <c r="N68" s="454"/>
      <c r="O68" s="454"/>
    </row>
    <row r="69" spans="2:15" hidden="1" x14ac:dyDescent="0.25">
      <c r="B69" s="451"/>
      <c r="C69" s="457"/>
      <c r="D69" s="452"/>
      <c r="E69" s="52"/>
      <c r="F69" s="454"/>
      <c r="G69" s="454"/>
      <c r="H69" s="454"/>
      <c r="I69" s="454"/>
      <c r="J69" s="454"/>
      <c r="K69" s="454"/>
      <c r="L69" s="454"/>
      <c r="M69" s="454"/>
      <c r="N69" s="454"/>
      <c r="O69" s="454"/>
    </row>
    <row r="70" spans="2:15" hidden="1" x14ac:dyDescent="0.25">
      <c r="B70" s="451"/>
      <c r="C70" s="457"/>
      <c r="D70" s="452"/>
      <c r="E70" s="52"/>
      <c r="F70" s="454"/>
      <c r="G70" s="454"/>
      <c r="H70" s="454"/>
      <c r="I70" s="454"/>
      <c r="J70" s="454"/>
      <c r="K70" s="454"/>
      <c r="L70" s="454"/>
      <c r="M70" s="454"/>
      <c r="N70" s="454"/>
      <c r="O70" s="454"/>
    </row>
    <row r="71" spans="2:15" hidden="1" x14ac:dyDescent="0.25">
      <c r="B71" s="451"/>
      <c r="C71" s="458"/>
      <c r="D71" s="452"/>
      <c r="E71" s="52"/>
      <c r="F71" s="454"/>
      <c r="G71" s="454"/>
      <c r="H71" s="454"/>
      <c r="I71" s="454"/>
      <c r="J71" s="454"/>
      <c r="K71" s="454"/>
      <c r="L71" s="454"/>
      <c r="M71" s="454"/>
      <c r="N71" s="454"/>
      <c r="O71" s="454"/>
    </row>
    <row r="72" spans="2:15" hidden="1" x14ac:dyDescent="0.25">
      <c r="B72" s="451"/>
      <c r="C72" s="458"/>
      <c r="D72" s="452"/>
      <c r="E72" s="52"/>
      <c r="F72" s="454"/>
      <c r="G72" s="454"/>
      <c r="H72" s="454"/>
      <c r="I72" s="454"/>
      <c r="J72" s="454"/>
      <c r="K72" s="454"/>
      <c r="L72" s="454"/>
      <c r="M72" s="454"/>
      <c r="N72" s="454"/>
      <c r="O72" s="454"/>
    </row>
    <row r="73" spans="2:15" hidden="1" x14ac:dyDescent="0.25">
      <c r="B73" s="451"/>
      <c r="C73" s="458"/>
      <c r="D73" s="452"/>
      <c r="E73" s="52"/>
      <c r="F73" s="454"/>
      <c r="G73" s="454"/>
      <c r="H73" s="454"/>
      <c r="I73" s="454"/>
      <c r="J73" s="454"/>
      <c r="K73" s="454"/>
      <c r="L73" s="454"/>
      <c r="M73" s="454"/>
      <c r="N73" s="454"/>
      <c r="O73" s="454"/>
    </row>
    <row r="74" spans="2:15" hidden="1" x14ac:dyDescent="0.25">
      <c r="B74" s="451"/>
      <c r="C74" s="457"/>
      <c r="D74" s="452"/>
      <c r="E74" s="52"/>
      <c r="F74" s="454"/>
      <c r="G74" s="454"/>
      <c r="H74" s="454"/>
      <c r="I74" s="454"/>
      <c r="J74" s="454"/>
      <c r="K74" s="454"/>
      <c r="L74" s="454"/>
      <c r="M74" s="454"/>
      <c r="N74" s="454"/>
      <c r="O74" s="454"/>
    </row>
    <row r="75" spans="2:15" hidden="1" x14ac:dyDescent="0.25">
      <c r="B75" s="451"/>
      <c r="C75" s="457"/>
      <c r="D75" s="452"/>
      <c r="E75" s="52"/>
      <c r="F75" s="454"/>
      <c r="G75" s="454"/>
      <c r="H75" s="454"/>
      <c r="I75" s="454"/>
      <c r="J75" s="454"/>
      <c r="K75" s="454"/>
      <c r="L75" s="454"/>
      <c r="M75" s="454"/>
      <c r="N75" s="454"/>
      <c r="O75" s="454"/>
    </row>
    <row r="76" spans="2:15" hidden="1" x14ac:dyDescent="0.25">
      <c r="B76" s="459"/>
      <c r="C76" s="460"/>
      <c r="D76" s="452"/>
      <c r="E76" s="52"/>
      <c r="F76" s="454"/>
      <c r="G76" s="454"/>
      <c r="H76" s="454"/>
      <c r="I76" s="454"/>
      <c r="J76" s="454"/>
      <c r="K76" s="454"/>
      <c r="L76" s="454"/>
      <c r="M76" s="454"/>
      <c r="N76" s="454"/>
      <c r="O76" s="454"/>
    </row>
    <row r="77" spans="2:15" hidden="1" x14ac:dyDescent="0.25">
      <c r="B77" s="461"/>
      <c r="C77" s="280"/>
      <c r="D77" s="462"/>
      <c r="E77" s="52"/>
      <c r="F77" s="454"/>
      <c r="G77" s="454"/>
      <c r="H77" s="454"/>
      <c r="I77" s="454"/>
      <c r="J77" s="454"/>
      <c r="K77" s="454"/>
      <c r="L77" s="454"/>
      <c r="M77" s="454"/>
      <c r="N77" s="454"/>
      <c r="O77" s="454"/>
    </row>
    <row r="78" spans="2:15" hidden="1" x14ac:dyDescent="0.25">
      <c r="B78" s="461"/>
      <c r="C78" s="280"/>
      <c r="D78" s="462"/>
      <c r="E78" s="52"/>
      <c r="F78" s="454"/>
      <c r="G78" s="454"/>
      <c r="H78" s="454"/>
      <c r="I78" s="454"/>
      <c r="J78" s="454"/>
      <c r="K78" s="454"/>
      <c r="L78" s="454"/>
      <c r="M78" s="454"/>
      <c r="N78" s="454"/>
      <c r="O78" s="454"/>
    </row>
    <row r="79" spans="2:15" hidden="1" x14ac:dyDescent="0.25">
      <c r="B79" s="461"/>
      <c r="C79" s="280"/>
      <c r="D79" s="462"/>
      <c r="E79" s="52"/>
      <c r="F79" s="454"/>
      <c r="G79" s="454"/>
      <c r="H79" s="454"/>
      <c r="I79" s="454"/>
      <c r="J79" s="454"/>
      <c r="K79" s="454"/>
      <c r="L79" s="454"/>
      <c r="M79" s="454"/>
      <c r="N79" s="454"/>
      <c r="O79" s="454"/>
    </row>
    <row r="80" spans="2:15" hidden="1" x14ac:dyDescent="0.25">
      <c r="B80" s="461"/>
      <c r="C80" s="281"/>
      <c r="D80" s="462"/>
      <c r="E80" s="52"/>
      <c r="F80" s="454"/>
      <c r="G80" s="454"/>
      <c r="H80" s="454"/>
      <c r="I80" s="454"/>
      <c r="J80" s="454"/>
      <c r="K80" s="454"/>
      <c r="L80" s="454"/>
      <c r="M80" s="454"/>
      <c r="N80" s="454"/>
      <c r="O80" s="454"/>
    </row>
    <row r="81" spans="2:15" hidden="1" x14ac:dyDescent="0.25">
      <c r="B81" s="461"/>
      <c r="C81" s="281"/>
      <c r="D81" s="462"/>
      <c r="E81" s="52"/>
      <c r="F81" s="454"/>
      <c r="G81" s="454"/>
      <c r="H81" s="454"/>
      <c r="I81" s="454"/>
      <c r="J81" s="454"/>
      <c r="K81" s="454"/>
      <c r="L81" s="454"/>
      <c r="M81" s="454"/>
      <c r="N81" s="454"/>
      <c r="O81" s="454"/>
    </row>
    <row r="82" spans="2:15" hidden="1" x14ac:dyDescent="0.25">
      <c r="B82" s="461"/>
      <c r="C82" s="281"/>
      <c r="D82" s="462"/>
      <c r="E82" s="52"/>
      <c r="F82" s="454"/>
      <c r="G82" s="454"/>
      <c r="H82" s="454"/>
      <c r="I82" s="454"/>
      <c r="J82" s="454"/>
      <c r="K82" s="454"/>
      <c r="L82" s="454"/>
      <c r="M82" s="454"/>
      <c r="N82" s="454"/>
      <c r="O82" s="454"/>
    </row>
    <row r="83" spans="2:15" hidden="1" x14ac:dyDescent="0.25">
      <c r="B83" s="461"/>
      <c r="C83" s="281"/>
      <c r="D83" s="462"/>
      <c r="E83" s="52"/>
      <c r="F83" s="454"/>
      <c r="G83" s="454"/>
      <c r="H83" s="454"/>
      <c r="I83" s="454"/>
      <c r="J83" s="454"/>
      <c r="K83" s="454"/>
      <c r="L83" s="454"/>
      <c r="M83" s="454"/>
      <c r="N83" s="454"/>
      <c r="O83" s="454"/>
    </row>
    <row r="84" spans="2:15" hidden="1" x14ac:dyDescent="0.25">
      <c r="B84" s="461"/>
      <c r="C84" s="281"/>
      <c r="D84" s="462"/>
      <c r="E84" s="52"/>
      <c r="F84" s="454"/>
      <c r="G84" s="454"/>
      <c r="H84" s="454"/>
      <c r="I84" s="454"/>
      <c r="J84" s="454"/>
      <c r="K84" s="454"/>
      <c r="L84" s="454"/>
      <c r="M84" s="454"/>
      <c r="N84" s="454"/>
      <c r="O84" s="454"/>
    </row>
    <row r="85" spans="2:15" hidden="1" x14ac:dyDescent="0.25">
      <c r="B85" s="461"/>
      <c r="C85" s="281"/>
      <c r="D85" s="462"/>
      <c r="E85" s="52"/>
      <c r="F85" s="454"/>
      <c r="G85" s="454"/>
      <c r="H85" s="454"/>
      <c r="I85" s="454"/>
      <c r="J85" s="454"/>
      <c r="K85" s="454"/>
      <c r="L85" s="454"/>
      <c r="M85" s="454"/>
      <c r="N85" s="454"/>
      <c r="O85" s="454"/>
    </row>
    <row r="86" spans="2:15" hidden="1" x14ac:dyDescent="0.25">
      <c r="B86" s="461"/>
      <c r="C86" s="281"/>
      <c r="D86" s="462"/>
      <c r="E86" s="52"/>
      <c r="F86" s="454"/>
      <c r="G86" s="454"/>
      <c r="H86" s="454"/>
      <c r="I86" s="454"/>
      <c r="J86" s="454"/>
      <c r="K86" s="454"/>
      <c r="L86" s="454"/>
      <c r="M86" s="454"/>
      <c r="N86" s="454"/>
      <c r="O86" s="454"/>
    </row>
    <row r="87" spans="2:15" hidden="1" x14ac:dyDescent="0.25">
      <c r="B87" s="461"/>
      <c r="C87" s="280"/>
      <c r="D87" s="462"/>
      <c r="E87" s="52"/>
      <c r="F87" s="454"/>
      <c r="G87" s="454"/>
      <c r="H87" s="454"/>
      <c r="I87" s="454"/>
      <c r="J87" s="454"/>
      <c r="K87" s="454"/>
      <c r="L87" s="454"/>
      <c r="M87" s="454"/>
      <c r="N87" s="454"/>
      <c r="O87" s="454"/>
    </row>
    <row r="88" spans="2:15" hidden="1" x14ac:dyDescent="0.25">
      <c r="B88" s="461"/>
      <c r="C88" s="281"/>
      <c r="D88" s="462"/>
      <c r="E88" s="52"/>
      <c r="F88" s="454"/>
      <c r="G88" s="454"/>
      <c r="H88" s="454"/>
      <c r="I88" s="454"/>
      <c r="J88" s="454"/>
      <c r="K88" s="454"/>
      <c r="L88" s="454"/>
      <c r="M88" s="454"/>
      <c r="N88" s="454"/>
      <c r="O88" s="454"/>
    </row>
    <row r="89" spans="2:15" hidden="1" x14ac:dyDescent="0.25">
      <c r="B89" s="461"/>
      <c r="C89" s="281"/>
      <c r="D89" s="462"/>
      <c r="E89" s="52"/>
      <c r="F89" s="454"/>
      <c r="G89" s="454"/>
      <c r="H89" s="454"/>
      <c r="I89" s="454"/>
      <c r="J89" s="454"/>
      <c r="K89" s="454"/>
      <c r="L89" s="454"/>
      <c r="M89" s="454"/>
      <c r="N89" s="454"/>
      <c r="O89" s="454"/>
    </row>
    <row r="90" spans="2:15" hidden="1" x14ac:dyDescent="0.25">
      <c r="B90" s="461"/>
      <c r="C90" s="281"/>
      <c r="D90" s="462"/>
      <c r="E90" s="52"/>
      <c r="F90" s="454"/>
      <c r="G90" s="454"/>
      <c r="H90" s="454"/>
      <c r="I90" s="454"/>
      <c r="J90" s="454"/>
      <c r="K90" s="454"/>
      <c r="L90" s="454"/>
      <c r="M90" s="454"/>
      <c r="N90" s="454"/>
      <c r="O90" s="454"/>
    </row>
    <row r="91" spans="2:15" hidden="1" x14ac:dyDescent="0.25">
      <c r="B91" s="461"/>
      <c r="C91" s="280"/>
      <c r="D91" s="462"/>
      <c r="E91" s="52"/>
      <c r="F91" s="454"/>
      <c r="G91" s="454"/>
      <c r="H91" s="454"/>
      <c r="I91" s="454"/>
      <c r="J91" s="454"/>
      <c r="K91" s="454"/>
      <c r="L91" s="454"/>
      <c r="M91" s="454"/>
      <c r="N91" s="454"/>
      <c r="O91" s="454"/>
    </row>
    <row r="92" spans="2:15" hidden="1" x14ac:dyDescent="0.25">
      <c r="B92" s="461"/>
      <c r="C92" s="280"/>
      <c r="D92" s="452"/>
      <c r="E92" s="52"/>
      <c r="F92" s="454"/>
      <c r="G92" s="454"/>
      <c r="H92" s="454"/>
      <c r="I92" s="454"/>
      <c r="J92" s="454"/>
      <c r="K92" s="454"/>
      <c r="L92" s="454"/>
      <c r="M92" s="454"/>
      <c r="N92" s="454"/>
      <c r="O92" s="454"/>
    </row>
    <row r="93" spans="2:15" hidden="1" x14ac:dyDescent="0.25">
      <c r="B93" s="461"/>
      <c r="C93" s="280"/>
      <c r="D93" s="452"/>
      <c r="E93" s="53"/>
      <c r="F93" s="454"/>
      <c r="G93" s="454"/>
      <c r="H93" s="454"/>
      <c r="I93" s="454"/>
      <c r="J93" s="454"/>
      <c r="K93" s="454"/>
      <c r="L93" s="454"/>
      <c r="M93" s="454"/>
      <c r="N93" s="454"/>
      <c r="O93" s="454"/>
    </row>
    <row r="94" spans="2:15" ht="14.4" hidden="1" thickBot="1" x14ac:dyDescent="0.3">
      <c r="B94" s="463"/>
      <c r="C94" s="464" t="s">
        <v>251</v>
      </c>
      <c r="D94" s="464"/>
      <c r="E94" s="465"/>
      <c r="F94" s="466">
        <f t="shared" ref="F94:L94" si="10">SUM(F54:F93)</f>
        <v>9602.5942999999988</v>
      </c>
      <c r="G94" s="466">
        <f t="shared" si="10"/>
        <v>596.52677170578318</v>
      </c>
      <c r="H94" s="466">
        <f t="shared" si="10"/>
        <v>0</v>
      </c>
      <c r="I94" s="466">
        <f t="shared" si="10"/>
        <v>10199.121071705782</v>
      </c>
      <c r="J94" s="466">
        <f>SUM(J54:J93)</f>
        <v>4941.3503000000001</v>
      </c>
      <c r="K94" s="466">
        <f>SUM(K54:K93)</f>
        <v>369.09419478558476</v>
      </c>
      <c r="L94" s="466">
        <f t="shared" si="10"/>
        <v>0</v>
      </c>
      <c r="M94" s="466">
        <f>SUM(M54:M93)</f>
        <v>5310.4444947855845</v>
      </c>
      <c r="N94" s="466">
        <f>SUM(N54:N93)</f>
        <v>4661.2439999999988</v>
      </c>
      <c r="O94" s="467">
        <f>SUM(O54:O93)</f>
        <v>4888.6765769201993</v>
      </c>
    </row>
    <row r="95" spans="2:15" ht="14.4" thickBot="1" x14ac:dyDescent="0.3">
      <c r="O95" s="15" t="s">
        <v>1215</v>
      </c>
    </row>
    <row r="96" spans="2:15" x14ac:dyDescent="0.25">
      <c r="B96" s="858" t="s">
        <v>1229</v>
      </c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60"/>
    </row>
    <row r="97" spans="2:15" ht="13.95" customHeight="1" x14ac:dyDescent="0.25">
      <c r="B97" s="861" t="s">
        <v>474</v>
      </c>
      <c r="C97" s="863" t="s">
        <v>556</v>
      </c>
      <c r="D97" s="865" t="s">
        <v>557</v>
      </c>
      <c r="E97" s="865" t="s">
        <v>558</v>
      </c>
      <c r="F97" s="865" t="s">
        <v>559</v>
      </c>
      <c r="G97" s="865"/>
      <c r="H97" s="865"/>
      <c r="I97" s="865"/>
      <c r="J97" s="865" t="s">
        <v>560</v>
      </c>
      <c r="K97" s="865"/>
      <c r="L97" s="865"/>
      <c r="M97" s="865"/>
      <c r="N97" s="865" t="s">
        <v>561</v>
      </c>
      <c r="O97" s="867"/>
    </row>
    <row r="98" spans="2:15" ht="55.8" thickBot="1" x14ac:dyDescent="0.3">
      <c r="B98" s="862"/>
      <c r="C98" s="864"/>
      <c r="D98" s="866"/>
      <c r="E98" s="866"/>
      <c r="F98" s="468" t="s">
        <v>562</v>
      </c>
      <c r="G98" s="468" t="s">
        <v>563</v>
      </c>
      <c r="H98" s="468" t="s">
        <v>564</v>
      </c>
      <c r="I98" s="468" t="s">
        <v>565</v>
      </c>
      <c r="J98" s="468" t="s">
        <v>566</v>
      </c>
      <c r="K98" s="468" t="s">
        <v>563</v>
      </c>
      <c r="L98" s="468" t="s">
        <v>567</v>
      </c>
      <c r="M98" s="468" t="s">
        <v>568</v>
      </c>
      <c r="N98" s="468" t="s">
        <v>562</v>
      </c>
      <c r="O98" s="469" t="s">
        <v>565</v>
      </c>
    </row>
    <row r="99" spans="2:15" ht="15.6" x14ac:dyDescent="0.25">
      <c r="B99" s="451">
        <v>1</v>
      </c>
      <c r="C99" s="276" t="s">
        <v>689</v>
      </c>
      <c r="D99" s="452"/>
      <c r="E99" s="453"/>
      <c r="F99" s="454">
        <f t="shared" ref="F99:F109" si="11">I54</f>
        <v>6.9473079519686136</v>
      </c>
      <c r="G99" s="454">
        <f>'[56]GFA &amp; Dep-MYT 5th Control'!$M$36</f>
        <v>14.397899199497086</v>
      </c>
      <c r="H99" s="454">
        <v>0</v>
      </c>
      <c r="I99" s="454">
        <f t="shared" ref="I99:I109" si="12">F99+G99-H99</f>
        <v>21.345207151465701</v>
      </c>
      <c r="J99" s="454">
        <f>M54</f>
        <v>0</v>
      </c>
      <c r="K99" s="454">
        <f>'[56]GFA &amp; Dep-MYT 5th Control'!$E$107</f>
        <v>1.5895540527272697E-2</v>
      </c>
      <c r="L99" s="454">
        <v>0</v>
      </c>
      <c r="M99" s="454">
        <f t="shared" ref="M99:M109" si="13">J99+K99-L99</f>
        <v>1.5895540527272697E-2</v>
      </c>
      <c r="N99" s="454">
        <f>F99-J99</f>
        <v>6.9473079519686136</v>
      </c>
      <c r="O99" s="454">
        <f>I99-M99</f>
        <v>21.329311610938429</v>
      </c>
    </row>
    <row r="100" spans="2:15" ht="15.6" x14ac:dyDescent="0.25">
      <c r="B100" s="451">
        <v>2</v>
      </c>
      <c r="C100" s="276" t="s">
        <v>534</v>
      </c>
      <c r="D100" s="452"/>
      <c r="E100" s="453"/>
      <c r="F100" s="454">
        <f t="shared" si="11"/>
        <v>349.62482740415294</v>
      </c>
      <c r="G100" s="454">
        <f>'[56]GFA &amp; Dep-MYT 5th Control'!$M$35</f>
        <v>21.272959510648658</v>
      </c>
      <c r="H100" s="454">
        <v>0</v>
      </c>
      <c r="I100" s="454">
        <f t="shared" si="12"/>
        <v>370.8977869148016</v>
      </c>
      <c r="J100" s="454">
        <f t="shared" ref="J100:J109" si="14">M55</f>
        <v>89.365487254531146</v>
      </c>
      <c r="K100" s="454">
        <f>'[56]GFA &amp; Dep-MYT 5th Control'!$E$108</f>
        <v>11.342877923644831</v>
      </c>
      <c r="L100" s="454">
        <v>0</v>
      </c>
      <c r="M100" s="454">
        <f t="shared" si="13"/>
        <v>100.70836517817598</v>
      </c>
      <c r="N100" s="454">
        <f>F100-J100</f>
        <v>260.25934014962178</v>
      </c>
      <c r="O100" s="454">
        <f>I100-M100</f>
        <v>270.1894217366256</v>
      </c>
    </row>
    <row r="101" spans="2:15" ht="15.6" x14ac:dyDescent="0.25">
      <c r="B101" s="470">
        <v>3</v>
      </c>
      <c r="C101" s="279" t="s">
        <v>690</v>
      </c>
      <c r="D101" s="471"/>
      <c r="E101" s="360"/>
      <c r="F101" s="472">
        <f t="shared" si="11"/>
        <v>0</v>
      </c>
      <c r="G101" s="472"/>
      <c r="H101" s="472"/>
      <c r="I101" s="472">
        <f t="shared" si="12"/>
        <v>0</v>
      </c>
      <c r="J101" s="472">
        <f t="shared" si="14"/>
        <v>0</v>
      </c>
      <c r="K101" s="472"/>
      <c r="L101" s="472"/>
      <c r="M101" s="472">
        <f t="shared" si="13"/>
        <v>0</v>
      </c>
      <c r="N101" s="472"/>
      <c r="O101" s="472"/>
    </row>
    <row r="102" spans="2:15" ht="15.6" x14ac:dyDescent="0.25">
      <c r="B102" s="451"/>
      <c r="C102" s="276" t="s">
        <v>691</v>
      </c>
      <c r="D102" s="452"/>
      <c r="E102" s="52"/>
      <c r="F102" s="454">
        <f t="shared" si="11"/>
        <v>4682.510268549584</v>
      </c>
      <c r="G102" s="454">
        <f>'[56]GFA &amp; Dep-MYT 5th Control'!$M$31</f>
        <v>742.22833278392261</v>
      </c>
      <c r="H102" s="454">
        <v>0</v>
      </c>
      <c r="I102" s="454">
        <f t="shared" si="12"/>
        <v>5424.7386013335063</v>
      </c>
      <c r="J102" s="454">
        <f t="shared" si="14"/>
        <v>2531.5659369517389</v>
      </c>
      <c r="K102" s="454">
        <f>SUM('[56]GFA &amp; Dep-MYT 5th Control'!$E$113:$E$115)</f>
        <v>216.73183518577122</v>
      </c>
      <c r="L102" s="454">
        <v>0</v>
      </c>
      <c r="M102" s="454">
        <f t="shared" si="13"/>
        <v>2748.29777213751</v>
      </c>
      <c r="N102" s="454">
        <f t="shared" ref="N102:N108" si="15">F102-J102</f>
        <v>2150.9443315978451</v>
      </c>
      <c r="O102" s="454">
        <f t="shared" ref="O102:O108" si="16">I102-M102</f>
        <v>2676.4408291959962</v>
      </c>
    </row>
    <row r="103" spans="2:15" ht="15.6" x14ac:dyDescent="0.25">
      <c r="B103" s="451"/>
      <c r="C103" s="276" t="s">
        <v>692</v>
      </c>
      <c r="D103" s="452"/>
      <c r="E103" s="52"/>
      <c r="F103" s="454">
        <f t="shared" si="11"/>
        <v>4276.9372651895901</v>
      </c>
      <c r="G103" s="454">
        <f>'[56]GFA &amp; Dep-MYT 5th Control'!$M$32</f>
        <v>806.24113969897428</v>
      </c>
      <c r="H103" s="454">
        <v>0</v>
      </c>
      <c r="I103" s="454">
        <f t="shared" si="12"/>
        <v>5083.1784048885647</v>
      </c>
      <c r="J103" s="454">
        <f t="shared" si="14"/>
        <v>2137.509823748791</v>
      </c>
      <c r="K103" s="454">
        <f>SUM('[56]GFA &amp; Dep-MYT 5th Control'!$E$122:$E$124)</f>
        <v>125.47835442969858</v>
      </c>
      <c r="L103" s="454">
        <v>0</v>
      </c>
      <c r="M103" s="454">
        <f t="shared" si="13"/>
        <v>2262.9881781784898</v>
      </c>
      <c r="N103" s="454">
        <f t="shared" si="15"/>
        <v>2139.4274414407992</v>
      </c>
      <c r="O103" s="454">
        <f t="shared" si="16"/>
        <v>2820.190226710075</v>
      </c>
    </row>
    <row r="104" spans="2:15" ht="15.6" x14ac:dyDescent="0.25">
      <c r="B104" s="451"/>
      <c r="C104" s="276" t="s">
        <v>693</v>
      </c>
      <c r="D104" s="452"/>
      <c r="E104" s="52"/>
      <c r="F104" s="454">
        <f t="shared" si="11"/>
        <v>719.5558895834464</v>
      </c>
      <c r="G104" s="454">
        <f>'[56]GFA &amp; Dep-MYT 5th Control'!$M$33</f>
        <v>17.784248089482467</v>
      </c>
      <c r="H104" s="454">
        <v>0</v>
      </c>
      <c r="I104" s="454">
        <f t="shared" si="12"/>
        <v>737.3401376729289</v>
      </c>
      <c r="J104" s="454">
        <f t="shared" si="14"/>
        <v>433.9980018392551</v>
      </c>
      <c r="K104" s="454">
        <f>'[56]GFA &amp; Dep-MYT 5th Control'!$E$119</f>
        <v>42.96057658514821</v>
      </c>
      <c r="L104" s="454">
        <v>0</v>
      </c>
      <c r="M104" s="454">
        <f t="shared" si="13"/>
        <v>476.9585784244033</v>
      </c>
      <c r="N104" s="454">
        <f t="shared" si="15"/>
        <v>285.55788774419131</v>
      </c>
      <c r="O104" s="454">
        <f t="shared" si="16"/>
        <v>260.3815592485256</v>
      </c>
    </row>
    <row r="105" spans="2:15" ht="15.6" x14ac:dyDescent="0.25">
      <c r="B105" s="451">
        <v>4</v>
      </c>
      <c r="C105" s="279" t="s">
        <v>540</v>
      </c>
      <c r="D105" s="452"/>
      <c r="E105" s="52"/>
      <c r="F105" s="454">
        <f t="shared" si="11"/>
        <v>20.530726691982007</v>
      </c>
      <c r="G105" s="454">
        <f>'[56]GFA &amp; Dep-MYT 5th Control'!$M$34</f>
        <v>4.8331583056396994</v>
      </c>
      <c r="H105" s="454">
        <v>0</v>
      </c>
      <c r="I105" s="454">
        <f t="shared" si="12"/>
        <v>25.363884997621707</v>
      </c>
      <c r="J105" s="454">
        <f t="shared" si="14"/>
        <v>17.065670784139201</v>
      </c>
      <c r="K105" s="454">
        <f>'[56]GFA &amp; Dep-MYT 5th Control'!$E$128</f>
        <v>8.4531031284137441</v>
      </c>
      <c r="L105" s="454">
        <v>0</v>
      </c>
      <c r="M105" s="454">
        <f t="shared" si="13"/>
        <v>25.518773912552945</v>
      </c>
      <c r="N105" s="454">
        <f t="shared" si="15"/>
        <v>3.4650559078428067</v>
      </c>
      <c r="O105" s="454">
        <f t="shared" si="16"/>
        <v>-0.15488891493123802</v>
      </c>
    </row>
    <row r="106" spans="2:15" ht="15.6" x14ac:dyDescent="0.25">
      <c r="B106" s="451">
        <v>5</v>
      </c>
      <c r="C106" s="279" t="s">
        <v>694</v>
      </c>
      <c r="D106" s="452"/>
      <c r="E106" s="52"/>
      <c r="F106" s="454">
        <f t="shared" si="11"/>
        <v>6.2781000000000002</v>
      </c>
      <c r="G106" s="454">
        <v>0</v>
      </c>
      <c r="H106" s="454">
        <v>0</v>
      </c>
      <c r="I106" s="454">
        <f t="shared" si="12"/>
        <v>6.2781000000000002</v>
      </c>
      <c r="J106" s="454">
        <f t="shared" si="14"/>
        <v>4.7571623249999995</v>
      </c>
      <c r="K106" s="454">
        <f>'[56]GFA &amp; Dep-MYT 5th Control'!$E$127</f>
        <v>0.14765451232999771</v>
      </c>
      <c r="L106" s="454">
        <v>0</v>
      </c>
      <c r="M106" s="454">
        <f t="shared" si="13"/>
        <v>4.9048168373299976</v>
      </c>
      <c r="N106" s="454">
        <f t="shared" si="15"/>
        <v>1.5209376750000008</v>
      </c>
      <c r="O106" s="454">
        <f t="shared" si="16"/>
        <v>1.3732831626700026</v>
      </c>
    </row>
    <row r="107" spans="2:15" ht="15.6" x14ac:dyDescent="0.25">
      <c r="B107" s="451">
        <v>6</v>
      </c>
      <c r="C107" s="279" t="s">
        <v>538</v>
      </c>
      <c r="D107" s="452"/>
      <c r="E107" s="52"/>
      <c r="F107" s="454">
        <f t="shared" si="11"/>
        <v>2.7250999999999999</v>
      </c>
      <c r="G107" s="454">
        <v>0</v>
      </c>
      <c r="H107" s="454">
        <v>0</v>
      </c>
      <c r="I107" s="454">
        <f t="shared" si="12"/>
        <v>2.7250999999999999</v>
      </c>
      <c r="J107" s="454">
        <f t="shared" si="14"/>
        <v>2.4503389540000007</v>
      </c>
      <c r="K107" s="454">
        <f>'[56]GFA &amp; Dep-MYT 5th Control'!$E$126</f>
        <v>1.0336502999996888E-3</v>
      </c>
      <c r="L107" s="454">
        <v>0</v>
      </c>
      <c r="M107" s="454">
        <f t="shared" si="13"/>
        <v>2.4513726043000004</v>
      </c>
      <c r="N107" s="454">
        <f t="shared" si="15"/>
        <v>0.27476104599999918</v>
      </c>
      <c r="O107" s="454">
        <f t="shared" si="16"/>
        <v>0.27372739569999949</v>
      </c>
    </row>
    <row r="108" spans="2:15" ht="15.6" x14ac:dyDescent="0.25">
      <c r="B108" s="451">
        <v>7</v>
      </c>
      <c r="C108" s="279" t="s">
        <v>695</v>
      </c>
      <c r="D108" s="452"/>
      <c r="E108" s="52"/>
      <c r="F108" s="454">
        <f t="shared" si="11"/>
        <v>99.083586335059536</v>
      </c>
      <c r="G108" s="454">
        <f>'[56]GFA &amp; Dep-MYT 5th Control'!$M$37</f>
        <v>45.522747577322328</v>
      </c>
      <c r="H108" s="454">
        <v>0</v>
      </c>
      <c r="I108" s="454">
        <f t="shared" si="12"/>
        <v>144.60633391238187</v>
      </c>
      <c r="J108" s="454">
        <f t="shared" si="14"/>
        <v>63.527200000000001</v>
      </c>
      <c r="K108" s="454">
        <v>0</v>
      </c>
      <c r="L108" s="454">
        <v>0</v>
      </c>
      <c r="M108" s="454">
        <f t="shared" si="13"/>
        <v>63.527200000000001</v>
      </c>
      <c r="N108" s="454">
        <f t="shared" si="15"/>
        <v>35.556386335059535</v>
      </c>
      <c r="O108" s="454">
        <f t="shared" si="16"/>
        <v>81.079133912381877</v>
      </c>
    </row>
    <row r="109" spans="2:15" ht="15.6" x14ac:dyDescent="0.25">
      <c r="B109" s="451">
        <v>8</v>
      </c>
      <c r="C109" s="279" t="s">
        <v>696</v>
      </c>
      <c r="D109" s="452"/>
      <c r="E109" s="52"/>
      <c r="F109" s="454">
        <f t="shared" si="11"/>
        <v>34.928000000000004</v>
      </c>
      <c r="G109" s="454">
        <v>0</v>
      </c>
      <c r="H109" s="454">
        <v>0</v>
      </c>
      <c r="I109" s="454">
        <f t="shared" si="12"/>
        <v>34.928000000000004</v>
      </c>
      <c r="J109" s="454">
        <f t="shared" si="14"/>
        <v>30.204872928129468</v>
      </c>
      <c r="K109" s="454">
        <f>'[56]GFA &amp; Dep-MYT 5th Control'!$E$109</f>
        <v>9.0458702418991681</v>
      </c>
      <c r="L109" s="454">
        <v>0</v>
      </c>
      <c r="M109" s="454">
        <f t="shared" si="13"/>
        <v>39.250743170028635</v>
      </c>
      <c r="N109" s="454">
        <f>F109-J109</f>
        <v>4.723127071870536</v>
      </c>
      <c r="O109" s="454">
        <f>I109-M109</f>
        <v>-4.3227431700286303</v>
      </c>
    </row>
    <row r="110" spans="2:15" ht="15.6" hidden="1" x14ac:dyDescent="0.25">
      <c r="B110" s="451"/>
      <c r="C110" s="279"/>
      <c r="D110" s="452"/>
      <c r="E110" s="52"/>
      <c r="F110" s="454"/>
      <c r="G110" s="454"/>
      <c r="H110" s="454"/>
      <c r="I110" s="454"/>
      <c r="J110" s="454"/>
      <c r="K110" s="454"/>
      <c r="L110" s="454"/>
      <c r="M110" s="454"/>
      <c r="N110" s="454"/>
      <c r="O110" s="454"/>
    </row>
    <row r="111" spans="2:15" ht="15.6" hidden="1" x14ac:dyDescent="0.25">
      <c r="B111" s="451"/>
      <c r="C111" s="279"/>
      <c r="D111" s="452"/>
      <c r="E111" s="52"/>
      <c r="F111" s="454"/>
      <c r="G111" s="473"/>
      <c r="H111" s="473"/>
      <c r="I111" s="454"/>
      <c r="J111" s="454"/>
      <c r="K111" s="473"/>
      <c r="L111" s="473"/>
      <c r="M111" s="454"/>
      <c r="N111" s="454"/>
      <c r="O111" s="454"/>
    </row>
    <row r="112" spans="2:15" hidden="1" x14ac:dyDescent="0.25">
      <c r="B112" s="451"/>
      <c r="C112" s="457"/>
      <c r="D112" s="452"/>
      <c r="E112" s="52"/>
      <c r="F112" s="454"/>
      <c r="G112" s="454"/>
      <c r="H112" s="454"/>
      <c r="I112" s="454"/>
      <c r="J112" s="454"/>
      <c r="K112" s="454"/>
      <c r="L112" s="454"/>
      <c r="M112" s="454"/>
      <c r="N112" s="454"/>
      <c r="O112" s="454"/>
    </row>
    <row r="113" spans="2:15" hidden="1" x14ac:dyDescent="0.25">
      <c r="B113" s="451"/>
      <c r="C113" s="457"/>
      <c r="D113" s="452"/>
      <c r="E113" s="52"/>
      <c r="F113" s="454"/>
      <c r="G113" s="454"/>
      <c r="H113" s="454"/>
      <c r="I113" s="454"/>
      <c r="J113" s="454"/>
      <c r="K113" s="454"/>
      <c r="L113" s="454"/>
      <c r="M113" s="454"/>
      <c r="N113" s="454"/>
      <c r="O113" s="454"/>
    </row>
    <row r="114" spans="2:15" hidden="1" x14ac:dyDescent="0.25">
      <c r="B114" s="451"/>
      <c r="C114" s="457"/>
      <c r="D114" s="452"/>
      <c r="E114" s="52"/>
      <c r="F114" s="454"/>
      <c r="G114" s="454"/>
      <c r="H114" s="454"/>
      <c r="I114" s="454"/>
      <c r="J114" s="454"/>
      <c r="K114" s="454"/>
      <c r="L114" s="454"/>
      <c r="M114" s="454"/>
      <c r="N114" s="454"/>
      <c r="O114" s="454"/>
    </row>
    <row r="115" spans="2:15" hidden="1" x14ac:dyDescent="0.25">
      <c r="B115" s="451"/>
      <c r="C115" s="457"/>
      <c r="D115" s="452"/>
      <c r="E115" s="52"/>
      <c r="F115" s="454"/>
      <c r="G115" s="454"/>
      <c r="H115" s="454"/>
      <c r="I115" s="454"/>
      <c r="J115" s="454"/>
      <c r="K115" s="454"/>
      <c r="L115" s="454"/>
      <c r="M115" s="454"/>
      <c r="N115" s="454"/>
      <c r="O115" s="454"/>
    </row>
    <row r="116" spans="2:15" hidden="1" x14ac:dyDescent="0.25">
      <c r="B116" s="451"/>
      <c r="C116" s="458"/>
      <c r="D116" s="452"/>
      <c r="E116" s="52"/>
      <c r="F116" s="454"/>
      <c r="G116" s="454"/>
      <c r="H116" s="454"/>
      <c r="I116" s="454"/>
      <c r="J116" s="454"/>
      <c r="K116" s="454"/>
      <c r="L116" s="454"/>
      <c r="M116" s="454"/>
      <c r="N116" s="454"/>
      <c r="O116" s="454"/>
    </row>
    <row r="117" spans="2:15" hidden="1" x14ac:dyDescent="0.25">
      <c r="B117" s="451"/>
      <c r="C117" s="458"/>
      <c r="D117" s="452"/>
      <c r="E117" s="52"/>
      <c r="F117" s="454"/>
      <c r="G117" s="454"/>
      <c r="H117" s="454"/>
      <c r="I117" s="454"/>
      <c r="J117" s="454"/>
      <c r="K117" s="454"/>
      <c r="L117" s="454"/>
      <c r="M117" s="454"/>
      <c r="N117" s="454"/>
      <c r="O117" s="454"/>
    </row>
    <row r="118" spans="2:15" hidden="1" x14ac:dyDescent="0.25">
      <c r="B118" s="451"/>
      <c r="C118" s="458"/>
      <c r="D118" s="452"/>
      <c r="E118" s="52"/>
      <c r="F118" s="454"/>
      <c r="G118" s="454"/>
      <c r="H118" s="454"/>
      <c r="I118" s="454"/>
      <c r="J118" s="454"/>
      <c r="K118" s="454"/>
      <c r="L118" s="454"/>
      <c r="M118" s="454"/>
      <c r="N118" s="454"/>
      <c r="O118" s="454"/>
    </row>
    <row r="119" spans="2:15" hidden="1" x14ac:dyDescent="0.25">
      <c r="B119" s="451"/>
      <c r="C119" s="457"/>
      <c r="D119" s="452"/>
      <c r="E119" s="52"/>
      <c r="F119" s="454"/>
      <c r="G119" s="454"/>
      <c r="H119" s="454"/>
      <c r="I119" s="454"/>
      <c r="J119" s="454"/>
      <c r="K119" s="454"/>
      <c r="L119" s="454"/>
      <c r="M119" s="454"/>
      <c r="N119" s="454"/>
      <c r="O119" s="454"/>
    </row>
    <row r="120" spans="2:15" hidden="1" x14ac:dyDescent="0.25">
      <c r="B120" s="451"/>
      <c r="C120" s="457"/>
      <c r="D120" s="452"/>
      <c r="E120" s="52"/>
      <c r="F120" s="454"/>
      <c r="G120" s="454"/>
      <c r="H120" s="454"/>
      <c r="I120" s="454"/>
      <c r="J120" s="454"/>
      <c r="K120" s="454"/>
      <c r="L120" s="454"/>
      <c r="M120" s="454"/>
      <c r="N120" s="454"/>
      <c r="O120" s="454"/>
    </row>
    <row r="121" spans="2:15" hidden="1" x14ac:dyDescent="0.25">
      <c r="B121" s="459"/>
      <c r="C121" s="460"/>
      <c r="D121" s="452"/>
      <c r="E121" s="52"/>
      <c r="F121" s="454"/>
      <c r="G121" s="454"/>
      <c r="H121" s="454"/>
      <c r="I121" s="454"/>
      <c r="J121" s="454"/>
      <c r="K121" s="454"/>
      <c r="L121" s="454"/>
      <c r="M121" s="454"/>
      <c r="N121" s="454"/>
      <c r="O121" s="454"/>
    </row>
    <row r="122" spans="2:15" hidden="1" x14ac:dyDescent="0.25">
      <c r="B122" s="461"/>
      <c r="C122" s="280"/>
      <c r="D122" s="462"/>
      <c r="E122" s="52"/>
      <c r="F122" s="454"/>
      <c r="G122" s="454"/>
      <c r="H122" s="454"/>
      <c r="I122" s="454"/>
      <c r="J122" s="454"/>
      <c r="K122" s="454"/>
      <c r="L122" s="454"/>
      <c r="M122" s="454"/>
      <c r="N122" s="454"/>
      <c r="O122" s="454"/>
    </row>
    <row r="123" spans="2:15" hidden="1" x14ac:dyDescent="0.25">
      <c r="B123" s="461"/>
      <c r="C123" s="280"/>
      <c r="D123" s="462"/>
      <c r="E123" s="52"/>
      <c r="F123" s="454"/>
      <c r="G123" s="454"/>
      <c r="H123" s="454"/>
      <c r="I123" s="454"/>
      <c r="J123" s="454"/>
      <c r="K123" s="454"/>
      <c r="L123" s="454"/>
      <c r="M123" s="454"/>
      <c r="N123" s="454"/>
      <c r="O123" s="454"/>
    </row>
    <row r="124" spans="2:15" hidden="1" x14ac:dyDescent="0.25">
      <c r="B124" s="461"/>
      <c r="C124" s="280"/>
      <c r="D124" s="462"/>
      <c r="E124" s="52"/>
      <c r="F124" s="454"/>
      <c r="G124" s="454"/>
      <c r="H124" s="454"/>
      <c r="I124" s="454"/>
      <c r="J124" s="454"/>
      <c r="K124" s="454"/>
      <c r="L124" s="454"/>
      <c r="M124" s="454"/>
      <c r="N124" s="454"/>
      <c r="O124" s="454"/>
    </row>
    <row r="125" spans="2:15" hidden="1" x14ac:dyDescent="0.25">
      <c r="B125" s="461"/>
      <c r="C125" s="281"/>
      <c r="D125" s="462"/>
      <c r="E125" s="52"/>
      <c r="F125" s="454"/>
      <c r="G125" s="454"/>
      <c r="H125" s="454"/>
      <c r="I125" s="454"/>
      <c r="J125" s="454"/>
      <c r="K125" s="454"/>
      <c r="L125" s="454"/>
      <c r="M125" s="454"/>
      <c r="N125" s="454"/>
      <c r="O125" s="454"/>
    </row>
    <row r="126" spans="2:15" hidden="1" x14ac:dyDescent="0.25">
      <c r="B126" s="461"/>
      <c r="C126" s="281"/>
      <c r="D126" s="462"/>
      <c r="E126" s="52"/>
      <c r="F126" s="454"/>
      <c r="G126" s="454"/>
      <c r="H126" s="454"/>
      <c r="I126" s="454"/>
      <c r="J126" s="454"/>
      <c r="K126" s="454"/>
      <c r="L126" s="454"/>
      <c r="M126" s="454"/>
      <c r="N126" s="454"/>
      <c r="O126" s="454"/>
    </row>
    <row r="127" spans="2:15" hidden="1" x14ac:dyDescent="0.25">
      <c r="B127" s="461"/>
      <c r="C127" s="281"/>
      <c r="D127" s="462"/>
      <c r="E127" s="52"/>
      <c r="F127" s="454"/>
      <c r="G127" s="454"/>
      <c r="H127" s="454"/>
      <c r="I127" s="454"/>
      <c r="J127" s="454"/>
      <c r="K127" s="454"/>
      <c r="L127" s="454"/>
      <c r="M127" s="454"/>
      <c r="N127" s="454"/>
      <c r="O127" s="454"/>
    </row>
    <row r="128" spans="2:15" hidden="1" x14ac:dyDescent="0.25">
      <c r="B128" s="461"/>
      <c r="C128" s="281"/>
      <c r="D128" s="462"/>
      <c r="E128" s="52"/>
      <c r="F128" s="454"/>
      <c r="G128" s="454"/>
      <c r="H128" s="454"/>
      <c r="I128" s="454"/>
      <c r="J128" s="454"/>
      <c r="K128" s="454"/>
      <c r="L128" s="454"/>
      <c r="M128" s="454"/>
      <c r="N128" s="454"/>
      <c r="O128" s="454"/>
    </row>
    <row r="129" spans="2:15" hidden="1" x14ac:dyDescent="0.25">
      <c r="B129" s="461"/>
      <c r="C129" s="281"/>
      <c r="D129" s="462"/>
      <c r="E129" s="52"/>
      <c r="F129" s="454"/>
      <c r="G129" s="454"/>
      <c r="H129" s="454"/>
      <c r="I129" s="454"/>
      <c r="J129" s="454"/>
      <c r="K129" s="454"/>
      <c r="L129" s="454"/>
      <c r="M129" s="454"/>
      <c r="N129" s="454"/>
      <c r="O129" s="454"/>
    </row>
    <row r="130" spans="2:15" hidden="1" x14ac:dyDescent="0.25">
      <c r="B130" s="461"/>
      <c r="C130" s="281"/>
      <c r="D130" s="462"/>
      <c r="E130" s="52"/>
      <c r="F130" s="454"/>
      <c r="G130" s="454"/>
      <c r="H130" s="454"/>
      <c r="I130" s="454"/>
      <c r="J130" s="454"/>
      <c r="K130" s="454"/>
      <c r="L130" s="454"/>
      <c r="M130" s="454"/>
      <c r="N130" s="454"/>
      <c r="O130" s="454"/>
    </row>
    <row r="131" spans="2:15" hidden="1" x14ac:dyDescent="0.25">
      <c r="B131" s="461"/>
      <c r="C131" s="281"/>
      <c r="D131" s="462"/>
      <c r="E131" s="52"/>
      <c r="F131" s="454"/>
      <c r="G131" s="454"/>
      <c r="H131" s="454"/>
      <c r="I131" s="454"/>
      <c r="J131" s="454"/>
      <c r="K131" s="454"/>
      <c r="L131" s="454"/>
      <c r="M131" s="454"/>
      <c r="N131" s="454"/>
      <c r="O131" s="454"/>
    </row>
    <row r="132" spans="2:15" hidden="1" x14ac:dyDescent="0.25">
      <c r="B132" s="461"/>
      <c r="C132" s="280"/>
      <c r="D132" s="462"/>
      <c r="E132" s="52"/>
      <c r="F132" s="454"/>
      <c r="G132" s="454"/>
      <c r="H132" s="454"/>
      <c r="I132" s="454"/>
      <c r="J132" s="454"/>
      <c r="K132" s="454"/>
      <c r="L132" s="454"/>
      <c r="M132" s="454"/>
      <c r="N132" s="454"/>
      <c r="O132" s="454"/>
    </row>
    <row r="133" spans="2:15" hidden="1" x14ac:dyDescent="0.25">
      <c r="B133" s="461"/>
      <c r="C133" s="281"/>
      <c r="D133" s="462"/>
      <c r="E133" s="52"/>
      <c r="F133" s="454"/>
      <c r="G133" s="454"/>
      <c r="H133" s="454"/>
      <c r="I133" s="454"/>
      <c r="J133" s="454"/>
      <c r="K133" s="454"/>
      <c r="L133" s="454"/>
      <c r="M133" s="454"/>
      <c r="N133" s="454"/>
      <c r="O133" s="454"/>
    </row>
    <row r="134" spans="2:15" hidden="1" x14ac:dyDescent="0.25">
      <c r="B134" s="461"/>
      <c r="C134" s="281"/>
      <c r="D134" s="462"/>
      <c r="E134" s="52"/>
      <c r="F134" s="454"/>
      <c r="G134" s="454"/>
      <c r="H134" s="454"/>
      <c r="I134" s="454"/>
      <c r="J134" s="454"/>
      <c r="K134" s="454"/>
      <c r="L134" s="454"/>
      <c r="M134" s="454"/>
      <c r="N134" s="454"/>
      <c r="O134" s="454"/>
    </row>
    <row r="135" spans="2:15" hidden="1" x14ac:dyDescent="0.25">
      <c r="B135" s="461"/>
      <c r="C135" s="281"/>
      <c r="D135" s="462"/>
      <c r="E135" s="52"/>
      <c r="F135" s="454"/>
      <c r="G135" s="454"/>
      <c r="H135" s="454"/>
      <c r="I135" s="454"/>
      <c r="J135" s="454"/>
      <c r="K135" s="454"/>
      <c r="L135" s="454"/>
      <c r="M135" s="454"/>
      <c r="N135" s="454"/>
      <c r="O135" s="454"/>
    </row>
    <row r="136" spans="2:15" hidden="1" x14ac:dyDescent="0.25">
      <c r="B136" s="461"/>
      <c r="C136" s="280"/>
      <c r="D136" s="462"/>
      <c r="E136" s="52"/>
      <c r="F136" s="454"/>
      <c r="G136" s="454"/>
      <c r="H136" s="454"/>
      <c r="I136" s="454"/>
      <c r="J136" s="454"/>
      <c r="K136" s="454"/>
      <c r="L136" s="454"/>
      <c r="M136" s="454"/>
      <c r="N136" s="454"/>
      <c r="O136" s="454"/>
    </row>
    <row r="137" spans="2:15" hidden="1" x14ac:dyDescent="0.25">
      <c r="B137" s="461"/>
      <c r="C137" s="280"/>
      <c r="D137" s="452"/>
      <c r="E137" s="52"/>
      <c r="F137" s="454"/>
      <c r="G137" s="454"/>
      <c r="H137" s="454"/>
      <c r="I137" s="454"/>
      <c r="J137" s="454"/>
      <c r="K137" s="454"/>
      <c r="L137" s="454"/>
      <c r="M137" s="454"/>
      <c r="N137" s="454"/>
      <c r="O137" s="454"/>
    </row>
    <row r="138" spans="2:15" hidden="1" x14ac:dyDescent="0.25">
      <c r="B138" s="461"/>
      <c r="C138" s="280"/>
      <c r="D138" s="452"/>
      <c r="E138" s="53"/>
      <c r="F138" s="454"/>
      <c r="G138" s="454"/>
      <c r="H138" s="454"/>
      <c r="I138" s="454"/>
      <c r="J138" s="454"/>
      <c r="K138" s="454"/>
      <c r="L138" s="454"/>
      <c r="M138" s="454"/>
      <c r="N138" s="454"/>
      <c r="O138" s="454"/>
    </row>
    <row r="139" spans="2:15" ht="14.4" thickBot="1" x14ac:dyDescent="0.3">
      <c r="B139" s="463"/>
      <c r="C139" s="464" t="s">
        <v>251</v>
      </c>
      <c r="D139" s="464"/>
      <c r="E139" s="465"/>
      <c r="F139" s="466">
        <f t="shared" ref="F139:N139" si="17">SUM(F99:F138)</f>
        <v>10199.121071705782</v>
      </c>
      <c r="G139" s="466">
        <f t="shared" si="17"/>
        <v>1652.2804851654871</v>
      </c>
      <c r="H139" s="466">
        <f t="shared" si="17"/>
        <v>0</v>
      </c>
      <c r="I139" s="466">
        <f>SUM(I99:I138)</f>
        <v>11851.401556871269</v>
      </c>
      <c r="J139" s="466">
        <f t="shared" si="17"/>
        <v>5310.4444947855845</v>
      </c>
      <c r="K139" s="466">
        <f t="shared" si="17"/>
        <v>414.17720119773298</v>
      </c>
      <c r="L139" s="466">
        <f t="shared" si="17"/>
        <v>0</v>
      </c>
      <c r="M139" s="466">
        <f>SUM(M99:M138)</f>
        <v>5724.6216959833191</v>
      </c>
      <c r="N139" s="466">
        <f t="shared" si="17"/>
        <v>4888.6765769201993</v>
      </c>
      <c r="O139" s="467">
        <f t="shared" ref="O139" si="18">SUM(O99:O138)</f>
        <v>6126.7798608879521</v>
      </c>
    </row>
    <row r="140" spans="2:15" ht="14.4" thickBot="1" x14ac:dyDescent="0.3">
      <c r="O140" s="15" t="s">
        <v>1215</v>
      </c>
    </row>
    <row r="141" spans="2:15" x14ac:dyDescent="0.25">
      <c r="B141" s="858" t="s">
        <v>1230</v>
      </c>
      <c r="C141" s="859"/>
      <c r="D141" s="859"/>
      <c r="E141" s="859"/>
      <c r="F141" s="859"/>
      <c r="G141" s="859"/>
      <c r="H141" s="859"/>
      <c r="I141" s="859"/>
      <c r="J141" s="859"/>
      <c r="K141" s="859"/>
      <c r="L141" s="859"/>
      <c r="M141" s="859"/>
      <c r="N141" s="859"/>
      <c r="O141" s="860"/>
    </row>
    <row r="142" spans="2:15" ht="13.95" customHeight="1" x14ac:dyDescent="0.25">
      <c r="B142" s="861" t="s">
        <v>474</v>
      </c>
      <c r="C142" s="863" t="s">
        <v>556</v>
      </c>
      <c r="D142" s="865" t="s">
        <v>557</v>
      </c>
      <c r="E142" s="865" t="s">
        <v>558</v>
      </c>
      <c r="F142" s="865" t="s">
        <v>559</v>
      </c>
      <c r="G142" s="865"/>
      <c r="H142" s="865"/>
      <c r="I142" s="865"/>
      <c r="J142" s="865" t="s">
        <v>560</v>
      </c>
      <c r="K142" s="865"/>
      <c r="L142" s="865"/>
      <c r="M142" s="865"/>
      <c r="N142" s="865" t="s">
        <v>561</v>
      </c>
      <c r="O142" s="867"/>
    </row>
    <row r="143" spans="2:15" ht="55.8" thickBot="1" x14ac:dyDescent="0.3">
      <c r="B143" s="862"/>
      <c r="C143" s="864"/>
      <c r="D143" s="866"/>
      <c r="E143" s="866"/>
      <c r="F143" s="468" t="s">
        <v>562</v>
      </c>
      <c r="G143" s="468" t="s">
        <v>563</v>
      </c>
      <c r="H143" s="468" t="s">
        <v>564</v>
      </c>
      <c r="I143" s="468" t="s">
        <v>565</v>
      </c>
      <c r="J143" s="468" t="s">
        <v>566</v>
      </c>
      <c r="K143" s="468" t="s">
        <v>563</v>
      </c>
      <c r="L143" s="468" t="s">
        <v>567</v>
      </c>
      <c r="M143" s="468" t="s">
        <v>568</v>
      </c>
      <c r="N143" s="468" t="s">
        <v>562</v>
      </c>
      <c r="O143" s="469" t="s">
        <v>565</v>
      </c>
    </row>
    <row r="144" spans="2:15" ht="15.6" x14ac:dyDescent="0.25">
      <c r="B144" s="451">
        <v>1</v>
      </c>
      <c r="C144" s="276" t="s">
        <v>689</v>
      </c>
      <c r="D144" s="452"/>
      <c r="E144" s="453"/>
      <c r="F144" s="454">
        <f>I99</f>
        <v>21.345207151465701</v>
      </c>
      <c r="G144" s="454">
        <f>'[56]GFA &amp; Dep-MYT 5th Control'!$N$36</f>
        <v>14.316582342097599</v>
      </c>
      <c r="H144" s="454">
        <v>0</v>
      </c>
      <c r="I144" s="454">
        <f>F144+G144-H144</f>
        <v>35.661789493563298</v>
      </c>
      <c r="J144" s="454">
        <f>M99</f>
        <v>1.5895540527272697E-2</v>
      </c>
      <c r="K144" s="454">
        <f>'[56]GFA &amp; Dep-MYT 5th Control'!$F$107</f>
        <v>1.5895540527272697E-2</v>
      </c>
      <c r="L144" s="454">
        <v>0</v>
      </c>
      <c r="M144" s="454">
        <f>J144+K144-L144</f>
        <v>3.1791081054545395E-2</v>
      </c>
      <c r="N144" s="454">
        <f>F144-J144</f>
        <v>21.329311610938429</v>
      </c>
      <c r="O144" s="454">
        <f>I144-M144</f>
        <v>35.629998412508755</v>
      </c>
    </row>
    <row r="145" spans="2:15" ht="15.6" x14ac:dyDescent="0.25">
      <c r="B145" s="451">
        <v>2</v>
      </c>
      <c r="C145" s="276" t="s">
        <v>534</v>
      </c>
      <c r="D145" s="452"/>
      <c r="E145" s="453"/>
      <c r="F145" s="454">
        <f t="shared" ref="F145:F154" si="19">I100</f>
        <v>370.8977869148016</v>
      </c>
      <c r="G145" s="454">
        <f>'[56]GFA &amp; Dep-MYT 5th Control'!$N$35</f>
        <v>21.152813495523556</v>
      </c>
      <c r="H145" s="454">
        <v>0</v>
      </c>
      <c r="I145" s="454">
        <f t="shared" ref="I145:I154" si="20">F145+G145-H145</f>
        <v>392.05060041032516</v>
      </c>
      <c r="J145" s="454">
        <f t="shared" ref="J145:J154" si="21">M100</f>
        <v>100.70836517817598</v>
      </c>
      <c r="K145" s="454">
        <f>'[56]GFA &amp; Dep-MYT 5th Control'!$F$108</f>
        <v>10.23654572541105</v>
      </c>
      <c r="L145" s="454">
        <v>0</v>
      </c>
      <c r="M145" s="454">
        <f t="shared" ref="M145:M154" si="22">J145+K145-L145</f>
        <v>110.94491090358703</v>
      </c>
      <c r="N145" s="454">
        <f>F145-J145</f>
        <v>270.1894217366256</v>
      </c>
      <c r="O145" s="454">
        <f>I145-M145</f>
        <v>281.10568950673814</v>
      </c>
    </row>
    <row r="146" spans="2:15" ht="15.6" x14ac:dyDescent="0.25">
      <c r="B146" s="470">
        <v>3</v>
      </c>
      <c r="C146" s="279" t="s">
        <v>690</v>
      </c>
      <c r="D146" s="471"/>
      <c r="E146" s="360"/>
      <c r="F146" s="472">
        <f t="shared" si="19"/>
        <v>0</v>
      </c>
      <c r="G146" s="472"/>
      <c r="H146" s="472">
        <v>0</v>
      </c>
      <c r="I146" s="472">
        <f t="shared" si="20"/>
        <v>0</v>
      </c>
      <c r="J146" s="472">
        <f t="shared" si="21"/>
        <v>0</v>
      </c>
      <c r="K146" s="472"/>
      <c r="L146" s="472">
        <v>0</v>
      </c>
      <c r="M146" s="472">
        <f t="shared" si="22"/>
        <v>0</v>
      </c>
      <c r="N146" s="472"/>
      <c r="O146" s="472"/>
    </row>
    <row r="147" spans="2:15" ht="15.6" x14ac:dyDescent="0.25">
      <c r="B147" s="451"/>
      <c r="C147" s="276" t="s">
        <v>691</v>
      </c>
      <c r="D147" s="452"/>
      <c r="E147" s="52"/>
      <c r="F147" s="454">
        <f t="shared" si="19"/>
        <v>5424.7386013335063</v>
      </c>
      <c r="G147" s="454">
        <f>'[56]GFA &amp; Dep-MYT 5th Control'!$N$31</f>
        <v>738.03635486696669</v>
      </c>
      <c r="H147" s="454">
        <v>0</v>
      </c>
      <c r="I147" s="454">
        <f t="shared" si="20"/>
        <v>6162.7749562004728</v>
      </c>
      <c r="J147" s="454">
        <f t="shared" si="21"/>
        <v>2748.29777213751</v>
      </c>
      <c r="K147" s="454">
        <f>'[56]GFA &amp; Dep-MYT 5th Control'!$F$113+'[56]GFA &amp; Dep-MYT 5th Control'!$F$114+'[56]GFA &amp; Dep-MYT 5th Control'!$F$115</f>
        <v>235.94362107155135</v>
      </c>
      <c r="L147" s="454">
        <v>0</v>
      </c>
      <c r="M147" s="454">
        <f t="shared" si="22"/>
        <v>2984.2413932090612</v>
      </c>
      <c r="N147" s="454">
        <f>F147-J147</f>
        <v>2676.4408291959962</v>
      </c>
      <c r="O147" s="454">
        <f>I147-M147</f>
        <v>3178.5335629914116</v>
      </c>
    </row>
    <row r="148" spans="2:15" ht="15.6" x14ac:dyDescent="0.25">
      <c r="B148" s="451"/>
      <c r="C148" s="276" t="s">
        <v>692</v>
      </c>
      <c r="D148" s="452"/>
      <c r="E148" s="52"/>
      <c r="F148" s="454">
        <f t="shared" si="19"/>
        <v>5083.1784048885647</v>
      </c>
      <c r="G148" s="454">
        <f>'[56]GFA &amp; Dep-MYT 5th Control'!$N$32</f>
        <v>801.68762846250229</v>
      </c>
      <c r="H148" s="454">
        <v>0</v>
      </c>
      <c r="I148" s="454">
        <f t="shared" si="20"/>
        <v>5884.866033351067</v>
      </c>
      <c r="J148" s="454">
        <f t="shared" si="21"/>
        <v>2262.9881781784898</v>
      </c>
      <c r="K148" s="454">
        <f>'[56]GFA &amp; Dep-MYT 5th Control'!$F$122+'[56]GFA &amp; Dep-MYT 5th Control'!$F$123+'[56]GFA &amp; Dep-MYT 5th Control'!$F$124</f>
        <v>160.04965524069718</v>
      </c>
      <c r="L148" s="454">
        <v>0</v>
      </c>
      <c r="M148" s="454">
        <f t="shared" si="22"/>
        <v>2423.0378334191869</v>
      </c>
      <c r="N148" s="454">
        <f>F148-J148</f>
        <v>2820.190226710075</v>
      </c>
      <c r="O148" s="454">
        <f>I148-M148</f>
        <v>3461.8281999318801</v>
      </c>
    </row>
    <row r="149" spans="2:15" ht="15.6" x14ac:dyDescent="0.25">
      <c r="B149" s="451"/>
      <c r="C149" s="276" t="s">
        <v>693</v>
      </c>
      <c r="D149" s="452"/>
      <c r="E149" s="52"/>
      <c r="F149" s="454">
        <f t="shared" si="19"/>
        <v>737.3401376729289</v>
      </c>
      <c r="G149" s="454">
        <f>'[56]GFA &amp; Dep-MYT 5th Control'!$N$33</f>
        <v>17.683805716202063</v>
      </c>
      <c r="H149" s="454">
        <v>0</v>
      </c>
      <c r="I149" s="454">
        <f t="shared" si="20"/>
        <v>755.02394338913098</v>
      </c>
      <c r="J149" s="454">
        <f t="shared" si="21"/>
        <v>476.9585784244033</v>
      </c>
      <c r="K149" s="454">
        <f>'[56]GFA &amp; Dep-MYT 5th Control'!$F$119</f>
        <v>37.145307335007331</v>
      </c>
      <c r="L149" s="454">
        <v>0</v>
      </c>
      <c r="M149" s="454">
        <f t="shared" si="22"/>
        <v>514.10388575941067</v>
      </c>
      <c r="N149" s="454">
        <f>F149-J149</f>
        <v>260.3815592485256</v>
      </c>
      <c r="O149" s="454">
        <f t="shared" ref="O149:O154" si="23">I149-M149</f>
        <v>240.9200576297203</v>
      </c>
    </row>
    <row r="150" spans="2:15" ht="15.6" x14ac:dyDescent="0.25">
      <c r="B150" s="451">
        <v>4</v>
      </c>
      <c r="C150" s="279" t="s">
        <v>540</v>
      </c>
      <c r="D150" s="452"/>
      <c r="E150" s="52"/>
      <c r="F150" s="454">
        <f t="shared" si="19"/>
        <v>25.363884997621707</v>
      </c>
      <c r="G150" s="454">
        <f>'[56]GFA &amp; Dep-MYT 5th Control'!$N$34</f>
        <v>4.8058614591148556</v>
      </c>
      <c r="H150" s="454">
        <v>0</v>
      </c>
      <c r="I150" s="454">
        <f t="shared" si="20"/>
        <v>30.169746456736561</v>
      </c>
      <c r="J150" s="454">
        <f t="shared" si="21"/>
        <v>25.518773912552945</v>
      </c>
      <c r="K150" s="454">
        <f>'[56]GFA &amp; Dep-MYT 5th Control'!$F$128</f>
        <v>5.8576038344544479</v>
      </c>
      <c r="L150" s="454">
        <v>0</v>
      </c>
      <c r="M150" s="454">
        <f t="shared" si="22"/>
        <v>31.376377747007393</v>
      </c>
      <c r="N150" s="454">
        <f t="shared" ref="N150:N154" si="24">F150-J150</f>
        <v>-0.15488891493123802</v>
      </c>
      <c r="O150" s="454">
        <f t="shared" si="23"/>
        <v>-1.2066312902708312</v>
      </c>
    </row>
    <row r="151" spans="2:15" ht="15.6" x14ac:dyDescent="0.25">
      <c r="B151" s="451">
        <v>5</v>
      </c>
      <c r="C151" s="279" t="s">
        <v>694</v>
      </c>
      <c r="D151" s="452"/>
      <c r="E151" s="52"/>
      <c r="F151" s="454">
        <f t="shared" si="19"/>
        <v>6.2781000000000002</v>
      </c>
      <c r="G151" s="454">
        <v>0</v>
      </c>
      <c r="H151" s="454">
        <v>0</v>
      </c>
      <c r="I151" s="454">
        <f t="shared" si="20"/>
        <v>6.2781000000000002</v>
      </c>
      <c r="J151" s="454">
        <f t="shared" si="21"/>
        <v>4.9048168373299976</v>
      </c>
      <c r="K151" s="454">
        <f>'[56]GFA &amp; Dep-MYT 5th Control'!$F$127</f>
        <v>0.14615513867000285</v>
      </c>
      <c r="L151" s="454">
        <v>0</v>
      </c>
      <c r="M151" s="454">
        <f t="shared" si="22"/>
        <v>5.0509719760000005</v>
      </c>
      <c r="N151" s="454">
        <f t="shared" si="24"/>
        <v>1.3732831626700026</v>
      </c>
      <c r="O151" s="454">
        <f t="shared" si="23"/>
        <v>1.2271280239999998</v>
      </c>
    </row>
    <row r="152" spans="2:15" ht="15.6" x14ac:dyDescent="0.25">
      <c r="B152" s="451">
        <v>6</v>
      </c>
      <c r="C152" s="279" t="s">
        <v>538</v>
      </c>
      <c r="D152" s="452"/>
      <c r="E152" s="52"/>
      <c r="F152" s="454">
        <f t="shared" si="19"/>
        <v>2.7250999999999999</v>
      </c>
      <c r="G152" s="454">
        <v>0</v>
      </c>
      <c r="H152" s="454">
        <v>0</v>
      </c>
      <c r="I152" s="454">
        <f t="shared" si="20"/>
        <v>2.7250999999999999</v>
      </c>
      <c r="J152" s="454">
        <f t="shared" si="21"/>
        <v>2.4513726043000004</v>
      </c>
      <c r="K152" s="454">
        <f>'[56]GFA &amp; Dep-MYT 5th Control'!$F$126</f>
        <v>0</v>
      </c>
      <c r="L152" s="454">
        <v>0</v>
      </c>
      <c r="M152" s="454">
        <f t="shared" si="22"/>
        <v>2.4513726043000004</v>
      </c>
      <c r="N152" s="454">
        <f t="shared" si="24"/>
        <v>0.27372739569999949</v>
      </c>
      <c r="O152" s="454">
        <f t="shared" si="23"/>
        <v>0.27372739569999949</v>
      </c>
    </row>
    <row r="153" spans="2:15" ht="15.6" x14ac:dyDescent="0.25">
      <c r="B153" s="451">
        <v>7</v>
      </c>
      <c r="C153" s="279" t="s">
        <v>695</v>
      </c>
      <c r="D153" s="452"/>
      <c r="E153" s="52"/>
      <c r="F153" s="454">
        <f t="shared" si="19"/>
        <v>144.60633391238187</v>
      </c>
      <c r="G153" s="454">
        <f>'[56]GFA &amp; Dep-MYT 5th Control'!$N$37</f>
        <v>45.265642931576011</v>
      </c>
      <c r="H153" s="454">
        <v>0</v>
      </c>
      <c r="I153" s="454">
        <f t="shared" si="20"/>
        <v>189.8719768439579</v>
      </c>
      <c r="J153" s="454">
        <f t="shared" si="21"/>
        <v>63.527200000000001</v>
      </c>
      <c r="K153" s="454">
        <v>0</v>
      </c>
      <c r="L153" s="454">
        <v>0</v>
      </c>
      <c r="M153" s="454">
        <f t="shared" si="22"/>
        <v>63.527200000000001</v>
      </c>
      <c r="N153" s="454">
        <f t="shared" si="24"/>
        <v>81.079133912381877</v>
      </c>
      <c r="O153" s="454">
        <f t="shared" si="23"/>
        <v>126.3447768439579</v>
      </c>
    </row>
    <row r="154" spans="2:15" ht="15.6" x14ac:dyDescent="0.25">
      <c r="B154" s="451">
        <v>8</v>
      </c>
      <c r="C154" s="279" t="s">
        <v>696</v>
      </c>
      <c r="D154" s="452"/>
      <c r="E154" s="52"/>
      <c r="F154" s="454">
        <f t="shared" si="19"/>
        <v>34.928000000000004</v>
      </c>
      <c r="G154" s="454">
        <v>0</v>
      </c>
      <c r="H154" s="454">
        <v>0</v>
      </c>
      <c r="I154" s="454">
        <f t="shared" si="20"/>
        <v>34.928000000000004</v>
      </c>
      <c r="J154" s="454">
        <f t="shared" si="21"/>
        <v>39.250743170028635</v>
      </c>
      <c r="K154" s="454">
        <f>'[56]GFA &amp; Dep-MYT 5th Control'!$F$109</f>
        <v>10.370454629066565</v>
      </c>
      <c r="L154" s="454">
        <v>0</v>
      </c>
      <c r="M154" s="454">
        <f t="shared" si="22"/>
        <v>49.621197799095199</v>
      </c>
      <c r="N154" s="454">
        <f t="shared" si="24"/>
        <v>-4.3227431700286303</v>
      </c>
      <c r="O154" s="454">
        <f t="shared" si="23"/>
        <v>-14.693197799095195</v>
      </c>
    </row>
    <row r="155" spans="2:15" ht="15.6" hidden="1" x14ac:dyDescent="0.25">
      <c r="B155" s="451"/>
      <c r="C155" s="279"/>
      <c r="D155" s="452"/>
      <c r="E155" s="52"/>
      <c r="F155" s="454"/>
      <c r="G155" s="454"/>
      <c r="H155" s="454"/>
      <c r="I155" s="454"/>
      <c r="J155" s="454"/>
      <c r="K155" s="454"/>
      <c r="L155" s="454"/>
      <c r="M155" s="454"/>
      <c r="N155" s="454"/>
      <c r="O155" s="454"/>
    </row>
    <row r="156" spans="2:15" ht="15.6" hidden="1" x14ac:dyDescent="0.25">
      <c r="B156" s="451"/>
      <c r="C156" s="279"/>
      <c r="D156" s="452"/>
      <c r="E156" s="52"/>
      <c r="F156" s="454"/>
      <c r="G156" s="473"/>
      <c r="H156" s="473"/>
      <c r="I156" s="454"/>
      <c r="J156" s="454"/>
      <c r="K156" s="473"/>
      <c r="L156" s="473"/>
      <c r="M156" s="454"/>
      <c r="N156" s="454"/>
      <c r="O156" s="454"/>
    </row>
    <row r="157" spans="2:15" hidden="1" x14ac:dyDescent="0.25">
      <c r="B157" s="451"/>
      <c r="C157" s="457"/>
      <c r="D157" s="452"/>
      <c r="E157" s="52"/>
      <c r="F157" s="454"/>
      <c r="G157" s="454"/>
      <c r="H157" s="454"/>
      <c r="I157" s="454"/>
      <c r="J157" s="454"/>
      <c r="K157" s="454"/>
      <c r="L157" s="454"/>
      <c r="M157" s="454"/>
      <c r="N157" s="454"/>
      <c r="O157" s="454"/>
    </row>
    <row r="158" spans="2:15" hidden="1" x14ac:dyDescent="0.25">
      <c r="B158" s="451"/>
      <c r="C158" s="457"/>
      <c r="D158" s="452"/>
      <c r="E158" s="52"/>
      <c r="F158" s="454"/>
      <c r="G158" s="454"/>
      <c r="H158" s="454"/>
      <c r="I158" s="454"/>
      <c r="J158" s="454"/>
      <c r="K158" s="454"/>
      <c r="L158" s="454"/>
      <c r="M158" s="454"/>
      <c r="N158" s="454"/>
      <c r="O158" s="454"/>
    </row>
    <row r="159" spans="2:15" hidden="1" x14ac:dyDescent="0.25">
      <c r="B159" s="451"/>
      <c r="C159" s="457"/>
      <c r="D159" s="452"/>
      <c r="E159" s="52"/>
      <c r="F159" s="454"/>
      <c r="G159" s="454"/>
      <c r="H159" s="454"/>
      <c r="I159" s="454"/>
      <c r="J159" s="454"/>
      <c r="K159" s="454"/>
      <c r="L159" s="454"/>
      <c r="M159" s="454"/>
      <c r="N159" s="454"/>
      <c r="O159" s="454"/>
    </row>
    <row r="160" spans="2:15" hidden="1" x14ac:dyDescent="0.25">
      <c r="B160" s="451"/>
      <c r="C160" s="457"/>
      <c r="D160" s="452"/>
      <c r="E160" s="52"/>
      <c r="F160" s="454"/>
      <c r="G160" s="454"/>
      <c r="H160" s="454"/>
      <c r="I160" s="454"/>
      <c r="J160" s="454"/>
      <c r="K160" s="454"/>
      <c r="L160" s="454"/>
      <c r="M160" s="454"/>
      <c r="N160" s="454"/>
      <c r="O160" s="454"/>
    </row>
    <row r="161" spans="2:15" hidden="1" x14ac:dyDescent="0.25">
      <c r="B161" s="451"/>
      <c r="C161" s="458"/>
      <c r="D161" s="452"/>
      <c r="E161" s="52"/>
      <c r="F161" s="454"/>
      <c r="G161" s="454"/>
      <c r="H161" s="454"/>
      <c r="I161" s="454"/>
      <c r="J161" s="454"/>
      <c r="K161" s="454"/>
      <c r="L161" s="454"/>
      <c r="M161" s="454"/>
      <c r="N161" s="454"/>
      <c r="O161" s="454"/>
    </row>
    <row r="162" spans="2:15" hidden="1" x14ac:dyDescent="0.25">
      <c r="B162" s="451"/>
      <c r="C162" s="458"/>
      <c r="D162" s="452"/>
      <c r="E162" s="52"/>
      <c r="F162" s="454"/>
      <c r="G162" s="454"/>
      <c r="H162" s="454"/>
      <c r="I162" s="454"/>
      <c r="J162" s="454"/>
      <c r="K162" s="454"/>
      <c r="L162" s="454"/>
      <c r="M162" s="454"/>
      <c r="N162" s="454"/>
      <c r="O162" s="454"/>
    </row>
    <row r="163" spans="2:15" hidden="1" x14ac:dyDescent="0.25">
      <c r="B163" s="451"/>
      <c r="C163" s="458"/>
      <c r="D163" s="452"/>
      <c r="E163" s="52"/>
      <c r="F163" s="454"/>
      <c r="G163" s="454"/>
      <c r="H163" s="454"/>
      <c r="I163" s="454"/>
      <c r="J163" s="454"/>
      <c r="K163" s="454"/>
      <c r="L163" s="454"/>
      <c r="M163" s="454"/>
      <c r="N163" s="454"/>
      <c r="O163" s="454"/>
    </row>
    <row r="164" spans="2:15" hidden="1" x14ac:dyDescent="0.25">
      <c r="B164" s="451"/>
      <c r="C164" s="457"/>
      <c r="D164" s="452"/>
      <c r="E164" s="52"/>
      <c r="F164" s="454"/>
      <c r="G164" s="454"/>
      <c r="H164" s="454"/>
      <c r="I164" s="454"/>
      <c r="J164" s="454"/>
      <c r="K164" s="454"/>
      <c r="L164" s="454"/>
      <c r="M164" s="454"/>
      <c r="N164" s="454"/>
      <c r="O164" s="454"/>
    </row>
    <row r="165" spans="2:15" hidden="1" x14ac:dyDescent="0.25">
      <c r="B165" s="451"/>
      <c r="C165" s="457"/>
      <c r="D165" s="452"/>
      <c r="E165" s="52"/>
      <c r="F165" s="454"/>
      <c r="G165" s="454"/>
      <c r="H165" s="454"/>
      <c r="I165" s="454"/>
      <c r="J165" s="454"/>
      <c r="K165" s="454"/>
      <c r="L165" s="454"/>
      <c r="M165" s="454"/>
      <c r="N165" s="454"/>
      <c r="O165" s="454"/>
    </row>
    <row r="166" spans="2:15" hidden="1" x14ac:dyDescent="0.25">
      <c r="B166" s="459"/>
      <c r="C166" s="460"/>
      <c r="D166" s="452"/>
      <c r="E166" s="52"/>
      <c r="F166" s="454"/>
      <c r="G166" s="454"/>
      <c r="H166" s="454"/>
      <c r="I166" s="454"/>
      <c r="J166" s="454"/>
      <c r="K166" s="454"/>
      <c r="L166" s="454"/>
      <c r="M166" s="454"/>
      <c r="N166" s="454"/>
      <c r="O166" s="454"/>
    </row>
    <row r="167" spans="2:15" hidden="1" x14ac:dyDescent="0.25">
      <c r="B167" s="461"/>
      <c r="C167" s="280"/>
      <c r="D167" s="462"/>
      <c r="E167" s="52"/>
      <c r="F167" s="454"/>
      <c r="G167" s="454"/>
      <c r="H167" s="454"/>
      <c r="I167" s="454"/>
      <c r="J167" s="454"/>
      <c r="K167" s="454"/>
      <c r="L167" s="454"/>
      <c r="M167" s="454"/>
      <c r="N167" s="454"/>
      <c r="O167" s="454"/>
    </row>
    <row r="168" spans="2:15" hidden="1" x14ac:dyDescent="0.25">
      <c r="B168" s="461"/>
      <c r="C168" s="280"/>
      <c r="D168" s="462"/>
      <c r="E168" s="52"/>
      <c r="F168" s="454"/>
      <c r="G168" s="454"/>
      <c r="H168" s="454"/>
      <c r="I168" s="454"/>
      <c r="J168" s="454"/>
      <c r="K168" s="454"/>
      <c r="L168" s="454"/>
      <c r="M168" s="454"/>
      <c r="N168" s="454"/>
      <c r="O168" s="454"/>
    </row>
    <row r="169" spans="2:15" hidden="1" x14ac:dyDescent="0.25">
      <c r="B169" s="461"/>
      <c r="C169" s="280"/>
      <c r="D169" s="462"/>
      <c r="E169" s="52"/>
      <c r="F169" s="454"/>
      <c r="G169" s="454"/>
      <c r="H169" s="454"/>
      <c r="I169" s="454"/>
      <c r="J169" s="454"/>
      <c r="K169" s="454"/>
      <c r="L169" s="454"/>
      <c r="M169" s="454"/>
      <c r="N169" s="454"/>
      <c r="O169" s="454"/>
    </row>
    <row r="170" spans="2:15" hidden="1" x14ac:dyDescent="0.25">
      <c r="B170" s="461"/>
      <c r="C170" s="281"/>
      <c r="D170" s="462"/>
      <c r="E170" s="52"/>
      <c r="F170" s="454"/>
      <c r="G170" s="454"/>
      <c r="H170" s="454"/>
      <c r="I170" s="454"/>
      <c r="J170" s="454"/>
      <c r="K170" s="454"/>
      <c r="L170" s="454"/>
      <c r="M170" s="454"/>
      <c r="N170" s="454"/>
      <c r="O170" s="454"/>
    </row>
    <row r="171" spans="2:15" hidden="1" x14ac:dyDescent="0.25">
      <c r="B171" s="461"/>
      <c r="C171" s="281"/>
      <c r="D171" s="462"/>
      <c r="E171" s="52"/>
      <c r="F171" s="454"/>
      <c r="G171" s="454"/>
      <c r="H171" s="454"/>
      <c r="I171" s="454"/>
      <c r="J171" s="454"/>
      <c r="K171" s="454"/>
      <c r="L171" s="454"/>
      <c r="M171" s="454"/>
      <c r="N171" s="454"/>
      <c r="O171" s="454"/>
    </row>
    <row r="172" spans="2:15" hidden="1" x14ac:dyDescent="0.25">
      <c r="B172" s="461"/>
      <c r="C172" s="281"/>
      <c r="D172" s="462"/>
      <c r="E172" s="52"/>
      <c r="F172" s="454"/>
      <c r="G172" s="454"/>
      <c r="H172" s="454"/>
      <c r="I172" s="454"/>
      <c r="J172" s="454"/>
      <c r="K172" s="454"/>
      <c r="L172" s="454"/>
      <c r="M172" s="454"/>
      <c r="N172" s="454"/>
      <c r="O172" s="454"/>
    </row>
    <row r="173" spans="2:15" hidden="1" x14ac:dyDescent="0.25">
      <c r="B173" s="461"/>
      <c r="C173" s="281"/>
      <c r="D173" s="462"/>
      <c r="E173" s="52"/>
      <c r="F173" s="454"/>
      <c r="G173" s="454"/>
      <c r="H173" s="454"/>
      <c r="I173" s="454"/>
      <c r="J173" s="454"/>
      <c r="K173" s="454"/>
      <c r="L173" s="454"/>
      <c r="M173" s="454"/>
      <c r="N173" s="454"/>
      <c r="O173" s="454"/>
    </row>
    <row r="174" spans="2:15" hidden="1" x14ac:dyDescent="0.25">
      <c r="B174" s="461"/>
      <c r="C174" s="281"/>
      <c r="D174" s="462"/>
      <c r="E174" s="52"/>
      <c r="F174" s="454"/>
      <c r="G174" s="454"/>
      <c r="H174" s="454"/>
      <c r="I174" s="454"/>
      <c r="J174" s="454"/>
      <c r="K174" s="454"/>
      <c r="L174" s="454"/>
      <c r="M174" s="454"/>
      <c r="N174" s="454"/>
      <c r="O174" s="454"/>
    </row>
    <row r="175" spans="2:15" hidden="1" x14ac:dyDescent="0.25">
      <c r="B175" s="461"/>
      <c r="C175" s="281"/>
      <c r="D175" s="462"/>
      <c r="E175" s="52"/>
      <c r="F175" s="454"/>
      <c r="G175" s="454"/>
      <c r="H175" s="454"/>
      <c r="I175" s="454"/>
      <c r="J175" s="454"/>
      <c r="K175" s="454"/>
      <c r="L175" s="454"/>
      <c r="M175" s="454"/>
      <c r="N175" s="454"/>
      <c r="O175" s="454"/>
    </row>
    <row r="176" spans="2:15" hidden="1" x14ac:dyDescent="0.25">
      <c r="B176" s="461"/>
      <c r="C176" s="281"/>
      <c r="D176" s="462"/>
      <c r="E176" s="52"/>
      <c r="F176" s="454"/>
      <c r="G176" s="454"/>
      <c r="H176" s="454"/>
      <c r="I176" s="454"/>
      <c r="J176" s="454"/>
      <c r="K176" s="454"/>
      <c r="L176" s="454"/>
      <c r="M176" s="454"/>
      <c r="N176" s="454"/>
      <c r="O176" s="454"/>
    </row>
    <row r="177" spans="2:15" hidden="1" x14ac:dyDescent="0.25">
      <c r="B177" s="461"/>
      <c r="C177" s="280"/>
      <c r="D177" s="462"/>
      <c r="E177" s="52"/>
      <c r="F177" s="454"/>
      <c r="G177" s="454"/>
      <c r="H177" s="454"/>
      <c r="I177" s="454"/>
      <c r="J177" s="454"/>
      <c r="K177" s="454"/>
      <c r="L177" s="454"/>
      <c r="M177" s="454"/>
      <c r="N177" s="454"/>
      <c r="O177" s="454"/>
    </row>
    <row r="178" spans="2:15" hidden="1" x14ac:dyDescent="0.25">
      <c r="B178" s="461"/>
      <c r="C178" s="281"/>
      <c r="D178" s="462"/>
      <c r="E178" s="52"/>
      <c r="F178" s="454"/>
      <c r="G178" s="454"/>
      <c r="H178" s="454"/>
      <c r="I178" s="454"/>
      <c r="J178" s="454"/>
      <c r="K178" s="454"/>
      <c r="L178" s="454"/>
      <c r="M178" s="454"/>
      <c r="N178" s="454"/>
      <c r="O178" s="454"/>
    </row>
    <row r="179" spans="2:15" hidden="1" x14ac:dyDescent="0.25">
      <c r="B179" s="461"/>
      <c r="C179" s="281"/>
      <c r="D179" s="462"/>
      <c r="E179" s="52"/>
      <c r="F179" s="454"/>
      <c r="G179" s="454"/>
      <c r="H179" s="454"/>
      <c r="I179" s="454"/>
      <c r="J179" s="454"/>
      <c r="K179" s="454"/>
      <c r="L179" s="454"/>
      <c r="M179" s="454"/>
      <c r="N179" s="454"/>
      <c r="O179" s="454"/>
    </row>
    <row r="180" spans="2:15" hidden="1" x14ac:dyDescent="0.25">
      <c r="B180" s="461"/>
      <c r="C180" s="281"/>
      <c r="D180" s="462"/>
      <c r="E180" s="52"/>
      <c r="F180" s="454"/>
      <c r="G180" s="454"/>
      <c r="H180" s="454"/>
      <c r="I180" s="454"/>
      <c r="J180" s="454"/>
      <c r="K180" s="454"/>
      <c r="L180" s="454"/>
      <c r="M180" s="454"/>
      <c r="N180" s="454"/>
      <c r="O180" s="454"/>
    </row>
    <row r="181" spans="2:15" hidden="1" x14ac:dyDescent="0.25">
      <c r="B181" s="461"/>
      <c r="C181" s="280"/>
      <c r="D181" s="462"/>
      <c r="E181" s="52"/>
      <c r="F181" s="454"/>
      <c r="G181" s="454"/>
      <c r="H181" s="454"/>
      <c r="I181" s="454"/>
      <c r="J181" s="454"/>
      <c r="K181" s="454"/>
      <c r="L181" s="454"/>
      <c r="M181" s="454"/>
      <c r="N181" s="454"/>
      <c r="O181" s="454"/>
    </row>
    <row r="182" spans="2:15" hidden="1" x14ac:dyDescent="0.25">
      <c r="B182" s="461"/>
      <c r="C182" s="280"/>
      <c r="D182" s="452"/>
      <c r="E182" s="52"/>
      <c r="F182" s="454"/>
      <c r="G182" s="454"/>
      <c r="H182" s="454"/>
      <c r="I182" s="454"/>
      <c r="J182" s="454"/>
      <c r="K182" s="454"/>
      <c r="L182" s="454"/>
      <c r="M182" s="454"/>
      <c r="N182" s="454"/>
      <c r="O182" s="454"/>
    </row>
    <row r="183" spans="2:15" hidden="1" x14ac:dyDescent="0.25">
      <c r="B183" s="461"/>
      <c r="C183" s="280"/>
      <c r="D183" s="452"/>
      <c r="E183" s="53"/>
      <c r="F183" s="454"/>
      <c r="G183" s="454"/>
      <c r="H183" s="454"/>
      <c r="I183" s="454"/>
      <c r="J183" s="454"/>
      <c r="K183" s="454"/>
      <c r="L183" s="454"/>
      <c r="M183" s="454"/>
      <c r="N183" s="454"/>
      <c r="O183" s="454"/>
    </row>
    <row r="184" spans="2:15" ht="14.4" thickBot="1" x14ac:dyDescent="0.3">
      <c r="B184" s="463"/>
      <c r="C184" s="464" t="s">
        <v>251</v>
      </c>
      <c r="D184" s="464"/>
      <c r="E184" s="465"/>
      <c r="F184" s="466">
        <f>SUM(F144:F183)</f>
        <v>11851.401556871269</v>
      </c>
      <c r="G184" s="466">
        <f>SUM(G144:G183)</f>
        <v>1642.9486892739828</v>
      </c>
      <c r="H184" s="466">
        <f t="shared" ref="H184:O184" si="25">SUM(H144:H183)</f>
        <v>0</v>
      </c>
      <c r="I184" s="466">
        <f t="shared" si="25"/>
        <v>13494.350246145254</v>
      </c>
      <c r="J184" s="466">
        <f t="shared" si="25"/>
        <v>5724.6216959833191</v>
      </c>
      <c r="K184" s="466">
        <f t="shared" si="25"/>
        <v>459.76523851538514</v>
      </c>
      <c r="L184" s="466">
        <f t="shared" si="25"/>
        <v>0</v>
      </c>
      <c r="M184" s="466">
        <f t="shared" si="25"/>
        <v>6184.3869344987033</v>
      </c>
      <c r="N184" s="466">
        <f t="shared" si="25"/>
        <v>6126.7798608879521</v>
      </c>
      <c r="O184" s="467">
        <f t="shared" si="25"/>
        <v>7309.963311646552</v>
      </c>
    </row>
    <row r="186" spans="2:15" hidden="1" x14ac:dyDescent="0.25">
      <c r="B186" s="858" t="s">
        <v>550</v>
      </c>
      <c r="C186" s="859"/>
      <c r="D186" s="859"/>
      <c r="E186" s="859"/>
      <c r="F186" s="859"/>
      <c r="G186" s="859"/>
      <c r="H186" s="859"/>
      <c r="I186" s="859"/>
      <c r="J186" s="859"/>
      <c r="K186" s="859"/>
      <c r="L186" s="859"/>
      <c r="M186" s="859"/>
      <c r="N186" s="859"/>
      <c r="O186" s="860"/>
    </row>
    <row r="187" spans="2:15" ht="13.95" hidden="1" customHeight="1" x14ac:dyDescent="0.25">
      <c r="B187" s="861" t="s">
        <v>474</v>
      </c>
      <c r="C187" s="863" t="s">
        <v>556</v>
      </c>
      <c r="D187" s="865" t="s">
        <v>557</v>
      </c>
      <c r="E187" s="865" t="s">
        <v>558</v>
      </c>
      <c r="F187" s="865" t="s">
        <v>559</v>
      </c>
      <c r="G187" s="865"/>
      <c r="H187" s="865"/>
      <c r="I187" s="865"/>
      <c r="J187" s="865" t="s">
        <v>560</v>
      </c>
      <c r="K187" s="865"/>
      <c r="L187" s="865"/>
      <c r="M187" s="865"/>
      <c r="N187" s="865" t="s">
        <v>561</v>
      </c>
      <c r="O187" s="867"/>
    </row>
    <row r="188" spans="2:15" ht="55.8" hidden="1" thickBot="1" x14ac:dyDescent="0.3">
      <c r="B188" s="862"/>
      <c r="C188" s="864"/>
      <c r="D188" s="866"/>
      <c r="E188" s="866"/>
      <c r="F188" s="468" t="s">
        <v>562</v>
      </c>
      <c r="G188" s="468" t="s">
        <v>563</v>
      </c>
      <c r="H188" s="468" t="s">
        <v>564</v>
      </c>
      <c r="I188" s="468" t="s">
        <v>565</v>
      </c>
      <c r="J188" s="468" t="s">
        <v>566</v>
      </c>
      <c r="K188" s="468" t="s">
        <v>563</v>
      </c>
      <c r="L188" s="468" t="s">
        <v>567</v>
      </c>
      <c r="M188" s="468" t="s">
        <v>568</v>
      </c>
      <c r="N188" s="468" t="s">
        <v>562</v>
      </c>
      <c r="O188" s="469" t="s">
        <v>565</v>
      </c>
    </row>
    <row r="189" spans="2:15" ht="15.6" hidden="1" x14ac:dyDescent="0.25">
      <c r="B189" s="451">
        <v>1</v>
      </c>
      <c r="C189" s="276" t="s">
        <v>689</v>
      </c>
      <c r="D189" s="452"/>
      <c r="E189" s="453"/>
      <c r="F189" s="454">
        <f>I144</f>
        <v>35.661789493563298</v>
      </c>
      <c r="G189" s="454">
        <f>'[56]GFA &amp; Dep-MYT 5th Control'!$O$36</f>
        <v>15.287051191732084</v>
      </c>
      <c r="H189" s="454">
        <v>0</v>
      </c>
      <c r="I189" s="454">
        <f>F189+G189-H189</f>
        <v>50.94884068529538</v>
      </c>
      <c r="J189" s="454">
        <f>M144</f>
        <v>3.1791081054545395E-2</v>
      </c>
      <c r="K189" s="454">
        <f>'[56]GFA &amp; Dep-MYT 5th Control'!$G$107</f>
        <v>1.5895540527272697E-2</v>
      </c>
      <c r="L189" s="454">
        <v>0</v>
      </c>
      <c r="M189" s="454">
        <f>J189+K189-L189</f>
        <v>4.7686621581818092E-2</v>
      </c>
      <c r="N189" s="454">
        <f>F189-J189</f>
        <v>35.629998412508755</v>
      </c>
      <c r="O189" s="454">
        <f>I189-M189</f>
        <v>50.901154063713562</v>
      </c>
    </row>
    <row r="190" spans="2:15" ht="15.6" hidden="1" x14ac:dyDescent="0.25">
      <c r="B190" s="451">
        <v>2</v>
      </c>
      <c r="C190" s="276" t="s">
        <v>534</v>
      </c>
      <c r="D190" s="452"/>
      <c r="E190" s="453"/>
      <c r="F190" s="454">
        <f t="shared" ref="F190:F199" si="26">I145</f>
        <v>392.05060041032516</v>
      </c>
      <c r="G190" s="454">
        <f>'[56]GFA &amp; Dep-MYT 5th Control'!$O$35</f>
        <v>22.586685497165387</v>
      </c>
      <c r="H190" s="454">
        <v>0</v>
      </c>
      <c r="I190" s="454">
        <f t="shared" ref="I190:I199" si="27">F190+G190-H190</f>
        <v>414.63728590749054</v>
      </c>
      <c r="J190" s="454">
        <f t="shared" ref="J190:J199" si="28">M145</f>
        <v>110.94491090358703</v>
      </c>
      <c r="K190" s="454">
        <f>'[56]GFA &amp; Dep-MYT 5th Control'!$G$108</f>
        <v>10.422149788716524</v>
      </c>
      <c r="L190" s="454">
        <v>0</v>
      </c>
      <c r="M190" s="454">
        <f t="shared" ref="M190:M199" si="29">J190+K190-L190</f>
        <v>121.36706069230355</v>
      </c>
      <c r="N190" s="454">
        <f>F190-J190</f>
        <v>281.10568950673814</v>
      </c>
      <c r="O190" s="454">
        <f>I190-M190</f>
        <v>293.270225215187</v>
      </c>
    </row>
    <row r="191" spans="2:15" ht="15.6" hidden="1" x14ac:dyDescent="0.25">
      <c r="B191" s="470">
        <v>3</v>
      </c>
      <c r="C191" s="279" t="s">
        <v>690</v>
      </c>
      <c r="D191" s="471"/>
      <c r="E191" s="360"/>
      <c r="F191" s="472">
        <f t="shared" si="26"/>
        <v>0</v>
      </c>
      <c r="G191" s="472"/>
      <c r="H191" s="472">
        <v>0</v>
      </c>
      <c r="I191" s="472">
        <f t="shared" si="27"/>
        <v>0</v>
      </c>
      <c r="J191" s="472">
        <f t="shared" si="28"/>
        <v>0</v>
      </c>
      <c r="K191" s="472"/>
      <c r="L191" s="472">
        <v>0</v>
      </c>
      <c r="M191" s="472">
        <f t="shared" si="29"/>
        <v>0</v>
      </c>
      <c r="N191" s="472"/>
      <c r="O191" s="472"/>
    </row>
    <row r="192" spans="2:15" ht="15.6" hidden="1" x14ac:dyDescent="0.25">
      <c r="B192" s="451"/>
      <c r="C192" s="276" t="s">
        <v>691</v>
      </c>
      <c r="D192" s="452"/>
      <c r="E192" s="52"/>
      <c r="F192" s="454">
        <f t="shared" si="26"/>
        <v>6162.7749562004728</v>
      </c>
      <c r="G192" s="454">
        <f>'[56]GFA &amp; Dep-MYT 5th Control'!$O$31</f>
        <v>788.06514492184465</v>
      </c>
      <c r="H192" s="454">
        <v>0</v>
      </c>
      <c r="I192" s="454">
        <f t="shared" si="27"/>
        <v>6950.8401011223177</v>
      </c>
      <c r="J192" s="454">
        <f t="shared" si="28"/>
        <v>2984.2413932090612</v>
      </c>
      <c r="K192" s="454">
        <f>SUM('[56]GFA &amp; Dep-MYT 5th Control'!$G$113:$G$115)</f>
        <v>273.83514391618797</v>
      </c>
      <c r="L192" s="454">
        <v>0</v>
      </c>
      <c r="M192" s="454">
        <f t="shared" si="29"/>
        <v>3258.0765371252492</v>
      </c>
      <c r="N192" s="454">
        <f>F192-J192</f>
        <v>3178.5335629914116</v>
      </c>
      <c r="O192" s="454">
        <f>I192-M192</f>
        <v>3692.7635639970686</v>
      </c>
    </row>
    <row r="193" spans="2:15" ht="15.6" hidden="1" x14ac:dyDescent="0.25">
      <c r="B193" s="451"/>
      <c r="C193" s="276" t="s">
        <v>692</v>
      </c>
      <c r="D193" s="452"/>
      <c r="E193" s="52"/>
      <c r="F193" s="454">
        <f t="shared" si="26"/>
        <v>5884.866033351067</v>
      </c>
      <c r="G193" s="454">
        <f>'[56]GFA &amp; Dep-MYT 5th Control'!$O$32</f>
        <v>856.03110597476245</v>
      </c>
      <c r="H193" s="454">
        <v>0</v>
      </c>
      <c r="I193" s="454">
        <f t="shared" si="27"/>
        <v>6740.8971393258298</v>
      </c>
      <c r="J193" s="454">
        <f t="shared" si="28"/>
        <v>2423.0378334191869</v>
      </c>
      <c r="K193" s="454">
        <f>SUM('[56]GFA &amp; Dep-MYT 5th Control'!$G$122:$G$124)</f>
        <v>190.69630273819337</v>
      </c>
      <c r="L193" s="454">
        <v>0</v>
      </c>
      <c r="M193" s="454">
        <f t="shared" si="29"/>
        <v>2613.7341361573804</v>
      </c>
      <c r="N193" s="454">
        <f>F193-J193</f>
        <v>3461.8281999318801</v>
      </c>
      <c r="O193" s="454">
        <f>I193-M193</f>
        <v>4127.163003168449</v>
      </c>
    </row>
    <row r="194" spans="2:15" ht="15.6" hidden="1" x14ac:dyDescent="0.25">
      <c r="B194" s="451"/>
      <c r="C194" s="276" t="s">
        <v>693</v>
      </c>
      <c r="D194" s="452"/>
      <c r="E194" s="52"/>
      <c r="F194" s="454">
        <f t="shared" si="26"/>
        <v>755.02394338913098</v>
      </c>
      <c r="G194" s="454">
        <f>'[56]GFA &amp; Dep-MYT 5th Control'!$O$33</f>
        <v>18.882526345223912</v>
      </c>
      <c r="H194" s="454">
        <v>0</v>
      </c>
      <c r="I194" s="454">
        <f t="shared" si="27"/>
        <v>773.90646973435491</v>
      </c>
      <c r="J194" s="454">
        <f t="shared" si="28"/>
        <v>514.10388575941067</v>
      </c>
      <c r="K194" s="454">
        <f>'[56]GFA &amp; Dep-MYT 5th Control'!$G$119</f>
        <v>35.844085182818546</v>
      </c>
      <c r="L194" s="454">
        <v>0</v>
      </c>
      <c r="M194" s="454">
        <f t="shared" si="29"/>
        <v>549.94797094222918</v>
      </c>
      <c r="N194" s="454">
        <f>F194-J194</f>
        <v>240.9200576297203</v>
      </c>
      <c r="O194" s="454">
        <f t="shared" ref="O194:O199" si="30">I194-M194</f>
        <v>223.95849879212574</v>
      </c>
    </row>
    <row r="195" spans="2:15" ht="15.6" hidden="1" x14ac:dyDescent="0.25">
      <c r="B195" s="451">
        <v>4</v>
      </c>
      <c r="C195" s="279" t="s">
        <v>540</v>
      </c>
      <c r="D195" s="452"/>
      <c r="E195" s="52"/>
      <c r="F195" s="454">
        <f t="shared" si="26"/>
        <v>30.169746456736561</v>
      </c>
      <c r="G195" s="454">
        <f>'[56]GFA &amp; Dep-MYT 5th Control'!$O$34</f>
        <v>5.1316332620692302</v>
      </c>
      <c r="H195" s="454">
        <v>0</v>
      </c>
      <c r="I195" s="454">
        <f t="shared" si="27"/>
        <v>35.301379718805791</v>
      </c>
      <c r="J195" s="454">
        <f t="shared" si="28"/>
        <v>31.376377747007393</v>
      </c>
      <c r="K195" s="454">
        <f>'[56]GFA &amp; Dep-MYT 5th Control'!$G$128</f>
        <v>3.9506010485142973</v>
      </c>
      <c r="L195" s="454">
        <v>0</v>
      </c>
      <c r="M195" s="454">
        <f t="shared" si="29"/>
        <v>35.32697879552169</v>
      </c>
      <c r="N195" s="454">
        <f t="shared" ref="N195:N199" si="31">F195-J195</f>
        <v>-1.2066312902708312</v>
      </c>
      <c r="O195" s="454">
        <f t="shared" si="30"/>
        <v>-2.5599076715899116E-2</v>
      </c>
    </row>
    <row r="196" spans="2:15" ht="15.6" hidden="1" x14ac:dyDescent="0.25">
      <c r="B196" s="451">
        <v>5</v>
      </c>
      <c r="C196" s="279" t="s">
        <v>694</v>
      </c>
      <c r="D196" s="452"/>
      <c r="E196" s="52"/>
      <c r="F196" s="454">
        <f t="shared" si="26"/>
        <v>6.2781000000000002</v>
      </c>
      <c r="G196" s="454">
        <v>0</v>
      </c>
      <c r="H196" s="454">
        <v>0</v>
      </c>
      <c r="I196" s="454">
        <f t="shared" si="27"/>
        <v>6.2781000000000002</v>
      </c>
      <c r="J196" s="454">
        <f t="shared" si="28"/>
        <v>5.0509719760000005</v>
      </c>
      <c r="K196" s="454">
        <f>'[56]GFA &amp; Dep-MYT 5th Control'!$G$127</f>
        <v>0.13990812320999702</v>
      </c>
      <c r="L196" s="454">
        <v>0</v>
      </c>
      <c r="M196" s="454">
        <f t="shared" si="29"/>
        <v>5.1908800992099975</v>
      </c>
      <c r="N196" s="454">
        <f t="shared" si="31"/>
        <v>1.2271280239999998</v>
      </c>
      <c r="O196" s="454">
        <f t="shared" si="30"/>
        <v>1.0872199007900027</v>
      </c>
    </row>
    <row r="197" spans="2:15" ht="15.6" hidden="1" x14ac:dyDescent="0.25">
      <c r="B197" s="451">
        <v>6</v>
      </c>
      <c r="C197" s="279" t="s">
        <v>538</v>
      </c>
      <c r="D197" s="452"/>
      <c r="E197" s="52"/>
      <c r="F197" s="454">
        <f t="shared" si="26"/>
        <v>2.7250999999999999</v>
      </c>
      <c r="G197" s="454">
        <v>0</v>
      </c>
      <c r="H197" s="454">
        <v>0</v>
      </c>
      <c r="I197" s="454">
        <f t="shared" si="27"/>
        <v>2.7250999999999999</v>
      </c>
      <c r="J197" s="454">
        <f t="shared" si="28"/>
        <v>2.4513726043000004</v>
      </c>
      <c r="K197" s="454">
        <f>'[56]GFA &amp; Dep-MYT 5th Control'!$G$126</f>
        <v>0</v>
      </c>
      <c r="L197" s="454">
        <v>0</v>
      </c>
      <c r="M197" s="454">
        <f t="shared" si="29"/>
        <v>2.4513726043000004</v>
      </c>
      <c r="N197" s="454">
        <f t="shared" si="31"/>
        <v>0.27372739569999949</v>
      </c>
      <c r="O197" s="454">
        <f t="shared" si="30"/>
        <v>0.27372739569999949</v>
      </c>
    </row>
    <row r="198" spans="2:15" ht="15.6" hidden="1" x14ac:dyDescent="0.25">
      <c r="B198" s="451">
        <v>7</v>
      </c>
      <c r="C198" s="279" t="s">
        <v>695</v>
      </c>
      <c r="D198" s="452"/>
      <c r="E198" s="52"/>
      <c r="F198" s="454">
        <f t="shared" si="26"/>
        <v>189.8719768439579</v>
      </c>
      <c r="G198" s="454">
        <f>'[56]GFA &amp; Dep-MYT 5th Control'!$O$37</f>
        <v>48.334035608968009</v>
      </c>
      <c r="H198" s="454">
        <v>0</v>
      </c>
      <c r="I198" s="454">
        <f t="shared" si="27"/>
        <v>238.2060124529259</v>
      </c>
      <c r="J198" s="454">
        <f t="shared" si="28"/>
        <v>63.527200000000001</v>
      </c>
      <c r="K198" s="454">
        <v>0</v>
      </c>
      <c r="L198" s="454">
        <v>0</v>
      </c>
      <c r="M198" s="454">
        <f t="shared" si="29"/>
        <v>63.527200000000001</v>
      </c>
      <c r="N198" s="454">
        <f t="shared" si="31"/>
        <v>126.3447768439579</v>
      </c>
      <c r="O198" s="454">
        <f t="shared" si="30"/>
        <v>174.67881245292591</v>
      </c>
    </row>
    <row r="199" spans="2:15" ht="15.6" hidden="1" x14ac:dyDescent="0.25">
      <c r="B199" s="451">
        <v>8</v>
      </c>
      <c r="C199" s="279" t="s">
        <v>696</v>
      </c>
      <c r="D199" s="452"/>
      <c r="E199" s="52"/>
      <c r="F199" s="454">
        <f t="shared" si="26"/>
        <v>34.928000000000004</v>
      </c>
      <c r="G199" s="454">
        <v>0</v>
      </c>
      <c r="H199" s="454">
        <v>0</v>
      </c>
      <c r="I199" s="454">
        <f t="shared" si="27"/>
        <v>34.928000000000004</v>
      </c>
      <c r="J199" s="454">
        <f t="shared" si="28"/>
        <v>49.621197799095199</v>
      </c>
      <c r="K199" s="454">
        <f>'[56]GFA &amp; Dep-MYT 5th Control'!$G$109</f>
        <v>17.431315204807351</v>
      </c>
      <c r="L199" s="454">
        <v>0</v>
      </c>
      <c r="M199" s="454">
        <f t="shared" si="29"/>
        <v>67.052513003902547</v>
      </c>
      <c r="N199" s="454">
        <f t="shared" si="31"/>
        <v>-14.693197799095195</v>
      </c>
      <c r="O199" s="454">
        <f t="shared" si="30"/>
        <v>-32.124513003902543</v>
      </c>
    </row>
    <row r="200" spans="2:15" ht="15.6" hidden="1" x14ac:dyDescent="0.25">
      <c r="B200" s="451"/>
      <c r="C200" s="279"/>
      <c r="D200" s="452"/>
      <c r="E200" s="52"/>
      <c r="F200" s="454"/>
      <c r="G200" s="454"/>
      <c r="H200" s="454"/>
      <c r="I200" s="454"/>
      <c r="J200" s="454"/>
      <c r="K200" s="454"/>
      <c r="L200" s="454"/>
      <c r="M200" s="454"/>
      <c r="N200" s="454"/>
      <c r="O200" s="454"/>
    </row>
    <row r="201" spans="2:15" ht="15.6" hidden="1" x14ac:dyDescent="0.25">
      <c r="B201" s="451"/>
      <c r="C201" s="279"/>
      <c r="D201" s="452"/>
      <c r="E201" s="52"/>
      <c r="F201" s="454"/>
      <c r="G201" s="473"/>
      <c r="H201" s="473"/>
      <c r="I201" s="454"/>
      <c r="J201" s="454"/>
      <c r="K201" s="473"/>
      <c r="L201" s="473"/>
      <c r="M201" s="454"/>
      <c r="N201" s="454"/>
      <c r="O201" s="454"/>
    </row>
    <row r="202" spans="2:15" hidden="1" x14ac:dyDescent="0.25">
      <c r="B202" s="451"/>
      <c r="C202" s="457"/>
      <c r="D202" s="452"/>
      <c r="E202" s="52"/>
      <c r="F202" s="454"/>
      <c r="G202" s="454"/>
      <c r="H202" s="454"/>
      <c r="I202" s="454"/>
      <c r="J202" s="454"/>
      <c r="K202" s="454"/>
      <c r="L202" s="454"/>
      <c r="M202" s="454"/>
      <c r="N202" s="454"/>
      <c r="O202" s="454"/>
    </row>
    <row r="203" spans="2:15" hidden="1" x14ac:dyDescent="0.25">
      <c r="B203" s="451"/>
      <c r="C203" s="457"/>
      <c r="D203" s="452"/>
      <c r="E203" s="52"/>
      <c r="F203" s="454"/>
      <c r="G203" s="454"/>
      <c r="H203" s="454"/>
      <c r="I203" s="454"/>
      <c r="J203" s="454"/>
      <c r="K203" s="454"/>
      <c r="L203" s="454"/>
      <c r="M203" s="454"/>
      <c r="N203" s="454"/>
      <c r="O203" s="454"/>
    </row>
    <row r="204" spans="2:15" hidden="1" x14ac:dyDescent="0.25">
      <c r="B204" s="451"/>
      <c r="C204" s="457"/>
      <c r="D204" s="452"/>
      <c r="E204" s="52"/>
      <c r="F204" s="454"/>
      <c r="G204" s="454"/>
      <c r="H204" s="454"/>
      <c r="I204" s="454"/>
      <c r="J204" s="454"/>
      <c r="K204" s="454"/>
      <c r="L204" s="454"/>
      <c r="M204" s="454"/>
      <c r="N204" s="454"/>
      <c r="O204" s="454"/>
    </row>
    <row r="205" spans="2:15" hidden="1" x14ac:dyDescent="0.25">
      <c r="B205" s="451"/>
      <c r="C205" s="457"/>
      <c r="D205" s="452"/>
      <c r="E205" s="52"/>
      <c r="F205" s="454"/>
      <c r="G205" s="454"/>
      <c r="H205" s="454"/>
      <c r="I205" s="454"/>
      <c r="J205" s="454"/>
      <c r="K205" s="454"/>
      <c r="L205" s="454"/>
      <c r="M205" s="454"/>
      <c r="N205" s="454"/>
      <c r="O205" s="454"/>
    </row>
    <row r="206" spans="2:15" hidden="1" x14ac:dyDescent="0.25">
      <c r="B206" s="451"/>
      <c r="C206" s="458"/>
      <c r="D206" s="452"/>
      <c r="E206" s="52"/>
      <c r="F206" s="454"/>
      <c r="G206" s="454"/>
      <c r="H206" s="454"/>
      <c r="I206" s="454"/>
      <c r="J206" s="454"/>
      <c r="K206" s="454"/>
      <c r="L206" s="454"/>
      <c r="M206" s="454"/>
      <c r="N206" s="454"/>
      <c r="O206" s="454"/>
    </row>
    <row r="207" spans="2:15" hidden="1" x14ac:dyDescent="0.25">
      <c r="B207" s="451"/>
      <c r="C207" s="458"/>
      <c r="D207" s="452"/>
      <c r="E207" s="52"/>
      <c r="F207" s="454"/>
      <c r="G207" s="454"/>
      <c r="H207" s="454"/>
      <c r="I207" s="454"/>
      <c r="J207" s="454"/>
      <c r="K207" s="454"/>
      <c r="L207" s="454"/>
      <c r="M207" s="454"/>
      <c r="N207" s="454"/>
      <c r="O207" s="454"/>
    </row>
    <row r="208" spans="2:15" hidden="1" x14ac:dyDescent="0.25">
      <c r="B208" s="451"/>
      <c r="C208" s="458"/>
      <c r="D208" s="452"/>
      <c r="E208" s="52"/>
      <c r="F208" s="454"/>
      <c r="G208" s="454"/>
      <c r="H208" s="454"/>
      <c r="I208" s="454"/>
      <c r="J208" s="454"/>
      <c r="K208" s="454"/>
      <c r="L208" s="454"/>
      <c r="M208" s="454"/>
      <c r="N208" s="454"/>
      <c r="O208" s="454"/>
    </row>
    <row r="209" spans="2:15" hidden="1" x14ac:dyDescent="0.25">
      <c r="B209" s="451"/>
      <c r="C209" s="457"/>
      <c r="D209" s="452"/>
      <c r="E209" s="52"/>
      <c r="F209" s="454"/>
      <c r="G209" s="454"/>
      <c r="H209" s="454"/>
      <c r="I209" s="454"/>
      <c r="J209" s="454"/>
      <c r="K209" s="454"/>
      <c r="L209" s="454"/>
      <c r="M209" s="454"/>
      <c r="N209" s="454"/>
      <c r="O209" s="454"/>
    </row>
    <row r="210" spans="2:15" hidden="1" x14ac:dyDescent="0.25">
      <c r="B210" s="451"/>
      <c r="C210" s="457"/>
      <c r="D210" s="452"/>
      <c r="E210" s="52"/>
      <c r="F210" s="454"/>
      <c r="G210" s="454"/>
      <c r="H210" s="454"/>
      <c r="I210" s="454"/>
      <c r="J210" s="454"/>
      <c r="K210" s="454"/>
      <c r="L210" s="454"/>
      <c r="M210" s="454"/>
      <c r="N210" s="454"/>
      <c r="O210" s="454"/>
    </row>
    <row r="211" spans="2:15" hidden="1" x14ac:dyDescent="0.25">
      <c r="B211" s="459"/>
      <c r="C211" s="460"/>
      <c r="D211" s="452"/>
      <c r="E211" s="52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</row>
    <row r="212" spans="2:15" hidden="1" x14ac:dyDescent="0.25">
      <c r="B212" s="461"/>
      <c r="C212" s="280"/>
      <c r="D212" s="462"/>
      <c r="E212" s="52"/>
      <c r="F212" s="454"/>
      <c r="G212" s="454"/>
      <c r="H212" s="454"/>
      <c r="I212" s="454"/>
      <c r="J212" s="454"/>
      <c r="K212" s="454"/>
      <c r="L212" s="454"/>
      <c r="M212" s="454"/>
      <c r="N212" s="454"/>
      <c r="O212" s="454"/>
    </row>
    <row r="213" spans="2:15" hidden="1" x14ac:dyDescent="0.25">
      <c r="B213" s="461"/>
      <c r="C213" s="280"/>
      <c r="D213" s="462"/>
      <c r="E213" s="52"/>
      <c r="F213" s="454"/>
      <c r="G213" s="454"/>
      <c r="H213" s="454"/>
      <c r="I213" s="454"/>
      <c r="J213" s="454"/>
      <c r="K213" s="454"/>
      <c r="L213" s="454"/>
      <c r="M213" s="454"/>
      <c r="N213" s="454"/>
      <c r="O213" s="454"/>
    </row>
    <row r="214" spans="2:15" hidden="1" x14ac:dyDescent="0.25">
      <c r="B214" s="461"/>
      <c r="C214" s="280"/>
      <c r="D214" s="462"/>
      <c r="E214" s="52"/>
      <c r="F214" s="454"/>
      <c r="G214" s="454"/>
      <c r="H214" s="454"/>
      <c r="I214" s="454"/>
      <c r="J214" s="454"/>
      <c r="K214" s="454"/>
      <c r="L214" s="454"/>
      <c r="M214" s="454"/>
      <c r="N214" s="454"/>
      <c r="O214" s="454"/>
    </row>
    <row r="215" spans="2:15" hidden="1" x14ac:dyDescent="0.25">
      <c r="B215" s="461"/>
      <c r="C215" s="281"/>
      <c r="D215" s="462"/>
      <c r="E215" s="52"/>
      <c r="F215" s="454"/>
      <c r="G215" s="454"/>
      <c r="H215" s="454"/>
      <c r="I215" s="454"/>
      <c r="J215" s="454"/>
      <c r="K215" s="454"/>
      <c r="L215" s="454"/>
      <c r="M215" s="454"/>
      <c r="N215" s="454"/>
      <c r="O215" s="454"/>
    </row>
    <row r="216" spans="2:15" hidden="1" x14ac:dyDescent="0.25">
      <c r="B216" s="461"/>
      <c r="C216" s="281"/>
      <c r="D216" s="462"/>
      <c r="E216" s="52"/>
      <c r="F216" s="454"/>
      <c r="G216" s="454"/>
      <c r="H216" s="454"/>
      <c r="I216" s="454"/>
      <c r="J216" s="454"/>
      <c r="K216" s="454"/>
      <c r="L216" s="454"/>
      <c r="M216" s="454"/>
      <c r="N216" s="454"/>
      <c r="O216" s="454"/>
    </row>
    <row r="217" spans="2:15" hidden="1" x14ac:dyDescent="0.25">
      <c r="B217" s="461"/>
      <c r="C217" s="281"/>
      <c r="D217" s="462"/>
      <c r="E217" s="52"/>
      <c r="F217" s="454"/>
      <c r="G217" s="454"/>
      <c r="H217" s="454"/>
      <c r="I217" s="454"/>
      <c r="J217" s="454"/>
      <c r="K217" s="454"/>
      <c r="L217" s="454"/>
      <c r="M217" s="454"/>
      <c r="N217" s="454"/>
      <c r="O217" s="454"/>
    </row>
    <row r="218" spans="2:15" hidden="1" x14ac:dyDescent="0.25">
      <c r="B218" s="461"/>
      <c r="C218" s="281"/>
      <c r="D218" s="462"/>
      <c r="E218" s="52"/>
      <c r="F218" s="454"/>
      <c r="G218" s="454"/>
      <c r="H218" s="454"/>
      <c r="I218" s="454"/>
      <c r="J218" s="454"/>
      <c r="K218" s="454"/>
      <c r="L218" s="454"/>
      <c r="M218" s="454"/>
      <c r="N218" s="454"/>
      <c r="O218" s="454"/>
    </row>
    <row r="219" spans="2:15" hidden="1" x14ac:dyDescent="0.25">
      <c r="B219" s="461"/>
      <c r="C219" s="281"/>
      <c r="D219" s="462"/>
      <c r="E219" s="52"/>
      <c r="F219" s="454"/>
      <c r="G219" s="454"/>
      <c r="H219" s="454"/>
      <c r="I219" s="454"/>
      <c r="J219" s="454"/>
      <c r="K219" s="454"/>
      <c r="L219" s="454"/>
      <c r="M219" s="454"/>
      <c r="N219" s="454"/>
      <c r="O219" s="454"/>
    </row>
    <row r="220" spans="2:15" hidden="1" x14ac:dyDescent="0.25">
      <c r="B220" s="461"/>
      <c r="C220" s="281"/>
      <c r="D220" s="462"/>
      <c r="E220" s="52"/>
      <c r="F220" s="454"/>
      <c r="G220" s="454"/>
      <c r="H220" s="454"/>
      <c r="I220" s="454"/>
      <c r="J220" s="454"/>
      <c r="K220" s="454"/>
      <c r="L220" s="454"/>
      <c r="M220" s="454"/>
      <c r="N220" s="454"/>
      <c r="O220" s="454"/>
    </row>
    <row r="221" spans="2:15" hidden="1" x14ac:dyDescent="0.25">
      <c r="B221" s="461"/>
      <c r="C221" s="281"/>
      <c r="D221" s="462"/>
      <c r="E221" s="52"/>
      <c r="F221" s="454"/>
      <c r="G221" s="454"/>
      <c r="H221" s="454"/>
      <c r="I221" s="454"/>
      <c r="J221" s="454"/>
      <c r="K221" s="454"/>
      <c r="L221" s="454"/>
      <c r="M221" s="454"/>
      <c r="N221" s="454"/>
      <c r="O221" s="454"/>
    </row>
    <row r="222" spans="2:15" hidden="1" x14ac:dyDescent="0.25">
      <c r="B222" s="461"/>
      <c r="C222" s="280"/>
      <c r="D222" s="462"/>
      <c r="E222" s="52"/>
      <c r="F222" s="454"/>
      <c r="G222" s="454"/>
      <c r="H222" s="454"/>
      <c r="I222" s="454"/>
      <c r="J222" s="454"/>
      <c r="K222" s="454"/>
      <c r="L222" s="454"/>
      <c r="M222" s="454"/>
      <c r="N222" s="454"/>
      <c r="O222" s="454"/>
    </row>
    <row r="223" spans="2:15" hidden="1" x14ac:dyDescent="0.25">
      <c r="B223" s="461"/>
      <c r="C223" s="281"/>
      <c r="D223" s="462"/>
      <c r="E223" s="52"/>
      <c r="F223" s="454"/>
      <c r="G223" s="454"/>
      <c r="H223" s="454"/>
      <c r="I223" s="454"/>
      <c r="J223" s="454"/>
      <c r="K223" s="454"/>
      <c r="L223" s="454"/>
      <c r="M223" s="454"/>
      <c r="N223" s="454"/>
      <c r="O223" s="454"/>
    </row>
    <row r="224" spans="2:15" hidden="1" x14ac:dyDescent="0.25">
      <c r="B224" s="461"/>
      <c r="C224" s="281"/>
      <c r="D224" s="462"/>
      <c r="E224" s="52"/>
      <c r="F224" s="454"/>
      <c r="G224" s="454"/>
      <c r="H224" s="454"/>
      <c r="I224" s="454"/>
      <c r="J224" s="454"/>
      <c r="K224" s="454"/>
      <c r="L224" s="454"/>
      <c r="M224" s="454"/>
      <c r="N224" s="454"/>
      <c r="O224" s="454"/>
    </row>
    <row r="225" spans="2:15" hidden="1" x14ac:dyDescent="0.25">
      <c r="B225" s="461"/>
      <c r="C225" s="281"/>
      <c r="D225" s="462"/>
      <c r="E225" s="52"/>
      <c r="F225" s="454"/>
      <c r="G225" s="454"/>
      <c r="H225" s="454"/>
      <c r="I225" s="454"/>
      <c r="J225" s="454"/>
      <c r="K225" s="454"/>
      <c r="L225" s="454"/>
      <c r="M225" s="454"/>
      <c r="N225" s="454"/>
      <c r="O225" s="454"/>
    </row>
    <row r="226" spans="2:15" hidden="1" x14ac:dyDescent="0.25">
      <c r="B226" s="461"/>
      <c r="C226" s="280"/>
      <c r="D226" s="462"/>
      <c r="E226" s="52"/>
      <c r="F226" s="454"/>
      <c r="G226" s="454"/>
      <c r="H226" s="454"/>
      <c r="I226" s="454"/>
      <c r="J226" s="454"/>
      <c r="K226" s="454"/>
      <c r="L226" s="454"/>
      <c r="M226" s="454"/>
      <c r="N226" s="454"/>
      <c r="O226" s="454"/>
    </row>
    <row r="227" spans="2:15" hidden="1" x14ac:dyDescent="0.25">
      <c r="B227" s="461"/>
      <c r="C227" s="280"/>
      <c r="D227" s="452"/>
      <c r="E227" s="52"/>
      <c r="F227" s="454"/>
      <c r="G227" s="454"/>
      <c r="H227" s="454"/>
      <c r="I227" s="454"/>
      <c r="J227" s="454"/>
      <c r="K227" s="454"/>
      <c r="L227" s="454"/>
      <c r="M227" s="454"/>
      <c r="N227" s="454"/>
      <c r="O227" s="454"/>
    </row>
    <row r="228" spans="2:15" hidden="1" x14ac:dyDescent="0.25">
      <c r="B228" s="461"/>
      <c r="C228" s="280"/>
      <c r="D228" s="452"/>
      <c r="E228" s="53"/>
      <c r="F228" s="454"/>
      <c r="G228" s="454"/>
      <c r="H228" s="454"/>
      <c r="I228" s="454"/>
      <c r="J228" s="454"/>
      <c r="K228" s="454"/>
      <c r="L228" s="454"/>
      <c r="M228" s="454"/>
      <c r="N228" s="454"/>
      <c r="O228" s="454"/>
    </row>
    <row r="229" spans="2:15" ht="14.4" hidden="1" thickBot="1" x14ac:dyDescent="0.3">
      <c r="B229" s="463"/>
      <c r="C229" s="464" t="s">
        <v>251</v>
      </c>
      <c r="D229" s="464"/>
      <c r="E229" s="465"/>
      <c r="F229" s="466">
        <f>SUM(F189:F228)</f>
        <v>13494.350246145254</v>
      </c>
      <c r="G229" s="466">
        <f t="shared" ref="G229:O229" si="32">SUM(G189:G228)</f>
        <v>1754.3181828017655</v>
      </c>
      <c r="H229" s="466">
        <f t="shared" si="32"/>
        <v>0</v>
      </c>
      <c r="I229" s="466">
        <f t="shared" si="32"/>
        <v>15248.668428947018</v>
      </c>
      <c r="J229" s="466">
        <f t="shared" si="32"/>
        <v>6184.3869344987033</v>
      </c>
      <c r="K229" s="466">
        <f t="shared" si="32"/>
        <v>532.33540154297532</v>
      </c>
      <c r="L229" s="466">
        <f t="shared" si="32"/>
        <v>0</v>
      </c>
      <c r="M229" s="466">
        <f t="shared" si="32"/>
        <v>6716.7223360416774</v>
      </c>
      <c r="N229" s="466">
        <f t="shared" si="32"/>
        <v>7309.963311646552</v>
      </c>
      <c r="O229" s="467">
        <f t="shared" si="32"/>
        <v>8531.9460929053403</v>
      </c>
    </row>
    <row r="230" spans="2:15" hidden="1" x14ac:dyDescent="0.25"/>
    <row r="231" spans="2:15" hidden="1" x14ac:dyDescent="0.25">
      <c r="B231" s="858" t="s">
        <v>551</v>
      </c>
      <c r="C231" s="859"/>
      <c r="D231" s="859"/>
      <c r="E231" s="859"/>
      <c r="F231" s="859"/>
      <c r="G231" s="859"/>
      <c r="H231" s="859"/>
      <c r="I231" s="859"/>
      <c r="J231" s="859"/>
      <c r="K231" s="859"/>
      <c r="L231" s="859"/>
      <c r="M231" s="859"/>
      <c r="N231" s="859"/>
      <c r="O231" s="860"/>
    </row>
    <row r="232" spans="2:15" ht="13.95" hidden="1" customHeight="1" x14ac:dyDescent="0.25">
      <c r="B232" s="861" t="s">
        <v>474</v>
      </c>
      <c r="C232" s="863" t="s">
        <v>556</v>
      </c>
      <c r="D232" s="865" t="s">
        <v>557</v>
      </c>
      <c r="E232" s="865" t="s">
        <v>558</v>
      </c>
      <c r="F232" s="865" t="s">
        <v>559</v>
      </c>
      <c r="G232" s="865"/>
      <c r="H232" s="865"/>
      <c r="I232" s="865"/>
      <c r="J232" s="865" t="s">
        <v>560</v>
      </c>
      <c r="K232" s="865"/>
      <c r="L232" s="865"/>
      <c r="M232" s="865"/>
      <c r="N232" s="865" t="s">
        <v>561</v>
      </c>
      <c r="O232" s="867"/>
    </row>
    <row r="233" spans="2:15" ht="55.8" hidden="1" thickBot="1" x14ac:dyDescent="0.3">
      <c r="B233" s="862"/>
      <c r="C233" s="864"/>
      <c r="D233" s="866"/>
      <c r="E233" s="866"/>
      <c r="F233" s="468" t="s">
        <v>562</v>
      </c>
      <c r="G233" s="468" t="s">
        <v>563</v>
      </c>
      <c r="H233" s="468" t="s">
        <v>564</v>
      </c>
      <c r="I233" s="468" t="s">
        <v>565</v>
      </c>
      <c r="J233" s="468" t="s">
        <v>566</v>
      </c>
      <c r="K233" s="468" t="s">
        <v>563</v>
      </c>
      <c r="L233" s="468" t="s">
        <v>567</v>
      </c>
      <c r="M233" s="468" t="s">
        <v>568</v>
      </c>
      <c r="N233" s="468" t="s">
        <v>562</v>
      </c>
      <c r="O233" s="469" t="s">
        <v>565</v>
      </c>
    </row>
    <row r="234" spans="2:15" ht="15.6" hidden="1" x14ac:dyDescent="0.25">
      <c r="B234" s="451">
        <v>1</v>
      </c>
      <c r="C234" s="276" t="s">
        <v>689</v>
      </c>
      <c r="D234" s="452"/>
      <c r="E234" s="453"/>
      <c r="F234" s="454">
        <f>I189</f>
        <v>50.94884068529538</v>
      </c>
      <c r="G234" s="454">
        <f>'[56]GFA &amp; Dep-MYT 5th Control'!$P$36</f>
        <v>16.563724222861055</v>
      </c>
      <c r="H234" s="454">
        <v>0</v>
      </c>
      <c r="I234" s="454">
        <f>F234+G234-H234</f>
        <v>67.512564908156435</v>
      </c>
      <c r="J234" s="454">
        <f>M189</f>
        <v>4.7686621581818092E-2</v>
      </c>
      <c r="K234" s="454">
        <f>'[56]GFA &amp; Dep-MYT 5th Control'!$H$107</f>
        <v>1.5895540527272725E-2</v>
      </c>
      <c r="L234" s="454">
        <v>0</v>
      </c>
      <c r="M234" s="454">
        <f>J234+K234-L234</f>
        <v>6.3582162109090817E-2</v>
      </c>
      <c r="N234" s="454">
        <f>F234-J234</f>
        <v>50.901154063713562</v>
      </c>
      <c r="O234" s="454">
        <f>I234-M234</f>
        <v>67.448982746047349</v>
      </c>
    </row>
    <row r="235" spans="2:15" ht="15.6" hidden="1" x14ac:dyDescent="0.25">
      <c r="B235" s="451">
        <v>2</v>
      </c>
      <c r="C235" s="276" t="s">
        <v>534</v>
      </c>
      <c r="D235" s="452"/>
      <c r="E235" s="453"/>
      <c r="F235" s="454">
        <f t="shared" ref="F235:F244" si="33">I190</f>
        <v>414.63728590749054</v>
      </c>
      <c r="G235" s="454">
        <f>'[56]GFA &amp; Dep-MYT 5th Control'!$P$35</f>
        <v>24.472975526233814</v>
      </c>
      <c r="H235" s="454">
        <v>0</v>
      </c>
      <c r="I235" s="454">
        <f t="shared" ref="I235:I244" si="34">F235+G235-H235</f>
        <v>439.11026143372436</v>
      </c>
      <c r="J235" s="454">
        <f t="shared" ref="J235:J244" si="35">M190</f>
        <v>121.36706069230355</v>
      </c>
      <c r="K235" s="454">
        <f>'[56]GFA &amp; Dep-MYT 5th Control'!$H$108</f>
        <v>10.800710371051292</v>
      </c>
      <c r="L235" s="454">
        <v>0</v>
      </c>
      <c r="M235" s="454">
        <f t="shared" ref="M235:M244" si="36">J235+K235-L235</f>
        <v>132.16777106335485</v>
      </c>
      <c r="N235" s="454">
        <f>F235-J235</f>
        <v>293.270225215187</v>
      </c>
      <c r="O235" s="454">
        <f>I235-M235</f>
        <v>306.94249037036951</v>
      </c>
    </row>
    <row r="236" spans="2:15" ht="15.6" hidden="1" x14ac:dyDescent="0.25">
      <c r="B236" s="470">
        <v>3</v>
      </c>
      <c r="C236" s="279" t="s">
        <v>690</v>
      </c>
      <c r="D236" s="471"/>
      <c r="E236" s="360"/>
      <c r="F236" s="472">
        <f t="shared" si="33"/>
        <v>0</v>
      </c>
      <c r="G236" s="472"/>
      <c r="H236" s="472">
        <v>0</v>
      </c>
      <c r="I236" s="472">
        <f t="shared" si="34"/>
        <v>0</v>
      </c>
      <c r="J236" s="472">
        <f t="shared" si="35"/>
        <v>0</v>
      </c>
      <c r="K236" s="472"/>
      <c r="L236" s="472">
        <v>0</v>
      </c>
      <c r="M236" s="472">
        <f t="shared" si="36"/>
        <v>0</v>
      </c>
      <c r="N236" s="472"/>
      <c r="O236" s="472"/>
    </row>
    <row r="237" spans="2:15" ht="15.6" hidden="1" x14ac:dyDescent="0.25">
      <c r="B237" s="451"/>
      <c r="C237" s="276" t="s">
        <v>691</v>
      </c>
      <c r="D237" s="452"/>
      <c r="E237" s="52"/>
      <c r="F237" s="454">
        <f t="shared" si="33"/>
        <v>6950.8401011223177</v>
      </c>
      <c r="G237" s="454">
        <f>'[56]GFA &amp; Dep-MYT 5th Control'!$P$31</f>
        <v>853.87911418745466</v>
      </c>
      <c r="H237" s="454">
        <v>0</v>
      </c>
      <c r="I237" s="454">
        <f t="shared" si="34"/>
        <v>7804.7192153097722</v>
      </c>
      <c r="J237" s="454">
        <f t="shared" si="35"/>
        <v>3258.0765371252492</v>
      </c>
      <c r="K237" s="454">
        <f>SUM('[56]GFA &amp; Dep-MYT 5th Control'!$H$113:$H$115)</f>
        <v>303.16802148157075</v>
      </c>
      <c r="L237" s="454">
        <v>0</v>
      </c>
      <c r="M237" s="454">
        <f t="shared" si="36"/>
        <v>3561.2445586068197</v>
      </c>
      <c r="N237" s="454">
        <f>F237-J237</f>
        <v>3692.7635639970686</v>
      </c>
      <c r="O237" s="454">
        <f>I237-M237</f>
        <v>4243.4746567029524</v>
      </c>
    </row>
    <row r="238" spans="2:15" ht="15.6" hidden="1" x14ac:dyDescent="0.25">
      <c r="B238" s="451"/>
      <c r="C238" s="276" t="s">
        <v>692</v>
      </c>
      <c r="D238" s="452"/>
      <c r="E238" s="52"/>
      <c r="F238" s="454">
        <f t="shared" si="33"/>
        <v>6740.8971393258298</v>
      </c>
      <c r="G238" s="454">
        <f>'[56]GFA &amp; Dep-MYT 5th Control'!$P$32</f>
        <v>927.52114110963259</v>
      </c>
      <c r="H238" s="454">
        <v>0</v>
      </c>
      <c r="I238" s="454">
        <f t="shared" si="34"/>
        <v>7668.4182804354623</v>
      </c>
      <c r="J238" s="454">
        <f t="shared" si="35"/>
        <v>2613.7341361573804</v>
      </c>
      <c r="K238" s="454">
        <f>SUM('[56]GFA &amp; Dep-MYT 5th Control'!$H$122:$H$124)</f>
        <v>225.14214448460999</v>
      </c>
      <c r="L238" s="454">
        <v>0</v>
      </c>
      <c r="M238" s="454">
        <f t="shared" si="36"/>
        <v>2838.8762806419904</v>
      </c>
      <c r="N238" s="454">
        <f>F238-J238</f>
        <v>4127.163003168449</v>
      </c>
      <c r="O238" s="454">
        <f>I238-M238</f>
        <v>4829.5419997934714</v>
      </c>
    </row>
    <row r="239" spans="2:15" ht="15.6" hidden="1" x14ac:dyDescent="0.25">
      <c r="B239" s="451"/>
      <c r="C239" s="276" t="s">
        <v>693</v>
      </c>
      <c r="D239" s="452"/>
      <c r="E239" s="52"/>
      <c r="F239" s="454">
        <f t="shared" si="33"/>
        <v>773.90646973435491</v>
      </c>
      <c r="G239" s="454">
        <f>'[56]GFA &amp; Dep-MYT 5th Control'!$P$33</f>
        <v>20.459469592301389</v>
      </c>
      <c r="H239" s="454">
        <v>0</v>
      </c>
      <c r="I239" s="454">
        <f t="shared" si="34"/>
        <v>794.3659393266563</v>
      </c>
      <c r="J239" s="454">
        <f t="shared" si="35"/>
        <v>549.94797094222918</v>
      </c>
      <c r="K239" s="454">
        <f>'[56]GFA &amp; Dep-MYT 5th Control'!$H$119</f>
        <v>33.973992376914794</v>
      </c>
      <c r="L239" s="454">
        <v>0</v>
      </c>
      <c r="M239" s="454">
        <f t="shared" si="36"/>
        <v>583.92196331914397</v>
      </c>
      <c r="N239" s="454">
        <f>F239-J239</f>
        <v>223.95849879212574</v>
      </c>
      <c r="O239" s="454">
        <f t="shared" ref="O239:O244" si="37">I239-M239</f>
        <v>210.44397600751233</v>
      </c>
    </row>
    <row r="240" spans="2:15" ht="15.6" hidden="1" x14ac:dyDescent="0.25">
      <c r="B240" s="451">
        <v>4</v>
      </c>
      <c r="C240" s="279" t="s">
        <v>540</v>
      </c>
      <c r="D240" s="452"/>
      <c r="E240" s="52"/>
      <c r="F240" s="454">
        <f t="shared" si="33"/>
        <v>35.301379718805791</v>
      </c>
      <c r="G240" s="454">
        <f>'[56]GFA &amp; Dep-MYT 5th Control'!$P$34</f>
        <v>5.5601932053283631</v>
      </c>
      <c r="H240" s="454">
        <v>0</v>
      </c>
      <c r="I240" s="454">
        <f t="shared" si="34"/>
        <v>40.861572924134151</v>
      </c>
      <c r="J240" s="454">
        <f t="shared" si="35"/>
        <v>35.32697879552169</v>
      </c>
      <c r="K240" s="454">
        <v>0</v>
      </c>
      <c r="L240" s="454">
        <v>0</v>
      </c>
      <c r="M240" s="454">
        <f t="shared" si="36"/>
        <v>35.32697879552169</v>
      </c>
      <c r="N240" s="454">
        <f t="shared" ref="N240:N244" si="38">F240-J240</f>
        <v>-2.5599076715899116E-2</v>
      </c>
      <c r="O240" s="454">
        <f t="shared" si="37"/>
        <v>5.5345941286124614</v>
      </c>
    </row>
    <row r="241" spans="2:15" ht="15.6" hidden="1" x14ac:dyDescent="0.25">
      <c r="B241" s="451">
        <v>5</v>
      </c>
      <c r="C241" s="279" t="s">
        <v>694</v>
      </c>
      <c r="D241" s="452"/>
      <c r="E241" s="52"/>
      <c r="F241" s="454">
        <f t="shared" si="33"/>
        <v>6.2781000000000002</v>
      </c>
      <c r="G241" s="454">
        <v>0</v>
      </c>
      <c r="H241" s="454">
        <v>0</v>
      </c>
      <c r="I241" s="454">
        <f t="shared" si="34"/>
        <v>6.2781000000000002</v>
      </c>
      <c r="J241" s="454">
        <f t="shared" si="35"/>
        <v>5.1908800992099975</v>
      </c>
      <c r="K241" s="454">
        <f>'[56]GFA &amp; Dep-MYT 5th Control'!$H$127</f>
        <v>0.14114734381000016</v>
      </c>
      <c r="L241" s="454">
        <v>0</v>
      </c>
      <c r="M241" s="454">
        <f t="shared" si="36"/>
        <v>5.3320274430199976</v>
      </c>
      <c r="N241" s="454">
        <f t="shared" si="38"/>
        <v>1.0872199007900027</v>
      </c>
      <c r="O241" s="454">
        <f t="shared" si="37"/>
        <v>0.94607255698000259</v>
      </c>
    </row>
    <row r="242" spans="2:15" ht="15.6" hidden="1" x14ac:dyDescent="0.25">
      <c r="B242" s="451">
        <v>6</v>
      </c>
      <c r="C242" s="279" t="s">
        <v>538</v>
      </c>
      <c r="D242" s="452"/>
      <c r="E242" s="52"/>
      <c r="F242" s="454">
        <f t="shared" si="33"/>
        <v>2.7250999999999999</v>
      </c>
      <c r="G242" s="454">
        <v>0</v>
      </c>
      <c r="H242" s="454">
        <v>0</v>
      </c>
      <c r="I242" s="454">
        <f t="shared" si="34"/>
        <v>2.7250999999999999</v>
      </c>
      <c r="J242" s="454">
        <f t="shared" si="35"/>
        <v>2.4513726043000004</v>
      </c>
      <c r="K242" s="454">
        <f>'[56]GFA &amp; Dep-MYT 5th Control'!$H$126</f>
        <v>0</v>
      </c>
      <c r="L242" s="454">
        <v>0</v>
      </c>
      <c r="M242" s="454">
        <f t="shared" si="36"/>
        <v>2.4513726043000004</v>
      </c>
      <c r="N242" s="454">
        <f t="shared" si="38"/>
        <v>0.27372739569999949</v>
      </c>
      <c r="O242" s="454">
        <f t="shared" si="37"/>
        <v>0.27372739569999949</v>
      </c>
    </row>
    <row r="243" spans="2:15" ht="15.6" hidden="1" x14ac:dyDescent="0.25">
      <c r="B243" s="451">
        <v>7</v>
      </c>
      <c r="C243" s="279" t="s">
        <v>695</v>
      </c>
      <c r="D243" s="452"/>
      <c r="E243" s="52"/>
      <c r="F243" s="454">
        <f t="shared" si="33"/>
        <v>238.2060124529259</v>
      </c>
      <c r="G243" s="454">
        <f>'[56]GFA &amp; Dep-MYT 5th Control'!$P$37</f>
        <v>52.370573393375409</v>
      </c>
      <c r="H243" s="454">
        <v>0</v>
      </c>
      <c r="I243" s="454">
        <f t="shared" si="34"/>
        <v>290.57658584630133</v>
      </c>
      <c r="J243" s="454">
        <f t="shared" si="35"/>
        <v>63.527200000000001</v>
      </c>
      <c r="K243" s="454">
        <f>'[56]GFA &amp; Dep-MYT 5th Control'!$H$128</f>
        <v>3.8956900604473117</v>
      </c>
      <c r="L243" s="454">
        <v>0</v>
      </c>
      <c r="M243" s="454">
        <f t="shared" si="36"/>
        <v>67.422890060447315</v>
      </c>
      <c r="N243" s="454">
        <f t="shared" si="38"/>
        <v>174.67881245292591</v>
      </c>
      <c r="O243" s="454">
        <f t="shared" si="37"/>
        <v>223.15369578585401</v>
      </c>
    </row>
    <row r="244" spans="2:15" ht="15.6" hidden="1" x14ac:dyDescent="0.25">
      <c r="B244" s="451">
        <v>8</v>
      </c>
      <c r="C244" s="279" t="s">
        <v>696</v>
      </c>
      <c r="D244" s="452"/>
      <c r="E244" s="52"/>
      <c r="F244" s="454">
        <f t="shared" si="33"/>
        <v>34.928000000000004</v>
      </c>
      <c r="G244" s="454">
        <v>0</v>
      </c>
      <c r="H244" s="454">
        <v>0</v>
      </c>
      <c r="I244" s="454">
        <f t="shared" si="34"/>
        <v>34.928000000000004</v>
      </c>
      <c r="J244" s="454">
        <f t="shared" si="35"/>
        <v>67.052513003902547</v>
      </c>
      <c r="K244" s="454">
        <f>'[56]GFA &amp; Dep-MYT 5th Control'!$H$109</f>
        <v>24.799373602183103</v>
      </c>
      <c r="L244" s="454">
        <v>0</v>
      </c>
      <c r="M244" s="454">
        <f t="shared" si="36"/>
        <v>91.851886606085657</v>
      </c>
      <c r="N244" s="454">
        <f t="shared" si="38"/>
        <v>-32.124513003902543</v>
      </c>
      <c r="O244" s="454">
        <f t="shared" si="37"/>
        <v>-56.923886606085652</v>
      </c>
    </row>
    <row r="245" spans="2:15" ht="15.6" hidden="1" x14ac:dyDescent="0.25">
      <c r="B245" s="451"/>
      <c r="C245" s="279"/>
      <c r="D245" s="452"/>
      <c r="E245" s="52"/>
      <c r="F245" s="454"/>
      <c r="G245" s="454"/>
      <c r="H245" s="454"/>
      <c r="I245" s="454"/>
      <c r="J245" s="454"/>
      <c r="K245" s="454"/>
      <c r="L245" s="454"/>
      <c r="M245" s="454"/>
      <c r="N245" s="454"/>
      <c r="O245" s="454"/>
    </row>
    <row r="246" spans="2:15" ht="15.6" hidden="1" x14ac:dyDescent="0.25">
      <c r="B246" s="451"/>
      <c r="C246" s="279"/>
      <c r="D246" s="452"/>
      <c r="E246" s="52"/>
      <c r="F246" s="454"/>
      <c r="G246" s="473"/>
      <c r="H246" s="473"/>
      <c r="I246" s="454"/>
      <c r="J246" s="454"/>
      <c r="K246" s="473"/>
      <c r="L246" s="473"/>
      <c r="M246" s="454"/>
      <c r="N246" s="454"/>
      <c r="O246" s="454"/>
    </row>
    <row r="247" spans="2:15" hidden="1" x14ac:dyDescent="0.25">
      <c r="B247" s="451"/>
      <c r="C247" s="457"/>
      <c r="D247" s="452"/>
      <c r="E247" s="52"/>
      <c r="F247" s="454"/>
      <c r="G247" s="454"/>
      <c r="H247" s="454"/>
      <c r="I247" s="454"/>
      <c r="J247" s="454"/>
      <c r="K247" s="454"/>
      <c r="L247" s="454"/>
      <c r="M247" s="454"/>
      <c r="N247" s="454"/>
      <c r="O247" s="454"/>
    </row>
    <row r="248" spans="2:15" hidden="1" x14ac:dyDescent="0.25">
      <c r="B248" s="451"/>
      <c r="C248" s="457"/>
      <c r="D248" s="452"/>
      <c r="E248" s="52"/>
      <c r="F248" s="454"/>
      <c r="G248" s="454"/>
      <c r="H248" s="454"/>
      <c r="I248" s="454"/>
      <c r="J248" s="454"/>
      <c r="K248" s="454"/>
      <c r="L248" s="454"/>
      <c r="M248" s="454"/>
      <c r="N248" s="454"/>
      <c r="O248" s="454"/>
    </row>
    <row r="249" spans="2:15" hidden="1" x14ac:dyDescent="0.25">
      <c r="B249" s="451"/>
      <c r="C249" s="457"/>
      <c r="D249" s="452"/>
      <c r="E249" s="52"/>
      <c r="F249" s="454"/>
      <c r="G249" s="454"/>
      <c r="H249" s="454"/>
      <c r="I249" s="454"/>
      <c r="J249" s="454"/>
      <c r="K249" s="454"/>
      <c r="L249" s="454"/>
      <c r="M249" s="454"/>
      <c r="N249" s="454"/>
      <c r="O249" s="454"/>
    </row>
    <row r="250" spans="2:15" hidden="1" x14ac:dyDescent="0.25">
      <c r="B250" s="451"/>
      <c r="C250" s="457"/>
      <c r="D250" s="452"/>
      <c r="E250" s="52"/>
      <c r="F250" s="454"/>
      <c r="G250" s="454"/>
      <c r="H250" s="454"/>
      <c r="I250" s="454"/>
      <c r="J250" s="454"/>
      <c r="K250" s="454"/>
      <c r="L250" s="454"/>
      <c r="M250" s="454"/>
      <c r="N250" s="454"/>
      <c r="O250" s="454"/>
    </row>
    <row r="251" spans="2:15" hidden="1" x14ac:dyDescent="0.25">
      <c r="B251" s="451"/>
      <c r="C251" s="458"/>
      <c r="D251" s="452"/>
      <c r="E251" s="52"/>
      <c r="F251" s="454"/>
      <c r="G251" s="454"/>
      <c r="H251" s="454"/>
      <c r="I251" s="454"/>
      <c r="J251" s="454"/>
      <c r="K251" s="454"/>
      <c r="L251" s="454"/>
      <c r="M251" s="454"/>
      <c r="N251" s="454"/>
      <c r="O251" s="454"/>
    </row>
    <row r="252" spans="2:15" hidden="1" x14ac:dyDescent="0.25">
      <c r="B252" s="451"/>
      <c r="C252" s="458"/>
      <c r="D252" s="452"/>
      <c r="E252" s="52"/>
      <c r="F252" s="454"/>
      <c r="G252" s="454"/>
      <c r="H252" s="454"/>
      <c r="I252" s="454"/>
      <c r="J252" s="454"/>
      <c r="K252" s="454"/>
      <c r="L252" s="454"/>
      <c r="M252" s="454"/>
      <c r="N252" s="454"/>
      <c r="O252" s="454"/>
    </row>
    <row r="253" spans="2:15" hidden="1" x14ac:dyDescent="0.25">
      <c r="B253" s="451"/>
      <c r="C253" s="458"/>
      <c r="D253" s="452"/>
      <c r="E253" s="52"/>
      <c r="F253" s="454"/>
      <c r="G253" s="454"/>
      <c r="H253" s="454"/>
      <c r="I253" s="454"/>
      <c r="J253" s="454"/>
      <c r="K253" s="454"/>
      <c r="L253" s="454"/>
      <c r="M253" s="454"/>
      <c r="N253" s="454"/>
      <c r="O253" s="454"/>
    </row>
    <row r="254" spans="2:15" hidden="1" x14ac:dyDescent="0.25">
      <c r="B254" s="451"/>
      <c r="C254" s="457"/>
      <c r="D254" s="452"/>
      <c r="E254" s="52"/>
      <c r="F254" s="454"/>
      <c r="G254" s="454"/>
      <c r="H254" s="454"/>
      <c r="I254" s="454"/>
      <c r="J254" s="454"/>
      <c r="K254" s="454"/>
      <c r="L254" s="454"/>
      <c r="M254" s="454"/>
      <c r="N254" s="454"/>
      <c r="O254" s="454"/>
    </row>
    <row r="255" spans="2:15" hidden="1" x14ac:dyDescent="0.25">
      <c r="B255" s="451"/>
      <c r="C255" s="457"/>
      <c r="D255" s="452"/>
      <c r="E255" s="52"/>
      <c r="F255" s="454"/>
      <c r="G255" s="454"/>
      <c r="H255" s="454"/>
      <c r="I255" s="454"/>
      <c r="J255" s="454"/>
      <c r="K255" s="454"/>
      <c r="L255" s="454"/>
      <c r="M255" s="454"/>
      <c r="N255" s="454"/>
      <c r="O255" s="454"/>
    </row>
    <row r="256" spans="2:15" hidden="1" x14ac:dyDescent="0.25">
      <c r="B256" s="459"/>
      <c r="C256" s="460"/>
      <c r="D256" s="452"/>
      <c r="E256" s="52"/>
      <c r="F256" s="454"/>
      <c r="G256" s="454"/>
      <c r="H256" s="454"/>
      <c r="I256" s="454"/>
      <c r="J256" s="454"/>
      <c r="K256" s="454"/>
      <c r="L256" s="454"/>
      <c r="M256" s="454"/>
      <c r="N256" s="454"/>
      <c r="O256" s="454"/>
    </row>
    <row r="257" spans="2:15" hidden="1" x14ac:dyDescent="0.25">
      <c r="B257" s="461"/>
      <c r="C257" s="280"/>
      <c r="D257" s="462"/>
      <c r="E257" s="52"/>
      <c r="F257" s="454"/>
      <c r="G257" s="454"/>
      <c r="H257" s="454"/>
      <c r="I257" s="454"/>
      <c r="J257" s="454"/>
      <c r="K257" s="454"/>
      <c r="L257" s="454"/>
      <c r="M257" s="454"/>
      <c r="N257" s="454"/>
      <c r="O257" s="454"/>
    </row>
    <row r="258" spans="2:15" hidden="1" x14ac:dyDescent="0.25">
      <c r="B258" s="461"/>
      <c r="C258" s="280"/>
      <c r="D258" s="462"/>
      <c r="E258" s="52"/>
      <c r="F258" s="454"/>
      <c r="G258" s="454"/>
      <c r="H258" s="454"/>
      <c r="I258" s="454"/>
      <c r="J258" s="454"/>
      <c r="K258" s="454"/>
      <c r="L258" s="454"/>
      <c r="M258" s="454"/>
      <c r="N258" s="454"/>
      <c r="O258" s="454"/>
    </row>
    <row r="259" spans="2:15" hidden="1" x14ac:dyDescent="0.25">
      <c r="B259" s="461"/>
      <c r="C259" s="280"/>
      <c r="D259" s="462"/>
      <c r="E259" s="52"/>
      <c r="F259" s="454"/>
      <c r="G259" s="454"/>
      <c r="H259" s="454"/>
      <c r="I259" s="454"/>
      <c r="J259" s="454"/>
      <c r="K259" s="454"/>
      <c r="L259" s="454"/>
      <c r="M259" s="454"/>
      <c r="N259" s="454"/>
      <c r="O259" s="454"/>
    </row>
    <row r="260" spans="2:15" hidden="1" x14ac:dyDescent="0.25">
      <c r="B260" s="461"/>
      <c r="C260" s="281"/>
      <c r="D260" s="462"/>
      <c r="E260" s="52"/>
      <c r="F260" s="454"/>
      <c r="G260" s="454"/>
      <c r="H260" s="454"/>
      <c r="I260" s="454"/>
      <c r="J260" s="454"/>
      <c r="K260" s="454"/>
      <c r="L260" s="454"/>
      <c r="M260" s="454"/>
      <c r="N260" s="454"/>
      <c r="O260" s="454"/>
    </row>
    <row r="261" spans="2:15" hidden="1" x14ac:dyDescent="0.25">
      <c r="B261" s="461"/>
      <c r="C261" s="281"/>
      <c r="D261" s="462"/>
      <c r="E261" s="52"/>
      <c r="F261" s="454"/>
      <c r="G261" s="454"/>
      <c r="H261" s="454"/>
      <c r="I261" s="454"/>
      <c r="J261" s="454"/>
      <c r="K261" s="454"/>
      <c r="L261" s="454"/>
      <c r="M261" s="454"/>
      <c r="N261" s="454"/>
      <c r="O261" s="454"/>
    </row>
    <row r="262" spans="2:15" hidden="1" x14ac:dyDescent="0.25">
      <c r="B262" s="461"/>
      <c r="C262" s="281"/>
      <c r="D262" s="462"/>
      <c r="E262" s="52"/>
      <c r="F262" s="454"/>
      <c r="G262" s="454"/>
      <c r="H262" s="454"/>
      <c r="I262" s="454"/>
      <c r="J262" s="454"/>
      <c r="K262" s="454"/>
      <c r="L262" s="454"/>
      <c r="M262" s="454"/>
      <c r="N262" s="454"/>
      <c r="O262" s="454"/>
    </row>
    <row r="263" spans="2:15" hidden="1" x14ac:dyDescent="0.25">
      <c r="B263" s="461"/>
      <c r="C263" s="281"/>
      <c r="D263" s="462"/>
      <c r="E263" s="52"/>
      <c r="F263" s="454"/>
      <c r="G263" s="454"/>
      <c r="H263" s="454"/>
      <c r="I263" s="454"/>
      <c r="J263" s="454"/>
      <c r="K263" s="454"/>
      <c r="L263" s="454"/>
      <c r="M263" s="454"/>
      <c r="N263" s="454"/>
      <c r="O263" s="454"/>
    </row>
    <row r="264" spans="2:15" hidden="1" x14ac:dyDescent="0.25">
      <c r="B264" s="461"/>
      <c r="C264" s="281"/>
      <c r="D264" s="462"/>
      <c r="E264" s="52"/>
      <c r="F264" s="454"/>
      <c r="G264" s="454"/>
      <c r="H264" s="454"/>
      <c r="I264" s="454"/>
      <c r="J264" s="454"/>
      <c r="K264" s="454"/>
      <c r="L264" s="454"/>
      <c r="M264" s="454"/>
      <c r="N264" s="454"/>
      <c r="O264" s="454"/>
    </row>
    <row r="265" spans="2:15" hidden="1" x14ac:dyDescent="0.25">
      <c r="B265" s="461"/>
      <c r="C265" s="281"/>
      <c r="D265" s="462"/>
      <c r="E265" s="52"/>
      <c r="F265" s="454"/>
      <c r="G265" s="454"/>
      <c r="H265" s="454"/>
      <c r="I265" s="454"/>
      <c r="J265" s="454"/>
      <c r="K265" s="454"/>
      <c r="L265" s="454"/>
      <c r="M265" s="454"/>
      <c r="N265" s="454"/>
      <c r="O265" s="454"/>
    </row>
    <row r="266" spans="2:15" hidden="1" x14ac:dyDescent="0.25">
      <c r="B266" s="461"/>
      <c r="C266" s="281"/>
      <c r="D266" s="462"/>
      <c r="E266" s="52"/>
      <c r="F266" s="454"/>
      <c r="G266" s="454"/>
      <c r="H266" s="454"/>
      <c r="I266" s="454"/>
      <c r="J266" s="454"/>
      <c r="K266" s="454"/>
      <c r="L266" s="454"/>
      <c r="M266" s="454"/>
      <c r="N266" s="454"/>
      <c r="O266" s="454"/>
    </row>
    <row r="267" spans="2:15" hidden="1" x14ac:dyDescent="0.25">
      <c r="B267" s="461"/>
      <c r="C267" s="280"/>
      <c r="D267" s="462"/>
      <c r="E267" s="52"/>
      <c r="F267" s="454"/>
      <c r="G267" s="454"/>
      <c r="H267" s="454"/>
      <c r="I267" s="454"/>
      <c r="J267" s="454"/>
      <c r="K267" s="454"/>
      <c r="L267" s="454"/>
      <c r="M267" s="454"/>
      <c r="N267" s="454"/>
      <c r="O267" s="454"/>
    </row>
    <row r="268" spans="2:15" hidden="1" x14ac:dyDescent="0.25">
      <c r="B268" s="461"/>
      <c r="C268" s="281"/>
      <c r="D268" s="462"/>
      <c r="E268" s="52"/>
      <c r="F268" s="454"/>
      <c r="G268" s="454"/>
      <c r="H268" s="454"/>
      <c r="I268" s="454"/>
      <c r="J268" s="454"/>
      <c r="K268" s="454"/>
      <c r="L268" s="454"/>
      <c r="M268" s="454"/>
      <c r="N268" s="454"/>
      <c r="O268" s="454"/>
    </row>
    <row r="269" spans="2:15" hidden="1" x14ac:dyDescent="0.25">
      <c r="B269" s="461"/>
      <c r="C269" s="281"/>
      <c r="D269" s="462"/>
      <c r="E269" s="52"/>
      <c r="F269" s="454"/>
      <c r="G269" s="454"/>
      <c r="H269" s="454"/>
      <c r="I269" s="454"/>
      <c r="J269" s="454"/>
      <c r="K269" s="454"/>
      <c r="L269" s="454"/>
      <c r="M269" s="454"/>
      <c r="N269" s="454"/>
      <c r="O269" s="454"/>
    </row>
    <row r="270" spans="2:15" hidden="1" x14ac:dyDescent="0.25">
      <c r="B270" s="461"/>
      <c r="C270" s="281"/>
      <c r="D270" s="462"/>
      <c r="E270" s="52"/>
      <c r="F270" s="454"/>
      <c r="G270" s="454"/>
      <c r="H270" s="454"/>
      <c r="I270" s="454"/>
      <c r="J270" s="454"/>
      <c r="K270" s="454"/>
      <c r="L270" s="454"/>
      <c r="M270" s="454"/>
      <c r="N270" s="454"/>
      <c r="O270" s="454"/>
    </row>
    <row r="271" spans="2:15" hidden="1" x14ac:dyDescent="0.25">
      <c r="B271" s="461"/>
      <c r="C271" s="280"/>
      <c r="D271" s="462"/>
      <c r="E271" s="52"/>
      <c r="F271" s="454"/>
      <c r="G271" s="454"/>
      <c r="H271" s="454"/>
      <c r="I271" s="454"/>
      <c r="J271" s="454"/>
      <c r="K271" s="454"/>
      <c r="L271" s="454"/>
      <c r="M271" s="454"/>
      <c r="N271" s="454"/>
      <c r="O271" s="454"/>
    </row>
    <row r="272" spans="2:15" hidden="1" x14ac:dyDescent="0.25">
      <c r="B272" s="461"/>
      <c r="C272" s="280"/>
      <c r="D272" s="452"/>
      <c r="E272" s="52"/>
      <c r="F272" s="454"/>
      <c r="G272" s="454"/>
      <c r="H272" s="454"/>
      <c r="I272" s="454"/>
      <c r="J272" s="454"/>
      <c r="K272" s="454"/>
      <c r="L272" s="454"/>
      <c r="M272" s="454"/>
      <c r="N272" s="454"/>
      <c r="O272" s="454"/>
    </row>
    <row r="273" spans="2:15" hidden="1" x14ac:dyDescent="0.25">
      <c r="B273" s="461"/>
      <c r="C273" s="280"/>
      <c r="D273" s="452"/>
      <c r="E273" s="53"/>
      <c r="F273" s="454"/>
      <c r="G273" s="454"/>
      <c r="H273" s="454"/>
      <c r="I273" s="454"/>
      <c r="J273" s="454"/>
      <c r="K273" s="454"/>
      <c r="L273" s="454"/>
      <c r="M273" s="454"/>
      <c r="N273" s="454"/>
      <c r="O273" s="454"/>
    </row>
    <row r="274" spans="2:15" ht="14.4" hidden="1" thickBot="1" x14ac:dyDescent="0.3">
      <c r="B274" s="463"/>
      <c r="C274" s="464" t="s">
        <v>251</v>
      </c>
      <c r="D274" s="464"/>
      <c r="E274" s="465"/>
      <c r="F274" s="466">
        <f>SUM(F234:F273)</f>
        <v>15248.668428947018</v>
      </c>
      <c r="G274" s="466">
        <f t="shared" ref="G274:O274" si="39">SUM(G234:G273)</f>
        <v>1900.8271912371874</v>
      </c>
      <c r="H274" s="466">
        <f t="shared" si="39"/>
        <v>0</v>
      </c>
      <c r="I274" s="466">
        <f t="shared" si="39"/>
        <v>17149.495620184207</v>
      </c>
      <c r="J274" s="466">
        <f t="shared" si="39"/>
        <v>6716.7223360416774</v>
      </c>
      <c r="K274" s="466">
        <f t="shared" si="39"/>
        <v>601.93697526111453</v>
      </c>
      <c r="L274" s="466">
        <f t="shared" si="39"/>
        <v>0</v>
      </c>
      <c r="M274" s="466">
        <f t="shared" si="39"/>
        <v>7318.659311302793</v>
      </c>
      <c r="N274" s="466">
        <f t="shared" si="39"/>
        <v>8531.9460929053403</v>
      </c>
      <c r="O274" s="467">
        <f t="shared" si="39"/>
        <v>9830.8363088814131</v>
      </c>
    </row>
    <row r="275" spans="2:15" hidden="1" x14ac:dyDescent="0.25"/>
    <row r="276" spans="2:15" hidden="1" x14ac:dyDescent="0.25">
      <c r="B276" s="858" t="s">
        <v>552</v>
      </c>
      <c r="C276" s="859"/>
      <c r="D276" s="859"/>
      <c r="E276" s="859"/>
      <c r="F276" s="859"/>
      <c r="G276" s="859"/>
      <c r="H276" s="859"/>
      <c r="I276" s="859"/>
      <c r="J276" s="859"/>
      <c r="K276" s="859"/>
      <c r="L276" s="859"/>
      <c r="M276" s="859"/>
      <c r="N276" s="859"/>
      <c r="O276" s="860"/>
    </row>
    <row r="277" spans="2:15" ht="13.95" hidden="1" customHeight="1" x14ac:dyDescent="0.25">
      <c r="B277" s="861" t="s">
        <v>474</v>
      </c>
      <c r="C277" s="863" t="s">
        <v>556</v>
      </c>
      <c r="D277" s="865" t="s">
        <v>557</v>
      </c>
      <c r="E277" s="865" t="s">
        <v>558</v>
      </c>
      <c r="F277" s="865" t="s">
        <v>559</v>
      </c>
      <c r="G277" s="865"/>
      <c r="H277" s="865"/>
      <c r="I277" s="865"/>
      <c r="J277" s="865" t="s">
        <v>560</v>
      </c>
      <c r="K277" s="865"/>
      <c r="L277" s="865"/>
      <c r="M277" s="865"/>
      <c r="N277" s="865" t="s">
        <v>561</v>
      </c>
      <c r="O277" s="867"/>
    </row>
    <row r="278" spans="2:15" ht="55.8" hidden="1" thickBot="1" x14ac:dyDescent="0.3">
      <c r="B278" s="862"/>
      <c r="C278" s="864"/>
      <c r="D278" s="866"/>
      <c r="E278" s="866"/>
      <c r="F278" s="468" t="s">
        <v>562</v>
      </c>
      <c r="G278" s="468" t="s">
        <v>563</v>
      </c>
      <c r="H278" s="468" t="s">
        <v>564</v>
      </c>
      <c r="I278" s="468" t="s">
        <v>565</v>
      </c>
      <c r="J278" s="468" t="s">
        <v>566</v>
      </c>
      <c r="K278" s="468" t="s">
        <v>563</v>
      </c>
      <c r="L278" s="468" t="s">
        <v>567</v>
      </c>
      <c r="M278" s="468" t="s">
        <v>568</v>
      </c>
      <c r="N278" s="468" t="s">
        <v>562</v>
      </c>
      <c r="O278" s="469" t="s">
        <v>565</v>
      </c>
    </row>
    <row r="279" spans="2:15" ht="15.6" hidden="1" x14ac:dyDescent="0.25">
      <c r="B279" s="451">
        <v>1</v>
      </c>
      <c r="C279" s="276" t="s">
        <v>689</v>
      </c>
      <c r="D279" s="452"/>
      <c r="E279" s="453"/>
      <c r="F279" s="454">
        <f>I234</f>
        <v>67.512564908156435</v>
      </c>
      <c r="G279" s="454">
        <f>'[56]GFA &amp; Dep-MYT 5th Control'!$Q$36</f>
        <v>18.354386275997086</v>
      </c>
      <c r="H279" s="454">
        <v>0</v>
      </c>
      <c r="I279" s="454">
        <f>F279+G279-H279</f>
        <v>85.866951184153521</v>
      </c>
      <c r="J279" s="454">
        <f>M234</f>
        <v>6.3582162109090817E-2</v>
      </c>
      <c r="K279" s="454">
        <f>'[56]GFA &amp; Dep-MYT 5th Control'!$I$107</f>
        <v>1.5895540527272684E-2</v>
      </c>
      <c r="L279" s="454">
        <v>0</v>
      </c>
      <c r="M279" s="454">
        <f>J279+K279-L279</f>
        <v>7.9477702636363501E-2</v>
      </c>
      <c r="N279" s="454">
        <f>F279-J279</f>
        <v>67.448982746047349</v>
      </c>
      <c r="O279" s="454">
        <f>I279-M279</f>
        <v>85.787473481517154</v>
      </c>
    </row>
    <row r="280" spans="2:15" ht="15.6" hidden="1" x14ac:dyDescent="0.25">
      <c r="B280" s="451">
        <v>2</v>
      </c>
      <c r="C280" s="276" t="s">
        <v>534</v>
      </c>
      <c r="D280" s="452"/>
      <c r="E280" s="453"/>
      <c r="F280" s="454">
        <f t="shared" ref="F280:F289" si="40">I235</f>
        <v>439.11026143372436</v>
      </c>
      <c r="G280" s="454">
        <f>'[56]GFA &amp; Dep-MYT 5th Control'!$Q$35</f>
        <v>27.118686600176353</v>
      </c>
      <c r="H280" s="454">
        <v>0</v>
      </c>
      <c r="I280" s="454">
        <f t="shared" ref="I280:I289" si="41">F280+G280-H280</f>
        <v>466.22894803390074</v>
      </c>
      <c r="J280" s="454">
        <f t="shared" ref="J280:J289" si="42">M235</f>
        <v>132.16777106335485</v>
      </c>
      <c r="K280" s="454">
        <f>'[56]GFA &amp; Dep-MYT 5th Control'!$I$108</f>
        <v>11.148343188820114</v>
      </c>
      <c r="L280" s="454">
        <v>0</v>
      </c>
      <c r="M280" s="454">
        <f t="shared" ref="M280:M289" si="43">J280+K280-L280</f>
        <v>143.31611425217497</v>
      </c>
      <c r="N280" s="454">
        <f>F280-J280</f>
        <v>306.94249037036951</v>
      </c>
      <c r="O280" s="454">
        <f>I280-M280</f>
        <v>322.91283378172579</v>
      </c>
    </row>
    <row r="281" spans="2:15" ht="15.6" hidden="1" x14ac:dyDescent="0.25">
      <c r="B281" s="470">
        <v>3</v>
      </c>
      <c r="C281" s="279" t="s">
        <v>690</v>
      </c>
      <c r="D281" s="471"/>
      <c r="E281" s="360"/>
      <c r="F281" s="472">
        <f t="shared" si="40"/>
        <v>0</v>
      </c>
      <c r="G281" s="472"/>
      <c r="H281" s="472">
        <v>0</v>
      </c>
      <c r="I281" s="472">
        <f t="shared" si="41"/>
        <v>0</v>
      </c>
      <c r="J281" s="472">
        <f t="shared" si="42"/>
        <v>0</v>
      </c>
      <c r="K281" s="472"/>
      <c r="L281" s="472">
        <v>0</v>
      </c>
      <c r="M281" s="472">
        <f t="shared" si="43"/>
        <v>0</v>
      </c>
      <c r="N281" s="472"/>
      <c r="O281" s="472"/>
    </row>
    <row r="282" spans="2:15" ht="15.6" hidden="1" x14ac:dyDescent="0.25">
      <c r="B282" s="451"/>
      <c r="C282" s="276" t="s">
        <v>691</v>
      </c>
      <c r="D282" s="452"/>
      <c r="E282" s="52"/>
      <c r="F282" s="454">
        <f t="shared" si="40"/>
        <v>7804.7192153097722</v>
      </c>
      <c r="G282" s="454">
        <f>'[56]GFA &amp; Dep-MYT 5th Control'!$Q$31</f>
        <v>946.18981117615272</v>
      </c>
      <c r="H282" s="454">
        <v>0</v>
      </c>
      <c r="I282" s="454">
        <f t="shared" si="41"/>
        <v>8750.9090264859242</v>
      </c>
      <c r="J282" s="454">
        <f t="shared" si="42"/>
        <v>3561.2445586068197</v>
      </c>
      <c r="K282" s="454">
        <f>SUM('[56]GFA &amp; Dep-MYT 5th Control'!$I$113:$I$115)</f>
        <v>346.1396510091987</v>
      </c>
      <c r="L282" s="454">
        <v>0</v>
      </c>
      <c r="M282" s="454">
        <f t="shared" si="43"/>
        <v>3907.3842096160183</v>
      </c>
      <c r="N282" s="454">
        <f>F282-J282</f>
        <v>4243.4746567029524</v>
      </c>
      <c r="O282" s="454">
        <f>I282-M282</f>
        <v>4843.5248168699054</v>
      </c>
    </row>
    <row r="283" spans="2:15" ht="15.6" hidden="1" x14ac:dyDescent="0.25">
      <c r="B283" s="451"/>
      <c r="C283" s="276" t="s">
        <v>692</v>
      </c>
      <c r="D283" s="452"/>
      <c r="E283" s="52"/>
      <c r="F283" s="454">
        <f t="shared" si="40"/>
        <v>7668.4182804354623</v>
      </c>
      <c r="G283" s="454">
        <f>'[56]GFA &amp; Dep-MYT 5th Control'!$Q$32</f>
        <v>1027.7930901302598</v>
      </c>
      <c r="H283" s="454">
        <v>0</v>
      </c>
      <c r="I283" s="454">
        <f t="shared" si="41"/>
        <v>8696.2113705657212</v>
      </c>
      <c r="J283" s="454">
        <f t="shared" si="42"/>
        <v>2838.8762806419904</v>
      </c>
      <c r="K283" s="454">
        <f>SUM('[56]GFA &amp; Dep-MYT 5th Control'!$I$122:$I$124)</f>
        <v>262.34957115511355</v>
      </c>
      <c r="L283" s="454">
        <v>0</v>
      </c>
      <c r="M283" s="454">
        <f t="shared" si="43"/>
        <v>3101.225851797104</v>
      </c>
      <c r="N283" s="454">
        <f>F283-J283</f>
        <v>4829.5419997934714</v>
      </c>
      <c r="O283" s="454">
        <f>I283-M283</f>
        <v>5594.9855187686171</v>
      </c>
    </row>
    <row r="284" spans="2:15" ht="15.6" hidden="1" x14ac:dyDescent="0.25">
      <c r="B284" s="451"/>
      <c r="C284" s="276" t="s">
        <v>693</v>
      </c>
      <c r="D284" s="452"/>
      <c r="E284" s="52"/>
      <c r="F284" s="454">
        <f t="shared" si="40"/>
        <v>794.3659393266563</v>
      </c>
      <c r="G284" s="454">
        <f>'[56]GFA &amp; Dep-MYT 5th Control'!$Q$33</f>
        <v>22.671290758441071</v>
      </c>
      <c r="H284" s="454">
        <v>0</v>
      </c>
      <c r="I284" s="454">
        <f t="shared" si="41"/>
        <v>817.03723008509735</v>
      </c>
      <c r="J284" s="454">
        <f t="shared" si="42"/>
        <v>583.92196331914397</v>
      </c>
      <c r="K284" s="454">
        <f>'[56]GFA &amp; Dep-MYT 5th Control'!$I$119</f>
        <v>36.066859418213774</v>
      </c>
      <c r="L284" s="454">
        <v>0</v>
      </c>
      <c r="M284" s="454">
        <f t="shared" si="43"/>
        <v>619.98882273735774</v>
      </c>
      <c r="N284" s="454">
        <f>F284-J284</f>
        <v>210.44397600751233</v>
      </c>
      <c r="O284" s="454">
        <f t="shared" ref="O284:O289" si="44">I284-M284</f>
        <v>197.04840734773961</v>
      </c>
    </row>
    <row r="285" spans="2:15" ht="15.6" hidden="1" x14ac:dyDescent="0.25">
      <c r="B285" s="451">
        <v>4</v>
      </c>
      <c r="C285" s="279" t="s">
        <v>540</v>
      </c>
      <c r="D285" s="452"/>
      <c r="E285" s="52"/>
      <c r="F285" s="454">
        <f t="shared" si="40"/>
        <v>40.861572924134151</v>
      </c>
      <c r="G285" s="454">
        <f>'[56]GFA &amp; Dep-MYT 5th Control'!$Q$34</f>
        <v>6.1612915360494558</v>
      </c>
      <c r="H285" s="454">
        <v>0</v>
      </c>
      <c r="I285" s="454">
        <f t="shared" si="41"/>
        <v>47.022864460183605</v>
      </c>
      <c r="J285" s="454">
        <f t="shared" si="42"/>
        <v>35.32697879552169</v>
      </c>
      <c r="K285" s="454">
        <f>'[56]GFA &amp; Dep-MYT 5th Control'!$I$128</f>
        <v>2.8404998736158493</v>
      </c>
      <c r="L285" s="454">
        <v>0</v>
      </c>
      <c r="M285" s="454">
        <f t="shared" si="43"/>
        <v>38.167478669137537</v>
      </c>
      <c r="N285" s="454">
        <f t="shared" ref="N285:N289" si="45">F285-J285</f>
        <v>5.5345941286124614</v>
      </c>
      <c r="O285" s="454">
        <f t="shared" si="44"/>
        <v>8.8553857910460678</v>
      </c>
    </row>
    <row r="286" spans="2:15" ht="15.6" hidden="1" x14ac:dyDescent="0.25">
      <c r="B286" s="451">
        <v>5</v>
      </c>
      <c r="C286" s="279" t="s">
        <v>694</v>
      </c>
      <c r="D286" s="452"/>
      <c r="E286" s="52"/>
      <c r="F286" s="454">
        <f t="shared" si="40"/>
        <v>6.2781000000000002</v>
      </c>
      <c r="G286" s="454">
        <v>0</v>
      </c>
      <c r="H286" s="454">
        <v>0</v>
      </c>
      <c r="I286" s="454">
        <f t="shared" si="41"/>
        <v>6.2781000000000002</v>
      </c>
      <c r="J286" s="454">
        <f t="shared" si="42"/>
        <v>5.3320274430199976</v>
      </c>
      <c r="K286" s="454">
        <f>'[56]GFA &amp; Dep-MYT 5th Control'!$I$127</f>
        <v>0.10244127958000249</v>
      </c>
      <c r="L286" s="454">
        <v>0</v>
      </c>
      <c r="M286" s="454">
        <f t="shared" si="43"/>
        <v>5.4344687226000001</v>
      </c>
      <c r="N286" s="454">
        <f t="shared" si="45"/>
        <v>0.94607255698000259</v>
      </c>
      <c r="O286" s="454">
        <f t="shared" si="44"/>
        <v>0.8436312774000001</v>
      </c>
    </row>
    <row r="287" spans="2:15" ht="15.6" hidden="1" x14ac:dyDescent="0.25">
      <c r="B287" s="451">
        <v>6</v>
      </c>
      <c r="C287" s="279" t="s">
        <v>538</v>
      </c>
      <c r="D287" s="452"/>
      <c r="E287" s="52"/>
      <c r="F287" s="454">
        <f t="shared" si="40"/>
        <v>2.7250999999999999</v>
      </c>
      <c r="G287" s="454">
        <v>0</v>
      </c>
      <c r="H287" s="454">
        <v>0</v>
      </c>
      <c r="I287" s="454">
        <f t="shared" si="41"/>
        <v>2.7250999999999999</v>
      </c>
      <c r="J287" s="454">
        <f t="shared" si="42"/>
        <v>2.4513726043000004</v>
      </c>
      <c r="K287" s="454">
        <f>'[56]GFA &amp; Dep-MYT 5th Control'!$I$126</f>
        <v>0</v>
      </c>
      <c r="L287" s="454">
        <v>0</v>
      </c>
      <c r="M287" s="454">
        <f t="shared" si="43"/>
        <v>2.4513726043000004</v>
      </c>
      <c r="N287" s="454">
        <f t="shared" si="45"/>
        <v>0.27372739569999949</v>
      </c>
      <c r="O287" s="454">
        <f t="shared" si="44"/>
        <v>0.27372739569999949</v>
      </c>
    </row>
    <row r="288" spans="2:15" ht="15.6" hidden="1" x14ac:dyDescent="0.25">
      <c r="B288" s="451">
        <v>7</v>
      </c>
      <c r="C288" s="279" t="s">
        <v>695</v>
      </c>
      <c r="D288" s="452"/>
      <c r="E288" s="52"/>
      <c r="F288" s="454">
        <f t="shared" si="40"/>
        <v>290.57658584630133</v>
      </c>
      <c r="G288" s="454">
        <f>'[56]GFA &amp; Dep-MYT 5th Control'!$Q$37</f>
        <v>58.032222743167267</v>
      </c>
      <c r="H288" s="454">
        <v>0</v>
      </c>
      <c r="I288" s="454">
        <f t="shared" si="41"/>
        <v>348.60880858946859</v>
      </c>
      <c r="J288" s="454">
        <f t="shared" si="42"/>
        <v>67.422890060447315</v>
      </c>
      <c r="K288" s="454">
        <v>0</v>
      </c>
      <c r="L288" s="454">
        <v>0</v>
      </c>
      <c r="M288" s="454">
        <f t="shared" si="43"/>
        <v>67.422890060447315</v>
      </c>
      <c r="N288" s="454">
        <f t="shared" si="45"/>
        <v>223.15369578585401</v>
      </c>
      <c r="O288" s="454">
        <f t="shared" si="44"/>
        <v>281.18591852902125</v>
      </c>
    </row>
    <row r="289" spans="2:15" ht="15.6" hidden="1" x14ac:dyDescent="0.25">
      <c r="B289" s="451">
        <v>8</v>
      </c>
      <c r="C289" s="279" t="s">
        <v>696</v>
      </c>
      <c r="D289" s="452"/>
      <c r="E289" s="52"/>
      <c r="F289" s="454">
        <f t="shared" si="40"/>
        <v>34.928000000000004</v>
      </c>
      <c r="G289" s="454">
        <v>0</v>
      </c>
      <c r="H289" s="454">
        <v>0</v>
      </c>
      <c r="I289" s="454">
        <f t="shared" si="41"/>
        <v>34.928000000000004</v>
      </c>
      <c r="J289" s="454">
        <f t="shared" si="42"/>
        <v>91.851886606085657</v>
      </c>
      <c r="K289" s="454">
        <f>'[56]GFA &amp; Dep-MYT 5th Control'!$I$109</f>
        <v>33.078251812423815</v>
      </c>
      <c r="L289" s="454">
        <v>0</v>
      </c>
      <c r="M289" s="454">
        <f t="shared" si="43"/>
        <v>124.93013841850947</v>
      </c>
      <c r="N289" s="454">
        <f t="shared" si="45"/>
        <v>-56.923886606085652</v>
      </c>
      <c r="O289" s="454">
        <f t="shared" si="44"/>
        <v>-90.002138418509475</v>
      </c>
    </row>
    <row r="290" spans="2:15" ht="15.6" hidden="1" x14ac:dyDescent="0.25">
      <c r="B290" s="451"/>
      <c r="C290" s="279"/>
      <c r="D290" s="452"/>
      <c r="E290" s="52"/>
      <c r="F290" s="454"/>
      <c r="G290" s="454"/>
      <c r="H290" s="454"/>
      <c r="I290" s="454"/>
      <c r="J290" s="454"/>
      <c r="K290" s="454"/>
      <c r="L290" s="454"/>
      <c r="M290" s="454"/>
      <c r="N290" s="454"/>
      <c r="O290" s="454"/>
    </row>
    <row r="291" spans="2:15" ht="15.6" hidden="1" x14ac:dyDescent="0.25">
      <c r="B291" s="451"/>
      <c r="C291" s="279"/>
      <c r="D291" s="452"/>
      <c r="E291" s="52"/>
      <c r="F291" s="454"/>
      <c r="G291" s="473"/>
      <c r="H291" s="473"/>
      <c r="I291" s="454"/>
      <c r="J291" s="454"/>
      <c r="K291" s="473"/>
      <c r="L291" s="473"/>
      <c r="M291" s="454"/>
      <c r="N291" s="454"/>
      <c r="O291" s="454"/>
    </row>
    <row r="292" spans="2:15" hidden="1" x14ac:dyDescent="0.25">
      <c r="B292" s="451"/>
      <c r="C292" s="457"/>
      <c r="D292" s="452"/>
      <c r="E292" s="52"/>
      <c r="F292" s="454"/>
      <c r="G292" s="454"/>
      <c r="H292" s="454"/>
      <c r="I292" s="454"/>
      <c r="J292" s="454"/>
      <c r="K292" s="454"/>
      <c r="L292" s="454"/>
      <c r="M292" s="454"/>
      <c r="N292" s="454"/>
      <c r="O292" s="454"/>
    </row>
    <row r="293" spans="2:15" hidden="1" x14ac:dyDescent="0.25">
      <c r="B293" s="451"/>
      <c r="C293" s="457"/>
      <c r="D293" s="452"/>
      <c r="E293" s="52"/>
      <c r="F293" s="454"/>
      <c r="G293" s="454"/>
      <c r="H293" s="454"/>
      <c r="I293" s="454"/>
      <c r="J293" s="454"/>
      <c r="K293" s="454"/>
      <c r="L293" s="454"/>
      <c r="M293" s="454"/>
      <c r="N293" s="454"/>
      <c r="O293" s="454"/>
    </row>
    <row r="294" spans="2:15" hidden="1" x14ac:dyDescent="0.25">
      <c r="B294" s="451"/>
      <c r="C294" s="457"/>
      <c r="D294" s="452"/>
      <c r="E294" s="52"/>
      <c r="F294" s="454"/>
      <c r="G294" s="454"/>
      <c r="H294" s="454"/>
      <c r="I294" s="454"/>
      <c r="J294" s="454"/>
      <c r="K294" s="454"/>
      <c r="L294" s="454"/>
      <c r="M294" s="454"/>
      <c r="N294" s="454"/>
      <c r="O294" s="454"/>
    </row>
    <row r="295" spans="2:15" hidden="1" x14ac:dyDescent="0.25">
      <c r="B295" s="451"/>
      <c r="C295" s="457"/>
      <c r="D295" s="452"/>
      <c r="E295" s="52"/>
      <c r="F295" s="454"/>
      <c r="G295" s="454"/>
      <c r="H295" s="454"/>
      <c r="I295" s="454"/>
      <c r="J295" s="454"/>
      <c r="K295" s="454"/>
      <c r="L295" s="454"/>
      <c r="M295" s="454"/>
      <c r="N295" s="454"/>
      <c r="O295" s="454"/>
    </row>
    <row r="296" spans="2:15" hidden="1" x14ac:dyDescent="0.25">
      <c r="B296" s="451"/>
      <c r="C296" s="458"/>
      <c r="D296" s="452"/>
      <c r="E296" s="52"/>
      <c r="F296" s="454"/>
      <c r="G296" s="454"/>
      <c r="H296" s="454"/>
      <c r="I296" s="454"/>
      <c r="J296" s="454"/>
      <c r="K296" s="454"/>
      <c r="L296" s="454"/>
      <c r="M296" s="454"/>
      <c r="N296" s="454"/>
      <c r="O296" s="454"/>
    </row>
    <row r="297" spans="2:15" hidden="1" x14ac:dyDescent="0.25">
      <c r="B297" s="451"/>
      <c r="C297" s="458"/>
      <c r="D297" s="452"/>
      <c r="E297" s="52"/>
      <c r="F297" s="454"/>
      <c r="G297" s="454"/>
      <c r="H297" s="454"/>
      <c r="I297" s="454"/>
      <c r="J297" s="454"/>
      <c r="K297" s="454"/>
      <c r="L297" s="454"/>
      <c r="M297" s="454"/>
      <c r="N297" s="454"/>
      <c r="O297" s="454"/>
    </row>
    <row r="298" spans="2:15" hidden="1" x14ac:dyDescent="0.25">
      <c r="B298" s="451"/>
      <c r="C298" s="458"/>
      <c r="D298" s="452"/>
      <c r="E298" s="52"/>
      <c r="F298" s="454"/>
      <c r="G298" s="454"/>
      <c r="H298" s="454"/>
      <c r="I298" s="454"/>
      <c r="J298" s="454"/>
      <c r="K298" s="454"/>
      <c r="L298" s="454"/>
      <c r="M298" s="454"/>
      <c r="N298" s="454"/>
      <c r="O298" s="454"/>
    </row>
    <row r="299" spans="2:15" hidden="1" x14ac:dyDescent="0.25">
      <c r="B299" s="451"/>
      <c r="C299" s="457"/>
      <c r="D299" s="452"/>
      <c r="E299" s="52"/>
      <c r="F299" s="454"/>
      <c r="G299" s="454"/>
      <c r="H299" s="454"/>
      <c r="I299" s="454"/>
      <c r="J299" s="454"/>
      <c r="K299" s="454"/>
      <c r="L299" s="454"/>
      <c r="M299" s="454"/>
      <c r="N299" s="454"/>
      <c r="O299" s="454"/>
    </row>
    <row r="300" spans="2:15" hidden="1" x14ac:dyDescent="0.25">
      <c r="B300" s="451"/>
      <c r="C300" s="457"/>
      <c r="D300" s="452"/>
      <c r="E300" s="52"/>
      <c r="F300" s="454"/>
      <c r="G300" s="454"/>
      <c r="H300" s="454"/>
      <c r="I300" s="454"/>
      <c r="J300" s="454"/>
      <c r="K300" s="454"/>
      <c r="L300" s="454"/>
      <c r="M300" s="454"/>
      <c r="N300" s="454"/>
      <c r="O300" s="454"/>
    </row>
    <row r="301" spans="2:15" hidden="1" x14ac:dyDescent="0.25">
      <c r="B301" s="459"/>
      <c r="C301" s="460"/>
      <c r="D301" s="452"/>
      <c r="E301" s="52"/>
      <c r="F301" s="454"/>
      <c r="G301" s="454"/>
      <c r="H301" s="454"/>
      <c r="I301" s="454"/>
      <c r="J301" s="454"/>
      <c r="K301" s="454"/>
      <c r="L301" s="454"/>
      <c r="M301" s="454"/>
      <c r="N301" s="454"/>
      <c r="O301" s="454"/>
    </row>
    <row r="302" spans="2:15" hidden="1" x14ac:dyDescent="0.25">
      <c r="B302" s="461"/>
      <c r="C302" s="280"/>
      <c r="D302" s="462"/>
      <c r="E302" s="52"/>
      <c r="F302" s="454"/>
      <c r="G302" s="454"/>
      <c r="H302" s="454"/>
      <c r="I302" s="454"/>
      <c r="J302" s="454"/>
      <c r="K302" s="454"/>
      <c r="L302" s="454"/>
      <c r="M302" s="454"/>
      <c r="N302" s="454"/>
      <c r="O302" s="454"/>
    </row>
    <row r="303" spans="2:15" hidden="1" x14ac:dyDescent="0.25">
      <c r="B303" s="461"/>
      <c r="C303" s="280"/>
      <c r="D303" s="462"/>
      <c r="E303" s="52"/>
      <c r="F303" s="454"/>
      <c r="G303" s="454"/>
      <c r="H303" s="454"/>
      <c r="I303" s="454"/>
      <c r="J303" s="454"/>
      <c r="K303" s="454"/>
      <c r="L303" s="454"/>
      <c r="M303" s="454"/>
      <c r="N303" s="454"/>
      <c r="O303" s="454"/>
    </row>
    <row r="304" spans="2:15" hidden="1" x14ac:dyDescent="0.25">
      <c r="B304" s="461"/>
      <c r="C304" s="280"/>
      <c r="D304" s="462"/>
      <c r="E304" s="52"/>
      <c r="F304" s="454"/>
      <c r="G304" s="454"/>
      <c r="H304" s="454"/>
      <c r="I304" s="454"/>
      <c r="J304" s="454"/>
      <c r="K304" s="454"/>
      <c r="L304" s="454"/>
      <c r="M304" s="454"/>
      <c r="N304" s="454"/>
      <c r="O304" s="454"/>
    </row>
    <row r="305" spans="2:15" hidden="1" x14ac:dyDescent="0.25">
      <c r="B305" s="461"/>
      <c r="C305" s="281"/>
      <c r="D305" s="462"/>
      <c r="E305" s="52"/>
      <c r="F305" s="454"/>
      <c r="G305" s="454"/>
      <c r="H305" s="454"/>
      <c r="I305" s="454"/>
      <c r="J305" s="454"/>
      <c r="K305" s="454"/>
      <c r="L305" s="454"/>
      <c r="M305" s="454"/>
      <c r="N305" s="454"/>
      <c r="O305" s="454"/>
    </row>
    <row r="306" spans="2:15" hidden="1" x14ac:dyDescent="0.25">
      <c r="B306" s="461"/>
      <c r="C306" s="281"/>
      <c r="D306" s="462"/>
      <c r="E306" s="52"/>
      <c r="F306" s="454"/>
      <c r="G306" s="454"/>
      <c r="H306" s="454"/>
      <c r="I306" s="454"/>
      <c r="J306" s="454"/>
      <c r="K306" s="454"/>
      <c r="L306" s="454"/>
      <c r="M306" s="454"/>
      <c r="N306" s="454"/>
      <c r="O306" s="454"/>
    </row>
    <row r="307" spans="2:15" hidden="1" x14ac:dyDescent="0.25">
      <c r="B307" s="461"/>
      <c r="C307" s="281"/>
      <c r="D307" s="462"/>
      <c r="E307" s="52"/>
      <c r="F307" s="454"/>
      <c r="G307" s="454"/>
      <c r="H307" s="454"/>
      <c r="I307" s="454"/>
      <c r="J307" s="454"/>
      <c r="K307" s="454"/>
      <c r="L307" s="454"/>
      <c r="M307" s="454"/>
      <c r="N307" s="454"/>
      <c r="O307" s="454"/>
    </row>
    <row r="308" spans="2:15" hidden="1" x14ac:dyDescent="0.25">
      <c r="B308" s="461"/>
      <c r="C308" s="281"/>
      <c r="D308" s="462"/>
      <c r="E308" s="52"/>
      <c r="F308" s="454"/>
      <c r="G308" s="454"/>
      <c r="H308" s="454"/>
      <c r="I308" s="454"/>
      <c r="J308" s="454"/>
      <c r="K308" s="454"/>
      <c r="L308" s="454"/>
      <c r="M308" s="454"/>
      <c r="N308" s="454"/>
      <c r="O308" s="454"/>
    </row>
    <row r="309" spans="2:15" hidden="1" x14ac:dyDescent="0.25">
      <c r="B309" s="461"/>
      <c r="C309" s="281"/>
      <c r="D309" s="462"/>
      <c r="E309" s="52"/>
      <c r="F309" s="454"/>
      <c r="G309" s="454"/>
      <c r="H309" s="454"/>
      <c r="I309" s="454"/>
      <c r="J309" s="454"/>
      <c r="K309" s="454"/>
      <c r="L309" s="454"/>
      <c r="M309" s="454"/>
      <c r="N309" s="454"/>
      <c r="O309" s="454"/>
    </row>
    <row r="310" spans="2:15" hidden="1" x14ac:dyDescent="0.25">
      <c r="B310" s="461"/>
      <c r="C310" s="281"/>
      <c r="D310" s="462"/>
      <c r="E310" s="52"/>
      <c r="F310" s="454"/>
      <c r="G310" s="454"/>
      <c r="H310" s="454"/>
      <c r="I310" s="454"/>
      <c r="J310" s="454"/>
      <c r="K310" s="454"/>
      <c r="L310" s="454"/>
      <c r="M310" s="454"/>
      <c r="N310" s="454"/>
      <c r="O310" s="454"/>
    </row>
    <row r="311" spans="2:15" hidden="1" x14ac:dyDescent="0.25">
      <c r="B311" s="461"/>
      <c r="C311" s="281"/>
      <c r="D311" s="462"/>
      <c r="E311" s="52"/>
      <c r="F311" s="454"/>
      <c r="G311" s="454"/>
      <c r="H311" s="454"/>
      <c r="I311" s="454"/>
      <c r="J311" s="454"/>
      <c r="K311" s="454"/>
      <c r="L311" s="454"/>
      <c r="M311" s="454"/>
      <c r="N311" s="454"/>
      <c r="O311" s="454"/>
    </row>
    <row r="312" spans="2:15" hidden="1" x14ac:dyDescent="0.25">
      <c r="B312" s="461"/>
      <c r="C312" s="280"/>
      <c r="D312" s="462"/>
      <c r="E312" s="52"/>
      <c r="F312" s="454"/>
      <c r="G312" s="454"/>
      <c r="H312" s="454"/>
      <c r="I312" s="454"/>
      <c r="J312" s="454"/>
      <c r="K312" s="454"/>
      <c r="L312" s="454"/>
      <c r="M312" s="454"/>
      <c r="N312" s="454"/>
      <c r="O312" s="454"/>
    </row>
    <row r="313" spans="2:15" hidden="1" x14ac:dyDescent="0.25">
      <c r="B313" s="461"/>
      <c r="C313" s="281"/>
      <c r="D313" s="462"/>
      <c r="E313" s="52"/>
      <c r="F313" s="454"/>
      <c r="G313" s="454"/>
      <c r="H313" s="454"/>
      <c r="I313" s="454"/>
      <c r="J313" s="454"/>
      <c r="K313" s="454"/>
      <c r="L313" s="454"/>
      <c r="M313" s="454"/>
      <c r="N313" s="454"/>
      <c r="O313" s="454"/>
    </row>
    <row r="314" spans="2:15" hidden="1" x14ac:dyDescent="0.25">
      <c r="B314" s="461"/>
      <c r="C314" s="281"/>
      <c r="D314" s="462"/>
      <c r="E314" s="52"/>
      <c r="F314" s="454"/>
      <c r="G314" s="454"/>
      <c r="H314" s="454"/>
      <c r="I314" s="454"/>
      <c r="J314" s="454"/>
      <c r="K314" s="454"/>
      <c r="L314" s="454"/>
      <c r="M314" s="454"/>
      <c r="N314" s="454"/>
      <c r="O314" s="454"/>
    </row>
    <row r="315" spans="2:15" hidden="1" x14ac:dyDescent="0.25">
      <c r="B315" s="461"/>
      <c r="C315" s="281"/>
      <c r="D315" s="462"/>
      <c r="E315" s="52"/>
      <c r="F315" s="454"/>
      <c r="G315" s="454"/>
      <c r="H315" s="454"/>
      <c r="I315" s="454"/>
      <c r="J315" s="454"/>
      <c r="K315" s="454"/>
      <c r="L315" s="454"/>
      <c r="M315" s="454"/>
      <c r="N315" s="454"/>
      <c r="O315" s="454"/>
    </row>
    <row r="316" spans="2:15" hidden="1" x14ac:dyDescent="0.25">
      <c r="B316" s="461"/>
      <c r="C316" s="280"/>
      <c r="D316" s="462"/>
      <c r="E316" s="52"/>
      <c r="F316" s="454"/>
      <c r="G316" s="454"/>
      <c r="H316" s="454"/>
      <c r="I316" s="454"/>
      <c r="J316" s="454"/>
      <c r="K316" s="454"/>
      <c r="L316" s="454"/>
      <c r="M316" s="454"/>
      <c r="N316" s="454"/>
      <c r="O316" s="454"/>
    </row>
    <row r="317" spans="2:15" hidden="1" x14ac:dyDescent="0.25">
      <c r="B317" s="461"/>
      <c r="C317" s="280"/>
      <c r="D317" s="452"/>
      <c r="E317" s="52"/>
      <c r="F317" s="454"/>
      <c r="G317" s="454"/>
      <c r="H317" s="454"/>
      <c r="I317" s="454"/>
      <c r="J317" s="454"/>
      <c r="K317" s="454"/>
      <c r="L317" s="454"/>
      <c r="M317" s="454"/>
      <c r="N317" s="454"/>
      <c r="O317" s="454"/>
    </row>
    <row r="318" spans="2:15" hidden="1" x14ac:dyDescent="0.25">
      <c r="B318" s="461"/>
      <c r="C318" s="280"/>
      <c r="D318" s="452"/>
      <c r="E318" s="53"/>
      <c r="F318" s="454"/>
      <c r="G318" s="454"/>
      <c r="H318" s="454"/>
      <c r="I318" s="454"/>
      <c r="J318" s="454"/>
      <c r="K318" s="454"/>
      <c r="L318" s="454"/>
      <c r="M318" s="454"/>
      <c r="N318" s="454"/>
      <c r="O318" s="454"/>
    </row>
    <row r="319" spans="2:15" ht="14.4" hidden="1" thickBot="1" x14ac:dyDescent="0.3">
      <c r="B319" s="463"/>
      <c r="C319" s="464" t="s">
        <v>251</v>
      </c>
      <c r="D319" s="464"/>
      <c r="E319" s="465"/>
      <c r="F319" s="466">
        <f>SUM(F279:F318)</f>
        <v>17149.495620184207</v>
      </c>
      <c r="G319" s="466">
        <f t="shared" ref="G319:O319" si="46">SUM(G279:G318)</f>
        <v>2106.3207792202438</v>
      </c>
      <c r="H319" s="466">
        <f t="shared" si="46"/>
        <v>0</v>
      </c>
      <c r="I319" s="466">
        <f t="shared" si="46"/>
        <v>19255.816399404452</v>
      </c>
      <c r="J319" s="466">
        <f t="shared" si="46"/>
        <v>7318.659311302793</v>
      </c>
      <c r="K319" s="466">
        <f t="shared" si="46"/>
        <v>691.74151327749314</v>
      </c>
      <c r="L319" s="466">
        <f t="shared" si="46"/>
        <v>0</v>
      </c>
      <c r="M319" s="466">
        <f t="shared" si="46"/>
        <v>8010.4008245802852</v>
      </c>
      <c r="N319" s="466">
        <f t="shared" si="46"/>
        <v>9830.8363088814131</v>
      </c>
      <c r="O319" s="467">
        <f t="shared" si="46"/>
        <v>11245.415574824163</v>
      </c>
    </row>
    <row r="321" spans="2:15" x14ac:dyDescent="0.25">
      <c r="B321" s="22" t="s">
        <v>697</v>
      </c>
      <c r="H321" s="440"/>
      <c r="I321" s="440"/>
    </row>
    <row r="322" spans="2:15" x14ac:dyDescent="0.25">
      <c r="K322" s="440"/>
      <c r="O322" s="22" t="s">
        <v>3</v>
      </c>
    </row>
    <row r="323" spans="2:15" hidden="1" x14ac:dyDescent="0.25">
      <c r="B323" s="858" t="s">
        <v>7</v>
      </c>
      <c r="C323" s="859"/>
      <c r="D323" s="859"/>
      <c r="E323" s="859"/>
      <c r="F323" s="859"/>
      <c r="G323" s="859"/>
      <c r="H323" s="859"/>
      <c r="I323" s="859"/>
      <c r="J323" s="859"/>
      <c r="K323" s="859"/>
      <c r="L323" s="859"/>
      <c r="M323" s="859"/>
      <c r="N323" s="859"/>
      <c r="O323" s="860"/>
    </row>
    <row r="324" spans="2:15" ht="14.25" hidden="1" customHeight="1" x14ac:dyDescent="0.25">
      <c r="B324" s="861" t="s">
        <v>474</v>
      </c>
      <c r="C324" s="863" t="s">
        <v>556</v>
      </c>
      <c r="D324" s="865" t="s">
        <v>557</v>
      </c>
      <c r="E324" s="865" t="s">
        <v>558</v>
      </c>
      <c r="F324" s="865" t="s">
        <v>559</v>
      </c>
      <c r="G324" s="865"/>
      <c r="H324" s="865"/>
      <c r="I324" s="865"/>
      <c r="J324" s="865" t="s">
        <v>560</v>
      </c>
      <c r="K324" s="865"/>
      <c r="L324" s="865"/>
      <c r="M324" s="865"/>
      <c r="N324" s="865" t="s">
        <v>561</v>
      </c>
      <c r="O324" s="867"/>
    </row>
    <row r="325" spans="2:15" ht="55.8" hidden="1" thickBot="1" x14ac:dyDescent="0.3">
      <c r="B325" s="862"/>
      <c r="C325" s="864"/>
      <c r="D325" s="866"/>
      <c r="E325" s="866"/>
      <c r="F325" s="468" t="s">
        <v>562</v>
      </c>
      <c r="G325" s="468" t="s">
        <v>563</v>
      </c>
      <c r="H325" s="468" t="s">
        <v>564</v>
      </c>
      <c r="I325" s="468" t="s">
        <v>565</v>
      </c>
      <c r="J325" s="468" t="s">
        <v>566</v>
      </c>
      <c r="K325" s="468" t="s">
        <v>563</v>
      </c>
      <c r="L325" s="468" t="s">
        <v>567</v>
      </c>
      <c r="M325" s="468" t="s">
        <v>568</v>
      </c>
      <c r="N325" s="468" t="s">
        <v>562</v>
      </c>
      <c r="O325" s="469" t="s">
        <v>565</v>
      </c>
    </row>
    <row r="326" spans="2:15" ht="15.6" hidden="1" x14ac:dyDescent="0.25">
      <c r="B326" s="451">
        <v>1</v>
      </c>
      <c r="C326" s="276" t="s">
        <v>689</v>
      </c>
      <c r="D326" s="452"/>
      <c r="E326" s="453"/>
      <c r="F326" s="454">
        <f>F9*0.9</f>
        <v>1.5740054396999998</v>
      </c>
      <c r="G326" s="454">
        <f>G9*0.9</f>
        <v>2.9007000000000002E-4</v>
      </c>
      <c r="H326" s="454">
        <f>H9*0.9</f>
        <v>0</v>
      </c>
      <c r="I326" s="454">
        <f>F326+G326-H326</f>
        <v>1.5742955096999998</v>
      </c>
      <c r="J326" s="454">
        <f t="shared" ref="J326:L327" si="47">J9*0.9</f>
        <v>0</v>
      </c>
      <c r="K326" s="454">
        <f t="shared" si="47"/>
        <v>0</v>
      </c>
      <c r="L326" s="454">
        <f t="shared" si="47"/>
        <v>0</v>
      </c>
      <c r="M326" s="454">
        <f>J326+K326-L326</f>
        <v>0</v>
      </c>
      <c r="N326" s="454">
        <f>F326-J326</f>
        <v>1.5740054396999998</v>
      </c>
      <c r="O326" s="454">
        <f>I326-M326</f>
        <v>1.5742955096999998</v>
      </c>
    </row>
    <row r="327" spans="2:15" ht="15.6" hidden="1" x14ac:dyDescent="0.25">
      <c r="B327" s="451">
        <v>2</v>
      </c>
      <c r="C327" s="276" t="s">
        <v>534</v>
      </c>
      <c r="D327" s="452"/>
      <c r="E327" s="453"/>
      <c r="F327" s="454">
        <f t="shared" ref="F327:H336" si="48">F10*0.9</f>
        <v>293.90716245150003</v>
      </c>
      <c r="G327" s="454">
        <f t="shared" si="48"/>
        <v>13.846363290899999</v>
      </c>
      <c r="H327" s="454">
        <f t="shared" si="48"/>
        <v>3.4070607000000002E-3</v>
      </c>
      <c r="I327" s="454">
        <f>F327+G327-H327</f>
        <v>307.75011868170003</v>
      </c>
      <c r="J327" s="454">
        <f t="shared" si="47"/>
        <v>60.388834298400006</v>
      </c>
      <c r="K327" s="454">
        <f t="shared" si="47"/>
        <v>9.8652952052999989</v>
      </c>
      <c r="L327" s="454">
        <f t="shared" si="47"/>
        <v>8.3653379999999993E-4</v>
      </c>
      <c r="M327" s="454">
        <f>J327+K327-L327</f>
        <v>70.253292969900002</v>
      </c>
      <c r="N327" s="454">
        <f>F327-J327</f>
        <v>233.51832815310001</v>
      </c>
      <c r="O327" s="454">
        <f>I327-M327</f>
        <v>237.49682571180003</v>
      </c>
    </row>
    <row r="328" spans="2:15" ht="15.6" hidden="1" x14ac:dyDescent="0.25">
      <c r="B328" s="470">
        <v>3</v>
      </c>
      <c r="C328" s="279" t="s">
        <v>690</v>
      </c>
      <c r="D328" s="471"/>
      <c r="E328" s="360"/>
      <c r="F328" s="472"/>
      <c r="G328" s="472"/>
      <c r="H328" s="472"/>
      <c r="I328" s="472"/>
      <c r="J328" s="472"/>
      <c r="K328" s="472"/>
      <c r="L328" s="472"/>
      <c r="M328" s="472"/>
      <c r="N328" s="472"/>
      <c r="O328" s="472"/>
    </row>
    <row r="329" spans="2:15" ht="15.6" hidden="1" x14ac:dyDescent="0.25">
      <c r="B329" s="451"/>
      <c r="C329" s="276" t="s">
        <v>691</v>
      </c>
      <c r="D329" s="452"/>
      <c r="E329" s="52"/>
      <c r="F329" s="454">
        <f t="shared" si="48"/>
        <v>3784.8710137167004</v>
      </c>
      <c r="G329" s="454">
        <f t="shared" si="48"/>
        <v>190.43247111210002</v>
      </c>
      <c r="H329" s="454">
        <f t="shared" si="48"/>
        <v>2.2158415934999995</v>
      </c>
      <c r="I329" s="454">
        <f t="shared" ref="I329:I336" si="49">F329+G329-H329</f>
        <v>3973.0876432353002</v>
      </c>
      <c r="J329" s="454">
        <f t="shared" ref="J329:L336" si="50">J12*0.9</f>
        <v>1971.5601761973001</v>
      </c>
      <c r="K329" s="454">
        <f t="shared" si="50"/>
        <v>149.19102000000001</v>
      </c>
      <c r="L329" s="454">
        <f t="shared" si="50"/>
        <v>1.6151021505000001</v>
      </c>
      <c r="M329" s="454">
        <f t="shared" ref="M329:M336" si="51">J329+K329-L329</f>
        <v>2119.1360940467998</v>
      </c>
      <c r="N329" s="454">
        <f t="shared" ref="N329:N336" si="52">F329-J329</f>
        <v>1813.3108375194004</v>
      </c>
      <c r="O329" s="454">
        <f t="shared" ref="O329:O336" si="53">I329-M329</f>
        <v>1853.9515491885004</v>
      </c>
    </row>
    <row r="330" spans="2:15" ht="15.6" hidden="1" x14ac:dyDescent="0.25">
      <c r="B330" s="451"/>
      <c r="C330" s="276" t="s">
        <v>692</v>
      </c>
      <c r="D330" s="452"/>
      <c r="E330" s="52"/>
      <c r="F330" s="454">
        <f t="shared" si="48"/>
        <v>3331.976866604999</v>
      </c>
      <c r="G330" s="454">
        <f t="shared" si="48"/>
        <v>255.61181060189998</v>
      </c>
      <c r="H330" s="454">
        <f t="shared" si="48"/>
        <v>0.31638389220000002</v>
      </c>
      <c r="I330" s="454">
        <f t="shared" si="49"/>
        <v>3587.2722933146988</v>
      </c>
      <c r="J330" s="454">
        <f t="shared" si="50"/>
        <v>1658.0519637533998</v>
      </c>
      <c r="K330" s="454">
        <f t="shared" si="50"/>
        <v>125.52993000000001</v>
      </c>
      <c r="L330" s="454">
        <f t="shared" si="50"/>
        <v>3.2651729999999997E-2</v>
      </c>
      <c r="M330" s="454">
        <f t="shared" si="51"/>
        <v>1783.5492420233998</v>
      </c>
      <c r="N330" s="454">
        <f t="shared" si="52"/>
        <v>1673.9249028515992</v>
      </c>
      <c r="O330" s="454">
        <f t="shared" si="53"/>
        <v>1803.723051291299</v>
      </c>
    </row>
    <row r="331" spans="2:15" ht="15.6" hidden="1" x14ac:dyDescent="0.25">
      <c r="B331" s="451"/>
      <c r="C331" s="276" t="s">
        <v>693</v>
      </c>
      <c r="D331" s="452"/>
      <c r="E331" s="52"/>
      <c r="F331" s="454">
        <f t="shared" si="48"/>
        <v>612.84397617089996</v>
      </c>
      <c r="G331" s="454">
        <f t="shared" si="48"/>
        <v>38.968912891800002</v>
      </c>
      <c r="H331" s="454">
        <f t="shared" si="48"/>
        <v>9.9911854745999999</v>
      </c>
      <c r="I331" s="454">
        <f t="shared" si="49"/>
        <v>641.82170358809992</v>
      </c>
      <c r="J331" s="454">
        <f t="shared" si="50"/>
        <v>367.36648639740002</v>
      </c>
      <c r="K331" s="454">
        <f t="shared" si="50"/>
        <v>19.306625432400004</v>
      </c>
      <c r="L331" s="454">
        <f t="shared" si="50"/>
        <v>8.0115856200000017</v>
      </c>
      <c r="M331" s="454">
        <f t="shared" si="51"/>
        <v>378.6615262098</v>
      </c>
      <c r="N331" s="454">
        <f t="shared" si="52"/>
        <v>245.47748977349994</v>
      </c>
      <c r="O331" s="454">
        <f t="shared" si="53"/>
        <v>263.16017737829992</v>
      </c>
    </row>
    <row r="332" spans="2:15" ht="15.6" hidden="1" x14ac:dyDescent="0.25">
      <c r="B332" s="451">
        <v>4</v>
      </c>
      <c r="C332" s="279" t="s">
        <v>540</v>
      </c>
      <c r="D332" s="452"/>
      <c r="E332" s="52"/>
      <c r="F332" s="454">
        <f t="shared" si="48"/>
        <v>16.125856285499999</v>
      </c>
      <c r="G332" s="454">
        <f t="shared" si="48"/>
        <v>1.74769632</v>
      </c>
      <c r="H332" s="454">
        <f t="shared" si="48"/>
        <v>0</v>
      </c>
      <c r="I332" s="454">
        <f t="shared" si="49"/>
        <v>17.873552605499999</v>
      </c>
      <c r="J332" s="454">
        <f t="shared" si="50"/>
        <v>7.8771540600000005</v>
      </c>
      <c r="K332" s="454">
        <f t="shared" si="50"/>
        <v>0.90881802540000012</v>
      </c>
      <c r="L332" s="454">
        <f t="shared" si="50"/>
        <v>0</v>
      </c>
      <c r="M332" s="454">
        <f t="shared" si="51"/>
        <v>8.785972085400001</v>
      </c>
      <c r="N332" s="454">
        <f t="shared" si="52"/>
        <v>8.2487022254999989</v>
      </c>
      <c r="O332" s="454">
        <f t="shared" si="53"/>
        <v>9.0875805200999977</v>
      </c>
    </row>
    <row r="333" spans="2:15" ht="15.6" hidden="1" x14ac:dyDescent="0.25">
      <c r="B333" s="451">
        <v>5</v>
      </c>
      <c r="C333" s="279" t="s">
        <v>694</v>
      </c>
      <c r="D333" s="452"/>
      <c r="E333" s="52"/>
      <c r="F333" s="454">
        <f t="shared" si="48"/>
        <v>4.6129162905000003</v>
      </c>
      <c r="G333" s="454">
        <f t="shared" si="48"/>
        <v>7.1002170000000003E-2</v>
      </c>
      <c r="H333" s="454">
        <f t="shared" si="48"/>
        <v>0</v>
      </c>
      <c r="I333" s="454">
        <f t="shared" si="49"/>
        <v>4.6839184605000002</v>
      </c>
      <c r="J333" s="454">
        <f t="shared" si="50"/>
        <v>3.3700342499999998</v>
      </c>
      <c r="K333" s="454">
        <f t="shared" si="50"/>
        <v>8.7840000000000001E-2</v>
      </c>
      <c r="L333" s="454">
        <f t="shared" si="50"/>
        <v>0</v>
      </c>
      <c r="M333" s="454">
        <f t="shared" si="51"/>
        <v>3.4578742499999997</v>
      </c>
      <c r="N333" s="454">
        <f t="shared" si="52"/>
        <v>1.2428820405000005</v>
      </c>
      <c r="O333" s="454">
        <f t="shared" si="53"/>
        <v>1.2260442105000005</v>
      </c>
    </row>
    <row r="334" spans="2:15" ht="15.6" hidden="1" x14ac:dyDescent="0.25">
      <c r="B334" s="451">
        <v>6</v>
      </c>
      <c r="C334" s="279" t="s">
        <v>538</v>
      </c>
      <c r="D334" s="452"/>
      <c r="E334" s="52"/>
      <c r="F334" s="454">
        <f t="shared" si="48"/>
        <v>2.5227189935999994</v>
      </c>
      <c r="G334" s="454">
        <f t="shared" si="48"/>
        <v>0</v>
      </c>
      <c r="H334" s="454">
        <f t="shared" si="48"/>
        <v>7.0089750000000006E-2</v>
      </c>
      <c r="I334" s="454">
        <f t="shared" si="49"/>
        <v>2.4526292435999992</v>
      </c>
      <c r="J334" s="454">
        <f t="shared" si="50"/>
        <v>2.2477140900000001</v>
      </c>
      <c r="K334" s="454">
        <f t="shared" si="50"/>
        <v>2.1330000000000002E-2</v>
      </c>
      <c r="L334" s="454">
        <f t="shared" si="50"/>
        <v>6.308082000000001E-2</v>
      </c>
      <c r="M334" s="454">
        <f t="shared" si="51"/>
        <v>2.2059632699999998</v>
      </c>
      <c r="N334" s="454">
        <f t="shared" si="52"/>
        <v>0.2750049035999993</v>
      </c>
      <c r="O334" s="454">
        <f t="shared" si="53"/>
        <v>0.24666597359999942</v>
      </c>
    </row>
    <row r="335" spans="2:15" ht="15.6" hidden="1" x14ac:dyDescent="0.25">
      <c r="B335" s="451">
        <v>7</v>
      </c>
      <c r="C335" s="279" t="s">
        <v>695</v>
      </c>
      <c r="D335" s="452"/>
      <c r="E335" s="52"/>
      <c r="F335" s="454">
        <f t="shared" si="48"/>
        <v>70.010697309299999</v>
      </c>
      <c r="G335" s="454">
        <f t="shared" si="48"/>
        <v>4.3861499999999998</v>
      </c>
      <c r="H335" s="454">
        <f t="shared" si="48"/>
        <v>1.3265639999999999E-2</v>
      </c>
      <c r="I335" s="454">
        <f t="shared" si="49"/>
        <v>74.3835816693</v>
      </c>
      <c r="J335" s="454">
        <f t="shared" si="50"/>
        <v>50.276682719999997</v>
      </c>
      <c r="K335" s="454">
        <f t="shared" si="50"/>
        <v>6.9110999999999994</v>
      </c>
      <c r="L335" s="454">
        <f t="shared" si="50"/>
        <v>1.3265639999999999E-2</v>
      </c>
      <c r="M335" s="454">
        <f t="shared" si="51"/>
        <v>57.174517079999994</v>
      </c>
      <c r="N335" s="454">
        <f t="shared" si="52"/>
        <v>19.734014589300003</v>
      </c>
      <c r="O335" s="454">
        <f t="shared" si="53"/>
        <v>17.209064589300006</v>
      </c>
    </row>
    <row r="336" spans="2:15" ht="15.6" hidden="1" x14ac:dyDescent="0.25">
      <c r="B336" s="451">
        <v>8</v>
      </c>
      <c r="C336" s="279" t="s">
        <v>696</v>
      </c>
      <c r="D336" s="452"/>
      <c r="E336" s="52"/>
      <c r="F336" s="454">
        <f t="shared" si="48"/>
        <v>30.824430480000004</v>
      </c>
      <c r="G336" s="454">
        <f t="shared" si="48"/>
        <v>0.6107748408</v>
      </c>
      <c r="H336" s="454">
        <f t="shared" si="48"/>
        <v>0</v>
      </c>
      <c r="I336" s="454">
        <f t="shared" si="49"/>
        <v>31.435205320800005</v>
      </c>
      <c r="J336" s="454">
        <f t="shared" si="50"/>
        <v>21.816183240000001</v>
      </c>
      <c r="K336" s="454">
        <f t="shared" si="50"/>
        <v>2.1746361959999998</v>
      </c>
      <c r="L336" s="454">
        <f t="shared" si="50"/>
        <v>0</v>
      </c>
      <c r="M336" s="454">
        <f t="shared" si="51"/>
        <v>23.990819436000002</v>
      </c>
      <c r="N336" s="454">
        <f t="shared" si="52"/>
        <v>9.0082472400000029</v>
      </c>
      <c r="O336" s="454">
        <f t="shared" si="53"/>
        <v>7.4443858848000026</v>
      </c>
    </row>
    <row r="337" spans="2:15" hidden="1" x14ac:dyDescent="0.25">
      <c r="B337" s="451"/>
      <c r="C337" s="457"/>
      <c r="D337" s="452"/>
      <c r="E337" s="52"/>
      <c r="F337" s="454"/>
      <c r="G337" s="454"/>
      <c r="H337" s="454"/>
      <c r="I337" s="454"/>
      <c r="J337" s="454"/>
      <c r="K337" s="454"/>
      <c r="L337" s="454"/>
      <c r="M337" s="454"/>
      <c r="N337" s="454"/>
      <c r="O337" s="454"/>
    </row>
    <row r="338" spans="2:15" hidden="1" x14ac:dyDescent="0.25">
      <c r="B338" s="451"/>
      <c r="C338" s="458"/>
      <c r="D338" s="452"/>
      <c r="E338" s="52"/>
      <c r="F338" s="454"/>
      <c r="G338" s="454"/>
      <c r="H338" s="454"/>
      <c r="I338" s="454"/>
      <c r="J338" s="454"/>
      <c r="K338" s="454"/>
      <c r="L338" s="454"/>
      <c r="M338" s="454"/>
      <c r="N338" s="454"/>
      <c r="O338" s="454"/>
    </row>
    <row r="339" spans="2:15" hidden="1" x14ac:dyDescent="0.25">
      <c r="B339" s="451"/>
      <c r="C339" s="457"/>
      <c r="D339" s="452"/>
      <c r="E339" s="52"/>
      <c r="F339" s="454"/>
      <c r="G339" s="454"/>
      <c r="H339" s="454"/>
      <c r="I339" s="454"/>
      <c r="J339" s="454"/>
      <c r="K339" s="454"/>
      <c r="L339" s="454"/>
      <c r="M339" s="454"/>
      <c r="N339" s="454"/>
      <c r="O339" s="454"/>
    </row>
    <row r="340" spans="2:15" hidden="1" x14ac:dyDescent="0.25">
      <c r="B340" s="451"/>
      <c r="C340" s="457"/>
      <c r="D340" s="452"/>
      <c r="E340" s="52"/>
      <c r="F340" s="454"/>
      <c r="G340" s="454"/>
      <c r="H340" s="454"/>
      <c r="I340" s="454"/>
      <c r="J340" s="454"/>
      <c r="K340" s="454"/>
      <c r="L340" s="454"/>
      <c r="M340" s="454"/>
      <c r="N340" s="454"/>
      <c r="O340" s="454"/>
    </row>
    <row r="341" spans="2:15" hidden="1" x14ac:dyDescent="0.25">
      <c r="B341" s="451"/>
      <c r="C341" s="457"/>
      <c r="D341" s="452"/>
      <c r="E341" s="52"/>
      <c r="F341" s="454"/>
      <c r="G341" s="454"/>
      <c r="H341" s="454"/>
      <c r="I341" s="454"/>
      <c r="J341" s="454"/>
      <c r="K341" s="454"/>
      <c r="L341" s="454"/>
      <c r="M341" s="454"/>
      <c r="N341" s="454"/>
      <c r="O341" s="454"/>
    </row>
    <row r="342" spans="2:15" hidden="1" x14ac:dyDescent="0.25">
      <c r="B342" s="451"/>
      <c r="C342" s="457"/>
      <c r="D342" s="452"/>
      <c r="E342" s="52"/>
      <c r="F342" s="454"/>
      <c r="G342" s="454"/>
      <c r="H342" s="454"/>
      <c r="I342" s="454"/>
      <c r="J342" s="454"/>
      <c r="K342" s="454"/>
      <c r="L342" s="454"/>
      <c r="M342" s="454"/>
      <c r="N342" s="454"/>
      <c r="O342" s="454"/>
    </row>
    <row r="343" spans="2:15" hidden="1" x14ac:dyDescent="0.25">
      <c r="B343" s="451"/>
      <c r="C343" s="458"/>
      <c r="D343" s="452"/>
      <c r="E343" s="52"/>
      <c r="F343" s="454"/>
      <c r="G343" s="454"/>
      <c r="H343" s="454"/>
      <c r="I343" s="454"/>
      <c r="J343" s="454"/>
      <c r="K343" s="454"/>
      <c r="L343" s="454"/>
      <c r="M343" s="454"/>
      <c r="N343" s="454"/>
      <c r="O343" s="454"/>
    </row>
    <row r="344" spans="2:15" hidden="1" x14ac:dyDescent="0.25">
      <c r="B344" s="451"/>
      <c r="C344" s="458"/>
      <c r="D344" s="452"/>
      <c r="E344" s="52"/>
      <c r="F344" s="454"/>
      <c r="G344" s="454"/>
      <c r="H344" s="454"/>
      <c r="I344" s="454"/>
      <c r="J344" s="454"/>
      <c r="K344" s="454"/>
      <c r="L344" s="454"/>
      <c r="M344" s="454"/>
      <c r="N344" s="454"/>
      <c r="O344" s="454"/>
    </row>
    <row r="345" spans="2:15" hidden="1" x14ac:dyDescent="0.25">
      <c r="B345" s="451"/>
      <c r="C345" s="458"/>
      <c r="D345" s="452"/>
      <c r="E345" s="52"/>
      <c r="F345" s="454"/>
      <c r="G345" s="454"/>
      <c r="H345" s="454"/>
      <c r="I345" s="454"/>
      <c r="J345" s="454"/>
      <c r="K345" s="454"/>
      <c r="L345" s="454"/>
      <c r="M345" s="454"/>
      <c r="N345" s="454"/>
      <c r="O345" s="454"/>
    </row>
    <row r="346" spans="2:15" hidden="1" x14ac:dyDescent="0.25">
      <c r="B346" s="451"/>
      <c r="C346" s="457"/>
      <c r="D346" s="452"/>
      <c r="E346" s="52"/>
      <c r="F346" s="454"/>
      <c r="G346" s="454"/>
      <c r="H346" s="454"/>
      <c r="I346" s="454"/>
      <c r="J346" s="454"/>
      <c r="K346" s="454"/>
      <c r="L346" s="454"/>
      <c r="M346" s="454"/>
      <c r="N346" s="454"/>
      <c r="O346" s="454"/>
    </row>
    <row r="347" spans="2:15" hidden="1" x14ac:dyDescent="0.25">
      <c r="B347" s="451"/>
      <c r="C347" s="457"/>
      <c r="D347" s="452"/>
      <c r="E347" s="52"/>
      <c r="F347" s="454"/>
      <c r="G347" s="454"/>
      <c r="H347" s="454"/>
      <c r="I347" s="454"/>
      <c r="J347" s="454"/>
      <c r="K347" s="454"/>
      <c r="L347" s="454"/>
      <c r="M347" s="454"/>
      <c r="N347" s="454"/>
      <c r="O347" s="454"/>
    </row>
    <row r="348" spans="2:15" hidden="1" x14ac:dyDescent="0.25">
      <c r="B348" s="459"/>
      <c r="C348" s="460"/>
      <c r="D348" s="452"/>
      <c r="E348" s="52"/>
      <c r="F348" s="454"/>
      <c r="G348" s="454"/>
      <c r="H348" s="454"/>
      <c r="I348" s="454"/>
      <c r="J348" s="454"/>
      <c r="K348" s="454"/>
      <c r="L348" s="454"/>
      <c r="M348" s="454"/>
      <c r="N348" s="454"/>
      <c r="O348" s="454"/>
    </row>
    <row r="349" spans="2:15" hidden="1" x14ac:dyDescent="0.25">
      <c r="B349" s="461"/>
      <c r="C349" s="280"/>
      <c r="D349" s="462"/>
      <c r="E349" s="52"/>
      <c r="F349" s="454"/>
      <c r="G349" s="454"/>
      <c r="H349" s="454"/>
      <c r="I349" s="454"/>
      <c r="J349" s="454"/>
      <c r="K349" s="454"/>
      <c r="L349" s="454"/>
      <c r="M349" s="454"/>
      <c r="N349" s="454"/>
      <c r="O349" s="454"/>
    </row>
    <row r="350" spans="2:15" hidden="1" x14ac:dyDescent="0.25">
      <c r="B350" s="461"/>
      <c r="C350" s="280"/>
      <c r="D350" s="462"/>
      <c r="E350" s="52"/>
      <c r="F350" s="454"/>
      <c r="G350" s="454"/>
      <c r="H350" s="454"/>
      <c r="I350" s="454"/>
      <c r="J350" s="454"/>
      <c r="K350" s="454"/>
      <c r="L350" s="454"/>
      <c r="M350" s="454"/>
      <c r="N350" s="454"/>
      <c r="O350" s="454"/>
    </row>
    <row r="351" spans="2:15" hidden="1" x14ac:dyDescent="0.25">
      <c r="B351" s="461"/>
      <c r="C351" s="280"/>
      <c r="D351" s="462"/>
      <c r="E351" s="52"/>
      <c r="F351" s="454"/>
      <c r="G351" s="454"/>
      <c r="H351" s="454"/>
      <c r="I351" s="454"/>
      <c r="J351" s="454"/>
      <c r="K351" s="454"/>
      <c r="L351" s="454"/>
      <c r="M351" s="454"/>
      <c r="N351" s="454"/>
      <c r="O351" s="454"/>
    </row>
    <row r="352" spans="2:15" hidden="1" x14ac:dyDescent="0.25">
      <c r="B352" s="461"/>
      <c r="C352" s="281"/>
      <c r="D352" s="462"/>
      <c r="E352" s="52"/>
      <c r="F352" s="454"/>
      <c r="G352" s="454"/>
      <c r="H352" s="454"/>
      <c r="I352" s="454"/>
      <c r="J352" s="454"/>
      <c r="K352" s="454"/>
      <c r="L352" s="454"/>
      <c r="M352" s="454"/>
      <c r="N352" s="454"/>
      <c r="O352" s="454"/>
    </row>
    <row r="353" spans="2:15" hidden="1" x14ac:dyDescent="0.25">
      <c r="B353" s="461"/>
      <c r="C353" s="281"/>
      <c r="D353" s="462"/>
      <c r="E353" s="52"/>
      <c r="F353" s="454"/>
      <c r="G353" s="454"/>
      <c r="H353" s="454"/>
      <c r="I353" s="454"/>
      <c r="J353" s="454"/>
      <c r="K353" s="454"/>
      <c r="L353" s="454"/>
      <c r="M353" s="454"/>
      <c r="N353" s="454"/>
      <c r="O353" s="454"/>
    </row>
    <row r="354" spans="2:15" hidden="1" x14ac:dyDescent="0.25">
      <c r="B354" s="461"/>
      <c r="C354" s="281"/>
      <c r="D354" s="462"/>
      <c r="E354" s="52"/>
      <c r="F354" s="454"/>
      <c r="G354" s="454"/>
      <c r="H354" s="454"/>
      <c r="I354" s="454"/>
      <c r="J354" s="454"/>
      <c r="K354" s="454"/>
      <c r="L354" s="454"/>
      <c r="M354" s="454"/>
      <c r="N354" s="454"/>
      <c r="O354" s="454"/>
    </row>
    <row r="355" spans="2:15" hidden="1" x14ac:dyDescent="0.25">
      <c r="B355" s="461"/>
      <c r="C355" s="281"/>
      <c r="D355" s="462"/>
      <c r="E355" s="52"/>
      <c r="F355" s="454"/>
      <c r="G355" s="454"/>
      <c r="H355" s="454"/>
      <c r="I355" s="454"/>
      <c r="J355" s="454"/>
      <c r="K355" s="454"/>
      <c r="L355" s="454"/>
      <c r="M355" s="454"/>
      <c r="N355" s="454"/>
      <c r="O355" s="454"/>
    </row>
    <row r="356" spans="2:15" hidden="1" x14ac:dyDescent="0.25">
      <c r="B356" s="461"/>
      <c r="C356" s="281"/>
      <c r="D356" s="462"/>
      <c r="E356" s="52"/>
      <c r="F356" s="454"/>
      <c r="G356" s="454"/>
      <c r="H356" s="454"/>
      <c r="I356" s="454"/>
      <c r="J356" s="454"/>
      <c r="K356" s="454"/>
      <c r="L356" s="454"/>
      <c r="M356" s="454"/>
      <c r="N356" s="454"/>
      <c r="O356" s="454"/>
    </row>
    <row r="357" spans="2:15" hidden="1" x14ac:dyDescent="0.25">
      <c r="B357" s="461"/>
      <c r="C357" s="281"/>
      <c r="D357" s="462"/>
      <c r="E357" s="52"/>
      <c r="F357" s="454"/>
      <c r="G357" s="454"/>
      <c r="H357" s="454"/>
      <c r="I357" s="454"/>
      <c r="J357" s="454"/>
      <c r="K357" s="454"/>
      <c r="L357" s="454"/>
      <c r="M357" s="454"/>
      <c r="N357" s="454"/>
      <c r="O357" s="454"/>
    </row>
    <row r="358" spans="2:15" hidden="1" x14ac:dyDescent="0.25">
      <c r="B358" s="461"/>
      <c r="C358" s="281"/>
      <c r="D358" s="462"/>
      <c r="E358" s="52"/>
      <c r="F358" s="454"/>
      <c r="G358" s="454"/>
      <c r="H358" s="454"/>
      <c r="I358" s="454"/>
      <c r="J358" s="454"/>
      <c r="K358" s="454"/>
      <c r="L358" s="454"/>
      <c r="M358" s="454"/>
      <c r="N358" s="454"/>
      <c r="O358" s="454"/>
    </row>
    <row r="359" spans="2:15" hidden="1" x14ac:dyDescent="0.25">
      <c r="B359" s="461"/>
      <c r="C359" s="280"/>
      <c r="D359" s="462"/>
      <c r="E359" s="52"/>
      <c r="F359" s="454"/>
      <c r="G359" s="454"/>
      <c r="H359" s="454"/>
      <c r="I359" s="454"/>
      <c r="J359" s="454"/>
      <c r="K359" s="454"/>
      <c r="L359" s="454"/>
      <c r="M359" s="454"/>
      <c r="N359" s="454"/>
      <c r="O359" s="454"/>
    </row>
    <row r="360" spans="2:15" hidden="1" x14ac:dyDescent="0.25">
      <c r="B360" s="461"/>
      <c r="C360" s="281"/>
      <c r="D360" s="462"/>
      <c r="E360" s="52"/>
      <c r="F360" s="454"/>
      <c r="G360" s="454"/>
      <c r="H360" s="454"/>
      <c r="I360" s="454"/>
      <c r="J360" s="454"/>
      <c r="K360" s="454"/>
      <c r="L360" s="454"/>
      <c r="M360" s="454"/>
      <c r="N360" s="454"/>
      <c r="O360" s="454"/>
    </row>
    <row r="361" spans="2:15" hidden="1" x14ac:dyDescent="0.25">
      <c r="B361" s="461"/>
      <c r="C361" s="281"/>
      <c r="D361" s="462"/>
      <c r="E361" s="52"/>
      <c r="F361" s="454"/>
      <c r="G361" s="454"/>
      <c r="H361" s="454"/>
      <c r="I361" s="454"/>
      <c r="J361" s="454"/>
      <c r="K361" s="454"/>
      <c r="L361" s="454"/>
      <c r="M361" s="454"/>
      <c r="N361" s="454"/>
      <c r="O361" s="454"/>
    </row>
    <row r="362" spans="2:15" hidden="1" x14ac:dyDescent="0.25">
      <c r="B362" s="461"/>
      <c r="C362" s="281"/>
      <c r="D362" s="462"/>
      <c r="E362" s="52"/>
      <c r="F362" s="454"/>
      <c r="G362" s="454"/>
      <c r="H362" s="454"/>
      <c r="I362" s="454"/>
      <c r="J362" s="454"/>
      <c r="K362" s="454"/>
      <c r="L362" s="454"/>
      <c r="M362" s="454"/>
      <c r="N362" s="454"/>
      <c r="O362" s="454"/>
    </row>
    <row r="363" spans="2:15" hidden="1" x14ac:dyDescent="0.25">
      <c r="B363" s="461"/>
      <c r="C363" s="280"/>
      <c r="D363" s="462"/>
      <c r="E363" s="52"/>
      <c r="F363" s="454"/>
      <c r="G363" s="454"/>
      <c r="H363" s="454"/>
      <c r="I363" s="454"/>
      <c r="J363" s="454"/>
      <c r="K363" s="454"/>
      <c r="L363" s="454"/>
      <c r="M363" s="454"/>
      <c r="N363" s="454"/>
      <c r="O363" s="454"/>
    </row>
    <row r="364" spans="2:15" hidden="1" x14ac:dyDescent="0.25">
      <c r="B364" s="461"/>
      <c r="C364" s="280"/>
      <c r="D364" s="452"/>
      <c r="E364" s="52"/>
      <c r="F364" s="454"/>
      <c r="G364" s="454"/>
      <c r="H364" s="454"/>
      <c r="I364" s="454"/>
      <c r="J364" s="454"/>
      <c r="K364" s="454"/>
      <c r="L364" s="454"/>
      <c r="M364" s="454"/>
      <c r="N364" s="454"/>
      <c r="O364" s="454"/>
    </row>
    <row r="365" spans="2:15" hidden="1" x14ac:dyDescent="0.25">
      <c r="B365" s="461"/>
      <c r="C365" s="280"/>
      <c r="D365" s="452"/>
      <c r="E365" s="53"/>
      <c r="F365" s="454"/>
      <c r="G365" s="454"/>
      <c r="H365" s="454"/>
      <c r="I365" s="454"/>
      <c r="J365" s="454"/>
      <c r="K365" s="454"/>
      <c r="L365" s="454"/>
      <c r="M365" s="454"/>
      <c r="N365" s="454"/>
      <c r="O365" s="454"/>
    </row>
    <row r="366" spans="2:15" ht="14.4" hidden="1" thickBot="1" x14ac:dyDescent="0.3">
      <c r="B366" s="463"/>
      <c r="C366" s="464" t="s">
        <v>251</v>
      </c>
      <c r="D366" s="464"/>
      <c r="E366" s="465"/>
      <c r="F366" s="466">
        <f>SUM(F326:F365)</f>
        <v>8149.2696437426994</v>
      </c>
      <c r="G366" s="466">
        <f t="shared" ref="G366:O366" si="54">SUM(G326:G365)</f>
        <v>505.67547129749994</v>
      </c>
      <c r="H366" s="466">
        <f t="shared" si="54"/>
        <v>12.610173411</v>
      </c>
      <c r="I366" s="466">
        <f t="shared" si="54"/>
        <v>8642.3349416292003</v>
      </c>
      <c r="J366" s="466">
        <f t="shared" si="54"/>
        <v>4142.9552290065003</v>
      </c>
      <c r="K366" s="466">
        <f>SUM(K326:K365)</f>
        <v>313.99659485909996</v>
      </c>
      <c r="L366" s="466">
        <f t="shared" si="54"/>
        <v>9.7365224943000008</v>
      </c>
      <c r="M366" s="466">
        <f t="shared" si="54"/>
        <v>4447.2153013713005</v>
      </c>
      <c r="N366" s="466">
        <f>SUM(N326:N365)</f>
        <v>4006.3144147361991</v>
      </c>
      <c r="O366" s="466">
        <f t="shared" si="54"/>
        <v>4195.1196402578998</v>
      </c>
    </row>
    <row r="367" spans="2:15" hidden="1" x14ac:dyDescent="0.25"/>
    <row r="368" spans="2:15" hidden="1" x14ac:dyDescent="0.25">
      <c r="B368" s="858" t="s">
        <v>8</v>
      </c>
      <c r="C368" s="859"/>
      <c r="D368" s="859"/>
      <c r="E368" s="859"/>
      <c r="F368" s="859"/>
      <c r="G368" s="859"/>
      <c r="H368" s="859"/>
      <c r="I368" s="859"/>
      <c r="J368" s="859"/>
      <c r="K368" s="859"/>
      <c r="L368" s="859"/>
      <c r="M368" s="859"/>
      <c r="N368" s="859"/>
      <c r="O368" s="860"/>
    </row>
    <row r="369" spans="2:15" ht="14.25" hidden="1" customHeight="1" x14ac:dyDescent="0.25">
      <c r="B369" s="861" t="s">
        <v>474</v>
      </c>
      <c r="C369" s="863" t="s">
        <v>556</v>
      </c>
      <c r="D369" s="865" t="s">
        <v>557</v>
      </c>
      <c r="E369" s="865" t="s">
        <v>558</v>
      </c>
      <c r="F369" s="865" t="s">
        <v>559</v>
      </c>
      <c r="G369" s="865"/>
      <c r="H369" s="865"/>
      <c r="I369" s="865"/>
      <c r="J369" s="865" t="s">
        <v>560</v>
      </c>
      <c r="K369" s="865"/>
      <c r="L369" s="865"/>
      <c r="M369" s="865"/>
      <c r="N369" s="865" t="s">
        <v>561</v>
      </c>
      <c r="O369" s="867"/>
    </row>
    <row r="370" spans="2:15" ht="55.8" hidden="1" thickBot="1" x14ac:dyDescent="0.3">
      <c r="B370" s="862"/>
      <c r="C370" s="864"/>
      <c r="D370" s="866"/>
      <c r="E370" s="866"/>
      <c r="F370" s="468" t="s">
        <v>562</v>
      </c>
      <c r="G370" s="468" t="s">
        <v>563</v>
      </c>
      <c r="H370" s="468" t="s">
        <v>564</v>
      </c>
      <c r="I370" s="468" t="s">
        <v>565</v>
      </c>
      <c r="J370" s="468" t="s">
        <v>566</v>
      </c>
      <c r="K370" s="468" t="s">
        <v>563</v>
      </c>
      <c r="L370" s="468" t="s">
        <v>567</v>
      </c>
      <c r="M370" s="468" t="s">
        <v>568</v>
      </c>
      <c r="N370" s="468" t="s">
        <v>562</v>
      </c>
      <c r="O370" s="469" t="s">
        <v>565</v>
      </c>
    </row>
    <row r="371" spans="2:15" ht="15.6" hidden="1" x14ac:dyDescent="0.25">
      <c r="B371" s="451">
        <v>1</v>
      </c>
      <c r="C371" s="276" t="s">
        <v>689</v>
      </c>
      <c r="D371" s="452"/>
      <c r="E371" s="453"/>
      <c r="F371" s="454">
        <f>F54*0.9</f>
        <v>1.5742799999999999</v>
      </c>
      <c r="G371" s="454">
        <f>G54*0.9</f>
        <v>4.6782971567717526</v>
      </c>
      <c r="H371" s="454">
        <f>H54*0.9</f>
        <v>0</v>
      </c>
      <c r="I371" s="454">
        <f>F371+G371-H371</f>
        <v>6.2525771567717525</v>
      </c>
      <c r="J371" s="454">
        <f t="shared" ref="J371:L372" si="55">J54*0.9</f>
        <v>0</v>
      </c>
      <c r="K371" s="454">
        <f t="shared" si="55"/>
        <v>0</v>
      </c>
      <c r="L371" s="454">
        <f t="shared" si="55"/>
        <v>0</v>
      </c>
      <c r="M371" s="454">
        <f>J371+K371-L371</f>
        <v>0</v>
      </c>
      <c r="N371" s="454">
        <f>F371-J371</f>
        <v>1.5742799999999999</v>
      </c>
      <c r="O371" s="454">
        <f>I371-M371</f>
        <v>6.2525771567717525</v>
      </c>
    </row>
    <row r="372" spans="2:15" ht="15.6" hidden="1" x14ac:dyDescent="0.25">
      <c r="B372" s="451">
        <v>2</v>
      </c>
      <c r="C372" s="276" t="s">
        <v>534</v>
      </c>
      <c r="D372" s="452"/>
      <c r="E372" s="453"/>
      <c r="F372" s="454">
        <f t="shared" ref="F372:H372" si="56">F55*0.9</f>
        <v>307.75013999999999</v>
      </c>
      <c r="G372" s="454">
        <f>G55*0.9</f>
        <v>6.9122046637376426</v>
      </c>
      <c r="H372" s="454">
        <f t="shared" si="56"/>
        <v>0</v>
      </c>
      <c r="I372" s="454">
        <f>F372+G372-H372</f>
        <v>314.66234466373766</v>
      </c>
      <c r="J372" s="454">
        <f t="shared" si="55"/>
        <v>70.253280000000004</v>
      </c>
      <c r="K372" s="454">
        <f t="shared" si="55"/>
        <v>10.175658529078033</v>
      </c>
      <c r="L372" s="454">
        <f t="shared" si="55"/>
        <v>0</v>
      </c>
      <c r="M372" s="454">
        <f>J372+K372-L372</f>
        <v>80.428938529078039</v>
      </c>
      <c r="N372" s="454">
        <f>F372-J372</f>
        <v>237.49685999999997</v>
      </c>
      <c r="O372" s="454">
        <f>I372-M372</f>
        <v>234.23340613465962</v>
      </c>
    </row>
    <row r="373" spans="2:15" ht="15.6" hidden="1" x14ac:dyDescent="0.25">
      <c r="B373" s="470">
        <v>3</v>
      </c>
      <c r="C373" s="279" t="s">
        <v>690</v>
      </c>
      <c r="D373" s="471"/>
      <c r="E373" s="360"/>
      <c r="F373" s="472"/>
      <c r="G373" s="472"/>
      <c r="H373" s="472"/>
      <c r="I373" s="472"/>
      <c r="J373" s="472"/>
      <c r="K373" s="472"/>
      <c r="L373" s="472"/>
      <c r="M373" s="472"/>
      <c r="N373" s="472"/>
      <c r="O373" s="472"/>
    </row>
    <row r="374" spans="2:15" ht="15.6" hidden="1" x14ac:dyDescent="0.25">
      <c r="B374" s="451"/>
      <c r="C374" s="276" t="s">
        <v>691</v>
      </c>
      <c r="D374" s="452"/>
      <c r="E374" s="52"/>
      <c r="F374" s="454">
        <f t="shared" ref="F374:H381" si="57">F57*0.9</f>
        <v>3973.0876200000002</v>
      </c>
      <c r="G374" s="454">
        <f t="shared" si="57"/>
        <v>241.17162169462557</v>
      </c>
      <c r="H374" s="454">
        <f t="shared" si="57"/>
        <v>0</v>
      </c>
      <c r="I374" s="454">
        <f t="shared" ref="I374:I381" si="58">F374+G374-H374</f>
        <v>4214.2592416946254</v>
      </c>
      <c r="J374" s="454">
        <f t="shared" ref="J374:L381" si="59">J57*0.9</f>
        <v>2119.1361299999999</v>
      </c>
      <c r="K374" s="454">
        <f t="shared" si="59"/>
        <v>159.27321325656521</v>
      </c>
      <c r="L374" s="454">
        <f t="shared" si="59"/>
        <v>0</v>
      </c>
      <c r="M374" s="454">
        <f t="shared" ref="M374:M381" si="60">J374+K374-L374</f>
        <v>2278.4093432565651</v>
      </c>
      <c r="N374" s="454">
        <f t="shared" ref="N374:N381" si="61">F374-J374</f>
        <v>1853.9514900000004</v>
      </c>
      <c r="O374" s="454">
        <f t="shared" ref="O374:O381" si="62">I374-M374</f>
        <v>1935.8498984380603</v>
      </c>
    </row>
    <row r="375" spans="2:15" ht="15.6" hidden="1" x14ac:dyDescent="0.25">
      <c r="B375" s="451"/>
      <c r="C375" s="276" t="s">
        <v>692</v>
      </c>
      <c r="D375" s="452"/>
      <c r="E375" s="52"/>
      <c r="F375" s="454">
        <f t="shared" si="57"/>
        <v>3587.2722899999999</v>
      </c>
      <c r="G375" s="454">
        <f t="shared" si="57"/>
        <v>261.97124867063093</v>
      </c>
      <c r="H375" s="454">
        <f t="shared" si="57"/>
        <v>0</v>
      </c>
      <c r="I375" s="454">
        <f t="shared" si="58"/>
        <v>3849.2435386706306</v>
      </c>
      <c r="J375" s="454">
        <f t="shared" si="59"/>
        <v>1783.5492600000002</v>
      </c>
      <c r="K375" s="454">
        <f t="shared" si="59"/>
        <v>140.20958137391165</v>
      </c>
      <c r="L375" s="454">
        <f t="shared" si="59"/>
        <v>0</v>
      </c>
      <c r="M375" s="454">
        <f t="shared" si="60"/>
        <v>1923.7588413739118</v>
      </c>
      <c r="N375" s="454">
        <f t="shared" si="61"/>
        <v>1803.7230299999997</v>
      </c>
      <c r="O375" s="454">
        <f t="shared" si="62"/>
        <v>1925.4846972967189</v>
      </c>
    </row>
    <row r="376" spans="2:15" ht="15.6" hidden="1" x14ac:dyDescent="0.25">
      <c r="B376" s="451"/>
      <c r="C376" s="276" t="s">
        <v>693</v>
      </c>
      <c r="D376" s="452"/>
      <c r="E376" s="52"/>
      <c r="F376" s="454">
        <f t="shared" si="57"/>
        <v>641.82168000000001</v>
      </c>
      <c r="G376" s="454">
        <f t="shared" si="57"/>
        <v>5.7786206251017118</v>
      </c>
      <c r="H376" s="454">
        <f t="shared" si="57"/>
        <v>0</v>
      </c>
      <c r="I376" s="454">
        <f t="shared" si="58"/>
        <v>647.60030062510168</v>
      </c>
      <c r="J376" s="454">
        <f t="shared" si="59"/>
        <v>378.66150000000005</v>
      </c>
      <c r="K376" s="454">
        <f t="shared" si="59"/>
        <v>11.936701655329596</v>
      </c>
      <c r="L376" s="454">
        <f t="shared" si="59"/>
        <v>0</v>
      </c>
      <c r="M376" s="454">
        <f t="shared" si="60"/>
        <v>390.59820165532966</v>
      </c>
      <c r="N376" s="454">
        <f t="shared" si="61"/>
        <v>263.16017999999997</v>
      </c>
      <c r="O376" s="454">
        <f t="shared" si="62"/>
        <v>257.00209896977202</v>
      </c>
    </row>
    <row r="377" spans="2:15" ht="15.6" hidden="1" x14ac:dyDescent="0.25">
      <c r="B377" s="451">
        <v>4</v>
      </c>
      <c r="C377" s="279" t="s">
        <v>540</v>
      </c>
      <c r="D377" s="452"/>
      <c r="E377" s="52"/>
      <c r="F377" s="454">
        <f t="shared" si="57"/>
        <v>16.907219999999999</v>
      </c>
      <c r="G377" s="454">
        <f t="shared" si="57"/>
        <v>1.5704340227838087</v>
      </c>
      <c r="H377" s="454">
        <f t="shared" si="57"/>
        <v>0</v>
      </c>
      <c r="I377" s="454">
        <f t="shared" si="58"/>
        <v>18.477654022783806</v>
      </c>
      <c r="J377" s="454">
        <f t="shared" si="59"/>
        <v>8.0570700000000013</v>
      </c>
      <c r="K377" s="454">
        <f t="shared" si="59"/>
        <v>7.3020337057252815</v>
      </c>
      <c r="L377" s="454">
        <f t="shared" si="59"/>
        <v>0</v>
      </c>
      <c r="M377" s="454">
        <f t="shared" si="60"/>
        <v>15.359103705725282</v>
      </c>
      <c r="N377" s="454">
        <f t="shared" si="61"/>
        <v>8.8501499999999975</v>
      </c>
      <c r="O377" s="454">
        <f t="shared" si="62"/>
        <v>3.1185503170585243</v>
      </c>
    </row>
    <row r="378" spans="2:15" ht="15.6" hidden="1" x14ac:dyDescent="0.25">
      <c r="B378" s="451">
        <v>5</v>
      </c>
      <c r="C378" s="279" t="s">
        <v>694</v>
      </c>
      <c r="D378" s="452"/>
      <c r="E378" s="52"/>
      <c r="F378" s="454">
        <f t="shared" si="57"/>
        <v>5.65029</v>
      </c>
      <c r="G378" s="454">
        <f t="shared" si="57"/>
        <v>0</v>
      </c>
      <c r="H378" s="454">
        <f t="shared" si="57"/>
        <v>0</v>
      </c>
      <c r="I378" s="454">
        <f t="shared" si="58"/>
        <v>5.65029</v>
      </c>
      <c r="J378" s="454">
        <f t="shared" si="59"/>
        <v>4.1867099999999997</v>
      </c>
      <c r="K378" s="454">
        <f t="shared" si="59"/>
        <v>9.4736092499999994E-2</v>
      </c>
      <c r="L378" s="454">
        <f t="shared" si="59"/>
        <v>0</v>
      </c>
      <c r="M378" s="454">
        <f t="shared" si="60"/>
        <v>4.2814460924999995</v>
      </c>
      <c r="N378" s="454">
        <f t="shared" si="61"/>
        <v>1.4635800000000003</v>
      </c>
      <c r="O378" s="454">
        <f t="shared" si="62"/>
        <v>1.3688439075000005</v>
      </c>
    </row>
    <row r="379" spans="2:15" ht="15.6" hidden="1" x14ac:dyDescent="0.25">
      <c r="B379" s="451">
        <v>6</v>
      </c>
      <c r="C379" s="279" t="s">
        <v>538</v>
      </c>
      <c r="D379" s="452"/>
      <c r="E379" s="52"/>
      <c r="F379" s="454">
        <f t="shared" si="57"/>
        <v>2.4525899999999998</v>
      </c>
      <c r="G379" s="454">
        <f t="shared" si="57"/>
        <v>0</v>
      </c>
      <c r="H379" s="454">
        <f t="shared" si="57"/>
        <v>0</v>
      </c>
      <c r="I379" s="454">
        <f t="shared" si="58"/>
        <v>2.4525899999999998</v>
      </c>
      <c r="J379" s="454">
        <f t="shared" si="59"/>
        <v>2.2059900000000003</v>
      </c>
      <c r="K379" s="454">
        <f t="shared" si="59"/>
        <v>-6.8494139999963899E-4</v>
      </c>
      <c r="L379" s="454">
        <f t="shared" si="59"/>
        <v>0</v>
      </c>
      <c r="M379" s="454">
        <f t="shared" si="60"/>
        <v>2.2053050586000005</v>
      </c>
      <c r="N379" s="454">
        <f t="shared" si="61"/>
        <v>0.24659999999999949</v>
      </c>
      <c r="O379" s="454">
        <f t="shared" si="62"/>
        <v>0.24728494139999935</v>
      </c>
    </row>
    <row r="380" spans="2:15" ht="15.6" hidden="1" x14ac:dyDescent="0.25">
      <c r="B380" s="451">
        <v>7</v>
      </c>
      <c r="C380" s="279" t="s">
        <v>695</v>
      </c>
      <c r="D380" s="452"/>
      <c r="E380" s="52"/>
      <c r="F380" s="454">
        <f t="shared" si="57"/>
        <v>74.383560000000003</v>
      </c>
      <c r="G380" s="454">
        <f t="shared" si="57"/>
        <v>14.791667701553584</v>
      </c>
      <c r="H380" s="454">
        <f t="shared" si="57"/>
        <v>0</v>
      </c>
      <c r="I380" s="454">
        <f t="shared" si="58"/>
        <v>89.175227701553581</v>
      </c>
      <c r="J380" s="454">
        <f t="shared" si="59"/>
        <v>57.174480000000003</v>
      </c>
      <c r="K380" s="454">
        <f t="shared" si="59"/>
        <v>0</v>
      </c>
      <c r="L380" s="454">
        <f t="shared" si="59"/>
        <v>0</v>
      </c>
      <c r="M380" s="454">
        <f t="shared" si="60"/>
        <v>57.174480000000003</v>
      </c>
      <c r="N380" s="454">
        <f t="shared" si="61"/>
        <v>17.20908</v>
      </c>
      <c r="O380" s="454">
        <f t="shared" si="62"/>
        <v>32.000747701553578</v>
      </c>
    </row>
    <row r="381" spans="2:15" ht="15.6" hidden="1" x14ac:dyDescent="0.25">
      <c r="B381" s="451">
        <v>8</v>
      </c>
      <c r="C381" s="279" t="s">
        <v>696</v>
      </c>
      <c r="D381" s="452"/>
      <c r="E381" s="52"/>
      <c r="F381" s="454">
        <f t="shared" si="57"/>
        <v>31.435200000000005</v>
      </c>
      <c r="G381" s="454">
        <f t="shared" si="57"/>
        <v>0</v>
      </c>
      <c r="H381" s="454">
        <f t="shared" si="57"/>
        <v>0</v>
      </c>
      <c r="I381" s="454">
        <f t="shared" si="58"/>
        <v>31.435200000000005</v>
      </c>
      <c r="J381" s="454">
        <f t="shared" si="59"/>
        <v>23.990850000000002</v>
      </c>
      <c r="K381" s="454">
        <f t="shared" si="59"/>
        <v>3.193535635316521</v>
      </c>
      <c r="L381" s="454">
        <f t="shared" si="59"/>
        <v>0</v>
      </c>
      <c r="M381" s="454">
        <f t="shared" si="60"/>
        <v>27.184385635316524</v>
      </c>
      <c r="N381" s="454">
        <f t="shared" si="61"/>
        <v>7.4443500000000036</v>
      </c>
      <c r="O381" s="454">
        <f t="shared" si="62"/>
        <v>4.2508143646834817</v>
      </c>
    </row>
    <row r="382" spans="2:15" hidden="1" x14ac:dyDescent="0.25">
      <c r="B382" s="451"/>
      <c r="C382" s="457"/>
      <c r="D382" s="452"/>
      <c r="E382" s="52"/>
      <c r="F382" s="454"/>
      <c r="G382" s="454"/>
      <c r="H382" s="454"/>
      <c r="I382" s="454"/>
      <c r="J382" s="454"/>
      <c r="K382" s="454"/>
      <c r="L382" s="454"/>
      <c r="M382" s="454"/>
      <c r="N382" s="454"/>
      <c r="O382" s="454"/>
    </row>
    <row r="383" spans="2:15" hidden="1" x14ac:dyDescent="0.25">
      <c r="B383" s="451"/>
      <c r="C383" s="458"/>
      <c r="D383" s="452"/>
      <c r="E383" s="52"/>
      <c r="F383" s="454"/>
      <c r="G383" s="454"/>
      <c r="H383" s="454"/>
      <c r="I383" s="454"/>
      <c r="J383" s="454"/>
      <c r="K383" s="454"/>
      <c r="L383" s="454"/>
      <c r="M383" s="454"/>
      <c r="N383" s="454"/>
      <c r="O383" s="454"/>
    </row>
    <row r="384" spans="2:15" hidden="1" x14ac:dyDescent="0.25">
      <c r="B384" s="451"/>
      <c r="C384" s="457"/>
      <c r="D384" s="452"/>
      <c r="E384" s="52"/>
      <c r="F384" s="454"/>
      <c r="G384" s="454"/>
      <c r="H384" s="454"/>
      <c r="I384" s="454"/>
      <c r="J384" s="454"/>
      <c r="K384" s="454"/>
      <c r="L384" s="454"/>
      <c r="M384" s="454"/>
      <c r="N384" s="454"/>
      <c r="O384" s="454"/>
    </row>
    <row r="385" spans="2:15" hidden="1" x14ac:dyDescent="0.25">
      <c r="B385" s="451"/>
      <c r="C385" s="457"/>
      <c r="D385" s="452"/>
      <c r="E385" s="52"/>
      <c r="F385" s="454"/>
      <c r="G385" s="454"/>
      <c r="H385" s="454"/>
      <c r="I385" s="454"/>
      <c r="J385" s="454"/>
      <c r="K385" s="454"/>
      <c r="L385" s="454"/>
      <c r="M385" s="454"/>
      <c r="N385" s="454"/>
      <c r="O385" s="454"/>
    </row>
    <row r="386" spans="2:15" hidden="1" x14ac:dyDescent="0.25">
      <c r="B386" s="451"/>
      <c r="C386" s="457"/>
      <c r="D386" s="452"/>
      <c r="E386" s="52"/>
      <c r="F386" s="454"/>
      <c r="G386" s="454"/>
      <c r="H386" s="454"/>
      <c r="I386" s="454"/>
      <c r="J386" s="454"/>
      <c r="K386" s="454"/>
      <c r="L386" s="454"/>
      <c r="M386" s="454"/>
      <c r="N386" s="454"/>
      <c r="O386" s="454"/>
    </row>
    <row r="387" spans="2:15" hidden="1" x14ac:dyDescent="0.25">
      <c r="B387" s="451"/>
      <c r="C387" s="457"/>
      <c r="D387" s="452"/>
      <c r="E387" s="52"/>
      <c r="F387" s="454"/>
      <c r="G387" s="454"/>
      <c r="H387" s="454"/>
      <c r="I387" s="454"/>
      <c r="J387" s="454"/>
      <c r="K387" s="454"/>
      <c r="L387" s="454"/>
      <c r="M387" s="454"/>
      <c r="N387" s="454"/>
      <c r="O387" s="454"/>
    </row>
    <row r="388" spans="2:15" hidden="1" x14ac:dyDescent="0.25">
      <c r="B388" s="451"/>
      <c r="C388" s="458"/>
      <c r="D388" s="452"/>
      <c r="E388" s="52"/>
      <c r="F388" s="454"/>
      <c r="G388" s="454"/>
      <c r="H388" s="454"/>
      <c r="I388" s="454"/>
      <c r="J388" s="454"/>
      <c r="K388" s="454"/>
      <c r="L388" s="454"/>
      <c r="M388" s="454"/>
      <c r="N388" s="454"/>
      <c r="O388" s="454"/>
    </row>
    <row r="389" spans="2:15" hidden="1" x14ac:dyDescent="0.25">
      <c r="B389" s="451"/>
      <c r="C389" s="458"/>
      <c r="D389" s="452"/>
      <c r="E389" s="52"/>
      <c r="F389" s="454"/>
      <c r="G389" s="454"/>
      <c r="H389" s="454"/>
      <c r="I389" s="454"/>
      <c r="J389" s="454"/>
      <c r="K389" s="454"/>
      <c r="L389" s="454"/>
      <c r="M389" s="454"/>
      <c r="N389" s="454"/>
      <c r="O389" s="454"/>
    </row>
    <row r="390" spans="2:15" hidden="1" x14ac:dyDescent="0.25">
      <c r="B390" s="451"/>
      <c r="C390" s="458"/>
      <c r="D390" s="452"/>
      <c r="E390" s="52"/>
      <c r="F390" s="454"/>
      <c r="G390" s="454"/>
      <c r="H390" s="454"/>
      <c r="I390" s="454"/>
      <c r="J390" s="454"/>
      <c r="K390" s="454"/>
      <c r="L390" s="454"/>
      <c r="M390" s="454"/>
      <c r="N390" s="454"/>
      <c r="O390" s="454"/>
    </row>
    <row r="391" spans="2:15" hidden="1" x14ac:dyDescent="0.25">
      <c r="B391" s="451"/>
      <c r="C391" s="457"/>
      <c r="D391" s="452"/>
      <c r="E391" s="52"/>
      <c r="F391" s="454"/>
      <c r="G391" s="454"/>
      <c r="H391" s="454"/>
      <c r="I391" s="454"/>
      <c r="J391" s="454"/>
      <c r="K391" s="454"/>
      <c r="L391" s="454"/>
      <c r="M391" s="454"/>
      <c r="N391" s="454"/>
      <c r="O391" s="454"/>
    </row>
    <row r="392" spans="2:15" hidden="1" x14ac:dyDescent="0.25">
      <c r="B392" s="451"/>
      <c r="C392" s="457"/>
      <c r="D392" s="452"/>
      <c r="E392" s="52"/>
      <c r="F392" s="454"/>
      <c r="G392" s="454"/>
      <c r="H392" s="454"/>
      <c r="I392" s="454"/>
      <c r="J392" s="454"/>
      <c r="K392" s="454"/>
      <c r="L392" s="454"/>
      <c r="M392" s="454"/>
      <c r="N392" s="454"/>
      <c r="O392" s="454"/>
    </row>
    <row r="393" spans="2:15" hidden="1" x14ac:dyDescent="0.25">
      <c r="B393" s="459"/>
      <c r="C393" s="460"/>
      <c r="D393" s="452"/>
      <c r="E393" s="52"/>
      <c r="F393" s="454"/>
      <c r="G393" s="454"/>
      <c r="H393" s="454"/>
      <c r="I393" s="454"/>
      <c r="J393" s="454"/>
      <c r="K393" s="454"/>
      <c r="L393" s="454"/>
      <c r="M393" s="454"/>
      <c r="N393" s="454"/>
      <c r="O393" s="454"/>
    </row>
    <row r="394" spans="2:15" hidden="1" x14ac:dyDescent="0.25">
      <c r="B394" s="461"/>
      <c r="C394" s="280"/>
      <c r="D394" s="462"/>
      <c r="E394" s="52"/>
      <c r="F394" s="454"/>
      <c r="G394" s="454"/>
      <c r="H394" s="454"/>
      <c r="I394" s="454"/>
      <c r="J394" s="454"/>
      <c r="K394" s="454"/>
      <c r="L394" s="454"/>
      <c r="M394" s="454"/>
      <c r="N394" s="454"/>
      <c r="O394" s="454"/>
    </row>
    <row r="395" spans="2:15" hidden="1" x14ac:dyDescent="0.25">
      <c r="B395" s="461"/>
      <c r="C395" s="280"/>
      <c r="D395" s="462"/>
      <c r="E395" s="52"/>
      <c r="F395" s="454"/>
      <c r="G395" s="454"/>
      <c r="H395" s="454"/>
      <c r="I395" s="454"/>
      <c r="J395" s="454"/>
      <c r="K395" s="454"/>
      <c r="L395" s="454"/>
      <c r="M395" s="454"/>
      <c r="N395" s="454"/>
      <c r="O395" s="454"/>
    </row>
    <row r="396" spans="2:15" hidden="1" x14ac:dyDescent="0.25">
      <c r="B396" s="461"/>
      <c r="C396" s="280"/>
      <c r="D396" s="462"/>
      <c r="E396" s="52"/>
      <c r="F396" s="454"/>
      <c r="G396" s="454"/>
      <c r="H396" s="454"/>
      <c r="I396" s="454"/>
      <c r="J396" s="454"/>
      <c r="K396" s="454"/>
      <c r="L396" s="454"/>
      <c r="M396" s="454"/>
      <c r="N396" s="454"/>
      <c r="O396" s="454"/>
    </row>
    <row r="397" spans="2:15" hidden="1" x14ac:dyDescent="0.25">
      <c r="B397" s="461"/>
      <c r="C397" s="281"/>
      <c r="D397" s="462"/>
      <c r="E397" s="52"/>
      <c r="F397" s="454"/>
      <c r="G397" s="454"/>
      <c r="H397" s="454"/>
      <c r="I397" s="454"/>
      <c r="J397" s="454"/>
      <c r="K397" s="454"/>
      <c r="L397" s="454"/>
      <c r="M397" s="454"/>
      <c r="N397" s="454"/>
      <c r="O397" s="454"/>
    </row>
    <row r="398" spans="2:15" hidden="1" x14ac:dyDescent="0.25">
      <c r="B398" s="461"/>
      <c r="C398" s="281"/>
      <c r="D398" s="462"/>
      <c r="E398" s="52"/>
      <c r="F398" s="454"/>
      <c r="G398" s="454"/>
      <c r="H398" s="454"/>
      <c r="I398" s="454"/>
      <c r="J398" s="454"/>
      <c r="K398" s="454"/>
      <c r="L398" s="454"/>
      <c r="M398" s="454"/>
      <c r="N398" s="454"/>
      <c r="O398" s="454"/>
    </row>
    <row r="399" spans="2:15" hidden="1" x14ac:dyDescent="0.25">
      <c r="B399" s="461"/>
      <c r="C399" s="281"/>
      <c r="D399" s="462"/>
      <c r="E399" s="52"/>
      <c r="F399" s="454"/>
      <c r="G399" s="454"/>
      <c r="H399" s="454"/>
      <c r="I399" s="454"/>
      <c r="J399" s="454"/>
      <c r="K399" s="454"/>
      <c r="L399" s="454"/>
      <c r="M399" s="454"/>
      <c r="N399" s="454"/>
      <c r="O399" s="454"/>
    </row>
    <row r="400" spans="2:15" hidden="1" x14ac:dyDescent="0.25">
      <c r="B400" s="461"/>
      <c r="C400" s="281"/>
      <c r="D400" s="462"/>
      <c r="E400" s="52"/>
      <c r="F400" s="454"/>
      <c r="G400" s="454"/>
      <c r="H400" s="454"/>
      <c r="I400" s="454"/>
      <c r="J400" s="454"/>
      <c r="K400" s="454"/>
      <c r="L400" s="454"/>
      <c r="M400" s="454"/>
      <c r="N400" s="454"/>
      <c r="O400" s="454"/>
    </row>
    <row r="401" spans="2:15" hidden="1" x14ac:dyDescent="0.25">
      <c r="B401" s="461"/>
      <c r="C401" s="281"/>
      <c r="D401" s="462"/>
      <c r="E401" s="52"/>
      <c r="F401" s="454"/>
      <c r="G401" s="454"/>
      <c r="H401" s="454"/>
      <c r="I401" s="454"/>
      <c r="J401" s="454"/>
      <c r="K401" s="454"/>
      <c r="L401" s="454"/>
      <c r="M401" s="454"/>
      <c r="N401" s="454"/>
      <c r="O401" s="454"/>
    </row>
    <row r="402" spans="2:15" hidden="1" x14ac:dyDescent="0.25">
      <c r="B402" s="461"/>
      <c r="C402" s="281"/>
      <c r="D402" s="462"/>
      <c r="E402" s="52"/>
      <c r="F402" s="454"/>
      <c r="G402" s="454"/>
      <c r="H402" s="454"/>
      <c r="I402" s="454"/>
      <c r="J402" s="454"/>
      <c r="K402" s="454"/>
      <c r="L402" s="454"/>
      <c r="M402" s="454"/>
      <c r="N402" s="454"/>
      <c r="O402" s="454"/>
    </row>
    <row r="403" spans="2:15" hidden="1" x14ac:dyDescent="0.25">
      <c r="B403" s="461"/>
      <c r="C403" s="281"/>
      <c r="D403" s="462"/>
      <c r="E403" s="52"/>
      <c r="F403" s="454"/>
      <c r="G403" s="454"/>
      <c r="H403" s="454"/>
      <c r="I403" s="454"/>
      <c r="J403" s="454"/>
      <c r="K403" s="454"/>
      <c r="L403" s="454"/>
      <c r="M403" s="454"/>
      <c r="N403" s="454"/>
      <c r="O403" s="454"/>
    </row>
    <row r="404" spans="2:15" hidden="1" x14ac:dyDescent="0.25">
      <c r="B404" s="461"/>
      <c r="C404" s="280"/>
      <c r="D404" s="462"/>
      <c r="E404" s="52"/>
      <c r="F404" s="454"/>
      <c r="G404" s="454"/>
      <c r="H404" s="454"/>
      <c r="I404" s="454"/>
      <c r="J404" s="454"/>
      <c r="K404" s="454"/>
      <c r="L404" s="454"/>
      <c r="M404" s="454"/>
      <c r="N404" s="454"/>
      <c r="O404" s="454"/>
    </row>
    <row r="405" spans="2:15" hidden="1" x14ac:dyDescent="0.25">
      <c r="B405" s="461"/>
      <c r="C405" s="281"/>
      <c r="D405" s="462"/>
      <c r="E405" s="52"/>
      <c r="F405" s="454"/>
      <c r="G405" s="454"/>
      <c r="H405" s="454"/>
      <c r="I405" s="454"/>
      <c r="J405" s="454"/>
      <c r="K405" s="454"/>
      <c r="L405" s="454"/>
      <c r="M405" s="454"/>
      <c r="N405" s="454"/>
      <c r="O405" s="454"/>
    </row>
    <row r="406" spans="2:15" hidden="1" x14ac:dyDescent="0.25">
      <c r="B406" s="461"/>
      <c r="C406" s="281"/>
      <c r="D406" s="462"/>
      <c r="E406" s="52"/>
      <c r="F406" s="454"/>
      <c r="G406" s="454"/>
      <c r="H406" s="454"/>
      <c r="I406" s="454"/>
      <c r="J406" s="454"/>
      <c r="K406" s="454"/>
      <c r="L406" s="454"/>
      <c r="M406" s="454"/>
      <c r="N406" s="454"/>
      <c r="O406" s="454"/>
    </row>
    <row r="407" spans="2:15" hidden="1" x14ac:dyDescent="0.25">
      <c r="B407" s="461"/>
      <c r="C407" s="281"/>
      <c r="D407" s="462"/>
      <c r="E407" s="52"/>
      <c r="F407" s="454"/>
      <c r="G407" s="454"/>
      <c r="H407" s="454"/>
      <c r="I407" s="454"/>
      <c r="J407" s="454"/>
      <c r="K407" s="454"/>
      <c r="L407" s="454"/>
      <c r="M407" s="454"/>
      <c r="N407" s="454"/>
      <c r="O407" s="454"/>
    </row>
    <row r="408" spans="2:15" hidden="1" x14ac:dyDescent="0.25">
      <c r="B408" s="461"/>
      <c r="C408" s="280"/>
      <c r="D408" s="462"/>
      <c r="E408" s="52"/>
      <c r="F408" s="454"/>
      <c r="G408" s="454"/>
      <c r="H408" s="454"/>
      <c r="I408" s="454"/>
      <c r="J408" s="454"/>
      <c r="K408" s="454"/>
      <c r="L408" s="454"/>
      <c r="M408" s="454"/>
      <c r="N408" s="454"/>
      <c r="O408" s="454"/>
    </row>
    <row r="409" spans="2:15" hidden="1" x14ac:dyDescent="0.25">
      <c r="B409" s="461"/>
      <c r="C409" s="280"/>
      <c r="D409" s="452"/>
      <c r="E409" s="52"/>
      <c r="F409" s="454"/>
      <c r="G409" s="454"/>
      <c r="H409" s="454"/>
      <c r="I409" s="454"/>
      <c r="J409" s="454"/>
      <c r="K409" s="454"/>
      <c r="L409" s="454"/>
      <c r="M409" s="454"/>
      <c r="N409" s="454"/>
      <c r="O409" s="454"/>
    </row>
    <row r="410" spans="2:15" hidden="1" x14ac:dyDescent="0.25">
      <c r="B410" s="461"/>
      <c r="C410" s="280"/>
      <c r="D410" s="452"/>
      <c r="E410" s="53"/>
      <c r="F410" s="454"/>
      <c r="G410" s="454"/>
      <c r="H410" s="454"/>
      <c r="I410" s="454"/>
      <c r="J410" s="454"/>
      <c r="K410" s="454"/>
      <c r="L410" s="454"/>
      <c r="M410" s="454"/>
      <c r="N410" s="454"/>
      <c r="O410" s="454"/>
    </row>
    <row r="411" spans="2:15" ht="14.4" hidden="1" thickBot="1" x14ac:dyDescent="0.3">
      <c r="B411" s="463"/>
      <c r="C411" s="464" t="s">
        <v>251</v>
      </c>
      <c r="D411" s="464"/>
      <c r="E411" s="465"/>
      <c r="F411" s="466">
        <f>SUM(F371:F410)</f>
        <v>8642.3348700000006</v>
      </c>
      <c r="G411" s="466">
        <f>SUM(G371:G410)</f>
        <v>536.87409453520502</v>
      </c>
      <c r="H411" s="466">
        <f t="shared" ref="H411" si="63">SUM(H371:H410)</f>
        <v>0</v>
      </c>
      <c r="I411" s="466">
        <f>SUM(I371:I410)</f>
        <v>9179.2089645352025</v>
      </c>
      <c r="J411" s="466">
        <f>SUM(J371:J410)</f>
        <v>4447.2152699999997</v>
      </c>
      <c r="K411" s="466">
        <f t="shared" ref="K411:O411" si="64">SUM(K371:K410)</f>
        <v>332.18477530702631</v>
      </c>
      <c r="L411" s="466">
        <f t="shared" si="64"/>
        <v>0</v>
      </c>
      <c r="M411" s="466">
        <f t="shared" si="64"/>
        <v>4779.4000453070257</v>
      </c>
      <c r="N411" s="466">
        <f t="shared" si="64"/>
        <v>4195.1196</v>
      </c>
      <c r="O411" s="466">
        <f t="shared" si="64"/>
        <v>4399.8089192281786</v>
      </c>
    </row>
    <row r="412" spans="2:15" ht="14.4" thickBot="1" x14ac:dyDescent="0.3"/>
    <row r="413" spans="2:15" x14ac:dyDescent="0.25">
      <c r="B413" s="858" t="s">
        <v>1229</v>
      </c>
      <c r="C413" s="859"/>
      <c r="D413" s="859"/>
      <c r="E413" s="859"/>
      <c r="F413" s="859"/>
      <c r="G413" s="859"/>
      <c r="H413" s="859"/>
      <c r="I413" s="859"/>
      <c r="J413" s="859"/>
      <c r="K413" s="859"/>
      <c r="L413" s="859"/>
      <c r="M413" s="859"/>
      <c r="N413" s="859"/>
      <c r="O413" s="860"/>
    </row>
    <row r="414" spans="2:15" x14ac:dyDescent="0.25">
      <c r="B414" s="861" t="s">
        <v>474</v>
      </c>
      <c r="C414" s="863" t="s">
        <v>556</v>
      </c>
      <c r="D414" s="865" t="s">
        <v>557</v>
      </c>
      <c r="E414" s="865" t="s">
        <v>558</v>
      </c>
      <c r="F414" s="865" t="s">
        <v>559</v>
      </c>
      <c r="G414" s="865"/>
      <c r="H414" s="865"/>
      <c r="I414" s="865"/>
      <c r="J414" s="865" t="s">
        <v>560</v>
      </c>
      <c r="K414" s="865"/>
      <c r="L414" s="865"/>
      <c r="M414" s="865"/>
      <c r="N414" s="865" t="s">
        <v>561</v>
      </c>
      <c r="O414" s="867"/>
    </row>
    <row r="415" spans="2:15" ht="55.8" thickBot="1" x14ac:dyDescent="0.3">
      <c r="B415" s="862"/>
      <c r="C415" s="864"/>
      <c r="D415" s="866"/>
      <c r="E415" s="866"/>
      <c r="F415" s="468" t="s">
        <v>562</v>
      </c>
      <c r="G415" s="468" t="s">
        <v>563</v>
      </c>
      <c r="H415" s="468" t="s">
        <v>564</v>
      </c>
      <c r="I415" s="468" t="s">
        <v>565</v>
      </c>
      <c r="J415" s="468" t="s">
        <v>566</v>
      </c>
      <c r="K415" s="468" t="s">
        <v>563</v>
      </c>
      <c r="L415" s="468" t="s">
        <v>567</v>
      </c>
      <c r="M415" s="468" t="s">
        <v>568</v>
      </c>
      <c r="N415" s="468" t="s">
        <v>562</v>
      </c>
      <c r="O415" s="469" t="s">
        <v>565</v>
      </c>
    </row>
    <row r="416" spans="2:15" ht="15.6" x14ac:dyDescent="0.25">
      <c r="B416" s="451">
        <v>1</v>
      </c>
      <c r="C416" s="276" t="s">
        <v>689</v>
      </c>
      <c r="D416" s="452"/>
      <c r="E416" s="453"/>
      <c r="F416" s="454">
        <f>F99*0.9</f>
        <v>6.2525771567717525</v>
      </c>
      <c r="G416" s="454">
        <f>G99*0.9</f>
        <v>12.958109279547378</v>
      </c>
      <c r="H416" s="454">
        <f>H99*0.9</f>
        <v>0</v>
      </c>
      <c r="I416" s="454">
        <f>F416+G416-H416</f>
        <v>19.210686436319129</v>
      </c>
      <c r="J416" s="454">
        <f t="shared" ref="J416:L417" si="65">J99*0.9</f>
        <v>0</v>
      </c>
      <c r="K416" s="454">
        <f t="shared" si="65"/>
        <v>1.4305986474545429E-2</v>
      </c>
      <c r="L416" s="454">
        <f t="shared" si="65"/>
        <v>0</v>
      </c>
      <c r="M416" s="454">
        <f>J416+K416-L416</f>
        <v>1.4305986474545429E-2</v>
      </c>
      <c r="N416" s="454">
        <f>F416-J416</f>
        <v>6.2525771567717525</v>
      </c>
      <c r="O416" s="454">
        <f>I416-M416</f>
        <v>19.196380449844582</v>
      </c>
    </row>
    <row r="417" spans="2:15" ht="15.6" x14ac:dyDescent="0.25">
      <c r="B417" s="451">
        <v>2</v>
      </c>
      <c r="C417" s="276" t="s">
        <v>534</v>
      </c>
      <c r="D417" s="452"/>
      <c r="E417" s="453"/>
      <c r="F417" s="454">
        <f>F100*0.9</f>
        <v>314.66234466373766</v>
      </c>
      <c r="G417" s="454">
        <f t="shared" ref="G417:H417" si="66">G100*0.9</f>
        <v>19.145663559583792</v>
      </c>
      <c r="H417" s="454">
        <f t="shared" si="66"/>
        <v>0</v>
      </c>
      <c r="I417" s="454">
        <f>F417+G417-H417</f>
        <v>333.80800822332145</v>
      </c>
      <c r="J417" s="454">
        <f t="shared" si="65"/>
        <v>80.428938529078039</v>
      </c>
      <c r="K417" s="454">
        <f t="shared" si="65"/>
        <v>10.208590131280349</v>
      </c>
      <c r="L417" s="454">
        <f t="shared" si="65"/>
        <v>0</v>
      </c>
      <c r="M417" s="454">
        <f>J417+K417-L417</f>
        <v>90.637528660358385</v>
      </c>
      <c r="N417" s="454">
        <f t="shared" ref="N417" si="67">F417-J417</f>
        <v>234.23340613465962</v>
      </c>
      <c r="O417" s="454">
        <f t="shared" ref="O417" si="68">I417-M417</f>
        <v>243.17047956296307</v>
      </c>
    </row>
    <row r="418" spans="2:15" ht="15.6" x14ac:dyDescent="0.25">
      <c r="B418" s="470">
        <v>3</v>
      </c>
      <c r="C418" s="279" t="s">
        <v>690</v>
      </c>
      <c r="D418" s="471"/>
      <c r="E418" s="360"/>
      <c r="F418" s="472"/>
      <c r="G418" s="472"/>
      <c r="H418" s="472"/>
      <c r="I418" s="472"/>
      <c r="J418" s="472"/>
      <c r="K418" s="472"/>
      <c r="L418" s="472"/>
      <c r="M418" s="472"/>
      <c r="N418" s="472"/>
      <c r="O418" s="472"/>
    </row>
    <row r="419" spans="2:15" ht="15.6" x14ac:dyDescent="0.25">
      <c r="B419" s="451"/>
      <c r="C419" s="276" t="s">
        <v>691</v>
      </c>
      <c r="D419" s="452"/>
      <c r="E419" s="52"/>
      <c r="F419" s="454">
        <f t="shared" ref="F419:H426" si="69">F102*0.9</f>
        <v>4214.2592416946254</v>
      </c>
      <c r="G419" s="454">
        <f t="shared" si="69"/>
        <v>668.00549950553034</v>
      </c>
      <c r="H419" s="454">
        <f t="shared" si="69"/>
        <v>0</v>
      </c>
      <c r="I419" s="454">
        <f t="shared" ref="I419:I426" si="70">F419+G419-H419</f>
        <v>4882.2647412001561</v>
      </c>
      <c r="J419" s="454">
        <f t="shared" ref="J419:L426" si="71">J102*0.9</f>
        <v>2278.4093432565651</v>
      </c>
      <c r="K419" s="454">
        <f t="shared" si="71"/>
        <v>195.05865166719411</v>
      </c>
      <c r="L419" s="454">
        <f t="shared" si="71"/>
        <v>0</v>
      </c>
      <c r="M419" s="454">
        <f t="shared" ref="M419:M426" si="72">J419+K419-L419</f>
        <v>2473.4679949237593</v>
      </c>
      <c r="N419" s="454">
        <f t="shared" ref="N419:N426" si="73">F419-J419</f>
        <v>1935.8498984380603</v>
      </c>
      <c r="O419" s="454">
        <f t="shared" ref="O419:O426" si="74">I419-M419</f>
        <v>2408.7967462763968</v>
      </c>
    </row>
    <row r="420" spans="2:15" ht="15.6" x14ac:dyDescent="0.25">
      <c r="B420" s="451"/>
      <c r="C420" s="276" t="s">
        <v>692</v>
      </c>
      <c r="D420" s="452"/>
      <c r="E420" s="52"/>
      <c r="F420" s="454">
        <f t="shared" si="69"/>
        <v>3849.2435386706311</v>
      </c>
      <c r="G420" s="454">
        <f t="shared" si="69"/>
        <v>725.61702572907689</v>
      </c>
      <c r="H420" s="454">
        <f t="shared" si="69"/>
        <v>0</v>
      </c>
      <c r="I420" s="454">
        <f t="shared" si="70"/>
        <v>4574.860564399708</v>
      </c>
      <c r="J420" s="454">
        <f t="shared" si="71"/>
        <v>1923.758841373912</v>
      </c>
      <c r="K420" s="454">
        <f t="shared" si="71"/>
        <v>112.93051898672873</v>
      </c>
      <c r="L420" s="454">
        <f t="shared" si="71"/>
        <v>0</v>
      </c>
      <c r="M420" s="454">
        <f t="shared" si="72"/>
        <v>2036.6893603606406</v>
      </c>
      <c r="N420" s="454">
        <f t="shared" si="73"/>
        <v>1925.4846972967191</v>
      </c>
      <c r="O420" s="454">
        <f t="shared" si="74"/>
        <v>2538.1712040390676</v>
      </c>
    </row>
    <row r="421" spans="2:15" ht="15.6" x14ac:dyDescent="0.25">
      <c r="B421" s="451"/>
      <c r="C421" s="276" t="s">
        <v>693</v>
      </c>
      <c r="D421" s="452"/>
      <c r="E421" s="52"/>
      <c r="F421" s="454">
        <f t="shared" si="69"/>
        <v>647.6003006251018</v>
      </c>
      <c r="G421" s="454">
        <f t="shared" si="69"/>
        <v>16.005823280534223</v>
      </c>
      <c r="H421" s="454">
        <f t="shared" si="69"/>
        <v>0</v>
      </c>
      <c r="I421" s="454">
        <f t="shared" si="70"/>
        <v>663.60612390563597</v>
      </c>
      <c r="J421" s="454">
        <f t="shared" si="71"/>
        <v>390.5982016553296</v>
      </c>
      <c r="K421" s="454">
        <f t="shared" si="71"/>
        <v>38.664518926633392</v>
      </c>
      <c r="L421" s="454">
        <f t="shared" si="71"/>
        <v>0</v>
      </c>
      <c r="M421" s="454">
        <f t="shared" si="72"/>
        <v>429.26272058196298</v>
      </c>
      <c r="N421" s="454">
        <f t="shared" si="73"/>
        <v>257.00209896977219</v>
      </c>
      <c r="O421" s="454">
        <f t="shared" si="74"/>
        <v>234.34340332367299</v>
      </c>
    </row>
    <row r="422" spans="2:15" ht="15.6" x14ac:dyDescent="0.25">
      <c r="B422" s="451">
        <v>4</v>
      </c>
      <c r="C422" s="279" t="s">
        <v>540</v>
      </c>
      <c r="D422" s="452"/>
      <c r="E422" s="52"/>
      <c r="F422" s="454">
        <f t="shared" si="69"/>
        <v>18.477654022783806</v>
      </c>
      <c r="G422" s="454">
        <f t="shared" si="69"/>
        <v>4.3498424750757296</v>
      </c>
      <c r="H422" s="454">
        <f t="shared" si="69"/>
        <v>0</v>
      </c>
      <c r="I422" s="454">
        <f t="shared" si="70"/>
        <v>22.827496497859535</v>
      </c>
      <c r="J422" s="454">
        <f t="shared" si="71"/>
        <v>15.35910370572528</v>
      </c>
      <c r="K422" s="454">
        <f t="shared" si="71"/>
        <v>7.6077928155723695</v>
      </c>
      <c r="L422" s="454">
        <f t="shared" si="71"/>
        <v>0</v>
      </c>
      <c r="M422" s="454">
        <f t="shared" si="72"/>
        <v>22.966896521297649</v>
      </c>
      <c r="N422" s="454">
        <f t="shared" si="73"/>
        <v>3.118550317058526</v>
      </c>
      <c r="O422" s="454">
        <f t="shared" si="74"/>
        <v>-0.13940002343811386</v>
      </c>
    </row>
    <row r="423" spans="2:15" ht="15.6" x14ac:dyDescent="0.25">
      <c r="B423" s="451">
        <v>5</v>
      </c>
      <c r="C423" s="279" t="s">
        <v>694</v>
      </c>
      <c r="D423" s="452"/>
      <c r="E423" s="52"/>
      <c r="F423" s="454">
        <f t="shared" si="69"/>
        <v>5.65029</v>
      </c>
      <c r="G423" s="454">
        <f t="shared" si="69"/>
        <v>0</v>
      </c>
      <c r="H423" s="454">
        <f t="shared" si="69"/>
        <v>0</v>
      </c>
      <c r="I423" s="454">
        <f t="shared" si="70"/>
        <v>5.65029</v>
      </c>
      <c r="J423" s="454">
        <f t="shared" si="71"/>
        <v>4.2814460924999995</v>
      </c>
      <c r="K423" s="454">
        <f t="shared" si="71"/>
        <v>0.13288906109699794</v>
      </c>
      <c r="L423" s="454">
        <f t="shared" si="71"/>
        <v>0</v>
      </c>
      <c r="M423" s="454">
        <f t="shared" si="72"/>
        <v>4.4143351535969977</v>
      </c>
      <c r="N423" s="454">
        <f t="shared" si="73"/>
        <v>1.3688439075000005</v>
      </c>
      <c r="O423" s="454">
        <f t="shared" si="74"/>
        <v>1.2359548464030023</v>
      </c>
    </row>
    <row r="424" spans="2:15" ht="15.6" x14ac:dyDescent="0.25">
      <c r="B424" s="451">
        <v>6</v>
      </c>
      <c r="C424" s="279" t="s">
        <v>538</v>
      </c>
      <c r="D424" s="452"/>
      <c r="E424" s="52"/>
      <c r="F424" s="454">
        <f t="shared" si="69"/>
        <v>2.4525899999999998</v>
      </c>
      <c r="G424" s="454">
        <f t="shared" si="69"/>
        <v>0</v>
      </c>
      <c r="H424" s="454">
        <f t="shared" si="69"/>
        <v>0</v>
      </c>
      <c r="I424" s="454">
        <f t="shared" si="70"/>
        <v>2.4525899999999998</v>
      </c>
      <c r="J424" s="454">
        <f t="shared" si="71"/>
        <v>2.2053050586000005</v>
      </c>
      <c r="K424" s="454">
        <f t="shared" si="71"/>
        <v>9.3028526999971994E-4</v>
      </c>
      <c r="L424" s="454">
        <f t="shared" si="71"/>
        <v>0</v>
      </c>
      <c r="M424" s="454">
        <f t="shared" si="72"/>
        <v>2.2062353438700004</v>
      </c>
      <c r="N424" s="454">
        <f t="shared" si="73"/>
        <v>0.24728494139999935</v>
      </c>
      <c r="O424" s="454">
        <f t="shared" si="74"/>
        <v>0.24635465612999941</v>
      </c>
    </row>
    <row r="425" spans="2:15" ht="15.6" x14ac:dyDescent="0.25">
      <c r="B425" s="451">
        <v>7</v>
      </c>
      <c r="C425" s="279" t="s">
        <v>695</v>
      </c>
      <c r="D425" s="452"/>
      <c r="E425" s="52"/>
      <c r="F425" s="454">
        <f t="shared" si="69"/>
        <v>89.175227701553581</v>
      </c>
      <c r="G425" s="454">
        <f t="shared" si="69"/>
        <v>40.970472819590093</v>
      </c>
      <c r="H425" s="454">
        <f t="shared" si="69"/>
        <v>0</v>
      </c>
      <c r="I425" s="454">
        <f t="shared" si="70"/>
        <v>130.14570052114368</v>
      </c>
      <c r="J425" s="454">
        <f t="shared" si="71"/>
        <v>57.174480000000003</v>
      </c>
      <c r="K425" s="454">
        <f t="shared" si="71"/>
        <v>0</v>
      </c>
      <c r="L425" s="454">
        <f t="shared" si="71"/>
        <v>0</v>
      </c>
      <c r="M425" s="454">
        <f t="shared" si="72"/>
        <v>57.174480000000003</v>
      </c>
      <c r="N425" s="454">
        <f t="shared" si="73"/>
        <v>32.000747701553578</v>
      </c>
      <c r="O425" s="454">
        <f t="shared" si="74"/>
        <v>72.971220521143678</v>
      </c>
    </row>
    <row r="426" spans="2:15" ht="15.6" x14ac:dyDescent="0.25">
      <c r="B426" s="451">
        <v>8</v>
      </c>
      <c r="C426" s="279" t="s">
        <v>696</v>
      </c>
      <c r="D426" s="452"/>
      <c r="E426" s="52"/>
      <c r="F426" s="454">
        <f t="shared" si="69"/>
        <v>31.435200000000005</v>
      </c>
      <c r="G426" s="454">
        <f t="shared" si="69"/>
        <v>0</v>
      </c>
      <c r="H426" s="454">
        <f t="shared" si="69"/>
        <v>0</v>
      </c>
      <c r="I426" s="454">
        <f t="shared" si="70"/>
        <v>31.435200000000005</v>
      </c>
      <c r="J426" s="454">
        <f t="shared" si="71"/>
        <v>27.184385635316524</v>
      </c>
      <c r="K426" s="454">
        <f t="shared" si="71"/>
        <v>8.1412832177092511</v>
      </c>
      <c r="L426" s="454">
        <f t="shared" si="71"/>
        <v>0</v>
      </c>
      <c r="M426" s="454">
        <f t="shared" si="72"/>
        <v>35.325668853025775</v>
      </c>
      <c r="N426" s="454">
        <f t="shared" si="73"/>
        <v>4.2508143646834817</v>
      </c>
      <c r="O426" s="454">
        <f t="shared" si="74"/>
        <v>-3.8904688530257694</v>
      </c>
    </row>
    <row r="427" spans="2:15" hidden="1" x14ac:dyDescent="0.25">
      <c r="B427" s="451"/>
      <c r="C427" s="457"/>
      <c r="D427" s="452"/>
      <c r="E427" s="52"/>
      <c r="F427" s="454"/>
      <c r="G427" s="454"/>
      <c r="H427" s="454"/>
      <c r="I427" s="454"/>
      <c r="J427" s="454"/>
      <c r="K427" s="454"/>
      <c r="L427" s="454"/>
      <c r="M427" s="454"/>
      <c r="N427" s="454"/>
      <c r="O427" s="454"/>
    </row>
    <row r="428" spans="2:15" hidden="1" x14ac:dyDescent="0.25">
      <c r="B428" s="451"/>
      <c r="C428" s="458"/>
      <c r="D428" s="452"/>
      <c r="E428" s="52"/>
      <c r="F428" s="454"/>
      <c r="G428" s="454"/>
      <c r="H428" s="454"/>
      <c r="I428" s="454"/>
      <c r="J428" s="454"/>
      <c r="K428" s="454"/>
      <c r="L428" s="454"/>
      <c r="M428" s="454"/>
      <c r="N428" s="454"/>
      <c r="O428" s="454"/>
    </row>
    <row r="429" spans="2:15" hidden="1" x14ac:dyDescent="0.25">
      <c r="B429" s="451"/>
      <c r="C429" s="457"/>
      <c r="D429" s="452"/>
      <c r="E429" s="52"/>
      <c r="F429" s="454"/>
      <c r="G429" s="454"/>
      <c r="H429" s="454"/>
      <c r="I429" s="454"/>
      <c r="J429" s="454"/>
      <c r="K429" s="454"/>
      <c r="L429" s="454"/>
      <c r="M429" s="454"/>
      <c r="N429" s="454"/>
      <c r="O429" s="454"/>
    </row>
    <row r="430" spans="2:15" hidden="1" x14ac:dyDescent="0.25">
      <c r="B430" s="451"/>
      <c r="C430" s="457"/>
      <c r="D430" s="452"/>
      <c r="E430" s="52"/>
      <c r="F430" s="454"/>
      <c r="G430" s="454"/>
      <c r="H430" s="454"/>
      <c r="I430" s="454"/>
      <c r="J430" s="454"/>
      <c r="K430" s="454"/>
      <c r="L430" s="454"/>
      <c r="M430" s="454"/>
      <c r="N430" s="454"/>
      <c r="O430" s="454"/>
    </row>
    <row r="431" spans="2:15" hidden="1" x14ac:dyDescent="0.25">
      <c r="B431" s="451"/>
      <c r="C431" s="457"/>
      <c r="D431" s="452"/>
      <c r="E431" s="52"/>
      <c r="F431" s="454"/>
      <c r="G431" s="454"/>
      <c r="H431" s="454"/>
      <c r="I431" s="454"/>
      <c r="J431" s="454"/>
      <c r="K431" s="454"/>
      <c r="L431" s="454"/>
      <c r="M431" s="454"/>
      <c r="N431" s="454"/>
      <c r="O431" s="454"/>
    </row>
    <row r="432" spans="2:15" hidden="1" x14ac:dyDescent="0.25">
      <c r="B432" s="451"/>
      <c r="C432" s="457"/>
      <c r="D432" s="452"/>
      <c r="E432" s="52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</row>
    <row r="433" spans="2:15" hidden="1" x14ac:dyDescent="0.25">
      <c r="B433" s="451"/>
      <c r="C433" s="458"/>
      <c r="D433" s="452"/>
      <c r="E433" s="52"/>
      <c r="F433" s="454"/>
      <c r="G433" s="454"/>
      <c r="H433" s="454"/>
      <c r="I433" s="454"/>
      <c r="J433" s="454"/>
      <c r="K433" s="454"/>
      <c r="L433" s="454"/>
      <c r="M433" s="454"/>
      <c r="N433" s="454"/>
      <c r="O433" s="454"/>
    </row>
    <row r="434" spans="2:15" hidden="1" x14ac:dyDescent="0.25">
      <c r="B434" s="451"/>
      <c r="C434" s="458"/>
      <c r="D434" s="452"/>
      <c r="E434" s="52"/>
      <c r="F434" s="454"/>
      <c r="G434" s="454"/>
      <c r="H434" s="454"/>
      <c r="I434" s="454"/>
      <c r="J434" s="454"/>
      <c r="K434" s="454"/>
      <c r="L434" s="454"/>
      <c r="M434" s="454"/>
      <c r="N434" s="454"/>
      <c r="O434" s="454"/>
    </row>
    <row r="435" spans="2:15" hidden="1" x14ac:dyDescent="0.25">
      <c r="B435" s="451"/>
      <c r="C435" s="458"/>
      <c r="D435" s="452"/>
      <c r="E435" s="52"/>
      <c r="F435" s="454"/>
      <c r="G435" s="454"/>
      <c r="H435" s="454"/>
      <c r="I435" s="454"/>
      <c r="J435" s="454"/>
      <c r="K435" s="454"/>
      <c r="L435" s="454"/>
      <c r="M435" s="454"/>
      <c r="N435" s="454"/>
      <c r="O435" s="454"/>
    </row>
    <row r="436" spans="2:15" hidden="1" x14ac:dyDescent="0.25">
      <c r="B436" s="451"/>
      <c r="C436" s="457"/>
      <c r="D436" s="452"/>
      <c r="E436" s="52"/>
      <c r="F436" s="454"/>
      <c r="G436" s="454"/>
      <c r="H436" s="454"/>
      <c r="I436" s="454"/>
      <c r="J436" s="454"/>
      <c r="K436" s="454"/>
      <c r="L436" s="454"/>
      <c r="M436" s="454"/>
      <c r="N436" s="454"/>
      <c r="O436" s="454"/>
    </row>
    <row r="437" spans="2:15" hidden="1" x14ac:dyDescent="0.25">
      <c r="B437" s="451"/>
      <c r="C437" s="457"/>
      <c r="D437" s="452"/>
      <c r="E437" s="52"/>
      <c r="F437" s="454"/>
      <c r="G437" s="454"/>
      <c r="H437" s="454"/>
      <c r="I437" s="454"/>
      <c r="J437" s="454"/>
      <c r="K437" s="454"/>
      <c r="L437" s="454"/>
      <c r="M437" s="454"/>
      <c r="N437" s="454"/>
      <c r="O437" s="454"/>
    </row>
    <row r="438" spans="2:15" hidden="1" x14ac:dyDescent="0.25">
      <c r="B438" s="459"/>
      <c r="C438" s="460"/>
      <c r="D438" s="452"/>
      <c r="E438" s="52"/>
      <c r="F438" s="454"/>
      <c r="G438" s="454"/>
      <c r="H438" s="454"/>
      <c r="I438" s="454"/>
      <c r="J438" s="454"/>
      <c r="K438" s="454"/>
      <c r="L438" s="454"/>
      <c r="M438" s="454"/>
      <c r="N438" s="454"/>
      <c r="O438" s="454"/>
    </row>
    <row r="439" spans="2:15" hidden="1" x14ac:dyDescent="0.25">
      <c r="B439" s="461"/>
      <c r="C439" s="280"/>
      <c r="D439" s="462"/>
      <c r="E439" s="52"/>
      <c r="F439" s="454"/>
      <c r="G439" s="454"/>
      <c r="H439" s="454"/>
      <c r="I439" s="454"/>
      <c r="J439" s="454"/>
      <c r="K439" s="454"/>
      <c r="L439" s="454"/>
      <c r="M439" s="454"/>
      <c r="N439" s="454"/>
      <c r="O439" s="454"/>
    </row>
    <row r="440" spans="2:15" hidden="1" x14ac:dyDescent="0.25">
      <c r="B440" s="461"/>
      <c r="C440" s="280"/>
      <c r="D440" s="462"/>
      <c r="E440" s="52"/>
      <c r="F440" s="454"/>
      <c r="G440" s="454"/>
      <c r="H440" s="454"/>
      <c r="I440" s="454"/>
      <c r="J440" s="454"/>
      <c r="K440" s="454"/>
      <c r="L440" s="454"/>
      <c r="M440" s="454"/>
      <c r="N440" s="454"/>
      <c r="O440" s="454"/>
    </row>
    <row r="441" spans="2:15" hidden="1" x14ac:dyDescent="0.25">
      <c r="B441" s="461"/>
      <c r="C441" s="280"/>
      <c r="D441" s="462"/>
      <c r="E441" s="52"/>
      <c r="F441" s="454"/>
      <c r="G441" s="454"/>
      <c r="H441" s="454"/>
      <c r="I441" s="454"/>
      <c r="J441" s="454"/>
      <c r="K441" s="454"/>
      <c r="L441" s="454"/>
      <c r="M441" s="454"/>
      <c r="N441" s="454"/>
      <c r="O441" s="454"/>
    </row>
    <row r="442" spans="2:15" hidden="1" x14ac:dyDescent="0.25">
      <c r="B442" s="461"/>
      <c r="C442" s="281"/>
      <c r="D442" s="462"/>
      <c r="E442" s="52"/>
      <c r="F442" s="454"/>
      <c r="G442" s="454"/>
      <c r="H442" s="454"/>
      <c r="I442" s="454"/>
      <c r="J442" s="454"/>
      <c r="K442" s="454"/>
      <c r="L442" s="454"/>
      <c r="M442" s="454"/>
      <c r="N442" s="454"/>
      <c r="O442" s="454"/>
    </row>
    <row r="443" spans="2:15" hidden="1" x14ac:dyDescent="0.25">
      <c r="B443" s="461"/>
      <c r="C443" s="281"/>
      <c r="D443" s="462"/>
      <c r="E443" s="52"/>
      <c r="F443" s="454"/>
      <c r="G443" s="454"/>
      <c r="H443" s="454"/>
      <c r="I443" s="454"/>
      <c r="J443" s="454"/>
      <c r="K443" s="454"/>
      <c r="L443" s="454"/>
      <c r="M443" s="454"/>
      <c r="N443" s="454"/>
      <c r="O443" s="454"/>
    </row>
    <row r="444" spans="2:15" hidden="1" x14ac:dyDescent="0.25">
      <c r="B444" s="461"/>
      <c r="C444" s="281"/>
      <c r="D444" s="462"/>
      <c r="E444" s="52"/>
      <c r="F444" s="454"/>
      <c r="G444" s="454"/>
      <c r="H444" s="454"/>
      <c r="I444" s="454"/>
      <c r="J444" s="454"/>
      <c r="K444" s="454"/>
      <c r="L444" s="454"/>
      <c r="M444" s="454"/>
      <c r="N444" s="454"/>
      <c r="O444" s="454"/>
    </row>
    <row r="445" spans="2:15" hidden="1" x14ac:dyDescent="0.25">
      <c r="B445" s="461"/>
      <c r="C445" s="281"/>
      <c r="D445" s="462"/>
      <c r="E445" s="52"/>
      <c r="F445" s="454"/>
      <c r="G445" s="454"/>
      <c r="H445" s="454"/>
      <c r="I445" s="454"/>
      <c r="J445" s="454"/>
      <c r="K445" s="454"/>
      <c r="L445" s="454"/>
      <c r="M445" s="454"/>
      <c r="N445" s="454"/>
      <c r="O445" s="454"/>
    </row>
    <row r="446" spans="2:15" hidden="1" x14ac:dyDescent="0.25">
      <c r="B446" s="461"/>
      <c r="C446" s="281"/>
      <c r="D446" s="462"/>
      <c r="E446" s="52"/>
      <c r="F446" s="454"/>
      <c r="G446" s="454"/>
      <c r="H446" s="454"/>
      <c r="I446" s="454"/>
      <c r="J446" s="454"/>
      <c r="K446" s="454"/>
      <c r="L446" s="454"/>
      <c r="M446" s="454"/>
      <c r="N446" s="454"/>
      <c r="O446" s="454"/>
    </row>
    <row r="447" spans="2:15" hidden="1" x14ac:dyDescent="0.25">
      <c r="B447" s="461"/>
      <c r="C447" s="281"/>
      <c r="D447" s="462"/>
      <c r="E447" s="52"/>
      <c r="F447" s="454"/>
      <c r="G447" s="454"/>
      <c r="H447" s="454"/>
      <c r="I447" s="454"/>
      <c r="J447" s="454"/>
      <c r="K447" s="454"/>
      <c r="L447" s="454"/>
      <c r="M447" s="454"/>
      <c r="N447" s="454"/>
      <c r="O447" s="454"/>
    </row>
    <row r="448" spans="2:15" hidden="1" x14ac:dyDescent="0.25">
      <c r="B448" s="461"/>
      <c r="C448" s="281"/>
      <c r="D448" s="462"/>
      <c r="E448" s="52"/>
      <c r="F448" s="454"/>
      <c r="G448" s="454"/>
      <c r="H448" s="454"/>
      <c r="I448" s="454"/>
      <c r="J448" s="454"/>
      <c r="K448" s="454"/>
      <c r="L448" s="454"/>
      <c r="M448" s="454"/>
      <c r="N448" s="454"/>
      <c r="O448" s="454"/>
    </row>
    <row r="449" spans="2:15" hidden="1" x14ac:dyDescent="0.25">
      <c r="B449" s="461"/>
      <c r="C449" s="280"/>
      <c r="D449" s="462"/>
      <c r="E449" s="52"/>
      <c r="F449" s="454"/>
      <c r="G449" s="454"/>
      <c r="H449" s="454"/>
      <c r="I449" s="454"/>
      <c r="J449" s="454"/>
      <c r="K449" s="454"/>
      <c r="L449" s="454"/>
      <c r="M449" s="454"/>
      <c r="N449" s="454"/>
      <c r="O449" s="454"/>
    </row>
    <row r="450" spans="2:15" hidden="1" x14ac:dyDescent="0.25">
      <c r="B450" s="461"/>
      <c r="C450" s="281"/>
      <c r="D450" s="462"/>
      <c r="E450" s="52"/>
      <c r="F450" s="454"/>
      <c r="G450" s="454"/>
      <c r="H450" s="454"/>
      <c r="I450" s="454"/>
      <c r="J450" s="454"/>
      <c r="K450" s="454"/>
      <c r="L450" s="454"/>
      <c r="M450" s="454"/>
      <c r="N450" s="454"/>
      <c r="O450" s="454"/>
    </row>
    <row r="451" spans="2:15" hidden="1" x14ac:dyDescent="0.25">
      <c r="B451" s="461"/>
      <c r="C451" s="281"/>
      <c r="D451" s="462"/>
      <c r="E451" s="52"/>
      <c r="F451" s="454"/>
      <c r="G451" s="454"/>
      <c r="H451" s="454"/>
      <c r="I451" s="454"/>
      <c r="J451" s="454"/>
      <c r="K451" s="454"/>
      <c r="L451" s="454"/>
      <c r="M451" s="454"/>
      <c r="N451" s="454"/>
      <c r="O451" s="454"/>
    </row>
    <row r="452" spans="2:15" hidden="1" x14ac:dyDescent="0.25">
      <c r="B452" s="461"/>
      <c r="C452" s="281"/>
      <c r="D452" s="462"/>
      <c r="E452" s="52"/>
      <c r="F452" s="454"/>
      <c r="G452" s="454"/>
      <c r="H452" s="454"/>
      <c r="I452" s="454"/>
      <c r="J452" s="454"/>
      <c r="K452" s="454"/>
      <c r="L452" s="454"/>
      <c r="M452" s="454"/>
      <c r="N452" s="454"/>
      <c r="O452" s="454"/>
    </row>
    <row r="453" spans="2:15" hidden="1" x14ac:dyDescent="0.25">
      <c r="B453" s="461"/>
      <c r="C453" s="280"/>
      <c r="D453" s="462"/>
      <c r="E453" s="52"/>
      <c r="F453" s="454"/>
      <c r="G453" s="454"/>
      <c r="H453" s="454"/>
      <c r="I453" s="454"/>
      <c r="J453" s="454"/>
      <c r="K453" s="454"/>
      <c r="L453" s="454"/>
      <c r="M453" s="454"/>
      <c r="N453" s="454"/>
      <c r="O453" s="454"/>
    </row>
    <row r="454" spans="2:15" hidden="1" x14ac:dyDescent="0.25">
      <c r="B454" s="461"/>
      <c r="C454" s="280"/>
      <c r="D454" s="452"/>
      <c r="E454" s="52"/>
      <c r="F454" s="454"/>
      <c r="G454" s="454"/>
      <c r="H454" s="454"/>
      <c r="I454" s="454"/>
      <c r="J454" s="454"/>
      <c r="K454" s="454"/>
      <c r="L454" s="454"/>
      <c r="M454" s="454"/>
      <c r="N454" s="454"/>
      <c r="O454" s="454"/>
    </row>
    <row r="455" spans="2:15" hidden="1" x14ac:dyDescent="0.25">
      <c r="B455" s="461"/>
      <c r="C455" s="280"/>
      <c r="D455" s="452"/>
      <c r="E455" s="53"/>
      <c r="F455" s="454"/>
      <c r="G455" s="454"/>
      <c r="H455" s="454"/>
      <c r="I455" s="454"/>
      <c r="J455" s="454"/>
      <c r="K455" s="454"/>
      <c r="L455" s="454"/>
      <c r="M455" s="454"/>
      <c r="N455" s="454"/>
      <c r="O455" s="454"/>
    </row>
    <row r="456" spans="2:15" ht="14.4" thickBot="1" x14ac:dyDescent="0.3">
      <c r="B456" s="463"/>
      <c r="C456" s="464" t="s">
        <v>251</v>
      </c>
      <c r="D456" s="464"/>
      <c r="E456" s="465"/>
      <c r="F456" s="466">
        <f>SUM(F416:F455)</f>
        <v>9179.2089645352025</v>
      </c>
      <c r="G456" s="466">
        <f t="shared" ref="G456:O456" si="75">SUM(G416:G455)</f>
        <v>1487.0524366489383</v>
      </c>
      <c r="H456" s="466">
        <f t="shared" si="75"/>
        <v>0</v>
      </c>
      <c r="I456" s="466">
        <f t="shared" si="75"/>
        <v>10666.261401184143</v>
      </c>
      <c r="J456" s="466">
        <f t="shared" si="75"/>
        <v>4779.4000453070257</v>
      </c>
      <c r="K456" s="466">
        <f t="shared" si="75"/>
        <v>372.75948107795972</v>
      </c>
      <c r="L456" s="466">
        <f t="shared" si="75"/>
        <v>0</v>
      </c>
      <c r="M456" s="466">
        <f t="shared" si="75"/>
        <v>5152.1595263849849</v>
      </c>
      <c r="N456" s="466">
        <f t="shared" si="75"/>
        <v>4399.8089192281786</v>
      </c>
      <c r="O456" s="466">
        <f t="shared" si="75"/>
        <v>5514.1018747991575</v>
      </c>
    </row>
    <row r="457" spans="2:15" ht="14.4" thickBot="1" x14ac:dyDescent="0.3">
      <c r="O457" s="15" t="s">
        <v>1215</v>
      </c>
    </row>
    <row r="458" spans="2:15" x14ac:dyDescent="0.25">
      <c r="B458" s="858" t="s">
        <v>1230</v>
      </c>
      <c r="C458" s="859"/>
      <c r="D458" s="859"/>
      <c r="E458" s="859"/>
      <c r="F458" s="859"/>
      <c r="G458" s="859"/>
      <c r="H458" s="859"/>
      <c r="I458" s="859"/>
      <c r="J458" s="859"/>
      <c r="K458" s="859"/>
      <c r="L458" s="859"/>
      <c r="M458" s="859"/>
      <c r="N458" s="859"/>
      <c r="O458" s="860"/>
    </row>
    <row r="459" spans="2:15" x14ac:dyDescent="0.25">
      <c r="B459" s="861" t="s">
        <v>474</v>
      </c>
      <c r="C459" s="863" t="s">
        <v>556</v>
      </c>
      <c r="D459" s="865" t="s">
        <v>557</v>
      </c>
      <c r="E459" s="865" t="s">
        <v>558</v>
      </c>
      <c r="F459" s="865" t="s">
        <v>559</v>
      </c>
      <c r="G459" s="865"/>
      <c r="H459" s="865"/>
      <c r="I459" s="865"/>
      <c r="J459" s="865" t="s">
        <v>560</v>
      </c>
      <c r="K459" s="865"/>
      <c r="L459" s="865"/>
      <c r="M459" s="865"/>
      <c r="N459" s="865" t="s">
        <v>561</v>
      </c>
      <c r="O459" s="867"/>
    </row>
    <row r="460" spans="2:15" ht="55.8" thickBot="1" x14ac:dyDescent="0.3">
      <c r="B460" s="862"/>
      <c r="C460" s="864"/>
      <c r="D460" s="866"/>
      <c r="E460" s="866"/>
      <c r="F460" s="468" t="s">
        <v>562</v>
      </c>
      <c r="G460" s="468" t="s">
        <v>563</v>
      </c>
      <c r="H460" s="468" t="s">
        <v>564</v>
      </c>
      <c r="I460" s="468" t="s">
        <v>565</v>
      </c>
      <c r="J460" s="468" t="s">
        <v>566</v>
      </c>
      <c r="K460" s="468" t="s">
        <v>563</v>
      </c>
      <c r="L460" s="468" t="s">
        <v>567</v>
      </c>
      <c r="M460" s="468" t="s">
        <v>568</v>
      </c>
      <c r="N460" s="468" t="s">
        <v>562</v>
      </c>
      <c r="O460" s="469" t="s">
        <v>565</v>
      </c>
    </row>
    <row r="461" spans="2:15" ht="15.6" x14ac:dyDescent="0.25">
      <c r="B461" s="451">
        <v>1</v>
      </c>
      <c r="C461" s="276" t="s">
        <v>689</v>
      </c>
      <c r="D461" s="452"/>
      <c r="E461" s="453"/>
      <c r="F461" s="454">
        <f>F144*0.9</f>
        <v>19.210686436319133</v>
      </c>
      <c r="G461" s="454">
        <f>G144*0.9</f>
        <v>12.884924107887839</v>
      </c>
      <c r="H461" s="454">
        <f>H144*0.9</f>
        <v>0</v>
      </c>
      <c r="I461" s="454">
        <f>F461+G461-H461</f>
        <v>32.09561054420697</v>
      </c>
      <c r="J461" s="454">
        <f t="shared" ref="J461:L462" si="76">J144*0.9</f>
        <v>1.4305986474545429E-2</v>
      </c>
      <c r="K461" s="454">
        <f t="shared" si="76"/>
        <v>1.4305986474545429E-2</v>
      </c>
      <c r="L461" s="454">
        <f t="shared" si="76"/>
        <v>0</v>
      </c>
      <c r="M461" s="454">
        <f>J461+K461-L461</f>
        <v>2.8611972949090857E-2</v>
      </c>
      <c r="N461" s="454">
        <f>F461-J461</f>
        <v>19.196380449844586</v>
      </c>
      <c r="O461" s="454">
        <f>I461-M461</f>
        <v>32.066998571257876</v>
      </c>
    </row>
    <row r="462" spans="2:15" ht="15.6" x14ac:dyDescent="0.25">
      <c r="B462" s="451">
        <v>2</v>
      </c>
      <c r="C462" s="276" t="s">
        <v>534</v>
      </c>
      <c r="D462" s="452"/>
      <c r="E462" s="453"/>
      <c r="F462" s="454">
        <f t="shared" ref="F462:H462" si="77">F145*0.9</f>
        <v>333.80800822332145</v>
      </c>
      <c r="G462" s="454">
        <f t="shared" si="77"/>
        <v>19.037532145971202</v>
      </c>
      <c r="H462" s="454">
        <f t="shared" si="77"/>
        <v>0</v>
      </c>
      <c r="I462" s="454">
        <f t="shared" ref="I462" si="78">F462+G462-H462</f>
        <v>352.84554036929268</v>
      </c>
      <c r="J462" s="454">
        <f t="shared" si="76"/>
        <v>90.637528660358385</v>
      </c>
      <c r="K462" s="454">
        <f t="shared" si="76"/>
        <v>9.2128911528699451</v>
      </c>
      <c r="L462" s="454">
        <f t="shared" si="76"/>
        <v>0</v>
      </c>
      <c r="M462" s="454">
        <f>J462+K462-L462</f>
        <v>99.850419813228328</v>
      </c>
      <c r="N462" s="454">
        <f t="shared" ref="N462" si="79">F462-J462</f>
        <v>243.17047956296307</v>
      </c>
      <c r="O462" s="454">
        <f t="shared" ref="O462" si="80">I462-M462</f>
        <v>252.99512055606436</v>
      </c>
    </row>
    <row r="463" spans="2:15" ht="15.6" x14ac:dyDescent="0.25">
      <c r="B463" s="470">
        <v>3</v>
      </c>
      <c r="C463" s="279" t="s">
        <v>690</v>
      </c>
      <c r="D463" s="471"/>
      <c r="E463" s="360"/>
      <c r="F463" s="472"/>
      <c r="G463" s="472"/>
      <c r="H463" s="472"/>
      <c r="I463" s="472"/>
      <c r="J463" s="472"/>
      <c r="K463" s="472"/>
      <c r="L463" s="472"/>
      <c r="M463" s="472"/>
      <c r="N463" s="472"/>
      <c r="O463" s="472"/>
    </row>
    <row r="464" spans="2:15" ht="15.6" x14ac:dyDescent="0.25">
      <c r="B464" s="451"/>
      <c r="C464" s="276" t="s">
        <v>691</v>
      </c>
      <c r="D464" s="452"/>
      <c r="E464" s="52"/>
      <c r="F464" s="454">
        <f t="shared" ref="F464:H471" si="81">F147*0.9</f>
        <v>4882.2647412001561</v>
      </c>
      <c r="G464" s="454">
        <f t="shared" si="81"/>
        <v>664.23271938027005</v>
      </c>
      <c r="H464" s="454">
        <f t="shared" si="81"/>
        <v>0</v>
      </c>
      <c r="I464" s="454">
        <f t="shared" ref="I464:I466" si="82">F464+G464-H464</f>
        <v>5546.4974605804264</v>
      </c>
      <c r="J464" s="454">
        <f t="shared" ref="J464:L471" si="83">J147*0.9</f>
        <v>2473.4679949237593</v>
      </c>
      <c r="K464" s="454">
        <f t="shared" si="83"/>
        <v>212.34925896439623</v>
      </c>
      <c r="L464" s="454">
        <f t="shared" si="83"/>
        <v>0</v>
      </c>
      <c r="M464" s="454">
        <f t="shared" ref="M464:M471" si="84">J464+K464-L464</f>
        <v>2685.8172538881554</v>
      </c>
      <c r="N464" s="454">
        <f t="shared" ref="N464:N471" si="85">F464-J464</f>
        <v>2408.7967462763968</v>
      </c>
      <c r="O464" s="454">
        <f t="shared" ref="O464:O471" si="86">I464-M464</f>
        <v>2860.680206692271</v>
      </c>
    </row>
    <row r="465" spans="2:15" ht="15.6" x14ac:dyDescent="0.25">
      <c r="B465" s="451"/>
      <c r="C465" s="276" t="s">
        <v>692</v>
      </c>
      <c r="D465" s="452"/>
      <c r="E465" s="52"/>
      <c r="F465" s="454">
        <f t="shared" si="81"/>
        <v>4574.860564399708</v>
      </c>
      <c r="G465" s="454">
        <f t="shared" si="81"/>
        <v>721.51886561625213</v>
      </c>
      <c r="H465" s="454">
        <f t="shared" si="81"/>
        <v>0</v>
      </c>
      <c r="I465" s="454">
        <f t="shared" si="82"/>
        <v>5296.3794300159598</v>
      </c>
      <c r="J465" s="454">
        <f t="shared" si="83"/>
        <v>2036.6893603606409</v>
      </c>
      <c r="K465" s="454">
        <f t="shared" si="83"/>
        <v>144.04468971662746</v>
      </c>
      <c r="L465" s="454">
        <f t="shared" si="83"/>
        <v>0</v>
      </c>
      <c r="M465" s="454">
        <f t="shared" si="84"/>
        <v>2180.7340500772684</v>
      </c>
      <c r="N465" s="454">
        <f t="shared" si="85"/>
        <v>2538.1712040390671</v>
      </c>
      <c r="O465" s="454">
        <f t="shared" si="86"/>
        <v>3115.6453799386913</v>
      </c>
    </row>
    <row r="466" spans="2:15" ht="15.6" x14ac:dyDescent="0.25">
      <c r="B466" s="451"/>
      <c r="C466" s="276" t="s">
        <v>693</v>
      </c>
      <c r="D466" s="452"/>
      <c r="E466" s="52"/>
      <c r="F466" s="454">
        <f t="shared" si="81"/>
        <v>663.60612390563608</v>
      </c>
      <c r="G466" s="454">
        <f t="shared" si="81"/>
        <v>15.915425144581857</v>
      </c>
      <c r="H466" s="454">
        <f t="shared" si="81"/>
        <v>0</v>
      </c>
      <c r="I466" s="454">
        <f t="shared" si="82"/>
        <v>679.52154905021791</v>
      </c>
      <c r="J466" s="454">
        <f t="shared" si="83"/>
        <v>429.26272058196298</v>
      </c>
      <c r="K466" s="454">
        <f t="shared" si="83"/>
        <v>33.430776601506601</v>
      </c>
      <c r="L466" s="454">
        <f t="shared" si="83"/>
        <v>0</v>
      </c>
      <c r="M466" s="454">
        <f t="shared" si="84"/>
        <v>462.69349718346956</v>
      </c>
      <c r="N466" s="454">
        <f t="shared" si="85"/>
        <v>234.3434033236731</v>
      </c>
      <c r="O466" s="454">
        <f t="shared" si="86"/>
        <v>216.82805186674835</v>
      </c>
    </row>
    <row r="467" spans="2:15" ht="15.6" x14ac:dyDescent="0.25">
      <c r="B467" s="451">
        <v>4</v>
      </c>
      <c r="C467" s="279" t="s">
        <v>540</v>
      </c>
      <c r="D467" s="452"/>
      <c r="E467" s="52"/>
      <c r="F467" s="454">
        <f t="shared" si="81"/>
        <v>22.827496497859535</v>
      </c>
      <c r="G467" s="454">
        <f t="shared" si="81"/>
        <v>4.3252753132033703</v>
      </c>
      <c r="H467" s="454">
        <f t="shared" si="81"/>
        <v>0</v>
      </c>
      <c r="I467" s="454">
        <f>F467+G467-H467</f>
        <v>27.152771811062905</v>
      </c>
      <c r="J467" s="454">
        <f t="shared" si="83"/>
        <v>22.966896521297652</v>
      </c>
      <c r="K467" s="454">
        <f t="shared" si="83"/>
        <v>5.2718434510090031</v>
      </c>
      <c r="L467" s="454">
        <f t="shared" si="83"/>
        <v>0</v>
      </c>
      <c r="M467" s="454">
        <f t="shared" si="84"/>
        <v>28.238739972306654</v>
      </c>
      <c r="N467" s="454">
        <f t="shared" si="85"/>
        <v>-0.13940002343811742</v>
      </c>
      <c r="O467" s="454">
        <f t="shared" si="86"/>
        <v>-1.0859681612437484</v>
      </c>
    </row>
    <row r="468" spans="2:15" ht="15.6" x14ac:dyDescent="0.25">
      <c r="B468" s="451">
        <v>5</v>
      </c>
      <c r="C468" s="279" t="s">
        <v>694</v>
      </c>
      <c r="D468" s="452"/>
      <c r="E468" s="52"/>
      <c r="F468" s="454">
        <f t="shared" si="81"/>
        <v>5.65029</v>
      </c>
      <c r="G468" s="454">
        <f t="shared" si="81"/>
        <v>0</v>
      </c>
      <c r="H468" s="454">
        <f t="shared" si="81"/>
        <v>0</v>
      </c>
      <c r="I468" s="454">
        <f t="shared" ref="I468:I471" si="87">F468+G468-H468</f>
        <v>5.65029</v>
      </c>
      <c r="J468" s="454">
        <f t="shared" si="83"/>
        <v>4.4143351535969977</v>
      </c>
      <c r="K468" s="454">
        <f t="shared" si="83"/>
        <v>0.13153962480300257</v>
      </c>
      <c r="L468" s="454">
        <f t="shared" si="83"/>
        <v>0</v>
      </c>
      <c r="M468" s="454">
        <f t="shared" si="84"/>
        <v>4.5458747784</v>
      </c>
      <c r="N468" s="454">
        <f t="shared" si="85"/>
        <v>1.2359548464030023</v>
      </c>
      <c r="O468" s="454">
        <f t="shared" si="86"/>
        <v>1.1044152216000001</v>
      </c>
    </row>
    <row r="469" spans="2:15" ht="15.6" x14ac:dyDescent="0.25">
      <c r="B469" s="451">
        <v>6</v>
      </c>
      <c r="C469" s="279" t="s">
        <v>538</v>
      </c>
      <c r="D469" s="452"/>
      <c r="E469" s="52"/>
      <c r="F469" s="454">
        <f t="shared" si="81"/>
        <v>2.4525899999999998</v>
      </c>
      <c r="G469" s="454">
        <f t="shared" si="81"/>
        <v>0</v>
      </c>
      <c r="H469" s="454">
        <f t="shared" si="81"/>
        <v>0</v>
      </c>
      <c r="I469" s="454">
        <f t="shared" si="87"/>
        <v>2.4525899999999998</v>
      </c>
      <c r="J469" s="454">
        <f t="shared" si="83"/>
        <v>2.2062353438700004</v>
      </c>
      <c r="K469" s="454">
        <f t="shared" si="83"/>
        <v>0</v>
      </c>
      <c r="L469" s="454">
        <f t="shared" si="83"/>
        <v>0</v>
      </c>
      <c r="M469" s="454">
        <f t="shared" si="84"/>
        <v>2.2062353438700004</v>
      </c>
      <c r="N469" s="454">
        <f t="shared" si="85"/>
        <v>0.24635465612999941</v>
      </c>
      <c r="O469" s="454">
        <f t="shared" si="86"/>
        <v>0.24635465612999941</v>
      </c>
    </row>
    <row r="470" spans="2:15" ht="15.6" x14ac:dyDescent="0.25">
      <c r="B470" s="451">
        <v>7</v>
      </c>
      <c r="C470" s="279" t="s">
        <v>695</v>
      </c>
      <c r="D470" s="452"/>
      <c r="E470" s="52"/>
      <c r="F470" s="454">
        <f t="shared" si="81"/>
        <v>130.14570052114368</v>
      </c>
      <c r="G470" s="454">
        <f t="shared" si="81"/>
        <v>40.739078638418412</v>
      </c>
      <c r="H470" s="454">
        <f t="shared" si="81"/>
        <v>0</v>
      </c>
      <c r="I470" s="454">
        <f t="shared" si="87"/>
        <v>170.8847791595621</v>
      </c>
      <c r="J470" s="454">
        <f t="shared" si="83"/>
        <v>57.174480000000003</v>
      </c>
      <c r="K470" s="454">
        <f t="shared" si="83"/>
        <v>0</v>
      </c>
      <c r="L470" s="454">
        <f t="shared" si="83"/>
        <v>0</v>
      </c>
      <c r="M470" s="454">
        <f t="shared" si="84"/>
        <v>57.174480000000003</v>
      </c>
      <c r="N470" s="454">
        <f t="shared" si="85"/>
        <v>72.971220521143678</v>
      </c>
      <c r="O470" s="454">
        <f t="shared" si="86"/>
        <v>113.7102991595621</v>
      </c>
    </row>
    <row r="471" spans="2:15" ht="15.6" x14ac:dyDescent="0.25">
      <c r="B471" s="451">
        <v>8</v>
      </c>
      <c r="C471" s="279" t="s">
        <v>696</v>
      </c>
      <c r="D471" s="452"/>
      <c r="E471" s="52"/>
      <c r="F471" s="454">
        <f t="shared" si="81"/>
        <v>31.435200000000005</v>
      </c>
      <c r="G471" s="454">
        <f t="shared" si="81"/>
        <v>0</v>
      </c>
      <c r="H471" s="454">
        <f t="shared" si="81"/>
        <v>0</v>
      </c>
      <c r="I471" s="454">
        <f t="shared" si="87"/>
        <v>31.435200000000005</v>
      </c>
      <c r="J471" s="454">
        <f t="shared" si="83"/>
        <v>35.325668853025775</v>
      </c>
      <c r="K471" s="454">
        <f t="shared" si="83"/>
        <v>9.3334091661599086</v>
      </c>
      <c r="L471" s="454">
        <f t="shared" si="83"/>
        <v>0</v>
      </c>
      <c r="M471" s="454">
        <f t="shared" si="84"/>
        <v>44.659078019185685</v>
      </c>
      <c r="N471" s="454">
        <f t="shared" si="85"/>
        <v>-3.8904688530257694</v>
      </c>
      <c r="O471" s="454">
        <f t="shared" si="86"/>
        <v>-13.22387801918568</v>
      </c>
    </row>
    <row r="472" spans="2:15" hidden="1" x14ac:dyDescent="0.25">
      <c r="B472" s="451"/>
      <c r="C472" s="457"/>
      <c r="D472" s="452"/>
      <c r="E472" s="52"/>
      <c r="F472" s="454"/>
      <c r="G472" s="454"/>
      <c r="H472" s="454"/>
      <c r="I472" s="454"/>
      <c r="J472" s="454"/>
      <c r="K472" s="454"/>
      <c r="L472" s="454"/>
      <c r="M472" s="454"/>
      <c r="N472" s="454"/>
      <c r="O472" s="454"/>
    </row>
    <row r="473" spans="2:15" hidden="1" x14ac:dyDescent="0.25">
      <c r="B473" s="451"/>
      <c r="C473" s="458"/>
      <c r="D473" s="452"/>
      <c r="E473" s="52"/>
      <c r="F473" s="454"/>
      <c r="G473" s="454"/>
      <c r="H473" s="454"/>
      <c r="I473" s="454"/>
      <c r="J473" s="454"/>
      <c r="K473" s="454"/>
      <c r="L473" s="454"/>
      <c r="M473" s="454"/>
      <c r="N473" s="454"/>
      <c r="O473" s="454"/>
    </row>
    <row r="474" spans="2:15" hidden="1" x14ac:dyDescent="0.25">
      <c r="B474" s="451"/>
      <c r="C474" s="457"/>
      <c r="D474" s="452"/>
      <c r="E474" s="52"/>
      <c r="F474" s="454"/>
      <c r="G474" s="454"/>
      <c r="H474" s="454"/>
      <c r="I474" s="454"/>
      <c r="J474" s="454"/>
      <c r="K474" s="454"/>
      <c r="L474" s="454"/>
      <c r="M474" s="454"/>
      <c r="N474" s="454"/>
      <c r="O474" s="454"/>
    </row>
    <row r="475" spans="2:15" hidden="1" x14ac:dyDescent="0.25">
      <c r="B475" s="451"/>
      <c r="C475" s="457"/>
      <c r="D475" s="452"/>
      <c r="E475" s="52"/>
      <c r="F475" s="454"/>
      <c r="G475" s="454"/>
      <c r="H475" s="454"/>
      <c r="I475" s="454"/>
      <c r="J475" s="454"/>
      <c r="K475" s="454"/>
      <c r="L475" s="454"/>
      <c r="M475" s="454"/>
      <c r="N475" s="454"/>
      <c r="O475" s="454"/>
    </row>
    <row r="476" spans="2:15" hidden="1" x14ac:dyDescent="0.25">
      <c r="B476" s="451"/>
      <c r="C476" s="457"/>
      <c r="D476" s="452"/>
      <c r="E476" s="52"/>
      <c r="F476" s="454"/>
      <c r="G476" s="454"/>
      <c r="H476" s="454"/>
      <c r="I476" s="454"/>
      <c r="J476" s="454"/>
      <c r="K476" s="454"/>
      <c r="L476" s="454"/>
      <c r="M476" s="454"/>
      <c r="N476" s="454"/>
      <c r="O476" s="454"/>
    </row>
    <row r="477" spans="2:15" hidden="1" x14ac:dyDescent="0.25">
      <c r="B477" s="451"/>
      <c r="C477" s="457"/>
      <c r="D477" s="452"/>
      <c r="E477" s="52"/>
      <c r="F477" s="454"/>
      <c r="G477" s="454"/>
      <c r="H477" s="454"/>
      <c r="I477" s="454"/>
      <c r="J477" s="454"/>
      <c r="K477" s="454"/>
      <c r="L477" s="454"/>
      <c r="M477" s="454"/>
      <c r="N477" s="454"/>
      <c r="O477" s="454"/>
    </row>
    <row r="478" spans="2:15" hidden="1" x14ac:dyDescent="0.25">
      <c r="B478" s="451"/>
      <c r="C478" s="458"/>
      <c r="D478" s="452"/>
      <c r="E478" s="52"/>
      <c r="F478" s="454"/>
      <c r="G478" s="454"/>
      <c r="H478" s="454"/>
      <c r="I478" s="454"/>
      <c r="J478" s="454"/>
      <c r="K478" s="454"/>
      <c r="L478" s="454"/>
      <c r="M478" s="454"/>
      <c r="N478" s="454"/>
      <c r="O478" s="454"/>
    </row>
    <row r="479" spans="2:15" hidden="1" x14ac:dyDescent="0.25">
      <c r="B479" s="451"/>
      <c r="C479" s="458"/>
      <c r="D479" s="452"/>
      <c r="E479" s="52"/>
      <c r="F479" s="454"/>
      <c r="G479" s="454"/>
      <c r="H479" s="454"/>
      <c r="I479" s="454"/>
      <c r="J479" s="454"/>
      <c r="K479" s="454"/>
      <c r="L479" s="454"/>
      <c r="M479" s="454"/>
      <c r="N479" s="454"/>
      <c r="O479" s="454"/>
    </row>
    <row r="480" spans="2:15" hidden="1" x14ac:dyDescent="0.25">
      <c r="B480" s="451"/>
      <c r="C480" s="458"/>
      <c r="D480" s="452"/>
      <c r="E480" s="52"/>
      <c r="F480" s="454"/>
      <c r="G480" s="454"/>
      <c r="H480" s="454"/>
      <c r="I480" s="454"/>
      <c r="J480" s="454"/>
      <c r="K480" s="454"/>
      <c r="L480" s="454"/>
      <c r="M480" s="454"/>
      <c r="N480" s="454"/>
      <c r="O480" s="454"/>
    </row>
    <row r="481" spans="2:15" hidden="1" x14ac:dyDescent="0.25">
      <c r="B481" s="451"/>
      <c r="C481" s="457"/>
      <c r="D481" s="452"/>
      <c r="E481" s="52"/>
      <c r="F481" s="454"/>
      <c r="G481" s="454"/>
      <c r="H481" s="454"/>
      <c r="I481" s="454"/>
      <c r="J481" s="454"/>
      <c r="K481" s="454"/>
      <c r="L481" s="454"/>
      <c r="M481" s="454"/>
      <c r="N481" s="454"/>
      <c r="O481" s="454"/>
    </row>
    <row r="482" spans="2:15" hidden="1" x14ac:dyDescent="0.25">
      <c r="B482" s="451"/>
      <c r="C482" s="457"/>
      <c r="D482" s="452"/>
      <c r="E482" s="52"/>
      <c r="F482" s="454"/>
      <c r="G482" s="454"/>
      <c r="H482" s="454"/>
      <c r="I482" s="454"/>
      <c r="J482" s="454"/>
      <c r="K482" s="454"/>
      <c r="L482" s="454"/>
      <c r="M482" s="454"/>
      <c r="N482" s="454"/>
      <c r="O482" s="454"/>
    </row>
    <row r="483" spans="2:15" hidden="1" x14ac:dyDescent="0.25">
      <c r="B483" s="459"/>
      <c r="C483" s="460"/>
      <c r="D483" s="452"/>
      <c r="E483" s="52"/>
      <c r="F483" s="454"/>
      <c r="G483" s="454"/>
      <c r="H483" s="454"/>
      <c r="I483" s="454"/>
      <c r="J483" s="454"/>
      <c r="K483" s="454"/>
      <c r="L483" s="454"/>
      <c r="M483" s="454"/>
      <c r="N483" s="454"/>
      <c r="O483" s="454"/>
    </row>
    <row r="484" spans="2:15" hidden="1" x14ac:dyDescent="0.25">
      <c r="B484" s="461"/>
      <c r="C484" s="280"/>
      <c r="D484" s="462"/>
      <c r="E484" s="52"/>
      <c r="F484" s="454"/>
      <c r="G484" s="454"/>
      <c r="H484" s="454"/>
      <c r="I484" s="454"/>
      <c r="J484" s="454"/>
      <c r="K484" s="454"/>
      <c r="L484" s="454"/>
      <c r="M484" s="454"/>
      <c r="N484" s="454"/>
      <c r="O484" s="454"/>
    </row>
    <row r="485" spans="2:15" hidden="1" x14ac:dyDescent="0.25">
      <c r="B485" s="461"/>
      <c r="C485" s="280"/>
      <c r="D485" s="462"/>
      <c r="E485" s="52"/>
      <c r="F485" s="454"/>
      <c r="G485" s="454"/>
      <c r="H485" s="454"/>
      <c r="I485" s="454"/>
      <c r="J485" s="454"/>
      <c r="K485" s="454"/>
      <c r="L485" s="454"/>
      <c r="M485" s="454"/>
      <c r="N485" s="454"/>
      <c r="O485" s="454"/>
    </row>
    <row r="486" spans="2:15" hidden="1" x14ac:dyDescent="0.25">
      <c r="B486" s="461"/>
      <c r="C486" s="280"/>
      <c r="D486" s="462"/>
      <c r="E486" s="52"/>
      <c r="F486" s="454"/>
      <c r="G486" s="454"/>
      <c r="H486" s="454"/>
      <c r="I486" s="454"/>
      <c r="J486" s="454"/>
      <c r="K486" s="454"/>
      <c r="L486" s="454"/>
      <c r="M486" s="454"/>
      <c r="N486" s="454"/>
      <c r="O486" s="454"/>
    </row>
    <row r="487" spans="2:15" hidden="1" x14ac:dyDescent="0.25">
      <c r="B487" s="461"/>
      <c r="C487" s="281"/>
      <c r="D487" s="462"/>
      <c r="E487" s="52"/>
      <c r="F487" s="454"/>
      <c r="G487" s="454"/>
      <c r="H487" s="454"/>
      <c r="I487" s="454"/>
      <c r="J487" s="454"/>
      <c r="K487" s="454"/>
      <c r="L487" s="454"/>
      <c r="M487" s="454"/>
      <c r="N487" s="454"/>
      <c r="O487" s="454"/>
    </row>
    <row r="488" spans="2:15" hidden="1" x14ac:dyDescent="0.25">
      <c r="B488" s="461"/>
      <c r="C488" s="281"/>
      <c r="D488" s="462"/>
      <c r="E488" s="52"/>
      <c r="F488" s="454"/>
      <c r="G488" s="454"/>
      <c r="H488" s="454"/>
      <c r="I488" s="454"/>
      <c r="J488" s="454"/>
      <c r="K488" s="454"/>
      <c r="L488" s="454"/>
      <c r="M488" s="454"/>
      <c r="N488" s="454"/>
      <c r="O488" s="454"/>
    </row>
    <row r="489" spans="2:15" hidden="1" x14ac:dyDescent="0.25">
      <c r="B489" s="461"/>
      <c r="C489" s="281"/>
      <c r="D489" s="462"/>
      <c r="E489" s="52"/>
      <c r="F489" s="454"/>
      <c r="G489" s="454"/>
      <c r="H489" s="454"/>
      <c r="I489" s="454"/>
      <c r="J489" s="454"/>
      <c r="K489" s="454"/>
      <c r="L489" s="454"/>
      <c r="M489" s="454"/>
      <c r="N489" s="454"/>
      <c r="O489" s="454"/>
    </row>
    <row r="490" spans="2:15" hidden="1" x14ac:dyDescent="0.25">
      <c r="B490" s="461"/>
      <c r="C490" s="281"/>
      <c r="D490" s="462"/>
      <c r="E490" s="52"/>
      <c r="F490" s="454"/>
      <c r="G490" s="454"/>
      <c r="H490" s="454"/>
      <c r="I490" s="454"/>
      <c r="J490" s="454"/>
      <c r="K490" s="454"/>
      <c r="L490" s="454"/>
      <c r="M490" s="454"/>
      <c r="N490" s="454"/>
      <c r="O490" s="454"/>
    </row>
    <row r="491" spans="2:15" hidden="1" x14ac:dyDescent="0.25">
      <c r="B491" s="461"/>
      <c r="C491" s="281"/>
      <c r="D491" s="462"/>
      <c r="E491" s="52"/>
      <c r="F491" s="454"/>
      <c r="G491" s="454"/>
      <c r="H491" s="454"/>
      <c r="I491" s="454"/>
      <c r="J491" s="454"/>
      <c r="K491" s="454"/>
      <c r="L491" s="454"/>
      <c r="M491" s="454"/>
      <c r="N491" s="454"/>
      <c r="O491" s="454"/>
    </row>
    <row r="492" spans="2:15" hidden="1" x14ac:dyDescent="0.25">
      <c r="B492" s="461"/>
      <c r="C492" s="281"/>
      <c r="D492" s="462"/>
      <c r="E492" s="52"/>
      <c r="F492" s="454"/>
      <c r="G492" s="454"/>
      <c r="H492" s="454"/>
      <c r="I492" s="454"/>
      <c r="J492" s="454"/>
      <c r="K492" s="454"/>
      <c r="L492" s="454"/>
      <c r="M492" s="454"/>
      <c r="N492" s="454"/>
      <c r="O492" s="454"/>
    </row>
    <row r="493" spans="2:15" hidden="1" x14ac:dyDescent="0.25">
      <c r="B493" s="461"/>
      <c r="C493" s="281"/>
      <c r="D493" s="462"/>
      <c r="E493" s="52"/>
      <c r="F493" s="454"/>
      <c r="G493" s="454"/>
      <c r="H493" s="454"/>
      <c r="I493" s="454"/>
      <c r="J493" s="454"/>
      <c r="K493" s="454"/>
      <c r="L493" s="454"/>
      <c r="M493" s="454"/>
      <c r="N493" s="454"/>
      <c r="O493" s="454"/>
    </row>
    <row r="494" spans="2:15" hidden="1" x14ac:dyDescent="0.25">
      <c r="B494" s="461"/>
      <c r="C494" s="280"/>
      <c r="D494" s="462"/>
      <c r="E494" s="52"/>
      <c r="F494" s="454"/>
      <c r="G494" s="454"/>
      <c r="H494" s="454"/>
      <c r="I494" s="454"/>
      <c r="J494" s="454"/>
      <c r="K494" s="454"/>
      <c r="L494" s="454"/>
      <c r="M494" s="454"/>
      <c r="N494" s="454"/>
      <c r="O494" s="454"/>
    </row>
    <row r="495" spans="2:15" hidden="1" x14ac:dyDescent="0.25">
      <c r="B495" s="461"/>
      <c r="C495" s="281"/>
      <c r="D495" s="462"/>
      <c r="E495" s="52"/>
      <c r="F495" s="454"/>
      <c r="G495" s="454"/>
      <c r="H495" s="454"/>
      <c r="I495" s="454"/>
      <c r="J495" s="454"/>
      <c r="K495" s="454"/>
      <c r="L495" s="454"/>
      <c r="M495" s="454"/>
      <c r="N495" s="454"/>
      <c r="O495" s="454"/>
    </row>
    <row r="496" spans="2:15" hidden="1" x14ac:dyDescent="0.25">
      <c r="B496" s="461"/>
      <c r="C496" s="281"/>
      <c r="D496" s="462"/>
      <c r="E496" s="52"/>
      <c r="F496" s="454"/>
      <c r="G496" s="454"/>
      <c r="H496" s="454"/>
      <c r="I496" s="454"/>
      <c r="J496" s="454"/>
      <c r="K496" s="454"/>
      <c r="L496" s="454"/>
      <c r="M496" s="454"/>
      <c r="N496" s="454"/>
      <c r="O496" s="454"/>
    </row>
    <row r="497" spans="2:15" hidden="1" x14ac:dyDescent="0.25">
      <c r="B497" s="461"/>
      <c r="C497" s="281"/>
      <c r="D497" s="462"/>
      <c r="E497" s="52"/>
      <c r="F497" s="454"/>
      <c r="G497" s="454"/>
      <c r="H497" s="454"/>
      <c r="I497" s="454"/>
      <c r="J497" s="454"/>
      <c r="K497" s="454"/>
      <c r="L497" s="454"/>
      <c r="M497" s="454"/>
      <c r="N497" s="454"/>
      <c r="O497" s="454"/>
    </row>
    <row r="498" spans="2:15" hidden="1" x14ac:dyDescent="0.25">
      <c r="B498" s="461"/>
      <c r="C498" s="280"/>
      <c r="D498" s="462"/>
      <c r="E498" s="52"/>
      <c r="F498" s="454"/>
      <c r="G498" s="454"/>
      <c r="H498" s="454"/>
      <c r="I498" s="454"/>
      <c r="J498" s="454"/>
      <c r="K498" s="454"/>
      <c r="L498" s="454"/>
      <c r="M498" s="454"/>
      <c r="N498" s="454"/>
      <c r="O498" s="454"/>
    </row>
    <row r="499" spans="2:15" hidden="1" x14ac:dyDescent="0.25">
      <c r="B499" s="461"/>
      <c r="C499" s="280"/>
      <c r="D499" s="452"/>
      <c r="E499" s="52"/>
      <c r="F499" s="454"/>
      <c r="G499" s="454"/>
      <c r="H499" s="454"/>
      <c r="I499" s="454"/>
      <c r="J499" s="454"/>
      <c r="K499" s="454"/>
      <c r="L499" s="454"/>
      <c r="M499" s="454"/>
      <c r="N499" s="454"/>
      <c r="O499" s="454"/>
    </row>
    <row r="500" spans="2:15" hidden="1" x14ac:dyDescent="0.25">
      <c r="B500" s="461"/>
      <c r="C500" s="280"/>
      <c r="D500" s="452"/>
      <c r="E500" s="53"/>
      <c r="F500" s="454"/>
      <c r="G500" s="454"/>
      <c r="H500" s="454"/>
      <c r="I500" s="454"/>
      <c r="J500" s="454"/>
      <c r="K500" s="454"/>
      <c r="L500" s="454"/>
      <c r="M500" s="454"/>
      <c r="N500" s="454"/>
      <c r="O500" s="454"/>
    </row>
    <row r="501" spans="2:15" ht="14.4" thickBot="1" x14ac:dyDescent="0.3">
      <c r="B501" s="463"/>
      <c r="C501" s="464" t="s">
        <v>251</v>
      </c>
      <c r="D501" s="464"/>
      <c r="E501" s="465"/>
      <c r="F501" s="466">
        <f>SUM(F461:F500)</f>
        <v>10666.261401184143</v>
      </c>
      <c r="G501" s="466">
        <f t="shared" ref="G501:O501" si="88">SUM(G461:G500)</f>
        <v>1478.653820346585</v>
      </c>
      <c r="H501" s="466">
        <f t="shared" si="88"/>
        <v>0</v>
      </c>
      <c r="I501" s="466">
        <f t="shared" si="88"/>
        <v>12144.915221530729</v>
      </c>
      <c r="J501" s="466">
        <f t="shared" si="88"/>
        <v>5152.1595263849849</v>
      </c>
      <c r="K501" s="466">
        <f t="shared" si="88"/>
        <v>413.78871466384663</v>
      </c>
      <c r="L501" s="466">
        <f t="shared" si="88"/>
        <v>0</v>
      </c>
      <c r="M501" s="466">
        <f t="shared" si="88"/>
        <v>5565.9482410488326</v>
      </c>
      <c r="N501" s="466">
        <f t="shared" si="88"/>
        <v>5514.1018747991584</v>
      </c>
      <c r="O501" s="466">
        <f t="shared" si="88"/>
        <v>6578.9669804818959</v>
      </c>
    </row>
    <row r="503" spans="2:15" hidden="1" x14ac:dyDescent="0.25">
      <c r="B503" s="858" t="s">
        <v>550</v>
      </c>
      <c r="C503" s="859"/>
      <c r="D503" s="859"/>
      <c r="E503" s="859"/>
      <c r="F503" s="859"/>
      <c r="G503" s="859"/>
      <c r="H503" s="859"/>
      <c r="I503" s="859"/>
      <c r="J503" s="859"/>
      <c r="K503" s="859"/>
      <c r="L503" s="859"/>
      <c r="M503" s="859"/>
      <c r="N503" s="859"/>
      <c r="O503" s="860"/>
    </row>
    <row r="504" spans="2:15" hidden="1" x14ac:dyDescent="0.25">
      <c r="B504" s="861" t="s">
        <v>474</v>
      </c>
      <c r="C504" s="863" t="s">
        <v>556</v>
      </c>
      <c r="D504" s="865" t="s">
        <v>557</v>
      </c>
      <c r="E504" s="865" t="s">
        <v>558</v>
      </c>
      <c r="F504" s="865" t="s">
        <v>559</v>
      </c>
      <c r="G504" s="865"/>
      <c r="H504" s="865"/>
      <c r="I504" s="865"/>
      <c r="J504" s="865" t="s">
        <v>560</v>
      </c>
      <c r="K504" s="865"/>
      <c r="L504" s="865"/>
      <c r="M504" s="865"/>
      <c r="N504" s="865" t="s">
        <v>561</v>
      </c>
      <c r="O504" s="867"/>
    </row>
    <row r="505" spans="2:15" ht="55.8" hidden="1" thickBot="1" x14ac:dyDescent="0.3">
      <c r="B505" s="862"/>
      <c r="C505" s="864"/>
      <c r="D505" s="866"/>
      <c r="E505" s="866"/>
      <c r="F505" s="468" t="s">
        <v>562</v>
      </c>
      <c r="G505" s="468" t="s">
        <v>563</v>
      </c>
      <c r="H505" s="468" t="s">
        <v>564</v>
      </c>
      <c r="I505" s="468" t="s">
        <v>565</v>
      </c>
      <c r="J505" s="468" t="s">
        <v>566</v>
      </c>
      <c r="K505" s="468" t="s">
        <v>563</v>
      </c>
      <c r="L505" s="468" t="s">
        <v>567</v>
      </c>
      <c r="M505" s="468" t="s">
        <v>568</v>
      </c>
      <c r="N505" s="468" t="s">
        <v>562</v>
      </c>
      <c r="O505" s="469" t="s">
        <v>565</v>
      </c>
    </row>
    <row r="506" spans="2:15" ht="15.6" hidden="1" x14ac:dyDescent="0.25">
      <c r="B506" s="451">
        <v>1</v>
      </c>
      <c r="C506" s="276" t="s">
        <v>689</v>
      </c>
      <c r="D506" s="452"/>
      <c r="E506" s="453"/>
      <c r="F506" s="454">
        <f>F189*0.9</f>
        <v>32.09561054420697</v>
      </c>
      <c r="G506" s="454">
        <f>G189*0.9</f>
        <v>13.758346072558876</v>
      </c>
      <c r="H506" s="454">
        <f>H189*0.9</f>
        <v>0</v>
      </c>
      <c r="I506" s="454">
        <f>F506+G506-H506</f>
        <v>45.853956616765842</v>
      </c>
      <c r="J506" s="454">
        <f t="shared" ref="J506:L507" si="89">J189*0.9</f>
        <v>2.8611972949090857E-2</v>
      </c>
      <c r="K506" s="454">
        <f t="shared" si="89"/>
        <v>1.4305986474545429E-2</v>
      </c>
      <c r="L506" s="454">
        <f t="shared" si="89"/>
        <v>0</v>
      </c>
      <c r="M506" s="454">
        <f>J506+K506-L506</f>
        <v>4.2917959423636284E-2</v>
      </c>
      <c r="N506" s="454">
        <f>F506-J506</f>
        <v>32.066998571257876</v>
      </c>
      <c r="O506" s="454">
        <f>I506-M506</f>
        <v>45.811038657342209</v>
      </c>
    </row>
    <row r="507" spans="2:15" ht="15.6" hidden="1" x14ac:dyDescent="0.25">
      <c r="B507" s="451">
        <v>2</v>
      </c>
      <c r="C507" s="276" t="s">
        <v>534</v>
      </c>
      <c r="D507" s="452"/>
      <c r="E507" s="453"/>
      <c r="F507" s="454">
        <f t="shared" ref="F507:H507" si="90">F190*0.9</f>
        <v>352.84554036929268</v>
      </c>
      <c r="G507" s="454">
        <f t="shared" si="90"/>
        <v>20.328016947448848</v>
      </c>
      <c r="H507" s="454">
        <f t="shared" si="90"/>
        <v>0</v>
      </c>
      <c r="I507" s="454">
        <f t="shared" ref="I507" si="91">F507+G507-H507</f>
        <v>373.17355731674155</v>
      </c>
      <c r="J507" s="454">
        <f t="shared" si="89"/>
        <v>99.850419813228328</v>
      </c>
      <c r="K507" s="454">
        <f t="shared" si="89"/>
        <v>9.3799348098448725</v>
      </c>
      <c r="L507" s="454">
        <f t="shared" si="89"/>
        <v>0</v>
      </c>
      <c r="M507" s="454">
        <f>J507+K507-L507</f>
        <v>109.2303546230732</v>
      </c>
      <c r="N507" s="454">
        <f t="shared" ref="N507" si="92">F507-J507</f>
        <v>252.99512055606436</v>
      </c>
      <c r="O507" s="454">
        <f t="shared" ref="O507" si="93">I507-M507</f>
        <v>263.94320269366835</v>
      </c>
    </row>
    <row r="508" spans="2:15" ht="15.6" hidden="1" x14ac:dyDescent="0.25">
      <c r="B508" s="470">
        <v>3</v>
      </c>
      <c r="C508" s="279" t="s">
        <v>690</v>
      </c>
      <c r="D508" s="471"/>
      <c r="E508" s="360"/>
      <c r="F508" s="472"/>
      <c r="G508" s="472"/>
      <c r="H508" s="472"/>
      <c r="I508" s="472"/>
      <c r="J508" s="472"/>
      <c r="K508" s="472"/>
      <c r="L508" s="472"/>
      <c r="M508" s="472"/>
      <c r="N508" s="472"/>
      <c r="O508" s="472"/>
    </row>
    <row r="509" spans="2:15" ht="15.6" hidden="1" x14ac:dyDescent="0.25">
      <c r="B509" s="451"/>
      <c r="C509" s="276" t="s">
        <v>691</v>
      </c>
      <c r="D509" s="452"/>
      <c r="E509" s="52"/>
      <c r="F509" s="454">
        <f t="shared" ref="F509:H516" si="94">F192*0.9</f>
        <v>5546.4974605804255</v>
      </c>
      <c r="G509" s="454">
        <f t="shared" si="94"/>
        <v>709.25863042966023</v>
      </c>
      <c r="H509" s="454">
        <f t="shared" si="94"/>
        <v>0</v>
      </c>
      <c r="I509" s="454">
        <f t="shared" ref="I509:I511" si="95">F509+G509-H509</f>
        <v>6255.7560910100856</v>
      </c>
      <c r="J509" s="454">
        <f t="shared" ref="J509:L516" si="96">J192*0.9</f>
        <v>2685.8172538881554</v>
      </c>
      <c r="K509" s="454">
        <f t="shared" si="96"/>
        <v>246.45162952456917</v>
      </c>
      <c r="L509" s="454">
        <f t="shared" si="96"/>
        <v>0</v>
      </c>
      <c r="M509" s="454">
        <f t="shared" ref="M509:M516" si="97">J509+K509-L509</f>
        <v>2932.2688834127248</v>
      </c>
      <c r="N509" s="454">
        <f t="shared" ref="N509:N516" si="98">F509-J509</f>
        <v>2860.6802066922701</v>
      </c>
      <c r="O509" s="454">
        <f t="shared" ref="O509:O516" si="99">I509-M509</f>
        <v>3323.4872075973608</v>
      </c>
    </row>
    <row r="510" spans="2:15" ht="15.6" hidden="1" x14ac:dyDescent="0.25">
      <c r="B510" s="451"/>
      <c r="C510" s="276" t="s">
        <v>692</v>
      </c>
      <c r="D510" s="452"/>
      <c r="E510" s="52"/>
      <c r="F510" s="454">
        <f t="shared" si="94"/>
        <v>5296.3794300159607</v>
      </c>
      <c r="G510" s="454">
        <f t="shared" si="94"/>
        <v>770.42799537728627</v>
      </c>
      <c r="H510" s="454">
        <f t="shared" si="94"/>
        <v>0</v>
      </c>
      <c r="I510" s="454">
        <f t="shared" si="95"/>
        <v>6066.8074253932473</v>
      </c>
      <c r="J510" s="454">
        <f t="shared" si="96"/>
        <v>2180.7340500772684</v>
      </c>
      <c r="K510" s="454">
        <f t="shared" si="96"/>
        <v>171.62667246437402</v>
      </c>
      <c r="L510" s="454">
        <f t="shared" si="96"/>
        <v>0</v>
      </c>
      <c r="M510" s="454">
        <f t="shared" si="97"/>
        <v>2352.3607225416426</v>
      </c>
      <c r="N510" s="454">
        <f t="shared" si="98"/>
        <v>3115.6453799386923</v>
      </c>
      <c r="O510" s="454">
        <f t="shared" si="99"/>
        <v>3714.4467028516046</v>
      </c>
    </row>
    <row r="511" spans="2:15" ht="15.6" hidden="1" x14ac:dyDescent="0.25">
      <c r="B511" s="451"/>
      <c r="C511" s="276" t="s">
        <v>693</v>
      </c>
      <c r="D511" s="452"/>
      <c r="E511" s="52"/>
      <c r="F511" s="454">
        <f t="shared" si="94"/>
        <v>679.52154905021791</v>
      </c>
      <c r="G511" s="454">
        <f t="shared" si="94"/>
        <v>16.99427371070152</v>
      </c>
      <c r="H511" s="454">
        <f t="shared" si="94"/>
        <v>0</v>
      </c>
      <c r="I511" s="454">
        <f t="shared" si="95"/>
        <v>696.51582276091949</v>
      </c>
      <c r="J511" s="454">
        <f t="shared" si="96"/>
        <v>462.69349718346962</v>
      </c>
      <c r="K511" s="454">
        <f t="shared" si="96"/>
        <v>32.259676664536691</v>
      </c>
      <c r="L511" s="454">
        <f t="shared" si="96"/>
        <v>0</v>
      </c>
      <c r="M511" s="454">
        <f t="shared" si="97"/>
        <v>494.95317384800632</v>
      </c>
      <c r="N511" s="454">
        <f t="shared" si="98"/>
        <v>216.8280518667483</v>
      </c>
      <c r="O511" s="454">
        <f t="shared" si="99"/>
        <v>201.56264891291318</v>
      </c>
    </row>
    <row r="512" spans="2:15" ht="15.6" hidden="1" x14ac:dyDescent="0.25">
      <c r="B512" s="451">
        <v>4</v>
      </c>
      <c r="C512" s="279" t="s">
        <v>540</v>
      </c>
      <c r="D512" s="452"/>
      <c r="E512" s="52"/>
      <c r="F512" s="454">
        <f t="shared" si="94"/>
        <v>27.152771811062905</v>
      </c>
      <c r="G512" s="454">
        <f t="shared" si="94"/>
        <v>4.6184699358623069</v>
      </c>
      <c r="H512" s="454">
        <f t="shared" si="94"/>
        <v>0</v>
      </c>
      <c r="I512" s="454">
        <f>F512+G512-H512</f>
        <v>31.771241746925213</v>
      </c>
      <c r="J512" s="454">
        <f t="shared" si="96"/>
        <v>28.238739972306654</v>
      </c>
      <c r="K512" s="454">
        <f t="shared" si="96"/>
        <v>3.5555409436628675</v>
      </c>
      <c r="L512" s="454">
        <f t="shared" si="96"/>
        <v>0</v>
      </c>
      <c r="M512" s="454">
        <f t="shared" si="97"/>
        <v>31.794280915969523</v>
      </c>
      <c r="N512" s="454">
        <f t="shared" si="98"/>
        <v>-1.0859681612437484</v>
      </c>
      <c r="O512" s="454">
        <f t="shared" si="99"/>
        <v>-2.3039169044309915E-2</v>
      </c>
    </row>
    <row r="513" spans="2:15" ht="15.6" hidden="1" x14ac:dyDescent="0.25">
      <c r="B513" s="451">
        <v>5</v>
      </c>
      <c r="C513" s="279" t="s">
        <v>694</v>
      </c>
      <c r="D513" s="452"/>
      <c r="E513" s="52"/>
      <c r="F513" s="454">
        <f t="shared" si="94"/>
        <v>5.65029</v>
      </c>
      <c r="G513" s="454">
        <f t="shared" si="94"/>
        <v>0</v>
      </c>
      <c r="H513" s="454">
        <f t="shared" si="94"/>
        <v>0</v>
      </c>
      <c r="I513" s="454">
        <f t="shared" ref="I513:I516" si="100">F513+G513-H513</f>
        <v>5.65029</v>
      </c>
      <c r="J513" s="454">
        <f t="shared" si="96"/>
        <v>4.5458747784000009</v>
      </c>
      <c r="K513" s="454">
        <f t="shared" si="96"/>
        <v>0.12591731088899732</v>
      </c>
      <c r="L513" s="454">
        <f t="shared" si="96"/>
        <v>0</v>
      </c>
      <c r="M513" s="454">
        <f t="shared" si="97"/>
        <v>4.6717920892889984</v>
      </c>
      <c r="N513" s="454">
        <f t="shared" si="98"/>
        <v>1.1044152215999992</v>
      </c>
      <c r="O513" s="454">
        <f t="shared" si="99"/>
        <v>0.97849791071100167</v>
      </c>
    </row>
    <row r="514" spans="2:15" ht="15.6" hidden="1" x14ac:dyDescent="0.25">
      <c r="B514" s="451">
        <v>6</v>
      </c>
      <c r="C514" s="279" t="s">
        <v>538</v>
      </c>
      <c r="D514" s="452"/>
      <c r="E514" s="52"/>
      <c r="F514" s="454">
        <f t="shared" si="94"/>
        <v>2.4525899999999998</v>
      </c>
      <c r="G514" s="454">
        <f t="shared" si="94"/>
        <v>0</v>
      </c>
      <c r="H514" s="454">
        <f t="shared" si="94"/>
        <v>0</v>
      </c>
      <c r="I514" s="454">
        <f t="shared" si="100"/>
        <v>2.4525899999999998</v>
      </c>
      <c r="J514" s="454">
        <f t="shared" si="96"/>
        <v>2.2062353438700004</v>
      </c>
      <c r="K514" s="454">
        <f t="shared" si="96"/>
        <v>0</v>
      </c>
      <c r="L514" s="454">
        <f t="shared" si="96"/>
        <v>0</v>
      </c>
      <c r="M514" s="454">
        <f t="shared" si="97"/>
        <v>2.2062353438700004</v>
      </c>
      <c r="N514" s="454">
        <f t="shared" si="98"/>
        <v>0.24635465612999941</v>
      </c>
      <c r="O514" s="454">
        <f t="shared" si="99"/>
        <v>0.24635465612999941</v>
      </c>
    </row>
    <row r="515" spans="2:15" ht="15.6" hidden="1" x14ac:dyDescent="0.25">
      <c r="B515" s="451">
        <v>7</v>
      </c>
      <c r="C515" s="279" t="s">
        <v>695</v>
      </c>
      <c r="D515" s="452"/>
      <c r="E515" s="52"/>
      <c r="F515" s="454">
        <f t="shared" si="94"/>
        <v>170.8847791595621</v>
      </c>
      <c r="G515" s="454">
        <f t="shared" si="94"/>
        <v>43.500632048071211</v>
      </c>
      <c r="H515" s="454">
        <f t="shared" si="94"/>
        <v>0</v>
      </c>
      <c r="I515" s="454">
        <f t="shared" si="100"/>
        <v>214.3854112076333</v>
      </c>
      <c r="J515" s="454">
        <f t="shared" si="96"/>
        <v>57.174480000000003</v>
      </c>
      <c r="K515" s="454">
        <f t="shared" si="96"/>
        <v>0</v>
      </c>
      <c r="L515" s="454">
        <f t="shared" si="96"/>
        <v>0</v>
      </c>
      <c r="M515" s="454">
        <f t="shared" si="97"/>
        <v>57.174480000000003</v>
      </c>
      <c r="N515" s="454">
        <f t="shared" si="98"/>
        <v>113.7102991595621</v>
      </c>
      <c r="O515" s="454">
        <f t="shared" si="99"/>
        <v>157.21093120763328</v>
      </c>
    </row>
    <row r="516" spans="2:15" ht="15.6" hidden="1" x14ac:dyDescent="0.25">
      <c r="B516" s="451">
        <v>8</v>
      </c>
      <c r="C516" s="279" t="s">
        <v>696</v>
      </c>
      <c r="D516" s="452"/>
      <c r="E516" s="52"/>
      <c r="F516" s="454">
        <f t="shared" si="94"/>
        <v>31.435200000000005</v>
      </c>
      <c r="G516" s="454">
        <f t="shared" si="94"/>
        <v>0</v>
      </c>
      <c r="H516" s="454">
        <f t="shared" si="94"/>
        <v>0</v>
      </c>
      <c r="I516" s="454">
        <f t="shared" si="100"/>
        <v>31.435200000000005</v>
      </c>
      <c r="J516" s="454">
        <f t="shared" si="96"/>
        <v>44.659078019185678</v>
      </c>
      <c r="K516" s="454">
        <f t="shared" si="96"/>
        <v>15.688183684326617</v>
      </c>
      <c r="L516" s="454">
        <f t="shared" si="96"/>
        <v>0</v>
      </c>
      <c r="M516" s="454">
        <f t="shared" si="97"/>
        <v>60.347261703512295</v>
      </c>
      <c r="N516" s="454">
        <f t="shared" si="98"/>
        <v>-13.223878019185673</v>
      </c>
      <c r="O516" s="454">
        <f t="shared" si="99"/>
        <v>-28.91206170351229</v>
      </c>
    </row>
    <row r="517" spans="2:15" hidden="1" x14ac:dyDescent="0.25">
      <c r="B517" s="451"/>
      <c r="C517" s="457"/>
      <c r="D517" s="452"/>
      <c r="E517" s="52"/>
      <c r="F517" s="454"/>
      <c r="G517" s="454"/>
      <c r="H517" s="454"/>
      <c r="I517" s="454"/>
      <c r="J517" s="454"/>
      <c r="K517" s="454"/>
      <c r="L517" s="454"/>
      <c r="M517" s="454"/>
      <c r="N517" s="454"/>
      <c r="O517" s="454"/>
    </row>
    <row r="518" spans="2:15" hidden="1" x14ac:dyDescent="0.25">
      <c r="B518" s="451"/>
      <c r="C518" s="458"/>
      <c r="D518" s="452"/>
      <c r="E518" s="52"/>
      <c r="F518" s="454"/>
      <c r="G518" s="454"/>
      <c r="H518" s="454"/>
      <c r="I518" s="454"/>
      <c r="J518" s="454"/>
      <c r="K518" s="454"/>
      <c r="L518" s="454"/>
      <c r="M518" s="454"/>
      <c r="N518" s="454"/>
      <c r="O518" s="454"/>
    </row>
    <row r="519" spans="2:15" hidden="1" x14ac:dyDescent="0.25">
      <c r="B519" s="451"/>
      <c r="C519" s="457"/>
      <c r="D519" s="452"/>
      <c r="E519" s="52"/>
      <c r="F519" s="454"/>
      <c r="G519" s="454"/>
      <c r="H519" s="454"/>
      <c r="I519" s="454"/>
      <c r="J519" s="454"/>
      <c r="K519" s="454"/>
      <c r="L519" s="454"/>
      <c r="M519" s="454"/>
      <c r="N519" s="454"/>
      <c r="O519" s="454"/>
    </row>
    <row r="520" spans="2:15" hidden="1" x14ac:dyDescent="0.25">
      <c r="B520" s="451"/>
      <c r="C520" s="457"/>
      <c r="D520" s="452"/>
      <c r="E520" s="52"/>
      <c r="F520" s="454"/>
      <c r="G520" s="454"/>
      <c r="H520" s="454"/>
      <c r="I520" s="454"/>
      <c r="J520" s="454"/>
      <c r="K520" s="454"/>
      <c r="L520" s="454"/>
      <c r="M520" s="454"/>
      <c r="N520" s="454"/>
      <c r="O520" s="454"/>
    </row>
    <row r="521" spans="2:15" hidden="1" x14ac:dyDescent="0.25">
      <c r="B521" s="451"/>
      <c r="C521" s="457"/>
      <c r="D521" s="452"/>
      <c r="E521" s="52"/>
      <c r="F521" s="454"/>
      <c r="G521" s="454"/>
      <c r="H521" s="454"/>
      <c r="I521" s="454"/>
      <c r="J521" s="454"/>
      <c r="K521" s="454"/>
      <c r="L521" s="454"/>
      <c r="M521" s="454"/>
      <c r="N521" s="454"/>
      <c r="O521" s="454"/>
    </row>
    <row r="522" spans="2:15" hidden="1" x14ac:dyDescent="0.25">
      <c r="B522" s="451"/>
      <c r="C522" s="457"/>
      <c r="D522" s="452"/>
      <c r="E522" s="52"/>
      <c r="F522" s="454"/>
      <c r="G522" s="454"/>
      <c r="H522" s="454"/>
      <c r="I522" s="454"/>
      <c r="J522" s="454"/>
      <c r="K522" s="454"/>
      <c r="L522" s="454"/>
      <c r="M522" s="454"/>
      <c r="N522" s="454"/>
      <c r="O522" s="454"/>
    </row>
    <row r="523" spans="2:15" hidden="1" x14ac:dyDescent="0.25">
      <c r="B523" s="451"/>
      <c r="C523" s="458"/>
      <c r="D523" s="452"/>
      <c r="E523" s="52"/>
      <c r="F523" s="454"/>
      <c r="G523" s="454"/>
      <c r="H523" s="454"/>
      <c r="I523" s="454"/>
      <c r="J523" s="454"/>
      <c r="K523" s="454"/>
      <c r="L523" s="454"/>
      <c r="M523" s="454"/>
      <c r="N523" s="454"/>
      <c r="O523" s="454"/>
    </row>
    <row r="524" spans="2:15" hidden="1" x14ac:dyDescent="0.25">
      <c r="B524" s="451"/>
      <c r="C524" s="458"/>
      <c r="D524" s="452"/>
      <c r="E524" s="52"/>
      <c r="F524" s="454"/>
      <c r="G524" s="454"/>
      <c r="H524" s="454"/>
      <c r="I524" s="454"/>
      <c r="J524" s="454"/>
      <c r="K524" s="454"/>
      <c r="L524" s="454"/>
      <c r="M524" s="454"/>
      <c r="N524" s="454"/>
      <c r="O524" s="454"/>
    </row>
    <row r="525" spans="2:15" hidden="1" x14ac:dyDescent="0.25">
      <c r="B525" s="451"/>
      <c r="C525" s="458"/>
      <c r="D525" s="452"/>
      <c r="E525" s="52"/>
      <c r="F525" s="454"/>
      <c r="G525" s="454"/>
      <c r="H525" s="454"/>
      <c r="I525" s="454"/>
      <c r="J525" s="454"/>
      <c r="K525" s="454"/>
      <c r="L525" s="454"/>
      <c r="M525" s="454"/>
      <c r="N525" s="454"/>
      <c r="O525" s="454"/>
    </row>
    <row r="526" spans="2:15" hidden="1" x14ac:dyDescent="0.25">
      <c r="B526" s="451"/>
      <c r="C526" s="457"/>
      <c r="D526" s="452"/>
      <c r="E526" s="52"/>
      <c r="F526" s="454"/>
      <c r="G526" s="454"/>
      <c r="H526" s="454"/>
      <c r="I526" s="454"/>
      <c r="J526" s="454"/>
      <c r="K526" s="454"/>
      <c r="L526" s="454"/>
      <c r="M526" s="454"/>
      <c r="N526" s="454"/>
      <c r="O526" s="454"/>
    </row>
    <row r="527" spans="2:15" hidden="1" x14ac:dyDescent="0.25">
      <c r="B527" s="451"/>
      <c r="C527" s="457"/>
      <c r="D527" s="452"/>
      <c r="E527" s="52"/>
      <c r="F527" s="454"/>
      <c r="G527" s="454"/>
      <c r="H527" s="454"/>
      <c r="I527" s="454"/>
      <c r="J527" s="454"/>
      <c r="K527" s="454"/>
      <c r="L527" s="454"/>
      <c r="M527" s="454"/>
      <c r="N527" s="454"/>
      <c r="O527" s="454"/>
    </row>
    <row r="528" spans="2:15" hidden="1" x14ac:dyDescent="0.25">
      <c r="B528" s="459"/>
      <c r="C528" s="460"/>
      <c r="D528" s="452"/>
      <c r="E528" s="52"/>
      <c r="F528" s="454"/>
      <c r="G528" s="454"/>
      <c r="H528" s="454"/>
      <c r="I528" s="454"/>
      <c r="J528" s="454"/>
      <c r="K528" s="454"/>
      <c r="L528" s="454"/>
      <c r="M528" s="454"/>
      <c r="N528" s="454"/>
      <c r="O528" s="454"/>
    </row>
    <row r="529" spans="2:15" hidden="1" x14ac:dyDescent="0.25">
      <c r="B529" s="461"/>
      <c r="C529" s="280"/>
      <c r="D529" s="462"/>
      <c r="E529" s="52"/>
      <c r="F529" s="454"/>
      <c r="G529" s="454"/>
      <c r="H529" s="454"/>
      <c r="I529" s="454"/>
      <c r="J529" s="454"/>
      <c r="K529" s="454"/>
      <c r="L529" s="454"/>
      <c r="M529" s="454"/>
      <c r="N529" s="454"/>
      <c r="O529" s="454"/>
    </row>
    <row r="530" spans="2:15" hidden="1" x14ac:dyDescent="0.25">
      <c r="B530" s="461"/>
      <c r="C530" s="280"/>
      <c r="D530" s="462"/>
      <c r="E530" s="52"/>
      <c r="F530" s="454"/>
      <c r="G530" s="454"/>
      <c r="H530" s="454"/>
      <c r="I530" s="454"/>
      <c r="J530" s="454"/>
      <c r="K530" s="454"/>
      <c r="L530" s="454"/>
      <c r="M530" s="454"/>
      <c r="N530" s="454"/>
      <c r="O530" s="454"/>
    </row>
    <row r="531" spans="2:15" hidden="1" x14ac:dyDescent="0.25">
      <c r="B531" s="461"/>
      <c r="C531" s="280"/>
      <c r="D531" s="462"/>
      <c r="E531" s="52"/>
      <c r="F531" s="454"/>
      <c r="G531" s="454"/>
      <c r="H531" s="454"/>
      <c r="I531" s="454"/>
      <c r="J531" s="454"/>
      <c r="K531" s="454"/>
      <c r="L531" s="454"/>
      <c r="M531" s="454"/>
      <c r="N531" s="454"/>
      <c r="O531" s="454"/>
    </row>
    <row r="532" spans="2:15" hidden="1" x14ac:dyDescent="0.25">
      <c r="B532" s="461"/>
      <c r="C532" s="281"/>
      <c r="D532" s="462"/>
      <c r="E532" s="52"/>
      <c r="F532" s="454"/>
      <c r="G532" s="454"/>
      <c r="H532" s="454"/>
      <c r="I532" s="454"/>
      <c r="J532" s="454"/>
      <c r="K532" s="454"/>
      <c r="L532" s="454"/>
      <c r="M532" s="454"/>
      <c r="N532" s="454"/>
      <c r="O532" s="454"/>
    </row>
    <row r="533" spans="2:15" hidden="1" x14ac:dyDescent="0.25">
      <c r="B533" s="461"/>
      <c r="C533" s="281"/>
      <c r="D533" s="462"/>
      <c r="E533" s="52"/>
      <c r="F533" s="454"/>
      <c r="G533" s="454"/>
      <c r="H533" s="454"/>
      <c r="I533" s="454"/>
      <c r="J533" s="454"/>
      <c r="K533" s="454"/>
      <c r="L533" s="454"/>
      <c r="M533" s="454"/>
      <c r="N533" s="454"/>
      <c r="O533" s="454"/>
    </row>
    <row r="534" spans="2:15" hidden="1" x14ac:dyDescent="0.25">
      <c r="B534" s="461"/>
      <c r="C534" s="281"/>
      <c r="D534" s="462"/>
      <c r="E534" s="52"/>
      <c r="F534" s="454"/>
      <c r="G534" s="454"/>
      <c r="H534" s="454"/>
      <c r="I534" s="454"/>
      <c r="J534" s="454"/>
      <c r="K534" s="454"/>
      <c r="L534" s="454"/>
      <c r="M534" s="454"/>
      <c r="N534" s="454"/>
      <c r="O534" s="454"/>
    </row>
    <row r="535" spans="2:15" hidden="1" x14ac:dyDescent="0.25">
      <c r="B535" s="461"/>
      <c r="C535" s="281"/>
      <c r="D535" s="462"/>
      <c r="E535" s="52"/>
      <c r="F535" s="454"/>
      <c r="G535" s="454"/>
      <c r="H535" s="454"/>
      <c r="I535" s="454"/>
      <c r="J535" s="454"/>
      <c r="K535" s="454"/>
      <c r="L535" s="454"/>
      <c r="M535" s="454"/>
      <c r="N535" s="454"/>
      <c r="O535" s="454"/>
    </row>
    <row r="536" spans="2:15" hidden="1" x14ac:dyDescent="0.25">
      <c r="B536" s="461"/>
      <c r="C536" s="281"/>
      <c r="D536" s="462"/>
      <c r="E536" s="52"/>
      <c r="F536" s="454"/>
      <c r="G536" s="454"/>
      <c r="H536" s="454"/>
      <c r="I536" s="454"/>
      <c r="J536" s="454"/>
      <c r="K536" s="454"/>
      <c r="L536" s="454"/>
      <c r="M536" s="454"/>
      <c r="N536" s="454"/>
      <c r="O536" s="454"/>
    </row>
    <row r="537" spans="2:15" hidden="1" x14ac:dyDescent="0.25">
      <c r="B537" s="461"/>
      <c r="C537" s="281"/>
      <c r="D537" s="462"/>
      <c r="E537" s="52"/>
      <c r="F537" s="454"/>
      <c r="G537" s="454"/>
      <c r="H537" s="454"/>
      <c r="I537" s="454"/>
      <c r="J537" s="454"/>
      <c r="K537" s="454"/>
      <c r="L537" s="454"/>
      <c r="M537" s="454"/>
      <c r="N537" s="454"/>
      <c r="O537" s="454"/>
    </row>
    <row r="538" spans="2:15" hidden="1" x14ac:dyDescent="0.25">
      <c r="B538" s="461"/>
      <c r="C538" s="281"/>
      <c r="D538" s="462"/>
      <c r="E538" s="52"/>
      <c r="F538" s="454"/>
      <c r="G538" s="454"/>
      <c r="H538" s="454"/>
      <c r="I538" s="454"/>
      <c r="J538" s="454"/>
      <c r="K538" s="454"/>
      <c r="L538" s="454"/>
      <c r="M538" s="454"/>
      <c r="N538" s="454"/>
      <c r="O538" s="454"/>
    </row>
    <row r="539" spans="2:15" hidden="1" x14ac:dyDescent="0.25">
      <c r="B539" s="461"/>
      <c r="C539" s="280"/>
      <c r="D539" s="462"/>
      <c r="E539" s="52"/>
      <c r="F539" s="454"/>
      <c r="G539" s="454"/>
      <c r="H539" s="454"/>
      <c r="I539" s="454"/>
      <c r="J539" s="454"/>
      <c r="K539" s="454"/>
      <c r="L539" s="454"/>
      <c r="M539" s="454"/>
      <c r="N539" s="454"/>
      <c r="O539" s="454"/>
    </row>
    <row r="540" spans="2:15" hidden="1" x14ac:dyDescent="0.25">
      <c r="B540" s="461"/>
      <c r="C540" s="281"/>
      <c r="D540" s="462"/>
      <c r="E540" s="52"/>
      <c r="F540" s="454"/>
      <c r="G540" s="454"/>
      <c r="H540" s="454"/>
      <c r="I540" s="454"/>
      <c r="J540" s="454"/>
      <c r="K540" s="454"/>
      <c r="L540" s="454"/>
      <c r="M540" s="454"/>
      <c r="N540" s="454"/>
      <c r="O540" s="454"/>
    </row>
    <row r="541" spans="2:15" hidden="1" x14ac:dyDescent="0.25">
      <c r="B541" s="461"/>
      <c r="C541" s="281"/>
      <c r="D541" s="462"/>
      <c r="E541" s="52"/>
      <c r="F541" s="454"/>
      <c r="G541" s="454"/>
      <c r="H541" s="454"/>
      <c r="I541" s="454"/>
      <c r="J541" s="454"/>
      <c r="K541" s="454"/>
      <c r="L541" s="454"/>
      <c r="M541" s="454"/>
      <c r="N541" s="454"/>
      <c r="O541" s="454"/>
    </row>
    <row r="542" spans="2:15" hidden="1" x14ac:dyDescent="0.25">
      <c r="B542" s="461"/>
      <c r="C542" s="281"/>
      <c r="D542" s="462"/>
      <c r="E542" s="52"/>
      <c r="F542" s="454"/>
      <c r="G542" s="454"/>
      <c r="H542" s="454"/>
      <c r="I542" s="454"/>
      <c r="J542" s="454"/>
      <c r="K542" s="454"/>
      <c r="L542" s="454"/>
      <c r="M542" s="454"/>
      <c r="N542" s="454"/>
      <c r="O542" s="454"/>
    </row>
    <row r="543" spans="2:15" hidden="1" x14ac:dyDescent="0.25">
      <c r="B543" s="461"/>
      <c r="C543" s="280"/>
      <c r="D543" s="462"/>
      <c r="E543" s="52"/>
      <c r="F543" s="454"/>
      <c r="G543" s="454"/>
      <c r="H543" s="454"/>
      <c r="I543" s="454"/>
      <c r="J543" s="454"/>
      <c r="K543" s="454"/>
      <c r="L543" s="454"/>
      <c r="M543" s="454"/>
      <c r="N543" s="454"/>
      <c r="O543" s="454"/>
    </row>
    <row r="544" spans="2:15" hidden="1" x14ac:dyDescent="0.25">
      <c r="B544" s="461"/>
      <c r="C544" s="280"/>
      <c r="D544" s="452"/>
      <c r="E544" s="52"/>
      <c r="F544" s="454"/>
      <c r="G544" s="454"/>
      <c r="H544" s="454"/>
      <c r="I544" s="454"/>
      <c r="J544" s="454"/>
      <c r="K544" s="454"/>
      <c r="L544" s="454"/>
      <c r="M544" s="454"/>
      <c r="N544" s="454"/>
      <c r="O544" s="454"/>
    </row>
    <row r="545" spans="2:15" hidden="1" x14ac:dyDescent="0.25">
      <c r="B545" s="461"/>
      <c r="C545" s="280"/>
      <c r="D545" s="452"/>
      <c r="E545" s="53"/>
      <c r="F545" s="454"/>
      <c r="G545" s="454"/>
      <c r="H545" s="454"/>
      <c r="I545" s="454"/>
      <c r="J545" s="454"/>
      <c r="K545" s="454"/>
      <c r="L545" s="454"/>
      <c r="M545" s="454"/>
      <c r="N545" s="454"/>
      <c r="O545" s="454"/>
    </row>
    <row r="546" spans="2:15" ht="14.4" hidden="1" thickBot="1" x14ac:dyDescent="0.3">
      <c r="B546" s="463"/>
      <c r="C546" s="464" t="s">
        <v>251</v>
      </c>
      <c r="D546" s="464"/>
      <c r="E546" s="465"/>
      <c r="F546" s="466">
        <f>SUM(F506:F545)</f>
        <v>12144.915221530729</v>
      </c>
      <c r="G546" s="466">
        <f t="shared" ref="G546:O546" si="101">SUM(G506:G545)</f>
        <v>1578.886364521589</v>
      </c>
      <c r="H546" s="466">
        <f t="shared" si="101"/>
        <v>0</v>
      </c>
      <c r="I546" s="466">
        <f t="shared" si="101"/>
        <v>13723.801586052317</v>
      </c>
      <c r="J546" s="466">
        <f t="shared" si="101"/>
        <v>5565.9482410488326</v>
      </c>
      <c r="K546" s="466">
        <f t="shared" si="101"/>
        <v>479.10186138867778</v>
      </c>
      <c r="L546" s="466">
        <f t="shared" si="101"/>
        <v>0</v>
      </c>
      <c r="M546" s="466">
        <f t="shared" si="101"/>
        <v>6045.0501024375108</v>
      </c>
      <c r="N546" s="466">
        <f t="shared" si="101"/>
        <v>6578.9669804818959</v>
      </c>
      <c r="O546" s="466">
        <f t="shared" si="101"/>
        <v>7678.7514836148066</v>
      </c>
    </row>
    <row r="547" spans="2:15" hidden="1" x14ac:dyDescent="0.25"/>
    <row r="548" spans="2:15" hidden="1" x14ac:dyDescent="0.25">
      <c r="B548" s="858" t="s">
        <v>551</v>
      </c>
      <c r="C548" s="859"/>
      <c r="D548" s="859"/>
      <c r="E548" s="859"/>
      <c r="F548" s="859"/>
      <c r="G548" s="859"/>
      <c r="H548" s="859"/>
      <c r="I548" s="859"/>
      <c r="J548" s="859"/>
      <c r="K548" s="859"/>
      <c r="L548" s="859"/>
      <c r="M548" s="859"/>
      <c r="N548" s="859"/>
      <c r="O548" s="860"/>
    </row>
    <row r="549" spans="2:15" hidden="1" x14ac:dyDescent="0.25">
      <c r="B549" s="861" t="s">
        <v>474</v>
      </c>
      <c r="C549" s="863" t="s">
        <v>556</v>
      </c>
      <c r="D549" s="865" t="s">
        <v>557</v>
      </c>
      <c r="E549" s="865" t="s">
        <v>558</v>
      </c>
      <c r="F549" s="865" t="s">
        <v>559</v>
      </c>
      <c r="G549" s="865"/>
      <c r="H549" s="865"/>
      <c r="I549" s="865"/>
      <c r="J549" s="865" t="s">
        <v>560</v>
      </c>
      <c r="K549" s="865"/>
      <c r="L549" s="865"/>
      <c r="M549" s="865"/>
      <c r="N549" s="865" t="s">
        <v>561</v>
      </c>
      <c r="O549" s="867"/>
    </row>
    <row r="550" spans="2:15" ht="55.8" hidden="1" thickBot="1" x14ac:dyDescent="0.3">
      <c r="B550" s="862"/>
      <c r="C550" s="864"/>
      <c r="D550" s="866"/>
      <c r="E550" s="866"/>
      <c r="F550" s="468" t="s">
        <v>562</v>
      </c>
      <c r="G550" s="468" t="s">
        <v>563</v>
      </c>
      <c r="H550" s="468" t="s">
        <v>564</v>
      </c>
      <c r="I550" s="468" t="s">
        <v>565</v>
      </c>
      <c r="J550" s="468" t="s">
        <v>566</v>
      </c>
      <c r="K550" s="468" t="s">
        <v>563</v>
      </c>
      <c r="L550" s="468" t="s">
        <v>567</v>
      </c>
      <c r="M550" s="468" t="s">
        <v>568</v>
      </c>
      <c r="N550" s="468" t="s">
        <v>562</v>
      </c>
      <c r="O550" s="469" t="s">
        <v>565</v>
      </c>
    </row>
    <row r="551" spans="2:15" ht="15.6" hidden="1" x14ac:dyDescent="0.25">
      <c r="B551" s="451">
        <v>1</v>
      </c>
      <c r="C551" s="276" t="s">
        <v>689</v>
      </c>
      <c r="D551" s="452"/>
      <c r="E551" s="453"/>
      <c r="F551" s="454">
        <f>F234*0.9</f>
        <v>45.853956616765842</v>
      </c>
      <c r="G551" s="454">
        <f>G234*0.9</f>
        <v>14.907351800574949</v>
      </c>
      <c r="H551" s="454">
        <f>H234*0.9</f>
        <v>0</v>
      </c>
      <c r="I551" s="454">
        <f>F551+G551-H551</f>
        <v>60.761308417340793</v>
      </c>
      <c r="J551" s="454">
        <f t="shared" ref="J551:L552" si="102">J234*0.9</f>
        <v>4.2917959423636284E-2</v>
      </c>
      <c r="K551" s="454">
        <f t="shared" si="102"/>
        <v>1.4305986474545453E-2</v>
      </c>
      <c r="L551" s="454">
        <f t="shared" si="102"/>
        <v>0</v>
      </c>
      <c r="M551" s="454">
        <f>J551+K551-L551</f>
        <v>5.7223945898181736E-2</v>
      </c>
      <c r="N551" s="454">
        <f>F551-J551</f>
        <v>45.811038657342209</v>
      </c>
      <c r="O551" s="454">
        <f>I551-M551</f>
        <v>60.704084471442613</v>
      </c>
    </row>
    <row r="552" spans="2:15" ht="15.6" hidden="1" x14ac:dyDescent="0.25">
      <c r="B552" s="451">
        <v>2</v>
      </c>
      <c r="C552" s="276" t="s">
        <v>534</v>
      </c>
      <c r="D552" s="452"/>
      <c r="E552" s="453"/>
      <c r="F552" s="454">
        <f t="shared" ref="F552:H552" si="103">F235*0.9</f>
        <v>373.17355731674149</v>
      </c>
      <c r="G552" s="454">
        <f t="shared" si="103"/>
        <v>22.025677973610431</v>
      </c>
      <c r="H552" s="454">
        <f t="shared" si="103"/>
        <v>0</v>
      </c>
      <c r="I552" s="454">
        <f t="shared" ref="I552" si="104">F552+G552-H552</f>
        <v>395.19923529035191</v>
      </c>
      <c r="J552" s="454">
        <f t="shared" si="102"/>
        <v>109.2303546230732</v>
      </c>
      <c r="K552" s="454">
        <f t="shared" si="102"/>
        <v>9.7206393339461634</v>
      </c>
      <c r="L552" s="454">
        <f t="shared" si="102"/>
        <v>0</v>
      </c>
      <c r="M552" s="454">
        <f>J552+K552-L552</f>
        <v>118.95099395701936</v>
      </c>
      <c r="N552" s="454">
        <f t="shared" ref="N552" si="105">F552-J552</f>
        <v>263.9432026936683</v>
      </c>
      <c r="O552" s="454">
        <f t="shared" ref="O552" si="106">I552-M552</f>
        <v>276.24824133333254</v>
      </c>
    </row>
    <row r="553" spans="2:15" ht="15.6" hidden="1" x14ac:dyDescent="0.25">
      <c r="B553" s="470">
        <v>3</v>
      </c>
      <c r="C553" s="279" t="s">
        <v>690</v>
      </c>
      <c r="D553" s="471"/>
      <c r="E553" s="360"/>
      <c r="F553" s="472"/>
      <c r="G553" s="472"/>
      <c r="H553" s="472"/>
      <c r="I553" s="472"/>
      <c r="J553" s="472"/>
      <c r="K553" s="472"/>
      <c r="L553" s="472"/>
      <c r="M553" s="472"/>
      <c r="N553" s="472"/>
      <c r="O553" s="472"/>
    </row>
    <row r="554" spans="2:15" ht="15.6" hidden="1" x14ac:dyDescent="0.25">
      <c r="B554" s="451"/>
      <c r="C554" s="276" t="s">
        <v>691</v>
      </c>
      <c r="D554" s="452"/>
      <c r="E554" s="52"/>
      <c r="F554" s="454">
        <f t="shared" ref="F554:H561" si="107">F237*0.9</f>
        <v>6255.7560910100865</v>
      </c>
      <c r="G554" s="454">
        <f t="shared" si="107"/>
        <v>768.49120276870917</v>
      </c>
      <c r="H554" s="454">
        <f t="shared" si="107"/>
        <v>0</v>
      </c>
      <c r="I554" s="454">
        <f t="shared" ref="I554:I556" si="108">F554+G554-H554</f>
        <v>7024.2472937787952</v>
      </c>
      <c r="J554" s="454">
        <f t="shared" ref="J554:L561" si="109">J237*0.9</f>
        <v>2932.2688834127243</v>
      </c>
      <c r="K554" s="454">
        <f t="shared" si="109"/>
        <v>272.85121933341367</v>
      </c>
      <c r="L554" s="454">
        <f t="shared" si="109"/>
        <v>0</v>
      </c>
      <c r="M554" s="454">
        <f t="shared" ref="M554:M561" si="110">J554+K554-L554</f>
        <v>3205.1201027461379</v>
      </c>
      <c r="N554" s="454">
        <f t="shared" ref="N554:N561" si="111">F554-J554</f>
        <v>3323.4872075973622</v>
      </c>
      <c r="O554" s="454">
        <f t="shared" ref="O554:O561" si="112">I554-M554</f>
        <v>3819.1271910326573</v>
      </c>
    </row>
    <row r="555" spans="2:15" ht="15.6" hidden="1" x14ac:dyDescent="0.25">
      <c r="B555" s="451"/>
      <c r="C555" s="276" t="s">
        <v>692</v>
      </c>
      <c r="D555" s="452"/>
      <c r="E555" s="52"/>
      <c r="F555" s="454">
        <f t="shared" si="107"/>
        <v>6066.8074253932473</v>
      </c>
      <c r="G555" s="454">
        <f t="shared" si="107"/>
        <v>834.76902699866935</v>
      </c>
      <c r="H555" s="454">
        <f t="shared" si="107"/>
        <v>0</v>
      </c>
      <c r="I555" s="454">
        <f t="shared" si="108"/>
        <v>6901.576452391917</v>
      </c>
      <c r="J555" s="454">
        <f t="shared" si="109"/>
        <v>2352.3607225416422</v>
      </c>
      <c r="K555" s="454">
        <f t="shared" si="109"/>
        <v>202.627930036149</v>
      </c>
      <c r="L555" s="454">
        <f t="shared" si="109"/>
        <v>0</v>
      </c>
      <c r="M555" s="454">
        <f t="shared" si="110"/>
        <v>2554.9886525777911</v>
      </c>
      <c r="N555" s="454">
        <f t="shared" si="111"/>
        <v>3714.4467028516051</v>
      </c>
      <c r="O555" s="454">
        <f t="shared" si="112"/>
        <v>4346.5877998141259</v>
      </c>
    </row>
    <row r="556" spans="2:15" ht="15.6" hidden="1" x14ac:dyDescent="0.25">
      <c r="B556" s="451"/>
      <c r="C556" s="276" t="s">
        <v>693</v>
      </c>
      <c r="D556" s="452"/>
      <c r="E556" s="52"/>
      <c r="F556" s="454">
        <f t="shared" si="107"/>
        <v>696.51582276091949</v>
      </c>
      <c r="G556" s="454">
        <f t="shared" si="107"/>
        <v>18.413522633071249</v>
      </c>
      <c r="H556" s="454">
        <f t="shared" si="107"/>
        <v>0</v>
      </c>
      <c r="I556" s="454">
        <f t="shared" si="108"/>
        <v>714.92934539399073</v>
      </c>
      <c r="J556" s="454">
        <f t="shared" si="109"/>
        <v>494.95317384800626</v>
      </c>
      <c r="K556" s="454">
        <f t="shared" si="109"/>
        <v>30.576593139223316</v>
      </c>
      <c r="L556" s="454">
        <f t="shared" si="109"/>
        <v>0</v>
      </c>
      <c r="M556" s="454">
        <f t="shared" si="110"/>
        <v>525.52976698722955</v>
      </c>
      <c r="N556" s="454">
        <f t="shared" si="111"/>
        <v>201.56264891291323</v>
      </c>
      <c r="O556" s="454">
        <f t="shared" si="112"/>
        <v>189.39957840676118</v>
      </c>
    </row>
    <row r="557" spans="2:15" ht="15.6" hidden="1" x14ac:dyDescent="0.25">
      <c r="B557" s="451">
        <v>4</v>
      </c>
      <c r="C557" s="279" t="s">
        <v>540</v>
      </c>
      <c r="D557" s="452"/>
      <c r="E557" s="52"/>
      <c r="F557" s="454">
        <f t="shared" si="107"/>
        <v>31.771241746925213</v>
      </c>
      <c r="G557" s="454">
        <f t="shared" si="107"/>
        <v>5.0041738847955273</v>
      </c>
      <c r="H557" s="454">
        <f t="shared" si="107"/>
        <v>0</v>
      </c>
      <c r="I557" s="454">
        <f>F557+G557-H557</f>
        <v>36.77541563172074</v>
      </c>
      <c r="J557" s="454">
        <f t="shared" si="109"/>
        <v>31.794280915969523</v>
      </c>
      <c r="K557" s="454">
        <f t="shared" si="109"/>
        <v>0</v>
      </c>
      <c r="L557" s="454">
        <f t="shared" si="109"/>
        <v>0</v>
      </c>
      <c r="M557" s="454">
        <f t="shared" si="110"/>
        <v>31.794280915969523</v>
      </c>
      <c r="N557" s="454">
        <f t="shared" si="111"/>
        <v>-2.3039169044309915E-2</v>
      </c>
      <c r="O557" s="454">
        <f t="shared" si="112"/>
        <v>4.9811347157512174</v>
      </c>
    </row>
    <row r="558" spans="2:15" ht="15.6" hidden="1" x14ac:dyDescent="0.25">
      <c r="B558" s="451">
        <v>5</v>
      </c>
      <c r="C558" s="279" t="s">
        <v>694</v>
      </c>
      <c r="D558" s="452"/>
      <c r="E558" s="52"/>
      <c r="F558" s="454">
        <f t="shared" si="107"/>
        <v>5.65029</v>
      </c>
      <c r="G558" s="454">
        <f t="shared" si="107"/>
        <v>0</v>
      </c>
      <c r="H558" s="454">
        <f t="shared" si="107"/>
        <v>0</v>
      </c>
      <c r="I558" s="454">
        <f t="shared" ref="I558:I561" si="113">F558+G558-H558</f>
        <v>5.65029</v>
      </c>
      <c r="J558" s="454">
        <f t="shared" si="109"/>
        <v>4.6717920892889975</v>
      </c>
      <c r="K558" s="454">
        <f t="shared" si="109"/>
        <v>0.12703260942900016</v>
      </c>
      <c r="L558" s="454">
        <f t="shared" si="109"/>
        <v>0</v>
      </c>
      <c r="M558" s="454">
        <f t="shared" si="110"/>
        <v>4.7988246987179979</v>
      </c>
      <c r="N558" s="454">
        <f t="shared" si="111"/>
        <v>0.97849791071100256</v>
      </c>
      <c r="O558" s="454">
        <f t="shared" si="112"/>
        <v>0.85146530128200215</v>
      </c>
    </row>
    <row r="559" spans="2:15" ht="15.6" hidden="1" x14ac:dyDescent="0.25">
      <c r="B559" s="451">
        <v>6</v>
      </c>
      <c r="C559" s="279" t="s">
        <v>538</v>
      </c>
      <c r="D559" s="452"/>
      <c r="E559" s="52"/>
      <c r="F559" s="454">
        <f t="shared" si="107"/>
        <v>2.4525899999999998</v>
      </c>
      <c r="G559" s="454">
        <f t="shared" si="107"/>
        <v>0</v>
      </c>
      <c r="H559" s="454">
        <f t="shared" si="107"/>
        <v>0</v>
      </c>
      <c r="I559" s="454">
        <f t="shared" si="113"/>
        <v>2.4525899999999998</v>
      </c>
      <c r="J559" s="454">
        <f t="shared" si="109"/>
        <v>2.2062353438700004</v>
      </c>
      <c r="K559" s="454">
        <f t="shared" si="109"/>
        <v>0</v>
      </c>
      <c r="L559" s="454">
        <f t="shared" si="109"/>
        <v>0</v>
      </c>
      <c r="M559" s="454">
        <f t="shared" si="110"/>
        <v>2.2062353438700004</v>
      </c>
      <c r="N559" s="454">
        <f t="shared" si="111"/>
        <v>0.24635465612999941</v>
      </c>
      <c r="O559" s="454">
        <f t="shared" si="112"/>
        <v>0.24635465612999941</v>
      </c>
    </row>
    <row r="560" spans="2:15" ht="15.6" hidden="1" x14ac:dyDescent="0.25">
      <c r="B560" s="451">
        <v>7</v>
      </c>
      <c r="C560" s="279" t="s">
        <v>695</v>
      </c>
      <c r="D560" s="452"/>
      <c r="E560" s="52"/>
      <c r="F560" s="454">
        <f t="shared" si="107"/>
        <v>214.38541120763333</v>
      </c>
      <c r="G560" s="454">
        <f t="shared" si="107"/>
        <v>47.133516054037869</v>
      </c>
      <c r="H560" s="454">
        <f t="shared" si="107"/>
        <v>0</v>
      </c>
      <c r="I560" s="454">
        <f t="shared" si="113"/>
        <v>261.51892726167119</v>
      </c>
      <c r="J560" s="454">
        <f t="shared" si="109"/>
        <v>57.174480000000003</v>
      </c>
      <c r="K560" s="454">
        <f t="shared" si="109"/>
        <v>3.5061210544025805</v>
      </c>
      <c r="L560" s="454">
        <f t="shared" si="109"/>
        <v>0</v>
      </c>
      <c r="M560" s="454">
        <f t="shared" si="110"/>
        <v>60.680601054402587</v>
      </c>
      <c r="N560" s="454">
        <f t="shared" si="111"/>
        <v>157.21093120763334</v>
      </c>
      <c r="O560" s="454">
        <f t="shared" si="112"/>
        <v>200.83832620726861</v>
      </c>
    </row>
    <row r="561" spans="2:15" ht="15.6" hidden="1" x14ac:dyDescent="0.25">
      <c r="B561" s="451">
        <v>8</v>
      </c>
      <c r="C561" s="279" t="s">
        <v>696</v>
      </c>
      <c r="D561" s="452"/>
      <c r="E561" s="52"/>
      <c r="F561" s="454">
        <f t="shared" si="107"/>
        <v>31.435200000000005</v>
      </c>
      <c r="G561" s="454">
        <f t="shared" si="107"/>
        <v>0</v>
      </c>
      <c r="H561" s="454">
        <f t="shared" si="107"/>
        <v>0</v>
      </c>
      <c r="I561" s="454">
        <f t="shared" si="113"/>
        <v>31.435200000000005</v>
      </c>
      <c r="J561" s="454">
        <f t="shared" si="109"/>
        <v>60.347261703512295</v>
      </c>
      <c r="K561" s="454">
        <f t="shared" si="109"/>
        <v>22.319436241964794</v>
      </c>
      <c r="L561" s="454">
        <f t="shared" si="109"/>
        <v>0</v>
      </c>
      <c r="M561" s="454">
        <f t="shared" si="110"/>
        <v>82.666697945477097</v>
      </c>
      <c r="N561" s="454">
        <f t="shared" si="111"/>
        <v>-28.91206170351229</v>
      </c>
      <c r="O561" s="454">
        <f t="shared" si="112"/>
        <v>-51.231497945477088</v>
      </c>
    </row>
    <row r="562" spans="2:15" hidden="1" x14ac:dyDescent="0.25">
      <c r="B562" s="451"/>
      <c r="C562" s="457"/>
      <c r="D562" s="452"/>
      <c r="E562" s="52"/>
      <c r="F562" s="454"/>
      <c r="G562" s="454"/>
      <c r="H562" s="454"/>
      <c r="I562" s="454"/>
      <c r="J562" s="454"/>
      <c r="K562" s="454"/>
      <c r="L562" s="454"/>
      <c r="M562" s="454"/>
      <c r="N562" s="454"/>
      <c r="O562" s="454"/>
    </row>
    <row r="563" spans="2:15" hidden="1" x14ac:dyDescent="0.25">
      <c r="B563" s="451"/>
      <c r="C563" s="458"/>
      <c r="D563" s="452"/>
      <c r="E563" s="52"/>
      <c r="F563" s="454"/>
      <c r="G563" s="454"/>
      <c r="H563" s="454"/>
      <c r="I563" s="454"/>
      <c r="J563" s="454"/>
      <c r="K563" s="454"/>
      <c r="L563" s="454"/>
      <c r="M563" s="454"/>
      <c r="N563" s="454"/>
      <c r="O563" s="454"/>
    </row>
    <row r="564" spans="2:15" hidden="1" x14ac:dyDescent="0.25">
      <c r="B564" s="451"/>
      <c r="C564" s="457"/>
      <c r="D564" s="452"/>
      <c r="E564" s="52"/>
      <c r="F564" s="454"/>
      <c r="G564" s="454"/>
      <c r="H564" s="454"/>
      <c r="I564" s="454"/>
      <c r="J564" s="454"/>
      <c r="K564" s="454"/>
      <c r="L564" s="454"/>
      <c r="M564" s="454"/>
      <c r="N564" s="454"/>
      <c r="O564" s="454"/>
    </row>
    <row r="565" spans="2:15" hidden="1" x14ac:dyDescent="0.25">
      <c r="B565" s="451"/>
      <c r="C565" s="457"/>
      <c r="D565" s="452"/>
      <c r="E565" s="52"/>
      <c r="F565" s="454"/>
      <c r="G565" s="454"/>
      <c r="H565" s="454"/>
      <c r="I565" s="454"/>
      <c r="J565" s="454"/>
      <c r="K565" s="454"/>
      <c r="L565" s="454"/>
      <c r="M565" s="454"/>
      <c r="N565" s="454"/>
      <c r="O565" s="454"/>
    </row>
    <row r="566" spans="2:15" hidden="1" x14ac:dyDescent="0.25">
      <c r="B566" s="451"/>
      <c r="C566" s="457"/>
      <c r="D566" s="452"/>
      <c r="E566" s="52"/>
      <c r="F566" s="454"/>
      <c r="G566" s="454"/>
      <c r="H566" s="454"/>
      <c r="I566" s="454"/>
      <c r="J566" s="454"/>
      <c r="K566" s="454"/>
      <c r="L566" s="454"/>
      <c r="M566" s="454"/>
      <c r="N566" s="454"/>
      <c r="O566" s="454"/>
    </row>
    <row r="567" spans="2:15" hidden="1" x14ac:dyDescent="0.25">
      <c r="B567" s="451"/>
      <c r="C567" s="457"/>
      <c r="D567" s="452"/>
      <c r="E567" s="52"/>
      <c r="F567" s="454"/>
      <c r="G567" s="454"/>
      <c r="H567" s="454"/>
      <c r="I567" s="454"/>
      <c r="J567" s="454"/>
      <c r="K567" s="454"/>
      <c r="L567" s="454"/>
      <c r="M567" s="454"/>
      <c r="N567" s="454"/>
      <c r="O567" s="454"/>
    </row>
    <row r="568" spans="2:15" hidden="1" x14ac:dyDescent="0.25">
      <c r="B568" s="451"/>
      <c r="C568" s="458"/>
      <c r="D568" s="452"/>
      <c r="E568" s="52"/>
      <c r="F568" s="454"/>
      <c r="G568" s="454"/>
      <c r="H568" s="454"/>
      <c r="I568" s="454"/>
      <c r="J568" s="454"/>
      <c r="K568" s="454"/>
      <c r="L568" s="454"/>
      <c r="M568" s="454"/>
      <c r="N568" s="454"/>
      <c r="O568" s="454"/>
    </row>
    <row r="569" spans="2:15" hidden="1" x14ac:dyDescent="0.25">
      <c r="B569" s="451"/>
      <c r="C569" s="458"/>
      <c r="D569" s="452"/>
      <c r="E569" s="52"/>
      <c r="F569" s="454"/>
      <c r="G569" s="454"/>
      <c r="H569" s="454"/>
      <c r="I569" s="454"/>
      <c r="J569" s="454"/>
      <c r="K569" s="454"/>
      <c r="L569" s="454"/>
      <c r="M569" s="454"/>
      <c r="N569" s="454"/>
      <c r="O569" s="454"/>
    </row>
    <row r="570" spans="2:15" hidden="1" x14ac:dyDescent="0.25">
      <c r="B570" s="451"/>
      <c r="C570" s="458"/>
      <c r="D570" s="452"/>
      <c r="E570" s="52"/>
      <c r="F570" s="454"/>
      <c r="G570" s="454"/>
      <c r="H570" s="454"/>
      <c r="I570" s="454"/>
      <c r="J570" s="454"/>
      <c r="K570" s="454"/>
      <c r="L570" s="454"/>
      <c r="M570" s="454"/>
      <c r="N570" s="454"/>
      <c r="O570" s="454"/>
    </row>
    <row r="571" spans="2:15" hidden="1" x14ac:dyDescent="0.25">
      <c r="B571" s="451"/>
      <c r="C571" s="457"/>
      <c r="D571" s="452"/>
      <c r="E571" s="52"/>
      <c r="F571" s="454"/>
      <c r="G571" s="454"/>
      <c r="H571" s="454"/>
      <c r="I571" s="454"/>
      <c r="J571" s="454"/>
      <c r="K571" s="454"/>
      <c r="L571" s="454"/>
      <c r="M571" s="454"/>
      <c r="N571" s="454"/>
      <c r="O571" s="454"/>
    </row>
    <row r="572" spans="2:15" hidden="1" x14ac:dyDescent="0.25">
      <c r="B572" s="451"/>
      <c r="C572" s="457"/>
      <c r="D572" s="452"/>
      <c r="E572" s="52"/>
      <c r="F572" s="454"/>
      <c r="G572" s="454"/>
      <c r="H572" s="454"/>
      <c r="I572" s="454"/>
      <c r="J572" s="454"/>
      <c r="K572" s="454"/>
      <c r="L572" s="454"/>
      <c r="M572" s="454"/>
      <c r="N572" s="454"/>
      <c r="O572" s="454"/>
    </row>
    <row r="573" spans="2:15" hidden="1" x14ac:dyDescent="0.25">
      <c r="B573" s="459"/>
      <c r="C573" s="460"/>
      <c r="D573" s="452"/>
      <c r="E573" s="52"/>
      <c r="F573" s="454"/>
      <c r="G573" s="454"/>
      <c r="H573" s="454"/>
      <c r="I573" s="454"/>
      <c r="J573" s="454"/>
      <c r="K573" s="454"/>
      <c r="L573" s="454"/>
      <c r="M573" s="454"/>
      <c r="N573" s="454"/>
      <c r="O573" s="454"/>
    </row>
    <row r="574" spans="2:15" hidden="1" x14ac:dyDescent="0.25">
      <c r="B574" s="461"/>
      <c r="C574" s="280"/>
      <c r="D574" s="462"/>
      <c r="E574" s="52"/>
      <c r="F574" s="454"/>
      <c r="G574" s="454"/>
      <c r="H574" s="454"/>
      <c r="I574" s="454"/>
      <c r="J574" s="454"/>
      <c r="K574" s="454"/>
      <c r="L574" s="454"/>
      <c r="M574" s="454"/>
      <c r="N574" s="454"/>
      <c r="O574" s="454"/>
    </row>
    <row r="575" spans="2:15" hidden="1" x14ac:dyDescent="0.25">
      <c r="B575" s="461"/>
      <c r="C575" s="280"/>
      <c r="D575" s="462"/>
      <c r="E575" s="52"/>
      <c r="F575" s="454"/>
      <c r="G575" s="454"/>
      <c r="H575" s="454"/>
      <c r="I575" s="454"/>
      <c r="J575" s="454"/>
      <c r="K575" s="454"/>
      <c r="L575" s="454"/>
      <c r="M575" s="454"/>
      <c r="N575" s="454"/>
      <c r="O575" s="454"/>
    </row>
    <row r="576" spans="2:15" hidden="1" x14ac:dyDescent="0.25">
      <c r="B576" s="461"/>
      <c r="C576" s="280"/>
      <c r="D576" s="462"/>
      <c r="E576" s="52"/>
      <c r="F576" s="454"/>
      <c r="G576" s="454"/>
      <c r="H576" s="454"/>
      <c r="I576" s="454"/>
      <c r="J576" s="454"/>
      <c r="K576" s="454"/>
      <c r="L576" s="454"/>
      <c r="M576" s="454"/>
      <c r="N576" s="454"/>
      <c r="O576" s="454"/>
    </row>
    <row r="577" spans="2:15" hidden="1" x14ac:dyDescent="0.25">
      <c r="B577" s="461"/>
      <c r="C577" s="281"/>
      <c r="D577" s="462"/>
      <c r="E577" s="52"/>
      <c r="F577" s="454"/>
      <c r="G577" s="454"/>
      <c r="H577" s="454"/>
      <c r="I577" s="454"/>
      <c r="J577" s="454"/>
      <c r="K577" s="454"/>
      <c r="L577" s="454"/>
      <c r="M577" s="454"/>
      <c r="N577" s="454"/>
      <c r="O577" s="454"/>
    </row>
    <row r="578" spans="2:15" hidden="1" x14ac:dyDescent="0.25">
      <c r="B578" s="461"/>
      <c r="C578" s="281"/>
      <c r="D578" s="462"/>
      <c r="E578" s="52"/>
      <c r="F578" s="454"/>
      <c r="G578" s="454"/>
      <c r="H578" s="454"/>
      <c r="I578" s="454"/>
      <c r="J578" s="454"/>
      <c r="K578" s="454"/>
      <c r="L578" s="454"/>
      <c r="M578" s="454"/>
      <c r="N578" s="454"/>
      <c r="O578" s="454"/>
    </row>
    <row r="579" spans="2:15" hidden="1" x14ac:dyDescent="0.25">
      <c r="B579" s="461"/>
      <c r="C579" s="281"/>
      <c r="D579" s="462"/>
      <c r="E579" s="52"/>
      <c r="F579" s="454"/>
      <c r="G579" s="454"/>
      <c r="H579" s="454"/>
      <c r="I579" s="454"/>
      <c r="J579" s="454"/>
      <c r="K579" s="454"/>
      <c r="L579" s="454"/>
      <c r="M579" s="454"/>
      <c r="N579" s="454"/>
      <c r="O579" s="454"/>
    </row>
    <row r="580" spans="2:15" hidden="1" x14ac:dyDescent="0.25">
      <c r="B580" s="461"/>
      <c r="C580" s="281"/>
      <c r="D580" s="462"/>
      <c r="E580" s="52"/>
      <c r="F580" s="454"/>
      <c r="G580" s="454"/>
      <c r="H580" s="454"/>
      <c r="I580" s="454"/>
      <c r="J580" s="454"/>
      <c r="K580" s="454"/>
      <c r="L580" s="454"/>
      <c r="M580" s="454"/>
      <c r="N580" s="454"/>
      <c r="O580" s="454"/>
    </row>
    <row r="581" spans="2:15" hidden="1" x14ac:dyDescent="0.25">
      <c r="B581" s="461"/>
      <c r="C581" s="281"/>
      <c r="D581" s="462"/>
      <c r="E581" s="52"/>
      <c r="F581" s="454"/>
      <c r="G581" s="454"/>
      <c r="H581" s="454"/>
      <c r="I581" s="454"/>
      <c r="J581" s="454"/>
      <c r="K581" s="454"/>
      <c r="L581" s="454"/>
      <c r="M581" s="454"/>
      <c r="N581" s="454"/>
      <c r="O581" s="454"/>
    </row>
    <row r="582" spans="2:15" hidden="1" x14ac:dyDescent="0.25">
      <c r="B582" s="461"/>
      <c r="C582" s="281"/>
      <c r="D582" s="462"/>
      <c r="E582" s="52"/>
      <c r="F582" s="454"/>
      <c r="G582" s="454"/>
      <c r="H582" s="454"/>
      <c r="I582" s="454"/>
      <c r="J582" s="454"/>
      <c r="K582" s="454"/>
      <c r="L582" s="454"/>
      <c r="M582" s="454"/>
      <c r="N582" s="454"/>
      <c r="O582" s="454"/>
    </row>
    <row r="583" spans="2:15" hidden="1" x14ac:dyDescent="0.25">
      <c r="B583" s="461"/>
      <c r="C583" s="281"/>
      <c r="D583" s="462"/>
      <c r="E583" s="52"/>
      <c r="F583" s="454"/>
      <c r="G583" s="454"/>
      <c r="H583" s="454"/>
      <c r="I583" s="454"/>
      <c r="J583" s="454"/>
      <c r="K583" s="454"/>
      <c r="L583" s="454"/>
      <c r="M583" s="454"/>
      <c r="N583" s="454"/>
      <c r="O583" s="454"/>
    </row>
    <row r="584" spans="2:15" hidden="1" x14ac:dyDescent="0.25">
      <c r="B584" s="461"/>
      <c r="C584" s="280"/>
      <c r="D584" s="462"/>
      <c r="E584" s="52"/>
      <c r="F584" s="454"/>
      <c r="G584" s="454"/>
      <c r="H584" s="454"/>
      <c r="I584" s="454"/>
      <c r="J584" s="454"/>
      <c r="K584" s="454"/>
      <c r="L584" s="454"/>
      <c r="M584" s="454"/>
      <c r="N584" s="454"/>
      <c r="O584" s="454"/>
    </row>
    <row r="585" spans="2:15" hidden="1" x14ac:dyDescent="0.25">
      <c r="B585" s="461"/>
      <c r="C585" s="281"/>
      <c r="D585" s="462"/>
      <c r="E585" s="52"/>
      <c r="F585" s="454"/>
      <c r="G585" s="454"/>
      <c r="H585" s="454"/>
      <c r="I585" s="454"/>
      <c r="J585" s="454"/>
      <c r="K585" s="454"/>
      <c r="L585" s="454"/>
      <c r="M585" s="454"/>
      <c r="N585" s="454"/>
      <c r="O585" s="454"/>
    </row>
    <row r="586" spans="2:15" hidden="1" x14ac:dyDescent="0.25">
      <c r="B586" s="461"/>
      <c r="C586" s="281"/>
      <c r="D586" s="462"/>
      <c r="E586" s="52"/>
      <c r="F586" s="454"/>
      <c r="G586" s="454"/>
      <c r="H586" s="454"/>
      <c r="I586" s="454"/>
      <c r="J586" s="454"/>
      <c r="K586" s="454"/>
      <c r="L586" s="454"/>
      <c r="M586" s="454"/>
      <c r="N586" s="454"/>
      <c r="O586" s="454"/>
    </row>
    <row r="587" spans="2:15" hidden="1" x14ac:dyDescent="0.25">
      <c r="B587" s="461"/>
      <c r="C587" s="281"/>
      <c r="D587" s="462"/>
      <c r="E587" s="52"/>
      <c r="F587" s="454"/>
      <c r="G587" s="454"/>
      <c r="H587" s="454"/>
      <c r="I587" s="454"/>
      <c r="J587" s="454"/>
      <c r="K587" s="454"/>
      <c r="L587" s="454"/>
      <c r="M587" s="454"/>
      <c r="N587" s="454"/>
      <c r="O587" s="454"/>
    </row>
    <row r="588" spans="2:15" hidden="1" x14ac:dyDescent="0.25">
      <c r="B588" s="461"/>
      <c r="C588" s="280"/>
      <c r="D588" s="462"/>
      <c r="E588" s="52"/>
      <c r="F588" s="454"/>
      <c r="G588" s="454"/>
      <c r="H588" s="454"/>
      <c r="I588" s="454"/>
      <c r="J588" s="454"/>
      <c r="K588" s="454"/>
      <c r="L588" s="454"/>
      <c r="M588" s="454"/>
      <c r="N588" s="454"/>
      <c r="O588" s="454"/>
    </row>
    <row r="589" spans="2:15" hidden="1" x14ac:dyDescent="0.25">
      <c r="B589" s="461"/>
      <c r="C589" s="280"/>
      <c r="D589" s="452"/>
      <c r="E589" s="52"/>
      <c r="F589" s="454"/>
      <c r="G589" s="454"/>
      <c r="H589" s="454"/>
      <c r="I589" s="454"/>
      <c r="J589" s="454"/>
      <c r="K589" s="454"/>
      <c r="L589" s="454"/>
      <c r="M589" s="454"/>
      <c r="N589" s="454"/>
      <c r="O589" s="454"/>
    </row>
    <row r="590" spans="2:15" hidden="1" x14ac:dyDescent="0.25">
      <c r="B590" s="461"/>
      <c r="C590" s="280"/>
      <c r="D590" s="452"/>
      <c r="E590" s="53"/>
      <c r="F590" s="454"/>
      <c r="G590" s="454"/>
      <c r="H590" s="454"/>
      <c r="I590" s="454"/>
      <c r="J590" s="454"/>
      <c r="K590" s="454"/>
      <c r="L590" s="454"/>
      <c r="M590" s="454"/>
      <c r="N590" s="454"/>
      <c r="O590" s="454"/>
    </row>
    <row r="591" spans="2:15" ht="14.4" hidden="1" thickBot="1" x14ac:dyDescent="0.3">
      <c r="B591" s="463"/>
      <c r="C591" s="464" t="s">
        <v>251</v>
      </c>
      <c r="D591" s="464"/>
      <c r="E591" s="465"/>
      <c r="F591" s="466">
        <f>SUM(F551:F590)</f>
        <v>13723.801586052317</v>
      </c>
      <c r="G591" s="466">
        <f t="shared" ref="G591:O591" si="114">SUM(G551:G590)</f>
        <v>1710.7444721134686</v>
      </c>
      <c r="H591" s="466">
        <f t="shared" si="114"/>
        <v>0</v>
      </c>
      <c r="I591" s="466">
        <f t="shared" si="114"/>
        <v>15434.546058165786</v>
      </c>
      <c r="J591" s="466">
        <f t="shared" si="114"/>
        <v>6045.0501024375089</v>
      </c>
      <c r="K591" s="466">
        <f t="shared" si="114"/>
        <v>541.74327773500306</v>
      </c>
      <c r="L591" s="466">
        <f t="shared" si="114"/>
        <v>0</v>
      </c>
      <c r="M591" s="466">
        <f t="shared" si="114"/>
        <v>6586.7933801725121</v>
      </c>
      <c r="N591" s="466">
        <f t="shared" si="114"/>
        <v>7678.7514836148084</v>
      </c>
      <c r="O591" s="466">
        <f t="shared" si="114"/>
        <v>8847.7526779932759</v>
      </c>
    </row>
    <row r="592" spans="2:15" hidden="1" x14ac:dyDescent="0.25"/>
    <row r="593" spans="2:15" hidden="1" x14ac:dyDescent="0.25">
      <c r="B593" s="858" t="s">
        <v>552</v>
      </c>
      <c r="C593" s="859"/>
      <c r="D593" s="859"/>
      <c r="E593" s="859"/>
      <c r="F593" s="859"/>
      <c r="G593" s="859"/>
      <c r="H593" s="859"/>
      <c r="I593" s="859"/>
      <c r="J593" s="859"/>
      <c r="K593" s="859"/>
      <c r="L593" s="859"/>
      <c r="M593" s="859"/>
      <c r="N593" s="859"/>
      <c r="O593" s="860"/>
    </row>
    <row r="594" spans="2:15" hidden="1" x14ac:dyDescent="0.25">
      <c r="B594" s="861" t="s">
        <v>474</v>
      </c>
      <c r="C594" s="863" t="s">
        <v>556</v>
      </c>
      <c r="D594" s="865" t="s">
        <v>557</v>
      </c>
      <c r="E594" s="865" t="s">
        <v>558</v>
      </c>
      <c r="F594" s="865" t="s">
        <v>559</v>
      </c>
      <c r="G594" s="865"/>
      <c r="H594" s="865"/>
      <c r="I594" s="865"/>
      <c r="J594" s="865" t="s">
        <v>560</v>
      </c>
      <c r="K594" s="865"/>
      <c r="L594" s="865"/>
      <c r="M594" s="865"/>
      <c r="N594" s="865" t="s">
        <v>561</v>
      </c>
      <c r="O594" s="867"/>
    </row>
    <row r="595" spans="2:15" ht="55.8" hidden="1" thickBot="1" x14ac:dyDescent="0.3">
      <c r="B595" s="862"/>
      <c r="C595" s="864"/>
      <c r="D595" s="866"/>
      <c r="E595" s="866"/>
      <c r="F595" s="468" t="s">
        <v>562</v>
      </c>
      <c r="G595" s="468" t="s">
        <v>563</v>
      </c>
      <c r="H595" s="468" t="s">
        <v>564</v>
      </c>
      <c r="I595" s="468" t="s">
        <v>565</v>
      </c>
      <c r="J595" s="468" t="s">
        <v>566</v>
      </c>
      <c r="K595" s="468" t="s">
        <v>563</v>
      </c>
      <c r="L595" s="468" t="s">
        <v>567</v>
      </c>
      <c r="M595" s="468" t="s">
        <v>568</v>
      </c>
      <c r="N595" s="468" t="s">
        <v>562</v>
      </c>
      <c r="O595" s="469" t="s">
        <v>565</v>
      </c>
    </row>
    <row r="596" spans="2:15" ht="15.6" hidden="1" x14ac:dyDescent="0.25">
      <c r="B596" s="451">
        <v>1</v>
      </c>
      <c r="C596" s="276" t="s">
        <v>689</v>
      </c>
      <c r="D596" s="452"/>
      <c r="E596" s="453"/>
      <c r="F596" s="454">
        <f>F279*0.9</f>
        <v>60.761308417340793</v>
      </c>
      <c r="G596" s="454">
        <f>G279*0.9</f>
        <v>16.518947648397379</v>
      </c>
      <c r="H596" s="454">
        <f>H279*0.9</f>
        <v>0</v>
      </c>
      <c r="I596" s="454">
        <f>F596+G596-H596</f>
        <v>77.280256065738172</v>
      </c>
      <c r="J596" s="454">
        <f t="shared" ref="J596:L597" si="115">J279*0.9</f>
        <v>5.7223945898181736E-2</v>
      </c>
      <c r="K596" s="454">
        <f t="shared" si="115"/>
        <v>1.4305986474545415E-2</v>
      </c>
      <c r="L596" s="454">
        <f t="shared" si="115"/>
        <v>0</v>
      </c>
      <c r="M596" s="454">
        <f>J596+K596-L596</f>
        <v>7.1529932372727145E-2</v>
      </c>
      <c r="N596" s="454">
        <f>F596-J596</f>
        <v>60.704084471442613</v>
      </c>
      <c r="O596" s="454">
        <f>I596-M596</f>
        <v>77.208726133365445</v>
      </c>
    </row>
    <row r="597" spans="2:15" ht="15.6" hidden="1" x14ac:dyDescent="0.25">
      <c r="B597" s="451">
        <v>2</v>
      </c>
      <c r="C597" s="276" t="s">
        <v>534</v>
      </c>
      <c r="D597" s="452"/>
      <c r="E597" s="453"/>
      <c r="F597" s="454">
        <f t="shared" ref="F597:H597" si="116">F280*0.9</f>
        <v>395.19923529035191</v>
      </c>
      <c r="G597" s="454">
        <f t="shared" si="116"/>
        <v>24.406817940158717</v>
      </c>
      <c r="H597" s="454">
        <f t="shared" si="116"/>
        <v>0</v>
      </c>
      <c r="I597" s="454">
        <f t="shared" ref="I597" si="117">F597+G597-H597</f>
        <v>419.60605323051061</v>
      </c>
      <c r="J597" s="454">
        <f t="shared" si="115"/>
        <v>118.95099395701936</v>
      </c>
      <c r="K597" s="454">
        <f t="shared" si="115"/>
        <v>10.033508869938103</v>
      </c>
      <c r="L597" s="454">
        <f t="shared" si="115"/>
        <v>0</v>
      </c>
      <c r="M597" s="454">
        <f>J597+K597-L597</f>
        <v>128.98450282695745</v>
      </c>
      <c r="N597" s="454">
        <f t="shared" ref="N597" si="118">F597-J597</f>
        <v>276.24824133333254</v>
      </c>
      <c r="O597" s="454">
        <f t="shared" ref="O597" si="119">I597-M597</f>
        <v>290.62155040355316</v>
      </c>
    </row>
    <row r="598" spans="2:15" ht="15.6" hidden="1" x14ac:dyDescent="0.25">
      <c r="B598" s="470">
        <v>3</v>
      </c>
      <c r="C598" s="279" t="s">
        <v>690</v>
      </c>
      <c r="D598" s="471"/>
      <c r="E598" s="360"/>
      <c r="F598" s="472"/>
      <c r="G598" s="472"/>
      <c r="H598" s="472"/>
      <c r="I598" s="472"/>
      <c r="J598" s="472"/>
      <c r="K598" s="472"/>
      <c r="L598" s="472"/>
      <c r="M598" s="472"/>
      <c r="N598" s="472"/>
      <c r="O598" s="472"/>
    </row>
    <row r="599" spans="2:15" ht="15.6" hidden="1" x14ac:dyDescent="0.25">
      <c r="B599" s="451"/>
      <c r="C599" s="276" t="s">
        <v>691</v>
      </c>
      <c r="D599" s="452"/>
      <c r="E599" s="52"/>
      <c r="F599" s="454">
        <f t="shared" ref="F599:H606" si="120">F282*0.9</f>
        <v>7024.2472937787952</v>
      </c>
      <c r="G599" s="454">
        <f t="shared" si="120"/>
        <v>851.57083005853747</v>
      </c>
      <c r="H599" s="454">
        <f t="shared" si="120"/>
        <v>0</v>
      </c>
      <c r="I599" s="454">
        <f t="shared" ref="I599:I601" si="121">F599+G599-H599</f>
        <v>7875.8181238373327</v>
      </c>
      <c r="J599" s="454">
        <f t="shared" ref="J599:L606" si="122">J282*0.9</f>
        <v>3205.1201027461379</v>
      </c>
      <c r="K599" s="454">
        <f t="shared" si="122"/>
        <v>311.52568590827883</v>
      </c>
      <c r="L599" s="454">
        <f t="shared" si="122"/>
        <v>0</v>
      </c>
      <c r="M599" s="454">
        <f t="shared" ref="M599:M606" si="123">J599+K599-L599</f>
        <v>3516.6457886544167</v>
      </c>
      <c r="N599" s="454">
        <f t="shared" ref="N599:N606" si="124">F599-J599</f>
        <v>3819.1271910326573</v>
      </c>
      <c r="O599" s="454">
        <f t="shared" ref="O599:O606" si="125">I599-M599</f>
        <v>4359.172335182916</v>
      </c>
    </row>
    <row r="600" spans="2:15" ht="15.6" hidden="1" x14ac:dyDescent="0.25">
      <c r="B600" s="451"/>
      <c r="C600" s="276" t="s">
        <v>692</v>
      </c>
      <c r="D600" s="452"/>
      <c r="E600" s="52"/>
      <c r="F600" s="454">
        <f t="shared" si="120"/>
        <v>6901.5764523919161</v>
      </c>
      <c r="G600" s="454">
        <f t="shared" si="120"/>
        <v>925.01378111723386</v>
      </c>
      <c r="H600" s="454">
        <f t="shared" si="120"/>
        <v>0</v>
      </c>
      <c r="I600" s="454">
        <f t="shared" si="121"/>
        <v>7826.5902335091496</v>
      </c>
      <c r="J600" s="454">
        <f t="shared" si="122"/>
        <v>2554.9886525777915</v>
      </c>
      <c r="K600" s="454">
        <f t="shared" si="122"/>
        <v>236.1146140396022</v>
      </c>
      <c r="L600" s="454">
        <f t="shared" si="122"/>
        <v>0</v>
      </c>
      <c r="M600" s="454">
        <f t="shared" si="123"/>
        <v>2791.1032666173937</v>
      </c>
      <c r="N600" s="454">
        <f t="shared" si="124"/>
        <v>4346.5877998141241</v>
      </c>
      <c r="O600" s="454">
        <f t="shared" si="125"/>
        <v>5035.4869668917563</v>
      </c>
    </row>
    <row r="601" spans="2:15" ht="15.6" hidden="1" x14ac:dyDescent="0.25">
      <c r="B601" s="451"/>
      <c r="C601" s="276" t="s">
        <v>693</v>
      </c>
      <c r="D601" s="452"/>
      <c r="E601" s="52"/>
      <c r="F601" s="454">
        <f t="shared" si="120"/>
        <v>714.92934539399073</v>
      </c>
      <c r="G601" s="454">
        <f t="shared" si="120"/>
        <v>20.404161682596964</v>
      </c>
      <c r="H601" s="454">
        <f t="shared" si="120"/>
        <v>0</v>
      </c>
      <c r="I601" s="454">
        <f t="shared" si="121"/>
        <v>735.33350707658769</v>
      </c>
      <c r="J601" s="454">
        <f t="shared" si="122"/>
        <v>525.52976698722955</v>
      </c>
      <c r="K601" s="454">
        <f t="shared" si="122"/>
        <v>32.460173476392399</v>
      </c>
      <c r="L601" s="454">
        <f t="shared" si="122"/>
        <v>0</v>
      </c>
      <c r="M601" s="454">
        <f t="shared" si="123"/>
        <v>557.98994046362191</v>
      </c>
      <c r="N601" s="454">
        <f t="shared" si="124"/>
        <v>189.39957840676118</v>
      </c>
      <c r="O601" s="454">
        <f t="shared" si="125"/>
        <v>177.34356661296579</v>
      </c>
    </row>
    <row r="602" spans="2:15" ht="15.6" hidden="1" x14ac:dyDescent="0.25">
      <c r="B602" s="451">
        <v>4</v>
      </c>
      <c r="C602" s="279" t="s">
        <v>540</v>
      </c>
      <c r="D602" s="452"/>
      <c r="E602" s="52"/>
      <c r="F602" s="454">
        <f t="shared" si="120"/>
        <v>36.77541563172074</v>
      </c>
      <c r="G602" s="454">
        <f t="shared" si="120"/>
        <v>5.5451623824445102</v>
      </c>
      <c r="H602" s="454">
        <f t="shared" si="120"/>
        <v>0</v>
      </c>
      <c r="I602" s="454">
        <f>F602+G602-H602</f>
        <v>42.32057801416525</v>
      </c>
      <c r="J602" s="454">
        <f t="shared" si="122"/>
        <v>31.794280915969523</v>
      </c>
      <c r="K602" s="454">
        <f t="shared" si="122"/>
        <v>2.5564498862542644</v>
      </c>
      <c r="L602" s="454">
        <f t="shared" si="122"/>
        <v>0</v>
      </c>
      <c r="M602" s="454">
        <f t="shared" si="123"/>
        <v>34.350730802223786</v>
      </c>
      <c r="N602" s="454">
        <f t="shared" si="124"/>
        <v>4.9811347157512174</v>
      </c>
      <c r="O602" s="454">
        <f t="shared" si="125"/>
        <v>7.9698472119414632</v>
      </c>
    </row>
    <row r="603" spans="2:15" ht="15.6" hidden="1" x14ac:dyDescent="0.25">
      <c r="B603" s="451">
        <v>5</v>
      </c>
      <c r="C603" s="279" t="s">
        <v>694</v>
      </c>
      <c r="D603" s="452"/>
      <c r="E603" s="52"/>
      <c r="F603" s="454">
        <f t="shared" si="120"/>
        <v>5.65029</v>
      </c>
      <c r="G603" s="454">
        <f t="shared" si="120"/>
        <v>0</v>
      </c>
      <c r="H603" s="454">
        <f t="shared" si="120"/>
        <v>0</v>
      </c>
      <c r="I603" s="454">
        <f t="shared" ref="I603:I606" si="126">F603+G603-H603</f>
        <v>5.65029</v>
      </c>
      <c r="J603" s="454">
        <f t="shared" si="122"/>
        <v>4.7988246987179979</v>
      </c>
      <c r="K603" s="454">
        <f t="shared" si="122"/>
        <v>9.2197151622002246E-2</v>
      </c>
      <c r="L603" s="454">
        <f t="shared" si="122"/>
        <v>0</v>
      </c>
      <c r="M603" s="454">
        <f t="shared" si="123"/>
        <v>4.8910218503400005</v>
      </c>
      <c r="N603" s="454">
        <f t="shared" si="124"/>
        <v>0.85146530128200215</v>
      </c>
      <c r="O603" s="454">
        <f t="shared" si="125"/>
        <v>0.75926814965999956</v>
      </c>
    </row>
    <row r="604" spans="2:15" ht="15.6" hidden="1" x14ac:dyDescent="0.25">
      <c r="B604" s="451">
        <v>6</v>
      </c>
      <c r="C604" s="279" t="s">
        <v>538</v>
      </c>
      <c r="D604" s="452"/>
      <c r="E604" s="52"/>
      <c r="F604" s="454">
        <f t="shared" si="120"/>
        <v>2.4525899999999998</v>
      </c>
      <c r="G604" s="454">
        <f t="shared" si="120"/>
        <v>0</v>
      </c>
      <c r="H604" s="454">
        <f t="shared" si="120"/>
        <v>0</v>
      </c>
      <c r="I604" s="454">
        <f t="shared" si="126"/>
        <v>2.4525899999999998</v>
      </c>
      <c r="J604" s="454">
        <f t="shared" si="122"/>
        <v>2.2062353438700004</v>
      </c>
      <c r="K604" s="454">
        <f t="shared" si="122"/>
        <v>0</v>
      </c>
      <c r="L604" s="454">
        <f t="shared" si="122"/>
        <v>0</v>
      </c>
      <c r="M604" s="454">
        <f t="shared" si="123"/>
        <v>2.2062353438700004</v>
      </c>
      <c r="N604" s="454">
        <f t="shared" si="124"/>
        <v>0.24635465612999941</v>
      </c>
      <c r="O604" s="454">
        <f t="shared" si="125"/>
        <v>0.24635465612999941</v>
      </c>
    </row>
    <row r="605" spans="2:15" ht="15.6" hidden="1" x14ac:dyDescent="0.25">
      <c r="B605" s="451">
        <v>7</v>
      </c>
      <c r="C605" s="279" t="s">
        <v>695</v>
      </c>
      <c r="D605" s="452"/>
      <c r="E605" s="52"/>
      <c r="F605" s="454">
        <f t="shared" si="120"/>
        <v>261.51892726167119</v>
      </c>
      <c r="G605" s="454">
        <f t="shared" si="120"/>
        <v>52.229000468850543</v>
      </c>
      <c r="H605" s="454">
        <f t="shared" si="120"/>
        <v>0</v>
      </c>
      <c r="I605" s="454">
        <f t="shared" si="126"/>
        <v>313.74792773052172</v>
      </c>
      <c r="J605" s="454">
        <f t="shared" si="122"/>
        <v>60.680601054402587</v>
      </c>
      <c r="K605" s="454">
        <f t="shared" si="122"/>
        <v>0</v>
      </c>
      <c r="L605" s="454">
        <f t="shared" si="122"/>
        <v>0</v>
      </c>
      <c r="M605" s="454">
        <f t="shared" si="123"/>
        <v>60.680601054402587</v>
      </c>
      <c r="N605" s="454">
        <f t="shared" si="124"/>
        <v>200.83832620726861</v>
      </c>
      <c r="O605" s="454">
        <f t="shared" si="125"/>
        <v>253.06732667611914</v>
      </c>
    </row>
    <row r="606" spans="2:15" ht="15.6" hidden="1" x14ac:dyDescent="0.25">
      <c r="B606" s="451">
        <v>8</v>
      </c>
      <c r="C606" s="279" t="s">
        <v>696</v>
      </c>
      <c r="D606" s="452"/>
      <c r="E606" s="52"/>
      <c r="F606" s="454">
        <f t="shared" si="120"/>
        <v>31.435200000000005</v>
      </c>
      <c r="G606" s="454">
        <f t="shared" si="120"/>
        <v>0</v>
      </c>
      <c r="H606" s="454">
        <f t="shared" si="120"/>
        <v>0</v>
      </c>
      <c r="I606" s="454">
        <f t="shared" si="126"/>
        <v>31.435200000000005</v>
      </c>
      <c r="J606" s="454">
        <f t="shared" si="122"/>
        <v>82.666697945477097</v>
      </c>
      <c r="K606" s="454">
        <f t="shared" si="122"/>
        <v>29.770426631181433</v>
      </c>
      <c r="L606" s="454">
        <f t="shared" si="122"/>
        <v>0</v>
      </c>
      <c r="M606" s="454">
        <f t="shared" si="123"/>
        <v>112.43712457665853</v>
      </c>
      <c r="N606" s="454">
        <f t="shared" si="124"/>
        <v>-51.231497945477088</v>
      </c>
      <c r="O606" s="454">
        <f t="shared" si="125"/>
        <v>-81.001924576658524</v>
      </c>
    </row>
    <row r="607" spans="2:15" hidden="1" x14ac:dyDescent="0.25">
      <c r="B607" s="451"/>
      <c r="C607" s="457"/>
      <c r="D607" s="452"/>
      <c r="E607" s="52"/>
      <c r="F607" s="454"/>
      <c r="G607" s="454"/>
      <c r="H607" s="454"/>
      <c r="I607" s="454"/>
      <c r="J607" s="454"/>
      <c r="K607" s="454"/>
      <c r="L607" s="454"/>
      <c r="M607" s="454"/>
      <c r="N607" s="454"/>
      <c r="O607" s="454"/>
    </row>
    <row r="608" spans="2:15" hidden="1" x14ac:dyDescent="0.25">
      <c r="B608" s="451"/>
      <c r="C608" s="458"/>
      <c r="D608" s="452"/>
      <c r="E608" s="52"/>
      <c r="F608" s="454"/>
      <c r="G608" s="454"/>
      <c r="H608" s="454"/>
      <c r="I608" s="454"/>
      <c r="J608" s="454"/>
      <c r="K608" s="454"/>
      <c r="L608" s="454"/>
      <c r="M608" s="454"/>
      <c r="N608" s="454"/>
      <c r="O608" s="454"/>
    </row>
    <row r="609" spans="2:15" hidden="1" x14ac:dyDescent="0.25">
      <c r="B609" s="451"/>
      <c r="C609" s="457"/>
      <c r="D609" s="452"/>
      <c r="E609" s="52"/>
      <c r="F609" s="454"/>
      <c r="G609" s="454"/>
      <c r="H609" s="454"/>
      <c r="I609" s="454"/>
      <c r="J609" s="454"/>
      <c r="K609" s="454"/>
      <c r="L609" s="454"/>
      <c r="M609" s="454"/>
      <c r="N609" s="454"/>
      <c r="O609" s="454"/>
    </row>
    <row r="610" spans="2:15" hidden="1" x14ac:dyDescent="0.25">
      <c r="B610" s="451"/>
      <c r="C610" s="457"/>
      <c r="D610" s="452"/>
      <c r="E610" s="52"/>
      <c r="F610" s="454"/>
      <c r="G610" s="454"/>
      <c r="H610" s="454"/>
      <c r="I610" s="454"/>
      <c r="J610" s="454"/>
      <c r="K610" s="454"/>
      <c r="L610" s="454"/>
      <c r="M610" s="454"/>
      <c r="N610" s="454"/>
      <c r="O610" s="454"/>
    </row>
    <row r="611" spans="2:15" hidden="1" x14ac:dyDescent="0.25">
      <c r="B611" s="451"/>
      <c r="C611" s="457"/>
      <c r="D611" s="452"/>
      <c r="E611" s="52"/>
      <c r="F611" s="454"/>
      <c r="G611" s="454"/>
      <c r="H611" s="454"/>
      <c r="I611" s="454"/>
      <c r="J611" s="454"/>
      <c r="K611" s="454"/>
      <c r="L611" s="454"/>
      <c r="M611" s="454"/>
      <c r="N611" s="454"/>
      <c r="O611" s="454"/>
    </row>
    <row r="612" spans="2:15" hidden="1" x14ac:dyDescent="0.25">
      <c r="B612" s="451"/>
      <c r="C612" s="457"/>
      <c r="D612" s="452"/>
      <c r="E612" s="52"/>
      <c r="F612" s="454"/>
      <c r="G612" s="454"/>
      <c r="H612" s="454"/>
      <c r="I612" s="454"/>
      <c r="J612" s="454"/>
      <c r="K612" s="454"/>
      <c r="L612" s="454"/>
      <c r="M612" s="454"/>
      <c r="N612" s="454"/>
      <c r="O612" s="454"/>
    </row>
    <row r="613" spans="2:15" hidden="1" x14ac:dyDescent="0.25">
      <c r="B613" s="451"/>
      <c r="C613" s="458"/>
      <c r="D613" s="452"/>
      <c r="E613" s="52"/>
      <c r="F613" s="454"/>
      <c r="G613" s="454"/>
      <c r="H613" s="454"/>
      <c r="I613" s="454"/>
      <c r="J613" s="454"/>
      <c r="K613" s="454"/>
      <c r="L613" s="454"/>
      <c r="M613" s="454"/>
      <c r="N613" s="454"/>
      <c r="O613" s="454"/>
    </row>
    <row r="614" spans="2:15" hidden="1" x14ac:dyDescent="0.25">
      <c r="B614" s="451"/>
      <c r="C614" s="458"/>
      <c r="D614" s="452"/>
      <c r="E614" s="52"/>
      <c r="F614" s="454"/>
      <c r="G614" s="454"/>
      <c r="H614" s="454"/>
      <c r="I614" s="454"/>
      <c r="J614" s="454"/>
      <c r="K614" s="454"/>
      <c r="L614" s="454"/>
      <c r="M614" s="454"/>
      <c r="N614" s="454"/>
      <c r="O614" s="454"/>
    </row>
    <row r="615" spans="2:15" hidden="1" x14ac:dyDescent="0.25">
      <c r="B615" s="451"/>
      <c r="C615" s="458"/>
      <c r="D615" s="452"/>
      <c r="E615" s="52"/>
      <c r="F615" s="454"/>
      <c r="G615" s="454"/>
      <c r="H615" s="454"/>
      <c r="I615" s="454"/>
      <c r="J615" s="454"/>
      <c r="K615" s="454"/>
      <c r="L615" s="454"/>
      <c r="M615" s="454"/>
      <c r="N615" s="454"/>
      <c r="O615" s="454"/>
    </row>
    <row r="616" spans="2:15" hidden="1" x14ac:dyDescent="0.25">
      <c r="B616" s="451"/>
      <c r="C616" s="457"/>
      <c r="D616" s="452"/>
      <c r="E616" s="52"/>
      <c r="F616" s="454"/>
      <c r="G616" s="454"/>
      <c r="H616" s="454"/>
      <c r="I616" s="454"/>
      <c r="J616" s="454"/>
      <c r="K616" s="454"/>
      <c r="L616" s="454"/>
      <c r="M616" s="454"/>
      <c r="N616" s="454"/>
      <c r="O616" s="454"/>
    </row>
    <row r="617" spans="2:15" hidden="1" x14ac:dyDescent="0.25">
      <c r="B617" s="451"/>
      <c r="C617" s="457"/>
      <c r="D617" s="452"/>
      <c r="E617" s="52"/>
      <c r="F617" s="454"/>
      <c r="G617" s="454"/>
      <c r="H617" s="454"/>
      <c r="I617" s="454"/>
      <c r="J617" s="454"/>
      <c r="K617" s="454"/>
      <c r="L617" s="454"/>
      <c r="M617" s="454"/>
      <c r="N617" s="454"/>
      <c r="O617" s="454"/>
    </row>
    <row r="618" spans="2:15" hidden="1" x14ac:dyDescent="0.25">
      <c r="B618" s="459"/>
      <c r="C618" s="460"/>
      <c r="D618" s="452"/>
      <c r="E618" s="52"/>
      <c r="F618" s="454"/>
      <c r="G618" s="454"/>
      <c r="H618" s="454"/>
      <c r="I618" s="454"/>
      <c r="J618" s="454"/>
      <c r="K618" s="454"/>
      <c r="L618" s="454"/>
      <c r="M618" s="454"/>
      <c r="N618" s="454"/>
      <c r="O618" s="454"/>
    </row>
    <row r="619" spans="2:15" hidden="1" x14ac:dyDescent="0.25">
      <c r="B619" s="461"/>
      <c r="C619" s="280"/>
      <c r="D619" s="462"/>
      <c r="E619" s="52"/>
      <c r="F619" s="454"/>
      <c r="G619" s="454"/>
      <c r="H619" s="454"/>
      <c r="I619" s="454"/>
      <c r="J619" s="454"/>
      <c r="K619" s="454"/>
      <c r="L619" s="454"/>
      <c r="M619" s="454"/>
      <c r="N619" s="454"/>
      <c r="O619" s="454"/>
    </row>
    <row r="620" spans="2:15" hidden="1" x14ac:dyDescent="0.25">
      <c r="B620" s="461"/>
      <c r="C620" s="280"/>
      <c r="D620" s="462"/>
      <c r="E620" s="52"/>
      <c r="F620" s="454"/>
      <c r="G620" s="454"/>
      <c r="H620" s="454"/>
      <c r="I620" s="454"/>
      <c r="J620" s="454"/>
      <c r="K620" s="454"/>
      <c r="L620" s="454"/>
      <c r="M620" s="454"/>
      <c r="N620" s="454"/>
      <c r="O620" s="454"/>
    </row>
    <row r="621" spans="2:15" hidden="1" x14ac:dyDescent="0.25">
      <c r="B621" s="461"/>
      <c r="C621" s="280"/>
      <c r="D621" s="462"/>
      <c r="E621" s="52"/>
      <c r="F621" s="454"/>
      <c r="G621" s="454"/>
      <c r="H621" s="454"/>
      <c r="I621" s="454"/>
      <c r="J621" s="454"/>
      <c r="K621" s="454"/>
      <c r="L621" s="454"/>
      <c r="M621" s="454"/>
      <c r="N621" s="454"/>
      <c r="O621" s="454"/>
    </row>
    <row r="622" spans="2:15" hidden="1" x14ac:dyDescent="0.25">
      <c r="B622" s="461"/>
      <c r="C622" s="281"/>
      <c r="D622" s="462"/>
      <c r="E622" s="52"/>
      <c r="F622" s="454"/>
      <c r="G622" s="454"/>
      <c r="H622" s="454"/>
      <c r="I622" s="454"/>
      <c r="J622" s="454"/>
      <c r="K622" s="454"/>
      <c r="L622" s="454"/>
      <c r="M622" s="454"/>
      <c r="N622" s="454"/>
      <c r="O622" s="454"/>
    </row>
    <row r="623" spans="2:15" hidden="1" x14ac:dyDescent="0.25">
      <c r="B623" s="461"/>
      <c r="C623" s="281"/>
      <c r="D623" s="462"/>
      <c r="E623" s="52"/>
      <c r="F623" s="454"/>
      <c r="G623" s="454"/>
      <c r="H623" s="454"/>
      <c r="I623" s="454"/>
      <c r="J623" s="454"/>
      <c r="K623" s="454"/>
      <c r="L623" s="454"/>
      <c r="M623" s="454"/>
      <c r="N623" s="454"/>
      <c r="O623" s="454"/>
    </row>
    <row r="624" spans="2:15" hidden="1" x14ac:dyDescent="0.25">
      <c r="B624" s="461"/>
      <c r="C624" s="281"/>
      <c r="D624" s="462"/>
      <c r="E624" s="52"/>
      <c r="F624" s="454"/>
      <c r="G624" s="454"/>
      <c r="H624" s="454"/>
      <c r="I624" s="454"/>
      <c r="J624" s="454"/>
      <c r="K624" s="454"/>
      <c r="L624" s="454"/>
      <c r="M624" s="454"/>
      <c r="N624" s="454"/>
      <c r="O624" s="454"/>
    </row>
    <row r="625" spans="2:15" hidden="1" x14ac:dyDescent="0.25">
      <c r="B625" s="461"/>
      <c r="C625" s="281"/>
      <c r="D625" s="462"/>
      <c r="E625" s="52"/>
      <c r="F625" s="454"/>
      <c r="G625" s="454"/>
      <c r="H625" s="454"/>
      <c r="I625" s="454"/>
      <c r="J625" s="454"/>
      <c r="K625" s="454"/>
      <c r="L625" s="454"/>
      <c r="M625" s="454"/>
      <c r="N625" s="454"/>
      <c r="O625" s="454"/>
    </row>
    <row r="626" spans="2:15" hidden="1" x14ac:dyDescent="0.25">
      <c r="B626" s="461"/>
      <c r="C626" s="281"/>
      <c r="D626" s="462"/>
      <c r="E626" s="52"/>
      <c r="F626" s="454"/>
      <c r="G626" s="454"/>
      <c r="H626" s="454"/>
      <c r="I626" s="454"/>
      <c r="J626" s="454"/>
      <c r="K626" s="454"/>
      <c r="L626" s="454"/>
      <c r="M626" s="454"/>
      <c r="N626" s="454"/>
      <c r="O626" s="454"/>
    </row>
    <row r="627" spans="2:15" hidden="1" x14ac:dyDescent="0.25">
      <c r="B627" s="461"/>
      <c r="C627" s="281"/>
      <c r="D627" s="462"/>
      <c r="E627" s="52"/>
      <c r="F627" s="454"/>
      <c r="G627" s="454"/>
      <c r="H627" s="454"/>
      <c r="I627" s="454"/>
      <c r="J627" s="454"/>
      <c r="K627" s="454"/>
      <c r="L627" s="454"/>
      <c r="M627" s="454"/>
      <c r="N627" s="454"/>
      <c r="O627" s="454"/>
    </row>
    <row r="628" spans="2:15" hidden="1" x14ac:dyDescent="0.25">
      <c r="B628" s="461"/>
      <c r="C628" s="281"/>
      <c r="D628" s="462"/>
      <c r="E628" s="52"/>
      <c r="F628" s="454"/>
      <c r="G628" s="454"/>
      <c r="H628" s="454"/>
      <c r="I628" s="454"/>
      <c r="J628" s="454"/>
      <c r="K628" s="454"/>
      <c r="L628" s="454"/>
      <c r="M628" s="454"/>
      <c r="N628" s="454"/>
      <c r="O628" s="454"/>
    </row>
    <row r="629" spans="2:15" hidden="1" x14ac:dyDescent="0.25">
      <c r="B629" s="461"/>
      <c r="C629" s="280"/>
      <c r="D629" s="462"/>
      <c r="E629" s="52"/>
      <c r="F629" s="454"/>
      <c r="G629" s="454"/>
      <c r="H629" s="454"/>
      <c r="I629" s="454"/>
      <c r="J629" s="454"/>
      <c r="K629" s="454"/>
      <c r="L629" s="454"/>
      <c r="M629" s="454"/>
      <c r="N629" s="454"/>
      <c r="O629" s="454"/>
    </row>
    <row r="630" spans="2:15" hidden="1" x14ac:dyDescent="0.25">
      <c r="B630" s="461"/>
      <c r="C630" s="281"/>
      <c r="D630" s="462"/>
      <c r="E630" s="52"/>
      <c r="F630" s="454"/>
      <c r="G630" s="454"/>
      <c r="H630" s="454"/>
      <c r="I630" s="454"/>
      <c r="J630" s="454"/>
      <c r="K630" s="454"/>
      <c r="L630" s="454"/>
      <c r="M630" s="454"/>
      <c r="N630" s="454"/>
      <c r="O630" s="454"/>
    </row>
    <row r="631" spans="2:15" hidden="1" x14ac:dyDescent="0.25">
      <c r="B631" s="461"/>
      <c r="C631" s="281"/>
      <c r="D631" s="462"/>
      <c r="E631" s="52"/>
      <c r="F631" s="454"/>
      <c r="G631" s="454"/>
      <c r="H631" s="454"/>
      <c r="I631" s="454"/>
      <c r="J631" s="454"/>
      <c r="K631" s="454"/>
      <c r="L631" s="454"/>
      <c r="M631" s="454"/>
      <c r="N631" s="454"/>
      <c r="O631" s="454"/>
    </row>
    <row r="632" spans="2:15" hidden="1" x14ac:dyDescent="0.25">
      <c r="B632" s="461"/>
      <c r="C632" s="281"/>
      <c r="D632" s="462"/>
      <c r="E632" s="52"/>
      <c r="F632" s="454"/>
      <c r="G632" s="454"/>
      <c r="H632" s="454"/>
      <c r="I632" s="454"/>
      <c r="J632" s="454"/>
      <c r="K632" s="454"/>
      <c r="L632" s="454"/>
      <c r="M632" s="454"/>
      <c r="N632" s="454"/>
      <c r="O632" s="454"/>
    </row>
    <row r="633" spans="2:15" hidden="1" x14ac:dyDescent="0.25">
      <c r="B633" s="461"/>
      <c r="C633" s="280"/>
      <c r="D633" s="462"/>
      <c r="E633" s="52"/>
      <c r="F633" s="454"/>
      <c r="G633" s="454"/>
      <c r="H633" s="454"/>
      <c r="I633" s="454"/>
      <c r="J633" s="454"/>
      <c r="K633" s="454"/>
      <c r="L633" s="454"/>
      <c r="M633" s="454"/>
      <c r="N633" s="454"/>
      <c r="O633" s="454"/>
    </row>
    <row r="634" spans="2:15" hidden="1" x14ac:dyDescent="0.25">
      <c r="B634" s="461"/>
      <c r="C634" s="280"/>
      <c r="D634" s="452"/>
      <c r="E634" s="52"/>
      <c r="F634" s="454"/>
      <c r="G634" s="454"/>
      <c r="H634" s="454"/>
      <c r="I634" s="454"/>
      <c r="J634" s="454"/>
      <c r="K634" s="454"/>
      <c r="L634" s="454"/>
      <c r="M634" s="454"/>
      <c r="N634" s="454"/>
      <c r="O634" s="454"/>
    </row>
    <row r="635" spans="2:15" hidden="1" x14ac:dyDescent="0.25">
      <c r="B635" s="461"/>
      <c r="C635" s="280"/>
      <c r="D635" s="452"/>
      <c r="E635" s="53"/>
      <c r="F635" s="454"/>
      <c r="G635" s="454"/>
      <c r="H635" s="454"/>
      <c r="I635" s="454"/>
      <c r="J635" s="454"/>
      <c r="K635" s="454"/>
      <c r="L635" s="454"/>
      <c r="M635" s="454"/>
      <c r="N635" s="454"/>
      <c r="O635" s="454"/>
    </row>
    <row r="636" spans="2:15" ht="14.4" hidden="1" thickBot="1" x14ac:dyDescent="0.3">
      <c r="B636" s="463"/>
      <c r="C636" s="464" t="s">
        <v>251</v>
      </c>
      <c r="D636" s="464"/>
      <c r="E636" s="465"/>
      <c r="F636" s="466">
        <f>SUM(F596:F635)</f>
        <v>15434.546058165786</v>
      </c>
      <c r="G636" s="466">
        <f t="shared" ref="G636:O636" si="127">SUM(G596:G635)</f>
        <v>1895.6887012982193</v>
      </c>
      <c r="H636" s="466">
        <f t="shared" si="127"/>
        <v>0</v>
      </c>
      <c r="I636" s="466">
        <f t="shared" si="127"/>
        <v>17330.234759464005</v>
      </c>
      <c r="J636" s="466">
        <f t="shared" si="127"/>
        <v>6586.793380172513</v>
      </c>
      <c r="K636" s="466">
        <f t="shared" si="127"/>
        <v>622.56736194974383</v>
      </c>
      <c r="L636" s="466">
        <f t="shared" si="127"/>
        <v>0</v>
      </c>
      <c r="M636" s="466">
        <f t="shared" si="127"/>
        <v>7209.3607421222559</v>
      </c>
      <c r="N636" s="466">
        <f t="shared" si="127"/>
        <v>8847.7526779932759</v>
      </c>
      <c r="O636" s="466">
        <f t="shared" si="127"/>
        <v>10120.874017341752</v>
      </c>
    </row>
    <row r="638" spans="2:15" x14ac:dyDescent="0.25">
      <c r="B638" s="22" t="s">
        <v>698</v>
      </c>
      <c r="H638" s="440"/>
      <c r="I638" s="440"/>
    </row>
    <row r="639" spans="2:15" x14ac:dyDescent="0.25">
      <c r="K639" s="440"/>
      <c r="O639" s="22" t="s">
        <v>3</v>
      </c>
    </row>
    <row r="640" spans="2:15" hidden="1" x14ac:dyDescent="0.25">
      <c r="B640" s="858" t="s">
        <v>7</v>
      </c>
      <c r="C640" s="859"/>
      <c r="D640" s="859"/>
      <c r="E640" s="859"/>
      <c r="F640" s="859"/>
      <c r="G640" s="859"/>
      <c r="H640" s="859"/>
      <c r="I640" s="859"/>
      <c r="J640" s="859"/>
      <c r="K640" s="859"/>
      <c r="L640" s="859"/>
      <c r="M640" s="859"/>
      <c r="N640" s="859"/>
      <c r="O640" s="860"/>
    </row>
    <row r="641" spans="2:15" hidden="1" x14ac:dyDescent="0.25">
      <c r="B641" s="861" t="s">
        <v>474</v>
      </c>
      <c r="C641" s="863" t="s">
        <v>556</v>
      </c>
      <c r="D641" s="865" t="s">
        <v>557</v>
      </c>
      <c r="E641" s="865" t="s">
        <v>558</v>
      </c>
      <c r="F641" s="865" t="s">
        <v>559</v>
      </c>
      <c r="G641" s="865"/>
      <c r="H641" s="865"/>
      <c r="I641" s="865"/>
      <c r="J641" s="865" t="s">
        <v>560</v>
      </c>
      <c r="K641" s="865"/>
      <c r="L641" s="865"/>
      <c r="M641" s="865"/>
      <c r="N641" s="865" t="s">
        <v>561</v>
      </c>
      <c r="O641" s="867"/>
    </row>
    <row r="642" spans="2:15" ht="55.8" hidden="1" thickBot="1" x14ac:dyDescent="0.3">
      <c r="B642" s="862"/>
      <c r="C642" s="864"/>
      <c r="D642" s="866"/>
      <c r="E642" s="866"/>
      <c r="F642" s="468" t="s">
        <v>562</v>
      </c>
      <c r="G642" s="468" t="s">
        <v>563</v>
      </c>
      <c r="H642" s="468" t="s">
        <v>564</v>
      </c>
      <c r="I642" s="468" t="s">
        <v>565</v>
      </c>
      <c r="J642" s="468" t="s">
        <v>566</v>
      </c>
      <c r="K642" s="468" t="s">
        <v>563</v>
      </c>
      <c r="L642" s="468" t="s">
        <v>567</v>
      </c>
      <c r="M642" s="468" t="s">
        <v>568</v>
      </c>
      <c r="N642" s="468" t="s">
        <v>562</v>
      </c>
      <c r="O642" s="469" t="s">
        <v>565</v>
      </c>
    </row>
    <row r="643" spans="2:15" ht="15.6" hidden="1" x14ac:dyDescent="0.25">
      <c r="B643" s="451">
        <v>1</v>
      </c>
      <c r="C643" s="276" t="s">
        <v>689</v>
      </c>
      <c r="D643" s="452"/>
      <c r="E643" s="453"/>
      <c r="F643" s="454">
        <f>F9*0.1</f>
        <v>0.1748894933</v>
      </c>
      <c r="G643" s="454">
        <f t="shared" ref="G643:H653" si="128">G9*0.1</f>
        <v>3.2230000000000001E-5</v>
      </c>
      <c r="H643" s="454">
        <f t="shared" si="128"/>
        <v>0</v>
      </c>
      <c r="I643" s="454">
        <f>F643+G643-H643</f>
        <v>0.1749217233</v>
      </c>
      <c r="J643" s="454">
        <f>J9*0.1</f>
        <v>0</v>
      </c>
      <c r="K643" s="454">
        <f>K9*0.1</f>
        <v>0</v>
      </c>
      <c r="L643" s="454">
        <f t="shared" ref="L643:L644" si="129">L9*0.1</f>
        <v>0</v>
      </c>
      <c r="M643" s="454">
        <f>J643+K643-L643</f>
        <v>0</v>
      </c>
      <c r="N643" s="454">
        <f>F643-J643</f>
        <v>0.1748894933</v>
      </c>
      <c r="O643" s="454">
        <f>I643-M643</f>
        <v>0.1749217233</v>
      </c>
    </row>
    <row r="644" spans="2:15" ht="15.6" hidden="1" x14ac:dyDescent="0.25">
      <c r="B644" s="451">
        <v>2</v>
      </c>
      <c r="C644" s="276" t="s">
        <v>534</v>
      </c>
      <c r="D644" s="452"/>
      <c r="E644" s="453"/>
      <c r="F644" s="454">
        <f>F10*0.1</f>
        <v>32.656351383500002</v>
      </c>
      <c r="G644" s="454">
        <f t="shared" si="128"/>
        <v>1.5384848100999999</v>
      </c>
      <c r="H644" s="454">
        <f t="shared" si="128"/>
        <v>3.7856230000000003E-4</v>
      </c>
      <c r="I644" s="454">
        <f>F644+G644-H644</f>
        <v>34.194457631300004</v>
      </c>
      <c r="J644" s="454">
        <f>J10*0.1</f>
        <v>6.7098704776000009</v>
      </c>
      <c r="K644" s="454">
        <f>K10*0.1</f>
        <v>1.0961439117</v>
      </c>
      <c r="L644" s="454">
        <f t="shared" si="129"/>
        <v>9.2948199999999992E-5</v>
      </c>
      <c r="M644" s="454">
        <f>J644+K644-L644</f>
        <v>7.8059214411000015</v>
      </c>
      <c r="N644" s="454">
        <f t="shared" ref="N644" si="130">F644-J644</f>
        <v>25.946480905900003</v>
      </c>
      <c r="O644" s="454">
        <f t="shared" ref="O644" si="131">I644-M644</f>
        <v>26.388536190200004</v>
      </c>
    </row>
    <row r="645" spans="2:15" ht="15.6" hidden="1" x14ac:dyDescent="0.25">
      <c r="B645" s="470">
        <v>3</v>
      </c>
      <c r="C645" s="279" t="s">
        <v>690</v>
      </c>
      <c r="D645" s="471"/>
      <c r="E645" s="360"/>
      <c r="F645" s="472"/>
      <c r="G645" s="472"/>
      <c r="H645" s="472"/>
      <c r="I645" s="472"/>
      <c r="J645" s="472"/>
      <c r="K645" s="472"/>
      <c r="L645" s="472"/>
      <c r="M645" s="472"/>
      <c r="N645" s="472"/>
      <c r="O645" s="472"/>
    </row>
    <row r="646" spans="2:15" ht="15.6" hidden="1" x14ac:dyDescent="0.25">
      <c r="B646" s="451"/>
      <c r="C646" s="276" t="s">
        <v>691</v>
      </c>
      <c r="D646" s="452"/>
      <c r="E646" s="52"/>
      <c r="F646" s="454">
        <f t="shared" ref="F646:F653" si="132">F12*0.1</f>
        <v>420.54122374630009</v>
      </c>
      <c r="G646" s="454">
        <f t="shared" si="128"/>
        <v>21.159163456900004</v>
      </c>
      <c r="H646" s="454">
        <f t="shared" si="128"/>
        <v>0.24620462149999997</v>
      </c>
      <c r="I646" s="454">
        <f t="shared" ref="I646:I653" si="133">F646+G646-H646</f>
        <v>441.45418258170008</v>
      </c>
      <c r="J646" s="454">
        <f t="shared" ref="J646:L653" si="134">J12*0.1</f>
        <v>219.06224179970002</v>
      </c>
      <c r="K646" s="454">
        <f t="shared" si="134"/>
        <v>16.576779999999999</v>
      </c>
      <c r="L646" s="454">
        <f t="shared" si="134"/>
        <v>0.17945579450000002</v>
      </c>
      <c r="M646" s="454">
        <f t="shared" ref="M646:M653" si="135">J646+K646-L646</f>
        <v>235.4595660052</v>
      </c>
      <c r="N646" s="454">
        <f t="shared" ref="N646:N653" si="136">F646-J646</f>
        <v>201.47898194660007</v>
      </c>
      <c r="O646" s="454">
        <f t="shared" ref="O646:O653" si="137">I646-M646</f>
        <v>205.99461657650008</v>
      </c>
    </row>
    <row r="647" spans="2:15" ht="15.6" hidden="1" x14ac:dyDescent="0.25">
      <c r="B647" s="451"/>
      <c r="C647" s="276" t="s">
        <v>692</v>
      </c>
      <c r="D647" s="452"/>
      <c r="E647" s="52"/>
      <c r="F647" s="454">
        <f t="shared" si="132"/>
        <v>370.21965184499993</v>
      </c>
      <c r="G647" s="454">
        <f t="shared" si="128"/>
        <v>28.401312289099998</v>
      </c>
      <c r="H647" s="454">
        <f t="shared" si="128"/>
        <v>3.5153765800000007E-2</v>
      </c>
      <c r="I647" s="454">
        <f t="shared" si="133"/>
        <v>398.58581036829997</v>
      </c>
      <c r="J647" s="454">
        <f t="shared" si="134"/>
        <v>184.22799597259998</v>
      </c>
      <c r="K647" s="454">
        <f t="shared" si="134"/>
        <v>13.94777</v>
      </c>
      <c r="L647" s="454">
        <f t="shared" si="134"/>
        <v>3.6279699999999999E-3</v>
      </c>
      <c r="M647" s="454">
        <f t="shared" si="135"/>
        <v>198.17213800259998</v>
      </c>
      <c r="N647" s="454">
        <f t="shared" si="136"/>
        <v>185.99165587239995</v>
      </c>
      <c r="O647" s="454">
        <f t="shared" si="137"/>
        <v>200.41367236569999</v>
      </c>
    </row>
    <row r="648" spans="2:15" ht="15.6" hidden="1" x14ac:dyDescent="0.25">
      <c r="B648" s="451"/>
      <c r="C648" s="276" t="s">
        <v>693</v>
      </c>
      <c r="D648" s="452"/>
      <c r="E648" s="52"/>
      <c r="F648" s="454">
        <f t="shared" si="132"/>
        <v>68.093775130099999</v>
      </c>
      <c r="G648" s="454">
        <f t="shared" si="128"/>
        <v>4.3298792102000005</v>
      </c>
      <c r="H648" s="454">
        <f t="shared" si="128"/>
        <v>1.1101317194</v>
      </c>
      <c r="I648" s="454">
        <f t="shared" si="133"/>
        <v>71.313522620900002</v>
      </c>
      <c r="J648" s="454">
        <f t="shared" si="134"/>
        <v>40.8184984886</v>
      </c>
      <c r="K648" s="454">
        <f t="shared" si="134"/>
        <v>2.1451806036000005</v>
      </c>
      <c r="L648" s="454">
        <f t="shared" si="134"/>
        <v>0.89017618000000009</v>
      </c>
      <c r="M648" s="454">
        <f t="shared" si="135"/>
        <v>42.073502912200006</v>
      </c>
      <c r="N648" s="454">
        <f t="shared" si="136"/>
        <v>27.2752766415</v>
      </c>
      <c r="O648" s="454">
        <f t="shared" si="137"/>
        <v>29.240019708699997</v>
      </c>
    </row>
    <row r="649" spans="2:15" ht="15.6" hidden="1" x14ac:dyDescent="0.25">
      <c r="B649" s="451">
        <v>4</v>
      </c>
      <c r="C649" s="279" t="s">
        <v>540</v>
      </c>
      <c r="D649" s="452"/>
      <c r="E649" s="52"/>
      <c r="F649" s="454">
        <f t="shared" si="132"/>
        <v>1.7917618094999999</v>
      </c>
      <c r="G649" s="454">
        <f t="shared" si="128"/>
        <v>0.19418848</v>
      </c>
      <c r="H649" s="454">
        <f t="shared" si="128"/>
        <v>0</v>
      </c>
      <c r="I649" s="454">
        <f t="shared" si="133"/>
        <v>1.9859502894999999</v>
      </c>
      <c r="J649" s="454">
        <f t="shared" si="134"/>
        <v>0.87523934000000014</v>
      </c>
      <c r="K649" s="454">
        <f t="shared" si="134"/>
        <v>0.10097978060000001</v>
      </c>
      <c r="L649" s="454">
        <f t="shared" si="134"/>
        <v>0</v>
      </c>
      <c r="M649" s="454">
        <f t="shared" si="135"/>
        <v>0.97621912060000016</v>
      </c>
      <c r="N649" s="454">
        <f t="shared" si="136"/>
        <v>0.91652246949999971</v>
      </c>
      <c r="O649" s="454">
        <f t="shared" si="137"/>
        <v>1.0097311688999997</v>
      </c>
    </row>
    <row r="650" spans="2:15" ht="15.6" hidden="1" x14ac:dyDescent="0.25">
      <c r="B650" s="451">
        <v>5</v>
      </c>
      <c r="C650" s="279" t="s">
        <v>694</v>
      </c>
      <c r="D650" s="452"/>
      <c r="E650" s="52"/>
      <c r="F650" s="454">
        <f t="shared" si="132"/>
        <v>0.51254625450000002</v>
      </c>
      <c r="G650" s="454">
        <f t="shared" si="128"/>
        <v>7.8891299999999994E-3</v>
      </c>
      <c r="H650" s="454">
        <f t="shared" si="128"/>
        <v>0</v>
      </c>
      <c r="I650" s="454">
        <f t="shared" si="133"/>
        <v>0.52043538450000004</v>
      </c>
      <c r="J650" s="454">
        <f t="shared" si="134"/>
        <v>0.37444824999999998</v>
      </c>
      <c r="K650" s="454">
        <f t="shared" si="134"/>
        <v>9.7599999999999996E-3</v>
      </c>
      <c r="L650" s="454">
        <f t="shared" si="134"/>
        <v>0</v>
      </c>
      <c r="M650" s="454">
        <f t="shared" si="135"/>
        <v>0.38420824999999997</v>
      </c>
      <c r="N650" s="454">
        <f t="shared" si="136"/>
        <v>0.13809800450000004</v>
      </c>
      <c r="O650" s="454">
        <f t="shared" si="137"/>
        <v>0.13622713450000007</v>
      </c>
    </row>
    <row r="651" spans="2:15" ht="15.6" hidden="1" x14ac:dyDescent="0.25">
      <c r="B651" s="451">
        <v>6</v>
      </c>
      <c r="C651" s="279" t="s">
        <v>538</v>
      </c>
      <c r="D651" s="452"/>
      <c r="E651" s="52"/>
      <c r="F651" s="454">
        <f t="shared" si="132"/>
        <v>0.28030211039999997</v>
      </c>
      <c r="G651" s="454">
        <f t="shared" si="128"/>
        <v>0</v>
      </c>
      <c r="H651" s="454">
        <f t="shared" si="128"/>
        <v>7.7877500000000004E-3</v>
      </c>
      <c r="I651" s="454">
        <f t="shared" si="133"/>
        <v>0.27251436039999999</v>
      </c>
      <c r="J651" s="454">
        <f t="shared" si="134"/>
        <v>0.24974601000000002</v>
      </c>
      <c r="K651" s="454">
        <f t="shared" si="134"/>
        <v>2.3700000000000006E-3</v>
      </c>
      <c r="L651" s="454">
        <f t="shared" si="134"/>
        <v>7.0089800000000015E-3</v>
      </c>
      <c r="M651" s="454">
        <f t="shared" si="135"/>
        <v>0.24510703</v>
      </c>
      <c r="N651" s="454">
        <f t="shared" si="136"/>
        <v>3.0556100399999953E-2</v>
      </c>
      <c r="O651" s="454">
        <f t="shared" si="137"/>
        <v>2.7407330399999985E-2</v>
      </c>
    </row>
    <row r="652" spans="2:15" ht="15.6" hidden="1" x14ac:dyDescent="0.25">
      <c r="B652" s="451">
        <v>7</v>
      </c>
      <c r="C652" s="279" t="s">
        <v>695</v>
      </c>
      <c r="D652" s="452"/>
      <c r="E652" s="52"/>
      <c r="F652" s="454">
        <f t="shared" si="132"/>
        <v>7.7789663676999998</v>
      </c>
      <c r="G652" s="454">
        <f t="shared" si="128"/>
        <v>0.48735000000000001</v>
      </c>
      <c r="H652" s="454">
        <f t="shared" si="128"/>
        <v>1.4739599999999999E-3</v>
      </c>
      <c r="I652" s="454">
        <f t="shared" si="133"/>
        <v>8.2648424076999998</v>
      </c>
      <c r="J652" s="454">
        <f t="shared" si="134"/>
        <v>5.5862980799999997</v>
      </c>
      <c r="K652" s="454">
        <f t="shared" si="134"/>
        <v>0.76790000000000003</v>
      </c>
      <c r="L652" s="454">
        <f t="shared" si="134"/>
        <v>1.4739599999999999E-3</v>
      </c>
      <c r="M652" s="454">
        <f t="shared" si="135"/>
        <v>6.3527241199999995</v>
      </c>
      <c r="N652" s="454">
        <f t="shared" si="136"/>
        <v>2.1926682877000001</v>
      </c>
      <c r="O652" s="454">
        <f t="shared" si="137"/>
        <v>1.9121182877000003</v>
      </c>
    </row>
    <row r="653" spans="2:15" ht="15.6" hidden="1" x14ac:dyDescent="0.25">
      <c r="B653" s="451">
        <v>8</v>
      </c>
      <c r="C653" s="279" t="s">
        <v>696</v>
      </c>
      <c r="D653" s="452"/>
      <c r="E653" s="52"/>
      <c r="F653" s="454">
        <f t="shared" si="132"/>
        <v>3.4249367200000003</v>
      </c>
      <c r="G653" s="454">
        <f t="shared" si="128"/>
        <v>6.7863871200000009E-2</v>
      </c>
      <c r="H653" s="454">
        <f t="shared" si="128"/>
        <v>0</v>
      </c>
      <c r="I653" s="454">
        <f t="shared" si="133"/>
        <v>3.4928005912000004</v>
      </c>
      <c r="J653" s="454">
        <f t="shared" si="134"/>
        <v>2.4240203600000001</v>
      </c>
      <c r="K653" s="454">
        <f t="shared" si="134"/>
        <v>0.24162624399999999</v>
      </c>
      <c r="L653" s="454">
        <f t="shared" si="134"/>
        <v>0</v>
      </c>
      <c r="M653" s="454">
        <f t="shared" si="135"/>
        <v>2.665646604</v>
      </c>
      <c r="N653" s="454">
        <f t="shared" si="136"/>
        <v>1.0009163600000002</v>
      </c>
      <c r="O653" s="454">
        <f t="shared" si="137"/>
        <v>0.82715398720000044</v>
      </c>
    </row>
    <row r="654" spans="2:15" hidden="1" x14ac:dyDescent="0.25">
      <c r="B654" s="451"/>
      <c r="C654" s="457"/>
      <c r="D654" s="452"/>
      <c r="E654" s="52"/>
      <c r="F654" s="454"/>
      <c r="G654" s="454"/>
      <c r="H654" s="454"/>
      <c r="I654" s="454"/>
      <c r="J654" s="454"/>
      <c r="K654" s="454"/>
      <c r="L654" s="454"/>
      <c r="M654" s="454"/>
      <c r="N654" s="454"/>
      <c r="O654" s="454"/>
    </row>
    <row r="655" spans="2:15" hidden="1" x14ac:dyDescent="0.25">
      <c r="B655" s="451"/>
      <c r="C655" s="458"/>
      <c r="D655" s="452"/>
      <c r="E655" s="52"/>
      <c r="F655" s="454"/>
      <c r="G655" s="454"/>
      <c r="H655" s="454"/>
      <c r="I655" s="454"/>
      <c r="J655" s="454"/>
      <c r="K655" s="454"/>
      <c r="L655" s="454"/>
      <c r="M655" s="454"/>
      <c r="N655" s="454"/>
      <c r="O655" s="454"/>
    </row>
    <row r="656" spans="2:15" hidden="1" x14ac:dyDescent="0.25">
      <c r="B656" s="451"/>
      <c r="C656" s="457"/>
      <c r="D656" s="452"/>
      <c r="E656" s="52"/>
      <c r="F656" s="454"/>
      <c r="G656" s="454"/>
      <c r="H656" s="454"/>
      <c r="I656" s="454"/>
      <c r="J656" s="454"/>
      <c r="K656" s="454"/>
      <c r="L656" s="454"/>
      <c r="M656" s="454"/>
      <c r="N656" s="454"/>
      <c r="O656" s="454"/>
    </row>
    <row r="657" spans="2:15" hidden="1" x14ac:dyDescent="0.25">
      <c r="B657" s="451"/>
      <c r="C657" s="457"/>
      <c r="D657" s="452"/>
      <c r="E657" s="52"/>
      <c r="F657" s="454"/>
      <c r="G657" s="454"/>
      <c r="H657" s="454"/>
      <c r="I657" s="454"/>
      <c r="J657" s="454"/>
      <c r="K657" s="454"/>
      <c r="L657" s="454"/>
      <c r="M657" s="454"/>
      <c r="N657" s="454"/>
      <c r="O657" s="454"/>
    </row>
    <row r="658" spans="2:15" hidden="1" x14ac:dyDescent="0.25">
      <c r="B658" s="451"/>
      <c r="C658" s="457"/>
      <c r="D658" s="452"/>
      <c r="E658" s="52"/>
      <c r="F658" s="454"/>
      <c r="G658" s="454"/>
      <c r="H658" s="454"/>
      <c r="I658" s="454"/>
      <c r="J658" s="454"/>
      <c r="K658" s="454"/>
      <c r="L658" s="454"/>
      <c r="M658" s="454"/>
      <c r="N658" s="454"/>
      <c r="O658" s="454"/>
    </row>
    <row r="659" spans="2:15" hidden="1" x14ac:dyDescent="0.25">
      <c r="B659" s="451"/>
      <c r="C659" s="457"/>
      <c r="D659" s="452"/>
      <c r="E659" s="52"/>
      <c r="F659" s="454"/>
      <c r="G659" s="454"/>
      <c r="H659" s="454"/>
      <c r="I659" s="454"/>
      <c r="J659" s="454"/>
      <c r="K659" s="454"/>
      <c r="L659" s="454"/>
      <c r="M659" s="454"/>
      <c r="N659" s="454"/>
      <c r="O659" s="454"/>
    </row>
    <row r="660" spans="2:15" hidden="1" x14ac:dyDescent="0.25">
      <c r="B660" s="451"/>
      <c r="C660" s="458"/>
      <c r="D660" s="452"/>
      <c r="E660" s="52"/>
      <c r="F660" s="454"/>
      <c r="G660" s="454"/>
      <c r="H660" s="454"/>
      <c r="I660" s="454"/>
      <c r="J660" s="454"/>
      <c r="K660" s="454"/>
      <c r="L660" s="454"/>
      <c r="M660" s="454"/>
      <c r="N660" s="454"/>
      <c r="O660" s="454"/>
    </row>
    <row r="661" spans="2:15" hidden="1" x14ac:dyDescent="0.25">
      <c r="B661" s="451"/>
      <c r="C661" s="458"/>
      <c r="D661" s="452"/>
      <c r="E661" s="52"/>
      <c r="F661" s="454"/>
      <c r="G661" s="454"/>
      <c r="H661" s="454"/>
      <c r="I661" s="454"/>
      <c r="J661" s="454"/>
      <c r="K661" s="454"/>
      <c r="L661" s="454"/>
      <c r="M661" s="454"/>
      <c r="N661" s="454"/>
      <c r="O661" s="454"/>
    </row>
    <row r="662" spans="2:15" hidden="1" x14ac:dyDescent="0.25">
      <c r="B662" s="451"/>
      <c r="C662" s="458"/>
      <c r="D662" s="452"/>
      <c r="E662" s="52"/>
      <c r="F662" s="454"/>
      <c r="G662" s="454"/>
      <c r="H662" s="454"/>
      <c r="I662" s="454"/>
      <c r="J662" s="454"/>
      <c r="K662" s="454"/>
      <c r="L662" s="454"/>
      <c r="M662" s="454"/>
      <c r="N662" s="454"/>
      <c r="O662" s="454"/>
    </row>
    <row r="663" spans="2:15" hidden="1" x14ac:dyDescent="0.25">
      <c r="B663" s="451"/>
      <c r="C663" s="457"/>
      <c r="D663" s="452"/>
      <c r="E663" s="52"/>
      <c r="F663" s="454"/>
      <c r="G663" s="454"/>
      <c r="H663" s="454"/>
      <c r="I663" s="454"/>
      <c r="J663" s="454"/>
      <c r="K663" s="454"/>
      <c r="L663" s="454"/>
      <c r="M663" s="454"/>
      <c r="N663" s="454"/>
      <c r="O663" s="454"/>
    </row>
    <row r="664" spans="2:15" hidden="1" x14ac:dyDescent="0.25">
      <c r="B664" s="451"/>
      <c r="C664" s="457"/>
      <c r="D664" s="452"/>
      <c r="E664" s="52"/>
      <c r="F664" s="454"/>
      <c r="G664" s="454"/>
      <c r="H664" s="454"/>
      <c r="I664" s="454"/>
      <c r="J664" s="454"/>
      <c r="K664" s="454"/>
      <c r="L664" s="454"/>
      <c r="M664" s="454"/>
      <c r="N664" s="454"/>
      <c r="O664" s="454"/>
    </row>
    <row r="665" spans="2:15" hidden="1" x14ac:dyDescent="0.25">
      <c r="B665" s="459"/>
      <c r="C665" s="460"/>
      <c r="D665" s="452"/>
      <c r="E665" s="52"/>
      <c r="F665" s="454"/>
      <c r="G665" s="454"/>
      <c r="H665" s="454"/>
      <c r="I665" s="454"/>
      <c r="J665" s="454"/>
      <c r="K665" s="454"/>
      <c r="L665" s="454"/>
      <c r="M665" s="454"/>
      <c r="N665" s="454"/>
      <c r="O665" s="454"/>
    </row>
    <row r="666" spans="2:15" hidden="1" x14ac:dyDescent="0.25">
      <c r="B666" s="461"/>
      <c r="C666" s="280"/>
      <c r="D666" s="462"/>
      <c r="E666" s="52"/>
      <c r="F666" s="454"/>
      <c r="G666" s="454"/>
      <c r="H666" s="454"/>
      <c r="I666" s="454"/>
      <c r="J666" s="454"/>
      <c r="K666" s="454"/>
      <c r="L666" s="454"/>
      <c r="M666" s="454"/>
      <c r="N666" s="454"/>
      <c r="O666" s="454"/>
    </row>
    <row r="667" spans="2:15" hidden="1" x14ac:dyDescent="0.25">
      <c r="B667" s="461"/>
      <c r="C667" s="280"/>
      <c r="D667" s="462"/>
      <c r="E667" s="52"/>
      <c r="F667" s="454"/>
      <c r="G667" s="454"/>
      <c r="H667" s="454"/>
      <c r="I667" s="454"/>
      <c r="J667" s="454"/>
      <c r="K667" s="454"/>
      <c r="L667" s="454"/>
      <c r="M667" s="454"/>
      <c r="N667" s="454"/>
      <c r="O667" s="454"/>
    </row>
    <row r="668" spans="2:15" hidden="1" x14ac:dyDescent="0.25">
      <c r="B668" s="461"/>
      <c r="C668" s="280"/>
      <c r="D668" s="462"/>
      <c r="E668" s="52"/>
      <c r="F668" s="454"/>
      <c r="G668" s="454"/>
      <c r="H668" s="454"/>
      <c r="I668" s="454"/>
      <c r="J668" s="454"/>
      <c r="K668" s="454"/>
      <c r="L668" s="454"/>
      <c r="M668" s="454"/>
      <c r="N668" s="454"/>
      <c r="O668" s="454"/>
    </row>
    <row r="669" spans="2:15" hidden="1" x14ac:dyDescent="0.25">
      <c r="B669" s="461"/>
      <c r="C669" s="281"/>
      <c r="D669" s="462"/>
      <c r="E669" s="52"/>
      <c r="F669" s="454"/>
      <c r="G669" s="454"/>
      <c r="H669" s="454"/>
      <c r="I669" s="454"/>
      <c r="J669" s="454"/>
      <c r="K669" s="454"/>
      <c r="L669" s="454"/>
      <c r="M669" s="454"/>
      <c r="N669" s="454"/>
      <c r="O669" s="454"/>
    </row>
    <row r="670" spans="2:15" hidden="1" x14ac:dyDescent="0.25">
      <c r="B670" s="461"/>
      <c r="C670" s="281"/>
      <c r="D670" s="462"/>
      <c r="E670" s="52"/>
      <c r="F670" s="454"/>
      <c r="G670" s="454"/>
      <c r="H670" s="454"/>
      <c r="I670" s="454"/>
      <c r="J670" s="454"/>
      <c r="K670" s="454"/>
      <c r="L670" s="454"/>
      <c r="M670" s="454"/>
      <c r="N670" s="454"/>
      <c r="O670" s="454"/>
    </row>
    <row r="671" spans="2:15" hidden="1" x14ac:dyDescent="0.25">
      <c r="B671" s="461"/>
      <c r="C671" s="281"/>
      <c r="D671" s="462"/>
      <c r="E671" s="52"/>
      <c r="F671" s="454"/>
      <c r="G671" s="454"/>
      <c r="H671" s="454"/>
      <c r="I671" s="454"/>
      <c r="J671" s="454"/>
      <c r="K671" s="454"/>
      <c r="L671" s="454"/>
      <c r="M671" s="454"/>
      <c r="N671" s="454"/>
      <c r="O671" s="454"/>
    </row>
    <row r="672" spans="2:15" hidden="1" x14ac:dyDescent="0.25">
      <c r="B672" s="461"/>
      <c r="C672" s="281"/>
      <c r="D672" s="462"/>
      <c r="E672" s="52"/>
      <c r="F672" s="454"/>
      <c r="G672" s="454"/>
      <c r="H672" s="454"/>
      <c r="I672" s="454"/>
      <c r="J672" s="454"/>
      <c r="K672" s="454"/>
      <c r="L672" s="454"/>
      <c r="M672" s="454"/>
      <c r="N672" s="454"/>
      <c r="O672" s="454"/>
    </row>
    <row r="673" spans="2:15" hidden="1" x14ac:dyDescent="0.25">
      <c r="B673" s="461"/>
      <c r="C673" s="281"/>
      <c r="D673" s="462"/>
      <c r="E673" s="52"/>
      <c r="F673" s="454"/>
      <c r="G673" s="454"/>
      <c r="H673" s="454"/>
      <c r="I673" s="454"/>
      <c r="J673" s="454"/>
      <c r="K673" s="454"/>
      <c r="L673" s="454"/>
      <c r="M673" s="454"/>
      <c r="N673" s="454"/>
      <c r="O673" s="454"/>
    </row>
    <row r="674" spans="2:15" hidden="1" x14ac:dyDescent="0.25">
      <c r="B674" s="461"/>
      <c r="C674" s="281"/>
      <c r="D674" s="462"/>
      <c r="E674" s="52"/>
      <c r="F674" s="454"/>
      <c r="G674" s="454"/>
      <c r="H674" s="454"/>
      <c r="I674" s="454"/>
      <c r="J674" s="454"/>
      <c r="K674" s="454"/>
      <c r="L674" s="454"/>
      <c r="M674" s="454"/>
      <c r="N674" s="454"/>
      <c r="O674" s="454"/>
    </row>
    <row r="675" spans="2:15" hidden="1" x14ac:dyDescent="0.25">
      <c r="B675" s="461"/>
      <c r="C675" s="281"/>
      <c r="D675" s="462"/>
      <c r="E675" s="52"/>
      <c r="F675" s="454"/>
      <c r="G675" s="454"/>
      <c r="H675" s="454"/>
      <c r="I675" s="454"/>
      <c r="J675" s="454"/>
      <c r="K675" s="454"/>
      <c r="L675" s="454"/>
      <c r="M675" s="454"/>
      <c r="N675" s="454"/>
      <c r="O675" s="454"/>
    </row>
    <row r="676" spans="2:15" hidden="1" x14ac:dyDescent="0.25">
      <c r="B676" s="461"/>
      <c r="C676" s="280"/>
      <c r="D676" s="462"/>
      <c r="E676" s="52"/>
      <c r="F676" s="454"/>
      <c r="G676" s="454"/>
      <c r="H676" s="454"/>
      <c r="I676" s="454"/>
      <c r="J676" s="454"/>
      <c r="K676" s="454"/>
      <c r="L676" s="454"/>
      <c r="M676" s="454"/>
      <c r="N676" s="454"/>
      <c r="O676" s="454"/>
    </row>
    <row r="677" spans="2:15" hidden="1" x14ac:dyDescent="0.25">
      <c r="B677" s="461"/>
      <c r="C677" s="281"/>
      <c r="D677" s="462"/>
      <c r="E677" s="52"/>
      <c r="F677" s="454"/>
      <c r="G677" s="454"/>
      <c r="H677" s="454"/>
      <c r="I677" s="454"/>
      <c r="J677" s="454"/>
      <c r="K677" s="454"/>
      <c r="L677" s="454"/>
      <c r="M677" s="454"/>
      <c r="N677" s="454"/>
      <c r="O677" s="454"/>
    </row>
    <row r="678" spans="2:15" hidden="1" x14ac:dyDescent="0.25">
      <c r="B678" s="461"/>
      <c r="C678" s="281"/>
      <c r="D678" s="462"/>
      <c r="E678" s="52"/>
      <c r="F678" s="454"/>
      <c r="G678" s="454"/>
      <c r="H678" s="454"/>
      <c r="I678" s="454"/>
      <c r="J678" s="454"/>
      <c r="K678" s="454"/>
      <c r="L678" s="454"/>
      <c r="M678" s="454"/>
      <c r="N678" s="454"/>
      <c r="O678" s="454"/>
    </row>
    <row r="679" spans="2:15" hidden="1" x14ac:dyDescent="0.25">
      <c r="B679" s="461"/>
      <c r="C679" s="281"/>
      <c r="D679" s="462"/>
      <c r="E679" s="52"/>
      <c r="F679" s="454"/>
      <c r="G679" s="454"/>
      <c r="H679" s="454"/>
      <c r="I679" s="454"/>
      <c r="J679" s="454"/>
      <c r="K679" s="454"/>
      <c r="L679" s="454"/>
      <c r="M679" s="454"/>
      <c r="N679" s="454"/>
      <c r="O679" s="454"/>
    </row>
    <row r="680" spans="2:15" hidden="1" x14ac:dyDescent="0.25">
      <c r="B680" s="461"/>
      <c r="C680" s="280"/>
      <c r="D680" s="462"/>
      <c r="E680" s="52"/>
      <c r="F680" s="454"/>
      <c r="G680" s="454"/>
      <c r="H680" s="454"/>
      <c r="I680" s="454"/>
      <c r="J680" s="454"/>
      <c r="K680" s="454"/>
      <c r="L680" s="454"/>
      <c r="M680" s="454"/>
      <c r="N680" s="454"/>
      <c r="O680" s="454"/>
    </row>
    <row r="681" spans="2:15" hidden="1" x14ac:dyDescent="0.25">
      <c r="B681" s="461"/>
      <c r="C681" s="280"/>
      <c r="D681" s="452"/>
      <c r="E681" s="52"/>
      <c r="F681" s="454"/>
      <c r="G681" s="454"/>
      <c r="H681" s="454"/>
      <c r="I681" s="454"/>
      <c r="J681" s="454"/>
      <c r="K681" s="454"/>
      <c r="L681" s="454"/>
      <c r="M681" s="454"/>
      <c r="N681" s="454"/>
      <c r="O681" s="454"/>
    </row>
    <row r="682" spans="2:15" hidden="1" x14ac:dyDescent="0.25">
      <c r="B682" s="461"/>
      <c r="C682" s="280"/>
      <c r="D682" s="452"/>
      <c r="E682" s="53"/>
      <c r="F682" s="454"/>
      <c r="G682" s="454"/>
      <c r="H682" s="454"/>
      <c r="I682" s="454"/>
      <c r="J682" s="454"/>
      <c r="K682" s="454"/>
      <c r="L682" s="454"/>
      <c r="M682" s="454"/>
      <c r="N682" s="454"/>
      <c r="O682" s="454"/>
    </row>
    <row r="683" spans="2:15" ht="14.4" hidden="1" thickBot="1" x14ac:dyDescent="0.3">
      <c r="B683" s="463"/>
      <c r="C683" s="464" t="s">
        <v>251</v>
      </c>
      <c r="D683" s="464"/>
      <c r="E683" s="465"/>
      <c r="F683" s="466">
        <f>SUM(F643:F682)</f>
        <v>905.47440486030007</v>
      </c>
      <c r="G683" s="466">
        <f t="shared" ref="G683:O683" si="138">SUM(G643:G682)</f>
        <v>56.186163477499996</v>
      </c>
      <c r="H683" s="466">
        <f t="shared" si="138"/>
        <v>1.401130379</v>
      </c>
      <c r="I683" s="466">
        <f t="shared" si="138"/>
        <v>960.25943795880016</v>
      </c>
      <c r="J683" s="466">
        <f t="shared" si="138"/>
        <v>460.32835877849999</v>
      </c>
      <c r="K683" s="466">
        <f t="shared" si="138"/>
        <v>34.888510539900004</v>
      </c>
      <c r="L683" s="466">
        <f t="shared" si="138"/>
        <v>1.0818358326999999</v>
      </c>
      <c r="M683" s="466">
        <f t="shared" si="138"/>
        <v>494.13503348569998</v>
      </c>
      <c r="N683" s="466">
        <f t="shared" si="138"/>
        <v>445.14604608180008</v>
      </c>
      <c r="O683" s="466">
        <f t="shared" si="138"/>
        <v>466.12440447310013</v>
      </c>
    </row>
    <row r="684" spans="2:15" hidden="1" x14ac:dyDescent="0.25"/>
    <row r="685" spans="2:15" hidden="1" x14ac:dyDescent="0.25">
      <c r="B685" s="858" t="s">
        <v>8</v>
      </c>
      <c r="C685" s="859"/>
      <c r="D685" s="859"/>
      <c r="E685" s="859"/>
      <c r="F685" s="859"/>
      <c r="G685" s="859"/>
      <c r="H685" s="859"/>
      <c r="I685" s="859"/>
      <c r="J685" s="859"/>
      <c r="K685" s="859"/>
      <c r="L685" s="859"/>
      <c r="M685" s="859"/>
      <c r="N685" s="859"/>
      <c r="O685" s="860"/>
    </row>
    <row r="686" spans="2:15" hidden="1" x14ac:dyDescent="0.25">
      <c r="B686" s="861" t="s">
        <v>474</v>
      </c>
      <c r="C686" s="863" t="s">
        <v>556</v>
      </c>
      <c r="D686" s="865" t="s">
        <v>557</v>
      </c>
      <c r="E686" s="865" t="s">
        <v>558</v>
      </c>
      <c r="F686" s="865" t="s">
        <v>559</v>
      </c>
      <c r="G686" s="865"/>
      <c r="H686" s="865"/>
      <c r="I686" s="865"/>
      <c r="J686" s="865" t="s">
        <v>560</v>
      </c>
      <c r="K686" s="865"/>
      <c r="L686" s="865"/>
      <c r="M686" s="865"/>
      <c r="N686" s="865" t="s">
        <v>561</v>
      </c>
      <c r="O686" s="867"/>
    </row>
    <row r="687" spans="2:15" ht="55.8" hidden="1" thickBot="1" x14ac:dyDescent="0.3">
      <c r="B687" s="862"/>
      <c r="C687" s="864"/>
      <c r="D687" s="866"/>
      <c r="E687" s="866"/>
      <c r="F687" s="468" t="s">
        <v>562</v>
      </c>
      <c r="G687" s="468" t="s">
        <v>563</v>
      </c>
      <c r="H687" s="468" t="s">
        <v>564</v>
      </c>
      <c r="I687" s="468" t="s">
        <v>565</v>
      </c>
      <c r="J687" s="468" t="s">
        <v>566</v>
      </c>
      <c r="K687" s="468" t="s">
        <v>563</v>
      </c>
      <c r="L687" s="468" t="s">
        <v>567</v>
      </c>
      <c r="M687" s="468" t="s">
        <v>568</v>
      </c>
      <c r="N687" s="468" t="s">
        <v>562</v>
      </c>
      <c r="O687" s="469" t="s">
        <v>565</v>
      </c>
    </row>
    <row r="688" spans="2:15" ht="15.6" hidden="1" x14ac:dyDescent="0.25">
      <c r="B688" s="451">
        <v>1</v>
      </c>
      <c r="C688" s="276" t="s">
        <v>689</v>
      </c>
      <c r="D688" s="452"/>
      <c r="E688" s="453"/>
      <c r="F688" s="454">
        <f>F54*0.1</f>
        <v>0.17491999999999999</v>
      </c>
      <c r="G688" s="454">
        <f t="shared" ref="G688:H688" si="139">G54*0.1</f>
        <v>0.51981079519686135</v>
      </c>
      <c r="H688" s="454">
        <f t="shared" si="139"/>
        <v>0</v>
      </c>
      <c r="I688" s="454">
        <f>F688+G688-H688</f>
        <v>0.69473079519686132</v>
      </c>
      <c r="J688" s="454">
        <f>J54*0.1</f>
        <v>0</v>
      </c>
      <c r="K688" s="454">
        <f>K54*0.1</f>
        <v>0</v>
      </c>
      <c r="L688" s="454">
        <f t="shared" ref="L688" si="140">L54*0.1</f>
        <v>0</v>
      </c>
      <c r="M688" s="454">
        <f>J688+K688-L688</f>
        <v>0</v>
      </c>
      <c r="N688" s="454">
        <f>F688-J688</f>
        <v>0.17491999999999999</v>
      </c>
      <c r="O688" s="454">
        <f>I688-M688</f>
        <v>0.69473079519686132</v>
      </c>
    </row>
    <row r="689" spans="2:15" ht="15.6" hidden="1" x14ac:dyDescent="0.25">
      <c r="B689" s="451">
        <v>2</v>
      </c>
      <c r="C689" s="276" t="s">
        <v>534</v>
      </c>
      <c r="D689" s="452"/>
      <c r="E689" s="453"/>
      <c r="F689" s="454">
        <f t="shared" ref="F689:H689" si="141">F55*0.1</f>
        <v>34.194459999999999</v>
      </c>
      <c r="G689" s="454">
        <f t="shared" si="141"/>
        <v>0.76802274041529373</v>
      </c>
      <c r="H689" s="454">
        <f t="shared" si="141"/>
        <v>0</v>
      </c>
      <c r="I689" s="454">
        <f t="shared" ref="I689" si="142">F689+G689-H689</f>
        <v>34.962482740415297</v>
      </c>
      <c r="J689" s="454">
        <f t="shared" ref="J689:L689" si="143">J55*0.1</f>
        <v>7.8059200000000004</v>
      </c>
      <c r="K689" s="454">
        <f>K55*0.1</f>
        <v>1.1306287254531149</v>
      </c>
      <c r="L689" s="454">
        <f t="shared" si="143"/>
        <v>0</v>
      </c>
      <c r="M689" s="454">
        <f>J689+K689-L689</f>
        <v>8.9365487254531146</v>
      </c>
      <c r="N689" s="454">
        <f t="shared" ref="N689" si="144">F689-J689</f>
        <v>26.388539999999999</v>
      </c>
      <c r="O689" s="454">
        <f t="shared" ref="O689" si="145">I689-M689</f>
        <v>26.025934014962182</v>
      </c>
    </row>
    <row r="690" spans="2:15" ht="15.6" hidden="1" x14ac:dyDescent="0.25">
      <c r="B690" s="470">
        <v>3</v>
      </c>
      <c r="C690" s="279" t="s">
        <v>690</v>
      </c>
      <c r="D690" s="471"/>
      <c r="E690" s="360"/>
      <c r="F690" s="472"/>
      <c r="G690" s="472"/>
      <c r="H690" s="472"/>
      <c r="I690" s="472"/>
      <c r="J690" s="472"/>
      <c r="K690" s="472"/>
      <c r="L690" s="472"/>
      <c r="M690" s="472"/>
      <c r="N690" s="472"/>
      <c r="O690" s="472"/>
    </row>
    <row r="691" spans="2:15" ht="15.6" hidden="1" x14ac:dyDescent="0.25">
      <c r="B691" s="451"/>
      <c r="C691" s="276" t="s">
        <v>691</v>
      </c>
      <c r="D691" s="452"/>
      <c r="E691" s="52"/>
      <c r="F691" s="454">
        <f t="shared" ref="F691:H698" si="146">F57*0.1</f>
        <v>441.45418000000001</v>
      </c>
      <c r="G691" s="454">
        <f t="shared" si="146"/>
        <v>26.7968468549584</v>
      </c>
      <c r="H691" s="454">
        <f t="shared" si="146"/>
        <v>0</v>
      </c>
      <c r="I691" s="454">
        <f t="shared" ref="I691:I693" si="147">F691+G691-H691</f>
        <v>468.25102685495841</v>
      </c>
      <c r="J691" s="454">
        <f t="shared" ref="J691:L698" si="148">J57*0.1</f>
        <v>235.45956999999999</v>
      </c>
      <c r="K691" s="454">
        <f t="shared" si="148"/>
        <v>17.697023695173911</v>
      </c>
      <c r="L691" s="454">
        <f t="shared" si="148"/>
        <v>0</v>
      </c>
      <c r="M691" s="454">
        <f t="shared" ref="M691:M698" si="149">J691+K691-L691</f>
        <v>253.15659369517391</v>
      </c>
      <c r="N691" s="454">
        <f t="shared" ref="N691:N698" si="150">F691-J691</f>
        <v>205.99461000000002</v>
      </c>
      <c r="O691" s="454">
        <f t="shared" ref="O691:O698" si="151">I691-M691</f>
        <v>215.0944331597845</v>
      </c>
    </row>
    <row r="692" spans="2:15" ht="15.6" hidden="1" x14ac:dyDescent="0.25">
      <c r="B692" s="451"/>
      <c r="C692" s="276" t="s">
        <v>692</v>
      </c>
      <c r="D692" s="452"/>
      <c r="E692" s="52"/>
      <c r="F692" s="454">
        <f t="shared" si="146"/>
        <v>398.58581000000004</v>
      </c>
      <c r="G692" s="454">
        <f t="shared" si="146"/>
        <v>29.107916518958991</v>
      </c>
      <c r="H692" s="454">
        <f t="shared" si="146"/>
        <v>0</v>
      </c>
      <c r="I692" s="454">
        <f t="shared" si="147"/>
        <v>427.69372651895901</v>
      </c>
      <c r="J692" s="454">
        <f t="shared" si="148"/>
        <v>198.17214000000001</v>
      </c>
      <c r="K692" s="454">
        <f t="shared" si="148"/>
        <v>15.578842374879072</v>
      </c>
      <c r="L692" s="454">
        <f t="shared" si="148"/>
        <v>0</v>
      </c>
      <c r="M692" s="454">
        <f t="shared" si="149"/>
        <v>213.75098237487907</v>
      </c>
      <c r="N692" s="454">
        <f t="shared" si="150"/>
        <v>200.41367000000002</v>
      </c>
      <c r="O692" s="454">
        <f t="shared" si="151"/>
        <v>213.94274414407994</v>
      </c>
    </row>
    <row r="693" spans="2:15" ht="15.6" hidden="1" x14ac:dyDescent="0.25">
      <c r="B693" s="451"/>
      <c r="C693" s="276" t="s">
        <v>693</v>
      </c>
      <c r="D693" s="452"/>
      <c r="E693" s="52"/>
      <c r="F693" s="454">
        <f t="shared" si="146"/>
        <v>71.313520000000011</v>
      </c>
      <c r="G693" s="454">
        <f t="shared" si="146"/>
        <v>0.64206895834463473</v>
      </c>
      <c r="H693" s="454">
        <f t="shared" si="146"/>
        <v>0</v>
      </c>
      <c r="I693" s="454">
        <f t="shared" si="147"/>
        <v>71.955588958344649</v>
      </c>
      <c r="J693" s="454">
        <f t="shared" si="148"/>
        <v>42.073500000000003</v>
      </c>
      <c r="K693" s="454">
        <f t="shared" si="148"/>
        <v>1.3263001839255109</v>
      </c>
      <c r="L693" s="454">
        <f t="shared" si="148"/>
        <v>0</v>
      </c>
      <c r="M693" s="454">
        <f t="shared" si="149"/>
        <v>43.399800183925514</v>
      </c>
      <c r="N693" s="454">
        <f t="shared" si="150"/>
        <v>29.240020000000008</v>
      </c>
      <c r="O693" s="454">
        <f t="shared" si="151"/>
        <v>28.555788774419135</v>
      </c>
    </row>
    <row r="694" spans="2:15" ht="15.6" hidden="1" x14ac:dyDescent="0.25">
      <c r="B694" s="451">
        <v>4</v>
      </c>
      <c r="C694" s="279" t="s">
        <v>540</v>
      </c>
      <c r="D694" s="452"/>
      <c r="E694" s="52"/>
      <c r="F694" s="454">
        <f t="shared" si="146"/>
        <v>1.8785799999999999</v>
      </c>
      <c r="G694" s="454">
        <f t="shared" si="146"/>
        <v>0.17449266919820097</v>
      </c>
      <c r="H694" s="454">
        <f t="shared" si="146"/>
        <v>0</v>
      </c>
      <c r="I694" s="454">
        <f>F694+G694-H694</f>
        <v>2.0530726691982011</v>
      </c>
      <c r="J694" s="454">
        <f t="shared" si="148"/>
        <v>0.89523000000000019</v>
      </c>
      <c r="K694" s="454">
        <f t="shared" si="148"/>
        <v>0.81133707841392022</v>
      </c>
      <c r="L694" s="454">
        <f t="shared" si="148"/>
        <v>0</v>
      </c>
      <c r="M694" s="454">
        <f t="shared" si="149"/>
        <v>1.7065670784139204</v>
      </c>
      <c r="N694" s="454">
        <f t="shared" si="150"/>
        <v>0.98334999999999972</v>
      </c>
      <c r="O694" s="454">
        <f t="shared" si="151"/>
        <v>0.34650559078428067</v>
      </c>
    </row>
    <row r="695" spans="2:15" ht="15.6" hidden="1" x14ac:dyDescent="0.25">
      <c r="B695" s="451">
        <v>5</v>
      </c>
      <c r="C695" s="279" t="s">
        <v>694</v>
      </c>
      <c r="D695" s="452"/>
      <c r="E695" s="52"/>
      <c r="F695" s="454">
        <f t="shared" si="146"/>
        <v>0.62781000000000009</v>
      </c>
      <c r="G695" s="454">
        <f t="shared" si="146"/>
        <v>0</v>
      </c>
      <c r="H695" s="454">
        <f t="shared" si="146"/>
        <v>0</v>
      </c>
      <c r="I695" s="454">
        <f t="shared" ref="I695:I698" si="152">F695+G695-H695</f>
        <v>0.62781000000000009</v>
      </c>
      <c r="J695" s="454">
        <f t="shared" si="148"/>
        <v>0.46518999999999999</v>
      </c>
      <c r="K695" s="454">
        <f t="shared" si="148"/>
        <v>1.05262325E-2</v>
      </c>
      <c r="L695" s="454">
        <f t="shared" si="148"/>
        <v>0</v>
      </c>
      <c r="M695" s="454">
        <f t="shared" si="149"/>
        <v>0.4757162325</v>
      </c>
      <c r="N695" s="454">
        <f t="shared" si="150"/>
        <v>0.1626200000000001</v>
      </c>
      <c r="O695" s="454">
        <f t="shared" si="151"/>
        <v>0.15209376750000009</v>
      </c>
    </row>
    <row r="696" spans="2:15" ht="15.6" hidden="1" x14ac:dyDescent="0.25">
      <c r="B696" s="451">
        <v>6</v>
      </c>
      <c r="C696" s="279" t="s">
        <v>538</v>
      </c>
      <c r="D696" s="452"/>
      <c r="E696" s="52"/>
      <c r="F696" s="454">
        <f t="shared" si="146"/>
        <v>0.27250999999999997</v>
      </c>
      <c r="G696" s="454">
        <f t="shared" si="146"/>
        <v>0</v>
      </c>
      <c r="H696" s="454">
        <f t="shared" si="146"/>
        <v>0</v>
      </c>
      <c r="I696" s="454">
        <f t="shared" si="152"/>
        <v>0.27250999999999997</v>
      </c>
      <c r="J696" s="454">
        <f t="shared" si="148"/>
        <v>0.24511000000000005</v>
      </c>
      <c r="K696" s="454">
        <f t="shared" si="148"/>
        <v>-7.6104599999959888E-5</v>
      </c>
      <c r="L696" s="454">
        <f t="shared" si="148"/>
        <v>0</v>
      </c>
      <c r="M696" s="454">
        <f t="shared" si="149"/>
        <v>0.24503389540000009</v>
      </c>
      <c r="N696" s="454">
        <f t="shared" si="150"/>
        <v>2.7399999999999924E-2</v>
      </c>
      <c r="O696" s="454">
        <f t="shared" si="151"/>
        <v>2.7476104599999884E-2</v>
      </c>
    </row>
    <row r="697" spans="2:15" ht="15.6" hidden="1" x14ac:dyDescent="0.25">
      <c r="B697" s="451">
        <v>7</v>
      </c>
      <c r="C697" s="279" t="s">
        <v>695</v>
      </c>
      <c r="D697" s="452"/>
      <c r="E697" s="52"/>
      <c r="F697" s="454">
        <f t="shared" si="146"/>
        <v>8.2648399999999995</v>
      </c>
      <c r="G697" s="454">
        <f t="shared" si="146"/>
        <v>1.6435186335059537</v>
      </c>
      <c r="H697" s="454">
        <f t="shared" si="146"/>
        <v>0</v>
      </c>
      <c r="I697" s="454">
        <f t="shared" si="152"/>
        <v>9.9083586335059533</v>
      </c>
      <c r="J697" s="454">
        <f t="shared" si="148"/>
        <v>6.3527200000000006</v>
      </c>
      <c r="K697" s="454">
        <f t="shared" si="148"/>
        <v>0</v>
      </c>
      <c r="L697" s="454">
        <f t="shared" si="148"/>
        <v>0</v>
      </c>
      <c r="M697" s="454">
        <f t="shared" si="149"/>
        <v>6.3527200000000006</v>
      </c>
      <c r="N697" s="454">
        <f t="shared" si="150"/>
        <v>1.9121199999999989</v>
      </c>
      <c r="O697" s="454">
        <f t="shared" si="151"/>
        <v>3.5556386335059527</v>
      </c>
    </row>
    <row r="698" spans="2:15" ht="15.6" hidden="1" x14ac:dyDescent="0.25">
      <c r="B698" s="451">
        <v>8</v>
      </c>
      <c r="C698" s="279" t="s">
        <v>696</v>
      </c>
      <c r="D698" s="452"/>
      <c r="E698" s="52"/>
      <c r="F698" s="454">
        <f t="shared" si="146"/>
        <v>3.4928000000000008</v>
      </c>
      <c r="G698" s="454">
        <f t="shared" si="146"/>
        <v>0</v>
      </c>
      <c r="H698" s="454">
        <f t="shared" si="146"/>
        <v>0</v>
      </c>
      <c r="I698" s="454">
        <f t="shared" si="152"/>
        <v>3.4928000000000008</v>
      </c>
      <c r="J698" s="454">
        <f t="shared" si="148"/>
        <v>2.6656500000000003</v>
      </c>
      <c r="K698" s="454">
        <f t="shared" si="148"/>
        <v>0.35483729281294679</v>
      </c>
      <c r="L698" s="454">
        <f t="shared" si="148"/>
        <v>0</v>
      </c>
      <c r="M698" s="454">
        <f t="shared" si="149"/>
        <v>3.0204872928129469</v>
      </c>
      <c r="N698" s="454">
        <f t="shared" si="150"/>
        <v>0.8271500000000005</v>
      </c>
      <c r="O698" s="454">
        <f t="shared" si="151"/>
        <v>0.47231270718705387</v>
      </c>
    </row>
    <row r="699" spans="2:15" hidden="1" x14ac:dyDescent="0.25">
      <c r="B699" s="451"/>
      <c r="C699" s="457"/>
      <c r="D699" s="452"/>
      <c r="E699" s="52"/>
      <c r="F699" s="454"/>
      <c r="G699" s="454"/>
      <c r="H699" s="454"/>
      <c r="I699" s="454"/>
      <c r="J699" s="454"/>
      <c r="K699" s="454"/>
      <c r="L699" s="454"/>
      <c r="M699" s="454"/>
      <c r="N699" s="454"/>
      <c r="O699" s="454"/>
    </row>
    <row r="700" spans="2:15" hidden="1" x14ac:dyDescent="0.25">
      <c r="B700" s="451"/>
      <c r="C700" s="458"/>
      <c r="D700" s="452"/>
      <c r="E700" s="52"/>
      <c r="F700" s="454"/>
      <c r="G700" s="454"/>
      <c r="H700" s="454"/>
      <c r="I700" s="454"/>
      <c r="J700" s="454"/>
      <c r="K700" s="454"/>
      <c r="L700" s="454"/>
      <c r="M700" s="454"/>
      <c r="N700" s="454"/>
      <c r="O700" s="454"/>
    </row>
    <row r="701" spans="2:15" hidden="1" x14ac:dyDescent="0.25">
      <c r="B701" s="451"/>
      <c r="C701" s="457"/>
      <c r="D701" s="452"/>
      <c r="E701" s="52"/>
      <c r="F701" s="454"/>
      <c r="G701" s="454"/>
      <c r="H701" s="454"/>
      <c r="I701" s="454"/>
      <c r="J701" s="454"/>
      <c r="K701" s="454"/>
      <c r="L701" s="454"/>
      <c r="M701" s="454"/>
      <c r="N701" s="454"/>
      <c r="O701" s="454"/>
    </row>
    <row r="702" spans="2:15" hidden="1" x14ac:dyDescent="0.25">
      <c r="B702" s="451"/>
      <c r="C702" s="457"/>
      <c r="D702" s="452"/>
      <c r="E702" s="52"/>
      <c r="F702" s="454"/>
      <c r="G702" s="454"/>
      <c r="H702" s="454"/>
      <c r="I702" s="454"/>
      <c r="J702" s="454"/>
      <c r="K702" s="454"/>
      <c r="L702" s="454"/>
      <c r="M702" s="454"/>
      <c r="N702" s="454"/>
      <c r="O702" s="454"/>
    </row>
    <row r="703" spans="2:15" hidden="1" x14ac:dyDescent="0.25">
      <c r="B703" s="451"/>
      <c r="C703" s="457"/>
      <c r="D703" s="452"/>
      <c r="E703" s="52"/>
      <c r="F703" s="454"/>
      <c r="G703" s="454"/>
      <c r="H703" s="454"/>
      <c r="I703" s="454"/>
      <c r="J703" s="454"/>
      <c r="K703" s="454"/>
      <c r="L703" s="454"/>
      <c r="M703" s="454"/>
      <c r="N703" s="454"/>
      <c r="O703" s="454"/>
    </row>
    <row r="704" spans="2:15" hidden="1" x14ac:dyDescent="0.25">
      <c r="B704" s="451"/>
      <c r="C704" s="457"/>
      <c r="D704" s="452"/>
      <c r="E704" s="52"/>
      <c r="F704" s="454"/>
      <c r="G704" s="454"/>
      <c r="H704" s="454"/>
      <c r="I704" s="454"/>
      <c r="J704" s="454"/>
      <c r="K704" s="454"/>
      <c r="L704" s="454"/>
      <c r="M704" s="454"/>
      <c r="N704" s="454"/>
      <c r="O704" s="454"/>
    </row>
    <row r="705" spans="2:15" hidden="1" x14ac:dyDescent="0.25">
      <c r="B705" s="451"/>
      <c r="C705" s="458"/>
      <c r="D705" s="452"/>
      <c r="E705" s="52"/>
      <c r="F705" s="454"/>
      <c r="G705" s="454"/>
      <c r="H705" s="454"/>
      <c r="I705" s="454"/>
      <c r="J705" s="454"/>
      <c r="K705" s="454"/>
      <c r="L705" s="454"/>
      <c r="M705" s="454"/>
      <c r="N705" s="454"/>
      <c r="O705" s="454"/>
    </row>
    <row r="706" spans="2:15" hidden="1" x14ac:dyDescent="0.25">
      <c r="B706" s="451"/>
      <c r="C706" s="458"/>
      <c r="D706" s="452"/>
      <c r="E706" s="52"/>
      <c r="F706" s="454"/>
      <c r="G706" s="454"/>
      <c r="H706" s="454"/>
      <c r="I706" s="454"/>
      <c r="J706" s="454"/>
      <c r="K706" s="454"/>
      <c r="L706" s="454"/>
      <c r="M706" s="454"/>
      <c r="N706" s="454"/>
      <c r="O706" s="454"/>
    </row>
    <row r="707" spans="2:15" hidden="1" x14ac:dyDescent="0.25">
      <c r="B707" s="451"/>
      <c r="C707" s="458"/>
      <c r="D707" s="452"/>
      <c r="E707" s="52"/>
      <c r="F707" s="454"/>
      <c r="G707" s="454"/>
      <c r="H707" s="454"/>
      <c r="I707" s="454"/>
      <c r="J707" s="454"/>
      <c r="K707" s="454"/>
      <c r="L707" s="454"/>
      <c r="M707" s="454"/>
      <c r="N707" s="454"/>
      <c r="O707" s="454"/>
    </row>
    <row r="708" spans="2:15" hidden="1" x14ac:dyDescent="0.25">
      <c r="B708" s="451"/>
      <c r="C708" s="457"/>
      <c r="D708" s="452"/>
      <c r="E708" s="52"/>
      <c r="F708" s="454"/>
      <c r="G708" s="454"/>
      <c r="H708" s="454"/>
      <c r="I708" s="454"/>
      <c r="J708" s="454"/>
      <c r="K708" s="454"/>
      <c r="L708" s="454"/>
      <c r="M708" s="454"/>
      <c r="N708" s="454"/>
      <c r="O708" s="454"/>
    </row>
    <row r="709" spans="2:15" hidden="1" x14ac:dyDescent="0.25">
      <c r="B709" s="451"/>
      <c r="C709" s="457"/>
      <c r="D709" s="452"/>
      <c r="E709" s="52"/>
      <c r="F709" s="454"/>
      <c r="G709" s="454"/>
      <c r="H709" s="454"/>
      <c r="I709" s="454"/>
      <c r="J709" s="454"/>
      <c r="K709" s="454"/>
      <c r="L709" s="454"/>
      <c r="M709" s="454"/>
      <c r="N709" s="454"/>
      <c r="O709" s="454"/>
    </row>
    <row r="710" spans="2:15" hidden="1" x14ac:dyDescent="0.25">
      <c r="B710" s="459"/>
      <c r="C710" s="460"/>
      <c r="D710" s="452"/>
      <c r="E710" s="52"/>
      <c r="F710" s="454"/>
      <c r="G710" s="454"/>
      <c r="H710" s="454"/>
      <c r="I710" s="454"/>
      <c r="J710" s="454"/>
      <c r="K710" s="454"/>
      <c r="L710" s="454"/>
      <c r="M710" s="454"/>
      <c r="N710" s="454"/>
      <c r="O710" s="454"/>
    </row>
    <row r="711" spans="2:15" hidden="1" x14ac:dyDescent="0.25">
      <c r="B711" s="461"/>
      <c r="C711" s="280"/>
      <c r="D711" s="462"/>
      <c r="E711" s="52"/>
      <c r="F711" s="454"/>
      <c r="G711" s="454"/>
      <c r="H711" s="454"/>
      <c r="I711" s="454"/>
      <c r="J711" s="454"/>
      <c r="K711" s="454"/>
      <c r="L711" s="454"/>
      <c r="M711" s="454"/>
      <c r="N711" s="454"/>
      <c r="O711" s="454"/>
    </row>
    <row r="712" spans="2:15" hidden="1" x14ac:dyDescent="0.25">
      <c r="B712" s="461"/>
      <c r="C712" s="280"/>
      <c r="D712" s="462"/>
      <c r="E712" s="52"/>
      <c r="F712" s="454"/>
      <c r="G712" s="454"/>
      <c r="H712" s="454"/>
      <c r="I712" s="454"/>
      <c r="J712" s="454"/>
      <c r="K712" s="454"/>
      <c r="L712" s="454"/>
      <c r="M712" s="454"/>
      <c r="N712" s="454"/>
      <c r="O712" s="454"/>
    </row>
    <row r="713" spans="2:15" hidden="1" x14ac:dyDescent="0.25">
      <c r="B713" s="461"/>
      <c r="C713" s="280"/>
      <c r="D713" s="462"/>
      <c r="E713" s="52"/>
      <c r="F713" s="454"/>
      <c r="G713" s="454"/>
      <c r="H713" s="454"/>
      <c r="I713" s="454"/>
      <c r="J713" s="454"/>
      <c r="K713" s="454"/>
      <c r="L713" s="454"/>
      <c r="M713" s="454"/>
      <c r="N713" s="454"/>
      <c r="O713" s="454"/>
    </row>
    <row r="714" spans="2:15" hidden="1" x14ac:dyDescent="0.25">
      <c r="B714" s="461"/>
      <c r="C714" s="281"/>
      <c r="D714" s="462"/>
      <c r="E714" s="52"/>
      <c r="F714" s="454"/>
      <c r="G714" s="454"/>
      <c r="H714" s="454"/>
      <c r="I714" s="454"/>
      <c r="J714" s="454"/>
      <c r="K714" s="454"/>
      <c r="L714" s="454"/>
      <c r="M714" s="454"/>
      <c r="N714" s="454"/>
      <c r="O714" s="454"/>
    </row>
    <row r="715" spans="2:15" hidden="1" x14ac:dyDescent="0.25">
      <c r="B715" s="461"/>
      <c r="C715" s="281"/>
      <c r="D715" s="462"/>
      <c r="E715" s="52"/>
      <c r="F715" s="454"/>
      <c r="G715" s="454"/>
      <c r="H715" s="454"/>
      <c r="I715" s="454"/>
      <c r="J715" s="454"/>
      <c r="K715" s="454"/>
      <c r="L715" s="454"/>
      <c r="M715" s="454"/>
      <c r="N715" s="454"/>
      <c r="O715" s="454"/>
    </row>
    <row r="716" spans="2:15" hidden="1" x14ac:dyDescent="0.25">
      <c r="B716" s="461"/>
      <c r="C716" s="281"/>
      <c r="D716" s="462"/>
      <c r="E716" s="52"/>
      <c r="F716" s="454"/>
      <c r="G716" s="454"/>
      <c r="H716" s="454"/>
      <c r="I716" s="454"/>
      <c r="J716" s="454"/>
      <c r="K716" s="454"/>
      <c r="L716" s="454"/>
      <c r="M716" s="454"/>
      <c r="N716" s="454"/>
      <c r="O716" s="454"/>
    </row>
    <row r="717" spans="2:15" hidden="1" x14ac:dyDescent="0.25">
      <c r="B717" s="461"/>
      <c r="C717" s="281"/>
      <c r="D717" s="462"/>
      <c r="E717" s="52"/>
      <c r="F717" s="454"/>
      <c r="G717" s="454"/>
      <c r="H717" s="454"/>
      <c r="I717" s="454"/>
      <c r="J717" s="454"/>
      <c r="K717" s="454"/>
      <c r="L717" s="454"/>
      <c r="M717" s="454"/>
      <c r="N717" s="454"/>
      <c r="O717" s="454"/>
    </row>
    <row r="718" spans="2:15" hidden="1" x14ac:dyDescent="0.25">
      <c r="B718" s="461"/>
      <c r="C718" s="281"/>
      <c r="D718" s="462"/>
      <c r="E718" s="52"/>
      <c r="F718" s="454"/>
      <c r="G718" s="454"/>
      <c r="H718" s="454"/>
      <c r="I718" s="454"/>
      <c r="J718" s="454"/>
      <c r="K718" s="454"/>
      <c r="L718" s="454"/>
      <c r="M718" s="454"/>
      <c r="N718" s="454"/>
      <c r="O718" s="454"/>
    </row>
    <row r="719" spans="2:15" hidden="1" x14ac:dyDescent="0.25">
      <c r="B719" s="461"/>
      <c r="C719" s="281"/>
      <c r="D719" s="462"/>
      <c r="E719" s="52"/>
      <c r="F719" s="454"/>
      <c r="G719" s="454"/>
      <c r="H719" s="454"/>
      <c r="I719" s="454"/>
      <c r="J719" s="454"/>
      <c r="K719" s="454"/>
      <c r="L719" s="454"/>
      <c r="M719" s="454"/>
      <c r="N719" s="454"/>
      <c r="O719" s="454"/>
    </row>
    <row r="720" spans="2:15" hidden="1" x14ac:dyDescent="0.25">
      <c r="B720" s="461"/>
      <c r="C720" s="281"/>
      <c r="D720" s="462"/>
      <c r="E720" s="52"/>
      <c r="F720" s="454"/>
      <c r="G720" s="454"/>
      <c r="H720" s="454"/>
      <c r="I720" s="454"/>
      <c r="J720" s="454"/>
      <c r="K720" s="454"/>
      <c r="L720" s="454"/>
      <c r="M720" s="454"/>
      <c r="N720" s="454"/>
      <c r="O720" s="454"/>
    </row>
    <row r="721" spans="2:15" hidden="1" x14ac:dyDescent="0.25">
      <c r="B721" s="461"/>
      <c r="C721" s="280"/>
      <c r="D721" s="462"/>
      <c r="E721" s="52"/>
      <c r="F721" s="454"/>
      <c r="G721" s="454"/>
      <c r="H721" s="454"/>
      <c r="I721" s="454"/>
      <c r="J721" s="454"/>
      <c r="K721" s="454"/>
      <c r="L721" s="454"/>
      <c r="M721" s="454"/>
      <c r="N721" s="454"/>
      <c r="O721" s="454"/>
    </row>
    <row r="722" spans="2:15" hidden="1" x14ac:dyDescent="0.25">
      <c r="B722" s="461"/>
      <c r="C722" s="281"/>
      <c r="D722" s="462"/>
      <c r="E722" s="52"/>
      <c r="F722" s="454"/>
      <c r="G722" s="454"/>
      <c r="H722" s="454"/>
      <c r="I722" s="454"/>
      <c r="J722" s="454"/>
      <c r="K722" s="454"/>
      <c r="L722" s="454"/>
      <c r="M722" s="454"/>
      <c r="N722" s="454"/>
      <c r="O722" s="454"/>
    </row>
    <row r="723" spans="2:15" hidden="1" x14ac:dyDescent="0.25">
      <c r="B723" s="461"/>
      <c r="C723" s="281"/>
      <c r="D723" s="462"/>
      <c r="E723" s="52"/>
      <c r="F723" s="454"/>
      <c r="G723" s="454"/>
      <c r="H723" s="454"/>
      <c r="I723" s="454"/>
      <c r="J723" s="454"/>
      <c r="K723" s="454"/>
      <c r="L723" s="454"/>
      <c r="M723" s="454"/>
      <c r="N723" s="454"/>
      <c r="O723" s="454"/>
    </row>
    <row r="724" spans="2:15" hidden="1" x14ac:dyDescent="0.25">
      <c r="B724" s="461"/>
      <c r="C724" s="281"/>
      <c r="D724" s="462"/>
      <c r="E724" s="52"/>
      <c r="F724" s="454"/>
      <c r="G724" s="454"/>
      <c r="H724" s="454"/>
      <c r="I724" s="454"/>
      <c r="J724" s="454"/>
      <c r="K724" s="454"/>
      <c r="L724" s="454"/>
      <c r="M724" s="454"/>
      <c r="N724" s="454"/>
      <c r="O724" s="454"/>
    </row>
    <row r="725" spans="2:15" hidden="1" x14ac:dyDescent="0.25">
      <c r="B725" s="461"/>
      <c r="C725" s="280"/>
      <c r="D725" s="462"/>
      <c r="E725" s="52"/>
      <c r="F725" s="454"/>
      <c r="G725" s="454"/>
      <c r="H725" s="454"/>
      <c r="I725" s="454"/>
      <c r="J725" s="454"/>
      <c r="K725" s="454"/>
      <c r="L725" s="454"/>
      <c r="M725" s="454"/>
      <c r="N725" s="454"/>
      <c r="O725" s="454"/>
    </row>
    <row r="726" spans="2:15" hidden="1" x14ac:dyDescent="0.25">
      <c r="B726" s="461"/>
      <c r="C726" s="280"/>
      <c r="D726" s="452"/>
      <c r="E726" s="52"/>
      <c r="F726" s="454"/>
      <c r="G726" s="454"/>
      <c r="H726" s="454"/>
      <c r="I726" s="454"/>
      <c r="J726" s="454"/>
      <c r="K726" s="454"/>
      <c r="L726" s="454"/>
      <c r="M726" s="454"/>
      <c r="N726" s="454"/>
      <c r="O726" s="454"/>
    </row>
    <row r="727" spans="2:15" hidden="1" x14ac:dyDescent="0.25">
      <c r="B727" s="461"/>
      <c r="C727" s="280"/>
      <c r="D727" s="452"/>
      <c r="E727" s="53"/>
      <c r="F727" s="454"/>
      <c r="G727" s="454"/>
      <c r="H727" s="454"/>
      <c r="I727" s="454"/>
      <c r="J727" s="454"/>
      <c r="K727" s="454"/>
      <c r="L727" s="454"/>
      <c r="M727" s="454"/>
      <c r="N727" s="454"/>
      <c r="O727" s="454"/>
    </row>
    <row r="728" spans="2:15" ht="14.4" hidden="1" thickBot="1" x14ac:dyDescent="0.3">
      <c r="B728" s="463"/>
      <c r="C728" s="464" t="s">
        <v>251</v>
      </c>
      <c r="D728" s="464"/>
      <c r="E728" s="465"/>
      <c r="F728" s="466">
        <f>SUM(F688:F727)</f>
        <v>960.25943000000018</v>
      </c>
      <c r="G728" s="466">
        <f t="shared" ref="G728:O728" si="153">SUM(G688:G727)</f>
        <v>59.652677170578336</v>
      </c>
      <c r="H728" s="466">
        <f t="shared" si="153"/>
        <v>0</v>
      </c>
      <c r="I728" s="466">
        <f t="shared" si="153"/>
        <v>1019.9121071705782</v>
      </c>
      <c r="J728" s="466">
        <f t="shared" si="153"/>
        <v>494.13503000000009</v>
      </c>
      <c r="K728" s="466">
        <f t="shared" si="153"/>
        <v>36.909419478558476</v>
      </c>
      <c r="L728" s="466">
        <f t="shared" si="153"/>
        <v>0</v>
      </c>
      <c r="M728" s="466">
        <f t="shared" si="153"/>
        <v>531.04444947855848</v>
      </c>
      <c r="N728" s="466">
        <f t="shared" si="153"/>
        <v>466.12440000000009</v>
      </c>
      <c r="O728" s="466">
        <f t="shared" si="153"/>
        <v>488.8676576920198</v>
      </c>
    </row>
    <row r="729" spans="2:15" ht="14.4" thickBot="1" x14ac:dyDescent="0.3"/>
    <row r="730" spans="2:15" x14ac:dyDescent="0.25">
      <c r="B730" s="868" t="s">
        <v>1229</v>
      </c>
      <c r="C730" s="869"/>
      <c r="D730" s="869"/>
      <c r="E730" s="869"/>
      <c r="F730" s="869"/>
      <c r="G730" s="869"/>
      <c r="H730" s="869"/>
      <c r="I730" s="869"/>
      <c r="J730" s="869"/>
      <c r="K730" s="869"/>
      <c r="L730" s="869"/>
      <c r="M730" s="869"/>
      <c r="N730" s="869"/>
      <c r="O730" s="870"/>
    </row>
    <row r="731" spans="2:15" x14ac:dyDescent="0.25">
      <c r="B731" s="861" t="s">
        <v>474</v>
      </c>
      <c r="C731" s="863" t="s">
        <v>556</v>
      </c>
      <c r="D731" s="865" t="s">
        <v>557</v>
      </c>
      <c r="E731" s="865" t="s">
        <v>558</v>
      </c>
      <c r="F731" s="865" t="s">
        <v>559</v>
      </c>
      <c r="G731" s="865"/>
      <c r="H731" s="865"/>
      <c r="I731" s="865"/>
      <c r="J731" s="865" t="s">
        <v>560</v>
      </c>
      <c r="K731" s="865"/>
      <c r="L731" s="865"/>
      <c r="M731" s="865"/>
      <c r="N731" s="865" t="s">
        <v>561</v>
      </c>
      <c r="O731" s="867"/>
    </row>
    <row r="732" spans="2:15" ht="55.8" thickBot="1" x14ac:dyDescent="0.3">
      <c r="B732" s="862"/>
      <c r="C732" s="864"/>
      <c r="D732" s="866"/>
      <c r="E732" s="866"/>
      <c r="F732" s="468" t="s">
        <v>562</v>
      </c>
      <c r="G732" s="468" t="s">
        <v>563</v>
      </c>
      <c r="H732" s="468" t="s">
        <v>564</v>
      </c>
      <c r="I732" s="468" t="s">
        <v>565</v>
      </c>
      <c r="J732" s="468" t="s">
        <v>566</v>
      </c>
      <c r="K732" s="468" t="s">
        <v>563</v>
      </c>
      <c r="L732" s="468" t="s">
        <v>567</v>
      </c>
      <c r="M732" s="468" t="s">
        <v>568</v>
      </c>
      <c r="N732" s="468" t="s">
        <v>562</v>
      </c>
      <c r="O732" s="469" t="s">
        <v>565</v>
      </c>
    </row>
    <row r="733" spans="2:15" ht="15.6" x14ac:dyDescent="0.25">
      <c r="B733" s="451">
        <v>1</v>
      </c>
      <c r="C733" s="276" t="s">
        <v>689</v>
      </c>
      <c r="D733" s="452"/>
      <c r="E733" s="453"/>
      <c r="F733" s="454">
        <f>F99*0.1</f>
        <v>0.69473079519686143</v>
      </c>
      <c r="G733" s="454">
        <f t="shared" ref="G733:H733" si="154">G99*0.1</f>
        <v>1.4397899199497086</v>
      </c>
      <c r="H733" s="454">
        <f t="shared" si="154"/>
        <v>0</v>
      </c>
      <c r="I733" s="454">
        <f>F733+G733-H733</f>
        <v>2.1345207151465702</v>
      </c>
      <c r="J733" s="454">
        <f>J99*0.1</f>
        <v>0</v>
      </c>
      <c r="K733" s="454">
        <f t="shared" ref="K733:L733" si="155">K99*0.1</f>
        <v>1.5895540527272698E-3</v>
      </c>
      <c r="L733" s="454">
        <f t="shared" si="155"/>
        <v>0</v>
      </c>
      <c r="M733" s="454">
        <f>J733+K733-L733</f>
        <v>1.5895540527272698E-3</v>
      </c>
      <c r="N733" s="454">
        <f>F733-J733</f>
        <v>0.69473079519686143</v>
      </c>
      <c r="O733" s="454">
        <f>I733-M733</f>
        <v>2.1329311610938428</v>
      </c>
    </row>
    <row r="734" spans="2:15" ht="15.6" x14ac:dyDescent="0.25">
      <c r="B734" s="451">
        <v>2</v>
      </c>
      <c r="C734" s="276" t="s">
        <v>534</v>
      </c>
      <c r="D734" s="452"/>
      <c r="E734" s="453"/>
      <c r="F734" s="454">
        <f t="shared" ref="F734:H734" si="156">F100*0.1</f>
        <v>34.962482740415297</v>
      </c>
      <c r="G734" s="454">
        <f t="shared" si="156"/>
        <v>2.1272959510648657</v>
      </c>
      <c r="H734" s="454">
        <f t="shared" si="156"/>
        <v>0</v>
      </c>
      <c r="I734" s="454">
        <f>F734+G734-H734</f>
        <v>37.089778691480163</v>
      </c>
      <c r="J734" s="454">
        <f t="shared" ref="J734:L734" si="157">J100*0.1</f>
        <v>8.9365487254531146</v>
      </c>
      <c r="K734" s="454">
        <f t="shared" si="157"/>
        <v>1.1342877923644832</v>
      </c>
      <c r="L734" s="454">
        <f t="shared" si="157"/>
        <v>0</v>
      </c>
      <c r="M734" s="454">
        <f>J734+K734-L734</f>
        <v>10.070836517817598</v>
      </c>
      <c r="N734" s="454">
        <f t="shared" ref="N734" si="158">F734-J734</f>
        <v>26.025934014962182</v>
      </c>
      <c r="O734" s="454">
        <f t="shared" ref="O734" si="159">I734-M734</f>
        <v>27.018942173662566</v>
      </c>
    </row>
    <row r="735" spans="2:15" ht="15.6" x14ac:dyDescent="0.25">
      <c r="B735" s="470">
        <v>3</v>
      </c>
      <c r="C735" s="279" t="s">
        <v>690</v>
      </c>
      <c r="D735" s="471"/>
      <c r="E735" s="360"/>
      <c r="F735" s="472"/>
      <c r="G735" s="472"/>
      <c r="H735" s="472"/>
      <c r="I735" s="472"/>
      <c r="J735" s="472"/>
      <c r="K735" s="472"/>
      <c r="L735" s="472"/>
      <c r="M735" s="472"/>
      <c r="N735" s="472"/>
      <c r="O735" s="472"/>
    </row>
    <row r="736" spans="2:15" ht="15.6" x14ac:dyDescent="0.25">
      <c r="B736" s="451"/>
      <c r="C736" s="276" t="s">
        <v>691</v>
      </c>
      <c r="D736" s="452"/>
      <c r="E736" s="52"/>
      <c r="F736" s="454">
        <f t="shared" ref="F736:H743" si="160">F102*0.1</f>
        <v>468.25102685495841</v>
      </c>
      <c r="G736" s="454">
        <f t="shared" si="160"/>
        <v>74.222833278392258</v>
      </c>
      <c r="H736" s="454">
        <f t="shared" si="160"/>
        <v>0</v>
      </c>
      <c r="I736" s="454">
        <f t="shared" ref="I736:I743" si="161">F736+G736-H736</f>
        <v>542.47386013335063</v>
      </c>
      <c r="J736" s="454">
        <f t="shared" ref="J736:L743" si="162">J102*0.1</f>
        <v>253.15659369517391</v>
      </c>
      <c r="K736" s="454">
        <f t="shared" si="162"/>
        <v>21.673183518577122</v>
      </c>
      <c r="L736" s="454">
        <f t="shared" si="162"/>
        <v>0</v>
      </c>
      <c r="M736" s="454">
        <f t="shared" ref="M736:M743" si="163">J736+K736-L736</f>
        <v>274.82977721375102</v>
      </c>
      <c r="N736" s="454">
        <f t="shared" ref="N736:N743" si="164">F736-J736</f>
        <v>215.0944331597845</v>
      </c>
      <c r="O736" s="454">
        <f t="shared" ref="O736:O743" si="165">I736-M736</f>
        <v>267.64408291959961</v>
      </c>
    </row>
    <row r="737" spans="2:15" ht="15.6" x14ac:dyDescent="0.25">
      <c r="B737" s="451"/>
      <c r="C737" s="276" t="s">
        <v>692</v>
      </c>
      <c r="D737" s="452"/>
      <c r="E737" s="52"/>
      <c r="F737" s="454">
        <f t="shared" si="160"/>
        <v>427.69372651895901</v>
      </c>
      <c r="G737" s="454">
        <f t="shared" si="160"/>
        <v>80.624113969897437</v>
      </c>
      <c r="H737" s="454">
        <f t="shared" si="160"/>
        <v>0</v>
      </c>
      <c r="I737" s="454">
        <f t="shared" si="161"/>
        <v>508.31784048885646</v>
      </c>
      <c r="J737" s="454">
        <f t="shared" si="162"/>
        <v>213.7509823748791</v>
      </c>
      <c r="K737" s="454">
        <f t="shared" si="162"/>
        <v>12.547835442969859</v>
      </c>
      <c r="L737" s="454">
        <f t="shared" si="162"/>
        <v>0</v>
      </c>
      <c r="M737" s="454">
        <f t="shared" si="163"/>
        <v>226.29881781784897</v>
      </c>
      <c r="N737" s="454">
        <f t="shared" si="164"/>
        <v>213.94274414407991</v>
      </c>
      <c r="O737" s="454">
        <f t="shared" si="165"/>
        <v>282.01902267100752</v>
      </c>
    </row>
    <row r="738" spans="2:15" ht="15.6" x14ac:dyDescent="0.25">
      <c r="B738" s="451"/>
      <c r="C738" s="276" t="s">
        <v>693</v>
      </c>
      <c r="D738" s="452"/>
      <c r="E738" s="52"/>
      <c r="F738" s="454">
        <f t="shared" si="160"/>
        <v>71.955588958344649</v>
      </c>
      <c r="G738" s="454">
        <f t="shared" si="160"/>
        <v>1.7784248089482468</v>
      </c>
      <c r="H738" s="454">
        <f t="shared" si="160"/>
        <v>0</v>
      </c>
      <c r="I738" s="454">
        <f t="shared" si="161"/>
        <v>73.734013767292893</v>
      </c>
      <c r="J738" s="454">
        <f t="shared" si="162"/>
        <v>43.399800183925514</v>
      </c>
      <c r="K738" s="454">
        <f t="shared" si="162"/>
        <v>4.2960576585148216</v>
      </c>
      <c r="L738" s="454">
        <f t="shared" si="162"/>
        <v>0</v>
      </c>
      <c r="M738" s="454">
        <f t="shared" si="163"/>
        <v>47.695857842440333</v>
      </c>
      <c r="N738" s="454">
        <f t="shared" si="164"/>
        <v>28.555788774419135</v>
      </c>
      <c r="O738" s="454">
        <f t="shared" si="165"/>
        <v>26.03815592485256</v>
      </c>
    </row>
    <row r="739" spans="2:15" ht="15.6" x14ac:dyDescent="0.25">
      <c r="B739" s="451">
        <v>4</v>
      </c>
      <c r="C739" s="279" t="s">
        <v>540</v>
      </c>
      <c r="D739" s="452"/>
      <c r="E739" s="52"/>
      <c r="F739" s="454">
        <f t="shared" si="160"/>
        <v>2.0530726691982006</v>
      </c>
      <c r="G739" s="454">
        <f t="shared" si="160"/>
        <v>0.48331583056396998</v>
      </c>
      <c r="H739" s="454">
        <f t="shared" si="160"/>
        <v>0</v>
      </c>
      <c r="I739" s="454">
        <f t="shared" si="161"/>
        <v>2.5363884997621708</v>
      </c>
      <c r="J739" s="454">
        <f t="shared" si="162"/>
        <v>1.7065670784139202</v>
      </c>
      <c r="K739" s="454">
        <f t="shared" si="162"/>
        <v>0.84531031284137448</v>
      </c>
      <c r="L739" s="454">
        <f t="shared" si="162"/>
        <v>0</v>
      </c>
      <c r="M739" s="454">
        <f t="shared" si="163"/>
        <v>2.5518773912552946</v>
      </c>
      <c r="N739" s="454">
        <f t="shared" si="164"/>
        <v>0.34650559078428045</v>
      </c>
      <c r="O739" s="454">
        <f t="shared" si="165"/>
        <v>-1.5488891493123713E-2</v>
      </c>
    </row>
    <row r="740" spans="2:15" ht="15.6" x14ac:dyDescent="0.25">
      <c r="B740" s="451">
        <v>5</v>
      </c>
      <c r="C740" s="279" t="s">
        <v>694</v>
      </c>
      <c r="D740" s="452"/>
      <c r="E740" s="52"/>
      <c r="F740" s="454">
        <f t="shared" si="160"/>
        <v>0.62781000000000009</v>
      </c>
      <c r="G740" s="454">
        <f t="shared" si="160"/>
        <v>0</v>
      </c>
      <c r="H740" s="454">
        <f t="shared" si="160"/>
        <v>0</v>
      </c>
      <c r="I740" s="454">
        <f t="shared" si="161"/>
        <v>0.62781000000000009</v>
      </c>
      <c r="J740" s="454">
        <f t="shared" si="162"/>
        <v>0.47571623249999995</v>
      </c>
      <c r="K740" s="454">
        <f t="shared" si="162"/>
        <v>1.4765451232999771E-2</v>
      </c>
      <c r="L740" s="454">
        <f t="shared" si="162"/>
        <v>0</v>
      </c>
      <c r="M740" s="454">
        <f t="shared" si="163"/>
        <v>0.49048168373299972</v>
      </c>
      <c r="N740" s="454">
        <f t="shared" si="164"/>
        <v>0.15209376750000014</v>
      </c>
      <c r="O740" s="454">
        <f t="shared" si="165"/>
        <v>0.13732831626700037</v>
      </c>
    </row>
    <row r="741" spans="2:15" ht="15.6" x14ac:dyDescent="0.25">
      <c r="B741" s="451">
        <v>6</v>
      </c>
      <c r="C741" s="279" t="s">
        <v>538</v>
      </c>
      <c r="D741" s="452"/>
      <c r="E741" s="52"/>
      <c r="F741" s="454">
        <f t="shared" si="160"/>
        <v>0.27250999999999997</v>
      </c>
      <c r="G741" s="454">
        <f t="shared" si="160"/>
        <v>0</v>
      </c>
      <c r="H741" s="454">
        <f t="shared" si="160"/>
        <v>0</v>
      </c>
      <c r="I741" s="454">
        <f t="shared" si="161"/>
        <v>0.27250999999999997</v>
      </c>
      <c r="J741" s="454">
        <f t="shared" si="162"/>
        <v>0.24503389540000009</v>
      </c>
      <c r="K741" s="454">
        <f t="shared" si="162"/>
        <v>1.0336502999996888E-4</v>
      </c>
      <c r="L741" s="454">
        <f t="shared" si="162"/>
        <v>0</v>
      </c>
      <c r="M741" s="454">
        <f t="shared" si="163"/>
        <v>0.24513726043000006</v>
      </c>
      <c r="N741" s="454">
        <f t="shared" si="164"/>
        <v>2.7476104599999884E-2</v>
      </c>
      <c r="O741" s="454">
        <f t="shared" si="165"/>
        <v>2.7372739569999915E-2</v>
      </c>
    </row>
    <row r="742" spans="2:15" ht="15.6" x14ac:dyDescent="0.25">
      <c r="B742" s="451">
        <v>7</v>
      </c>
      <c r="C742" s="279" t="s">
        <v>695</v>
      </c>
      <c r="D742" s="452"/>
      <c r="E742" s="52"/>
      <c r="F742" s="454">
        <f t="shared" si="160"/>
        <v>9.908358633505955</v>
      </c>
      <c r="G742" s="454">
        <f t="shared" si="160"/>
        <v>4.5522747577322331</v>
      </c>
      <c r="H742" s="454">
        <f t="shared" si="160"/>
        <v>0</v>
      </c>
      <c r="I742" s="454">
        <f t="shared" si="161"/>
        <v>14.460633391238188</v>
      </c>
      <c r="J742" s="454">
        <f t="shared" si="162"/>
        <v>6.3527200000000006</v>
      </c>
      <c r="K742" s="454">
        <f t="shared" si="162"/>
        <v>0</v>
      </c>
      <c r="L742" s="454">
        <f t="shared" si="162"/>
        <v>0</v>
      </c>
      <c r="M742" s="454">
        <f t="shared" si="163"/>
        <v>6.3527200000000006</v>
      </c>
      <c r="N742" s="454">
        <f t="shared" si="164"/>
        <v>3.5556386335059544</v>
      </c>
      <c r="O742" s="454">
        <f t="shared" si="165"/>
        <v>8.1079133912381884</v>
      </c>
    </row>
    <row r="743" spans="2:15" ht="15.6" x14ac:dyDescent="0.25">
      <c r="B743" s="451">
        <v>8</v>
      </c>
      <c r="C743" s="279" t="s">
        <v>696</v>
      </c>
      <c r="D743" s="452"/>
      <c r="E743" s="52"/>
      <c r="F743" s="454">
        <f t="shared" si="160"/>
        <v>3.4928000000000008</v>
      </c>
      <c r="G743" s="454">
        <f t="shared" si="160"/>
        <v>0</v>
      </c>
      <c r="H743" s="454">
        <f t="shared" si="160"/>
        <v>0</v>
      </c>
      <c r="I743" s="454">
        <f t="shared" si="161"/>
        <v>3.4928000000000008</v>
      </c>
      <c r="J743" s="454">
        <f t="shared" si="162"/>
        <v>3.0204872928129469</v>
      </c>
      <c r="K743" s="454">
        <f t="shared" si="162"/>
        <v>0.90458702418991688</v>
      </c>
      <c r="L743" s="454">
        <f t="shared" si="162"/>
        <v>0</v>
      </c>
      <c r="M743" s="454">
        <f t="shared" si="163"/>
        <v>3.9250743170028639</v>
      </c>
      <c r="N743" s="454">
        <f t="shared" si="164"/>
        <v>0.47231270718705387</v>
      </c>
      <c r="O743" s="454">
        <f t="shared" si="165"/>
        <v>-0.43227431700286312</v>
      </c>
    </row>
    <row r="744" spans="2:15" hidden="1" x14ac:dyDescent="0.25">
      <c r="B744" s="451"/>
      <c r="C744" s="457"/>
      <c r="D744" s="452"/>
      <c r="E744" s="52"/>
      <c r="F744" s="454"/>
      <c r="G744" s="454"/>
      <c r="H744" s="454"/>
      <c r="I744" s="454"/>
      <c r="J744" s="454"/>
      <c r="K744" s="454"/>
      <c r="L744" s="454"/>
      <c r="M744" s="454"/>
      <c r="N744" s="454"/>
      <c r="O744" s="454"/>
    </row>
    <row r="745" spans="2:15" hidden="1" x14ac:dyDescent="0.25">
      <c r="B745" s="451"/>
      <c r="C745" s="458"/>
      <c r="D745" s="452"/>
      <c r="E745" s="52"/>
      <c r="F745" s="454"/>
      <c r="G745" s="454"/>
      <c r="H745" s="454"/>
      <c r="I745" s="454"/>
      <c r="J745" s="454"/>
      <c r="K745" s="454"/>
      <c r="L745" s="454"/>
      <c r="M745" s="454"/>
      <c r="N745" s="454"/>
      <c r="O745" s="454"/>
    </row>
    <row r="746" spans="2:15" hidden="1" x14ac:dyDescent="0.25">
      <c r="B746" s="451"/>
      <c r="C746" s="457"/>
      <c r="D746" s="452"/>
      <c r="E746" s="52"/>
      <c r="F746" s="454"/>
      <c r="G746" s="454"/>
      <c r="H746" s="454"/>
      <c r="I746" s="454"/>
      <c r="J746" s="454"/>
      <c r="K746" s="454"/>
      <c r="L746" s="454"/>
      <c r="M746" s="454"/>
      <c r="N746" s="454"/>
      <c r="O746" s="454"/>
    </row>
    <row r="747" spans="2:15" hidden="1" x14ac:dyDescent="0.25">
      <c r="B747" s="451"/>
      <c r="C747" s="457"/>
      <c r="D747" s="452"/>
      <c r="E747" s="52"/>
      <c r="F747" s="454"/>
      <c r="G747" s="454"/>
      <c r="H747" s="454"/>
      <c r="I747" s="454"/>
      <c r="J747" s="454"/>
      <c r="K747" s="454"/>
      <c r="L747" s="454"/>
      <c r="M747" s="454"/>
      <c r="N747" s="454"/>
      <c r="O747" s="454"/>
    </row>
    <row r="748" spans="2:15" hidden="1" x14ac:dyDescent="0.25">
      <c r="B748" s="451"/>
      <c r="C748" s="457"/>
      <c r="D748" s="452"/>
      <c r="E748" s="52"/>
      <c r="F748" s="454"/>
      <c r="G748" s="454"/>
      <c r="H748" s="454"/>
      <c r="I748" s="454"/>
      <c r="J748" s="454"/>
      <c r="K748" s="454"/>
      <c r="L748" s="454"/>
      <c r="M748" s="454"/>
      <c r="N748" s="454"/>
      <c r="O748" s="454"/>
    </row>
    <row r="749" spans="2:15" hidden="1" x14ac:dyDescent="0.25">
      <c r="B749" s="451"/>
      <c r="C749" s="457"/>
      <c r="D749" s="452"/>
      <c r="E749" s="52"/>
      <c r="F749" s="454"/>
      <c r="G749" s="454"/>
      <c r="H749" s="454"/>
      <c r="I749" s="454"/>
      <c r="J749" s="454"/>
      <c r="K749" s="454"/>
      <c r="L749" s="454"/>
      <c r="M749" s="454"/>
      <c r="N749" s="454"/>
      <c r="O749" s="454"/>
    </row>
    <row r="750" spans="2:15" hidden="1" x14ac:dyDescent="0.25">
      <c r="B750" s="451"/>
      <c r="C750" s="458"/>
      <c r="D750" s="452"/>
      <c r="E750" s="52"/>
      <c r="F750" s="454"/>
      <c r="G750" s="454"/>
      <c r="H750" s="454"/>
      <c r="I750" s="454"/>
      <c r="J750" s="454"/>
      <c r="K750" s="454"/>
      <c r="L750" s="454"/>
      <c r="M750" s="454"/>
      <c r="N750" s="454"/>
      <c r="O750" s="454"/>
    </row>
    <row r="751" spans="2:15" hidden="1" x14ac:dyDescent="0.25">
      <c r="B751" s="451"/>
      <c r="C751" s="458"/>
      <c r="D751" s="452"/>
      <c r="E751" s="52"/>
      <c r="F751" s="454"/>
      <c r="G751" s="454"/>
      <c r="H751" s="454"/>
      <c r="I751" s="454"/>
      <c r="J751" s="454"/>
      <c r="K751" s="454"/>
      <c r="L751" s="454"/>
      <c r="M751" s="454"/>
      <c r="N751" s="454"/>
      <c r="O751" s="454"/>
    </row>
    <row r="752" spans="2:15" hidden="1" x14ac:dyDescent="0.25">
      <c r="B752" s="451"/>
      <c r="C752" s="458"/>
      <c r="D752" s="452"/>
      <c r="E752" s="52"/>
      <c r="F752" s="454"/>
      <c r="G752" s="454"/>
      <c r="H752" s="454"/>
      <c r="I752" s="454"/>
      <c r="J752" s="454"/>
      <c r="K752" s="454"/>
      <c r="L752" s="454"/>
      <c r="M752" s="454"/>
      <c r="N752" s="454"/>
      <c r="O752" s="454"/>
    </row>
    <row r="753" spans="2:15" hidden="1" x14ac:dyDescent="0.25">
      <c r="B753" s="451"/>
      <c r="C753" s="457"/>
      <c r="D753" s="452"/>
      <c r="E753" s="52"/>
      <c r="F753" s="454"/>
      <c r="G753" s="454"/>
      <c r="H753" s="454"/>
      <c r="I753" s="454"/>
      <c r="J753" s="454"/>
      <c r="K753" s="454"/>
      <c r="L753" s="454"/>
      <c r="M753" s="454"/>
      <c r="N753" s="454"/>
      <c r="O753" s="454"/>
    </row>
    <row r="754" spans="2:15" hidden="1" x14ac:dyDescent="0.25">
      <c r="B754" s="451"/>
      <c r="C754" s="457"/>
      <c r="D754" s="452"/>
      <c r="E754" s="52"/>
      <c r="F754" s="454"/>
      <c r="G754" s="454"/>
      <c r="H754" s="454"/>
      <c r="I754" s="454"/>
      <c r="J754" s="454"/>
      <c r="K754" s="454"/>
      <c r="L754" s="454"/>
      <c r="M754" s="454"/>
      <c r="N754" s="454"/>
      <c r="O754" s="454"/>
    </row>
    <row r="755" spans="2:15" hidden="1" x14ac:dyDescent="0.25">
      <c r="B755" s="459"/>
      <c r="C755" s="460"/>
      <c r="D755" s="452"/>
      <c r="E755" s="52"/>
      <c r="F755" s="454"/>
      <c r="G755" s="454"/>
      <c r="H755" s="454"/>
      <c r="I755" s="454"/>
      <c r="J755" s="454"/>
      <c r="K755" s="454"/>
      <c r="L755" s="454"/>
      <c r="M755" s="454"/>
      <c r="N755" s="454"/>
      <c r="O755" s="454"/>
    </row>
    <row r="756" spans="2:15" hidden="1" x14ac:dyDescent="0.25">
      <c r="B756" s="461"/>
      <c r="C756" s="280"/>
      <c r="D756" s="462"/>
      <c r="E756" s="52"/>
      <c r="F756" s="454"/>
      <c r="G756" s="454"/>
      <c r="H756" s="454"/>
      <c r="I756" s="454"/>
      <c r="J756" s="454"/>
      <c r="K756" s="454"/>
      <c r="L756" s="454"/>
      <c r="M756" s="454"/>
      <c r="N756" s="454"/>
      <c r="O756" s="454"/>
    </row>
    <row r="757" spans="2:15" hidden="1" x14ac:dyDescent="0.25">
      <c r="B757" s="461"/>
      <c r="C757" s="280"/>
      <c r="D757" s="462"/>
      <c r="E757" s="52"/>
      <c r="F757" s="454"/>
      <c r="G757" s="454"/>
      <c r="H757" s="454"/>
      <c r="I757" s="454"/>
      <c r="J757" s="454"/>
      <c r="K757" s="454"/>
      <c r="L757" s="454"/>
      <c r="M757" s="454"/>
      <c r="N757" s="454"/>
      <c r="O757" s="454"/>
    </row>
    <row r="758" spans="2:15" hidden="1" x14ac:dyDescent="0.25">
      <c r="B758" s="461"/>
      <c r="C758" s="280"/>
      <c r="D758" s="462"/>
      <c r="E758" s="52"/>
      <c r="F758" s="454"/>
      <c r="G758" s="454"/>
      <c r="H758" s="454"/>
      <c r="I758" s="454"/>
      <c r="J758" s="454"/>
      <c r="K758" s="454"/>
      <c r="L758" s="454"/>
      <c r="M758" s="454"/>
      <c r="N758" s="454"/>
      <c r="O758" s="454"/>
    </row>
    <row r="759" spans="2:15" hidden="1" x14ac:dyDescent="0.25">
      <c r="B759" s="461"/>
      <c r="C759" s="281"/>
      <c r="D759" s="462"/>
      <c r="E759" s="52"/>
      <c r="F759" s="454"/>
      <c r="G759" s="454"/>
      <c r="H759" s="454"/>
      <c r="I759" s="454"/>
      <c r="J759" s="454"/>
      <c r="K759" s="454"/>
      <c r="L759" s="454"/>
      <c r="M759" s="454"/>
      <c r="N759" s="454"/>
      <c r="O759" s="454"/>
    </row>
    <row r="760" spans="2:15" hidden="1" x14ac:dyDescent="0.25">
      <c r="B760" s="461"/>
      <c r="C760" s="281"/>
      <c r="D760" s="462"/>
      <c r="E760" s="52"/>
      <c r="F760" s="454"/>
      <c r="G760" s="454"/>
      <c r="H760" s="454"/>
      <c r="I760" s="454"/>
      <c r="J760" s="454"/>
      <c r="K760" s="454"/>
      <c r="L760" s="454"/>
      <c r="M760" s="454"/>
      <c r="N760" s="454"/>
      <c r="O760" s="454"/>
    </row>
    <row r="761" spans="2:15" hidden="1" x14ac:dyDescent="0.25">
      <c r="B761" s="461"/>
      <c r="C761" s="281"/>
      <c r="D761" s="462"/>
      <c r="E761" s="52"/>
      <c r="F761" s="454"/>
      <c r="G761" s="454"/>
      <c r="H761" s="454"/>
      <c r="I761" s="454"/>
      <c r="J761" s="454"/>
      <c r="K761" s="454"/>
      <c r="L761" s="454"/>
      <c r="M761" s="454"/>
      <c r="N761" s="454"/>
      <c r="O761" s="454"/>
    </row>
    <row r="762" spans="2:15" hidden="1" x14ac:dyDescent="0.25">
      <c r="B762" s="461"/>
      <c r="C762" s="281"/>
      <c r="D762" s="462"/>
      <c r="E762" s="52"/>
      <c r="F762" s="454"/>
      <c r="G762" s="454"/>
      <c r="H762" s="454"/>
      <c r="I762" s="454"/>
      <c r="J762" s="454"/>
      <c r="K762" s="454"/>
      <c r="L762" s="454"/>
      <c r="M762" s="454"/>
      <c r="N762" s="454"/>
      <c r="O762" s="454"/>
    </row>
    <row r="763" spans="2:15" hidden="1" x14ac:dyDescent="0.25">
      <c r="B763" s="461"/>
      <c r="C763" s="281"/>
      <c r="D763" s="462"/>
      <c r="E763" s="52"/>
      <c r="F763" s="454"/>
      <c r="G763" s="454"/>
      <c r="H763" s="454"/>
      <c r="I763" s="454"/>
      <c r="J763" s="454"/>
      <c r="K763" s="454"/>
      <c r="L763" s="454"/>
      <c r="M763" s="454"/>
      <c r="N763" s="454"/>
      <c r="O763" s="454"/>
    </row>
    <row r="764" spans="2:15" hidden="1" x14ac:dyDescent="0.25">
      <c r="B764" s="461"/>
      <c r="C764" s="281"/>
      <c r="D764" s="462"/>
      <c r="E764" s="52"/>
      <c r="F764" s="454"/>
      <c r="G764" s="454"/>
      <c r="H764" s="454"/>
      <c r="I764" s="454"/>
      <c r="J764" s="454"/>
      <c r="K764" s="454"/>
      <c r="L764" s="454"/>
      <c r="M764" s="454"/>
      <c r="N764" s="454"/>
      <c r="O764" s="454"/>
    </row>
    <row r="765" spans="2:15" hidden="1" x14ac:dyDescent="0.25">
      <c r="B765" s="461"/>
      <c r="C765" s="281"/>
      <c r="D765" s="462"/>
      <c r="E765" s="52"/>
      <c r="F765" s="454"/>
      <c r="G765" s="454"/>
      <c r="H765" s="454"/>
      <c r="I765" s="454"/>
      <c r="J765" s="454"/>
      <c r="K765" s="454"/>
      <c r="L765" s="454"/>
      <c r="M765" s="454"/>
      <c r="N765" s="454"/>
      <c r="O765" s="454"/>
    </row>
    <row r="766" spans="2:15" hidden="1" x14ac:dyDescent="0.25">
      <c r="B766" s="461"/>
      <c r="C766" s="280"/>
      <c r="D766" s="462"/>
      <c r="E766" s="52"/>
      <c r="F766" s="454"/>
      <c r="G766" s="454"/>
      <c r="H766" s="454"/>
      <c r="I766" s="454"/>
      <c r="J766" s="454"/>
      <c r="K766" s="454"/>
      <c r="L766" s="454"/>
      <c r="M766" s="454"/>
      <c r="N766" s="454"/>
      <c r="O766" s="454"/>
    </row>
    <row r="767" spans="2:15" hidden="1" x14ac:dyDescent="0.25">
      <c r="B767" s="461"/>
      <c r="C767" s="281"/>
      <c r="D767" s="462"/>
      <c r="E767" s="52"/>
      <c r="F767" s="454"/>
      <c r="G767" s="454"/>
      <c r="H767" s="454"/>
      <c r="I767" s="454"/>
      <c r="J767" s="454"/>
      <c r="K767" s="454"/>
      <c r="L767" s="454"/>
      <c r="M767" s="454"/>
      <c r="N767" s="454"/>
      <c r="O767" s="454"/>
    </row>
    <row r="768" spans="2:15" hidden="1" x14ac:dyDescent="0.25">
      <c r="B768" s="461"/>
      <c r="C768" s="281"/>
      <c r="D768" s="462"/>
      <c r="E768" s="52"/>
      <c r="F768" s="454"/>
      <c r="G768" s="454"/>
      <c r="H768" s="454"/>
      <c r="I768" s="454"/>
      <c r="J768" s="454"/>
      <c r="K768" s="454"/>
      <c r="L768" s="454"/>
      <c r="M768" s="454"/>
      <c r="N768" s="454"/>
      <c r="O768" s="454"/>
    </row>
    <row r="769" spans="2:15" hidden="1" x14ac:dyDescent="0.25">
      <c r="B769" s="461"/>
      <c r="C769" s="281"/>
      <c r="D769" s="462"/>
      <c r="E769" s="52"/>
      <c r="F769" s="454"/>
      <c r="G769" s="454"/>
      <c r="H769" s="454"/>
      <c r="I769" s="454"/>
      <c r="J769" s="454"/>
      <c r="K769" s="454"/>
      <c r="L769" s="454"/>
      <c r="M769" s="454"/>
      <c r="N769" s="454"/>
      <c r="O769" s="454"/>
    </row>
    <row r="770" spans="2:15" hidden="1" x14ac:dyDescent="0.25">
      <c r="B770" s="461"/>
      <c r="C770" s="280"/>
      <c r="D770" s="462"/>
      <c r="E770" s="52"/>
      <c r="F770" s="454"/>
      <c r="G770" s="454"/>
      <c r="H770" s="454"/>
      <c r="I770" s="454"/>
      <c r="J770" s="454"/>
      <c r="K770" s="454"/>
      <c r="L770" s="454"/>
      <c r="M770" s="454"/>
      <c r="N770" s="454"/>
      <c r="O770" s="454"/>
    </row>
    <row r="771" spans="2:15" hidden="1" x14ac:dyDescent="0.25">
      <c r="B771" s="461"/>
      <c r="C771" s="280"/>
      <c r="D771" s="452"/>
      <c r="E771" s="52"/>
      <c r="F771" s="454"/>
      <c r="G771" s="454"/>
      <c r="H771" s="454"/>
      <c r="I771" s="454"/>
      <c r="J771" s="454"/>
      <c r="K771" s="454"/>
      <c r="L771" s="454"/>
      <c r="M771" s="454"/>
      <c r="N771" s="454"/>
      <c r="O771" s="454"/>
    </row>
    <row r="772" spans="2:15" hidden="1" x14ac:dyDescent="0.25">
      <c r="B772" s="461"/>
      <c r="C772" s="280"/>
      <c r="D772" s="452"/>
      <c r="E772" s="53"/>
      <c r="F772" s="454"/>
      <c r="G772" s="454"/>
      <c r="H772" s="454"/>
      <c r="I772" s="454"/>
      <c r="J772" s="454"/>
      <c r="K772" s="454"/>
      <c r="L772" s="454"/>
      <c r="M772" s="454"/>
      <c r="N772" s="454"/>
      <c r="O772" s="454"/>
    </row>
    <row r="773" spans="2:15" ht="14.4" thickBot="1" x14ac:dyDescent="0.3">
      <c r="B773" s="463"/>
      <c r="C773" s="464" t="s">
        <v>251</v>
      </c>
      <c r="D773" s="464"/>
      <c r="E773" s="465"/>
      <c r="F773" s="466">
        <f>SUM(F733:F772)</f>
        <v>1019.9121071705782</v>
      </c>
      <c r="G773" s="466">
        <f t="shared" ref="G773:H773" si="166">SUM(G733:G772)</f>
        <v>165.22804851654871</v>
      </c>
      <c r="H773" s="466">
        <f t="shared" si="166"/>
        <v>0</v>
      </c>
      <c r="I773" s="466">
        <f>SUM(I733:I772)</f>
        <v>1185.1401556871269</v>
      </c>
      <c r="J773" s="466">
        <f t="shared" ref="J773:O773" si="167">SUM(J733:J772)</f>
        <v>531.04444947855848</v>
      </c>
      <c r="K773" s="466">
        <f t="shared" si="167"/>
        <v>41.4177201197733</v>
      </c>
      <c r="L773" s="466">
        <f t="shared" si="167"/>
        <v>0</v>
      </c>
      <c r="M773" s="466">
        <f t="shared" si="167"/>
        <v>572.46216959833191</v>
      </c>
      <c r="N773" s="466">
        <f t="shared" si="167"/>
        <v>488.8676576920198</v>
      </c>
      <c r="O773" s="466">
        <f t="shared" si="167"/>
        <v>612.67798608879525</v>
      </c>
    </row>
    <row r="774" spans="2:15" ht="14.4" thickBot="1" x14ac:dyDescent="0.3">
      <c r="O774" s="15" t="s">
        <v>1215</v>
      </c>
    </row>
    <row r="775" spans="2:15" x14ac:dyDescent="0.25">
      <c r="B775" s="858" t="s">
        <v>549</v>
      </c>
      <c r="C775" s="859"/>
      <c r="D775" s="859"/>
      <c r="E775" s="859"/>
      <c r="F775" s="859"/>
      <c r="G775" s="859"/>
      <c r="H775" s="859"/>
      <c r="I775" s="859"/>
      <c r="J775" s="859"/>
      <c r="K775" s="859"/>
      <c r="L775" s="859"/>
      <c r="M775" s="859"/>
      <c r="N775" s="859"/>
      <c r="O775" s="860"/>
    </row>
    <row r="776" spans="2:15" x14ac:dyDescent="0.25">
      <c r="B776" s="861" t="s">
        <v>474</v>
      </c>
      <c r="C776" s="863" t="s">
        <v>556</v>
      </c>
      <c r="D776" s="865" t="s">
        <v>557</v>
      </c>
      <c r="E776" s="865" t="s">
        <v>558</v>
      </c>
      <c r="F776" s="865" t="s">
        <v>559</v>
      </c>
      <c r="G776" s="865"/>
      <c r="H776" s="865"/>
      <c r="I776" s="865"/>
      <c r="J776" s="865" t="s">
        <v>560</v>
      </c>
      <c r="K776" s="865"/>
      <c r="L776" s="865"/>
      <c r="M776" s="865"/>
      <c r="N776" s="865" t="s">
        <v>561</v>
      </c>
      <c r="O776" s="867"/>
    </row>
    <row r="777" spans="2:15" ht="55.8" thickBot="1" x14ac:dyDescent="0.3">
      <c r="B777" s="862"/>
      <c r="C777" s="864"/>
      <c r="D777" s="866"/>
      <c r="E777" s="866"/>
      <c r="F777" s="468" t="s">
        <v>562</v>
      </c>
      <c r="G777" s="468" t="s">
        <v>563</v>
      </c>
      <c r="H777" s="468" t="s">
        <v>564</v>
      </c>
      <c r="I777" s="468" t="s">
        <v>565</v>
      </c>
      <c r="J777" s="468" t="s">
        <v>566</v>
      </c>
      <c r="K777" s="468" t="s">
        <v>563</v>
      </c>
      <c r="L777" s="468" t="s">
        <v>567</v>
      </c>
      <c r="M777" s="468" t="s">
        <v>568</v>
      </c>
      <c r="N777" s="468" t="s">
        <v>562</v>
      </c>
      <c r="O777" s="469" t="s">
        <v>565</v>
      </c>
    </row>
    <row r="778" spans="2:15" ht="15.6" x14ac:dyDescent="0.25">
      <c r="B778" s="451">
        <v>1</v>
      </c>
      <c r="C778" s="276" t="s">
        <v>689</v>
      </c>
      <c r="D778" s="452"/>
      <c r="E778" s="453"/>
      <c r="F778" s="454">
        <f>F144*0.1</f>
        <v>2.1345207151465702</v>
      </c>
      <c r="G778" s="454">
        <f t="shared" ref="G778:H778" si="168">G144*0.1</f>
        <v>1.4316582342097599</v>
      </c>
      <c r="H778" s="454">
        <f t="shared" si="168"/>
        <v>0</v>
      </c>
      <c r="I778" s="454">
        <f>F778+G778-H778</f>
        <v>3.5661789493563303</v>
      </c>
      <c r="J778" s="454">
        <f>J144*0.1</f>
        <v>1.5895540527272698E-3</v>
      </c>
      <c r="K778" s="454">
        <f t="shared" ref="K778:L778" si="169">K144*0.1</f>
        <v>1.5895540527272698E-3</v>
      </c>
      <c r="L778" s="454">
        <f t="shared" si="169"/>
        <v>0</v>
      </c>
      <c r="M778" s="454">
        <f>J778+K778-L778</f>
        <v>3.1791081054545396E-3</v>
      </c>
      <c r="N778" s="454">
        <f>F778-J778</f>
        <v>2.1329311610938428</v>
      </c>
      <c r="O778" s="454">
        <f>I778-M778</f>
        <v>3.5629998412508757</v>
      </c>
    </row>
    <row r="779" spans="2:15" ht="15.6" x14ac:dyDescent="0.25">
      <c r="B779" s="451">
        <v>2</v>
      </c>
      <c r="C779" s="276" t="s">
        <v>534</v>
      </c>
      <c r="D779" s="452"/>
      <c r="E779" s="453"/>
      <c r="F779" s="454">
        <f t="shared" ref="F779:H779" si="170">F145*0.1</f>
        <v>37.089778691480163</v>
      </c>
      <c r="G779" s="454">
        <f t="shared" si="170"/>
        <v>2.1152813495523559</v>
      </c>
      <c r="H779" s="454">
        <f t="shared" si="170"/>
        <v>0</v>
      </c>
      <c r="I779" s="454">
        <f t="shared" ref="I779" si="171">F779+G779-H779</f>
        <v>39.205060041032517</v>
      </c>
      <c r="J779" s="454">
        <f t="shared" ref="J779:L779" si="172">J145*0.1</f>
        <v>10.070836517817598</v>
      </c>
      <c r="K779" s="454">
        <f t="shared" si="172"/>
        <v>1.023654572541105</v>
      </c>
      <c r="L779" s="454">
        <f t="shared" si="172"/>
        <v>0</v>
      </c>
      <c r="M779" s="454">
        <f>J779+K779-L779</f>
        <v>11.094491090358703</v>
      </c>
      <c r="N779" s="454">
        <f t="shared" ref="N779" si="173">F779-J779</f>
        <v>27.018942173662566</v>
      </c>
      <c r="O779" s="454">
        <f t="shared" ref="O779" si="174">I779-M779</f>
        <v>28.110568950673816</v>
      </c>
    </row>
    <row r="780" spans="2:15" ht="15.6" x14ac:dyDescent="0.25">
      <c r="B780" s="470">
        <v>3</v>
      </c>
      <c r="C780" s="279" t="s">
        <v>690</v>
      </c>
      <c r="D780" s="471"/>
      <c r="E780" s="360"/>
      <c r="F780" s="472"/>
      <c r="G780" s="472"/>
      <c r="H780" s="472"/>
      <c r="I780" s="472"/>
      <c r="J780" s="472"/>
      <c r="K780" s="472"/>
      <c r="L780" s="472"/>
      <c r="M780" s="472"/>
      <c r="N780" s="472"/>
      <c r="O780" s="472"/>
    </row>
    <row r="781" spans="2:15" ht="15.6" x14ac:dyDescent="0.25">
      <c r="B781" s="451"/>
      <c r="C781" s="276" t="s">
        <v>691</v>
      </c>
      <c r="D781" s="452"/>
      <c r="E781" s="52"/>
      <c r="F781" s="454">
        <f t="shared" ref="F781:H788" si="175">F147*0.1</f>
        <v>542.47386013335063</v>
      </c>
      <c r="G781" s="454">
        <f t="shared" si="175"/>
        <v>73.803635486696678</v>
      </c>
      <c r="H781" s="454">
        <f t="shared" si="175"/>
        <v>0</v>
      </c>
      <c r="I781" s="454">
        <f t="shared" ref="I781:I783" si="176">F781+G781-H781</f>
        <v>616.27749562004726</v>
      </c>
      <c r="J781" s="454">
        <f t="shared" ref="J781:L788" si="177">J147*0.1</f>
        <v>274.82977721375102</v>
      </c>
      <c r="K781" s="454">
        <f t="shared" si="177"/>
        <v>23.594362107155135</v>
      </c>
      <c r="L781" s="454">
        <f t="shared" si="177"/>
        <v>0</v>
      </c>
      <c r="M781" s="454">
        <f t="shared" ref="M781:M788" si="178">J781+K781-L781</f>
        <v>298.42413932090614</v>
      </c>
      <c r="N781" s="454">
        <f t="shared" ref="N781:N788" si="179">F781-J781</f>
        <v>267.64408291959961</v>
      </c>
      <c r="O781" s="454">
        <f t="shared" ref="O781:O788" si="180">I781-M781</f>
        <v>317.85335629914113</v>
      </c>
    </row>
    <row r="782" spans="2:15" ht="15.6" x14ac:dyDescent="0.25">
      <c r="B782" s="451"/>
      <c r="C782" s="276" t="s">
        <v>692</v>
      </c>
      <c r="D782" s="452"/>
      <c r="E782" s="52"/>
      <c r="F782" s="454">
        <f t="shared" si="175"/>
        <v>508.31784048885652</v>
      </c>
      <c r="G782" s="454">
        <f t="shared" si="175"/>
        <v>80.168762846250232</v>
      </c>
      <c r="H782" s="454">
        <f t="shared" si="175"/>
        <v>0</v>
      </c>
      <c r="I782" s="454">
        <f t="shared" si="176"/>
        <v>588.48660333510679</v>
      </c>
      <c r="J782" s="454">
        <f t="shared" si="177"/>
        <v>226.298817817849</v>
      </c>
      <c r="K782" s="454">
        <f t="shared" si="177"/>
        <v>16.004965524069718</v>
      </c>
      <c r="L782" s="454">
        <f t="shared" si="177"/>
        <v>0</v>
      </c>
      <c r="M782" s="454">
        <f t="shared" si="178"/>
        <v>242.30378334191872</v>
      </c>
      <c r="N782" s="454">
        <f t="shared" si="179"/>
        <v>282.01902267100752</v>
      </c>
      <c r="O782" s="454">
        <f t="shared" si="180"/>
        <v>346.1828199931881</v>
      </c>
    </row>
    <row r="783" spans="2:15" ht="15.6" x14ac:dyDescent="0.25">
      <c r="B783" s="451"/>
      <c r="C783" s="276" t="s">
        <v>693</v>
      </c>
      <c r="D783" s="452"/>
      <c r="E783" s="52"/>
      <c r="F783" s="454">
        <f t="shared" si="175"/>
        <v>73.734013767292893</v>
      </c>
      <c r="G783" s="454">
        <f t="shared" si="175"/>
        <v>1.7683805716202063</v>
      </c>
      <c r="H783" s="454">
        <f t="shared" si="175"/>
        <v>0</v>
      </c>
      <c r="I783" s="454">
        <f t="shared" si="176"/>
        <v>75.502394338913106</v>
      </c>
      <c r="J783" s="454">
        <f t="shared" si="177"/>
        <v>47.695857842440333</v>
      </c>
      <c r="K783" s="454">
        <f t="shared" si="177"/>
        <v>3.7145307335007334</v>
      </c>
      <c r="L783" s="454">
        <f t="shared" si="177"/>
        <v>0</v>
      </c>
      <c r="M783" s="454">
        <f t="shared" si="178"/>
        <v>51.410388575941063</v>
      </c>
      <c r="N783" s="454">
        <f t="shared" si="179"/>
        <v>26.03815592485256</v>
      </c>
      <c r="O783" s="454">
        <f t="shared" si="180"/>
        <v>24.092005762972043</v>
      </c>
    </row>
    <row r="784" spans="2:15" ht="15.6" x14ac:dyDescent="0.25">
      <c r="B784" s="451">
        <v>4</v>
      </c>
      <c r="C784" s="279" t="s">
        <v>540</v>
      </c>
      <c r="D784" s="452"/>
      <c r="E784" s="52"/>
      <c r="F784" s="454">
        <f t="shared" si="175"/>
        <v>2.5363884997621708</v>
      </c>
      <c r="G784" s="454">
        <f t="shared" si="175"/>
        <v>0.48058614591148557</v>
      </c>
      <c r="H784" s="454">
        <f t="shared" si="175"/>
        <v>0</v>
      </c>
      <c r="I784" s="454">
        <f>F784+G784-H784</f>
        <v>3.0169746456736566</v>
      </c>
      <c r="J784" s="454">
        <f t="shared" si="177"/>
        <v>2.5518773912552946</v>
      </c>
      <c r="K784" s="454">
        <f t="shared" si="177"/>
        <v>0.58576038344544479</v>
      </c>
      <c r="L784" s="454">
        <f t="shared" si="177"/>
        <v>0</v>
      </c>
      <c r="M784" s="454">
        <f t="shared" si="178"/>
        <v>3.1376377747007393</v>
      </c>
      <c r="N784" s="454">
        <f t="shared" si="179"/>
        <v>-1.5488891493123713E-2</v>
      </c>
      <c r="O784" s="454">
        <f t="shared" si="180"/>
        <v>-0.12066312902708276</v>
      </c>
    </row>
    <row r="785" spans="2:15" ht="15.6" x14ac:dyDescent="0.25">
      <c r="B785" s="451">
        <v>5</v>
      </c>
      <c r="C785" s="279" t="s">
        <v>694</v>
      </c>
      <c r="D785" s="452"/>
      <c r="E785" s="52"/>
      <c r="F785" s="454">
        <f t="shared" si="175"/>
        <v>0.62781000000000009</v>
      </c>
      <c r="G785" s="454">
        <f t="shared" si="175"/>
        <v>0</v>
      </c>
      <c r="H785" s="454">
        <f t="shared" si="175"/>
        <v>0</v>
      </c>
      <c r="I785" s="454">
        <f t="shared" ref="I785:I788" si="181">F785+G785-H785</f>
        <v>0.62781000000000009</v>
      </c>
      <c r="J785" s="454">
        <f t="shared" si="177"/>
        <v>0.49048168373299977</v>
      </c>
      <c r="K785" s="454">
        <f t="shared" si="177"/>
        <v>1.4615513867000286E-2</v>
      </c>
      <c r="L785" s="454">
        <f t="shared" si="177"/>
        <v>0</v>
      </c>
      <c r="M785" s="454">
        <f t="shared" si="178"/>
        <v>0.50509719760000005</v>
      </c>
      <c r="N785" s="454">
        <f t="shared" si="179"/>
        <v>0.13732831626700032</v>
      </c>
      <c r="O785" s="454">
        <f t="shared" si="180"/>
        <v>0.12271280240000004</v>
      </c>
    </row>
    <row r="786" spans="2:15" ht="15.6" x14ac:dyDescent="0.25">
      <c r="B786" s="451">
        <v>6</v>
      </c>
      <c r="C786" s="279" t="s">
        <v>538</v>
      </c>
      <c r="D786" s="452"/>
      <c r="E786" s="52"/>
      <c r="F786" s="454">
        <f t="shared" si="175"/>
        <v>0.27250999999999997</v>
      </c>
      <c r="G786" s="454">
        <f t="shared" si="175"/>
        <v>0</v>
      </c>
      <c r="H786" s="454">
        <f t="shared" si="175"/>
        <v>0</v>
      </c>
      <c r="I786" s="454">
        <f t="shared" si="181"/>
        <v>0.27250999999999997</v>
      </c>
      <c r="J786" s="454">
        <f t="shared" si="177"/>
        <v>0.24513726043000006</v>
      </c>
      <c r="K786" s="454">
        <f t="shared" si="177"/>
        <v>0</v>
      </c>
      <c r="L786" s="454">
        <f t="shared" si="177"/>
        <v>0</v>
      </c>
      <c r="M786" s="454">
        <f t="shared" si="178"/>
        <v>0.24513726043000006</v>
      </c>
      <c r="N786" s="454">
        <f t="shared" si="179"/>
        <v>2.7372739569999915E-2</v>
      </c>
      <c r="O786" s="454">
        <f t="shared" si="180"/>
        <v>2.7372739569999915E-2</v>
      </c>
    </row>
    <row r="787" spans="2:15" ht="15.6" x14ac:dyDescent="0.25">
      <c r="B787" s="451">
        <v>7</v>
      </c>
      <c r="C787" s="279" t="s">
        <v>695</v>
      </c>
      <c r="D787" s="452"/>
      <c r="E787" s="52"/>
      <c r="F787" s="454">
        <f t="shared" si="175"/>
        <v>14.460633391238188</v>
      </c>
      <c r="G787" s="454">
        <f t="shared" si="175"/>
        <v>4.5265642931576009</v>
      </c>
      <c r="H787" s="454">
        <f t="shared" si="175"/>
        <v>0</v>
      </c>
      <c r="I787" s="454">
        <f t="shared" si="181"/>
        <v>18.987197684395788</v>
      </c>
      <c r="J787" s="454">
        <f t="shared" si="177"/>
        <v>6.3527200000000006</v>
      </c>
      <c r="K787" s="454">
        <f t="shared" si="177"/>
        <v>0</v>
      </c>
      <c r="L787" s="454">
        <f t="shared" si="177"/>
        <v>0</v>
      </c>
      <c r="M787" s="454">
        <f t="shared" si="178"/>
        <v>6.3527200000000006</v>
      </c>
      <c r="N787" s="454">
        <f t="shared" si="179"/>
        <v>8.1079133912381884</v>
      </c>
      <c r="O787" s="454">
        <f t="shared" si="180"/>
        <v>12.634477684395787</v>
      </c>
    </row>
    <row r="788" spans="2:15" ht="15.6" x14ac:dyDescent="0.25">
      <c r="B788" s="451">
        <v>8</v>
      </c>
      <c r="C788" s="279" t="s">
        <v>696</v>
      </c>
      <c r="D788" s="452"/>
      <c r="E788" s="52"/>
      <c r="F788" s="454">
        <f t="shared" si="175"/>
        <v>3.4928000000000008</v>
      </c>
      <c r="G788" s="454">
        <f t="shared" si="175"/>
        <v>0</v>
      </c>
      <c r="H788" s="454">
        <f t="shared" si="175"/>
        <v>0</v>
      </c>
      <c r="I788" s="454">
        <f t="shared" si="181"/>
        <v>3.4928000000000008</v>
      </c>
      <c r="J788" s="454">
        <f t="shared" si="177"/>
        <v>3.9250743170028635</v>
      </c>
      <c r="K788" s="454">
        <f t="shared" si="177"/>
        <v>1.0370454629066566</v>
      </c>
      <c r="L788" s="454">
        <f t="shared" si="177"/>
        <v>0</v>
      </c>
      <c r="M788" s="454">
        <f t="shared" si="178"/>
        <v>4.9621197799095196</v>
      </c>
      <c r="N788" s="454">
        <f t="shared" si="179"/>
        <v>-0.43227431700286267</v>
      </c>
      <c r="O788" s="454">
        <f t="shared" si="180"/>
        <v>-1.4693197799095188</v>
      </c>
    </row>
    <row r="789" spans="2:15" hidden="1" x14ac:dyDescent="0.25">
      <c r="B789" s="451"/>
      <c r="C789" s="457"/>
      <c r="D789" s="452"/>
      <c r="E789" s="52"/>
      <c r="F789" s="454"/>
      <c r="G789" s="454"/>
      <c r="H789" s="454"/>
      <c r="I789" s="454"/>
      <c r="J789" s="454"/>
      <c r="K789" s="454"/>
      <c r="L789" s="454"/>
      <c r="M789" s="454"/>
      <c r="N789" s="454"/>
      <c r="O789" s="454"/>
    </row>
    <row r="790" spans="2:15" hidden="1" x14ac:dyDescent="0.25">
      <c r="B790" s="451"/>
      <c r="C790" s="458"/>
      <c r="D790" s="452"/>
      <c r="E790" s="52"/>
      <c r="F790" s="454"/>
      <c r="G790" s="454"/>
      <c r="H790" s="454"/>
      <c r="I790" s="454"/>
      <c r="J790" s="454"/>
      <c r="K790" s="454"/>
      <c r="L790" s="454"/>
      <c r="M790" s="454"/>
      <c r="N790" s="454"/>
      <c r="O790" s="454"/>
    </row>
    <row r="791" spans="2:15" hidden="1" x14ac:dyDescent="0.25">
      <c r="B791" s="451"/>
      <c r="C791" s="457"/>
      <c r="D791" s="452"/>
      <c r="E791" s="52"/>
      <c r="F791" s="454"/>
      <c r="G791" s="454"/>
      <c r="H791" s="454"/>
      <c r="I791" s="454"/>
      <c r="J791" s="454"/>
      <c r="K791" s="454"/>
      <c r="L791" s="454"/>
      <c r="M791" s="454"/>
      <c r="N791" s="454"/>
      <c r="O791" s="454"/>
    </row>
    <row r="792" spans="2:15" hidden="1" x14ac:dyDescent="0.25">
      <c r="B792" s="451"/>
      <c r="C792" s="457"/>
      <c r="D792" s="452"/>
      <c r="E792" s="52"/>
      <c r="F792" s="454"/>
      <c r="G792" s="454"/>
      <c r="H792" s="454"/>
      <c r="I792" s="454"/>
      <c r="J792" s="454"/>
      <c r="K792" s="454"/>
      <c r="L792" s="454"/>
      <c r="M792" s="454"/>
      <c r="N792" s="454"/>
      <c r="O792" s="454"/>
    </row>
    <row r="793" spans="2:15" hidden="1" x14ac:dyDescent="0.25">
      <c r="B793" s="451"/>
      <c r="C793" s="457"/>
      <c r="D793" s="452"/>
      <c r="E793" s="52"/>
      <c r="F793" s="454"/>
      <c r="G793" s="454"/>
      <c r="H793" s="454"/>
      <c r="I793" s="454"/>
      <c r="J793" s="454"/>
      <c r="K793" s="454"/>
      <c r="L793" s="454"/>
      <c r="M793" s="454"/>
      <c r="N793" s="454"/>
      <c r="O793" s="454"/>
    </row>
    <row r="794" spans="2:15" hidden="1" x14ac:dyDescent="0.25">
      <c r="B794" s="451"/>
      <c r="C794" s="457"/>
      <c r="D794" s="452"/>
      <c r="E794" s="52"/>
      <c r="F794" s="454"/>
      <c r="G794" s="454"/>
      <c r="H794" s="454"/>
      <c r="I794" s="454"/>
      <c r="J794" s="454"/>
      <c r="K794" s="454"/>
      <c r="L794" s="454"/>
      <c r="M794" s="454"/>
      <c r="N794" s="454"/>
      <c r="O794" s="454"/>
    </row>
    <row r="795" spans="2:15" hidden="1" x14ac:dyDescent="0.25">
      <c r="B795" s="451"/>
      <c r="C795" s="458"/>
      <c r="D795" s="452"/>
      <c r="E795" s="52"/>
      <c r="F795" s="454"/>
      <c r="G795" s="454"/>
      <c r="H795" s="454"/>
      <c r="I795" s="454"/>
      <c r="J795" s="454"/>
      <c r="K795" s="454"/>
      <c r="L795" s="454"/>
      <c r="M795" s="454"/>
      <c r="N795" s="454"/>
      <c r="O795" s="454"/>
    </row>
    <row r="796" spans="2:15" hidden="1" x14ac:dyDescent="0.25">
      <c r="B796" s="451"/>
      <c r="C796" s="458"/>
      <c r="D796" s="452"/>
      <c r="E796" s="52"/>
      <c r="F796" s="454"/>
      <c r="G796" s="454"/>
      <c r="H796" s="454"/>
      <c r="I796" s="454"/>
      <c r="J796" s="454"/>
      <c r="K796" s="454"/>
      <c r="L796" s="454"/>
      <c r="M796" s="454"/>
      <c r="N796" s="454"/>
      <c r="O796" s="454"/>
    </row>
    <row r="797" spans="2:15" hidden="1" x14ac:dyDescent="0.25">
      <c r="B797" s="451"/>
      <c r="C797" s="458"/>
      <c r="D797" s="452"/>
      <c r="E797" s="52"/>
      <c r="F797" s="454"/>
      <c r="G797" s="454"/>
      <c r="H797" s="454"/>
      <c r="I797" s="454"/>
      <c r="J797" s="454"/>
      <c r="K797" s="454"/>
      <c r="L797" s="454"/>
      <c r="M797" s="454"/>
      <c r="N797" s="454"/>
      <c r="O797" s="454"/>
    </row>
    <row r="798" spans="2:15" hidden="1" x14ac:dyDescent="0.25">
      <c r="B798" s="451"/>
      <c r="C798" s="457"/>
      <c r="D798" s="452"/>
      <c r="E798" s="52"/>
      <c r="F798" s="454"/>
      <c r="G798" s="454"/>
      <c r="H798" s="454"/>
      <c r="I798" s="454"/>
      <c r="J798" s="454"/>
      <c r="K798" s="454"/>
      <c r="L798" s="454"/>
      <c r="M798" s="454"/>
      <c r="N798" s="454"/>
      <c r="O798" s="454"/>
    </row>
    <row r="799" spans="2:15" hidden="1" x14ac:dyDescent="0.25">
      <c r="B799" s="451"/>
      <c r="C799" s="457"/>
      <c r="D799" s="452"/>
      <c r="E799" s="52"/>
      <c r="F799" s="454"/>
      <c r="G799" s="454"/>
      <c r="H799" s="454"/>
      <c r="I799" s="454"/>
      <c r="J799" s="454"/>
      <c r="K799" s="454"/>
      <c r="L799" s="454"/>
      <c r="M799" s="454"/>
      <c r="N799" s="454"/>
      <c r="O799" s="454"/>
    </row>
    <row r="800" spans="2:15" hidden="1" x14ac:dyDescent="0.25">
      <c r="B800" s="459"/>
      <c r="C800" s="460"/>
      <c r="D800" s="452"/>
      <c r="E800" s="52"/>
      <c r="F800" s="454"/>
      <c r="G800" s="454"/>
      <c r="H800" s="454"/>
      <c r="I800" s="454"/>
      <c r="J800" s="454"/>
      <c r="K800" s="454"/>
      <c r="L800" s="454"/>
      <c r="M800" s="454"/>
      <c r="N800" s="454"/>
      <c r="O800" s="454"/>
    </row>
    <row r="801" spans="2:15" hidden="1" x14ac:dyDescent="0.25">
      <c r="B801" s="461"/>
      <c r="C801" s="280"/>
      <c r="D801" s="462"/>
      <c r="E801" s="52"/>
      <c r="F801" s="454"/>
      <c r="G801" s="454"/>
      <c r="H801" s="454"/>
      <c r="I801" s="454"/>
      <c r="J801" s="454"/>
      <c r="K801" s="454"/>
      <c r="L801" s="454"/>
      <c r="M801" s="454"/>
      <c r="N801" s="454"/>
      <c r="O801" s="454"/>
    </row>
    <row r="802" spans="2:15" hidden="1" x14ac:dyDescent="0.25">
      <c r="B802" s="461"/>
      <c r="C802" s="280"/>
      <c r="D802" s="462"/>
      <c r="E802" s="52"/>
      <c r="F802" s="454"/>
      <c r="G802" s="454"/>
      <c r="H802" s="454"/>
      <c r="I802" s="454"/>
      <c r="J802" s="454"/>
      <c r="K802" s="454"/>
      <c r="L802" s="454"/>
      <c r="M802" s="454"/>
      <c r="N802" s="454"/>
      <c r="O802" s="454"/>
    </row>
    <row r="803" spans="2:15" hidden="1" x14ac:dyDescent="0.25">
      <c r="B803" s="461"/>
      <c r="C803" s="280"/>
      <c r="D803" s="462"/>
      <c r="E803" s="52"/>
      <c r="F803" s="454"/>
      <c r="G803" s="454"/>
      <c r="H803" s="454"/>
      <c r="I803" s="454"/>
      <c r="J803" s="454"/>
      <c r="K803" s="454"/>
      <c r="L803" s="454"/>
      <c r="M803" s="454"/>
      <c r="N803" s="454"/>
      <c r="O803" s="454"/>
    </row>
    <row r="804" spans="2:15" hidden="1" x14ac:dyDescent="0.25">
      <c r="B804" s="461"/>
      <c r="C804" s="281"/>
      <c r="D804" s="462"/>
      <c r="E804" s="52"/>
      <c r="F804" s="454"/>
      <c r="G804" s="454"/>
      <c r="H804" s="454"/>
      <c r="I804" s="454"/>
      <c r="J804" s="454"/>
      <c r="K804" s="454"/>
      <c r="L804" s="454"/>
      <c r="M804" s="454"/>
      <c r="N804" s="454"/>
      <c r="O804" s="454"/>
    </row>
    <row r="805" spans="2:15" hidden="1" x14ac:dyDescent="0.25">
      <c r="B805" s="461"/>
      <c r="C805" s="281"/>
      <c r="D805" s="462"/>
      <c r="E805" s="52"/>
      <c r="F805" s="454"/>
      <c r="G805" s="454"/>
      <c r="H805" s="454"/>
      <c r="I805" s="454"/>
      <c r="J805" s="454"/>
      <c r="K805" s="454"/>
      <c r="L805" s="454"/>
      <c r="M805" s="454"/>
      <c r="N805" s="454"/>
      <c r="O805" s="454"/>
    </row>
    <row r="806" spans="2:15" hidden="1" x14ac:dyDescent="0.25">
      <c r="B806" s="461"/>
      <c r="C806" s="281"/>
      <c r="D806" s="462"/>
      <c r="E806" s="52"/>
      <c r="F806" s="454"/>
      <c r="G806" s="454"/>
      <c r="H806" s="454"/>
      <c r="I806" s="454"/>
      <c r="J806" s="454"/>
      <c r="K806" s="454"/>
      <c r="L806" s="454"/>
      <c r="M806" s="454"/>
      <c r="N806" s="454"/>
      <c r="O806" s="454"/>
    </row>
    <row r="807" spans="2:15" hidden="1" x14ac:dyDescent="0.25">
      <c r="B807" s="461"/>
      <c r="C807" s="281"/>
      <c r="D807" s="462"/>
      <c r="E807" s="52"/>
      <c r="F807" s="454"/>
      <c r="G807" s="454"/>
      <c r="H807" s="454"/>
      <c r="I807" s="454"/>
      <c r="J807" s="454"/>
      <c r="K807" s="454"/>
      <c r="L807" s="454"/>
      <c r="M807" s="454"/>
      <c r="N807" s="454"/>
      <c r="O807" s="454"/>
    </row>
    <row r="808" spans="2:15" hidden="1" x14ac:dyDescent="0.25">
      <c r="B808" s="461"/>
      <c r="C808" s="281"/>
      <c r="D808" s="462"/>
      <c r="E808" s="52"/>
      <c r="F808" s="454"/>
      <c r="G808" s="454"/>
      <c r="H808" s="454"/>
      <c r="I808" s="454"/>
      <c r="J808" s="454"/>
      <c r="K808" s="454"/>
      <c r="L808" s="454"/>
      <c r="M808" s="454"/>
      <c r="N808" s="454"/>
      <c r="O808" s="454"/>
    </row>
    <row r="809" spans="2:15" hidden="1" x14ac:dyDescent="0.25">
      <c r="B809" s="461"/>
      <c r="C809" s="281"/>
      <c r="D809" s="462"/>
      <c r="E809" s="52"/>
      <c r="F809" s="454"/>
      <c r="G809" s="454"/>
      <c r="H809" s="454"/>
      <c r="I809" s="454"/>
      <c r="J809" s="454"/>
      <c r="K809" s="454"/>
      <c r="L809" s="454"/>
      <c r="M809" s="454"/>
      <c r="N809" s="454"/>
      <c r="O809" s="454"/>
    </row>
    <row r="810" spans="2:15" hidden="1" x14ac:dyDescent="0.25">
      <c r="B810" s="461"/>
      <c r="C810" s="281"/>
      <c r="D810" s="462"/>
      <c r="E810" s="52"/>
      <c r="F810" s="454"/>
      <c r="G810" s="454"/>
      <c r="H810" s="454"/>
      <c r="I810" s="454"/>
      <c r="J810" s="454"/>
      <c r="K810" s="454"/>
      <c r="L810" s="454"/>
      <c r="M810" s="454"/>
      <c r="N810" s="454"/>
      <c r="O810" s="454"/>
    </row>
    <row r="811" spans="2:15" hidden="1" x14ac:dyDescent="0.25">
      <c r="B811" s="461"/>
      <c r="C811" s="280"/>
      <c r="D811" s="462"/>
      <c r="E811" s="52"/>
      <c r="F811" s="454"/>
      <c r="G811" s="454"/>
      <c r="H811" s="454"/>
      <c r="I811" s="454"/>
      <c r="J811" s="454"/>
      <c r="K811" s="454"/>
      <c r="L811" s="454"/>
      <c r="M811" s="454"/>
      <c r="N811" s="454"/>
      <c r="O811" s="454"/>
    </row>
    <row r="812" spans="2:15" hidden="1" x14ac:dyDescent="0.25">
      <c r="B812" s="461"/>
      <c r="C812" s="281"/>
      <c r="D812" s="462"/>
      <c r="E812" s="52"/>
      <c r="F812" s="454"/>
      <c r="G812" s="454"/>
      <c r="H812" s="454"/>
      <c r="I812" s="454"/>
      <c r="J812" s="454"/>
      <c r="K812" s="454"/>
      <c r="L812" s="454"/>
      <c r="M812" s="454"/>
      <c r="N812" s="454"/>
      <c r="O812" s="454"/>
    </row>
    <row r="813" spans="2:15" hidden="1" x14ac:dyDescent="0.25">
      <c r="B813" s="461"/>
      <c r="C813" s="281"/>
      <c r="D813" s="462"/>
      <c r="E813" s="52"/>
      <c r="F813" s="454"/>
      <c r="G813" s="454"/>
      <c r="H813" s="454"/>
      <c r="I813" s="454"/>
      <c r="J813" s="454"/>
      <c r="K813" s="454"/>
      <c r="L813" s="454"/>
      <c r="M813" s="454"/>
      <c r="N813" s="454"/>
      <c r="O813" s="454"/>
    </row>
    <row r="814" spans="2:15" hidden="1" x14ac:dyDescent="0.25">
      <c r="B814" s="461"/>
      <c r="C814" s="281"/>
      <c r="D814" s="462"/>
      <c r="E814" s="52"/>
      <c r="F814" s="454"/>
      <c r="G814" s="454"/>
      <c r="H814" s="454"/>
      <c r="I814" s="454"/>
      <c r="J814" s="454"/>
      <c r="K814" s="454"/>
      <c r="L814" s="454"/>
      <c r="M814" s="454"/>
      <c r="N814" s="454"/>
      <c r="O814" s="454"/>
    </row>
    <row r="815" spans="2:15" hidden="1" x14ac:dyDescent="0.25">
      <c r="B815" s="461"/>
      <c r="C815" s="280"/>
      <c r="D815" s="462"/>
      <c r="E815" s="52"/>
      <c r="F815" s="454"/>
      <c r="G815" s="454"/>
      <c r="H815" s="454"/>
      <c r="I815" s="454"/>
      <c r="J815" s="454"/>
      <c r="K815" s="454"/>
      <c r="L815" s="454"/>
      <c r="M815" s="454"/>
      <c r="N815" s="454"/>
      <c r="O815" s="454"/>
    </row>
    <row r="816" spans="2:15" hidden="1" x14ac:dyDescent="0.25">
      <c r="B816" s="461"/>
      <c r="C816" s="280"/>
      <c r="D816" s="452"/>
      <c r="E816" s="52"/>
      <c r="F816" s="454"/>
      <c r="G816" s="454"/>
      <c r="H816" s="454"/>
      <c r="I816" s="454"/>
      <c r="J816" s="454"/>
      <c r="K816" s="454"/>
      <c r="L816" s="454"/>
      <c r="M816" s="454"/>
      <c r="N816" s="454"/>
      <c r="O816" s="454"/>
    </row>
    <row r="817" spans="2:15" hidden="1" x14ac:dyDescent="0.25">
      <c r="B817" s="461"/>
      <c r="C817" s="280"/>
      <c r="D817" s="452"/>
      <c r="E817" s="53"/>
      <c r="F817" s="454"/>
      <c r="G817" s="454"/>
      <c r="H817" s="454"/>
      <c r="I817" s="454"/>
      <c r="J817" s="454"/>
      <c r="K817" s="454"/>
      <c r="L817" s="454"/>
      <c r="M817" s="454"/>
      <c r="N817" s="454"/>
      <c r="O817" s="454"/>
    </row>
    <row r="818" spans="2:15" ht="14.4" thickBot="1" x14ac:dyDescent="0.3">
      <c r="B818" s="463"/>
      <c r="C818" s="464" t="s">
        <v>251</v>
      </c>
      <c r="D818" s="464"/>
      <c r="E818" s="465"/>
      <c r="F818" s="466">
        <f>SUM(F778:F817)</f>
        <v>1185.1401556871269</v>
      </c>
      <c r="G818" s="466">
        <f t="shared" ref="G818:O818" si="182">SUM(G778:G817)</f>
        <v>164.29486892739831</v>
      </c>
      <c r="H818" s="466">
        <f t="shared" si="182"/>
        <v>0</v>
      </c>
      <c r="I818" s="466">
        <f t="shared" si="182"/>
        <v>1349.4350246145252</v>
      </c>
      <c r="J818" s="466">
        <f t="shared" si="182"/>
        <v>572.46216959833191</v>
      </c>
      <c r="K818" s="466">
        <f t="shared" si="182"/>
        <v>45.976523851538516</v>
      </c>
      <c r="L818" s="466">
        <f t="shared" si="182"/>
        <v>0</v>
      </c>
      <c r="M818" s="466">
        <f t="shared" si="182"/>
        <v>618.43869344987024</v>
      </c>
      <c r="N818" s="466">
        <f t="shared" si="182"/>
        <v>612.67798608879525</v>
      </c>
      <c r="O818" s="466">
        <f t="shared" si="182"/>
        <v>730.99633116465498</v>
      </c>
    </row>
    <row r="820" spans="2:15" hidden="1" x14ac:dyDescent="0.25">
      <c r="B820" s="858" t="s">
        <v>550</v>
      </c>
      <c r="C820" s="859"/>
      <c r="D820" s="859"/>
      <c r="E820" s="859"/>
      <c r="F820" s="859"/>
      <c r="G820" s="859"/>
      <c r="H820" s="859"/>
      <c r="I820" s="859"/>
      <c r="J820" s="859"/>
      <c r="K820" s="859"/>
      <c r="L820" s="859"/>
      <c r="M820" s="859"/>
      <c r="N820" s="859"/>
      <c r="O820" s="860"/>
    </row>
    <row r="821" spans="2:15" hidden="1" x14ac:dyDescent="0.25">
      <c r="B821" s="861" t="s">
        <v>474</v>
      </c>
      <c r="C821" s="863" t="s">
        <v>556</v>
      </c>
      <c r="D821" s="865" t="s">
        <v>557</v>
      </c>
      <c r="E821" s="865" t="s">
        <v>558</v>
      </c>
      <c r="F821" s="865" t="s">
        <v>559</v>
      </c>
      <c r="G821" s="865"/>
      <c r="H821" s="865"/>
      <c r="I821" s="865"/>
      <c r="J821" s="865" t="s">
        <v>560</v>
      </c>
      <c r="K821" s="865"/>
      <c r="L821" s="865"/>
      <c r="M821" s="865"/>
      <c r="N821" s="865" t="s">
        <v>561</v>
      </c>
      <c r="O821" s="867"/>
    </row>
    <row r="822" spans="2:15" ht="55.8" hidden="1" thickBot="1" x14ac:dyDescent="0.3">
      <c r="B822" s="862"/>
      <c r="C822" s="864"/>
      <c r="D822" s="866"/>
      <c r="E822" s="866"/>
      <c r="F822" s="468" t="s">
        <v>562</v>
      </c>
      <c r="G822" s="468" t="s">
        <v>563</v>
      </c>
      <c r="H822" s="468" t="s">
        <v>564</v>
      </c>
      <c r="I822" s="468" t="s">
        <v>565</v>
      </c>
      <c r="J822" s="468" t="s">
        <v>566</v>
      </c>
      <c r="K822" s="468" t="s">
        <v>563</v>
      </c>
      <c r="L822" s="468" t="s">
        <v>567</v>
      </c>
      <c r="M822" s="468" t="s">
        <v>568</v>
      </c>
      <c r="N822" s="468" t="s">
        <v>562</v>
      </c>
      <c r="O822" s="469" t="s">
        <v>565</v>
      </c>
    </row>
    <row r="823" spans="2:15" ht="15.6" hidden="1" x14ac:dyDescent="0.25">
      <c r="B823" s="451">
        <v>1</v>
      </c>
      <c r="C823" s="276" t="s">
        <v>689</v>
      </c>
      <c r="D823" s="452"/>
      <c r="E823" s="453"/>
      <c r="F823" s="454">
        <f>F189*0.1</f>
        <v>3.5661789493563298</v>
      </c>
      <c r="G823" s="454">
        <f t="shared" ref="G823:H824" si="183">G189*0.1</f>
        <v>1.5287051191732086</v>
      </c>
      <c r="H823" s="454">
        <f t="shared" si="183"/>
        <v>0</v>
      </c>
      <c r="I823" s="454">
        <f>F823+G823-H823</f>
        <v>5.094884068529538</v>
      </c>
      <c r="J823" s="454">
        <f>J189*0.1</f>
        <v>3.1791081054545396E-3</v>
      </c>
      <c r="K823" s="454">
        <f t="shared" ref="K823:L823" si="184">K189*0.1</f>
        <v>1.5895540527272698E-3</v>
      </c>
      <c r="L823" s="454">
        <f t="shared" si="184"/>
        <v>0</v>
      </c>
      <c r="M823" s="454">
        <f>J823+K823-L823</f>
        <v>4.7686621581818096E-3</v>
      </c>
      <c r="N823" s="454">
        <f>F823-J823</f>
        <v>3.5629998412508752</v>
      </c>
      <c r="O823" s="454">
        <f>I823-M823</f>
        <v>5.0901154063713561</v>
      </c>
    </row>
    <row r="824" spans="2:15" ht="15.6" hidden="1" x14ac:dyDescent="0.25">
      <c r="B824" s="451">
        <v>2</v>
      </c>
      <c r="C824" s="276" t="s">
        <v>534</v>
      </c>
      <c r="D824" s="452"/>
      <c r="E824" s="453"/>
      <c r="F824" s="454">
        <f>F190*0.1</f>
        <v>39.205060041032517</v>
      </c>
      <c r="G824" s="454">
        <f t="shared" si="183"/>
        <v>2.2586685497165386</v>
      </c>
      <c r="H824" s="454">
        <f t="shared" si="183"/>
        <v>0</v>
      </c>
      <c r="I824" s="454">
        <f t="shared" ref="I824" si="185">F824+G824-H824</f>
        <v>41.463728590749056</v>
      </c>
      <c r="J824" s="454">
        <f t="shared" ref="J824:L824" si="186">J190*0.1</f>
        <v>11.094491090358703</v>
      </c>
      <c r="K824" s="454">
        <f t="shared" si="186"/>
        <v>1.0422149788716524</v>
      </c>
      <c r="L824" s="454">
        <f t="shared" si="186"/>
        <v>0</v>
      </c>
      <c r="M824" s="454">
        <f>J824+K824-L824</f>
        <v>12.136706069230355</v>
      </c>
      <c r="N824" s="454">
        <f t="shared" ref="N824" si="187">F824-J824</f>
        <v>28.110568950673816</v>
      </c>
      <c r="O824" s="454">
        <f t="shared" ref="O824" si="188">I824-M824</f>
        <v>29.3270225215187</v>
      </c>
    </row>
    <row r="825" spans="2:15" ht="15.6" hidden="1" x14ac:dyDescent="0.25">
      <c r="B825" s="470">
        <v>3</v>
      </c>
      <c r="C825" s="279" t="s">
        <v>690</v>
      </c>
      <c r="D825" s="471"/>
      <c r="E825" s="360"/>
      <c r="F825" s="472"/>
      <c r="G825" s="472"/>
      <c r="H825" s="472"/>
      <c r="I825" s="472"/>
      <c r="J825" s="472"/>
      <c r="K825" s="472"/>
      <c r="L825" s="472"/>
      <c r="M825" s="472"/>
      <c r="N825" s="472"/>
      <c r="O825" s="472"/>
    </row>
    <row r="826" spans="2:15" ht="15.6" hidden="1" x14ac:dyDescent="0.25">
      <c r="B826" s="451"/>
      <c r="C826" s="276" t="s">
        <v>691</v>
      </c>
      <c r="D826" s="452"/>
      <c r="E826" s="52"/>
      <c r="F826" s="454">
        <f t="shared" ref="F826:H833" si="189">F192*0.1</f>
        <v>616.27749562004738</v>
      </c>
      <c r="G826" s="454">
        <f t="shared" si="189"/>
        <v>78.806514492184476</v>
      </c>
      <c r="H826" s="454">
        <f t="shared" si="189"/>
        <v>0</v>
      </c>
      <c r="I826" s="454">
        <f t="shared" ref="I826:I828" si="190">F826+G826-H826</f>
        <v>695.08401011223191</v>
      </c>
      <c r="J826" s="454">
        <f t="shared" ref="J826:L833" si="191">J192*0.1</f>
        <v>298.42413932090614</v>
      </c>
      <c r="K826" s="454">
        <f t="shared" si="191"/>
        <v>27.3835143916188</v>
      </c>
      <c r="L826" s="454">
        <f t="shared" si="191"/>
        <v>0</v>
      </c>
      <c r="M826" s="454">
        <f t="shared" ref="M826:M833" si="192">J826+K826-L826</f>
        <v>325.80765371252494</v>
      </c>
      <c r="N826" s="454">
        <f t="shared" ref="N826:N833" si="193">F826-J826</f>
        <v>317.85335629914124</v>
      </c>
      <c r="O826" s="454">
        <f t="shared" ref="O826:O833" si="194">I826-M826</f>
        <v>369.27635639970697</v>
      </c>
    </row>
    <row r="827" spans="2:15" ht="15.6" hidden="1" x14ac:dyDescent="0.25">
      <c r="B827" s="451"/>
      <c r="C827" s="276" t="s">
        <v>692</v>
      </c>
      <c r="D827" s="452"/>
      <c r="E827" s="52"/>
      <c r="F827" s="454">
        <f t="shared" si="189"/>
        <v>588.48660333510668</v>
      </c>
      <c r="G827" s="454">
        <f t="shared" si="189"/>
        <v>85.603110597476245</v>
      </c>
      <c r="H827" s="454">
        <f t="shared" si="189"/>
        <v>0</v>
      </c>
      <c r="I827" s="454">
        <f t="shared" si="190"/>
        <v>674.08971393258298</v>
      </c>
      <c r="J827" s="454">
        <f t="shared" si="191"/>
        <v>242.30378334191869</v>
      </c>
      <c r="K827" s="454">
        <f t="shared" si="191"/>
        <v>19.069630273819339</v>
      </c>
      <c r="L827" s="454">
        <f t="shared" si="191"/>
        <v>0</v>
      </c>
      <c r="M827" s="454">
        <f t="shared" si="192"/>
        <v>261.373413615738</v>
      </c>
      <c r="N827" s="454">
        <f t="shared" si="193"/>
        <v>346.18281999318799</v>
      </c>
      <c r="O827" s="454">
        <f t="shared" si="194"/>
        <v>412.71630031684498</v>
      </c>
    </row>
    <row r="828" spans="2:15" ht="15.6" hidden="1" x14ac:dyDescent="0.25">
      <c r="B828" s="451"/>
      <c r="C828" s="276" t="s">
        <v>693</v>
      </c>
      <c r="D828" s="452"/>
      <c r="E828" s="52"/>
      <c r="F828" s="454">
        <f t="shared" si="189"/>
        <v>75.502394338913106</v>
      </c>
      <c r="G828" s="454">
        <f t="shared" si="189"/>
        <v>1.8882526345223913</v>
      </c>
      <c r="H828" s="454">
        <f t="shared" si="189"/>
        <v>0</v>
      </c>
      <c r="I828" s="454">
        <f t="shared" si="190"/>
        <v>77.390646973435494</v>
      </c>
      <c r="J828" s="454">
        <f t="shared" si="191"/>
        <v>51.41038857594107</v>
      </c>
      <c r="K828" s="454">
        <f t="shared" si="191"/>
        <v>3.5844085182818546</v>
      </c>
      <c r="L828" s="454">
        <f t="shared" si="191"/>
        <v>0</v>
      </c>
      <c r="M828" s="454">
        <f t="shared" si="192"/>
        <v>54.994797094222925</v>
      </c>
      <c r="N828" s="454">
        <f t="shared" si="193"/>
        <v>24.092005762972036</v>
      </c>
      <c r="O828" s="454">
        <f t="shared" si="194"/>
        <v>22.39584987921257</v>
      </c>
    </row>
    <row r="829" spans="2:15" ht="15.6" hidden="1" x14ac:dyDescent="0.25">
      <c r="B829" s="451">
        <v>4</v>
      </c>
      <c r="C829" s="279" t="s">
        <v>540</v>
      </c>
      <c r="D829" s="452"/>
      <c r="E829" s="52"/>
      <c r="F829" s="454">
        <f t="shared" si="189"/>
        <v>3.0169746456736561</v>
      </c>
      <c r="G829" s="454">
        <f t="shared" si="189"/>
        <v>0.51316332620692306</v>
      </c>
      <c r="H829" s="454">
        <f t="shared" si="189"/>
        <v>0</v>
      </c>
      <c r="I829" s="454">
        <f>F829+G829-H829</f>
        <v>3.5301379718805794</v>
      </c>
      <c r="J829" s="454">
        <f t="shared" si="191"/>
        <v>3.1376377747007393</v>
      </c>
      <c r="K829" s="454">
        <f t="shared" si="191"/>
        <v>0.39506010485142973</v>
      </c>
      <c r="L829" s="454">
        <f t="shared" si="191"/>
        <v>0</v>
      </c>
      <c r="M829" s="454">
        <f t="shared" si="192"/>
        <v>3.5326978795521691</v>
      </c>
      <c r="N829" s="454">
        <f t="shared" si="193"/>
        <v>-0.1206631290270832</v>
      </c>
      <c r="O829" s="454">
        <f t="shared" si="194"/>
        <v>-2.5599076715896452E-3</v>
      </c>
    </row>
    <row r="830" spans="2:15" ht="15.6" hidden="1" x14ac:dyDescent="0.25">
      <c r="B830" s="451">
        <v>5</v>
      </c>
      <c r="C830" s="279" t="s">
        <v>694</v>
      </c>
      <c r="D830" s="452"/>
      <c r="E830" s="52"/>
      <c r="F830" s="454">
        <f t="shared" si="189"/>
        <v>0.62781000000000009</v>
      </c>
      <c r="G830" s="454">
        <f t="shared" si="189"/>
        <v>0</v>
      </c>
      <c r="H830" s="454">
        <f t="shared" si="189"/>
        <v>0</v>
      </c>
      <c r="I830" s="454">
        <f t="shared" ref="I830:I833" si="195">F830+G830-H830</f>
        <v>0.62781000000000009</v>
      </c>
      <c r="J830" s="454">
        <f t="shared" si="191"/>
        <v>0.50509719760000005</v>
      </c>
      <c r="K830" s="454">
        <f t="shared" si="191"/>
        <v>1.3990812320999703E-2</v>
      </c>
      <c r="L830" s="454">
        <f t="shared" si="191"/>
        <v>0</v>
      </c>
      <c r="M830" s="454">
        <f t="shared" si="192"/>
        <v>0.51908800992099979</v>
      </c>
      <c r="N830" s="454">
        <f t="shared" si="193"/>
        <v>0.12271280240000004</v>
      </c>
      <c r="O830" s="454">
        <f t="shared" si="194"/>
        <v>0.1087219900790003</v>
      </c>
    </row>
    <row r="831" spans="2:15" ht="15.6" hidden="1" x14ac:dyDescent="0.25">
      <c r="B831" s="451">
        <v>6</v>
      </c>
      <c r="C831" s="279" t="s">
        <v>538</v>
      </c>
      <c r="D831" s="452"/>
      <c r="E831" s="52"/>
      <c r="F831" s="454">
        <f t="shared" si="189"/>
        <v>0.27250999999999997</v>
      </c>
      <c r="G831" s="454">
        <f t="shared" si="189"/>
        <v>0</v>
      </c>
      <c r="H831" s="454">
        <f t="shared" si="189"/>
        <v>0</v>
      </c>
      <c r="I831" s="454">
        <f t="shared" si="195"/>
        <v>0.27250999999999997</v>
      </c>
      <c r="J831" s="454">
        <f t="shared" si="191"/>
        <v>0.24513726043000006</v>
      </c>
      <c r="K831" s="454">
        <f t="shared" si="191"/>
        <v>0</v>
      </c>
      <c r="L831" s="454">
        <f t="shared" si="191"/>
        <v>0</v>
      </c>
      <c r="M831" s="454">
        <f t="shared" si="192"/>
        <v>0.24513726043000006</v>
      </c>
      <c r="N831" s="454">
        <f t="shared" si="193"/>
        <v>2.7372739569999915E-2</v>
      </c>
      <c r="O831" s="454">
        <f t="shared" si="194"/>
        <v>2.7372739569999915E-2</v>
      </c>
    </row>
    <row r="832" spans="2:15" ht="15.6" hidden="1" x14ac:dyDescent="0.25">
      <c r="B832" s="451">
        <v>7</v>
      </c>
      <c r="C832" s="279" t="s">
        <v>695</v>
      </c>
      <c r="D832" s="452"/>
      <c r="E832" s="52"/>
      <c r="F832" s="454">
        <f t="shared" si="189"/>
        <v>18.987197684395792</v>
      </c>
      <c r="G832" s="454">
        <f t="shared" si="189"/>
        <v>4.8334035608968016</v>
      </c>
      <c r="H832" s="454">
        <f t="shared" si="189"/>
        <v>0</v>
      </c>
      <c r="I832" s="454">
        <f t="shared" si="195"/>
        <v>23.820601245292593</v>
      </c>
      <c r="J832" s="454">
        <f t="shared" si="191"/>
        <v>6.3527200000000006</v>
      </c>
      <c r="K832" s="454">
        <f t="shared" si="191"/>
        <v>0</v>
      </c>
      <c r="L832" s="454">
        <f t="shared" si="191"/>
        <v>0</v>
      </c>
      <c r="M832" s="454">
        <f t="shared" si="192"/>
        <v>6.3527200000000006</v>
      </c>
      <c r="N832" s="454">
        <f t="shared" si="193"/>
        <v>12.63447768439579</v>
      </c>
      <c r="O832" s="454">
        <f t="shared" si="194"/>
        <v>17.467881245292592</v>
      </c>
    </row>
    <row r="833" spans="2:15" ht="15.6" hidden="1" x14ac:dyDescent="0.25">
      <c r="B833" s="451">
        <v>8</v>
      </c>
      <c r="C833" s="279" t="s">
        <v>696</v>
      </c>
      <c r="D833" s="452"/>
      <c r="E833" s="52"/>
      <c r="F833" s="454">
        <f t="shared" si="189"/>
        <v>3.4928000000000008</v>
      </c>
      <c r="G833" s="454">
        <f t="shared" si="189"/>
        <v>0</v>
      </c>
      <c r="H833" s="454">
        <f t="shared" si="189"/>
        <v>0</v>
      </c>
      <c r="I833" s="454">
        <f t="shared" si="195"/>
        <v>3.4928000000000008</v>
      </c>
      <c r="J833" s="454">
        <f t="shared" si="191"/>
        <v>4.9621197799095205</v>
      </c>
      <c r="K833" s="454">
        <f t="shared" si="191"/>
        <v>1.7431315204807352</v>
      </c>
      <c r="L833" s="454">
        <f t="shared" si="191"/>
        <v>0</v>
      </c>
      <c r="M833" s="454">
        <f t="shared" si="192"/>
        <v>6.7052513003902554</v>
      </c>
      <c r="N833" s="454">
        <f t="shared" si="193"/>
        <v>-1.4693197799095197</v>
      </c>
      <c r="O833" s="454">
        <f t="shared" si="194"/>
        <v>-3.2124513003902546</v>
      </c>
    </row>
    <row r="834" spans="2:15" hidden="1" x14ac:dyDescent="0.25">
      <c r="B834" s="451"/>
      <c r="C834" s="457"/>
      <c r="D834" s="452"/>
      <c r="E834" s="52"/>
      <c r="F834" s="454"/>
      <c r="G834" s="454"/>
      <c r="H834" s="454"/>
      <c r="I834" s="454"/>
      <c r="J834" s="454"/>
      <c r="K834" s="454"/>
      <c r="L834" s="454"/>
      <c r="M834" s="454"/>
      <c r="N834" s="454"/>
      <c r="O834" s="454"/>
    </row>
    <row r="835" spans="2:15" hidden="1" x14ac:dyDescent="0.25">
      <c r="B835" s="451"/>
      <c r="C835" s="458"/>
      <c r="D835" s="452"/>
      <c r="E835" s="52"/>
      <c r="F835" s="454"/>
      <c r="G835" s="454"/>
      <c r="H835" s="454"/>
      <c r="I835" s="454"/>
      <c r="J835" s="454"/>
      <c r="K835" s="454"/>
      <c r="L835" s="454"/>
      <c r="M835" s="454"/>
      <c r="N835" s="454"/>
      <c r="O835" s="454"/>
    </row>
    <row r="836" spans="2:15" hidden="1" x14ac:dyDescent="0.25">
      <c r="B836" s="451"/>
      <c r="C836" s="457"/>
      <c r="D836" s="452"/>
      <c r="E836" s="52"/>
      <c r="F836" s="454"/>
      <c r="G836" s="454"/>
      <c r="H836" s="454"/>
      <c r="I836" s="454"/>
      <c r="J836" s="454"/>
      <c r="K836" s="454"/>
      <c r="L836" s="454"/>
      <c r="M836" s="454"/>
      <c r="N836" s="454"/>
      <c r="O836" s="454"/>
    </row>
    <row r="837" spans="2:15" hidden="1" x14ac:dyDescent="0.25">
      <c r="B837" s="451"/>
      <c r="C837" s="457"/>
      <c r="D837" s="452"/>
      <c r="E837" s="52"/>
      <c r="F837" s="454"/>
      <c r="G837" s="454"/>
      <c r="H837" s="454"/>
      <c r="I837" s="454"/>
      <c r="J837" s="454"/>
      <c r="K837" s="454"/>
      <c r="L837" s="454"/>
      <c r="M837" s="454"/>
      <c r="N837" s="454"/>
      <c r="O837" s="454"/>
    </row>
    <row r="838" spans="2:15" hidden="1" x14ac:dyDescent="0.25">
      <c r="B838" s="451"/>
      <c r="C838" s="457"/>
      <c r="D838" s="452"/>
      <c r="E838" s="52"/>
      <c r="F838" s="454"/>
      <c r="G838" s="454"/>
      <c r="H838" s="454"/>
      <c r="I838" s="454"/>
      <c r="J838" s="454"/>
      <c r="K838" s="454"/>
      <c r="L838" s="454"/>
      <c r="M838" s="454"/>
      <c r="N838" s="454"/>
      <c r="O838" s="454"/>
    </row>
    <row r="839" spans="2:15" hidden="1" x14ac:dyDescent="0.25">
      <c r="B839" s="451"/>
      <c r="C839" s="457"/>
      <c r="D839" s="452"/>
      <c r="E839" s="52"/>
      <c r="F839" s="454"/>
      <c r="G839" s="454"/>
      <c r="H839" s="454"/>
      <c r="I839" s="454"/>
      <c r="J839" s="454"/>
      <c r="K839" s="454"/>
      <c r="L839" s="454"/>
      <c r="M839" s="454"/>
      <c r="N839" s="454"/>
      <c r="O839" s="454"/>
    </row>
    <row r="840" spans="2:15" hidden="1" x14ac:dyDescent="0.25">
      <c r="B840" s="451"/>
      <c r="C840" s="458"/>
      <c r="D840" s="452"/>
      <c r="E840" s="52"/>
      <c r="F840" s="454"/>
      <c r="G840" s="454"/>
      <c r="H840" s="454"/>
      <c r="I840" s="454"/>
      <c r="J840" s="454"/>
      <c r="K840" s="454"/>
      <c r="L840" s="454"/>
      <c r="M840" s="454"/>
      <c r="N840" s="454"/>
      <c r="O840" s="454"/>
    </row>
    <row r="841" spans="2:15" hidden="1" x14ac:dyDescent="0.25">
      <c r="B841" s="451"/>
      <c r="C841" s="458"/>
      <c r="D841" s="452"/>
      <c r="E841" s="52"/>
      <c r="F841" s="454"/>
      <c r="G841" s="454"/>
      <c r="H841" s="454"/>
      <c r="I841" s="454"/>
      <c r="J841" s="454"/>
      <c r="K841" s="454"/>
      <c r="L841" s="454"/>
      <c r="M841" s="454"/>
      <c r="N841" s="454"/>
      <c r="O841" s="454"/>
    </row>
    <row r="842" spans="2:15" hidden="1" x14ac:dyDescent="0.25">
      <c r="B842" s="451"/>
      <c r="C842" s="458"/>
      <c r="D842" s="452"/>
      <c r="E842" s="52"/>
      <c r="F842" s="454"/>
      <c r="G842" s="454"/>
      <c r="H842" s="454"/>
      <c r="I842" s="454"/>
      <c r="J842" s="454"/>
      <c r="K842" s="454"/>
      <c r="L842" s="454"/>
      <c r="M842" s="454"/>
      <c r="N842" s="454"/>
      <c r="O842" s="454"/>
    </row>
    <row r="843" spans="2:15" hidden="1" x14ac:dyDescent="0.25">
      <c r="B843" s="451"/>
      <c r="C843" s="457"/>
      <c r="D843" s="452"/>
      <c r="E843" s="52"/>
      <c r="F843" s="454"/>
      <c r="G843" s="454"/>
      <c r="H843" s="454"/>
      <c r="I843" s="454"/>
      <c r="J843" s="454"/>
      <c r="K843" s="454"/>
      <c r="L843" s="454"/>
      <c r="M843" s="454"/>
      <c r="N843" s="454"/>
      <c r="O843" s="454"/>
    </row>
    <row r="844" spans="2:15" hidden="1" x14ac:dyDescent="0.25">
      <c r="B844" s="451"/>
      <c r="C844" s="457"/>
      <c r="D844" s="452"/>
      <c r="E844" s="52"/>
      <c r="F844" s="454"/>
      <c r="G844" s="454"/>
      <c r="H844" s="454"/>
      <c r="I844" s="454"/>
      <c r="J844" s="454"/>
      <c r="K844" s="454"/>
      <c r="L844" s="454"/>
      <c r="M844" s="454"/>
      <c r="N844" s="454"/>
      <c r="O844" s="454"/>
    </row>
    <row r="845" spans="2:15" hidden="1" x14ac:dyDescent="0.25">
      <c r="B845" s="459"/>
      <c r="C845" s="460"/>
      <c r="D845" s="452"/>
      <c r="E845" s="52"/>
      <c r="F845" s="454"/>
      <c r="G845" s="454"/>
      <c r="H845" s="454"/>
      <c r="I845" s="454"/>
      <c r="J845" s="454"/>
      <c r="K845" s="454"/>
      <c r="L845" s="454"/>
      <c r="M845" s="454"/>
      <c r="N845" s="454"/>
      <c r="O845" s="454"/>
    </row>
    <row r="846" spans="2:15" hidden="1" x14ac:dyDescent="0.25">
      <c r="B846" s="461"/>
      <c r="C846" s="280"/>
      <c r="D846" s="462"/>
      <c r="E846" s="52"/>
      <c r="F846" s="454"/>
      <c r="G846" s="454"/>
      <c r="H846" s="454"/>
      <c r="I846" s="454"/>
      <c r="J846" s="454"/>
      <c r="K846" s="454"/>
      <c r="L846" s="454"/>
      <c r="M846" s="454"/>
      <c r="N846" s="454"/>
      <c r="O846" s="454"/>
    </row>
    <row r="847" spans="2:15" hidden="1" x14ac:dyDescent="0.25">
      <c r="B847" s="461"/>
      <c r="C847" s="280"/>
      <c r="D847" s="462"/>
      <c r="E847" s="52"/>
      <c r="F847" s="454"/>
      <c r="G847" s="454"/>
      <c r="H847" s="454"/>
      <c r="I847" s="454"/>
      <c r="J847" s="454"/>
      <c r="K847" s="454"/>
      <c r="L847" s="454"/>
      <c r="M847" s="454"/>
      <c r="N847" s="454"/>
      <c r="O847" s="454"/>
    </row>
    <row r="848" spans="2:15" hidden="1" x14ac:dyDescent="0.25">
      <c r="B848" s="461"/>
      <c r="C848" s="280"/>
      <c r="D848" s="462"/>
      <c r="E848" s="52"/>
      <c r="F848" s="454"/>
      <c r="G848" s="454"/>
      <c r="H848" s="454"/>
      <c r="I848" s="454"/>
      <c r="J848" s="454"/>
      <c r="K848" s="454"/>
      <c r="L848" s="454"/>
      <c r="M848" s="454"/>
      <c r="N848" s="454"/>
      <c r="O848" s="454"/>
    </row>
    <row r="849" spans="2:15" hidden="1" x14ac:dyDescent="0.25">
      <c r="B849" s="461"/>
      <c r="C849" s="281"/>
      <c r="D849" s="462"/>
      <c r="E849" s="52"/>
      <c r="F849" s="454"/>
      <c r="G849" s="454"/>
      <c r="H849" s="454"/>
      <c r="I849" s="454"/>
      <c r="J849" s="454"/>
      <c r="K849" s="454"/>
      <c r="L849" s="454"/>
      <c r="M849" s="454"/>
      <c r="N849" s="454"/>
      <c r="O849" s="454"/>
    </row>
    <row r="850" spans="2:15" hidden="1" x14ac:dyDescent="0.25">
      <c r="B850" s="461"/>
      <c r="C850" s="281"/>
      <c r="D850" s="462"/>
      <c r="E850" s="52"/>
      <c r="F850" s="454"/>
      <c r="G850" s="454"/>
      <c r="H850" s="454"/>
      <c r="I850" s="454"/>
      <c r="J850" s="454"/>
      <c r="K850" s="454"/>
      <c r="L850" s="454"/>
      <c r="M850" s="454"/>
      <c r="N850" s="454"/>
      <c r="O850" s="454"/>
    </row>
    <row r="851" spans="2:15" hidden="1" x14ac:dyDescent="0.25">
      <c r="B851" s="461"/>
      <c r="C851" s="281"/>
      <c r="D851" s="462"/>
      <c r="E851" s="52"/>
      <c r="F851" s="454"/>
      <c r="G851" s="454"/>
      <c r="H851" s="454"/>
      <c r="I851" s="454"/>
      <c r="J851" s="454"/>
      <c r="K851" s="454"/>
      <c r="L851" s="454"/>
      <c r="M851" s="454"/>
      <c r="N851" s="454"/>
      <c r="O851" s="454"/>
    </row>
    <row r="852" spans="2:15" hidden="1" x14ac:dyDescent="0.25">
      <c r="B852" s="461"/>
      <c r="C852" s="281"/>
      <c r="D852" s="462"/>
      <c r="E852" s="52"/>
      <c r="F852" s="454"/>
      <c r="G852" s="454"/>
      <c r="H852" s="454"/>
      <c r="I852" s="454"/>
      <c r="J852" s="454"/>
      <c r="K852" s="454"/>
      <c r="L852" s="454"/>
      <c r="M852" s="454"/>
      <c r="N852" s="454"/>
      <c r="O852" s="454"/>
    </row>
    <row r="853" spans="2:15" hidden="1" x14ac:dyDescent="0.25">
      <c r="B853" s="461"/>
      <c r="C853" s="281"/>
      <c r="D853" s="462"/>
      <c r="E853" s="52"/>
      <c r="F853" s="454"/>
      <c r="G853" s="454"/>
      <c r="H853" s="454"/>
      <c r="I853" s="454"/>
      <c r="J853" s="454"/>
      <c r="K853" s="454"/>
      <c r="L853" s="454"/>
      <c r="M853" s="454"/>
      <c r="N853" s="454"/>
      <c r="O853" s="454"/>
    </row>
    <row r="854" spans="2:15" hidden="1" x14ac:dyDescent="0.25">
      <c r="B854" s="461"/>
      <c r="C854" s="281"/>
      <c r="D854" s="462"/>
      <c r="E854" s="52"/>
      <c r="F854" s="454"/>
      <c r="G854" s="454"/>
      <c r="H854" s="454"/>
      <c r="I854" s="454"/>
      <c r="J854" s="454"/>
      <c r="K854" s="454"/>
      <c r="L854" s="454"/>
      <c r="M854" s="454"/>
      <c r="N854" s="454"/>
      <c r="O854" s="454"/>
    </row>
    <row r="855" spans="2:15" hidden="1" x14ac:dyDescent="0.25">
      <c r="B855" s="461"/>
      <c r="C855" s="281"/>
      <c r="D855" s="462"/>
      <c r="E855" s="52"/>
      <c r="F855" s="454"/>
      <c r="G855" s="454"/>
      <c r="H855" s="454"/>
      <c r="I855" s="454"/>
      <c r="J855" s="454"/>
      <c r="K855" s="454"/>
      <c r="L855" s="454"/>
      <c r="M855" s="454"/>
      <c r="N855" s="454"/>
      <c r="O855" s="454"/>
    </row>
    <row r="856" spans="2:15" hidden="1" x14ac:dyDescent="0.25">
      <c r="B856" s="461"/>
      <c r="C856" s="280"/>
      <c r="D856" s="462"/>
      <c r="E856" s="52"/>
      <c r="F856" s="454"/>
      <c r="G856" s="454"/>
      <c r="H856" s="454"/>
      <c r="I856" s="454"/>
      <c r="J856" s="454"/>
      <c r="K856" s="454"/>
      <c r="L856" s="454"/>
      <c r="M856" s="454"/>
      <c r="N856" s="454"/>
      <c r="O856" s="454"/>
    </row>
    <row r="857" spans="2:15" hidden="1" x14ac:dyDescent="0.25">
      <c r="B857" s="461"/>
      <c r="C857" s="281"/>
      <c r="D857" s="462"/>
      <c r="E857" s="52"/>
      <c r="F857" s="454"/>
      <c r="G857" s="454"/>
      <c r="H857" s="454"/>
      <c r="I857" s="454"/>
      <c r="J857" s="454"/>
      <c r="K857" s="454"/>
      <c r="L857" s="454"/>
      <c r="M857" s="454"/>
      <c r="N857" s="454"/>
      <c r="O857" s="454"/>
    </row>
    <row r="858" spans="2:15" hidden="1" x14ac:dyDescent="0.25">
      <c r="B858" s="461"/>
      <c r="C858" s="281"/>
      <c r="D858" s="462"/>
      <c r="E858" s="52"/>
      <c r="F858" s="454"/>
      <c r="G858" s="454"/>
      <c r="H858" s="454"/>
      <c r="I858" s="454"/>
      <c r="J858" s="454"/>
      <c r="K858" s="454"/>
      <c r="L858" s="454"/>
      <c r="M858" s="454"/>
      <c r="N858" s="454"/>
      <c r="O858" s="454"/>
    </row>
    <row r="859" spans="2:15" hidden="1" x14ac:dyDescent="0.25">
      <c r="B859" s="461"/>
      <c r="C859" s="281"/>
      <c r="D859" s="462"/>
      <c r="E859" s="52"/>
      <c r="F859" s="454"/>
      <c r="G859" s="454"/>
      <c r="H859" s="454"/>
      <c r="I859" s="454"/>
      <c r="J859" s="454"/>
      <c r="K859" s="454"/>
      <c r="L859" s="454"/>
      <c r="M859" s="454"/>
      <c r="N859" s="454"/>
      <c r="O859" s="454"/>
    </row>
    <row r="860" spans="2:15" hidden="1" x14ac:dyDescent="0.25">
      <c r="B860" s="461"/>
      <c r="C860" s="280"/>
      <c r="D860" s="462"/>
      <c r="E860" s="52"/>
      <c r="F860" s="454"/>
      <c r="G860" s="454"/>
      <c r="H860" s="454"/>
      <c r="I860" s="454"/>
      <c r="J860" s="454"/>
      <c r="K860" s="454"/>
      <c r="L860" s="454"/>
      <c r="M860" s="454"/>
      <c r="N860" s="454"/>
      <c r="O860" s="454"/>
    </row>
    <row r="861" spans="2:15" hidden="1" x14ac:dyDescent="0.25">
      <c r="B861" s="461"/>
      <c r="C861" s="280"/>
      <c r="D861" s="452"/>
      <c r="E861" s="52"/>
      <c r="F861" s="454"/>
      <c r="G861" s="454"/>
      <c r="H861" s="454"/>
      <c r="I861" s="454"/>
      <c r="J861" s="454"/>
      <c r="K861" s="454"/>
      <c r="L861" s="454"/>
      <c r="M861" s="454"/>
      <c r="N861" s="454"/>
      <c r="O861" s="454"/>
    </row>
    <row r="862" spans="2:15" hidden="1" x14ac:dyDescent="0.25">
      <c r="B862" s="461"/>
      <c r="C862" s="280"/>
      <c r="D862" s="452"/>
      <c r="E862" s="53"/>
      <c r="F862" s="454"/>
      <c r="G862" s="454"/>
      <c r="H862" s="454"/>
      <c r="I862" s="454"/>
      <c r="J862" s="454"/>
      <c r="K862" s="454"/>
      <c r="L862" s="454"/>
      <c r="M862" s="454"/>
      <c r="N862" s="454"/>
      <c r="O862" s="454"/>
    </row>
    <row r="863" spans="2:15" ht="14.4" hidden="1" thickBot="1" x14ac:dyDescent="0.3">
      <c r="B863" s="463"/>
      <c r="C863" s="464" t="s">
        <v>251</v>
      </c>
      <c r="D863" s="464"/>
      <c r="E863" s="465"/>
      <c r="F863" s="466">
        <f>SUM(F823:F862)</f>
        <v>1349.4350246145252</v>
      </c>
      <c r="G863" s="466">
        <f t="shared" ref="G863:O863" si="196">SUM(G823:G862)</f>
        <v>175.4318182801766</v>
      </c>
      <c r="H863" s="466">
        <f t="shared" si="196"/>
        <v>0</v>
      </c>
      <c r="I863" s="466">
        <f t="shared" si="196"/>
        <v>1524.8668428947021</v>
      </c>
      <c r="J863" s="466">
        <f t="shared" si="196"/>
        <v>618.43869344987024</v>
      </c>
      <c r="K863" s="466">
        <f t="shared" si="196"/>
        <v>53.233540154297536</v>
      </c>
      <c r="L863" s="466">
        <f t="shared" si="196"/>
        <v>0</v>
      </c>
      <c r="M863" s="466">
        <f t="shared" si="196"/>
        <v>671.6722336041679</v>
      </c>
      <c r="N863" s="466">
        <f t="shared" si="196"/>
        <v>730.99633116465498</v>
      </c>
      <c r="O863" s="466">
        <f t="shared" si="196"/>
        <v>853.19460929053412</v>
      </c>
    </row>
    <row r="864" spans="2:15" hidden="1" x14ac:dyDescent="0.25"/>
    <row r="865" spans="2:15" hidden="1" x14ac:dyDescent="0.25">
      <c r="B865" s="858" t="s">
        <v>551</v>
      </c>
      <c r="C865" s="859"/>
      <c r="D865" s="859"/>
      <c r="E865" s="859"/>
      <c r="F865" s="859"/>
      <c r="G865" s="859"/>
      <c r="H865" s="859"/>
      <c r="I865" s="859"/>
      <c r="J865" s="859"/>
      <c r="K865" s="859"/>
      <c r="L865" s="859"/>
      <c r="M865" s="859"/>
      <c r="N865" s="859"/>
      <c r="O865" s="860"/>
    </row>
    <row r="866" spans="2:15" hidden="1" x14ac:dyDescent="0.25">
      <c r="B866" s="861" t="s">
        <v>474</v>
      </c>
      <c r="C866" s="863" t="s">
        <v>556</v>
      </c>
      <c r="D866" s="865" t="s">
        <v>557</v>
      </c>
      <c r="E866" s="865" t="s">
        <v>558</v>
      </c>
      <c r="F866" s="865" t="s">
        <v>559</v>
      </c>
      <c r="G866" s="865"/>
      <c r="H866" s="865"/>
      <c r="I866" s="865"/>
      <c r="J866" s="865" t="s">
        <v>560</v>
      </c>
      <c r="K866" s="865"/>
      <c r="L866" s="865"/>
      <c r="M866" s="865"/>
      <c r="N866" s="865" t="s">
        <v>561</v>
      </c>
      <c r="O866" s="867"/>
    </row>
    <row r="867" spans="2:15" ht="55.8" hidden="1" thickBot="1" x14ac:dyDescent="0.3">
      <c r="B867" s="862"/>
      <c r="C867" s="864"/>
      <c r="D867" s="866"/>
      <c r="E867" s="866"/>
      <c r="F867" s="468" t="s">
        <v>562</v>
      </c>
      <c r="G867" s="468" t="s">
        <v>563</v>
      </c>
      <c r="H867" s="468" t="s">
        <v>564</v>
      </c>
      <c r="I867" s="468" t="s">
        <v>565</v>
      </c>
      <c r="J867" s="468" t="s">
        <v>566</v>
      </c>
      <c r="K867" s="468" t="s">
        <v>563</v>
      </c>
      <c r="L867" s="468" t="s">
        <v>567</v>
      </c>
      <c r="M867" s="468" t="s">
        <v>568</v>
      </c>
      <c r="N867" s="468" t="s">
        <v>562</v>
      </c>
      <c r="O867" s="469" t="s">
        <v>565</v>
      </c>
    </row>
    <row r="868" spans="2:15" ht="15.6" hidden="1" x14ac:dyDescent="0.25">
      <c r="B868" s="451">
        <v>1</v>
      </c>
      <c r="C868" s="276" t="s">
        <v>689</v>
      </c>
      <c r="D868" s="452"/>
      <c r="E868" s="453"/>
      <c r="F868" s="454">
        <f>F234*0.1</f>
        <v>5.094884068529538</v>
      </c>
      <c r="G868" s="454">
        <f t="shared" ref="G868:H869" si="197">G234*0.1</f>
        <v>1.6563724222861056</v>
      </c>
      <c r="H868" s="454">
        <f t="shared" si="197"/>
        <v>0</v>
      </c>
      <c r="I868" s="454">
        <f>F868+G868-H868</f>
        <v>6.7512564908156438</v>
      </c>
      <c r="J868" s="454">
        <f>J234*0.1</f>
        <v>4.7686621581818096E-3</v>
      </c>
      <c r="K868" s="454">
        <f t="shared" ref="K868:L868" si="198">K234*0.1</f>
        <v>1.5895540527272726E-3</v>
      </c>
      <c r="L868" s="454">
        <f t="shared" si="198"/>
        <v>0</v>
      </c>
      <c r="M868" s="454">
        <f>J868+K868-L868</f>
        <v>6.3582162109090817E-3</v>
      </c>
      <c r="N868" s="454">
        <f>F868-J868</f>
        <v>5.0901154063713561</v>
      </c>
      <c r="O868" s="454">
        <f>I868-M868</f>
        <v>6.7448982746047346</v>
      </c>
    </row>
    <row r="869" spans="2:15" ht="15.6" hidden="1" x14ac:dyDescent="0.25">
      <c r="B869" s="451">
        <v>2</v>
      </c>
      <c r="C869" s="276" t="s">
        <v>534</v>
      </c>
      <c r="D869" s="452"/>
      <c r="E869" s="453"/>
      <c r="F869" s="454">
        <f>F235*0.1</f>
        <v>41.463728590749056</v>
      </c>
      <c r="G869" s="454">
        <f t="shared" si="197"/>
        <v>2.4472975526233816</v>
      </c>
      <c r="H869" s="454">
        <f t="shared" si="197"/>
        <v>0</v>
      </c>
      <c r="I869" s="454">
        <f t="shared" ref="I869" si="199">F869+G869-H869</f>
        <v>43.911026143372439</v>
      </c>
      <c r="J869" s="454">
        <f t="shared" ref="J869:L869" si="200">J235*0.1</f>
        <v>12.136706069230357</v>
      </c>
      <c r="K869" s="454">
        <f t="shared" si="200"/>
        <v>1.0800710371051292</v>
      </c>
      <c r="L869" s="454">
        <f t="shared" si="200"/>
        <v>0</v>
      </c>
      <c r="M869" s="454">
        <f>J869+K869-L869</f>
        <v>13.216777106335487</v>
      </c>
      <c r="N869" s="454">
        <f t="shared" ref="N869" si="201">F869-J869</f>
        <v>29.3270225215187</v>
      </c>
      <c r="O869" s="454">
        <f t="shared" ref="O869" si="202">I869-M869</f>
        <v>30.694249037036954</v>
      </c>
    </row>
    <row r="870" spans="2:15" ht="15.6" hidden="1" x14ac:dyDescent="0.25">
      <c r="B870" s="470">
        <v>3</v>
      </c>
      <c r="C870" s="279" t="s">
        <v>690</v>
      </c>
      <c r="D870" s="471"/>
      <c r="E870" s="360"/>
      <c r="F870" s="472"/>
      <c r="G870" s="472"/>
      <c r="H870" s="472"/>
      <c r="I870" s="472"/>
      <c r="J870" s="472"/>
      <c r="K870" s="472"/>
      <c r="L870" s="472"/>
      <c r="M870" s="472"/>
      <c r="N870" s="472"/>
      <c r="O870" s="472"/>
    </row>
    <row r="871" spans="2:15" ht="15.6" hidden="1" x14ac:dyDescent="0.25">
      <c r="B871" s="451"/>
      <c r="C871" s="276" t="s">
        <v>691</v>
      </c>
      <c r="D871" s="452"/>
      <c r="E871" s="52"/>
      <c r="F871" s="454">
        <f t="shared" ref="F871:H878" si="203">F237*0.1</f>
        <v>695.08401011223179</v>
      </c>
      <c r="G871" s="454">
        <f t="shared" si="203"/>
        <v>85.387911418745475</v>
      </c>
      <c r="H871" s="454">
        <f t="shared" si="203"/>
        <v>0</v>
      </c>
      <c r="I871" s="454">
        <f t="shared" ref="I871:I873" si="204">F871+G871-H871</f>
        <v>780.47192153097728</v>
      </c>
      <c r="J871" s="454">
        <f t="shared" ref="J871:L878" si="205">J237*0.1</f>
        <v>325.80765371252494</v>
      </c>
      <c r="K871" s="454">
        <f t="shared" si="205"/>
        <v>30.316802148157077</v>
      </c>
      <c r="L871" s="454">
        <f t="shared" si="205"/>
        <v>0</v>
      </c>
      <c r="M871" s="454">
        <f t="shared" ref="M871:M878" si="206">J871+K871-L871</f>
        <v>356.12445586068202</v>
      </c>
      <c r="N871" s="454">
        <f t="shared" ref="N871:N878" si="207">F871-J871</f>
        <v>369.27635639970686</v>
      </c>
      <c r="O871" s="454">
        <f t="shared" ref="O871:O878" si="208">I871-M871</f>
        <v>424.34746567029526</v>
      </c>
    </row>
    <row r="872" spans="2:15" ht="15.6" hidden="1" x14ac:dyDescent="0.25">
      <c r="B872" s="451"/>
      <c r="C872" s="276" t="s">
        <v>692</v>
      </c>
      <c r="D872" s="452"/>
      <c r="E872" s="52"/>
      <c r="F872" s="454">
        <f t="shared" si="203"/>
        <v>674.08971393258298</v>
      </c>
      <c r="G872" s="454">
        <f t="shared" si="203"/>
        <v>92.752114110963262</v>
      </c>
      <c r="H872" s="454">
        <f t="shared" si="203"/>
        <v>0</v>
      </c>
      <c r="I872" s="454">
        <f t="shared" si="204"/>
        <v>766.84182804354623</v>
      </c>
      <c r="J872" s="454">
        <f t="shared" si="205"/>
        <v>261.37341361573806</v>
      </c>
      <c r="K872" s="454">
        <f t="shared" si="205"/>
        <v>22.514214448461001</v>
      </c>
      <c r="L872" s="454">
        <f t="shared" si="205"/>
        <v>0</v>
      </c>
      <c r="M872" s="454">
        <f t="shared" si="206"/>
        <v>283.88762806419908</v>
      </c>
      <c r="N872" s="454">
        <f t="shared" si="207"/>
        <v>412.71630031684492</v>
      </c>
      <c r="O872" s="454">
        <f t="shared" si="208"/>
        <v>482.95419997934715</v>
      </c>
    </row>
    <row r="873" spans="2:15" ht="15.6" hidden="1" x14ac:dyDescent="0.25">
      <c r="B873" s="451"/>
      <c r="C873" s="276" t="s">
        <v>693</v>
      </c>
      <c r="D873" s="452"/>
      <c r="E873" s="52"/>
      <c r="F873" s="454">
        <f t="shared" si="203"/>
        <v>77.390646973435494</v>
      </c>
      <c r="G873" s="454">
        <f t="shared" si="203"/>
        <v>2.0459469592301391</v>
      </c>
      <c r="H873" s="454">
        <f t="shared" si="203"/>
        <v>0</v>
      </c>
      <c r="I873" s="454">
        <f t="shared" si="204"/>
        <v>79.43659393266563</v>
      </c>
      <c r="J873" s="454">
        <f t="shared" si="205"/>
        <v>54.994797094222918</v>
      </c>
      <c r="K873" s="454">
        <f t="shared" si="205"/>
        <v>3.3973992376914794</v>
      </c>
      <c r="L873" s="454">
        <f t="shared" si="205"/>
        <v>0</v>
      </c>
      <c r="M873" s="454">
        <f t="shared" si="206"/>
        <v>58.392196331914398</v>
      </c>
      <c r="N873" s="454">
        <f t="shared" si="207"/>
        <v>22.395849879212577</v>
      </c>
      <c r="O873" s="454">
        <f t="shared" si="208"/>
        <v>21.044397600751232</v>
      </c>
    </row>
    <row r="874" spans="2:15" ht="15.6" hidden="1" x14ac:dyDescent="0.25">
      <c r="B874" s="451">
        <v>4</v>
      </c>
      <c r="C874" s="279" t="s">
        <v>540</v>
      </c>
      <c r="D874" s="452"/>
      <c r="E874" s="52"/>
      <c r="F874" s="454">
        <f t="shared" si="203"/>
        <v>3.5301379718805794</v>
      </c>
      <c r="G874" s="454">
        <f t="shared" si="203"/>
        <v>0.55601932053283631</v>
      </c>
      <c r="H874" s="454">
        <f t="shared" si="203"/>
        <v>0</v>
      </c>
      <c r="I874" s="454">
        <f>F874+G874-H874</f>
        <v>4.0861572924134162</v>
      </c>
      <c r="J874" s="454">
        <f t="shared" si="205"/>
        <v>3.5326978795521691</v>
      </c>
      <c r="K874" s="454">
        <f t="shared" si="205"/>
        <v>0</v>
      </c>
      <c r="L874" s="454">
        <f t="shared" si="205"/>
        <v>0</v>
      </c>
      <c r="M874" s="454">
        <f t="shared" si="206"/>
        <v>3.5326978795521691</v>
      </c>
      <c r="N874" s="454">
        <f t="shared" si="207"/>
        <v>-2.5599076715896452E-3</v>
      </c>
      <c r="O874" s="454">
        <f t="shared" si="208"/>
        <v>0.55345941286124711</v>
      </c>
    </row>
    <row r="875" spans="2:15" ht="15.6" hidden="1" x14ac:dyDescent="0.25">
      <c r="B875" s="451">
        <v>5</v>
      </c>
      <c r="C875" s="279" t="s">
        <v>694</v>
      </c>
      <c r="D875" s="452"/>
      <c r="E875" s="52"/>
      <c r="F875" s="454">
        <f t="shared" si="203"/>
        <v>0.62781000000000009</v>
      </c>
      <c r="G875" s="454">
        <f t="shared" si="203"/>
        <v>0</v>
      </c>
      <c r="H875" s="454">
        <f t="shared" si="203"/>
        <v>0</v>
      </c>
      <c r="I875" s="454">
        <f t="shared" ref="I875:I878" si="209">F875+G875-H875</f>
        <v>0.62781000000000009</v>
      </c>
      <c r="J875" s="454">
        <f t="shared" si="205"/>
        <v>0.51908800992099979</v>
      </c>
      <c r="K875" s="454">
        <f t="shared" si="205"/>
        <v>1.4114734381000017E-2</v>
      </c>
      <c r="L875" s="454">
        <f t="shared" si="205"/>
        <v>0</v>
      </c>
      <c r="M875" s="454">
        <f t="shared" si="206"/>
        <v>0.53320274430199976</v>
      </c>
      <c r="N875" s="454">
        <f t="shared" si="207"/>
        <v>0.1087219900790003</v>
      </c>
      <c r="O875" s="454">
        <f t="shared" si="208"/>
        <v>9.4607255698000325E-2</v>
      </c>
    </row>
    <row r="876" spans="2:15" ht="15.6" hidden="1" x14ac:dyDescent="0.25">
      <c r="B876" s="451">
        <v>6</v>
      </c>
      <c r="C876" s="279" t="s">
        <v>538</v>
      </c>
      <c r="D876" s="452"/>
      <c r="E876" s="52"/>
      <c r="F876" s="454">
        <f t="shared" si="203"/>
        <v>0.27250999999999997</v>
      </c>
      <c r="G876" s="454">
        <f t="shared" si="203"/>
        <v>0</v>
      </c>
      <c r="H876" s="454">
        <f t="shared" si="203"/>
        <v>0</v>
      </c>
      <c r="I876" s="454">
        <f t="shared" si="209"/>
        <v>0.27250999999999997</v>
      </c>
      <c r="J876" s="454">
        <f t="shared" si="205"/>
        <v>0.24513726043000006</v>
      </c>
      <c r="K876" s="454">
        <f t="shared" si="205"/>
        <v>0</v>
      </c>
      <c r="L876" s="454">
        <f t="shared" si="205"/>
        <v>0</v>
      </c>
      <c r="M876" s="454">
        <f t="shared" si="206"/>
        <v>0.24513726043000006</v>
      </c>
      <c r="N876" s="454">
        <f t="shared" si="207"/>
        <v>2.7372739569999915E-2</v>
      </c>
      <c r="O876" s="454">
        <f t="shared" si="208"/>
        <v>2.7372739569999915E-2</v>
      </c>
    </row>
    <row r="877" spans="2:15" ht="15.6" hidden="1" x14ac:dyDescent="0.25">
      <c r="B877" s="451">
        <v>7</v>
      </c>
      <c r="C877" s="279" t="s">
        <v>695</v>
      </c>
      <c r="D877" s="452"/>
      <c r="E877" s="52"/>
      <c r="F877" s="454">
        <f t="shared" si="203"/>
        <v>23.820601245292593</v>
      </c>
      <c r="G877" s="454">
        <f t="shared" si="203"/>
        <v>5.2370573393375413</v>
      </c>
      <c r="H877" s="454">
        <f t="shared" si="203"/>
        <v>0</v>
      </c>
      <c r="I877" s="454">
        <f t="shared" si="209"/>
        <v>29.057658584630133</v>
      </c>
      <c r="J877" s="454">
        <f t="shared" si="205"/>
        <v>6.3527200000000006</v>
      </c>
      <c r="K877" s="454">
        <f t="shared" si="205"/>
        <v>0.38956900604473121</v>
      </c>
      <c r="L877" s="454">
        <f t="shared" si="205"/>
        <v>0</v>
      </c>
      <c r="M877" s="454">
        <f t="shared" si="206"/>
        <v>6.7422890060447322</v>
      </c>
      <c r="N877" s="454">
        <f t="shared" si="207"/>
        <v>17.467881245292592</v>
      </c>
      <c r="O877" s="454">
        <f t="shared" si="208"/>
        <v>22.3153695785854</v>
      </c>
    </row>
    <row r="878" spans="2:15" ht="15.6" hidden="1" x14ac:dyDescent="0.25">
      <c r="B878" s="451">
        <v>8</v>
      </c>
      <c r="C878" s="279" t="s">
        <v>696</v>
      </c>
      <c r="D878" s="452"/>
      <c r="E878" s="52"/>
      <c r="F878" s="454">
        <f t="shared" si="203"/>
        <v>3.4928000000000008</v>
      </c>
      <c r="G878" s="454">
        <f t="shared" si="203"/>
        <v>0</v>
      </c>
      <c r="H878" s="454">
        <f t="shared" si="203"/>
        <v>0</v>
      </c>
      <c r="I878" s="454">
        <f t="shared" si="209"/>
        <v>3.4928000000000008</v>
      </c>
      <c r="J878" s="454">
        <f t="shared" si="205"/>
        <v>6.7052513003902554</v>
      </c>
      <c r="K878" s="454">
        <f t="shared" si="205"/>
        <v>2.4799373602183103</v>
      </c>
      <c r="L878" s="454">
        <f t="shared" si="205"/>
        <v>0</v>
      </c>
      <c r="M878" s="454">
        <f t="shared" si="206"/>
        <v>9.1851886606085653</v>
      </c>
      <c r="N878" s="454">
        <f t="shared" si="207"/>
        <v>-3.2124513003902546</v>
      </c>
      <c r="O878" s="454">
        <f t="shared" si="208"/>
        <v>-5.6923886606085645</v>
      </c>
    </row>
    <row r="879" spans="2:15" hidden="1" x14ac:dyDescent="0.25">
      <c r="B879" s="451"/>
      <c r="C879" s="457"/>
      <c r="D879" s="452"/>
      <c r="E879" s="52"/>
      <c r="F879" s="454"/>
      <c r="G879" s="454"/>
      <c r="H879" s="454"/>
      <c r="I879" s="454"/>
      <c r="J879" s="454"/>
      <c r="K879" s="454"/>
      <c r="L879" s="454"/>
      <c r="M879" s="454"/>
      <c r="N879" s="454"/>
      <c r="O879" s="454"/>
    </row>
    <row r="880" spans="2:15" hidden="1" x14ac:dyDescent="0.25">
      <c r="B880" s="451"/>
      <c r="C880" s="458"/>
      <c r="D880" s="452"/>
      <c r="E880" s="52"/>
      <c r="F880" s="454"/>
      <c r="G880" s="454"/>
      <c r="H880" s="454"/>
      <c r="I880" s="454"/>
      <c r="J880" s="454"/>
      <c r="K880" s="454"/>
      <c r="L880" s="454"/>
      <c r="M880" s="454"/>
      <c r="N880" s="454"/>
      <c r="O880" s="454"/>
    </row>
    <row r="881" spans="2:15" hidden="1" x14ac:dyDescent="0.25">
      <c r="B881" s="451"/>
      <c r="C881" s="457"/>
      <c r="D881" s="452"/>
      <c r="E881" s="52"/>
      <c r="F881" s="454"/>
      <c r="G881" s="454"/>
      <c r="H881" s="454"/>
      <c r="I881" s="454"/>
      <c r="J881" s="454"/>
      <c r="K881" s="454"/>
      <c r="L881" s="454"/>
      <c r="M881" s="454"/>
      <c r="N881" s="454"/>
      <c r="O881" s="454"/>
    </row>
    <row r="882" spans="2:15" hidden="1" x14ac:dyDescent="0.25">
      <c r="B882" s="451"/>
      <c r="C882" s="457"/>
      <c r="D882" s="452"/>
      <c r="E882" s="52"/>
      <c r="F882" s="454"/>
      <c r="G882" s="454"/>
      <c r="H882" s="454"/>
      <c r="I882" s="454"/>
      <c r="J882" s="454"/>
      <c r="K882" s="454"/>
      <c r="L882" s="454"/>
      <c r="M882" s="454"/>
      <c r="N882" s="454"/>
      <c r="O882" s="454"/>
    </row>
    <row r="883" spans="2:15" hidden="1" x14ac:dyDescent="0.25">
      <c r="B883" s="451"/>
      <c r="C883" s="457"/>
      <c r="D883" s="452"/>
      <c r="E883" s="52"/>
      <c r="F883" s="454"/>
      <c r="G883" s="454"/>
      <c r="H883" s="454"/>
      <c r="I883" s="454"/>
      <c r="J883" s="454"/>
      <c r="K883" s="454"/>
      <c r="L883" s="454"/>
      <c r="M883" s="454"/>
      <c r="N883" s="454"/>
      <c r="O883" s="454"/>
    </row>
    <row r="884" spans="2:15" hidden="1" x14ac:dyDescent="0.25">
      <c r="B884" s="451"/>
      <c r="C884" s="457"/>
      <c r="D884" s="452"/>
      <c r="E884" s="52"/>
      <c r="F884" s="454"/>
      <c r="G884" s="454"/>
      <c r="H884" s="454"/>
      <c r="I884" s="454"/>
      <c r="J884" s="454"/>
      <c r="K884" s="454"/>
      <c r="L884" s="454"/>
      <c r="M884" s="454"/>
      <c r="N884" s="454"/>
      <c r="O884" s="454"/>
    </row>
    <row r="885" spans="2:15" hidden="1" x14ac:dyDescent="0.25">
      <c r="B885" s="451"/>
      <c r="C885" s="458"/>
      <c r="D885" s="452"/>
      <c r="E885" s="52"/>
      <c r="F885" s="454"/>
      <c r="G885" s="454"/>
      <c r="H885" s="454"/>
      <c r="I885" s="454"/>
      <c r="J885" s="454"/>
      <c r="K885" s="454"/>
      <c r="L885" s="454"/>
      <c r="M885" s="454"/>
      <c r="N885" s="454"/>
      <c r="O885" s="454"/>
    </row>
    <row r="886" spans="2:15" hidden="1" x14ac:dyDescent="0.25">
      <c r="B886" s="451"/>
      <c r="C886" s="458"/>
      <c r="D886" s="452"/>
      <c r="E886" s="52"/>
      <c r="F886" s="454"/>
      <c r="G886" s="454"/>
      <c r="H886" s="454"/>
      <c r="I886" s="454"/>
      <c r="J886" s="454"/>
      <c r="K886" s="454"/>
      <c r="L886" s="454"/>
      <c r="M886" s="454"/>
      <c r="N886" s="454"/>
      <c r="O886" s="454"/>
    </row>
    <row r="887" spans="2:15" hidden="1" x14ac:dyDescent="0.25">
      <c r="B887" s="451"/>
      <c r="C887" s="458"/>
      <c r="D887" s="452"/>
      <c r="E887" s="52"/>
      <c r="F887" s="454"/>
      <c r="G887" s="454"/>
      <c r="H887" s="454"/>
      <c r="I887" s="454"/>
      <c r="J887" s="454"/>
      <c r="K887" s="454"/>
      <c r="L887" s="454"/>
      <c r="M887" s="454"/>
      <c r="N887" s="454"/>
      <c r="O887" s="454"/>
    </row>
    <row r="888" spans="2:15" hidden="1" x14ac:dyDescent="0.25">
      <c r="B888" s="451"/>
      <c r="C888" s="457"/>
      <c r="D888" s="452"/>
      <c r="E888" s="52"/>
      <c r="F888" s="454"/>
      <c r="G888" s="454"/>
      <c r="H888" s="454"/>
      <c r="I888" s="454"/>
      <c r="J888" s="454"/>
      <c r="K888" s="454"/>
      <c r="L888" s="454"/>
      <c r="M888" s="454"/>
      <c r="N888" s="454"/>
      <c r="O888" s="454"/>
    </row>
    <row r="889" spans="2:15" hidden="1" x14ac:dyDescent="0.25">
      <c r="B889" s="451"/>
      <c r="C889" s="457"/>
      <c r="D889" s="452"/>
      <c r="E889" s="52"/>
      <c r="F889" s="454"/>
      <c r="G889" s="454"/>
      <c r="H889" s="454"/>
      <c r="I889" s="454"/>
      <c r="J889" s="454"/>
      <c r="K889" s="454"/>
      <c r="L889" s="454"/>
      <c r="M889" s="454"/>
      <c r="N889" s="454"/>
      <c r="O889" s="454"/>
    </row>
    <row r="890" spans="2:15" hidden="1" x14ac:dyDescent="0.25">
      <c r="B890" s="459"/>
      <c r="C890" s="460"/>
      <c r="D890" s="452"/>
      <c r="E890" s="52"/>
      <c r="F890" s="454"/>
      <c r="G890" s="454"/>
      <c r="H890" s="454"/>
      <c r="I890" s="454"/>
      <c r="J890" s="454"/>
      <c r="K890" s="454"/>
      <c r="L890" s="454"/>
      <c r="M890" s="454"/>
      <c r="N890" s="454"/>
      <c r="O890" s="454"/>
    </row>
    <row r="891" spans="2:15" hidden="1" x14ac:dyDescent="0.25">
      <c r="B891" s="461"/>
      <c r="C891" s="280"/>
      <c r="D891" s="462"/>
      <c r="E891" s="52"/>
      <c r="F891" s="454"/>
      <c r="G891" s="454"/>
      <c r="H891" s="454"/>
      <c r="I891" s="454"/>
      <c r="J891" s="454"/>
      <c r="K891" s="454"/>
      <c r="L891" s="454"/>
      <c r="M891" s="454"/>
      <c r="N891" s="454"/>
      <c r="O891" s="454"/>
    </row>
    <row r="892" spans="2:15" hidden="1" x14ac:dyDescent="0.25">
      <c r="B892" s="461"/>
      <c r="C892" s="280"/>
      <c r="D892" s="462"/>
      <c r="E892" s="52"/>
      <c r="F892" s="454"/>
      <c r="G892" s="454"/>
      <c r="H892" s="454"/>
      <c r="I892" s="454"/>
      <c r="J892" s="454"/>
      <c r="K892" s="454"/>
      <c r="L892" s="454"/>
      <c r="M892" s="454"/>
      <c r="N892" s="454"/>
      <c r="O892" s="454"/>
    </row>
    <row r="893" spans="2:15" hidden="1" x14ac:dyDescent="0.25">
      <c r="B893" s="461"/>
      <c r="C893" s="280"/>
      <c r="D893" s="462"/>
      <c r="E893" s="52"/>
      <c r="F893" s="454"/>
      <c r="G893" s="454"/>
      <c r="H893" s="454"/>
      <c r="I893" s="454"/>
      <c r="J893" s="454"/>
      <c r="K893" s="454"/>
      <c r="L893" s="454"/>
      <c r="M893" s="454"/>
      <c r="N893" s="454"/>
      <c r="O893" s="454"/>
    </row>
    <row r="894" spans="2:15" hidden="1" x14ac:dyDescent="0.25">
      <c r="B894" s="461"/>
      <c r="C894" s="281"/>
      <c r="D894" s="462"/>
      <c r="E894" s="52"/>
      <c r="F894" s="454"/>
      <c r="G894" s="454"/>
      <c r="H894" s="454"/>
      <c r="I894" s="454"/>
      <c r="J894" s="454"/>
      <c r="K894" s="454"/>
      <c r="L894" s="454"/>
      <c r="M894" s="454"/>
      <c r="N894" s="454"/>
      <c r="O894" s="454"/>
    </row>
    <row r="895" spans="2:15" hidden="1" x14ac:dyDescent="0.25">
      <c r="B895" s="461"/>
      <c r="C895" s="281"/>
      <c r="D895" s="462"/>
      <c r="E895" s="52"/>
      <c r="F895" s="454"/>
      <c r="G895" s="454"/>
      <c r="H895" s="454"/>
      <c r="I895" s="454"/>
      <c r="J895" s="454"/>
      <c r="K895" s="454"/>
      <c r="L895" s="454"/>
      <c r="M895" s="454"/>
      <c r="N895" s="454"/>
      <c r="O895" s="454"/>
    </row>
    <row r="896" spans="2:15" hidden="1" x14ac:dyDescent="0.25">
      <c r="B896" s="461"/>
      <c r="C896" s="281"/>
      <c r="D896" s="462"/>
      <c r="E896" s="52"/>
      <c r="F896" s="454"/>
      <c r="G896" s="454"/>
      <c r="H896" s="454"/>
      <c r="I896" s="454"/>
      <c r="J896" s="454"/>
      <c r="K896" s="454"/>
      <c r="L896" s="454"/>
      <c r="M896" s="454"/>
      <c r="N896" s="454"/>
      <c r="O896" s="454"/>
    </row>
    <row r="897" spans="2:15" hidden="1" x14ac:dyDescent="0.25">
      <c r="B897" s="461"/>
      <c r="C897" s="281"/>
      <c r="D897" s="462"/>
      <c r="E897" s="52"/>
      <c r="F897" s="454"/>
      <c r="G897" s="454"/>
      <c r="H897" s="454"/>
      <c r="I897" s="454"/>
      <c r="J897" s="454"/>
      <c r="K897" s="454"/>
      <c r="L897" s="454"/>
      <c r="M897" s="454"/>
      <c r="N897" s="454"/>
      <c r="O897" s="454"/>
    </row>
    <row r="898" spans="2:15" hidden="1" x14ac:dyDescent="0.25">
      <c r="B898" s="461"/>
      <c r="C898" s="281"/>
      <c r="D898" s="462"/>
      <c r="E898" s="52"/>
      <c r="F898" s="454"/>
      <c r="G898" s="454"/>
      <c r="H898" s="454"/>
      <c r="I898" s="454"/>
      <c r="J898" s="454"/>
      <c r="K898" s="454"/>
      <c r="L898" s="454"/>
      <c r="M898" s="454"/>
      <c r="N898" s="454"/>
      <c r="O898" s="454"/>
    </row>
    <row r="899" spans="2:15" hidden="1" x14ac:dyDescent="0.25">
      <c r="B899" s="461"/>
      <c r="C899" s="281"/>
      <c r="D899" s="462"/>
      <c r="E899" s="52"/>
      <c r="F899" s="454"/>
      <c r="G899" s="454"/>
      <c r="H899" s="454"/>
      <c r="I899" s="454"/>
      <c r="J899" s="454"/>
      <c r="K899" s="454"/>
      <c r="L899" s="454"/>
      <c r="M899" s="454"/>
      <c r="N899" s="454"/>
      <c r="O899" s="454"/>
    </row>
    <row r="900" spans="2:15" hidden="1" x14ac:dyDescent="0.25">
      <c r="B900" s="461"/>
      <c r="C900" s="281"/>
      <c r="D900" s="462"/>
      <c r="E900" s="52"/>
      <c r="F900" s="454"/>
      <c r="G900" s="454"/>
      <c r="H900" s="454"/>
      <c r="I900" s="454"/>
      <c r="J900" s="454"/>
      <c r="K900" s="454"/>
      <c r="L900" s="454"/>
      <c r="M900" s="454"/>
      <c r="N900" s="454"/>
      <c r="O900" s="454"/>
    </row>
    <row r="901" spans="2:15" hidden="1" x14ac:dyDescent="0.25">
      <c r="B901" s="461"/>
      <c r="C901" s="280"/>
      <c r="D901" s="462"/>
      <c r="E901" s="52"/>
      <c r="F901" s="454"/>
      <c r="G901" s="454"/>
      <c r="H901" s="454"/>
      <c r="I901" s="454"/>
      <c r="J901" s="454"/>
      <c r="K901" s="454"/>
      <c r="L901" s="454"/>
      <c r="M901" s="454"/>
      <c r="N901" s="454"/>
      <c r="O901" s="454"/>
    </row>
    <row r="902" spans="2:15" hidden="1" x14ac:dyDescent="0.25">
      <c r="B902" s="461"/>
      <c r="C902" s="281"/>
      <c r="D902" s="462"/>
      <c r="E902" s="52"/>
      <c r="F902" s="454"/>
      <c r="G902" s="454"/>
      <c r="H902" s="454"/>
      <c r="I902" s="454"/>
      <c r="J902" s="454"/>
      <c r="K902" s="454"/>
      <c r="L902" s="454"/>
      <c r="M902" s="454"/>
      <c r="N902" s="454"/>
      <c r="O902" s="454"/>
    </row>
    <row r="903" spans="2:15" hidden="1" x14ac:dyDescent="0.25">
      <c r="B903" s="461"/>
      <c r="C903" s="281"/>
      <c r="D903" s="462"/>
      <c r="E903" s="52"/>
      <c r="F903" s="454"/>
      <c r="G903" s="454"/>
      <c r="H903" s="454"/>
      <c r="I903" s="454"/>
      <c r="J903" s="454"/>
      <c r="K903" s="454"/>
      <c r="L903" s="454"/>
      <c r="M903" s="454"/>
      <c r="N903" s="454"/>
      <c r="O903" s="454"/>
    </row>
    <row r="904" spans="2:15" hidden="1" x14ac:dyDescent="0.25">
      <c r="B904" s="461"/>
      <c r="C904" s="281"/>
      <c r="D904" s="462"/>
      <c r="E904" s="52"/>
      <c r="F904" s="454"/>
      <c r="G904" s="454"/>
      <c r="H904" s="454"/>
      <c r="I904" s="454"/>
      <c r="J904" s="454"/>
      <c r="K904" s="454"/>
      <c r="L904" s="454"/>
      <c r="M904" s="454"/>
      <c r="N904" s="454"/>
      <c r="O904" s="454"/>
    </row>
    <row r="905" spans="2:15" hidden="1" x14ac:dyDescent="0.25">
      <c r="B905" s="461"/>
      <c r="C905" s="280"/>
      <c r="D905" s="462"/>
      <c r="E905" s="52"/>
      <c r="F905" s="454"/>
      <c r="G905" s="454"/>
      <c r="H905" s="454"/>
      <c r="I905" s="454"/>
      <c r="J905" s="454"/>
      <c r="K905" s="454"/>
      <c r="L905" s="454"/>
      <c r="M905" s="454"/>
      <c r="N905" s="454"/>
      <c r="O905" s="454"/>
    </row>
    <row r="906" spans="2:15" hidden="1" x14ac:dyDescent="0.25">
      <c r="B906" s="461"/>
      <c r="C906" s="280"/>
      <c r="D906" s="452"/>
      <c r="E906" s="52"/>
      <c r="F906" s="454"/>
      <c r="G906" s="454"/>
      <c r="H906" s="454"/>
      <c r="I906" s="454"/>
      <c r="J906" s="454"/>
      <c r="K906" s="454"/>
      <c r="L906" s="454"/>
      <c r="M906" s="454"/>
      <c r="N906" s="454"/>
      <c r="O906" s="454"/>
    </row>
    <row r="907" spans="2:15" hidden="1" x14ac:dyDescent="0.25">
      <c r="B907" s="461"/>
      <c r="C907" s="280"/>
      <c r="D907" s="452"/>
      <c r="E907" s="53"/>
      <c r="F907" s="454"/>
      <c r="G907" s="454"/>
      <c r="H907" s="454"/>
      <c r="I907" s="454"/>
      <c r="J907" s="454"/>
      <c r="K907" s="454"/>
      <c r="L907" s="454"/>
      <c r="M907" s="454"/>
      <c r="N907" s="454"/>
      <c r="O907" s="454"/>
    </row>
    <row r="908" spans="2:15" ht="14.4" hidden="1" thickBot="1" x14ac:dyDescent="0.3">
      <c r="B908" s="463"/>
      <c r="C908" s="464" t="s">
        <v>251</v>
      </c>
      <c r="D908" s="464"/>
      <c r="E908" s="465"/>
      <c r="F908" s="466">
        <f>SUM(F868:F907)</f>
        <v>1524.8668428947019</v>
      </c>
      <c r="G908" s="466">
        <f t="shared" ref="G908:O908" si="210">SUM(G868:G907)</f>
        <v>190.08271912371879</v>
      </c>
      <c r="H908" s="466">
        <f t="shared" si="210"/>
        <v>0</v>
      </c>
      <c r="I908" s="466">
        <f t="shared" si="210"/>
        <v>1714.9495620184207</v>
      </c>
      <c r="J908" s="466">
        <f t="shared" si="210"/>
        <v>671.67223360416801</v>
      </c>
      <c r="K908" s="466">
        <f t="shared" si="210"/>
        <v>60.193697526111457</v>
      </c>
      <c r="L908" s="466">
        <f t="shared" si="210"/>
        <v>0</v>
      </c>
      <c r="M908" s="466">
        <f t="shared" si="210"/>
        <v>731.86593113027948</v>
      </c>
      <c r="N908" s="466">
        <f t="shared" si="210"/>
        <v>853.194609290534</v>
      </c>
      <c r="O908" s="466">
        <f t="shared" si="210"/>
        <v>983.08363088814133</v>
      </c>
    </row>
    <row r="909" spans="2:15" hidden="1" x14ac:dyDescent="0.25"/>
    <row r="910" spans="2:15" hidden="1" x14ac:dyDescent="0.25">
      <c r="B910" s="858" t="s">
        <v>552</v>
      </c>
      <c r="C910" s="859"/>
      <c r="D910" s="859"/>
      <c r="E910" s="859"/>
      <c r="F910" s="859"/>
      <c r="G910" s="859"/>
      <c r="H910" s="859"/>
      <c r="I910" s="859"/>
      <c r="J910" s="859"/>
      <c r="K910" s="859"/>
      <c r="L910" s="859"/>
      <c r="M910" s="859"/>
      <c r="N910" s="859"/>
      <c r="O910" s="860"/>
    </row>
    <row r="911" spans="2:15" hidden="1" x14ac:dyDescent="0.25">
      <c r="B911" s="861" t="s">
        <v>474</v>
      </c>
      <c r="C911" s="863" t="s">
        <v>556</v>
      </c>
      <c r="D911" s="865" t="s">
        <v>557</v>
      </c>
      <c r="E911" s="865" t="s">
        <v>558</v>
      </c>
      <c r="F911" s="865" t="s">
        <v>559</v>
      </c>
      <c r="G911" s="865"/>
      <c r="H911" s="865"/>
      <c r="I911" s="865"/>
      <c r="J911" s="865" t="s">
        <v>560</v>
      </c>
      <c r="K911" s="865"/>
      <c r="L911" s="865"/>
      <c r="M911" s="865"/>
      <c r="N911" s="865" t="s">
        <v>561</v>
      </c>
      <c r="O911" s="867"/>
    </row>
    <row r="912" spans="2:15" ht="55.8" hidden="1" thickBot="1" x14ac:dyDescent="0.3">
      <c r="B912" s="862"/>
      <c r="C912" s="864"/>
      <c r="D912" s="866"/>
      <c r="E912" s="866"/>
      <c r="F912" s="468" t="s">
        <v>562</v>
      </c>
      <c r="G912" s="468" t="s">
        <v>563</v>
      </c>
      <c r="H912" s="468" t="s">
        <v>564</v>
      </c>
      <c r="I912" s="468" t="s">
        <v>565</v>
      </c>
      <c r="J912" s="468" t="s">
        <v>566</v>
      </c>
      <c r="K912" s="468" t="s">
        <v>563</v>
      </c>
      <c r="L912" s="468" t="s">
        <v>567</v>
      </c>
      <c r="M912" s="468" t="s">
        <v>568</v>
      </c>
      <c r="N912" s="468" t="s">
        <v>562</v>
      </c>
      <c r="O912" s="469" t="s">
        <v>565</v>
      </c>
    </row>
    <row r="913" spans="2:15" ht="15.6" hidden="1" x14ac:dyDescent="0.25">
      <c r="B913" s="451">
        <v>1</v>
      </c>
      <c r="C913" s="276" t="s">
        <v>689</v>
      </c>
      <c r="D913" s="452"/>
      <c r="E913" s="453"/>
      <c r="F913" s="454">
        <f>F279*0.1</f>
        <v>6.7512564908156438</v>
      </c>
      <c r="G913" s="454">
        <f t="shared" ref="G913:H914" si="211">G279*0.1</f>
        <v>1.8354386275997088</v>
      </c>
      <c r="H913" s="454">
        <f t="shared" si="211"/>
        <v>0</v>
      </c>
      <c r="I913" s="454">
        <f>F913+G913-H913</f>
        <v>8.5866951184153528</v>
      </c>
      <c r="J913" s="454">
        <f t="shared" ref="J913:L914" si="212">J279*0.1</f>
        <v>6.3582162109090817E-3</v>
      </c>
      <c r="K913" s="454">
        <f t="shared" si="212"/>
        <v>1.5895540527272685E-3</v>
      </c>
      <c r="L913" s="454">
        <f t="shared" si="212"/>
        <v>0</v>
      </c>
      <c r="M913" s="454">
        <f>J913+K913-L913</f>
        <v>7.9477702636363504E-3</v>
      </c>
      <c r="N913" s="454">
        <f>F913-J913</f>
        <v>6.7448982746047346</v>
      </c>
      <c r="O913" s="454">
        <f>I913-M913</f>
        <v>8.5787473481517171</v>
      </c>
    </row>
    <row r="914" spans="2:15" ht="15.6" hidden="1" x14ac:dyDescent="0.25">
      <c r="B914" s="451">
        <v>2</v>
      </c>
      <c r="C914" s="276" t="s">
        <v>534</v>
      </c>
      <c r="D914" s="452"/>
      <c r="E914" s="453"/>
      <c r="F914" s="454">
        <f>F280*0.1</f>
        <v>43.911026143372439</v>
      </c>
      <c r="G914" s="454">
        <f t="shared" si="211"/>
        <v>2.7118686600176356</v>
      </c>
      <c r="H914" s="454">
        <f t="shared" si="211"/>
        <v>0</v>
      </c>
      <c r="I914" s="454">
        <f>F914+G914-H914</f>
        <v>46.622894803390075</v>
      </c>
      <c r="J914" s="454">
        <f t="shared" si="212"/>
        <v>13.216777106335485</v>
      </c>
      <c r="K914" s="454">
        <f t="shared" si="212"/>
        <v>1.1148343188820113</v>
      </c>
      <c r="L914" s="454">
        <f t="shared" si="212"/>
        <v>0</v>
      </c>
      <c r="M914" s="454">
        <f>J914+K914-L914</f>
        <v>14.331611425217496</v>
      </c>
      <c r="N914" s="454">
        <f>F914-J914</f>
        <v>30.694249037036954</v>
      </c>
      <c r="O914" s="454">
        <f>I914-M914</f>
        <v>32.291283378172579</v>
      </c>
    </row>
    <row r="915" spans="2:15" ht="15.6" hidden="1" x14ac:dyDescent="0.25">
      <c r="B915" s="470">
        <v>3</v>
      </c>
      <c r="C915" s="279" t="s">
        <v>690</v>
      </c>
      <c r="D915" s="471"/>
      <c r="E915" s="360"/>
      <c r="F915" s="472"/>
      <c r="G915" s="472"/>
      <c r="H915" s="472"/>
      <c r="I915" s="472"/>
      <c r="J915" s="472"/>
      <c r="K915" s="472"/>
      <c r="L915" s="472"/>
      <c r="M915" s="472"/>
      <c r="N915" s="472"/>
      <c r="O915" s="472"/>
    </row>
    <row r="916" spans="2:15" ht="15.6" hidden="1" x14ac:dyDescent="0.25">
      <c r="B916" s="451"/>
      <c r="C916" s="276" t="s">
        <v>691</v>
      </c>
      <c r="D916" s="452"/>
      <c r="E916" s="52"/>
      <c r="F916" s="454">
        <f t="shared" ref="F916:H923" si="213">F282*0.1</f>
        <v>780.47192153097728</v>
      </c>
      <c r="G916" s="454">
        <f t="shared" si="213"/>
        <v>94.618981117615277</v>
      </c>
      <c r="H916" s="454">
        <f t="shared" si="213"/>
        <v>0</v>
      </c>
      <c r="I916" s="454">
        <f t="shared" ref="I916:I923" si="214">F916+G916-H916</f>
        <v>875.09090264859253</v>
      </c>
      <c r="J916" s="454">
        <f t="shared" ref="J916:L923" si="215">J282*0.1</f>
        <v>356.12445586068202</v>
      </c>
      <c r="K916" s="454">
        <f t="shared" si="215"/>
        <v>34.61396510091987</v>
      </c>
      <c r="L916" s="454">
        <f t="shared" si="215"/>
        <v>0</v>
      </c>
      <c r="M916" s="454">
        <f t="shared" ref="M916:M923" si="216">J916+K916-L916</f>
        <v>390.73842096160189</v>
      </c>
      <c r="N916" s="454">
        <f t="shared" ref="N916:N923" si="217">F916-J916</f>
        <v>424.34746567029526</v>
      </c>
      <c r="O916" s="454">
        <f t="shared" ref="O916:O923" si="218">I916-M916</f>
        <v>484.35248168699064</v>
      </c>
    </row>
    <row r="917" spans="2:15" ht="15.6" hidden="1" x14ac:dyDescent="0.25">
      <c r="B917" s="451"/>
      <c r="C917" s="276" t="s">
        <v>692</v>
      </c>
      <c r="D917" s="452"/>
      <c r="E917" s="52"/>
      <c r="F917" s="454">
        <f t="shared" si="213"/>
        <v>766.84182804354623</v>
      </c>
      <c r="G917" s="454">
        <f t="shared" si="213"/>
        <v>102.77930901302598</v>
      </c>
      <c r="H917" s="454">
        <f t="shared" si="213"/>
        <v>0</v>
      </c>
      <c r="I917" s="454">
        <f t="shared" si="214"/>
        <v>869.62113705657225</v>
      </c>
      <c r="J917" s="454">
        <f t="shared" si="215"/>
        <v>283.88762806419908</v>
      </c>
      <c r="K917" s="454">
        <f t="shared" si="215"/>
        <v>26.234957115511357</v>
      </c>
      <c r="L917" s="454">
        <f t="shared" si="215"/>
        <v>0</v>
      </c>
      <c r="M917" s="454">
        <f t="shared" si="216"/>
        <v>310.12258517971043</v>
      </c>
      <c r="N917" s="454">
        <f t="shared" si="217"/>
        <v>482.95419997934715</v>
      </c>
      <c r="O917" s="454">
        <f t="shared" si="218"/>
        <v>559.49855187686182</v>
      </c>
    </row>
    <row r="918" spans="2:15" ht="15.6" hidden="1" x14ac:dyDescent="0.25">
      <c r="B918" s="451"/>
      <c r="C918" s="276" t="s">
        <v>693</v>
      </c>
      <c r="D918" s="452"/>
      <c r="E918" s="52"/>
      <c r="F918" s="454">
        <f t="shared" si="213"/>
        <v>79.43659393266563</v>
      </c>
      <c r="G918" s="454">
        <f t="shared" si="213"/>
        <v>2.2671290758441072</v>
      </c>
      <c r="H918" s="454">
        <f t="shared" si="213"/>
        <v>0</v>
      </c>
      <c r="I918" s="454">
        <f t="shared" si="214"/>
        <v>81.703723008509741</v>
      </c>
      <c r="J918" s="454">
        <f t="shared" si="215"/>
        <v>58.392196331914398</v>
      </c>
      <c r="K918" s="454">
        <f t="shared" si="215"/>
        <v>3.6066859418213775</v>
      </c>
      <c r="L918" s="454">
        <f t="shared" si="215"/>
        <v>0</v>
      </c>
      <c r="M918" s="454">
        <f t="shared" si="216"/>
        <v>61.998882273735774</v>
      </c>
      <c r="N918" s="454">
        <f t="shared" si="217"/>
        <v>21.044397600751232</v>
      </c>
      <c r="O918" s="454">
        <f t="shared" si="218"/>
        <v>19.704840734773967</v>
      </c>
    </row>
    <row r="919" spans="2:15" ht="15.6" hidden="1" x14ac:dyDescent="0.25">
      <c r="B919" s="451">
        <v>4</v>
      </c>
      <c r="C919" s="279" t="s">
        <v>540</v>
      </c>
      <c r="D919" s="452"/>
      <c r="E919" s="52"/>
      <c r="F919" s="454">
        <f t="shared" si="213"/>
        <v>4.0861572924134153</v>
      </c>
      <c r="G919" s="454">
        <f t="shared" si="213"/>
        <v>0.61612915360494558</v>
      </c>
      <c r="H919" s="454">
        <f t="shared" si="213"/>
        <v>0</v>
      </c>
      <c r="I919" s="454">
        <f t="shared" si="214"/>
        <v>4.7022864460183609</v>
      </c>
      <c r="J919" s="454">
        <f t="shared" si="215"/>
        <v>3.5326978795521691</v>
      </c>
      <c r="K919" s="454">
        <f t="shared" si="215"/>
        <v>0.28404998736158493</v>
      </c>
      <c r="L919" s="454">
        <f t="shared" si="215"/>
        <v>0</v>
      </c>
      <c r="M919" s="454">
        <f t="shared" si="216"/>
        <v>3.816747866913754</v>
      </c>
      <c r="N919" s="454">
        <f t="shared" si="217"/>
        <v>0.55345941286124622</v>
      </c>
      <c r="O919" s="454">
        <f t="shared" si="218"/>
        <v>0.88553857910460687</v>
      </c>
    </row>
    <row r="920" spans="2:15" ht="15.6" hidden="1" x14ac:dyDescent="0.25">
      <c r="B920" s="451">
        <v>5</v>
      </c>
      <c r="C920" s="279" t="s">
        <v>694</v>
      </c>
      <c r="D920" s="452"/>
      <c r="E920" s="52"/>
      <c r="F920" s="454">
        <f t="shared" si="213"/>
        <v>0.62781000000000009</v>
      </c>
      <c r="G920" s="454">
        <f t="shared" si="213"/>
        <v>0</v>
      </c>
      <c r="H920" s="454">
        <f t="shared" si="213"/>
        <v>0</v>
      </c>
      <c r="I920" s="454">
        <f t="shared" si="214"/>
        <v>0.62781000000000009</v>
      </c>
      <c r="J920" s="454">
        <f t="shared" si="215"/>
        <v>0.53320274430199976</v>
      </c>
      <c r="K920" s="454">
        <f t="shared" si="215"/>
        <v>1.0244127958000249E-2</v>
      </c>
      <c r="L920" s="454">
        <f t="shared" si="215"/>
        <v>0</v>
      </c>
      <c r="M920" s="454">
        <f t="shared" si="216"/>
        <v>0.54344687225999999</v>
      </c>
      <c r="N920" s="454">
        <f t="shared" si="217"/>
        <v>9.4607255698000325E-2</v>
      </c>
      <c r="O920" s="454">
        <f t="shared" si="218"/>
        <v>8.4363127740000099E-2</v>
      </c>
    </row>
    <row r="921" spans="2:15" ht="15.6" hidden="1" x14ac:dyDescent="0.25">
      <c r="B921" s="451">
        <v>6</v>
      </c>
      <c r="C921" s="279" t="s">
        <v>538</v>
      </c>
      <c r="D921" s="452"/>
      <c r="E921" s="52"/>
      <c r="F921" s="454">
        <f t="shared" si="213"/>
        <v>0.27250999999999997</v>
      </c>
      <c r="G921" s="454">
        <f t="shared" si="213"/>
        <v>0</v>
      </c>
      <c r="H921" s="454">
        <f t="shared" si="213"/>
        <v>0</v>
      </c>
      <c r="I921" s="454">
        <f t="shared" si="214"/>
        <v>0.27250999999999997</v>
      </c>
      <c r="J921" s="454">
        <f t="shared" si="215"/>
        <v>0.24513726043000006</v>
      </c>
      <c r="K921" s="454">
        <f t="shared" si="215"/>
        <v>0</v>
      </c>
      <c r="L921" s="454">
        <f t="shared" si="215"/>
        <v>0</v>
      </c>
      <c r="M921" s="454">
        <f t="shared" si="216"/>
        <v>0.24513726043000006</v>
      </c>
      <c r="N921" s="454">
        <f t="shared" si="217"/>
        <v>2.7372739569999915E-2</v>
      </c>
      <c r="O921" s="454">
        <f t="shared" si="218"/>
        <v>2.7372739569999915E-2</v>
      </c>
    </row>
    <row r="922" spans="2:15" ht="15.6" hidden="1" x14ac:dyDescent="0.25">
      <c r="B922" s="451">
        <v>7</v>
      </c>
      <c r="C922" s="279" t="s">
        <v>695</v>
      </c>
      <c r="D922" s="452"/>
      <c r="E922" s="52"/>
      <c r="F922" s="454">
        <f t="shared" si="213"/>
        <v>29.057658584630133</v>
      </c>
      <c r="G922" s="454">
        <f t="shared" si="213"/>
        <v>5.8032222743167274</v>
      </c>
      <c r="H922" s="454">
        <f t="shared" si="213"/>
        <v>0</v>
      </c>
      <c r="I922" s="454">
        <f t="shared" si="214"/>
        <v>34.860880858946857</v>
      </c>
      <c r="J922" s="454">
        <f t="shared" si="215"/>
        <v>6.7422890060447322</v>
      </c>
      <c r="K922" s="454">
        <f t="shared" si="215"/>
        <v>0</v>
      </c>
      <c r="L922" s="454">
        <f t="shared" si="215"/>
        <v>0</v>
      </c>
      <c r="M922" s="454">
        <f t="shared" si="216"/>
        <v>6.7422890060447322</v>
      </c>
      <c r="N922" s="454">
        <f t="shared" si="217"/>
        <v>22.3153695785854</v>
      </c>
      <c r="O922" s="454">
        <f t="shared" si="218"/>
        <v>28.118591852902124</v>
      </c>
    </row>
    <row r="923" spans="2:15" ht="15.6" hidden="1" x14ac:dyDescent="0.25">
      <c r="B923" s="451">
        <v>8</v>
      </c>
      <c r="C923" s="279" t="s">
        <v>696</v>
      </c>
      <c r="D923" s="452"/>
      <c r="E923" s="52"/>
      <c r="F923" s="454">
        <f t="shared" si="213"/>
        <v>3.4928000000000008</v>
      </c>
      <c r="G923" s="454">
        <f t="shared" si="213"/>
        <v>0</v>
      </c>
      <c r="H923" s="454">
        <f t="shared" si="213"/>
        <v>0</v>
      </c>
      <c r="I923" s="454">
        <f t="shared" si="214"/>
        <v>3.4928000000000008</v>
      </c>
      <c r="J923" s="454">
        <f t="shared" si="215"/>
        <v>9.1851886606085653</v>
      </c>
      <c r="K923" s="454">
        <f t="shared" si="215"/>
        <v>3.3078251812423818</v>
      </c>
      <c r="L923" s="454">
        <f t="shared" si="215"/>
        <v>0</v>
      </c>
      <c r="M923" s="454">
        <f t="shared" si="216"/>
        <v>12.493013841850948</v>
      </c>
      <c r="N923" s="454">
        <f t="shared" si="217"/>
        <v>-5.6923886606085645</v>
      </c>
      <c r="O923" s="454">
        <f t="shared" si="218"/>
        <v>-9.0002138418509467</v>
      </c>
    </row>
    <row r="924" spans="2:15" hidden="1" x14ac:dyDescent="0.25">
      <c r="B924" s="451"/>
      <c r="C924" s="457"/>
      <c r="D924" s="452"/>
      <c r="E924" s="52"/>
      <c r="F924" s="454"/>
      <c r="G924" s="454"/>
      <c r="H924" s="454"/>
      <c r="I924" s="454"/>
      <c r="J924" s="454"/>
      <c r="K924" s="454"/>
      <c r="L924" s="454"/>
      <c r="M924" s="454"/>
      <c r="N924" s="454"/>
      <c r="O924" s="454"/>
    </row>
    <row r="925" spans="2:15" hidden="1" x14ac:dyDescent="0.25">
      <c r="B925" s="451"/>
      <c r="C925" s="458"/>
      <c r="D925" s="452"/>
      <c r="E925" s="52"/>
      <c r="F925" s="454"/>
      <c r="G925" s="454"/>
      <c r="H925" s="454"/>
      <c r="I925" s="454"/>
      <c r="J925" s="454"/>
      <c r="K925" s="454"/>
      <c r="L925" s="454"/>
      <c r="M925" s="454"/>
      <c r="N925" s="454"/>
      <c r="O925" s="454"/>
    </row>
    <row r="926" spans="2:15" hidden="1" x14ac:dyDescent="0.25">
      <c r="B926" s="451"/>
      <c r="C926" s="457"/>
      <c r="D926" s="452"/>
      <c r="E926" s="52"/>
      <c r="F926" s="454"/>
      <c r="G926" s="454"/>
      <c r="H926" s="454"/>
      <c r="I926" s="454"/>
      <c r="J926" s="454"/>
      <c r="K926" s="454"/>
      <c r="L926" s="454"/>
      <c r="M926" s="454"/>
      <c r="N926" s="454"/>
      <c r="O926" s="454"/>
    </row>
    <row r="927" spans="2:15" hidden="1" x14ac:dyDescent="0.25">
      <c r="B927" s="451"/>
      <c r="C927" s="457"/>
      <c r="D927" s="452"/>
      <c r="E927" s="52"/>
      <c r="F927" s="454"/>
      <c r="G927" s="454"/>
      <c r="H927" s="454"/>
      <c r="I927" s="454"/>
      <c r="J927" s="454"/>
      <c r="K927" s="454"/>
      <c r="L927" s="454"/>
      <c r="M927" s="454"/>
      <c r="N927" s="454"/>
      <c r="O927" s="454"/>
    </row>
    <row r="928" spans="2:15" hidden="1" x14ac:dyDescent="0.25">
      <c r="B928" s="451"/>
      <c r="C928" s="457"/>
      <c r="D928" s="452"/>
      <c r="E928" s="52"/>
      <c r="F928" s="454"/>
      <c r="G928" s="454"/>
      <c r="H928" s="454"/>
      <c r="I928" s="454"/>
      <c r="J928" s="454"/>
      <c r="K928" s="454"/>
      <c r="L928" s="454"/>
      <c r="M928" s="454"/>
      <c r="N928" s="454"/>
      <c r="O928" s="454"/>
    </row>
    <row r="929" spans="2:15" hidden="1" x14ac:dyDescent="0.25">
      <c r="B929" s="451"/>
      <c r="C929" s="457"/>
      <c r="D929" s="452"/>
      <c r="E929" s="52"/>
      <c r="F929" s="454"/>
      <c r="G929" s="454"/>
      <c r="H929" s="454"/>
      <c r="I929" s="454"/>
      <c r="J929" s="454"/>
      <c r="K929" s="454"/>
      <c r="L929" s="454"/>
      <c r="M929" s="454"/>
      <c r="N929" s="454"/>
      <c r="O929" s="454"/>
    </row>
    <row r="930" spans="2:15" hidden="1" x14ac:dyDescent="0.25">
      <c r="B930" s="451"/>
      <c r="C930" s="458"/>
      <c r="D930" s="452"/>
      <c r="E930" s="52"/>
      <c r="F930" s="454"/>
      <c r="G930" s="454"/>
      <c r="H930" s="454"/>
      <c r="I930" s="454"/>
      <c r="J930" s="454"/>
      <c r="K930" s="454"/>
      <c r="L930" s="454"/>
      <c r="M930" s="454"/>
      <c r="N930" s="454"/>
      <c r="O930" s="454"/>
    </row>
    <row r="931" spans="2:15" hidden="1" x14ac:dyDescent="0.25">
      <c r="B931" s="451"/>
      <c r="C931" s="458"/>
      <c r="D931" s="452"/>
      <c r="E931" s="52"/>
      <c r="F931" s="454"/>
      <c r="G931" s="454"/>
      <c r="H931" s="454"/>
      <c r="I931" s="454"/>
      <c r="J931" s="454"/>
      <c r="K931" s="454"/>
      <c r="L931" s="454"/>
      <c r="M931" s="454"/>
      <c r="N931" s="454"/>
      <c r="O931" s="454"/>
    </row>
    <row r="932" spans="2:15" hidden="1" x14ac:dyDescent="0.25">
      <c r="B932" s="451"/>
      <c r="C932" s="458"/>
      <c r="D932" s="452"/>
      <c r="E932" s="52"/>
      <c r="F932" s="454"/>
      <c r="G932" s="454"/>
      <c r="H932" s="454"/>
      <c r="I932" s="454"/>
      <c r="J932" s="454"/>
      <c r="K932" s="454"/>
      <c r="L932" s="454"/>
      <c r="M932" s="454"/>
      <c r="N932" s="454"/>
      <c r="O932" s="454"/>
    </row>
    <row r="933" spans="2:15" hidden="1" x14ac:dyDescent="0.25">
      <c r="B933" s="451"/>
      <c r="C933" s="457"/>
      <c r="D933" s="452"/>
      <c r="E933" s="52"/>
      <c r="F933" s="454"/>
      <c r="G933" s="454"/>
      <c r="H933" s="454"/>
      <c r="I933" s="454"/>
      <c r="J933" s="454"/>
      <c r="K933" s="454"/>
      <c r="L933" s="454"/>
      <c r="M933" s="454"/>
      <c r="N933" s="454"/>
      <c r="O933" s="454"/>
    </row>
    <row r="934" spans="2:15" hidden="1" x14ac:dyDescent="0.25">
      <c r="B934" s="451"/>
      <c r="C934" s="457"/>
      <c r="D934" s="452"/>
      <c r="E934" s="52"/>
      <c r="F934" s="454"/>
      <c r="G934" s="454"/>
      <c r="H934" s="454"/>
      <c r="I934" s="454"/>
      <c r="J934" s="454"/>
      <c r="K934" s="454"/>
      <c r="L934" s="454"/>
      <c r="M934" s="454"/>
      <c r="N934" s="454"/>
      <c r="O934" s="454"/>
    </row>
    <row r="935" spans="2:15" hidden="1" x14ac:dyDescent="0.25">
      <c r="B935" s="459"/>
      <c r="C935" s="460"/>
      <c r="D935" s="452"/>
      <c r="E935" s="52"/>
      <c r="F935" s="454"/>
      <c r="G935" s="454"/>
      <c r="H935" s="454"/>
      <c r="I935" s="454"/>
      <c r="J935" s="454"/>
      <c r="K935" s="454"/>
      <c r="L935" s="454"/>
      <c r="M935" s="454"/>
      <c r="N935" s="454"/>
      <c r="O935" s="454"/>
    </row>
    <row r="936" spans="2:15" hidden="1" x14ac:dyDescent="0.25">
      <c r="B936" s="461"/>
      <c r="C936" s="280"/>
      <c r="D936" s="462"/>
      <c r="E936" s="52"/>
      <c r="F936" s="454"/>
      <c r="G936" s="454"/>
      <c r="H936" s="454"/>
      <c r="I936" s="454"/>
      <c r="J936" s="454"/>
      <c r="K936" s="454"/>
      <c r="L936" s="454"/>
      <c r="M936" s="454"/>
      <c r="N936" s="454"/>
      <c r="O936" s="454"/>
    </row>
    <row r="937" spans="2:15" hidden="1" x14ac:dyDescent="0.25">
      <c r="B937" s="461"/>
      <c r="C937" s="280"/>
      <c r="D937" s="462"/>
      <c r="E937" s="52"/>
      <c r="F937" s="454"/>
      <c r="G937" s="454"/>
      <c r="H937" s="454"/>
      <c r="I937" s="454"/>
      <c r="J937" s="454"/>
      <c r="K937" s="454"/>
      <c r="L937" s="454"/>
      <c r="M937" s="454"/>
      <c r="N937" s="454"/>
      <c r="O937" s="454"/>
    </row>
    <row r="938" spans="2:15" hidden="1" x14ac:dyDescent="0.25">
      <c r="B938" s="461"/>
      <c r="C938" s="280"/>
      <c r="D938" s="462"/>
      <c r="E938" s="52"/>
      <c r="F938" s="454"/>
      <c r="G938" s="454"/>
      <c r="H938" s="454"/>
      <c r="I938" s="454"/>
      <c r="J938" s="454"/>
      <c r="K938" s="454"/>
      <c r="L938" s="454"/>
      <c r="M938" s="454"/>
      <c r="N938" s="454"/>
      <c r="O938" s="454"/>
    </row>
    <row r="939" spans="2:15" hidden="1" x14ac:dyDescent="0.25">
      <c r="B939" s="461"/>
      <c r="C939" s="281"/>
      <c r="D939" s="462"/>
      <c r="E939" s="52"/>
      <c r="F939" s="454"/>
      <c r="G939" s="454"/>
      <c r="H939" s="454"/>
      <c r="I939" s="454"/>
      <c r="J939" s="454"/>
      <c r="K939" s="454"/>
      <c r="L939" s="454"/>
      <c r="M939" s="454"/>
      <c r="N939" s="454"/>
      <c r="O939" s="454"/>
    </row>
    <row r="940" spans="2:15" hidden="1" x14ac:dyDescent="0.25">
      <c r="B940" s="461"/>
      <c r="C940" s="281"/>
      <c r="D940" s="462"/>
      <c r="E940" s="52"/>
      <c r="F940" s="454"/>
      <c r="G940" s="454"/>
      <c r="H940" s="454"/>
      <c r="I940" s="454"/>
      <c r="J940" s="454"/>
      <c r="K940" s="454"/>
      <c r="L940" s="454"/>
      <c r="M940" s="454"/>
      <c r="N940" s="454"/>
      <c r="O940" s="454"/>
    </row>
    <row r="941" spans="2:15" hidden="1" x14ac:dyDescent="0.25">
      <c r="B941" s="461"/>
      <c r="C941" s="281"/>
      <c r="D941" s="462"/>
      <c r="E941" s="52"/>
      <c r="F941" s="454"/>
      <c r="G941" s="454"/>
      <c r="H941" s="454"/>
      <c r="I941" s="454"/>
      <c r="J941" s="454"/>
      <c r="K941" s="454"/>
      <c r="L941" s="454"/>
      <c r="M941" s="454"/>
      <c r="N941" s="454"/>
      <c r="O941" s="454"/>
    </row>
    <row r="942" spans="2:15" hidden="1" x14ac:dyDescent="0.25">
      <c r="B942" s="461"/>
      <c r="C942" s="281"/>
      <c r="D942" s="462"/>
      <c r="E942" s="52"/>
      <c r="F942" s="454"/>
      <c r="G942" s="454"/>
      <c r="H942" s="454"/>
      <c r="I942" s="454"/>
      <c r="J942" s="454"/>
      <c r="K942" s="454"/>
      <c r="L942" s="454"/>
      <c r="M942" s="454"/>
      <c r="N942" s="454"/>
      <c r="O942" s="454"/>
    </row>
    <row r="943" spans="2:15" hidden="1" x14ac:dyDescent="0.25">
      <c r="B943" s="461"/>
      <c r="C943" s="281"/>
      <c r="D943" s="462"/>
      <c r="E943" s="52"/>
      <c r="F943" s="454"/>
      <c r="G943" s="454"/>
      <c r="H943" s="454"/>
      <c r="I943" s="454"/>
      <c r="J943" s="454"/>
      <c r="K943" s="454"/>
      <c r="L943" s="454"/>
      <c r="M943" s="454"/>
      <c r="N943" s="454"/>
      <c r="O943" s="454"/>
    </row>
    <row r="944" spans="2:15" hidden="1" x14ac:dyDescent="0.25">
      <c r="B944" s="461"/>
      <c r="C944" s="281"/>
      <c r="D944" s="462"/>
      <c r="E944" s="52"/>
      <c r="F944" s="454"/>
      <c r="G944" s="454"/>
      <c r="H944" s="454"/>
      <c r="I944" s="454"/>
      <c r="J944" s="454"/>
      <c r="K944" s="454"/>
      <c r="L944" s="454"/>
      <c r="M944" s="454"/>
      <c r="N944" s="454"/>
      <c r="O944" s="454"/>
    </row>
    <row r="945" spans="2:16" hidden="1" x14ac:dyDescent="0.25">
      <c r="B945" s="461"/>
      <c r="C945" s="281"/>
      <c r="D945" s="462"/>
      <c r="E945" s="52"/>
      <c r="F945" s="454"/>
      <c r="G945" s="454"/>
      <c r="H945" s="454"/>
      <c r="I945" s="454"/>
      <c r="J945" s="454"/>
      <c r="K945" s="454"/>
      <c r="L945" s="454"/>
      <c r="M945" s="454"/>
      <c r="N945" s="454"/>
      <c r="O945" s="454"/>
    </row>
    <row r="946" spans="2:16" hidden="1" x14ac:dyDescent="0.25">
      <c r="B946" s="461"/>
      <c r="C946" s="280"/>
      <c r="D946" s="462"/>
      <c r="E946" s="52"/>
      <c r="F946" s="454"/>
      <c r="G946" s="454"/>
      <c r="H946" s="454"/>
      <c r="I946" s="454"/>
      <c r="J946" s="454"/>
      <c r="K946" s="454"/>
      <c r="L946" s="454"/>
      <c r="M946" s="454"/>
      <c r="N946" s="454"/>
      <c r="O946" s="454"/>
    </row>
    <row r="947" spans="2:16" hidden="1" x14ac:dyDescent="0.25">
      <c r="B947" s="461"/>
      <c r="C947" s="281"/>
      <c r="D947" s="462"/>
      <c r="E947" s="52"/>
      <c r="F947" s="454"/>
      <c r="G947" s="454"/>
      <c r="H947" s="454"/>
      <c r="I947" s="454"/>
      <c r="J947" s="454"/>
      <c r="K947" s="454"/>
      <c r="L947" s="454"/>
      <c r="M947" s="454"/>
      <c r="N947" s="454"/>
      <c r="O947" s="454"/>
    </row>
    <row r="948" spans="2:16" hidden="1" x14ac:dyDescent="0.25">
      <c r="B948" s="461"/>
      <c r="C948" s="281"/>
      <c r="D948" s="462"/>
      <c r="E948" s="52"/>
      <c r="F948" s="454"/>
      <c r="G948" s="454"/>
      <c r="H948" s="454"/>
      <c r="I948" s="454"/>
      <c r="J948" s="454"/>
      <c r="K948" s="454"/>
      <c r="L948" s="454"/>
      <c r="M948" s="454"/>
      <c r="N948" s="454"/>
      <c r="O948" s="454"/>
    </row>
    <row r="949" spans="2:16" hidden="1" x14ac:dyDescent="0.25">
      <c r="B949" s="461"/>
      <c r="C949" s="281"/>
      <c r="D949" s="462"/>
      <c r="E949" s="52"/>
      <c r="F949" s="454"/>
      <c r="G949" s="454"/>
      <c r="H949" s="454"/>
      <c r="I949" s="454"/>
      <c r="J949" s="454"/>
      <c r="K949" s="454"/>
      <c r="L949" s="454"/>
      <c r="M949" s="454"/>
      <c r="N949" s="454"/>
      <c r="O949" s="454"/>
    </row>
    <row r="950" spans="2:16" hidden="1" x14ac:dyDescent="0.25">
      <c r="B950" s="461"/>
      <c r="C950" s="280"/>
      <c r="D950" s="462"/>
      <c r="E950" s="52"/>
      <c r="F950" s="454"/>
      <c r="G950" s="454"/>
      <c r="H950" s="454"/>
      <c r="I950" s="454"/>
      <c r="J950" s="454"/>
      <c r="K950" s="454"/>
      <c r="L950" s="454"/>
      <c r="M950" s="454"/>
      <c r="N950" s="454"/>
      <c r="O950" s="454"/>
    </row>
    <row r="951" spans="2:16" hidden="1" x14ac:dyDescent="0.25">
      <c r="B951" s="461"/>
      <c r="C951" s="280"/>
      <c r="D951" s="452"/>
      <c r="E951" s="52"/>
      <c r="F951" s="454"/>
      <c r="G951" s="454"/>
      <c r="H951" s="454"/>
      <c r="I951" s="454"/>
      <c r="J951" s="454"/>
      <c r="K951" s="454"/>
      <c r="L951" s="454"/>
      <c r="M951" s="454"/>
      <c r="N951" s="454"/>
      <c r="O951" s="454"/>
    </row>
    <row r="952" spans="2:16" hidden="1" x14ac:dyDescent="0.25">
      <c r="B952" s="461"/>
      <c r="C952" s="280"/>
      <c r="D952" s="452"/>
      <c r="E952" s="53"/>
      <c r="F952" s="454"/>
      <c r="G952" s="454"/>
      <c r="H952" s="454"/>
      <c r="I952" s="454"/>
      <c r="J952" s="454"/>
      <c r="K952" s="454"/>
      <c r="L952" s="454"/>
      <c r="M952" s="454"/>
      <c r="N952" s="454"/>
      <c r="O952" s="454"/>
    </row>
    <row r="953" spans="2:16" ht="14.4" hidden="1" thickBot="1" x14ac:dyDescent="0.3">
      <c r="B953" s="463"/>
      <c r="C953" s="464" t="s">
        <v>251</v>
      </c>
      <c r="D953" s="464"/>
      <c r="E953" s="465"/>
      <c r="F953" s="466">
        <f>SUM(F913:F952)</f>
        <v>1714.9495620184207</v>
      </c>
      <c r="G953" s="466">
        <f t="shared" ref="G953:H953" si="219">SUM(G913:G952)</f>
        <v>210.63207792202442</v>
      </c>
      <c r="H953" s="466">
        <f t="shared" si="219"/>
        <v>0</v>
      </c>
      <c r="I953" s="466">
        <f>SUM(I913:I952)</f>
        <v>1925.581639940445</v>
      </c>
      <c r="J953" s="466">
        <f t="shared" ref="J953" si="220">SUM(J913:J952)</f>
        <v>731.86593113027948</v>
      </c>
      <c r="K953" s="466">
        <f>SUM(K913:K952)</f>
        <v>69.174151327749314</v>
      </c>
      <c r="L953" s="466">
        <f t="shared" ref="L953:M953" si="221">SUM(L913:L952)</f>
        <v>0</v>
      </c>
      <c r="M953" s="466">
        <f t="shared" si="221"/>
        <v>801.04008245802868</v>
      </c>
      <c r="N953" s="466">
        <f>SUM(N913:N952)</f>
        <v>983.08363088814133</v>
      </c>
      <c r="O953" s="466">
        <f>SUM(O913:O952)</f>
        <v>1124.5415574824169</v>
      </c>
      <c r="P953" s="64"/>
    </row>
  </sheetData>
  <mergeCells count="168">
    <mergeCell ref="B6:O6"/>
    <mergeCell ref="B7:B8"/>
    <mergeCell ref="C7:C8"/>
    <mergeCell ref="D7:D8"/>
    <mergeCell ref="E7:E8"/>
    <mergeCell ref="F7:I7"/>
    <mergeCell ref="J7:M7"/>
    <mergeCell ref="N7:O7"/>
    <mergeCell ref="B96:O96"/>
    <mergeCell ref="B97:B98"/>
    <mergeCell ref="C97:C98"/>
    <mergeCell ref="D97:D98"/>
    <mergeCell ref="E97:E98"/>
    <mergeCell ref="F97:I97"/>
    <mergeCell ref="J97:M97"/>
    <mergeCell ref="N97:O97"/>
    <mergeCell ref="B51:O51"/>
    <mergeCell ref="B52:B53"/>
    <mergeCell ref="C52:C53"/>
    <mergeCell ref="D52:D53"/>
    <mergeCell ref="E52:E53"/>
    <mergeCell ref="F52:I52"/>
    <mergeCell ref="J52:M52"/>
    <mergeCell ref="N52:O52"/>
    <mergeCell ref="B186:O186"/>
    <mergeCell ref="B187:B188"/>
    <mergeCell ref="C187:C188"/>
    <mergeCell ref="D187:D188"/>
    <mergeCell ref="E187:E188"/>
    <mergeCell ref="F187:I187"/>
    <mergeCell ref="J187:M187"/>
    <mergeCell ref="N187:O187"/>
    <mergeCell ref="B141:O141"/>
    <mergeCell ref="B142:B143"/>
    <mergeCell ref="C142:C143"/>
    <mergeCell ref="D142:D143"/>
    <mergeCell ref="E142:E143"/>
    <mergeCell ref="F142:I142"/>
    <mergeCell ref="J142:M142"/>
    <mergeCell ref="N142:O142"/>
    <mergeCell ref="B276:O276"/>
    <mergeCell ref="B277:B278"/>
    <mergeCell ref="C277:C278"/>
    <mergeCell ref="D277:D278"/>
    <mergeCell ref="E277:E278"/>
    <mergeCell ref="F277:I277"/>
    <mergeCell ref="J277:M277"/>
    <mergeCell ref="N277:O277"/>
    <mergeCell ref="B231:O231"/>
    <mergeCell ref="B232:B233"/>
    <mergeCell ref="C232:C233"/>
    <mergeCell ref="D232:D233"/>
    <mergeCell ref="E232:E233"/>
    <mergeCell ref="F232:I232"/>
    <mergeCell ref="J232:M232"/>
    <mergeCell ref="N232:O232"/>
    <mergeCell ref="B368:O368"/>
    <mergeCell ref="B369:B370"/>
    <mergeCell ref="C369:C370"/>
    <mergeCell ref="D369:D370"/>
    <mergeCell ref="E369:E370"/>
    <mergeCell ref="F369:I369"/>
    <mergeCell ref="J369:M369"/>
    <mergeCell ref="N369:O369"/>
    <mergeCell ref="B323:O323"/>
    <mergeCell ref="B324:B325"/>
    <mergeCell ref="C324:C325"/>
    <mergeCell ref="D324:D325"/>
    <mergeCell ref="E324:E325"/>
    <mergeCell ref="F324:I324"/>
    <mergeCell ref="J324:M324"/>
    <mergeCell ref="N324:O324"/>
    <mergeCell ref="B458:O458"/>
    <mergeCell ref="B459:B460"/>
    <mergeCell ref="C459:C460"/>
    <mergeCell ref="D459:D460"/>
    <mergeCell ref="E459:E460"/>
    <mergeCell ref="F459:I459"/>
    <mergeCell ref="J459:M459"/>
    <mergeCell ref="N459:O459"/>
    <mergeCell ref="B413:O413"/>
    <mergeCell ref="B414:B415"/>
    <mergeCell ref="C414:C415"/>
    <mergeCell ref="D414:D415"/>
    <mergeCell ref="E414:E415"/>
    <mergeCell ref="F414:I414"/>
    <mergeCell ref="J414:M414"/>
    <mergeCell ref="N414:O414"/>
    <mergeCell ref="B548:O548"/>
    <mergeCell ref="B549:B550"/>
    <mergeCell ref="C549:C550"/>
    <mergeCell ref="D549:D550"/>
    <mergeCell ref="E549:E550"/>
    <mergeCell ref="F549:I549"/>
    <mergeCell ref="J549:M549"/>
    <mergeCell ref="N549:O549"/>
    <mergeCell ref="B503:O503"/>
    <mergeCell ref="B504:B505"/>
    <mergeCell ref="C504:C505"/>
    <mergeCell ref="D504:D505"/>
    <mergeCell ref="E504:E505"/>
    <mergeCell ref="F504:I504"/>
    <mergeCell ref="J504:M504"/>
    <mergeCell ref="N504:O504"/>
    <mergeCell ref="B640:O640"/>
    <mergeCell ref="B641:B642"/>
    <mergeCell ref="C641:C642"/>
    <mergeCell ref="D641:D642"/>
    <mergeCell ref="E641:E642"/>
    <mergeCell ref="F641:I641"/>
    <mergeCell ref="J641:M641"/>
    <mergeCell ref="N641:O641"/>
    <mergeCell ref="B593:O593"/>
    <mergeCell ref="B594:B595"/>
    <mergeCell ref="C594:C595"/>
    <mergeCell ref="D594:D595"/>
    <mergeCell ref="E594:E595"/>
    <mergeCell ref="F594:I594"/>
    <mergeCell ref="J594:M594"/>
    <mergeCell ref="N594:O594"/>
    <mergeCell ref="B730:O730"/>
    <mergeCell ref="B731:B732"/>
    <mergeCell ref="C731:C732"/>
    <mergeCell ref="D731:D732"/>
    <mergeCell ref="E731:E732"/>
    <mergeCell ref="F731:I731"/>
    <mergeCell ref="J731:M731"/>
    <mergeCell ref="N731:O731"/>
    <mergeCell ref="B685:O685"/>
    <mergeCell ref="B686:B687"/>
    <mergeCell ref="C686:C687"/>
    <mergeCell ref="D686:D687"/>
    <mergeCell ref="E686:E687"/>
    <mergeCell ref="F686:I686"/>
    <mergeCell ref="J686:M686"/>
    <mergeCell ref="N686:O686"/>
    <mergeCell ref="B820:O820"/>
    <mergeCell ref="B821:B822"/>
    <mergeCell ref="C821:C822"/>
    <mergeCell ref="D821:D822"/>
    <mergeCell ref="E821:E822"/>
    <mergeCell ref="F821:I821"/>
    <mergeCell ref="J821:M821"/>
    <mergeCell ref="N821:O821"/>
    <mergeCell ref="B775:O775"/>
    <mergeCell ref="B776:B777"/>
    <mergeCell ref="C776:C777"/>
    <mergeCell ref="D776:D777"/>
    <mergeCell ref="E776:E777"/>
    <mergeCell ref="F776:I776"/>
    <mergeCell ref="J776:M776"/>
    <mergeCell ref="N776:O776"/>
    <mergeCell ref="B910:O910"/>
    <mergeCell ref="B911:B912"/>
    <mergeCell ref="C911:C912"/>
    <mergeCell ref="D911:D912"/>
    <mergeCell ref="E911:E912"/>
    <mergeCell ref="F911:I911"/>
    <mergeCell ref="J911:M911"/>
    <mergeCell ref="N911:O911"/>
    <mergeCell ref="B865:O865"/>
    <mergeCell ref="B866:B867"/>
    <mergeCell ref="C866:C867"/>
    <mergeCell ref="D866:D867"/>
    <mergeCell ref="E866:E867"/>
    <mergeCell ref="F866:I866"/>
    <mergeCell ref="J866:M866"/>
    <mergeCell ref="N866:O866"/>
  </mergeCells>
  <pageMargins left="1.02" right="0.25" top="1" bottom="1" header="0.25" footer="0.25"/>
  <pageSetup paperSize="9" scale="10" orientation="landscape" r:id="rId1"/>
  <headerFooter alignWithMargins="0">
    <oddHeader>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N79"/>
  <sheetViews>
    <sheetView showGridLines="0" topLeftCell="A25" zoomScale="80" zoomScaleNormal="80" zoomScaleSheetLayoutView="70" workbookViewId="0">
      <selection activeCell="K17" sqref="K17"/>
    </sheetView>
  </sheetViews>
  <sheetFormatPr defaultColWidth="9.109375" defaultRowHeight="13.8" x14ac:dyDescent="0.25"/>
  <cols>
    <col min="1" max="1" width="3.109375" style="4" customWidth="1"/>
    <col min="2" max="2" width="8.33203125" style="4" customWidth="1"/>
    <col min="3" max="3" width="21.33203125" style="4" customWidth="1"/>
    <col min="4" max="4" width="43.33203125" style="4" customWidth="1"/>
    <col min="5" max="5" width="13.6640625" style="4" customWidth="1"/>
    <col min="6" max="7" width="13.44140625" style="4" customWidth="1"/>
    <col min="8" max="8" width="13.6640625" style="4" customWidth="1"/>
    <col min="9" max="9" width="14.109375" style="4" customWidth="1"/>
    <col min="10" max="10" width="13.33203125" style="4" customWidth="1"/>
    <col min="11" max="11" width="11.88671875" style="4" bestFit="1" customWidth="1"/>
    <col min="12" max="12" width="11.44140625" style="4" hidden="1" customWidth="1"/>
    <col min="13" max="13" width="12.44140625" style="4" hidden="1" customWidth="1"/>
    <col min="14" max="14" width="12.6640625" style="4" hidden="1" customWidth="1"/>
    <col min="15" max="16384" width="9.109375" style="4"/>
  </cols>
  <sheetData>
    <row r="2" spans="2:14" x14ac:dyDescent="0.25">
      <c r="F2" s="23" t="s">
        <v>160</v>
      </c>
    </row>
    <row r="3" spans="2:14" x14ac:dyDescent="0.25">
      <c r="F3" s="25" t="s">
        <v>161</v>
      </c>
    </row>
    <row r="4" spans="2:14" x14ac:dyDescent="0.25">
      <c r="B4" s="14"/>
      <c r="C4" s="14"/>
      <c r="D4" s="57"/>
      <c r="E4" s="57"/>
      <c r="F4" s="57"/>
      <c r="G4" s="57"/>
      <c r="N4" s="25" t="s">
        <v>162</v>
      </c>
    </row>
    <row r="5" spans="2:14" ht="15" customHeight="1" x14ac:dyDescent="0.25">
      <c r="B5" s="60"/>
      <c r="C5" s="743" t="s">
        <v>163</v>
      </c>
      <c r="D5" s="744"/>
      <c r="E5" s="731" t="s">
        <v>164</v>
      </c>
      <c r="F5" s="731" t="s">
        <v>165</v>
      </c>
      <c r="G5" s="731" t="s">
        <v>166</v>
      </c>
      <c r="H5" s="731" t="s">
        <v>167</v>
      </c>
      <c r="I5" s="731" t="s">
        <v>168</v>
      </c>
      <c r="J5" s="739" t="s">
        <v>9</v>
      </c>
      <c r="K5" s="741"/>
      <c r="L5" s="741"/>
      <c r="M5" s="741"/>
      <c r="N5" s="740"/>
    </row>
    <row r="6" spans="2:14" ht="27.6" x14ac:dyDescent="0.25">
      <c r="B6" s="60"/>
      <c r="C6" s="745"/>
      <c r="D6" s="746"/>
      <c r="E6" s="749"/>
      <c r="F6" s="749"/>
      <c r="G6" s="749"/>
      <c r="H6" s="742"/>
      <c r="I6" s="742"/>
      <c r="J6" s="518" t="s">
        <v>169</v>
      </c>
      <c r="K6" s="518" t="s">
        <v>170</v>
      </c>
      <c r="L6" s="518" t="s">
        <v>137</v>
      </c>
      <c r="M6" s="518" t="s">
        <v>138</v>
      </c>
      <c r="N6" s="518" t="s">
        <v>139</v>
      </c>
    </row>
    <row r="7" spans="2:14" x14ac:dyDescent="0.25">
      <c r="B7" s="60"/>
      <c r="C7" s="747"/>
      <c r="D7" s="748"/>
      <c r="E7" s="518" t="s">
        <v>22</v>
      </c>
      <c r="F7" s="518" t="s">
        <v>22</v>
      </c>
      <c r="G7" s="518" t="s">
        <v>22</v>
      </c>
      <c r="H7" s="518" t="s">
        <v>22</v>
      </c>
      <c r="I7" s="518" t="s">
        <v>25</v>
      </c>
      <c r="J7" s="518" t="s">
        <v>26</v>
      </c>
      <c r="K7" s="518" t="s">
        <v>26</v>
      </c>
      <c r="L7" s="518" t="s">
        <v>26</v>
      </c>
      <c r="M7" s="518" t="s">
        <v>26</v>
      </c>
      <c r="N7" s="518" t="s">
        <v>26</v>
      </c>
    </row>
    <row r="8" spans="2:14" x14ac:dyDescent="0.25">
      <c r="B8" s="60"/>
      <c r="C8" s="739" t="s">
        <v>171</v>
      </c>
      <c r="D8" s="740"/>
      <c r="E8" s="555"/>
      <c r="F8" s="555"/>
      <c r="G8" s="555"/>
      <c r="H8" s="556"/>
      <c r="I8" s="556"/>
      <c r="J8" s="556"/>
      <c r="K8" s="556"/>
      <c r="L8" s="556"/>
      <c r="M8" s="556"/>
      <c r="N8" s="556"/>
    </row>
    <row r="9" spans="2:14" x14ac:dyDescent="0.25">
      <c r="B9" s="60"/>
      <c r="C9" s="556" t="s">
        <v>172</v>
      </c>
      <c r="D9" s="556" t="s">
        <v>173</v>
      </c>
      <c r="E9" s="550">
        <v>3625340</v>
      </c>
      <c r="F9" s="550">
        <v>3708460</v>
      </c>
      <c r="G9" s="550">
        <v>3819353</v>
      </c>
      <c r="H9" s="550">
        <v>3917432</v>
      </c>
      <c r="I9" s="550">
        <f>'[8]Rev_NP-12me'!$H$10</f>
        <v>4029439</v>
      </c>
      <c r="J9" s="550">
        <f>'[9]Rev_NP-12me'!$H$10</f>
        <v>4141446</v>
      </c>
      <c r="K9" s="550">
        <f>'[9]Rev_NP-12me'!$AJ$10</f>
        <v>4253453</v>
      </c>
      <c r="L9" s="550">
        <f>'[10]Rev_NP-12me'!$AJ$10</f>
        <v>4581822</v>
      </c>
      <c r="M9" s="550">
        <f>'[11]Rev_NP-12me'!$AJ$10</f>
        <v>4764830</v>
      </c>
      <c r="N9" s="550">
        <f>'[12]Rev_NP-12me'!$AJ$10</f>
        <v>4955148</v>
      </c>
    </row>
    <row r="10" spans="2:14" x14ac:dyDescent="0.25">
      <c r="C10" s="556" t="s">
        <v>174</v>
      </c>
      <c r="D10" s="556" t="s">
        <v>175</v>
      </c>
      <c r="E10" s="550">
        <v>366007</v>
      </c>
      <c r="F10" s="550">
        <v>386950</v>
      </c>
      <c r="G10" s="550">
        <v>448025</v>
      </c>
      <c r="H10" s="550">
        <v>483201</v>
      </c>
      <c r="I10" s="550">
        <f>'[8]Rev_NP-12me'!$H$23</f>
        <v>508557</v>
      </c>
      <c r="J10" s="550">
        <f>'[9]Rev_NP-12me'!$H$23</f>
        <v>533913</v>
      </c>
      <c r="K10" s="550">
        <f>'[9]Rev_NP-12me'!$AJ$23</f>
        <v>559269</v>
      </c>
      <c r="L10" s="550">
        <f>'[10]Rev_NP-12me'!$AJ$23</f>
        <v>666296</v>
      </c>
      <c r="M10" s="550">
        <f>'[11]Rev_NP-12me'!$AJ$23</f>
        <v>722024</v>
      </c>
      <c r="N10" s="550">
        <f>'[12]Rev_NP-12me'!$AJ$23</f>
        <v>782414</v>
      </c>
    </row>
    <row r="11" spans="2:14" x14ac:dyDescent="0.25">
      <c r="C11" s="556" t="s">
        <v>176</v>
      </c>
      <c r="D11" s="556" t="s">
        <v>177</v>
      </c>
      <c r="E11" s="550">
        <v>20550</v>
      </c>
      <c r="F11" s="550">
        <v>20908</v>
      </c>
      <c r="G11" s="550">
        <v>21907</v>
      </c>
      <c r="H11" s="550">
        <v>22113</v>
      </c>
      <c r="I11" s="550">
        <f>'[8]Rev_NP-12me'!$H$36</f>
        <v>22274</v>
      </c>
      <c r="J11" s="550">
        <f>'[9]Rev_NP-12me'!$H$36</f>
        <v>22435</v>
      </c>
      <c r="K11" s="550">
        <f>'[9]Rev_NP-12me'!$AJ$36</f>
        <v>22596</v>
      </c>
      <c r="L11" s="550">
        <f>'[10]Rev_NP-12me'!$AJ$36</f>
        <v>26878</v>
      </c>
      <c r="M11" s="550">
        <f>'[11]Rev_NP-12me'!$AJ$36</f>
        <v>28222</v>
      </c>
      <c r="N11" s="550">
        <f>'[12]Rev_NP-12me'!$AJ$36</f>
        <v>29634</v>
      </c>
    </row>
    <row r="12" spans="2:14" x14ac:dyDescent="0.25">
      <c r="C12" s="556" t="s">
        <v>178</v>
      </c>
      <c r="D12" s="556" t="s">
        <v>179</v>
      </c>
      <c r="E12" s="550">
        <v>5529</v>
      </c>
      <c r="F12" s="550">
        <v>5775</v>
      </c>
      <c r="G12" s="550">
        <v>6010</v>
      </c>
      <c r="H12" s="550">
        <v>6296</v>
      </c>
      <c r="I12" s="550">
        <f>'[8]Rev_NP-12me'!$H$43</f>
        <v>6555</v>
      </c>
      <c r="J12" s="550">
        <f>'[9]Rev_NP-12me'!$H$43</f>
        <v>6814</v>
      </c>
      <c r="K12" s="550">
        <f>'[9]Rev_NP-12me'!$AJ$43</f>
        <v>7073</v>
      </c>
      <c r="L12" s="550">
        <f>'[10]Rev_NP-12me'!$AJ$43</f>
        <v>7508</v>
      </c>
      <c r="M12" s="550">
        <f>'[11]Rev_NP-12me'!$AJ$43</f>
        <v>7846</v>
      </c>
      <c r="N12" s="550">
        <f>'[12]Rev_NP-12me'!$AJ$43</f>
        <v>8199</v>
      </c>
    </row>
    <row r="13" spans="2:14" x14ac:dyDescent="0.25">
      <c r="C13" s="556" t="s">
        <v>180</v>
      </c>
      <c r="D13" s="556" t="s">
        <v>181</v>
      </c>
      <c r="E13" s="550">
        <v>1164283</v>
      </c>
      <c r="F13" s="550">
        <v>1202763</v>
      </c>
      <c r="G13" s="550">
        <v>1251686</v>
      </c>
      <c r="H13" s="550">
        <v>1285533</v>
      </c>
      <c r="I13" s="550">
        <f>'[8]Rev_NP-12me'!$H$46</f>
        <v>1318401</v>
      </c>
      <c r="J13" s="550">
        <f>'[9]Rev_NP-12me'!$H$46</f>
        <v>1363883</v>
      </c>
      <c r="K13" s="550">
        <f>'[9]Rev_NP-12me'!$AJ$46</f>
        <v>1409365</v>
      </c>
      <c r="L13" s="550">
        <f>'[10]Rev_NP-12me'!$AJ$46</f>
        <v>1460810</v>
      </c>
      <c r="M13" s="550">
        <f>'[11]Rev_NP-12me'!$AJ$46</f>
        <v>1508243</v>
      </c>
      <c r="N13" s="550">
        <f>'[12]Rev_NP-12me'!$AJ$46</f>
        <v>1557216</v>
      </c>
    </row>
    <row r="14" spans="2:14" x14ac:dyDescent="0.25">
      <c r="C14" s="556" t="s">
        <v>182</v>
      </c>
      <c r="D14" s="556" t="s">
        <v>183</v>
      </c>
      <c r="E14" s="550">
        <v>73203</v>
      </c>
      <c r="F14" s="550">
        <v>73633</v>
      </c>
      <c r="G14" s="550">
        <v>75927</v>
      </c>
      <c r="H14" s="550">
        <v>77301</v>
      </c>
      <c r="I14" s="550">
        <f>'[8]Rev_NP-12me'!$H$54+'[8]Rev_NP-12me'!$H$65</f>
        <v>78339</v>
      </c>
      <c r="J14" s="550">
        <f>'[9]Rev_NP-12me'!$H$54+'[9]Rev_NP-12me'!$H$65</f>
        <v>79377</v>
      </c>
      <c r="K14" s="550">
        <f>'[9]Rev_NP-12me'!$AJ$54+'[9]Rev_NP-12me'!$AJ$65</f>
        <v>80415</v>
      </c>
      <c r="L14" s="550">
        <f>'[10]Rev_NP-12me'!$AJ$54+'[10]Rev_NP-12me'!$AJ$65</f>
        <v>101107</v>
      </c>
      <c r="M14" s="550">
        <f>'[11]Rev_NP-12me'!$AJ$54+'[11]Rev_NP-12me'!$AJ$65</f>
        <v>106161.99999999999</v>
      </c>
      <c r="N14" s="550">
        <f>'[12]Rev_NP-12me'!$AJ$54+'[12]Rev_NP-12me'!$AJ$65</f>
        <v>111469.99999999997</v>
      </c>
    </row>
    <row r="15" spans="2:14" x14ac:dyDescent="0.25">
      <c r="C15" s="556" t="s">
        <v>184</v>
      </c>
      <c r="D15" s="556" t="s">
        <v>185</v>
      </c>
      <c r="E15" s="550">
        <v>21836</v>
      </c>
      <c r="F15" s="550">
        <v>21855</v>
      </c>
      <c r="G15" s="550">
        <v>22653</v>
      </c>
      <c r="H15" s="550">
        <v>23766</v>
      </c>
      <c r="I15" s="550">
        <f>'[8]Rev_NP-12me'!$H$58</f>
        <v>24396</v>
      </c>
      <c r="J15" s="550">
        <f>'[9]Rev_NP-12me'!$H$58</f>
        <v>25026</v>
      </c>
      <c r="K15" s="550">
        <f>'[9]Rev_NP-12me'!$AJ$58</f>
        <v>25656</v>
      </c>
      <c r="L15" s="550">
        <f>'[10]Rev_NP-12me'!$AJ$58</f>
        <v>26315</v>
      </c>
      <c r="M15" s="550">
        <f>'[11]Rev_NP-12me'!$AJ$58</f>
        <v>26994</v>
      </c>
      <c r="N15" s="550">
        <f>'[12]Rev_NP-12me'!$AJ$58</f>
        <v>27690</v>
      </c>
    </row>
    <row r="16" spans="2:14" x14ac:dyDescent="0.25">
      <c r="C16" s="556" t="s">
        <v>186</v>
      </c>
      <c r="D16" s="556" t="s">
        <v>187</v>
      </c>
      <c r="E16" s="550">
        <v>240</v>
      </c>
      <c r="F16" s="550">
        <v>648</v>
      </c>
      <c r="G16" s="550">
        <v>1509</v>
      </c>
      <c r="H16" s="550">
        <v>3008</v>
      </c>
      <c r="I16" s="550">
        <f>'[8]Rev_NP-12me'!$H$63</f>
        <v>3214</v>
      </c>
      <c r="J16" s="550">
        <f>'[9]Rev_NP-12me'!$H$63</f>
        <v>3420</v>
      </c>
      <c r="K16" s="550">
        <f>'[9]Rev_NP-12me'!$AJ$63</f>
        <v>3626</v>
      </c>
      <c r="L16" s="550">
        <f>'[10]Rev_NP-12me'!$AJ$63</f>
        <v>3656</v>
      </c>
      <c r="M16" s="550">
        <f>'[11]Rev_NP-12me'!$AJ$63</f>
        <v>3839</v>
      </c>
      <c r="N16" s="550">
        <f>'[12]Rev_NP-12me'!$AJ$63</f>
        <v>4031</v>
      </c>
    </row>
    <row r="17" spans="3:14" x14ac:dyDescent="0.25">
      <c r="C17" s="556" t="s">
        <v>188</v>
      </c>
      <c r="D17" s="556" t="s">
        <v>189</v>
      </c>
      <c r="E17" s="550">
        <v>0</v>
      </c>
      <c r="F17" s="550"/>
      <c r="G17" s="550">
        <v>0</v>
      </c>
      <c r="H17" s="550">
        <v>29</v>
      </c>
      <c r="I17" s="550">
        <f>'[8]Rev_NP-12me'!$H$64</f>
        <v>30</v>
      </c>
      <c r="J17" s="550">
        <f>'[9]Rev_NP-12me'!$H$64</f>
        <v>45</v>
      </c>
      <c r="K17" s="550">
        <f>'[9]Rev_NP-12me'!$AJ$64</f>
        <v>60</v>
      </c>
      <c r="L17" s="550">
        <f>'[10]Rev_NP-12me'!$AJ$64</f>
        <v>289.95749999999998</v>
      </c>
      <c r="M17" s="550">
        <f>'[11]Rev_NP-12me'!$AJ$64</f>
        <v>304.45537500000006</v>
      </c>
      <c r="N17" s="550">
        <f>'[12]Rev_NP-12me'!$AJ$64</f>
        <v>319.67814375</v>
      </c>
    </row>
    <row r="18" spans="3:14" hidden="1" x14ac:dyDescent="0.25">
      <c r="C18" s="556"/>
      <c r="D18" s="556"/>
      <c r="E18" s="551"/>
      <c r="F18" s="551"/>
      <c r="G18" s="551"/>
      <c r="H18" s="551"/>
      <c r="I18" s="551"/>
      <c r="J18" s="551"/>
      <c r="K18" s="551"/>
      <c r="L18" s="551"/>
      <c r="M18" s="551"/>
      <c r="N18" s="551"/>
    </row>
    <row r="19" spans="3:14" hidden="1" x14ac:dyDescent="0.25">
      <c r="C19" s="556"/>
      <c r="D19" s="556"/>
      <c r="E19" s="551"/>
      <c r="F19" s="551"/>
      <c r="G19" s="551"/>
      <c r="H19" s="551"/>
      <c r="I19" s="551"/>
      <c r="J19" s="551"/>
      <c r="K19" s="551"/>
      <c r="L19" s="551"/>
      <c r="M19" s="551"/>
      <c r="N19" s="551"/>
    </row>
    <row r="20" spans="3:14" hidden="1" x14ac:dyDescent="0.25">
      <c r="C20" s="556"/>
      <c r="D20" s="556"/>
      <c r="E20" s="551"/>
      <c r="F20" s="551"/>
      <c r="G20" s="551"/>
      <c r="H20" s="551"/>
      <c r="I20" s="551"/>
      <c r="J20" s="551"/>
      <c r="K20" s="551"/>
      <c r="L20" s="551"/>
      <c r="M20" s="551"/>
      <c r="N20" s="551"/>
    </row>
    <row r="21" spans="3:14" hidden="1" x14ac:dyDescent="0.25">
      <c r="C21" s="556"/>
      <c r="D21" s="556"/>
      <c r="E21" s="551"/>
      <c r="F21" s="551"/>
      <c r="G21" s="551"/>
      <c r="H21" s="551"/>
      <c r="I21" s="551"/>
      <c r="J21" s="551"/>
      <c r="K21" s="551"/>
      <c r="L21" s="551"/>
      <c r="M21" s="551"/>
      <c r="N21" s="551"/>
    </row>
    <row r="22" spans="3:14" x14ac:dyDescent="0.25">
      <c r="C22" s="739" t="s">
        <v>190</v>
      </c>
      <c r="D22" s="740"/>
      <c r="E22" s="552">
        <f t="shared" ref="E22:N22" si="0">SUM(E9:E21)</f>
        <v>5276988</v>
      </c>
      <c r="F22" s="552">
        <f t="shared" si="0"/>
        <v>5420992</v>
      </c>
      <c r="G22" s="552">
        <f t="shared" si="0"/>
        <v>5647070</v>
      </c>
      <c r="H22" s="552">
        <f t="shared" si="0"/>
        <v>5818679</v>
      </c>
      <c r="I22" s="552">
        <f t="shared" si="0"/>
        <v>5991205</v>
      </c>
      <c r="J22" s="552">
        <f t="shared" si="0"/>
        <v>6176359</v>
      </c>
      <c r="K22" s="552">
        <f t="shared" si="0"/>
        <v>6361513</v>
      </c>
      <c r="L22" s="552">
        <f t="shared" si="0"/>
        <v>6874681.9574999996</v>
      </c>
      <c r="M22" s="552">
        <f t="shared" si="0"/>
        <v>7168464.4553749999</v>
      </c>
      <c r="N22" s="552">
        <f t="shared" si="0"/>
        <v>7476121.6781437499</v>
      </c>
    </row>
    <row r="23" spans="3:14" x14ac:dyDescent="0.25">
      <c r="C23" s="739" t="s">
        <v>191</v>
      </c>
      <c r="D23" s="740"/>
      <c r="E23" s="552"/>
      <c r="F23" s="552"/>
      <c r="G23" s="552"/>
      <c r="H23" s="553"/>
      <c r="I23" s="553"/>
      <c r="J23" s="553"/>
      <c r="K23" s="553"/>
      <c r="L23" s="553"/>
      <c r="M23" s="553"/>
      <c r="N23" s="553"/>
    </row>
    <row r="24" spans="3:14" x14ac:dyDescent="0.25">
      <c r="C24" s="556" t="s">
        <v>192</v>
      </c>
      <c r="D24" s="556" t="s">
        <v>193</v>
      </c>
      <c r="E24" s="550">
        <v>1935</v>
      </c>
      <c r="F24" s="550">
        <v>2062</v>
      </c>
      <c r="G24" s="550">
        <v>2211</v>
      </c>
      <c r="H24" s="550">
        <v>2311</v>
      </c>
      <c r="I24" s="550">
        <f>'[8]Rev_NP-12me'!$H$84</f>
        <v>2379</v>
      </c>
      <c r="J24" s="550">
        <f>'[9]Rev_NP-12me'!$H$84</f>
        <v>2449</v>
      </c>
      <c r="K24" s="550">
        <f>'[9]Rev_NP-12me'!$AJ$84</f>
        <v>2517</v>
      </c>
      <c r="L24" s="550">
        <f>'[10]Rev_NP-12me'!$AJ$84</f>
        <v>3058.5422922006592</v>
      </c>
      <c r="M24" s="550">
        <f>'[11]Rev_NP-12me'!$AJ$84</f>
        <v>3279.7239106554371</v>
      </c>
      <c r="N24" s="550">
        <f>'[12]Rev_NP-12me'!$AJ$84</f>
        <v>3516.4954229220066</v>
      </c>
    </row>
    <row r="25" spans="3:14" x14ac:dyDescent="0.25">
      <c r="C25" s="556" t="s">
        <v>194</v>
      </c>
      <c r="D25" s="556" t="s">
        <v>195</v>
      </c>
      <c r="E25" s="550">
        <v>0</v>
      </c>
      <c r="F25" s="550">
        <v>0</v>
      </c>
      <c r="G25" s="550">
        <v>0</v>
      </c>
      <c r="H25" s="550">
        <v>0</v>
      </c>
      <c r="I25" s="550">
        <f>'[8]Rev_NP-12me'!$H$99</f>
        <v>0</v>
      </c>
      <c r="J25" s="550">
        <f>'[9]Rev_NP-12me'!$H$99</f>
        <v>0</v>
      </c>
      <c r="K25" s="550">
        <f>'[9]Rev_NP-12me'!$AJ$99</f>
        <v>0</v>
      </c>
      <c r="L25" s="550">
        <f>'[10]Rev_NP-12me'!$AJ$99</f>
        <v>0</v>
      </c>
      <c r="M25" s="550">
        <f>'[11]Rev_NP-12me'!$AJ$99</f>
        <v>0</v>
      </c>
      <c r="N25" s="550">
        <f>'[12]Rev_NP-12me'!$AJ$99</f>
        <v>0</v>
      </c>
    </row>
    <row r="26" spans="3:14" x14ac:dyDescent="0.25">
      <c r="C26" s="556" t="s">
        <v>196</v>
      </c>
      <c r="D26" s="556" t="s">
        <v>197</v>
      </c>
      <c r="E26" s="550">
        <v>463</v>
      </c>
      <c r="F26" s="550">
        <v>488</v>
      </c>
      <c r="G26" s="550">
        <v>556</v>
      </c>
      <c r="H26" s="550">
        <v>648</v>
      </c>
      <c r="I26" s="550">
        <f>'[8]Rev_NP-12me'!$H$100</f>
        <v>756</v>
      </c>
      <c r="J26" s="550">
        <f>'[9]Rev_NP-12me'!$H$100</f>
        <v>819</v>
      </c>
      <c r="K26" s="550">
        <f>'[9]Rev_NP-12me'!$AJ$100</f>
        <v>882</v>
      </c>
      <c r="L26" s="550">
        <f>'[10]Rev_NP-12me'!$AJ$100</f>
        <v>944.20588235294133</v>
      </c>
      <c r="M26" s="550">
        <f>'[11]Rev_NP-12me'!$AJ$100</f>
        <v>1037.2830882352944</v>
      </c>
      <c r="N26" s="550">
        <f>'[12]Rev_NP-12me'!$AJ$100</f>
        <v>1138.9963235294119</v>
      </c>
    </row>
    <row r="27" spans="3:14" x14ac:dyDescent="0.25">
      <c r="C27" s="556" t="s">
        <v>198</v>
      </c>
      <c r="D27" s="556" t="s">
        <v>199</v>
      </c>
      <c r="E27" s="550"/>
      <c r="F27" s="550">
        <v>0</v>
      </c>
      <c r="G27" s="550">
        <v>1</v>
      </c>
      <c r="H27" s="550">
        <v>1</v>
      </c>
      <c r="I27" s="550">
        <f>'[8]Rev_NP-12me'!$H$105</f>
        <v>2</v>
      </c>
      <c r="J27" s="550">
        <f>'[9]Rev_NP-12me'!$H$105</f>
        <v>2</v>
      </c>
      <c r="K27" s="550">
        <f>'[9]Rev_NP-12me'!$AJ$105</f>
        <v>2</v>
      </c>
      <c r="L27" s="550">
        <f>'[10]Rev_NP-12me'!$AJ$105</f>
        <v>2.4117647058823533</v>
      </c>
      <c r="M27" s="550">
        <f>'[11]Rev_NP-12me'!$AJ$105</f>
        <v>2.649509803921569</v>
      </c>
      <c r="N27" s="550">
        <f>'[12]Rev_NP-12me'!$AJ$105</f>
        <v>2.9093137254901964</v>
      </c>
    </row>
    <row r="28" spans="3:14" x14ac:dyDescent="0.25">
      <c r="C28" s="556" t="s">
        <v>200</v>
      </c>
      <c r="D28" s="556" t="s">
        <v>201</v>
      </c>
      <c r="E28" s="550">
        <v>18</v>
      </c>
      <c r="F28" s="550">
        <v>18</v>
      </c>
      <c r="G28" s="550">
        <v>20</v>
      </c>
      <c r="H28" s="550">
        <v>21</v>
      </c>
      <c r="I28" s="550">
        <f>'[8]Rev_NP-12me'!$H$110</f>
        <v>21</v>
      </c>
      <c r="J28" s="550">
        <f>'[9]Rev_NP-12me'!$H$110</f>
        <v>21</v>
      </c>
      <c r="K28" s="550">
        <f>'[9]Rev_NP-12me'!$AJ$110</f>
        <v>21</v>
      </c>
      <c r="L28" s="550">
        <f>'[10]Rev_NP-12me'!$AJ$110</f>
        <v>24</v>
      </c>
      <c r="M28" s="550">
        <f>'[11]Rev_NP-12me'!$AJ$110</f>
        <v>25</v>
      </c>
      <c r="N28" s="550">
        <f>'[12]Rev_NP-12me'!$AJ$110</f>
        <v>22</v>
      </c>
    </row>
    <row r="29" spans="3:14" x14ac:dyDescent="0.25">
      <c r="C29" s="556" t="s">
        <v>202</v>
      </c>
      <c r="D29" s="556" t="s">
        <v>203</v>
      </c>
      <c r="E29" s="550">
        <v>203</v>
      </c>
      <c r="F29" s="550">
        <v>205</v>
      </c>
      <c r="G29" s="550">
        <v>206</v>
      </c>
      <c r="H29" s="550">
        <v>202</v>
      </c>
      <c r="I29" s="550">
        <f>'[8]Rev_NP-12me'!$H$115</f>
        <v>201</v>
      </c>
      <c r="J29" s="550">
        <f>'[9]Rev_NP-12me'!$H$115</f>
        <v>201</v>
      </c>
      <c r="K29" s="550">
        <f>'[9]Rev_NP-12me'!$AJ$115</f>
        <v>201</v>
      </c>
      <c r="L29" s="550">
        <f>'[10]Rev_NP-12me'!$AJ$115</f>
        <v>249.48888888888891</v>
      </c>
      <c r="M29" s="550">
        <f>'[11]Rev_NP-12me'!$AJ$115</f>
        <v>267.89777777777778</v>
      </c>
      <c r="N29" s="550">
        <f>'[12]Rev_NP-12me'!$AJ$115</f>
        <v>289.69777777777779</v>
      </c>
    </row>
    <row r="30" spans="3:14" x14ac:dyDescent="0.25">
      <c r="C30" s="556" t="s">
        <v>204</v>
      </c>
      <c r="D30" s="556" t="s">
        <v>205</v>
      </c>
      <c r="E30" s="550">
        <v>130</v>
      </c>
      <c r="F30" s="550">
        <v>123</v>
      </c>
      <c r="G30" s="550">
        <v>119</v>
      </c>
      <c r="H30" s="550">
        <v>115</v>
      </c>
      <c r="I30" s="550">
        <f>'[8]Rev_NP-12me'!$H$127</f>
        <v>111</v>
      </c>
      <c r="J30" s="550">
        <f>'[9]Rev_NP-12me'!$H$127</f>
        <v>112</v>
      </c>
      <c r="K30" s="550">
        <f>'[9]Rev_NP-12me'!$AJ$127</f>
        <v>112</v>
      </c>
      <c r="L30" s="550">
        <f>'[10]Rev_NP-12me'!$AJ$127</f>
        <v>137.33333333333334</v>
      </c>
      <c r="M30" s="550">
        <f>'[11]Rev_NP-12me'!$AJ$127</f>
        <v>147.46666666666667</v>
      </c>
      <c r="N30" s="550">
        <f>'[12]Rev_NP-12me'!$AJ$127</f>
        <v>159.46666666666667</v>
      </c>
    </row>
    <row r="31" spans="3:14" x14ac:dyDescent="0.25">
      <c r="C31" s="556" t="s">
        <v>206</v>
      </c>
      <c r="D31" s="556" t="s">
        <v>207</v>
      </c>
      <c r="E31" s="550">
        <v>17</v>
      </c>
      <c r="F31" s="550">
        <v>18</v>
      </c>
      <c r="G31" s="550">
        <v>18</v>
      </c>
      <c r="H31" s="550">
        <v>18</v>
      </c>
      <c r="I31" s="550">
        <f>'[8]Rev_NP-12me'!$H$117</f>
        <v>19</v>
      </c>
      <c r="J31" s="550">
        <f>'[9]Rev_NP-12me'!$H$117</f>
        <v>19</v>
      </c>
      <c r="K31" s="550">
        <f>'[9]Rev_NP-12me'!$AJ$117</f>
        <v>19</v>
      </c>
      <c r="L31" s="550">
        <f>'[10]Rev_NP-12me'!$AJ$117</f>
        <v>19.241379310344833</v>
      </c>
      <c r="M31" s="550">
        <f>'[11]Rev_NP-12me'!$AJ$117</f>
        <v>19.862068965517246</v>
      </c>
      <c r="N31" s="550">
        <f>'[12]Rev_NP-12me'!$AJ$117</f>
        <v>20.482758620689658</v>
      </c>
    </row>
    <row r="32" spans="3:14" x14ac:dyDescent="0.25">
      <c r="C32" s="556" t="s">
        <v>208</v>
      </c>
      <c r="D32" s="556" t="s">
        <v>187</v>
      </c>
      <c r="E32" s="550">
        <v>35</v>
      </c>
      <c r="F32" s="550">
        <v>36</v>
      </c>
      <c r="G32" s="550">
        <v>41</v>
      </c>
      <c r="H32" s="550">
        <v>45</v>
      </c>
      <c r="I32" s="550">
        <f>'[8]Rev_NP-12me'!$H$120</f>
        <v>45</v>
      </c>
      <c r="J32" s="550">
        <f>'[9]Rev_NP-12me'!$H$120</f>
        <v>41</v>
      </c>
      <c r="K32" s="550">
        <f>'[9]Rev_NP-12me'!$AJ$120</f>
        <v>41</v>
      </c>
      <c r="L32" s="550">
        <f>'[10]Rev_NP-12me'!$AJ$120</f>
        <v>51.94736842105263</v>
      </c>
      <c r="M32" s="550">
        <f>'[11]Rev_NP-12me'!$AJ$120</f>
        <v>54.421052631578945</v>
      </c>
      <c r="N32" s="550">
        <f>'[12]Rev_NP-12me'!$AJ$120</f>
        <v>57.719298245614027</v>
      </c>
    </row>
    <row r="33" spans="3:14" x14ac:dyDescent="0.25">
      <c r="C33" s="556" t="s">
        <v>209</v>
      </c>
      <c r="D33" s="556" t="s">
        <v>210</v>
      </c>
      <c r="E33" s="550">
        <v>1</v>
      </c>
      <c r="F33" s="550">
        <v>1</v>
      </c>
      <c r="G33" s="550">
        <v>1</v>
      </c>
      <c r="H33" s="550">
        <v>1</v>
      </c>
      <c r="I33" s="550">
        <f>'[8]Rev_NP-12me'!$H$121</f>
        <v>1</v>
      </c>
      <c r="J33" s="550">
        <f>'[9]Rev_NP-12me'!$H$121</f>
        <v>1</v>
      </c>
      <c r="K33" s="550">
        <f>'[9]Rev_NP-12me'!$AJ$121</f>
        <v>1</v>
      </c>
      <c r="L33" s="550">
        <f>'[10]Rev_NP-12me'!$AJ$121</f>
        <v>1</v>
      </c>
      <c r="M33" s="550">
        <f>'[11]Rev_NP-12me'!$AJ$121</f>
        <v>1</v>
      </c>
      <c r="N33" s="550">
        <f>'[12]Rev_NP-12me'!$AJ$121</f>
        <v>1</v>
      </c>
    </row>
    <row r="34" spans="3:14" x14ac:dyDescent="0.25">
      <c r="C34" s="556" t="s">
        <v>211</v>
      </c>
      <c r="D34" s="556" t="s">
        <v>189</v>
      </c>
      <c r="E34" s="550"/>
      <c r="F34" s="550">
        <v>0</v>
      </c>
      <c r="G34" s="550">
        <v>0</v>
      </c>
      <c r="H34" s="550">
        <v>0</v>
      </c>
      <c r="I34" s="550">
        <v>0</v>
      </c>
      <c r="J34" s="550">
        <f>'[9]Rev_NP-12me'!$H$122</f>
        <v>0</v>
      </c>
      <c r="K34" s="550">
        <f>'[9]Rev_NP-12me'!$AJ$122</f>
        <v>0</v>
      </c>
      <c r="L34" s="550">
        <v>0</v>
      </c>
      <c r="M34" s="550">
        <v>0</v>
      </c>
      <c r="N34" s="550">
        <v>0</v>
      </c>
    </row>
    <row r="35" spans="3:14" hidden="1" x14ac:dyDescent="0.25">
      <c r="C35" s="556"/>
      <c r="D35" s="556"/>
      <c r="E35" s="551"/>
      <c r="F35" s="551"/>
      <c r="G35" s="551"/>
      <c r="H35" s="551"/>
      <c r="I35" s="551"/>
      <c r="J35" s="551"/>
      <c r="K35" s="551"/>
      <c r="L35" s="551"/>
      <c r="M35" s="551"/>
      <c r="N35" s="551"/>
    </row>
    <row r="36" spans="3:14" hidden="1" x14ac:dyDescent="0.25">
      <c r="C36" s="556"/>
      <c r="D36" s="556"/>
      <c r="E36" s="551"/>
      <c r="F36" s="551"/>
      <c r="G36" s="551"/>
      <c r="H36" s="551"/>
      <c r="I36" s="551"/>
      <c r="J36" s="551"/>
      <c r="K36" s="551"/>
      <c r="L36" s="551"/>
      <c r="M36" s="551"/>
      <c r="N36" s="551"/>
    </row>
    <row r="37" spans="3:14" hidden="1" x14ac:dyDescent="0.25">
      <c r="C37" s="556"/>
      <c r="D37" s="556"/>
      <c r="E37" s="551"/>
      <c r="F37" s="551"/>
      <c r="G37" s="551"/>
      <c r="H37" s="551"/>
      <c r="I37" s="551"/>
      <c r="J37" s="551"/>
      <c r="K37" s="551"/>
      <c r="L37" s="551"/>
      <c r="M37" s="551"/>
      <c r="N37" s="551"/>
    </row>
    <row r="38" spans="3:14" hidden="1" x14ac:dyDescent="0.25">
      <c r="C38" s="556"/>
      <c r="D38" s="556"/>
      <c r="E38" s="551"/>
      <c r="F38" s="551"/>
      <c r="G38" s="551"/>
      <c r="H38" s="551"/>
      <c r="I38" s="551"/>
      <c r="J38" s="551"/>
      <c r="K38" s="551"/>
      <c r="L38" s="551"/>
      <c r="M38" s="551"/>
      <c r="N38" s="551"/>
    </row>
    <row r="39" spans="3:14" x14ac:dyDescent="0.25">
      <c r="C39" s="739" t="s">
        <v>212</v>
      </c>
      <c r="D39" s="740"/>
      <c r="E39" s="552">
        <f t="shared" ref="E39:N39" si="1">SUM(E24:E38)</f>
        <v>2802</v>
      </c>
      <c r="F39" s="552">
        <f t="shared" si="1"/>
        <v>2951</v>
      </c>
      <c r="G39" s="552">
        <f t="shared" si="1"/>
        <v>3173</v>
      </c>
      <c r="H39" s="552">
        <f t="shared" si="1"/>
        <v>3362</v>
      </c>
      <c r="I39" s="552">
        <f t="shared" si="1"/>
        <v>3535</v>
      </c>
      <c r="J39" s="552">
        <f t="shared" si="1"/>
        <v>3665</v>
      </c>
      <c r="K39" s="552">
        <f t="shared" si="1"/>
        <v>3796</v>
      </c>
      <c r="L39" s="552">
        <f t="shared" si="1"/>
        <v>4488.1709092131023</v>
      </c>
      <c r="M39" s="552">
        <f t="shared" si="1"/>
        <v>4835.3040747361938</v>
      </c>
      <c r="N39" s="552">
        <f t="shared" si="1"/>
        <v>5208.7675614876553</v>
      </c>
    </row>
    <row r="40" spans="3:14" x14ac:dyDescent="0.25">
      <c r="C40" s="739" t="s">
        <v>213</v>
      </c>
      <c r="D40" s="740"/>
      <c r="E40" s="552"/>
      <c r="F40" s="552"/>
      <c r="G40" s="552"/>
      <c r="H40" s="553"/>
      <c r="I40" s="553"/>
      <c r="J40" s="553"/>
      <c r="K40" s="553"/>
      <c r="L40" s="553"/>
      <c r="M40" s="553"/>
      <c r="N40" s="553"/>
    </row>
    <row r="41" spans="3:14" x14ac:dyDescent="0.25">
      <c r="C41" s="556" t="s">
        <v>192</v>
      </c>
      <c r="D41" s="556" t="s">
        <v>193</v>
      </c>
      <c r="E41" s="550">
        <v>47</v>
      </c>
      <c r="F41" s="550">
        <v>47</v>
      </c>
      <c r="G41" s="550">
        <v>46</v>
      </c>
      <c r="H41" s="550">
        <v>48</v>
      </c>
      <c r="I41" s="550">
        <f>'[8]Rev_NP-12me'!$H$144</f>
        <v>50</v>
      </c>
      <c r="J41" s="550">
        <f>'[9]Rev_NP-12me'!$H$144</f>
        <v>52</v>
      </c>
      <c r="K41" s="550">
        <f>'[9]Rev_NP-12me'!$AJ$144</f>
        <v>52</v>
      </c>
      <c r="L41" s="550">
        <f>'[10]Rev_NP-12me'!$AJ$144</f>
        <v>62.067374588062982</v>
      </c>
      <c r="M41" s="550">
        <f>'[11]Rev_NP-12me'!$AJ$144</f>
        <v>66.555840351519592</v>
      </c>
      <c r="N41" s="550">
        <f>'[12]Rev_NP-12me'!$AJ$144</f>
        <v>71.360673745880632</v>
      </c>
    </row>
    <row r="42" spans="3:14" x14ac:dyDescent="0.25">
      <c r="C42" s="556" t="s">
        <v>194</v>
      </c>
      <c r="D42" s="556" t="s">
        <v>195</v>
      </c>
      <c r="E42" s="550">
        <v>1</v>
      </c>
      <c r="F42" s="550">
        <v>1</v>
      </c>
      <c r="G42" s="550">
        <v>2</v>
      </c>
      <c r="H42" s="550">
        <v>2</v>
      </c>
      <c r="I42" s="550">
        <f>'[8]Rev_NP-12me'!$H$161</f>
        <v>1</v>
      </c>
      <c r="J42" s="550">
        <f>'[9]Rev_NP-12me'!$H$161</f>
        <v>1</v>
      </c>
      <c r="K42" s="550">
        <f>'[9]Rev_NP-12me'!$AJ$161</f>
        <v>1</v>
      </c>
      <c r="L42" s="550">
        <f>'[10]Rev_NP-12me'!$AJ$161</f>
        <v>2</v>
      </c>
      <c r="M42" s="550">
        <f>'[11]Rev_NP-12me'!$AJ$161</f>
        <v>2</v>
      </c>
      <c r="N42" s="550">
        <f>'[12]Rev_NP-12me'!$AJ$161</f>
        <v>2</v>
      </c>
    </row>
    <row r="43" spans="3:14" x14ac:dyDescent="0.25">
      <c r="C43" s="556" t="s">
        <v>196</v>
      </c>
      <c r="D43" s="556" t="s">
        <v>197</v>
      </c>
      <c r="E43" s="550">
        <v>16</v>
      </c>
      <c r="F43" s="550">
        <v>16</v>
      </c>
      <c r="G43" s="550">
        <v>18</v>
      </c>
      <c r="H43" s="550">
        <v>21</v>
      </c>
      <c r="I43" s="550">
        <f>'[8]Rev_NP-12me'!$H$162</f>
        <v>22</v>
      </c>
      <c r="J43" s="550">
        <f>'[9]Rev_NP-12me'!$H$162</f>
        <v>22</v>
      </c>
      <c r="K43" s="550">
        <f>'[9]Rev_NP-12me'!$AJ$162</f>
        <v>22</v>
      </c>
      <c r="L43" s="550">
        <f>'[10]Rev_NP-12me'!$AJ$162</f>
        <v>27.735294117647065</v>
      </c>
      <c r="M43" s="550">
        <f>'[11]Rev_NP-12me'!$AJ$162</f>
        <v>30.469362745098046</v>
      </c>
      <c r="N43" s="550">
        <f>'[12]Rev_NP-12me'!$AJ$162</f>
        <v>33.457107843137258</v>
      </c>
    </row>
    <row r="44" spans="3:14" x14ac:dyDescent="0.25">
      <c r="C44" s="556" t="s">
        <v>198</v>
      </c>
      <c r="D44" s="556" t="s">
        <v>199</v>
      </c>
      <c r="E44" s="550"/>
      <c r="F44" s="550"/>
      <c r="G44" s="550"/>
      <c r="H44" s="550"/>
      <c r="I44" s="550">
        <f>'[8]Rev_NP-12me'!$H$168</f>
        <v>0</v>
      </c>
      <c r="J44" s="550">
        <f>'[9]Rev_NP-12me'!$H$168</f>
        <v>0</v>
      </c>
      <c r="K44" s="550">
        <f>'[9]Rev_NP-12me'!$AJ$168</f>
        <v>0</v>
      </c>
      <c r="L44" s="550">
        <f>'[10]Rev_NP-12me'!$AJ$168</f>
        <v>0</v>
      </c>
      <c r="M44" s="550">
        <f>'[11]Rev_NP-12me'!$AJ$168</f>
        <v>0</v>
      </c>
      <c r="N44" s="550">
        <f>'[12]Rev_NP-12me'!$AJ$168</f>
        <v>0</v>
      </c>
    </row>
    <row r="45" spans="3:14" x14ac:dyDescent="0.25">
      <c r="C45" s="556" t="s">
        <v>200</v>
      </c>
      <c r="D45" s="556" t="s">
        <v>201</v>
      </c>
      <c r="E45" s="550">
        <v>0</v>
      </c>
      <c r="F45" s="550">
        <v>0</v>
      </c>
      <c r="G45" s="550">
        <v>0</v>
      </c>
      <c r="H45" s="550">
        <v>0</v>
      </c>
      <c r="I45" s="550">
        <f>'[8]Rev_NP-12me'!$H$173</f>
        <v>0</v>
      </c>
      <c r="J45" s="550">
        <f>'[9]Rev_NP-12me'!$H$173</f>
        <v>0</v>
      </c>
      <c r="K45" s="550">
        <f>'[9]Rev_NP-12me'!$AJ$173</f>
        <v>0</v>
      </c>
      <c r="L45" s="550">
        <f>'[10]Rev_NP-12me'!$AJ$173</f>
        <v>0</v>
      </c>
      <c r="M45" s="550">
        <f>'[11]Rev_NP-12me'!$AJ$173</f>
        <v>0</v>
      </c>
      <c r="N45" s="550">
        <f>'[12]Rev_NP-12me'!$AJ$173</f>
        <v>0</v>
      </c>
    </row>
    <row r="46" spans="3:14" x14ac:dyDescent="0.25">
      <c r="C46" s="556" t="s">
        <v>202</v>
      </c>
      <c r="D46" s="556" t="s">
        <v>203</v>
      </c>
      <c r="E46" s="550">
        <v>22</v>
      </c>
      <c r="F46" s="550">
        <v>22</v>
      </c>
      <c r="G46" s="550">
        <v>22</v>
      </c>
      <c r="H46" s="550">
        <v>22</v>
      </c>
      <c r="I46" s="550">
        <f>'[8]Rev_NP-12me'!$H$178</f>
        <v>22</v>
      </c>
      <c r="J46" s="550">
        <f>'[9]Rev_NP-12me'!$H$178</f>
        <v>22</v>
      </c>
      <c r="K46" s="550">
        <f>'[9]Rev_NP-12me'!$AJ$178</f>
        <v>22</v>
      </c>
      <c r="L46" s="550">
        <f>'[10]Rev_NP-12me'!$AJ$178</f>
        <v>34.333333333333336</v>
      </c>
      <c r="M46" s="550">
        <f>'[11]Rev_NP-12me'!$AJ$178</f>
        <v>36.866666666666667</v>
      </c>
      <c r="N46" s="550">
        <f>'[12]Rev_NP-12me'!$AJ$178</f>
        <v>39.866666666666667</v>
      </c>
    </row>
    <row r="47" spans="3:14" x14ac:dyDescent="0.25">
      <c r="C47" s="556" t="s">
        <v>204</v>
      </c>
      <c r="D47" s="556" t="s">
        <v>205</v>
      </c>
      <c r="E47" s="550">
        <v>26</v>
      </c>
      <c r="F47" s="550">
        <v>27</v>
      </c>
      <c r="G47" s="550">
        <v>27</v>
      </c>
      <c r="H47" s="550">
        <v>27</v>
      </c>
      <c r="I47" s="550">
        <f>'[8]Rev_NP-12me'!$H$184</f>
        <v>28</v>
      </c>
      <c r="J47" s="550">
        <f>'[9]Rev_NP-12me'!$H$184</f>
        <v>28</v>
      </c>
      <c r="K47" s="550">
        <f>'[9]Rev_NP-12me'!$AJ$184</f>
        <v>28</v>
      </c>
      <c r="L47" s="550">
        <f>'[10]Rev_NP-12me'!$AJ$184</f>
        <v>44.63333333333334</v>
      </c>
      <c r="M47" s="550">
        <f>'[11]Rev_NP-12me'!$AJ$184</f>
        <v>47.926666666666677</v>
      </c>
      <c r="N47" s="550">
        <f>'[12]Rev_NP-12me'!$AJ$184</f>
        <v>51.826666666666682</v>
      </c>
    </row>
    <row r="48" spans="3:14" x14ac:dyDescent="0.25">
      <c r="C48" s="556" t="s">
        <v>206</v>
      </c>
      <c r="D48" s="556" t="s">
        <v>207</v>
      </c>
      <c r="E48" s="550">
        <v>7</v>
      </c>
      <c r="F48" s="550">
        <v>7</v>
      </c>
      <c r="G48" s="550">
        <v>8</v>
      </c>
      <c r="H48" s="550">
        <v>8</v>
      </c>
      <c r="I48" s="550">
        <f>'[8]Rev_NP-12me'!$H$182</f>
        <v>7</v>
      </c>
      <c r="J48" s="550">
        <f>'[9]Rev_NP-12me'!$H$182</f>
        <v>7</v>
      </c>
      <c r="K48" s="550">
        <f>'[9]Rev_NP-12me'!$AJ$182</f>
        <v>7</v>
      </c>
      <c r="L48" s="550">
        <f>'[10]Rev_NP-12me'!$AJ$182</f>
        <v>9.6206896551724164</v>
      </c>
      <c r="M48" s="550">
        <f>'[11]Rev_NP-12me'!$AJ$182</f>
        <v>9.9310344827586228</v>
      </c>
      <c r="N48" s="550">
        <f>'[12]Rev_NP-12me'!$AJ$182</f>
        <v>10.241379310344829</v>
      </c>
    </row>
    <row r="49" spans="3:14" x14ac:dyDescent="0.25">
      <c r="C49" s="556" t="s">
        <v>214</v>
      </c>
      <c r="D49" s="556" t="s">
        <v>187</v>
      </c>
      <c r="E49" s="550">
        <v>6</v>
      </c>
      <c r="F49" s="550">
        <v>9</v>
      </c>
      <c r="G49" s="550">
        <v>9</v>
      </c>
      <c r="H49" s="550">
        <v>6</v>
      </c>
      <c r="I49" s="550">
        <f>'[8]Rev_NP-12me'!$H$183</f>
        <v>9</v>
      </c>
      <c r="J49" s="550">
        <f>'[9]Rev_NP-12me'!$H$183</f>
        <v>9</v>
      </c>
      <c r="K49" s="550">
        <f>'[9]Rev_NP-12me'!$AJ$183</f>
        <v>9</v>
      </c>
      <c r="L49" s="550">
        <f>'[10]Rev_NP-12me'!$AJ$183</f>
        <v>9.9473684210526319</v>
      </c>
      <c r="M49" s="550">
        <f>'[11]Rev_NP-12me'!$AJ$183</f>
        <v>10.421052631578949</v>
      </c>
      <c r="N49" s="550">
        <f>'[12]Rev_NP-12me'!$AJ$183</f>
        <v>11.05263157894737</v>
      </c>
    </row>
    <row r="50" spans="3:14" x14ac:dyDescent="0.25">
      <c r="C50" s="556" t="s">
        <v>209</v>
      </c>
      <c r="D50" s="556" t="s">
        <v>210</v>
      </c>
      <c r="E50" s="554"/>
      <c r="F50" s="554"/>
      <c r="G50" s="554"/>
      <c r="H50" s="554"/>
      <c r="I50" s="554"/>
      <c r="J50" s="554"/>
      <c r="K50" s="554"/>
      <c r="L50" s="551"/>
      <c r="M50" s="551"/>
      <c r="N50" s="551"/>
    </row>
    <row r="51" spans="3:14" x14ac:dyDescent="0.25">
      <c r="C51" s="556" t="s">
        <v>211</v>
      </c>
      <c r="D51" s="556" t="s">
        <v>189</v>
      </c>
      <c r="E51" s="554"/>
      <c r="F51" s="554"/>
      <c r="G51" s="554"/>
      <c r="H51" s="554"/>
      <c r="I51" s="554"/>
      <c r="J51" s="554">
        <f>'[9]Rev_NP-12me'!$H$191</f>
        <v>3</v>
      </c>
      <c r="K51" s="554">
        <f>'[9]Rev_NP-12me'!$AJ$191</f>
        <v>3</v>
      </c>
      <c r="L51" s="554">
        <f>'[10]Rev_NP-12me'!$AJ$191</f>
        <v>3</v>
      </c>
      <c r="M51" s="554">
        <f>'[11]Rev_NP-12me'!$AJ$191</f>
        <v>3</v>
      </c>
      <c r="N51" s="554">
        <f>'[12]Rev_NP-12me'!$AJ$191</f>
        <v>3</v>
      </c>
    </row>
    <row r="52" spans="3:14" hidden="1" x14ac:dyDescent="0.25">
      <c r="C52" s="556"/>
      <c r="D52" s="556"/>
      <c r="E52" s="551"/>
      <c r="F52" s="551"/>
      <c r="G52" s="551"/>
      <c r="H52" s="551"/>
      <c r="I52" s="551"/>
      <c r="J52" s="551"/>
      <c r="K52" s="551"/>
      <c r="L52" s="551"/>
      <c r="M52" s="551"/>
      <c r="N52" s="551"/>
    </row>
    <row r="53" spans="3:14" hidden="1" x14ac:dyDescent="0.25">
      <c r="C53" s="556"/>
      <c r="D53" s="556"/>
      <c r="E53" s="551"/>
      <c r="F53" s="551"/>
      <c r="G53" s="551"/>
      <c r="H53" s="551"/>
      <c r="I53" s="551"/>
      <c r="J53" s="551"/>
      <c r="K53" s="551"/>
      <c r="L53" s="551"/>
      <c r="M53" s="551"/>
      <c r="N53" s="551"/>
    </row>
    <row r="54" spans="3:14" hidden="1" x14ac:dyDescent="0.25">
      <c r="C54" s="556"/>
      <c r="D54" s="556"/>
      <c r="E54" s="551"/>
      <c r="F54" s="551"/>
      <c r="G54" s="551"/>
      <c r="H54" s="551"/>
      <c r="I54" s="551"/>
      <c r="J54" s="551"/>
      <c r="K54" s="551"/>
      <c r="L54" s="551"/>
      <c r="M54" s="551"/>
      <c r="N54" s="551"/>
    </row>
    <row r="55" spans="3:14" hidden="1" x14ac:dyDescent="0.25">
      <c r="C55" s="556"/>
      <c r="D55" s="556"/>
      <c r="E55" s="551"/>
      <c r="F55" s="551"/>
      <c r="G55" s="551"/>
      <c r="H55" s="551"/>
      <c r="I55" s="551"/>
      <c r="J55" s="551"/>
      <c r="K55" s="551"/>
      <c r="L55" s="551"/>
      <c r="M55" s="551"/>
      <c r="N55" s="551"/>
    </row>
    <row r="56" spans="3:14" x14ac:dyDescent="0.25">
      <c r="C56" s="739" t="s">
        <v>212</v>
      </c>
      <c r="D56" s="740"/>
      <c r="E56" s="552">
        <f t="shared" ref="E56:N56" si="2">SUM(E41:E55)</f>
        <v>125</v>
      </c>
      <c r="F56" s="552">
        <f t="shared" si="2"/>
        <v>129</v>
      </c>
      <c r="G56" s="552">
        <f t="shared" si="2"/>
        <v>132</v>
      </c>
      <c r="H56" s="552">
        <f t="shared" si="2"/>
        <v>134</v>
      </c>
      <c r="I56" s="552">
        <f t="shared" si="2"/>
        <v>139</v>
      </c>
      <c r="J56" s="552">
        <f t="shared" si="2"/>
        <v>144</v>
      </c>
      <c r="K56" s="552">
        <f t="shared" si="2"/>
        <v>144</v>
      </c>
      <c r="L56" s="552">
        <f t="shared" si="2"/>
        <v>193.3373934486018</v>
      </c>
      <c r="M56" s="552">
        <f t="shared" si="2"/>
        <v>207.17062354428859</v>
      </c>
      <c r="N56" s="552">
        <f t="shared" si="2"/>
        <v>222.80512581164345</v>
      </c>
    </row>
    <row r="57" spans="3:14" x14ac:dyDescent="0.25">
      <c r="C57" s="739" t="s">
        <v>215</v>
      </c>
      <c r="D57" s="740"/>
      <c r="E57" s="552"/>
      <c r="F57" s="552"/>
      <c r="G57" s="552"/>
      <c r="H57" s="553"/>
      <c r="I57" s="553"/>
      <c r="J57" s="553"/>
      <c r="K57" s="553"/>
      <c r="L57" s="553"/>
      <c r="M57" s="553"/>
      <c r="N57" s="553"/>
    </row>
    <row r="58" spans="3:14" x14ac:dyDescent="0.25">
      <c r="C58" s="556" t="s">
        <v>192</v>
      </c>
      <c r="D58" s="556" t="s">
        <v>193</v>
      </c>
      <c r="E58" s="550">
        <v>17</v>
      </c>
      <c r="F58" s="550">
        <v>17</v>
      </c>
      <c r="G58" s="550">
        <v>16</v>
      </c>
      <c r="H58" s="550">
        <v>16</v>
      </c>
      <c r="I58" s="550">
        <f>'[8]Rev_NP-12me'!$H$201+'[8]Rev_NP-12me'!$H$212</f>
        <v>16</v>
      </c>
      <c r="J58" s="550">
        <f>'[9]Rev_NP-12me'!$H$201+'[9]Rev_NP-12me'!$H$212</f>
        <v>15</v>
      </c>
      <c r="K58" s="550">
        <f>'[9]Rev_NP-12me'!$AJ$201+'[9]Rev_NP-12me'!$AJ$212</f>
        <v>15</v>
      </c>
      <c r="L58" s="550">
        <f>'[10]Rev_NP-12me'!$AJ$201+'[10]Rev_NP-12me'!$AJ$212</f>
        <v>18.39033321127792</v>
      </c>
      <c r="M58" s="550">
        <f>'[11]Rev_NP-12me'!$AJ$201+'[11]Rev_NP-12me'!$AJ$212</f>
        <v>19.720248993042841</v>
      </c>
      <c r="N58" s="550">
        <f>'[12]Rev_NP-12me'!$AJ$201+'[12]Rev_NP-12me'!$AJ$212</f>
        <v>21.143903332112782</v>
      </c>
    </row>
    <row r="59" spans="3:14" x14ac:dyDescent="0.25">
      <c r="C59" s="556" t="s">
        <v>194</v>
      </c>
      <c r="D59" s="556" t="s">
        <v>195</v>
      </c>
      <c r="E59" s="550">
        <v>0</v>
      </c>
      <c r="F59" s="550">
        <v>0</v>
      </c>
      <c r="G59" s="550">
        <v>0</v>
      </c>
      <c r="H59" s="550">
        <v>0</v>
      </c>
      <c r="I59" s="550">
        <f>'[8]Rev_NP-12me'!$H$211</f>
        <v>0</v>
      </c>
      <c r="J59" s="550">
        <f>'[9]Rev_NP-12me'!$H$211</f>
        <v>0</v>
      </c>
      <c r="K59" s="550">
        <f>'[9]Rev_NP-12me'!$AJ$211</f>
        <v>0</v>
      </c>
      <c r="L59" s="550">
        <f>'[10]Rev_NP-12me'!$AJ$211</f>
        <v>0</v>
      </c>
      <c r="M59" s="550">
        <f>'[11]Rev_NP-12me'!$AJ$211</f>
        <v>0</v>
      </c>
      <c r="N59" s="550">
        <f>'[12]Rev_NP-12me'!$AJ$211</f>
        <v>0</v>
      </c>
    </row>
    <row r="60" spans="3:14" x14ac:dyDescent="0.25">
      <c r="C60" s="556" t="s">
        <v>196</v>
      </c>
      <c r="D60" s="556" t="s">
        <v>197</v>
      </c>
      <c r="E60" s="550">
        <v>3</v>
      </c>
      <c r="F60" s="550">
        <v>4</v>
      </c>
      <c r="G60" s="550">
        <v>7</v>
      </c>
      <c r="H60" s="550">
        <v>7</v>
      </c>
      <c r="I60" s="550">
        <f>'[8]Rev_NP-12me'!$H$217</f>
        <v>7</v>
      </c>
      <c r="J60" s="550">
        <f>'[9]Rev_NP-12me'!$H$217</f>
        <v>7</v>
      </c>
      <c r="K60" s="550">
        <f>'[9]Rev_NP-12me'!$AJ$217</f>
        <v>7</v>
      </c>
      <c r="L60" s="550">
        <f>'[10]Rev_NP-12me'!$AJ$217</f>
        <v>9.647058823529413</v>
      </c>
      <c r="M60" s="550">
        <f>'[11]Rev_NP-12me'!$AJ$217</f>
        <v>10.598039215686276</v>
      </c>
      <c r="N60" s="550">
        <f>'[12]Rev_NP-12me'!$AJ$217</f>
        <v>11.637254901960786</v>
      </c>
    </row>
    <row r="61" spans="3:14" x14ac:dyDescent="0.25">
      <c r="C61" s="556" t="s">
        <v>198</v>
      </c>
      <c r="D61" s="556" t="s">
        <v>199</v>
      </c>
      <c r="E61" s="550"/>
      <c r="F61" s="550"/>
      <c r="G61" s="550"/>
      <c r="H61" s="550"/>
      <c r="I61" s="550">
        <f>'[8]Rev_NP-12me'!$H$222</f>
        <v>0</v>
      </c>
      <c r="J61" s="550">
        <f>'[9]Rev_NP-12me'!$H$222</f>
        <v>0</v>
      </c>
      <c r="K61" s="550">
        <f>'[9]Rev_NP-12me'!$AJ$222</f>
        <v>0</v>
      </c>
      <c r="L61" s="550">
        <f>'[10]Rev_NP-12me'!$AJ$222</f>
        <v>0</v>
      </c>
      <c r="M61" s="550">
        <f>'[11]Rev_NP-12me'!$AJ$222</f>
        <v>0</v>
      </c>
      <c r="N61" s="550">
        <f>'[12]Rev_NP-12me'!$AJ$222</f>
        <v>0</v>
      </c>
    </row>
    <row r="62" spans="3:14" x14ac:dyDescent="0.25">
      <c r="C62" s="556" t="s">
        <v>200</v>
      </c>
      <c r="D62" s="556" t="s">
        <v>201</v>
      </c>
      <c r="E62" s="550">
        <v>0</v>
      </c>
      <c r="F62" s="550">
        <v>0</v>
      </c>
      <c r="G62" s="550">
        <v>0</v>
      </c>
      <c r="H62" s="550">
        <v>0</v>
      </c>
      <c r="I62" s="550">
        <f>'[8]Rev_NP-12me'!$H$227</f>
        <v>0</v>
      </c>
      <c r="J62" s="550">
        <f>'[9]Rev_NP-12me'!$H$227</f>
        <v>0</v>
      </c>
      <c r="K62" s="550">
        <f>'[9]Rev_NP-12me'!$AJ$227</f>
        <v>0</v>
      </c>
      <c r="L62" s="550">
        <f>'[10]Rev_NP-12me'!$AJ$227</f>
        <v>0</v>
      </c>
      <c r="M62" s="550">
        <f>'[11]Rev_NP-12me'!$AJ$227</f>
        <v>0</v>
      </c>
      <c r="N62" s="550">
        <f>'[12]Rev_NP-12me'!$AJ$227</f>
        <v>0</v>
      </c>
    </row>
    <row r="63" spans="3:14" x14ac:dyDescent="0.25">
      <c r="C63" s="556" t="s">
        <v>202</v>
      </c>
      <c r="D63" s="556" t="s">
        <v>203</v>
      </c>
      <c r="E63" s="550">
        <v>27</v>
      </c>
      <c r="F63" s="550">
        <v>27</v>
      </c>
      <c r="G63" s="550">
        <v>29</v>
      </c>
      <c r="H63" s="550">
        <v>31</v>
      </c>
      <c r="I63" s="550">
        <f>'[8]Rev_NP-12me'!$H$233</f>
        <v>32</v>
      </c>
      <c r="J63" s="550">
        <f>'[9]Rev_NP-12me'!$H$233</f>
        <v>35</v>
      </c>
      <c r="K63" s="550">
        <f>'[9]Rev_NP-12me'!$AJ$233</f>
        <v>35</v>
      </c>
      <c r="L63" s="550">
        <f>'[10]Rev_NP-12me'!$AJ$233</f>
        <v>48.06666666666667</v>
      </c>
      <c r="M63" s="550">
        <f>'[11]Rev_NP-12me'!$AJ$233</f>
        <v>51.613333333333337</v>
      </c>
      <c r="N63" s="550">
        <f>'[12]Rev_NP-12me'!$AJ$233</f>
        <v>55.81333333333334</v>
      </c>
    </row>
    <row r="64" spans="3:14" x14ac:dyDescent="0.25">
      <c r="C64" s="556" t="s">
        <v>204</v>
      </c>
      <c r="D64" s="556" t="s">
        <v>216</v>
      </c>
      <c r="E64" s="550">
        <v>1</v>
      </c>
      <c r="F64" s="550">
        <v>1</v>
      </c>
      <c r="G64" s="550">
        <v>1</v>
      </c>
      <c r="H64" s="550">
        <v>1</v>
      </c>
      <c r="I64" s="550">
        <f>'[8]Rev_NP-12me'!$H$243</f>
        <v>1</v>
      </c>
      <c r="J64" s="550">
        <f>'[9]Rev_NP-12me'!$H$243</f>
        <v>1</v>
      </c>
      <c r="K64" s="550">
        <f>'[9]Rev_NP-12me'!$AJ$243</f>
        <v>1</v>
      </c>
      <c r="L64" s="550">
        <f>'[10]Rev_NP-12me'!$AJ$243</f>
        <v>1.1444444444444446</v>
      </c>
      <c r="M64" s="550">
        <f>'[11]Rev_NP-12me'!$AJ$243</f>
        <v>1.2288888888888891</v>
      </c>
      <c r="N64" s="550">
        <f>'[12]Rev_NP-12me'!$AJ$243</f>
        <v>1.3288888888888892</v>
      </c>
    </row>
    <row r="65" spans="3:14" x14ac:dyDescent="0.25">
      <c r="C65" s="556" t="s">
        <v>217</v>
      </c>
      <c r="D65" s="556" t="s">
        <v>218</v>
      </c>
      <c r="E65" s="550">
        <v>11</v>
      </c>
      <c r="F65" s="550">
        <v>11</v>
      </c>
      <c r="G65" s="550">
        <v>11</v>
      </c>
      <c r="H65" s="550">
        <v>12</v>
      </c>
      <c r="I65" s="550">
        <f>'[8]Rev_NP-12me'!$H$235</f>
        <v>13</v>
      </c>
      <c r="J65" s="550">
        <f>'[9]Rev_NP-12me'!$H$235</f>
        <v>14</v>
      </c>
      <c r="K65" s="550">
        <f>'[9]Rev_NP-12me'!$AJ$235</f>
        <v>14</v>
      </c>
      <c r="L65" s="550">
        <f>'[10]Rev_NP-12me'!$AJ$235</f>
        <v>14</v>
      </c>
      <c r="M65" s="550">
        <f>'[11]Rev_NP-12me'!$AJ$235</f>
        <v>15</v>
      </c>
      <c r="N65" s="550">
        <f>'[12]Rev_NP-12me'!$AJ$235</f>
        <v>16</v>
      </c>
    </row>
    <row r="66" spans="3:14" x14ac:dyDescent="0.25">
      <c r="C66" s="556" t="s">
        <v>206</v>
      </c>
      <c r="D66" s="556" t="s">
        <v>207</v>
      </c>
      <c r="E66" s="550">
        <v>2</v>
      </c>
      <c r="F66" s="550">
        <v>2</v>
      </c>
      <c r="G66" s="550">
        <v>2</v>
      </c>
      <c r="H66" s="550">
        <v>2</v>
      </c>
      <c r="I66" s="550">
        <f>'[8]Rev_NP-12me'!$H$240</f>
        <v>2</v>
      </c>
      <c r="J66" s="550">
        <f>'[9]Rev_NP-12me'!$H$240</f>
        <v>2</v>
      </c>
      <c r="K66" s="550">
        <f>'[9]Rev_NP-12me'!$AJ$240</f>
        <v>2</v>
      </c>
      <c r="L66" s="550">
        <f>'[10]Rev_NP-12me'!$AJ$240</f>
        <v>2.1379310344827589</v>
      </c>
      <c r="M66" s="550">
        <f>'[11]Rev_NP-12me'!$AJ$240</f>
        <v>2.2068965517241383</v>
      </c>
      <c r="N66" s="550">
        <f>'[12]Rev_NP-12me'!$AJ$240</f>
        <v>2.2758620689655178</v>
      </c>
    </row>
    <row r="67" spans="3:14" x14ac:dyDescent="0.25">
      <c r="C67" s="556" t="s">
        <v>208</v>
      </c>
      <c r="D67" s="556" t="s">
        <v>187</v>
      </c>
      <c r="E67" s="550">
        <v>1</v>
      </c>
      <c r="F67" s="550">
        <v>1</v>
      </c>
      <c r="G67" s="550">
        <v>0</v>
      </c>
      <c r="H67" s="550">
        <v>1</v>
      </c>
      <c r="I67" s="550">
        <f>'[8]Rev_NP-12me'!$H$241</f>
        <v>1</v>
      </c>
      <c r="J67" s="550">
        <f>'[9]Rev_NP-12me'!$H$241</f>
        <v>0</v>
      </c>
      <c r="K67" s="550">
        <f>'[9]Rev_NP-12me'!$AJ$241</f>
        <v>0</v>
      </c>
      <c r="L67" s="550">
        <f>'[10]Rev_NP-12me'!$AJ$241</f>
        <v>1.1052631578947367</v>
      </c>
      <c r="M67" s="550">
        <f>'[11]Rev_NP-12me'!$AJ$241</f>
        <v>1.1578947368421053</v>
      </c>
      <c r="N67" s="550">
        <f>'[12]Rev_NP-12me'!$AJ$241</f>
        <v>1.2280701754385965</v>
      </c>
    </row>
    <row r="68" spans="3:14" x14ac:dyDescent="0.25">
      <c r="C68" s="556" t="s">
        <v>209</v>
      </c>
      <c r="D68" s="556" t="s">
        <v>210</v>
      </c>
      <c r="E68" s="554"/>
      <c r="F68" s="554"/>
      <c r="G68" s="554"/>
      <c r="H68" s="554"/>
      <c r="I68" s="554"/>
      <c r="J68" s="554"/>
      <c r="K68" s="554"/>
      <c r="L68" s="551"/>
      <c r="M68" s="551"/>
      <c r="N68" s="551"/>
    </row>
    <row r="69" spans="3:14" x14ac:dyDescent="0.25">
      <c r="C69" s="556" t="s">
        <v>211</v>
      </c>
      <c r="D69" s="556" t="s">
        <v>189</v>
      </c>
      <c r="E69" s="554"/>
      <c r="F69" s="554"/>
      <c r="G69" s="554"/>
      <c r="H69" s="554"/>
      <c r="I69" s="554"/>
      <c r="J69" s="554"/>
      <c r="K69" s="554"/>
      <c r="L69" s="551"/>
      <c r="M69" s="551"/>
      <c r="N69" s="551"/>
    </row>
    <row r="70" spans="3:14" hidden="1" x14ac:dyDescent="0.25">
      <c r="C70" s="556"/>
      <c r="D70" s="556"/>
      <c r="E70" s="551"/>
      <c r="F70" s="551"/>
      <c r="G70" s="551"/>
      <c r="H70" s="551"/>
      <c r="I70" s="551"/>
      <c r="J70" s="551"/>
      <c r="K70" s="551"/>
      <c r="L70" s="551"/>
      <c r="M70" s="551"/>
      <c r="N70" s="551"/>
    </row>
    <row r="71" spans="3:14" hidden="1" x14ac:dyDescent="0.25">
      <c r="C71" s="556"/>
      <c r="D71" s="556"/>
      <c r="E71" s="551"/>
      <c r="F71" s="551"/>
      <c r="G71" s="551"/>
      <c r="H71" s="551"/>
      <c r="I71" s="551"/>
      <c r="J71" s="551"/>
      <c r="K71" s="551"/>
      <c r="L71" s="551"/>
      <c r="M71" s="551"/>
      <c r="N71" s="551"/>
    </row>
    <row r="72" spans="3:14" hidden="1" x14ac:dyDescent="0.25">
      <c r="C72" s="556"/>
      <c r="D72" s="556"/>
      <c r="E72" s="551"/>
      <c r="F72" s="551"/>
      <c r="G72" s="551"/>
      <c r="H72" s="551"/>
      <c r="I72" s="551"/>
      <c r="J72" s="551"/>
      <c r="K72" s="551"/>
      <c r="L72" s="551"/>
      <c r="M72" s="551"/>
      <c r="N72" s="551"/>
    </row>
    <row r="73" spans="3:14" hidden="1" x14ac:dyDescent="0.25">
      <c r="C73" s="556"/>
      <c r="D73" s="556"/>
      <c r="E73" s="551"/>
      <c r="F73" s="551"/>
      <c r="G73" s="551"/>
      <c r="H73" s="551"/>
      <c r="I73" s="551"/>
      <c r="J73" s="551"/>
      <c r="K73" s="551"/>
      <c r="L73" s="551"/>
      <c r="M73" s="551"/>
      <c r="N73" s="551"/>
    </row>
    <row r="74" spans="3:14" x14ac:dyDescent="0.25">
      <c r="C74" s="739" t="s">
        <v>212</v>
      </c>
      <c r="D74" s="740"/>
      <c r="E74" s="552">
        <f t="shared" ref="E74:N74" si="3">SUM(E58:E73)</f>
        <v>62</v>
      </c>
      <c r="F74" s="552">
        <f t="shared" si="3"/>
        <v>63</v>
      </c>
      <c r="G74" s="552">
        <f t="shared" si="3"/>
        <v>66</v>
      </c>
      <c r="H74" s="552">
        <f t="shared" si="3"/>
        <v>70</v>
      </c>
      <c r="I74" s="552">
        <f t="shared" si="3"/>
        <v>72</v>
      </c>
      <c r="J74" s="552">
        <f t="shared" si="3"/>
        <v>74</v>
      </c>
      <c r="K74" s="552">
        <f t="shared" si="3"/>
        <v>74</v>
      </c>
      <c r="L74" s="552">
        <f t="shared" si="3"/>
        <v>94.49169733829595</v>
      </c>
      <c r="M74" s="552">
        <f t="shared" si="3"/>
        <v>101.5253017195176</v>
      </c>
      <c r="N74" s="552">
        <f t="shared" si="3"/>
        <v>109.42731270069991</v>
      </c>
    </row>
    <row r="75" spans="3:14" x14ac:dyDescent="0.25">
      <c r="C75" s="739" t="s">
        <v>219</v>
      </c>
      <c r="D75" s="740"/>
      <c r="E75" s="552">
        <f t="shared" ref="E75:N75" si="4">E39+E56+E74</f>
        <v>2989</v>
      </c>
      <c r="F75" s="552">
        <f t="shared" si="4"/>
        <v>3143</v>
      </c>
      <c r="G75" s="552">
        <f t="shared" si="4"/>
        <v>3371</v>
      </c>
      <c r="H75" s="552">
        <f t="shared" si="4"/>
        <v>3566</v>
      </c>
      <c r="I75" s="552">
        <f t="shared" si="4"/>
        <v>3746</v>
      </c>
      <c r="J75" s="552">
        <f t="shared" si="4"/>
        <v>3883</v>
      </c>
      <c r="K75" s="552">
        <f t="shared" si="4"/>
        <v>4014</v>
      </c>
      <c r="L75" s="552">
        <f t="shared" si="4"/>
        <v>4776</v>
      </c>
      <c r="M75" s="552">
        <f t="shared" si="4"/>
        <v>5144</v>
      </c>
      <c r="N75" s="552">
        <f t="shared" si="4"/>
        <v>5540.9999999999991</v>
      </c>
    </row>
    <row r="76" spans="3:14" x14ac:dyDescent="0.25">
      <c r="C76" s="739" t="s">
        <v>220</v>
      </c>
      <c r="D76" s="740"/>
      <c r="E76" s="552">
        <f t="shared" ref="E76:N76" si="5">E75+E22</f>
        <v>5279977</v>
      </c>
      <c r="F76" s="552">
        <f t="shared" si="5"/>
        <v>5424135</v>
      </c>
      <c r="G76" s="552">
        <f t="shared" si="5"/>
        <v>5650441</v>
      </c>
      <c r="H76" s="552">
        <f t="shared" si="5"/>
        <v>5822245</v>
      </c>
      <c r="I76" s="552">
        <f t="shared" si="5"/>
        <v>5994951</v>
      </c>
      <c r="J76" s="552">
        <f t="shared" si="5"/>
        <v>6180242</v>
      </c>
      <c r="K76" s="552">
        <f t="shared" si="5"/>
        <v>6365527</v>
      </c>
      <c r="L76" s="552">
        <f t="shared" si="5"/>
        <v>6879457.9574999996</v>
      </c>
      <c r="M76" s="552">
        <f t="shared" si="5"/>
        <v>7173608.4553749999</v>
      </c>
      <c r="N76" s="552">
        <f t="shared" si="5"/>
        <v>7481662.6781437499</v>
      </c>
    </row>
    <row r="78" spans="3:14" x14ac:dyDescent="0.25">
      <c r="D78" s="22"/>
      <c r="E78" s="22"/>
    </row>
    <row r="79" spans="3:14" x14ac:dyDescent="0.25">
      <c r="D79" s="24"/>
      <c r="E79" s="24"/>
    </row>
  </sheetData>
  <mergeCells count="17">
    <mergeCell ref="J5:N5"/>
    <mergeCell ref="C8:D8"/>
    <mergeCell ref="C22:D22"/>
    <mergeCell ref="C23:D23"/>
    <mergeCell ref="C39:D39"/>
    <mergeCell ref="H5:H6"/>
    <mergeCell ref="I5:I6"/>
    <mergeCell ref="C5:D7"/>
    <mergeCell ref="E5:E6"/>
    <mergeCell ref="F5:F6"/>
    <mergeCell ref="G5:G6"/>
    <mergeCell ref="C40:D40"/>
    <mergeCell ref="C57:D57"/>
    <mergeCell ref="C74:D74"/>
    <mergeCell ref="C75:D75"/>
    <mergeCell ref="C76:D76"/>
    <mergeCell ref="C56:D56"/>
  </mergeCells>
  <pageMargins left="0.75" right="0.75" top="1" bottom="1" header="0.5" footer="0.5"/>
  <pageSetup paperSize="9" scale="5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1:P338"/>
  <sheetViews>
    <sheetView showGridLines="0" zoomScale="75" zoomScaleNormal="75" zoomScaleSheetLayoutView="90" workbookViewId="0">
      <selection activeCell="L13" sqref="L13"/>
    </sheetView>
  </sheetViews>
  <sheetFormatPr defaultColWidth="9.109375" defaultRowHeight="13.8" x14ac:dyDescent="0.25"/>
  <cols>
    <col min="1" max="1" width="4.109375" style="4" customWidth="1"/>
    <col min="2" max="2" width="6.33203125" style="4" customWidth="1"/>
    <col min="3" max="3" width="39.6640625" style="4" customWidth="1"/>
    <col min="4" max="4" width="13.6640625" style="4" bestFit="1" customWidth="1"/>
    <col min="5" max="5" width="12.5546875" style="4" bestFit="1" customWidth="1"/>
    <col min="6" max="6" width="13.44140625" style="4" bestFit="1" customWidth="1"/>
    <col min="7" max="7" width="13.6640625" style="4" bestFit="1" customWidth="1"/>
    <col min="8" max="8" width="12.5546875" style="4" bestFit="1" customWidth="1"/>
    <col min="9" max="9" width="13.109375" style="4" bestFit="1" customWidth="1"/>
    <col min="10" max="10" width="12.5546875" style="4" customWidth="1"/>
    <col min="11" max="11" width="11.88671875" style="4" bestFit="1" customWidth="1"/>
    <col min="12" max="12" width="13.88671875" style="4" bestFit="1" customWidth="1"/>
    <col min="13" max="15" width="11.88671875" style="4" hidden="1" customWidth="1"/>
    <col min="16" max="17" width="11.88671875" style="4" bestFit="1" customWidth="1"/>
    <col min="18" max="18" width="11.6640625" style="4" bestFit="1" customWidth="1"/>
    <col min="19" max="16384" width="9.109375" style="4"/>
  </cols>
  <sheetData>
    <row r="1" spans="2:16" x14ac:dyDescent="0.25">
      <c r="B1" s="14"/>
    </row>
    <row r="2" spans="2:16" x14ac:dyDescent="0.25">
      <c r="H2" s="251" t="s">
        <v>0</v>
      </c>
    </row>
    <row r="3" spans="2:16" x14ac:dyDescent="0.25">
      <c r="H3" s="440" t="s">
        <v>569</v>
      </c>
    </row>
    <row r="4" spans="2:16" x14ac:dyDescent="0.25">
      <c r="B4" s="22" t="s">
        <v>699</v>
      </c>
      <c r="H4" s="440"/>
    </row>
    <row r="5" spans="2:16" x14ac:dyDescent="0.25">
      <c r="B5" s="439" t="s">
        <v>570</v>
      </c>
      <c r="C5" s="14" t="s">
        <v>571</v>
      </c>
      <c r="D5" s="15"/>
      <c r="E5" s="15"/>
      <c r="F5" s="15"/>
      <c r="G5" s="15"/>
      <c r="H5" s="15"/>
      <c r="I5" s="15"/>
      <c r="J5" s="15"/>
      <c r="K5" s="15"/>
      <c r="L5" s="15"/>
    </row>
    <row r="6" spans="2:16" x14ac:dyDescent="0.25">
      <c r="L6" s="15" t="s">
        <v>1215</v>
      </c>
      <c r="O6" s="16" t="s">
        <v>3</v>
      </c>
    </row>
    <row r="7" spans="2:16" s="5" customFormat="1" ht="15" customHeight="1" x14ac:dyDescent="0.25">
      <c r="B7" s="758" t="s">
        <v>4</v>
      </c>
      <c r="C7" s="876" t="s">
        <v>5</v>
      </c>
      <c r="D7" s="755" t="s">
        <v>7</v>
      </c>
      <c r="E7" s="756"/>
      <c r="F7" s="757"/>
      <c r="G7" s="755" t="s">
        <v>8</v>
      </c>
      <c r="H7" s="756"/>
      <c r="I7" s="756"/>
      <c r="J7" s="757"/>
      <c r="K7" s="751" t="s">
        <v>9</v>
      </c>
      <c r="L7" s="875"/>
      <c r="M7" s="875"/>
      <c r="N7" s="875"/>
      <c r="O7" s="752"/>
      <c r="P7" s="445"/>
    </row>
    <row r="8" spans="2:16" s="5" customFormat="1" ht="27.6" x14ac:dyDescent="0.25">
      <c r="B8" s="792"/>
      <c r="C8" s="877"/>
      <c r="D8" s="435" t="s">
        <v>10</v>
      </c>
      <c r="E8" s="435" t="s">
        <v>11</v>
      </c>
      <c r="F8" s="435" t="s">
        <v>12</v>
      </c>
      <c r="G8" s="435" t="s">
        <v>10</v>
      </c>
      <c r="H8" s="435" t="s">
        <v>13</v>
      </c>
      <c r="I8" s="435" t="s">
        <v>14</v>
      </c>
      <c r="J8" s="435" t="s">
        <v>15</v>
      </c>
      <c r="K8" s="435" t="s">
        <v>16</v>
      </c>
      <c r="L8" s="435" t="s">
        <v>17</v>
      </c>
      <c r="M8" s="435" t="s">
        <v>18</v>
      </c>
      <c r="N8" s="435" t="s">
        <v>19</v>
      </c>
      <c r="O8" s="435" t="s">
        <v>20</v>
      </c>
    </row>
    <row r="9" spans="2:16" s="5" customFormat="1" x14ac:dyDescent="0.25">
      <c r="B9" s="793"/>
      <c r="C9" s="759"/>
      <c r="D9" s="435" t="s">
        <v>21</v>
      </c>
      <c r="E9" s="435" t="s">
        <v>22</v>
      </c>
      <c r="F9" s="435" t="s">
        <v>23</v>
      </c>
      <c r="G9" s="435" t="s">
        <v>21</v>
      </c>
      <c r="H9" s="435" t="s">
        <v>24</v>
      </c>
      <c r="I9" s="435" t="s">
        <v>25</v>
      </c>
      <c r="J9" s="435" t="s">
        <v>25</v>
      </c>
      <c r="K9" s="435" t="s">
        <v>26</v>
      </c>
      <c r="L9" s="435" t="s">
        <v>26</v>
      </c>
      <c r="M9" s="435" t="s">
        <v>26</v>
      </c>
      <c r="N9" s="435" t="s">
        <v>26</v>
      </c>
      <c r="O9" s="435" t="s">
        <v>26</v>
      </c>
    </row>
    <row r="10" spans="2:16" x14ac:dyDescent="0.25">
      <c r="B10" s="442">
        <v>1</v>
      </c>
      <c r="C10" s="441" t="s">
        <v>572</v>
      </c>
      <c r="D10" s="282"/>
      <c r="E10" s="283">
        <f t="shared" ref="E10:E16" si="0">E67+E143</f>
        <v>0</v>
      </c>
      <c r="F10" s="283">
        <f>E10-D10</f>
        <v>0</v>
      </c>
      <c r="G10" s="284"/>
      <c r="H10" s="283">
        <f t="shared" ref="H10:I18" si="1">H67+H143</f>
        <v>0</v>
      </c>
      <c r="I10" s="285">
        <f t="shared" si="1"/>
        <v>0</v>
      </c>
      <c r="J10" s="286">
        <f>F17</f>
        <v>0</v>
      </c>
      <c r="K10" s="131">
        <f>K67+K143</f>
        <v>0</v>
      </c>
      <c r="L10" s="131">
        <f>L67+L143</f>
        <v>0</v>
      </c>
      <c r="M10" s="131">
        <f>M67+M143</f>
        <v>0</v>
      </c>
      <c r="N10" s="131">
        <f>N67+N143</f>
        <v>0</v>
      </c>
      <c r="O10" s="131">
        <f t="shared" ref="L10:O17" si="2">O67+O143</f>
        <v>0</v>
      </c>
    </row>
    <row r="11" spans="2:16" x14ac:dyDescent="0.25">
      <c r="B11" s="438">
        <f>B10+1</f>
        <v>2</v>
      </c>
      <c r="C11" s="441" t="s">
        <v>573</v>
      </c>
      <c r="D11" s="282"/>
      <c r="E11" s="283">
        <f t="shared" si="0"/>
        <v>0</v>
      </c>
      <c r="F11" s="283">
        <f t="shared" ref="F11:F22" si="3">E11-D11</f>
        <v>0</v>
      </c>
      <c r="G11" s="284"/>
      <c r="H11" s="283">
        <f t="shared" si="1"/>
        <v>0</v>
      </c>
      <c r="I11" s="285">
        <f t="shared" si="1"/>
        <v>0</v>
      </c>
      <c r="J11" s="286">
        <f t="shared" ref="J11:J21" si="4">H11+I11</f>
        <v>0</v>
      </c>
      <c r="K11" s="131">
        <f>K68+K144</f>
        <v>0</v>
      </c>
      <c r="L11" s="131">
        <f t="shared" si="2"/>
        <v>0</v>
      </c>
      <c r="M11" s="131">
        <f t="shared" si="2"/>
        <v>0</v>
      </c>
      <c r="N11" s="131">
        <f t="shared" si="2"/>
        <v>0</v>
      </c>
      <c r="O11" s="131">
        <f t="shared" si="2"/>
        <v>0</v>
      </c>
    </row>
    <row r="12" spans="2:16" x14ac:dyDescent="0.25">
      <c r="B12" s="438">
        <f t="shared" ref="B12:B22" si="5">B11+1</f>
        <v>3</v>
      </c>
      <c r="C12" s="19" t="s">
        <v>574</v>
      </c>
      <c r="D12" s="282"/>
      <c r="E12" s="283">
        <f t="shared" si="0"/>
        <v>10337.480000000001</v>
      </c>
      <c r="F12" s="283">
        <f t="shared" si="3"/>
        <v>10337.480000000001</v>
      </c>
      <c r="G12" s="284"/>
      <c r="H12" s="283">
        <f t="shared" si="1"/>
        <v>12496.69</v>
      </c>
      <c r="I12" s="285">
        <f t="shared" si="1"/>
        <v>13003.649999999998</v>
      </c>
      <c r="J12" s="286">
        <f>'[56]Interest cost'!D4</f>
        <v>2847.9518968950015</v>
      </c>
      <c r="K12" s="272">
        <f>'[56]Interest cost'!E4</f>
        <v>2873.006537839563</v>
      </c>
      <c r="L12" s="272">
        <f>'[56]Interest cost'!F4</f>
        <v>3614.519035206798</v>
      </c>
      <c r="M12" s="272">
        <f>'[56]Interest cost'!G4</f>
        <v>4289.319036857949</v>
      </c>
      <c r="N12" s="272">
        <f>'[56]Interest cost'!H4</f>
        <v>4968.8378245666991</v>
      </c>
      <c r="O12" s="272">
        <f>'[56]Interest cost'!I4</f>
        <v>5679.3091059434782</v>
      </c>
    </row>
    <row r="13" spans="2:16" ht="27.6" x14ac:dyDescent="0.25">
      <c r="B13" s="438">
        <f t="shared" si="5"/>
        <v>4</v>
      </c>
      <c r="C13" s="54" t="s">
        <v>575</v>
      </c>
      <c r="D13" s="287"/>
      <c r="E13" s="283">
        <f t="shared" si="0"/>
        <v>0</v>
      </c>
      <c r="F13" s="283">
        <f t="shared" si="3"/>
        <v>0</v>
      </c>
      <c r="G13" s="288"/>
      <c r="H13" s="283">
        <f t="shared" si="1"/>
        <v>0</v>
      </c>
      <c r="I13" s="285">
        <f t="shared" si="1"/>
        <v>0</v>
      </c>
      <c r="J13" s="286">
        <f t="shared" si="4"/>
        <v>0</v>
      </c>
      <c r="K13" s="131">
        <f>K70+K146</f>
        <v>0</v>
      </c>
      <c r="L13" s="131">
        <f t="shared" si="2"/>
        <v>0</v>
      </c>
      <c r="M13" s="131">
        <f t="shared" si="2"/>
        <v>0</v>
      </c>
      <c r="N13" s="131">
        <f t="shared" si="2"/>
        <v>0</v>
      </c>
      <c r="O13" s="131">
        <f t="shared" si="2"/>
        <v>0</v>
      </c>
    </row>
    <row r="14" spans="2:16" s="22" customFormat="1" ht="27.6" x14ac:dyDescent="0.25">
      <c r="B14" s="438">
        <f t="shared" si="5"/>
        <v>5</v>
      </c>
      <c r="C14" s="27" t="s">
        <v>576</v>
      </c>
      <c r="D14" s="287"/>
      <c r="E14" s="283">
        <f t="shared" si="0"/>
        <v>3392.72</v>
      </c>
      <c r="F14" s="283">
        <f t="shared" si="3"/>
        <v>3392.72</v>
      </c>
      <c r="G14" s="288"/>
      <c r="H14" s="283">
        <f t="shared" si="1"/>
        <v>4508.45</v>
      </c>
      <c r="I14" s="285">
        <f t="shared" si="1"/>
        <v>4267.99</v>
      </c>
      <c r="J14" s="286">
        <f>'[56]Interest cost'!D5</f>
        <v>356.73372877933741</v>
      </c>
      <c r="K14" s="272">
        <f>'[56]Interest cost'!E5</f>
        <v>1111.0810388741152</v>
      </c>
      <c r="L14" s="272">
        <f>'[56]Interest cost'!F5</f>
        <v>1095.6104169554872</v>
      </c>
      <c r="M14" s="272">
        <f>'[56]Interest cost'!G5</f>
        <v>1171.1765121013241</v>
      </c>
      <c r="N14" s="272">
        <f>'[56]Interest cost'!H5</f>
        <v>1271.9371434278901</v>
      </c>
      <c r="O14" s="272">
        <f>'[56]Interest cost'!I5</f>
        <v>1416.7463844151825</v>
      </c>
    </row>
    <row r="15" spans="2:16" ht="27.6" x14ac:dyDescent="0.25">
      <c r="B15" s="438">
        <f t="shared" si="5"/>
        <v>6</v>
      </c>
      <c r="C15" s="54" t="s">
        <v>577</v>
      </c>
      <c r="D15" s="287"/>
      <c r="E15" s="283">
        <f t="shared" si="0"/>
        <v>1233.51</v>
      </c>
      <c r="F15" s="283">
        <f t="shared" si="3"/>
        <v>1233.51</v>
      </c>
      <c r="G15" s="288"/>
      <c r="H15" s="283">
        <f t="shared" si="1"/>
        <v>616.16000000000008</v>
      </c>
      <c r="I15" s="285">
        <f t="shared" si="1"/>
        <v>1546.7199999999998</v>
      </c>
      <c r="J15" s="286">
        <f>'[56]Interest cost'!D6</f>
        <v>369.09419478558482</v>
      </c>
      <c r="K15" s="272">
        <f>'[56]Interest cost'!E6</f>
        <v>414.17720119773298</v>
      </c>
      <c r="L15" s="272">
        <f>'[56]Interest cost'!F6</f>
        <v>459.76523851538525</v>
      </c>
      <c r="M15" s="272">
        <f>'[56]Interest cost'!G6</f>
        <v>532.33540154297532</v>
      </c>
      <c r="N15" s="272">
        <f>'[56]Interest cost'!H6</f>
        <v>601.93697526111441</v>
      </c>
      <c r="O15" s="272">
        <f>'[56]Interest cost'!I6</f>
        <v>691.74151327749337</v>
      </c>
    </row>
    <row r="16" spans="2:16" x14ac:dyDescent="0.25">
      <c r="B16" s="438">
        <f t="shared" si="5"/>
        <v>7</v>
      </c>
      <c r="C16" s="441" t="s">
        <v>578</v>
      </c>
      <c r="D16" s="287"/>
      <c r="E16" s="283">
        <f t="shared" si="0"/>
        <v>12496.69</v>
      </c>
      <c r="F16" s="283">
        <f t="shared" si="3"/>
        <v>12496.69</v>
      </c>
      <c r="G16" s="288"/>
      <c r="H16" s="283">
        <f t="shared" si="1"/>
        <v>16388.980000000003</v>
      </c>
      <c r="I16" s="285">
        <f t="shared" si="1"/>
        <v>15724.919999999998</v>
      </c>
      <c r="J16" s="286">
        <f>'[56]Interest cost'!D8</f>
        <v>2873.006537839563</v>
      </c>
      <c r="K16" s="272">
        <f>'[56]Interest cost'!E8</f>
        <v>3614.519035206798</v>
      </c>
      <c r="L16" s="272">
        <f>'[56]Interest cost'!F8</f>
        <v>4289.319036857949</v>
      </c>
      <c r="M16" s="272">
        <f>'[56]Interest cost'!G8</f>
        <v>4968.8378245666991</v>
      </c>
      <c r="N16" s="272">
        <f>'[56]Interest cost'!H8</f>
        <v>5679.3091059434782</v>
      </c>
      <c r="O16" s="272">
        <f>'[56]Interest cost'!I8</f>
        <v>6464.2421495046547</v>
      </c>
    </row>
    <row r="17" spans="2:15" x14ac:dyDescent="0.25">
      <c r="B17" s="438">
        <f t="shared" si="5"/>
        <v>8</v>
      </c>
      <c r="C17" s="441" t="s">
        <v>579</v>
      </c>
      <c r="D17" s="287"/>
      <c r="E17" s="283">
        <f>E74+E150</f>
        <v>0</v>
      </c>
      <c r="F17" s="283">
        <f t="shared" si="3"/>
        <v>0</v>
      </c>
      <c r="G17" s="288"/>
      <c r="H17" s="283">
        <f t="shared" si="1"/>
        <v>0</v>
      </c>
      <c r="I17" s="285">
        <f t="shared" si="1"/>
        <v>0</v>
      </c>
      <c r="J17" s="286">
        <f>H17+I17</f>
        <v>0</v>
      </c>
      <c r="K17" s="131">
        <f>K74+K150</f>
        <v>0</v>
      </c>
      <c r="L17" s="131">
        <f t="shared" si="2"/>
        <v>0</v>
      </c>
      <c r="M17" s="131">
        <f t="shared" si="2"/>
        <v>0</v>
      </c>
      <c r="N17" s="131">
        <f t="shared" si="2"/>
        <v>0</v>
      </c>
      <c r="O17" s="131">
        <f t="shared" si="2"/>
        <v>0</v>
      </c>
    </row>
    <row r="18" spans="2:15" x14ac:dyDescent="0.25">
      <c r="B18" s="438">
        <f t="shared" si="5"/>
        <v>9</v>
      </c>
      <c r="C18" s="441" t="s">
        <v>580</v>
      </c>
      <c r="D18" s="287"/>
      <c r="E18" s="283">
        <f>E75+E151</f>
        <v>11417.085000000001</v>
      </c>
      <c r="F18" s="283">
        <f t="shared" si="3"/>
        <v>11417.085000000001</v>
      </c>
      <c r="G18" s="288"/>
      <c r="H18" s="283">
        <f t="shared" si="1"/>
        <v>14442.835000000003</v>
      </c>
      <c r="I18" s="285">
        <f t="shared" si="1"/>
        <v>14364.285</v>
      </c>
      <c r="J18" s="286">
        <f>AVERAGE(J12,J16)</f>
        <v>2860.4792173672822</v>
      </c>
      <c r="K18" s="272">
        <f t="shared" ref="K18:O18" si="6">AVERAGE(K12,K16)</f>
        <v>3243.7627865231807</v>
      </c>
      <c r="L18" s="272">
        <f t="shared" si="6"/>
        <v>3951.9190360323737</v>
      </c>
      <c r="M18" s="272">
        <f t="shared" si="6"/>
        <v>4629.078430712324</v>
      </c>
      <c r="N18" s="272">
        <f t="shared" si="6"/>
        <v>5324.0734652550891</v>
      </c>
      <c r="O18" s="272">
        <f t="shared" si="6"/>
        <v>6071.775627724066</v>
      </c>
    </row>
    <row r="19" spans="2:15" ht="27.6" x14ac:dyDescent="0.25">
      <c r="B19" s="438">
        <f t="shared" si="5"/>
        <v>10</v>
      </c>
      <c r="C19" s="54" t="s">
        <v>581</v>
      </c>
      <c r="D19" s="287"/>
      <c r="E19" s="283"/>
      <c r="F19" s="283">
        <f t="shared" si="3"/>
        <v>0</v>
      </c>
      <c r="G19" s="288"/>
      <c r="H19" s="283"/>
      <c r="I19" s="285"/>
      <c r="J19" s="289">
        <f>'[56]Interest cost'!D12</f>
        <v>0.10742306996877957</v>
      </c>
      <c r="K19" s="290">
        <f>'[56]Interest cost'!E12</f>
        <v>0.10752367764146818</v>
      </c>
      <c r="L19" s="290">
        <f>'[56]Interest cost'!F12</f>
        <v>0.10752367764146818</v>
      </c>
      <c r="M19" s="290">
        <f>'[56]Interest cost'!G12</f>
        <v>0.10690721302570755</v>
      </c>
      <c r="N19" s="290">
        <f>'[56]Interest cost'!H12</f>
        <v>0.10638550843611919</v>
      </c>
      <c r="O19" s="290">
        <f>'[56]Interest cost'!I12</f>
        <v>0.10573238784547417</v>
      </c>
    </row>
    <row r="20" spans="2:15" x14ac:dyDescent="0.25">
      <c r="B20" s="438">
        <f t="shared" si="5"/>
        <v>11</v>
      </c>
      <c r="C20" s="441" t="s">
        <v>582</v>
      </c>
      <c r="D20" s="287"/>
      <c r="E20" s="283">
        <f>E77+E153</f>
        <v>912.27</v>
      </c>
      <c r="F20" s="283">
        <f t="shared" si="3"/>
        <v>912.27</v>
      </c>
      <c r="G20" s="288"/>
      <c r="H20" s="283">
        <f t="shared" ref="H20:I22" si="7">H77+H153</f>
        <v>749.89332000000002</v>
      </c>
      <c r="I20" s="285">
        <f t="shared" si="7"/>
        <v>830.0346995000001</v>
      </c>
      <c r="J20" s="286">
        <f>'[56]Interest cost'!D13</f>
        <v>307.28145911148539</v>
      </c>
      <c r="K20" s="272">
        <f>'[56]Interest cost'!E13</f>
        <v>348.78130420350908</v>
      </c>
      <c r="L20" s="272">
        <f>'[56]Interest cost'!F13</f>
        <v>424.92486849552665</v>
      </c>
      <c r="M20" s="272">
        <f>'[56]Interest cost'!G13</f>
        <v>494.88187390487042</v>
      </c>
      <c r="N20" s="272">
        <f>'[56]Interest cost'!H13</f>
        <v>566.40426255241357</v>
      </c>
      <c r="O20" s="272">
        <f>'[56]Interest cost'!I13</f>
        <v>641.9833355812184</v>
      </c>
    </row>
    <row r="21" spans="2:15" x14ac:dyDescent="0.25">
      <c r="B21" s="438">
        <f t="shared" si="5"/>
        <v>12</v>
      </c>
      <c r="C21" s="441" t="s">
        <v>583</v>
      </c>
      <c r="D21" s="287"/>
      <c r="E21" s="283">
        <f>E78+E154</f>
        <v>0</v>
      </c>
      <c r="F21" s="283">
        <f t="shared" si="3"/>
        <v>0</v>
      </c>
      <c r="G21" s="288"/>
      <c r="H21" s="283">
        <f t="shared" si="7"/>
        <v>0</v>
      </c>
      <c r="I21" s="285">
        <f t="shared" si="7"/>
        <v>0</v>
      </c>
      <c r="J21" s="286">
        <f t="shared" si="4"/>
        <v>0</v>
      </c>
      <c r="K21" s="131">
        <f>K78+K154</f>
        <v>0</v>
      </c>
      <c r="L21" s="131">
        <f t="shared" ref="L21:O21" si="8">L78+L154</f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</row>
    <row r="22" spans="2:15" x14ac:dyDescent="0.25">
      <c r="B22" s="438">
        <f t="shared" si="5"/>
        <v>13</v>
      </c>
      <c r="C22" s="441" t="s">
        <v>584</v>
      </c>
      <c r="D22" s="287"/>
      <c r="E22" s="283">
        <f>E79+E155</f>
        <v>912.27</v>
      </c>
      <c r="F22" s="283">
        <f t="shared" si="3"/>
        <v>912.27</v>
      </c>
      <c r="G22" s="288"/>
      <c r="H22" s="283">
        <f t="shared" si="7"/>
        <v>749.89332000000002</v>
      </c>
      <c r="I22" s="285">
        <f t="shared" si="7"/>
        <v>830.0346995000001</v>
      </c>
      <c r="J22" s="286">
        <f>J20+J21</f>
        <v>307.28145911148539</v>
      </c>
      <c r="K22" s="272">
        <f t="shared" ref="K22:N22" si="9">K20+K21</f>
        <v>348.78130420350908</v>
      </c>
      <c r="L22" s="272">
        <f t="shared" si="9"/>
        <v>424.92486849552665</v>
      </c>
      <c r="M22" s="272">
        <f t="shared" si="9"/>
        <v>494.88187390487042</v>
      </c>
      <c r="N22" s="272">
        <f t="shared" si="9"/>
        <v>566.40426255241357</v>
      </c>
      <c r="O22" s="272">
        <f>O20+O21</f>
        <v>641.9833355812184</v>
      </c>
    </row>
    <row r="24" spans="2:15" x14ac:dyDescent="0.25">
      <c r="B24" s="439" t="s">
        <v>585</v>
      </c>
      <c r="C24" s="14" t="s">
        <v>586</v>
      </c>
    </row>
    <row r="25" spans="2:15" x14ac:dyDescent="0.25">
      <c r="L25" s="16" t="s">
        <v>3</v>
      </c>
    </row>
    <row r="26" spans="2:15" ht="15" customHeight="1" x14ac:dyDescent="0.25">
      <c r="B26" s="758" t="s">
        <v>4</v>
      </c>
      <c r="C26" s="876" t="s">
        <v>5</v>
      </c>
      <c r="D26" s="434" t="s">
        <v>7</v>
      </c>
      <c r="E26" s="755" t="s">
        <v>8</v>
      </c>
      <c r="F26" s="756"/>
      <c r="G26" s="757"/>
      <c r="H26" s="751" t="s">
        <v>9</v>
      </c>
      <c r="I26" s="875"/>
      <c r="J26" s="875"/>
      <c r="K26" s="875"/>
      <c r="L26" s="752"/>
    </row>
    <row r="27" spans="2:15" x14ac:dyDescent="0.25">
      <c r="B27" s="792"/>
      <c r="C27" s="877"/>
      <c r="D27" s="435" t="s">
        <v>11</v>
      </c>
      <c r="E27" s="435" t="s">
        <v>13</v>
      </c>
      <c r="F27" s="435" t="s">
        <v>14</v>
      </c>
      <c r="G27" s="435" t="s">
        <v>15</v>
      </c>
      <c r="H27" s="435" t="s">
        <v>16</v>
      </c>
      <c r="I27" s="435" t="s">
        <v>17</v>
      </c>
      <c r="J27" s="474" t="s">
        <v>18</v>
      </c>
      <c r="K27" s="474" t="s">
        <v>19</v>
      </c>
      <c r="L27" s="474" t="s">
        <v>20</v>
      </c>
    </row>
    <row r="28" spans="2:15" x14ac:dyDescent="0.25">
      <c r="B28" s="793"/>
      <c r="C28" s="759"/>
      <c r="D28" s="435" t="s">
        <v>22</v>
      </c>
      <c r="E28" s="435" t="s">
        <v>24</v>
      </c>
      <c r="F28" s="435" t="s">
        <v>25</v>
      </c>
      <c r="G28" s="435" t="s">
        <v>25</v>
      </c>
      <c r="H28" s="435" t="s">
        <v>26</v>
      </c>
      <c r="I28" s="435" t="s">
        <v>26</v>
      </c>
      <c r="J28" s="474" t="s">
        <v>26</v>
      </c>
      <c r="K28" s="474" t="s">
        <v>26</v>
      </c>
      <c r="L28" s="474" t="s">
        <v>26</v>
      </c>
    </row>
    <row r="29" spans="2:15" x14ac:dyDescent="0.25">
      <c r="B29" s="438">
        <v>1</v>
      </c>
      <c r="C29" s="28" t="s">
        <v>700</v>
      </c>
      <c r="D29" s="441"/>
      <c r="E29" s="441"/>
      <c r="F29" s="441"/>
      <c r="G29" s="441"/>
      <c r="H29" s="441"/>
      <c r="I29" s="441"/>
      <c r="J29" s="475"/>
      <c r="K29" s="475"/>
      <c r="L29" s="475"/>
    </row>
    <row r="30" spans="2:15" x14ac:dyDescent="0.25">
      <c r="B30" s="441"/>
      <c r="C30" s="441" t="s">
        <v>587</v>
      </c>
      <c r="D30" s="291">
        <f>D127</f>
        <v>2009.86</v>
      </c>
      <c r="E30" s="291">
        <f t="shared" ref="E30:L30" si="10">E127</f>
        <v>2188.8200000000002</v>
      </c>
      <c r="F30" s="291">
        <f t="shared" si="10"/>
        <v>2311.2200000000003</v>
      </c>
      <c r="G30" s="291">
        <f t="shared" si="10"/>
        <v>2188.8200000000002</v>
      </c>
      <c r="H30" s="291">
        <f t="shared" si="10"/>
        <v>2294.6800000000003</v>
      </c>
      <c r="I30" s="291">
        <f>I127</f>
        <v>2063.2400000000002</v>
      </c>
      <c r="J30" s="476">
        <f t="shared" si="10"/>
        <v>1831.8000000000002</v>
      </c>
      <c r="K30" s="476">
        <f t="shared" si="10"/>
        <v>1600.3600000000004</v>
      </c>
      <c r="L30" s="476">
        <f t="shared" si="10"/>
        <v>1368.9200000000003</v>
      </c>
    </row>
    <row r="31" spans="2:15" x14ac:dyDescent="0.25">
      <c r="B31" s="441"/>
      <c r="C31" s="441" t="s">
        <v>588</v>
      </c>
      <c r="D31" s="291">
        <f t="shared" ref="D31:L32" si="11">D128</f>
        <v>428.12</v>
      </c>
      <c r="E31" s="291">
        <f t="shared" si="11"/>
        <v>229.83</v>
      </c>
      <c r="F31" s="291">
        <f t="shared" si="11"/>
        <v>128.07</v>
      </c>
      <c r="G31" s="291">
        <f t="shared" si="11"/>
        <v>357.9</v>
      </c>
      <c r="H31" s="291">
        <f t="shared" si="11"/>
        <v>0</v>
      </c>
      <c r="I31" s="291">
        <f t="shared" si="11"/>
        <v>0</v>
      </c>
      <c r="J31" s="476">
        <f t="shared" si="11"/>
        <v>0</v>
      </c>
      <c r="K31" s="476">
        <f t="shared" si="11"/>
        <v>0</v>
      </c>
      <c r="L31" s="476">
        <f t="shared" si="11"/>
        <v>0</v>
      </c>
    </row>
    <row r="32" spans="2:15" x14ac:dyDescent="0.25">
      <c r="B32" s="441"/>
      <c r="C32" s="441" t="s">
        <v>589</v>
      </c>
      <c r="D32" s="291">
        <f t="shared" si="11"/>
        <v>249.16000000000003</v>
      </c>
      <c r="E32" s="291">
        <f t="shared" si="11"/>
        <v>107.43</v>
      </c>
      <c r="F32" s="291">
        <f t="shared" si="11"/>
        <v>144.61000000000001</v>
      </c>
      <c r="G32" s="291">
        <f t="shared" si="11"/>
        <v>252.03999999999996</v>
      </c>
      <c r="H32" s="291">
        <f t="shared" si="11"/>
        <v>231.44000000000003</v>
      </c>
      <c r="I32" s="291">
        <f t="shared" si="11"/>
        <v>231.44000000000003</v>
      </c>
      <c r="J32" s="476">
        <f t="shared" si="11"/>
        <v>231.44000000000003</v>
      </c>
      <c r="K32" s="476">
        <f t="shared" si="11"/>
        <v>231.44000000000003</v>
      </c>
      <c r="L32" s="476">
        <f t="shared" si="11"/>
        <v>231.44000000000003</v>
      </c>
    </row>
    <row r="33" spans="2:12" x14ac:dyDescent="0.25">
      <c r="B33" s="441"/>
      <c r="C33" s="441" t="s">
        <v>590</v>
      </c>
      <c r="D33" s="292">
        <f>D30+D31-D32</f>
        <v>2188.8200000000002</v>
      </c>
      <c r="E33" s="292">
        <f t="shared" ref="E33:L33" si="12">E30+E31-E32</f>
        <v>2311.2200000000003</v>
      </c>
      <c r="F33" s="292">
        <f t="shared" si="12"/>
        <v>2294.6800000000003</v>
      </c>
      <c r="G33" s="292">
        <f t="shared" si="12"/>
        <v>2294.6800000000003</v>
      </c>
      <c r="H33" s="292">
        <f t="shared" si="12"/>
        <v>2063.2400000000002</v>
      </c>
      <c r="I33" s="292">
        <f t="shared" si="12"/>
        <v>1831.8000000000002</v>
      </c>
      <c r="J33" s="476">
        <f t="shared" si="12"/>
        <v>1600.3600000000001</v>
      </c>
      <c r="K33" s="476">
        <f t="shared" si="12"/>
        <v>1368.9200000000003</v>
      </c>
      <c r="L33" s="476">
        <f t="shared" si="12"/>
        <v>1137.4800000000002</v>
      </c>
    </row>
    <row r="34" spans="2:12" x14ac:dyDescent="0.25">
      <c r="B34" s="441"/>
      <c r="C34" s="441" t="s">
        <v>591</v>
      </c>
      <c r="D34" s="292">
        <f>AVERAGE(D30,D33)</f>
        <v>2099.34</v>
      </c>
      <c r="E34" s="292">
        <f t="shared" ref="E34:L34" si="13">AVERAGE(E30,E33)</f>
        <v>2250.0200000000004</v>
      </c>
      <c r="F34" s="292">
        <f t="shared" si="13"/>
        <v>2302.9500000000003</v>
      </c>
      <c r="G34" s="292">
        <f t="shared" si="13"/>
        <v>2241.75</v>
      </c>
      <c r="H34" s="292">
        <f t="shared" si="13"/>
        <v>2178.96</v>
      </c>
      <c r="I34" s="292">
        <f t="shared" si="13"/>
        <v>1947.5200000000002</v>
      </c>
      <c r="J34" s="476">
        <f t="shared" si="13"/>
        <v>1716.0800000000002</v>
      </c>
      <c r="K34" s="476">
        <f t="shared" si="13"/>
        <v>1484.6400000000003</v>
      </c>
      <c r="L34" s="476">
        <f t="shared" si="13"/>
        <v>1253.2000000000003</v>
      </c>
    </row>
    <row r="35" spans="2:12" x14ac:dyDescent="0.25">
      <c r="B35" s="441"/>
      <c r="C35" s="441" t="s">
        <v>592</v>
      </c>
      <c r="D35" s="291">
        <f>D132</f>
        <v>7.5137900483008946E-2</v>
      </c>
      <c r="E35" s="291">
        <f t="shared" ref="E35:L35" si="14">E132</f>
        <v>9.0387338779210832E-2</v>
      </c>
      <c r="F35" s="291">
        <f t="shared" si="14"/>
        <v>9.9713203065633207E-2</v>
      </c>
      <c r="G35" s="291">
        <f t="shared" si="14"/>
        <v>9.6116976357756234E-2</v>
      </c>
      <c r="H35" s="291">
        <f t="shared" si="14"/>
        <v>9.9963022726438311E-2</v>
      </c>
      <c r="I35" s="291">
        <f t="shared" si="14"/>
        <v>9.8728729871837007E-2</v>
      </c>
      <c r="J35" s="476">
        <f t="shared" si="14"/>
        <v>9.7161509952915948E-2</v>
      </c>
      <c r="K35" s="476">
        <f t="shared" si="14"/>
        <v>9.5105663325789402E-2</v>
      </c>
      <c r="L35" s="476">
        <f t="shared" si="14"/>
        <v>9.2290472390679848E-2</v>
      </c>
    </row>
    <row r="36" spans="2:12" x14ac:dyDescent="0.25">
      <c r="B36" s="441"/>
      <c r="C36" s="441" t="s">
        <v>582</v>
      </c>
      <c r="D36" s="292">
        <f>D34*D35</f>
        <v>157.74</v>
      </c>
      <c r="E36" s="292">
        <f t="shared" ref="E36:L36" si="15">E34*E35</f>
        <v>203.37332000000001</v>
      </c>
      <c r="F36" s="292">
        <f t="shared" si="15"/>
        <v>229.63452100000003</v>
      </c>
      <c r="G36" s="292">
        <f t="shared" si="15"/>
        <v>215.47023175000004</v>
      </c>
      <c r="H36" s="292">
        <f t="shared" si="15"/>
        <v>217.81542800000003</v>
      </c>
      <c r="I36" s="292">
        <f t="shared" si="15"/>
        <v>192.27617600000002</v>
      </c>
      <c r="J36" s="476">
        <f t="shared" si="15"/>
        <v>166.73692400000002</v>
      </c>
      <c r="K36" s="476">
        <f t="shared" si="15"/>
        <v>141.19767200000001</v>
      </c>
      <c r="L36" s="476">
        <f t="shared" si="15"/>
        <v>115.65842000000001</v>
      </c>
    </row>
    <row r="37" spans="2:12" x14ac:dyDescent="0.25">
      <c r="B37" s="441"/>
      <c r="C37" s="441" t="s">
        <v>583</v>
      </c>
      <c r="D37" s="291"/>
      <c r="E37" s="291"/>
      <c r="F37" s="291"/>
      <c r="G37" s="291"/>
      <c r="H37" s="291"/>
      <c r="I37" s="291"/>
      <c r="J37" s="476"/>
      <c r="K37" s="476"/>
      <c r="L37" s="476"/>
    </row>
    <row r="38" spans="2:12" x14ac:dyDescent="0.25">
      <c r="B38" s="441"/>
      <c r="C38" s="441" t="s">
        <v>584</v>
      </c>
      <c r="D38" s="292">
        <f>D36+D37</f>
        <v>157.74</v>
      </c>
      <c r="E38" s="292">
        <f t="shared" ref="E38:L38" si="16">E36+E37</f>
        <v>203.37332000000001</v>
      </c>
      <c r="F38" s="292">
        <f t="shared" si="16"/>
        <v>229.63452100000003</v>
      </c>
      <c r="G38" s="292">
        <f t="shared" si="16"/>
        <v>215.47023175000004</v>
      </c>
      <c r="H38" s="292">
        <f t="shared" si="16"/>
        <v>217.81542800000003</v>
      </c>
      <c r="I38" s="292">
        <f t="shared" si="16"/>
        <v>192.27617600000002</v>
      </c>
      <c r="J38" s="476">
        <f t="shared" si="16"/>
        <v>166.73692400000002</v>
      </c>
      <c r="K38" s="476">
        <f t="shared" si="16"/>
        <v>141.19767200000001</v>
      </c>
      <c r="L38" s="476">
        <f t="shared" si="16"/>
        <v>115.65842000000001</v>
      </c>
    </row>
    <row r="39" spans="2:12" x14ac:dyDescent="0.25">
      <c r="B39" s="438">
        <v>2</v>
      </c>
      <c r="C39" s="28" t="s">
        <v>701</v>
      </c>
      <c r="D39" s="291"/>
      <c r="E39" s="291"/>
      <c r="F39" s="291"/>
      <c r="G39" s="291"/>
      <c r="H39" s="291"/>
      <c r="I39" s="291"/>
      <c r="J39" s="476"/>
      <c r="K39" s="476"/>
      <c r="L39" s="476"/>
    </row>
    <row r="40" spans="2:12" x14ac:dyDescent="0.25">
      <c r="B40" s="441"/>
      <c r="C40" s="441" t="s">
        <v>587</v>
      </c>
      <c r="D40" s="291">
        <f>D273</f>
        <v>8327.6200000000008</v>
      </c>
      <c r="E40" s="291">
        <f t="shared" ref="E40:L40" si="17">E273</f>
        <v>10307.870000000001</v>
      </c>
      <c r="F40" s="291">
        <f t="shared" si="17"/>
        <v>10692.429999999998</v>
      </c>
      <c r="G40" s="291">
        <f t="shared" si="17"/>
        <v>10307.870000000001</v>
      </c>
      <c r="H40" s="291">
        <f t="shared" si="17"/>
        <v>16087.9498828125</v>
      </c>
      <c r="I40" s="291">
        <f t="shared" si="17"/>
        <v>15477.269912109374</v>
      </c>
      <c r="J40" s="476">
        <f t="shared" si="17"/>
        <v>14164.27</v>
      </c>
      <c r="K40" s="476">
        <f t="shared" si="17"/>
        <v>12981.050000000003</v>
      </c>
      <c r="L40" s="476">
        <f t="shared" si="17"/>
        <v>11320.250000000002</v>
      </c>
    </row>
    <row r="41" spans="2:12" x14ac:dyDescent="0.25">
      <c r="B41" s="441"/>
      <c r="C41" s="441" t="s">
        <v>588</v>
      </c>
      <c r="D41" s="291">
        <f t="shared" ref="D41:L45" si="18">D274</f>
        <v>2964.6</v>
      </c>
      <c r="E41" s="291">
        <f t="shared" si="18"/>
        <v>4278.62</v>
      </c>
      <c r="F41" s="291">
        <f t="shared" si="18"/>
        <v>4139.92</v>
      </c>
      <c r="G41" s="291">
        <f t="shared" si="18"/>
        <v>7418.54</v>
      </c>
      <c r="H41" s="291">
        <f t="shared" si="18"/>
        <v>546.41999999999996</v>
      </c>
      <c r="I41" s="291">
        <f t="shared" si="18"/>
        <v>546.419921875</v>
      </c>
      <c r="J41" s="476">
        <f t="shared" si="18"/>
        <v>0</v>
      </c>
      <c r="K41" s="476">
        <f t="shared" si="18"/>
        <v>0</v>
      </c>
      <c r="L41" s="476">
        <f t="shared" si="18"/>
        <v>0</v>
      </c>
    </row>
    <row r="42" spans="2:12" x14ac:dyDescent="0.25">
      <c r="B42" s="441"/>
      <c r="C42" s="441" t="s">
        <v>589</v>
      </c>
      <c r="D42" s="291">
        <f t="shared" si="18"/>
        <v>984.35</v>
      </c>
      <c r="E42" s="291">
        <f t="shared" si="18"/>
        <v>508.73</v>
      </c>
      <c r="F42" s="291">
        <f t="shared" si="18"/>
        <v>1402.11</v>
      </c>
      <c r="G42" s="291">
        <f t="shared" si="18"/>
        <v>1910.8399999999997</v>
      </c>
      <c r="H42" s="291">
        <f t="shared" si="18"/>
        <v>1311.7598828124999</v>
      </c>
      <c r="I42" s="291">
        <f t="shared" si="18"/>
        <v>1312.9999121093749</v>
      </c>
      <c r="J42" s="476">
        <f t="shared" si="18"/>
        <v>1183.22</v>
      </c>
      <c r="K42" s="476">
        <f t="shared" si="18"/>
        <v>2660.7999999999997</v>
      </c>
      <c r="L42" s="476">
        <f t="shared" si="18"/>
        <v>4057.24</v>
      </c>
    </row>
    <row r="43" spans="2:12" x14ac:dyDescent="0.25">
      <c r="B43" s="441"/>
      <c r="C43" s="441" t="s">
        <v>590</v>
      </c>
      <c r="D43" s="292">
        <f t="shared" si="18"/>
        <v>10307.870000000001</v>
      </c>
      <c r="E43" s="292">
        <f t="shared" si="18"/>
        <v>14077.760000000002</v>
      </c>
      <c r="F43" s="292">
        <f t="shared" si="18"/>
        <v>13430.239999999998</v>
      </c>
      <c r="G43" s="292">
        <f t="shared" si="18"/>
        <v>15815.57</v>
      </c>
      <c r="H43" s="292">
        <f t="shared" si="18"/>
        <v>15322.609999999999</v>
      </c>
      <c r="I43" s="292">
        <f t="shared" si="18"/>
        <v>14710.689921874999</v>
      </c>
      <c r="J43" s="476">
        <f t="shared" si="18"/>
        <v>12981.050000000001</v>
      </c>
      <c r="K43" s="476">
        <f t="shared" si="18"/>
        <v>10320.250000000004</v>
      </c>
      <c r="L43" s="476">
        <f t="shared" si="18"/>
        <v>7263.010000000002</v>
      </c>
    </row>
    <row r="44" spans="2:12" x14ac:dyDescent="0.25">
      <c r="B44" s="441"/>
      <c r="C44" s="441" t="s">
        <v>591</v>
      </c>
      <c r="D44" s="292">
        <f t="shared" si="18"/>
        <v>9317.7450000000008</v>
      </c>
      <c r="E44" s="292">
        <f t="shared" si="18"/>
        <v>12192.815000000002</v>
      </c>
      <c r="F44" s="292">
        <f t="shared" si="18"/>
        <v>12061.334999999999</v>
      </c>
      <c r="G44" s="292">
        <f t="shared" si="18"/>
        <v>13061.720000000001</v>
      </c>
      <c r="H44" s="292">
        <f t="shared" si="18"/>
        <v>15705.27994140625</v>
      </c>
      <c r="I44" s="292">
        <f t="shared" si="18"/>
        <v>15093.979916992186</v>
      </c>
      <c r="J44" s="476">
        <f t="shared" si="18"/>
        <v>13572.66</v>
      </c>
      <c r="K44" s="476">
        <f t="shared" si="18"/>
        <v>11650.650000000003</v>
      </c>
      <c r="L44" s="476">
        <f t="shared" si="18"/>
        <v>9291.630000000001</v>
      </c>
    </row>
    <row r="45" spans="2:12" x14ac:dyDescent="0.25">
      <c r="B45" s="441"/>
      <c r="C45" s="441" t="s">
        <v>592</v>
      </c>
      <c r="D45" s="291">
        <f t="shared" si="18"/>
        <v>8.0977747298300165E-2</v>
      </c>
      <c r="E45" s="291">
        <f t="shared" si="18"/>
        <v>8.9646238378914125E-2</v>
      </c>
      <c r="F45" s="291">
        <f t="shared" si="18"/>
        <v>9.9557831450664477E-2</v>
      </c>
      <c r="G45" s="291">
        <f t="shared" si="18"/>
        <v>8.7807744960081827E-2</v>
      </c>
      <c r="H45" s="291">
        <f t="shared" si="18"/>
        <v>9.8827577315437884E-2</v>
      </c>
      <c r="I45" s="291">
        <f t="shared" si="18"/>
        <v>9.8829974272127821E-2</v>
      </c>
      <c r="J45" s="476">
        <f t="shared" si="18"/>
        <v>9.872342470083241E-2</v>
      </c>
      <c r="K45" s="476">
        <f t="shared" si="18"/>
        <v>9.8770916429555419E-2</v>
      </c>
      <c r="L45" s="476">
        <f t="shared" si="18"/>
        <v>9.8585370112671294E-2</v>
      </c>
    </row>
    <row r="46" spans="2:12" x14ac:dyDescent="0.25">
      <c r="B46" s="441"/>
      <c r="C46" s="441" t="s">
        <v>582</v>
      </c>
      <c r="D46" s="292">
        <f>D44*D45</f>
        <v>754.53</v>
      </c>
      <c r="E46" s="292">
        <f t="shared" ref="E46:L46" si="19">E44*E45</f>
        <v>1093.04</v>
      </c>
      <c r="F46" s="292">
        <f t="shared" si="19"/>
        <v>1200.8003570000001</v>
      </c>
      <c r="G46" s="292">
        <f t="shared" si="19"/>
        <v>1146.9201785</v>
      </c>
      <c r="H46" s="292">
        <f t="shared" si="19"/>
        <v>1552.114767669922</v>
      </c>
      <c r="I46" s="292">
        <f t="shared" si="19"/>
        <v>1491.7376468603518</v>
      </c>
      <c r="J46" s="476">
        <f t="shared" si="19"/>
        <v>1339.9394775000001</v>
      </c>
      <c r="K46" s="476">
        <f t="shared" si="19"/>
        <v>1150.7453775000001</v>
      </c>
      <c r="L46" s="476">
        <f t="shared" si="19"/>
        <v>916.01878250000004</v>
      </c>
    </row>
    <row r="47" spans="2:12" x14ac:dyDescent="0.25">
      <c r="B47" s="441"/>
      <c r="C47" s="441" t="s">
        <v>583</v>
      </c>
      <c r="D47" s="291"/>
      <c r="E47" s="291"/>
      <c r="F47" s="291"/>
      <c r="G47" s="291"/>
      <c r="H47" s="291"/>
      <c r="I47" s="291"/>
      <c r="J47" s="476"/>
      <c r="K47" s="476"/>
      <c r="L47" s="476"/>
    </row>
    <row r="48" spans="2:12" x14ac:dyDescent="0.25">
      <c r="B48" s="441"/>
      <c r="C48" s="441" t="s">
        <v>584</v>
      </c>
      <c r="D48" s="292">
        <f>D46+D47</f>
        <v>754.53</v>
      </c>
      <c r="E48" s="292">
        <f t="shared" ref="E48:L48" si="20">E46+E47</f>
        <v>1093.04</v>
      </c>
      <c r="F48" s="292">
        <f t="shared" si="20"/>
        <v>1200.8003570000001</v>
      </c>
      <c r="G48" s="292">
        <f t="shared" si="20"/>
        <v>1146.9201785</v>
      </c>
      <c r="H48" s="292">
        <f t="shared" si="20"/>
        <v>1552.114767669922</v>
      </c>
      <c r="I48" s="292">
        <f t="shared" si="20"/>
        <v>1491.7376468603518</v>
      </c>
      <c r="J48" s="476">
        <f t="shared" si="20"/>
        <v>1339.9394775000001</v>
      </c>
      <c r="K48" s="476">
        <f t="shared" si="20"/>
        <v>1150.7453775000001</v>
      </c>
      <c r="L48" s="476">
        <f t="shared" si="20"/>
        <v>916.01878250000004</v>
      </c>
    </row>
    <row r="49" spans="2:16" x14ac:dyDescent="0.25">
      <c r="B49" s="441"/>
      <c r="C49" s="441" t="s">
        <v>593</v>
      </c>
      <c r="D49" s="291"/>
      <c r="E49" s="291"/>
      <c r="F49" s="291"/>
      <c r="G49" s="291"/>
      <c r="H49" s="291"/>
      <c r="I49" s="291"/>
      <c r="J49" s="476"/>
      <c r="K49" s="476"/>
      <c r="L49" s="476"/>
    </row>
    <row r="50" spans="2:16" x14ac:dyDescent="0.25">
      <c r="B50" s="438"/>
      <c r="C50" s="28" t="s">
        <v>251</v>
      </c>
      <c r="D50" s="291"/>
      <c r="E50" s="291"/>
      <c r="F50" s="291"/>
      <c r="G50" s="291"/>
      <c r="H50" s="291"/>
      <c r="I50" s="291"/>
      <c r="J50" s="476"/>
      <c r="K50" s="476"/>
      <c r="L50" s="476"/>
    </row>
    <row r="51" spans="2:16" x14ac:dyDescent="0.25">
      <c r="B51" s="441"/>
      <c r="C51" s="441" t="s">
        <v>587</v>
      </c>
      <c r="D51" s="291">
        <f>D30+D40</f>
        <v>10337.480000000001</v>
      </c>
      <c r="E51" s="291">
        <f t="shared" ref="E51:L51" si="21">E30+E40</f>
        <v>12496.69</v>
      </c>
      <c r="F51" s="291">
        <f t="shared" si="21"/>
        <v>13003.649999999998</v>
      </c>
      <c r="G51" s="291">
        <f t="shared" si="21"/>
        <v>12496.69</v>
      </c>
      <c r="H51" s="291">
        <f t="shared" si="21"/>
        <v>18382.6298828125</v>
      </c>
      <c r="I51" s="291">
        <f t="shared" si="21"/>
        <v>17540.509912109374</v>
      </c>
      <c r="J51" s="476">
        <f t="shared" si="21"/>
        <v>15996.07</v>
      </c>
      <c r="K51" s="476">
        <f t="shared" si="21"/>
        <v>14581.410000000003</v>
      </c>
      <c r="L51" s="476">
        <f t="shared" si="21"/>
        <v>12689.170000000002</v>
      </c>
    </row>
    <row r="52" spans="2:16" x14ac:dyDescent="0.25">
      <c r="B52" s="441"/>
      <c r="C52" s="441" t="s">
        <v>588</v>
      </c>
      <c r="D52" s="291">
        <f t="shared" ref="D52:L53" si="22">D31+D41</f>
        <v>3392.72</v>
      </c>
      <c r="E52" s="291">
        <f t="shared" si="22"/>
        <v>4508.45</v>
      </c>
      <c r="F52" s="291">
        <f t="shared" si="22"/>
        <v>4267.99</v>
      </c>
      <c r="G52" s="291">
        <f t="shared" si="22"/>
        <v>7776.44</v>
      </c>
      <c r="H52" s="291">
        <f t="shared" si="22"/>
        <v>546.41999999999996</v>
      </c>
      <c r="I52" s="291">
        <f t="shared" si="22"/>
        <v>546.419921875</v>
      </c>
      <c r="J52" s="476">
        <f t="shared" si="22"/>
        <v>0</v>
      </c>
      <c r="K52" s="476">
        <f t="shared" si="22"/>
        <v>0</v>
      </c>
      <c r="L52" s="476">
        <f t="shared" si="22"/>
        <v>0</v>
      </c>
    </row>
    <row r="53" spans="2:16" x14ac:dyDescent="0.25">
      <c r="B53" s="441"/>
      <c r="C53" s="441" t="s">
        <v>589</v>
      </c>
      <c r="D53" s="291">
        <f t="shared" si="22"/>
        <v>1233.51</v>
      </c>
      <c r="E53" s="291">
        <f t="shared" si="22"/>
        <v>616.16000000000008</v>
      </c>
      <c r="F53" s="291">
        <f t="shared" si="22"/>
        <v>1546.7199999999998</v>
      </c>
      <c r="G53" s="291">
        <f t="shared" si="22"/>
        <v>2162.8799999999997</v>
      </c>
      <c r="H53" s="291">
        <f t="shared" si="22"/>
        <v>1543.1998828124999</v>
      </c>
      <c r="I53" s="291">
        <f t="shared" si="22"/>
        <v>1544.439912109375</v>
      </c>
      <c r="J53" s="476">
        <f t="shared" si="22"/>
        <v>1414.66</v>
      </c>
      <c r="K53" s="476">
        <f t="shared" si="22"/>
        <v>2892.24</v>
      </c>
      <c r="L53" s="476">
        <f t="shared" si="22"/>
        <v>4288.6799999999994</v>
      </c>
    </row>
    <row r="54" spans="2:16" x14ac:dyDescent="0.25">
      <c r="B54" s="441"/>
      <c r="C54" s="441" t="s">
        <v>590</v>
      </c>
      <c r="D54" s="292">
        <f>D51+D52-D53</f>
        <v>12496.69</v>
      </c>
      <c r="E54" s="292">
        <f t="shared" ref="E54:L54" si="23">E51+E52-E53</f>
        <v>16388.98</v>
      </c>
      <c r="F54" s="292">
        <f t="shared" si="23"/>
        <v>15724.92</v>
      </c>
      <c r="G54" s="292">
        <f t="shared" si="23"/>
        <v>18110.25</v>
      </c>
      <c r="H54" s="292">
        <f t="shared" si="23"/>
        <v>17385.849999999999</v>
      </c>
      <c r="I54" s="292">
        <f t="shared" si="23"/>
        <v>16542.489921875</v>
      </c>
      <c r="J54" s="476">
        <f t="shared" si="23"/>
        <v>14581.41</v>
      </c>
      <c r="K54" s="476">
        <f t="shared" si="23"/>
        <v>11689.170000000004</v>
      </c>
      <c r="L54" s="476">
        <f t="shared" si="23"/>
        <v>8400.4900000000016</v>
      </c>
    </row>
    <row r="55" spans="2:16" x14ac:dyDescent="0.25">
      <c r="B55" s="441"/>
      <c r="C55" s="441" t="s">
        <v>591</v>
      </c>
      <c r="D55" s="292">
        <f>AVERAGE(D51,D54)</f>
        <v>11417.085000000001</v>
      </c>
      <c r="E55" s="292">
        <f t="shared" ref="E55:L55" si="24">AVERAGE(E51,E54)</f>
        <v>14442.834999999999</v>
      </c>
      <c r="F55" s="292">
        <f t="shared" si="24"/>
        <v>14364.285</v>
      </c>
      <c r="G55" s="292">
        <f t="shared" si="24"/>
        <v>15303.470000000001</v>
      </c>
      <c r="H55" s="292">
        <f t="shared" si="24"/>
        <v>17884.239941406249</v>
      </c>
      <c r="I55" s="292">
        <f t="shared" si="24"/>
        <v>17041.499916992187</v>
      </c>
      <c r="J55" s="476">
        <f t="shared" si="24"/>
        <v>15288.74</v>
      </c>
      <c r="K55" s="476">
        <f t="shared" si="24"/>
        <v>13135.290000000005</v>
      </c>
      <c r="L55" s="476">
        <f t="shared" si="24"/>
        <v>10544.830000000002</v>
      </c>
    </row>
    <row r="56" spans="2:16" x14ac:dyDescent="0.25">
      <c r="B56" s="441"/>
      <c r="C56" s="441" t="s">
        <v>592</v>
      </c>
      <c r="D56" s="291"/>
      <c r="E56" s="291"/>
      <c r="F56" s="291"/>
      <c r="G56" s="291"/>
      <c r="H56" s="291"/>
      <c r="I56" s="291"/>
      <c r="J56" s="476"/>
      <c r="K56" s="476"/>
      <c r="L56" s="476"/>
    </row>
    <row r="57" spans="2:16" x14ac:dyDescent="0.25">
      <c r="B57" s="441"/>
      <c r="C57" s="441" t="s">
        <v>582</v>
      </c>
      <c r="D57" s="292">
        <f>D38+D48</f>
        <v>912.27</v>
      </c>
      <c r="E57" s="292">
        <f t="shared" ref="E57:L57" si="25">E38+E48</f>
        <v>1296.4133199999999</v>
      </c>
      <c r="F57" s="292">
        <f t="shared" si="25"/>
        <v>1430.434878</v>
      </c>
      <c r="G57" s="292">
        <f t="shared" si="25"/>
        <v>1362.3904102500001</v>
      </c>
      <c r="H57" s="292">
        <f t="shared" si="25"/>
        <v>1769.9301956699221</v>
      </c>
      <c r="I57" s="292">
        <f t="shared" si="25"/>
        <v>1684.0138228603519</v>
      </c>
      <c r="J57" s="476">
        <f t="shared" si="25"/>
        <v>1506.6764015000001</v>
      </c>
      <c r="K57" s="476">
        <f t="shared" si="25"/>
        <v>1291.9430495000001</v>
      </c>
      <c r="L57" s="476">
        <f t="shared" si="25"/>
        <v>1031.6772025</v>
      </c>
    </row>
    <row r="58" spans="2:16" x14ac:dyDescent="0.25">
      <c r="B58" s="441"/>
      <c r="C58" s="441" t="s">
        <v>583</v>
      </c>
      <c r="D58" s="291"/>
      <c r="E58" s="291"/>
      <c r="F58" s="291"/>
      <c r="G58" s="291"/>
      <c r="H58" s="291"/>
      <c r="I58" s="291"/>
      <c r="J58" s="476"/>
      <c r="K58" s="476"/>
      <c r="L58" s="476"/>
    </row>
    <row r="59" spans="2:16" x14ac:dyDescent="0.25">
      <c r="B59" s="441"/>
      <c r="C59" s="441" t="s">
        <v>584</v>
      </c>
      <c r="D59" s="292">
        <f>D57+D58</f>
        <v>912.27</v>
      </c>
      <c r="E59" s="292">
        <f t="shared" ref="E59:L59" si="26">E57+E58</f>
        <v>1296.4133199999999</v>
      </c>
      <c r="F59" s="292">
        <f t="shared" si="26"/>
        <v>1430.434878</v>
      </c>
      <c r="G59" s="292">
        <f t="shared" si="26"/>
        <v>1362.3904102500001</v>
      </c>
      <c r="H59" s="292">
        <f t="shared" si="26"/>
        <v>1769.9301956699221</v>
      </c>
      <c r="I59" s="292">
        <f t="shared" si="26"/>
        <v>1684.0138228603519</v>
      </c>
      <c r="J59" s="476">
        <f t="shared" si="26"/>
        <v>1506.6764015000001</v>
      </c>
      <c r="K59" s="476">
        <f t="shared" si="26"/>
        <v>1291.9430495000001</v>
      </c>
      <c r="L59" s="476">
        <f t="shared" si="26"/>
        <v>1031.6772025</v>
      </c>
    </row>
    <row r="61" spans="2:16" x14ac:dyDescent="0.25">
      <c r="B61" s="22" t="s">
        <v>685</v>
      </c>
      <c r="H61" s="440"/>
    </row>
    <row r="62" spans="2:16" x14ac:dyDescent="0.25">
      <c r="B62" s="439" t="s">
        <v>570</v>
      </c>
      <c r="C62" s="14" t="s">
        <v>571</v>
      </c>
      <c r="D62" s="15"/>
      <c r="E62" s="15"/>
      <c r="F62" s="15"/>
      <c r="G62" s="15"/>
      <c r="H62" s="15"/>
      <c r="I62" s="15"/>
      <c r="J62" s="15"/>
      <c r="K62" s="15"/>
      <c r="L62" s="15"/>
    </row>
    <row r="63" spans="2:16" x14ac:dyDescent="0.25">
      <c r="L63" s="36" t="s">
        <v>1215</v>
      </c>
      <c r="O63" s="16" t="s">
        <v>3</v>
      </c>
    </row>
    <row r="64" spans="2:16" s="5" customFormat="1" ht="15" customHeight="1" x14ac:dyDescent="0.25">
      <c r="B64" s="758" t="s">
        <v>4</v>
      </c>
      <c r="C64" s="876" t="s">
        <v>5</v>
      </c>
      <c r="D64" s="755" t="s">
        <v>7</v>
      </c>
      <c r="E64" s="756"/>
      <c r="F64" s="757"/>
      <c r="G64" s="755" t="s">
        <v>8</v>
      </c>
      <c r="H64" s="756"/>
      <c r="I64" s="756"/>
      <c r="J64" s="757"/>
      <c r="K64" s="751" t="s">
        <v>9</v>
      </c>
      <c r="L64" s="875"/>
      <c r="M64" s="875"/>
      <c r="N64" s="875"/>
      <c r="O64" s="752"/>
      <c r="P64" s="445"/>
    </row>
    <row r="65" spans="2:15" s="5" customFormat="1" ht="27.6" x14ac:dyDescent="0.25">
      <c r="B65" s="792"/>
      <c r="C65" s="877"/>
      <c r="D65" s="435" t="s">
        <v>10</v>
      </c>
      <c r="E65" s="435" t="s">
        <v>11</v>
      </c>
      <c r="F65" s="435" t="s">
        <v>12</v>
      </c>
      <c r="G65" s="435" t="s">
        <v>10</v>
      </c>
      <c r="H65" s="435" t="s">
        <v>13</v>
      </c>
      <c r="I65" s="435" t="s">
        <v>14</v>
      </c>
      <c r="J65" s="435" t="s">
        <v>15</v>
      </c>
      <c r="K65" s="435" t="s">
        <v>16</v>
      </c>
      <c r="L65" s="435" t="s">
        <v>17</v>
      </c>
      <c r="M65" s="435" t="s">
        <v>18</v>
      </c>
      <c r="N65" s="435" t="s">
        <v>19</v>
      </c>
      <c r="O65" s="435" t="s">
        <v>20</v>
      </c>
    </row>
    <row r="66" spans="2:15" s="5" customFormat="1" x14ac:dyDescent="0.25">
      <c r="B66" s="793"/>
      <c r="C66" s="759"/>
      <c r="D66" s="435" t="s">
        <v>21</v>
      </c>
      <c r="E66" s="435" t="s">
        <v>22</v>
      </c>
      <c r="F66" s="435" t="s">
        <v>23</v>
      </c>
      <c r="G66" s="435" t="s">
        <v>21</v>
      </c>
      <c r="H66" s="435" t="s">
        <v>24</v>
      </c>
      <c r="I66" s="435" t="s">
        <v>25</v>
      </c>
      <c r="J66" s="435" t="s">
        <v>25</v>
      </c>
      <c r="K66" s="435" t="s">
        <v>26</v>
      </c>
      <c r="L66" s="435" t="s">
        <v>26</v>
      </c>
      <c r="M66" s="435" t="s">
        <v>26</v>
      </c>
      <c r="N66" s="435" t="s">
        <v>26</v>
      </c>
      <c r="O66" s="435" t="s">
        <v>26</v>
      </c>
    </row>
    <row r="67" spans="2:15" x14ac:dyDescent="0.25">
      <c r="B67" s="442">
        <v>1</v>
      </c>
      <c r="C67" s="441" t="s">
        <v>572</v>
      </c>
      <c r="D67" s="1"/>
      <c r="E67" s="66"/>
      <c r="F67" s="100">
        <f>E67</f>
        <v>0</v>
      </c>
      <c r="G67" s="436"/>
      <c r="H67" s="66"/>
      <c r="I67" s="66"/>
      <c r="J67" s="102"/>
      <c r="K67" s="66"/>
      <c r="L67" s="66"/>
      <c r="M67" s="66"/>
      <c r="N67" s="66"/>
      <c r="O67" s="66"/>
    </row>
    <row r="68" spans="2:15" x14ac:dyDescent="0.25">
      <c r="B68" s="438">
        <f>B67+1</f>
        <v>2</v>
      </c>
      <c r="C68" s="441" t="s">
        <v>573</v>
      </c>
      <c r="D68" s="1"/>
      <c r="E68" s="66"/>
      <c r="F68" s="100">
        <f t="shared" ref="F68:F70" si="27">E68</f>
        <v>0</v>
      </c>
      <c r="G68" s="436"/>
      <c r="H68" s="66"/>
      <c r="I68" s="66"/>
      <c r="J68" s="102"/>
      <c r="K68" s="66"/>
      <c r="L68" s="66"/>
      <c r="M68" s="66"/>
      <c r="N68" s="66"/>
      <c r="O68" s="66"/>
    </row>
    <row r="69" spans="2:15" x14ac:dyDescent="0.25">
      <c r="B69" s="438">
        <f t="shared" ref="B69:B79" si="28">B68+1</f>
        <v>3</v>
      </c>
      <c r="C69" s="19" t="s">
        <v>574</v>
      </c>
      <c r="D69" s="1"/>
      <c r="E69" s="66">
        <f>D127</f>
        <v>2009.86</v>
      </c>
      <c r="F69" s="100">
        <f t="shared" si="27"/>
        <v>2009.86</v>
      </c>
      <c r="G69" s="436"/>
      <c r="H69" s="414">
        <f>F73</f>
        <v>2188.8200000000002</v>
      </c>
      <c r="I69" s="414">
        <f>H73</f>
        <v>2311.2200000000003</v>
      </c>
      <c r="J69" s="102">
        <f>90%*J12</f>
        <v>2563.1567072055013</v>
      </c>
      <c r="K69" s="129">
        <f>J73</f>
        <v>2585.7058840556069</v>
      </c>
      <c r="L69" s="129">
        <f>K73</f>
        <v>3253.067131686118</v>
      </c>
      <c r="M69" s="66">
        <f>L73</f>
        <v>3860.3871331721543</v>
      </c>
      <c r="N69" s="66">
        <f>M73</f>
        <v>4576.6917238724764</v>
      </c>
      <c r="O69" s="66">
        <f>N73</f>
        <v>5376.5174030392818</v>
      </c>
    </row>
    <row r="70" spans="2:15" ht="27.6" x14ac:dyDescent="0.25">
      <c r="B70" s="438">
        <f t="shared" si="28"/>
        <v>4</v>
      </c>
      <c r="C70" s="54" t="s">
        <v>575</v>
      </c>
      <c r="D70" s="55"/>
      <c r="E70" s="104"/>
      <c r="F70" s="100">
        <f t="shared" si="27"/>
        <v>0</v>
      </c>
      <c r="G70" s="19"/>
      <c r="H70" s="477"/>
      <c r="I70" s="477"/>
      <c r="J70" s="102">
        <f t="shared" ref="J70:L73" si="29">90%*J13</f>
        <v>0</v>
      </c>
      <c r="K70" s="129"/>
      <c r="L70" s="129"/>
      <c r="M70" s="104"/>
      <c r="N70" s="104"/>
      <c r="O70" s="104"/>
    </row>
    <row r="71" spans="2:15" s="22" customFormat="1" ht="27.6" x14ac:dyDescent="0.25">
      <c r="B71" s="438">
        <f t="shared" si="28"/>
        <v>5</v>
      </c>
      <c r="C71" s="27" t="s">
        <v>576</v>
      </c>
      <c r="D71" s="55"/>
      <c r="E71" s="66">
        <f>D128</f>
        <v>428.12</v>
      </c>
      <c r="F71" s="100">
        <f>E71</f>
        <v>428.12</v>
      </c>
      <c r="G71" s="19"/>
      <c r="H71" s="414">
        <f>E128</f>
        <v>229.83</v>
      </c>
      <c r="I71" s="414">
        <f>F128</f>
        <v>128.07</v>
      </c>
      <c r="J71" s="102">
        <f t="shared" si="29"/>
        <v>321.06035590140368</v>
      </c>
      <c r="K71" s="129">
        <f>90%*K14</f>
        <v>999.97293498670365</v>
      </c>
      <c r="L71" s="129">
        <f>90%*L14</f>
        <v>986.04937525993842</v>
      </c>
      <c r="M71" s="66">
        <f>'[59]Interest cost'!G5</f>
        <v>1237.2692931243869</v>
      </c>
      <c r="N71" s="66">
        <f>'[59]Interest cost'!H5</f>
        <v>1385.1745417187285</v>
      </c>
      <c r="O71" s="66">
        <f>'[59]Interest cost'!I5</f>
        <v>1586.6924854150175</v>
      </c>
    </row>
    <row r="72" spans="2:15" ht="27.6" x14ac:dyDescent="0.25">
      <c r="B72" s="438">
        <f t="shared" si="28"/>
        <v>6</v>
      </c>
      <c r="C72" s="54" t="s">
        <v>577</v>
      </c>
      <c r="D72" s="55"/>
      <c r="E72" s="66">
        <f>D129</f>
        <v>249.16000000000003</v>
      </c>
      <c r="F72" s="100">
        <f>E72</f>
        <v>249.16000000000003</v>
      </c>
      <c r="G72" s="19"/>
      <c r="H72" s="414">
        <f>E129</f>
        <v>107.43</v>
      </c>
      <c r="I72" s="414">
        <f>F129</f>
        <v>144.61000000000001</v>
      </c>
      <c r="J72" s="102">
        <f t="shared" si="29"/>
        <v>332.18477530702637</v>
      </c>
      <c r="K72" s="129">
        <f t="shared" si="29"/>
        <v>372.75948107795972</v>
      </c>
      <c r="L72" s="129">
        <f t="shared" si="29"/>
        <v>413.78871466384675</v>
      </c>
      <c r="M72" s="66">
        <f>'[59]Interest cost'!G15</f>
        <v>520.96470242406485</v>
      </c>
      <c r="N72" s="66">
        <f>'[59]Interest cost'!H15</f>
        <v>585.34886255192305</v>
      </c>
      <c r="O72" s="66">
        <f>'[59]Interest cost'!I15</f>
        <v>669.90339569037769</v>
      </c>
    </row>
    <row r="73" spans="2:15" x14ac:dyDescent="0.25">
      <c r="B73" s="438">
        <f t="shared" si="28"/>
        <v>7</v>
      </c>
      <c r="C73" s="441" t="s">
        <v>578</v>
      </c>
      <c r="D73" s="55"/>
      <c r="E73" s="66">
        <f>E69-E70+E71-E72</f>
        <v>2188.8200000000002</v>
      </c>
      <c r="F73" s="100">
        <f>E73</f>
        <v>2188.8200000000002</v>
      </c>
      <c r="G73" s="19"/>
      <c r="H73" s="414">
        <f t="shared" ref="H73:O73" si="30">H69-H70+H71-H72</f>
        <v>2311.2200000000003</v>
      </c>
      <c r="I73" s="414">
        <f t="shared" si="30"/>
        <v>2294.6800000000003</v>
      </c>
      <c r="J73" s="102">
        <f t="shared" si="29"/>
        <v>2585.7058840556069</v>
      </c>
      <c r="K73" s="129">
        <f t="shared" si="29"/>
        <v>3253.067131686118</v>
      </c>
      <c r="L73" s="129">
        <f t="shared" si="29"/>
        <v>3860.3871331721543</v>
      </c>
      <c r="M73" s="66">
        <f>M69-M70+M71-M72</f>
        <v>4576.6917238724764</v>
      </c>
      <c r="N73" s="66">
        <f>N69-N70+N71-N72</f>
        <v>5376.5174030392818</v>
      </c>
      <c r="O73" s="66">
        <f t="shared" si="30"/>
        <v>6293.3064927639216</v>
      </c>
    </row>
    <row r="74" spans="2:15" x14ac:dyDescent="0.25">
      <c r="B74" s="438">
        <f t="shared" si="28"/>
        <v>8</v>
      </c>
      <c r="C74" s="441" t="s">
        <v>579</v>
      </c>
      <c r="D74" s="55"/>
      <c r="E74" s="66"/>
      <c r="F74" s="100"/>
      <c r="G74" s="19"/>
      <c r="H74" s="414"/>
      <c r="I74" s="414"/>
      <c r="J74" s="102"/>
      <c r="K74" s="129"/>
      <c r="L74" s="129"/>
      <c r="M74" s="66"/>
      <c r="N74" s="66"/>
      <c r="O74" s="66"/>
    </row>
    <row r="75" spans="2:15" x14ac:dyDescent="0.25">
      <c r="B75" s="438">
        <f t="shared" si="28"/>
        <v>9</v>
      </c>
      <c r="C75" s="441" t="s">
        <v>580</v>
      </c>
      <c r="D75" s="55"/>
      <c r="E75" s="66">
        <f>AVERAGE(E69,E73)</f>
        <v>2099.34</v>
      </c>
      <c r="F75" s="100">
        <f t="shared" ref="F75:F79" si="31">E75</f>
        <v>2099.34</v>
      </c>
      <c r="G75" s="19"/>
      <c r="H75" s="414">
        <f t="shared" ref="H75:O75" si="32">AVERAGE(H69,H73)</f>
        <v>2250.0200000000004</v>
      </c>
      <c r="I75" s="414">
        <f t="shared" si="32"/>
        <v>2302.9500000000003</v>
      </c>
      <c r="J75" s="102">
        <f t="shared" si="32"/>
        <v>2574.4312956305539</v>
      </c>
      <c r="K75" s="129">
        <f>AVERAGE(K69,K73)</f>
        <v>2919.3865078708623</v>
      </c>
      <c r="L75" s="129">
        <f>AVERAGE(L69,L73)</f>
        <v>3556.727132429136</v>
      </c>
      <c r="M75" s="66">
        <f t="shared" si="32"/>
        <v>4218.5394285223156</v>
      </c>
      <c r="N75" s="66">
        <f t="shared" si="32"/>
        <v>4976.6045634558795</v>
      </c>
      <c r="O75" s="66">
        <f t="shared" si="32"/>
        <v>5834.9119479016017</v>
      </c>
    </row>
    <row r="76" spans="2:15" ht="27.6" x14ac:dyDescent="0.25">
      <c r="B76" s="438">
        <f t="shared" si="28"/>
        <v>10</v>
      </c>
      <c r="C76" s="54" t="s">
        <v>581</v>
      </c>
      <c r="D76" s="55"/>
      <c r="E76" s="66">
        <f>D132</f>
        <v>7.5137900483008946E-2</v>
      </c>
      <c r="F76" s="100">
        <f t="shared" si="31"/>
        <v>7.5137900483008946E-2</v>
      </c>
      <c r="G76" s="19"/>
      <c r="H76" s="414">
        <f>E132</f>
        <v>9.0387338779210832E-2</v>
      </c>
      <c r="I76" s="414">
        <f>F132</f>
        <v>9.9713203065633207E-2</v>
      </c>
      <c r="J76" s="289">
        <f>J19</f>
        <v>0.10742306996877957</v>
      </c>
      <c r="K76" s="290">
        <f t="shared" ref="K76:L76" si="33">K19</f>
        <v>0.10752367764146818</v>
      </c>
      <c r="L76" s="290">
        <f t="shared" si="33"/>
        <v>0.10752367764146818</v>
      </c>
      <c r="M76" s="66">
        <f t="shared" ref="M76:O76" si="34">M77/M75</f>
        <v>0.11383357365791935</v>
      </c>
      <c r="N76" s="66">
        <f t="shared" si="34"/>
        <v>0.11181814509462124</v>
      </c>
      <c r="O76" s="66">
        <f t="shared" si="34"/>
        <v>0.11016834417564959</v>
      </c>
    </row>
    <row r="77" spans="2:15" x14ac:dyDescent="0.25">
      <c r="B77" s="438">
        <f t="shared" si="28"/>
        <v>11</v>
      </c>
      <c r="C77" s="441" t="s">
        <v>582</v>
      </c>
      <c r="D77" s="55"/>
      <c r="E77" s="66">
        <f>E75*E76</f>
        <v>157.74</v>
      </c>
      <c r="F77" s="100">
        <f t="shared" si="31"/>
        <v>157.74</v>
      </c>
      <c r="G77" s="19"/>
      <c r="H77" s="414">
        <f>H75*H76</f>
        <v>203.37332000000001</v>
      </c>
      <c r="I77" s="414">
        <f>I75*I76</f>
        <v>229.63452100000003</v>
      </c>
      <c r="J77" s="129">
        <f>90%*J20</f>
        <v>276.55331320033685</v>
      </c>
      <c r="K77" s="129">
        <f>90%*K20</f>
        <v>313.90317378315819</v>
      </c>
      <c r="L77" s="129">
        <f>90%*L20</f>
        <v>382.43238164597398</v>
      </c>
      <c r="M77" s="66">
        <f>'[59]Interest cost'!G29</f>
        <v>480.21141876553202</v>
      </c>
      <c r="N77" s="66">
        <f>'[59]Interest cost'!H29</f>
        <v>556.47469115506374</v>
      </c>
      <c r="O77" s="66">
        <f>'[59]Interest cost'!I29</f>
        <v>642.82258771103363</v>
      </c>
    </row>
    <row r="78" spans="2:15" x14ac:dyDescent="0.25">
      <c r="B78" s="438">
        <f t="shared" si="28"/>
        <v>12</v>
      </c>
      <c r="C78" s="441" t="s">
        <v>583</v>
      </c>
      <c r="D78" s="55"/>
      <c r="E78" s="66"/>
      <c r="F78" s="100">
        <f t="shared" si="31"/>
        <v>0</v>
      </c>
      <c r="G78" s="19"/>
      <c r="H78" s="414"/>
      <c r="I78" s="414"/>
      <c r="J78" s="102">
        <f t="shared" ref="J78" si="35">H78+I78</f>
        <v>0</v>
      </c>
      <c r="K78" s="129"/>
      <c r="L78" s="129"/>
      <c r="M78" s="66"/>
      <c r="N78" s="66"/>
      <c r="O78" s="66"/>
    </row>
    <row r="79" spans="2:15" x14ac:dyDescent="0.25">
      <c r="B79" s="438">
        <f t="shared" si="28"/>
        <v>13</v>
      </c>
      <c r="C79" s="441" t="s">
        <v>584</v>
      </c>
      <c r="D79" s="55"/>
      <c r="E79" s="66">
        <f>E77+E78</f>
        <v>157.74</v>
      </c>
      <c r="F79" s="100">
        <f t="shared" si="31"/>
        <v>157.74</v>
      </c>
      <c r="G79" s="19"/>
      <c r="H79" s="414">
        <f>H77+H78</f>
        <v>203.37332000000001</v>
      </c>
      <c r="I79" s="414">
        <f>I77+I78</f>
        <v>229.63452100000003</v>
      </c>
      <c r="J79" s="102">
        <f>J78+J77</f>
        <v>276.55331320033685</v>
      </c>
      <c r="K79" s="129">
        <f>K77+K78</f>
        <v>313.90317378315819</v>
      </c>
      <c r="L79" s="129">
        <f>L77+L78</f>
        <v>382.43238164597398</v>
      </c>
      <c r="M79" s="66">
        <f>M77+M78</f>
        <v>480.21141876553202</v>
      </c>
      <c r="N79" s="66">
        <f>N77+N78</f>
        <v>556.47469115506374</v>
      </c>
      <c r="O79" s="66">
        <f>O77+O78</f>
        <v>642.82258771103363</v>
      </c>
    </row>
    <row r="81" spans="2:12" x14ac:dyDescent="0.25">
      <c r="B81" s="439" t="s">
        <v>585</v>
      </c>
      <c r="C81" s="14" t="s">
        <v>586</v>
      </c>
    </row>
    <row r="82" spans="2:12" x14ac:dyDescent="0.25">
      <c r="L82" s="16" t="s">
        <v>3</v>
      </c>
    </row>
    <row r="83" spans="2:12" ht="15" customHeight="1" x14ac:dyDescent="0.25">
      <c r="B83" s="758" t="s">
        <v>4</v>
      </c>
      <c r="C83" s="876" t="s">
        <v>5</v>
      </c>
      <c r="D83" s="434" t="s">
        <v>7</v>
      </c>
      <c r="E83" s="755" t="s">
        <v>8</v>
      </c>
      <c r="F83" s="756"/>
      <c r="G83" s="757"/>
      <c r="H83" s="751" t="s">
        <v>9</v>
      </c>
      <c r="I83" s="875"/>
      <c r="J83" s="875"/>
      <c r="K83" s="875"/>
      <c r="L83" s="752"/>
    </row>
    <row r="84" spans="2:12" x14ac:dyDescent="0.25">
      <c r="B84" s="792"/>
      <c r="C84" s="877"/>
      <c r="D84" s="435" t="s">
        <v>11</v>
      </c>
      <c r="E84" s="435" t="s">
        <v>13</v>
      </c>
      <c r="F84" s="435" t="s">
        <v>14</v>
      </c>
      <c r="G84" s="435" t="s">
        <v>15</v>
      </c>
      <c r="H84" s="435" t="s">
        <v>16</v>
      </c>
      <c r="I84" s="435" t="s">
        <v>17</v>
      </c>
      <c r="J84" s="474" t="s">
        <v>18</v>
      </c>
      <c r="K84" s="474" t="s">
        <v>19</v>
      </c>
      <c r="L84" s="474" t="s">
        <v>20</v>
      </c>
    </row>
    <row r="85" spans="2:12" x14ac:dyDescent="0.25">
      <c r="B85" s="793"/>
      <c r="C85" s="759"/>
      <c r="D85" s="435" t="s">
        <v>22</v>
      </c>
      <c r="E85" s="435" t="s">
        <v>24</v>
      </c>
      <c r="F85" s="435" t="s">
        <v>25</v>
      </c>
      <c r="G85" s="435" t="s">
        <v>25</v>
      </c>
      <c r="H85" s="435" t="s">
        <v>26</v>
      </c>
      <c r="I85" s="435" t="s">
        <v>26</v>
      </c>
      <c r="J85" s="474" t="s">
        <v>26</v>
      </c>
      <c r="K85" s="474" t="s">
        <v>26</v>
      </c>
      <c r="L85" s="474" t="s">
        <v>26</v>
      </c>
    </row>
    <row r="86" spans="2:12" x14ac:dyDescent="0.25">
      <c r="B86" s="438">
        <v>1</v>
      </c>
      <c r="C86" s="28" t="s">
        <v>702</v>
      </c>
      <c r="D86" s="441"/>
      <c r="E86" s="441"/>
      <c r="F86" s="441"/>
      <c r="G86" s="441"/>
      <c r="H86" s="441"/>
      <c r="I86" s="441"/>
      <c r="J86" s="475"/>
      <c r="K86" s="475"/>
      <c r="L86" s="475"/>
    </row>
    <row r="87" spans="2:12" x14ac:dyDescent="0.25">
      <c r="B87" s="441"/>
      <c r="C87" s="441" t="s">
        <v>587</v>
      </c>
      <c r="D87" s="129">
        <f>[60]Sheet1!C7</f>
        <v>1504.86</v>
      </c>
      <c r="E87" s="129">
        <f>[60]Sheet1!D7</f>
        <v>1725.96</v>
      </c>
      <c r="F87" s="129">
        <f>[60]Sheet1!E7</f>
        <v>1854.98</v>
      </c>
      <c r="G87" s="129">
        <f>[60]Sheet1!F7</f>
        <v>1725.96</v>
      </c>
      <c r="H87" s="129">
        <f>[60]Sheet1!G7</f>
        <v>1879.7900000000002</v>
      </c>
      <c r="I87" s="129">
        <f>[60]Sheet1!H7</f>
        <v>1673.2700000000002</v>
      </c>
      <c r="J87" s="478">
        <f>[60]Sheet1!I7</f>
        <v>1466.7500000000002</v>
      </c>
      <c r="K87" s="478">
        <f>[60]Sheet1!J7</f>
        <v>1260.2300000000002</v>
      </c>
      <c r="L87" s="478">
        <f>[60]Sheet1!K7</f>
        <v>1053.7100000000003</v>
      </c>
    </row>
    <row r="88" spans="2:12" x14ac:dyDescent="0.25">
      <c r="B88" s="441"/>
      <c r="C88" s="441" t="s">
        <v>588</v>
      </c>
      <c r="D88" s="129">
        <f>[60]Sheet1!C8</f>
        <v>428.12</v>
      </c>
      <c r="E88" s="129">
        <f>[60]Sheet1!D8</f>
        <v>229.83</v>
      </c>
      <c r="F88" s="129">
        <f>[60]Sheet1!E8</f>
        <v>128.07</v>
      </c>
      <c r="G88" s="129">
        <f>[60]Sheet1!F8</f>
        <v>357.9</v>
      </c>
      <c r="H88" s="129">
        <f>[60]Sheet1!G8</f>
        <v>0</v>
      </c>
      <c r="I88" s="129">
        <f>[60]Sheet1!H8</f>
        <v>0</v>
      </c>
      <c r="J88" s="478">
        <f>[60]Sheet1!I8</f>
        <v>0</v>
      </c>
      <c r="K88" s="478">
        <f>[60]Sheet1!J8</f>
        <v>0</v>
      </c>
      <c r="L88" s="478">
        <f>[60]Sheet1!K8</f>
        <v>0</v>
      </c>
    </row>
    <row r="89" spans="2:12" x14ac:dyDescent="0.25">
      <c r="B89" s="441"/>
      <c r="C89" s="441" t="s">
        <v>589</v>
      </c>
      <c r="D89" s="129">
        <f>[60]Sheet1!C9</f>
        <v>207.02</v>
      </c>
      <c r="E89" s="129">
        <f>[60]Sheet1!D9</f>
        <v>100.81</v>
      </c>
      <c r="F89" s="129">
        <f>[60]Sheet1!E9</f>
        <v>103.26</v>
      </c>
      <c r="G89" s="129">
        <f>[60]Sheet1!F9</f>
        <v>204.07</v>
      </c>
      <c r="H89" s="129">
        <f>[60]Sheet1!G9</f>
        <v>206.52</v>
      </c>
      <c r="I89" s="129">
        <f>[60]Sheet1!H9</f>
        <v>206.52</v>
      </c>
      <c r="J89" s="478">
        <f>[60]Sheet1!I9</f>
        <v>206.52</v>
      </c>
      <c r="K89" s="478">
        <f>[60]Sheet1!J9</f>
        <v>206.52</v>
      </c>
      <c r="L89" s="478">
        <f>[60]Sheet1!K9</f>
        <v>206.52</v>
      </c>
    </row>
    <row r="90" spans="2:12" x14ac:dyDescent="0.25">
      <c r="B90" s="441"/>
      <c r="C90" s="441" t="s">
        <v>590</v>
      </c>
      <c r="D90" s="293">
        <f>D87+D88-D89</f>
        <v>1725.96</v>
      </c>
      <c r="E90" s="293">
        <f t="shared" ref="E90:L90" si="36">E87+E88-E89</f>
        <v>1854.98</v>
      </c>
      <c r="F90" s="293">
        <f t="shared" si="36"/>
        <v>1879.79</v>
      </c>
      <c r="G90" s="293">
        <f t="shared" si="36"/>
        <v>1879.7900000000002</v>
      </c>
      <c r="H90" s="293">
        <f t="shared" si="36"/>
        <v>1673.2700000000002</v>
      </c>
      <c r="I90" s="293">
        <f t="shared" si="36"/>
        <v>1466.7500000000002</v>
      </c>
      <c r="J90" s="478">
        <f t="shared" si="36"/>
        <v>1260.2300000000002</v>
      </c>
      <c r="K90" s="478">
        <f t="shared" si="36"/>
        <v>1053.7100000000003</v>
      </c>
      <c r="L90" s="478">
        <f t="shared" si="36"/>
        <v>847.19000000000028</v>
      </c>
    </row>
    <row r="91" spans="2:12" x14ac:dyDescent="0.25">
      <c r="B91" s="441"/>
      <c r="C91" s="441" t="s">
        <v>591</v>
      </c>
      <c r="D91" s="293">
        <f>AVERAGE(D90,D87)</f>
        <v>1615.4099999999999</v>
      </c>
      <c r="E91" s="293">
        <f t="shared" ref="E91:L91" si="37">AVERAGE(E90,E87)</f>
        <v>1790.47</v>
      </c>
      <c r="F91" s="293">
        <f t="shared" si="37"/>
        <v>1867.385</v>
      </c>
      <c r="G91" s="293">
        <f t="shared" si="37"/>
        <v>1802.875</v>
      </c>
      <c r="H91" s="293">
        <f t="shared" si="37"/>
        <v>1776.5300000000002</v>
      </c>
      <c r="I91" s="293">
        <f t="shared" si="37"/>
        <v>1570.0100000000002</v>
      </c>
      <c r="J91" s="478">
        <f t="shared" si="37"/>
        <v>1363.4900000000002</v>
      </c>
      <c r="K91" s="478">
        <f t="shared" si="37"/>
        <v>1156.9700000000003</v>
      </c>
      <c r="L91" s="478">
        <f t="shared" si="37"/>
        <v>950.45000000000027</v>
      </c>
    </row>
    <row r="92" spans="2:12" x14ac:dyDescent="0.25">
      <c r="B92" s="441"/>
      <c r="C92" s="441" t="s">
        <v>592</v>
      </c>
      <c r="D92" s="129">
        <f>[60]Sheet1!$C$12</f>
        <v>11.61</v>
      </c>
      <c r="E92" s="129">
        <f>[60]Sheet1!$C$12</f>
        <v>11.61</v>
      </c>
      <c r="F92" s="129">
        <f>[60]Sheet1!$C$12</f>
        <v>11.61</v>
      </c>
      <c r="G92" s="129">
        <f>[60]Sheet1!$C$12</f>
        <v>11.61</v>
      </c>
      <c r="H92" s="129">
        <f>[60]Sheet1!$C$12</f>
        <v>11.61</v>
      </c>
      <c r="I92" s="129">
        <f>[60]Sheet1!$C$12</f>
        <v>11.61</v>
      </c>
      <c r="J92" s="478">
        <f>[60]Sheet1!$C$12</f>
        <v>11.61</v>
      </c>
      <c r="K92" s="478">
        <f>[60]Sheet1!$C$12</f>
        <v>11.61</v>
      </c>
      <c r="L92" s="478">
        <f>[60]Sheet1!$C$12</f>
        <v>11.61</v>
      </c>
    </row>
    <row r="93" spans="2:12" x14ac:dyDescent="0.25">
      <c r="B93" s="441"/>
      <c r="C93" s="441" t="s">
        <v>582</v>
      </c>
      <c r="D93" s="293">
        <f>[60]Sheet1!$C$13</f>
        <v>125.79</v>
      </c>
      <c r="E93" s="293">
        <f>[60]Sheet1!$D$13</f>
        <v>93.87</v>
      </c>
      <c r="F93" s="293">
        <f>F91*F92/100*6/12</f>
        <v>108.40169925000002</v>
      </c>
      <c r="G93" s="293">
        <f>E93+F93</f>
        <v>202.27169925000004</v>
      </c>
      <c r="H93" s="293">
        <f>H91*H92/100</f>
        <v>206.25513300000003</v>
      </c>
      <c r="I93" s="293">
        <f t="shared" ref="I93:L93" si="38">I91*I92/100</f>
        <v>182.27816100000001</v>
      </c>
      <c r="J93" s="478">
        <f t="shared" si="38"/>
        <v>158.30118900000002</v>
      </c>
      <c r="K93" s="478">
        <f t="shared" si="38"/>
        <v>134.32421700000003</v>
      </c>
      <c r="L93" s="478">
        <f t="shared" si="38"/>
        <v>110.34724500000002</v>
      </c>
    </row>
    <row r="94" spans="2:12" x14ac:dyDescent="0.25">
      <c r="B94" s="441"/>
      <c r="C94" s="441" t="s">
        <v>583</v>
      </c>
      <c r="D94" s="129"/>
      <c r="E94" s="129"/>
      <c r="F94" s="129"/>
      <c r="G94" s="129"/>
      <c r="H94" s="129"/>
      <c r="I94" s="129"/>
      <c r="J94" s="478"/>
      <c r="K94" s="478"/>
      <c r="L94" s="478"/>
    </row>
    <row r="95" spans="2:12" x14ac:dyDescent="0.25">
      <c r="B95" s="441"/>
      <c r="C95" s="441" t="s">
        <v>584</v>
      </c>
      <c r="D95" s="293">
        <f>D93+D94</f>
        <v>125.79</v>
      </c>
      <c r="E95" s="293">
        <f>E93+E94</f>
        <v>93.87</v>
      </c>
      <c r="F95" s="293">
        <f t="shared" ref="F95:L95" si="39">F93+F94</f>
        <v>108.40169925000002</v>
      </c>
      <c r="G95" s="293">
        <f t="shared" si="39"/>
        <v>202.27169925000004</v>
      </c>
      <c r="H95" s="293">
        <f t="shared" si="39"/>
        <v>206.25513300000003</v>
      </c>
      <c r="I95" s="293">
        <f t="shared" si="39"/>
        <v>182.27816100000001</v>
      </c>
      <c r="J95" s="478">
        <f t="shared" si="39"/>
        <v>158.30118900000002</v>
      </c>
      <c r="K95" s="478">
        <f t="shared" si="39"/>
        <v>134.32421700000003</v>
      </c>
      <c r="L95" s="478">
        <f t="shared" si="39"/>
        <v>110.34724500000002</v>
      </c>
    </row>
    <row r="96" spans="2:12" x14ac:dyDescent="0.25">
      <c r="B96" s="438">
        <v>2</v>
      </c>
      <c r="C96" s="28" t="s">
        <v>703</v>
      </c>
      <c r="D96" s="129"/>
      <c r="E96" s="129"/>
      <c r="F96" s="129"/>
      <c r="G96" s="129"/>
      <c r="H96" s="129"/>
      <c r="I96" s="129"/>
      <c r="J96" s="478"/>
      <c r="K96" s="478"/>
      <c r="L96" s="478"/>
    </row>
    <row r="97" spans="2:12" x14ac:dyDescent="0.25">
      <c r="B97" s="441"/>
      <c r="C97" s="441" t="s">
        <v>587</v>
      </c>
      <c r="D97" s="129">
        <f>[60]Sheet1!C17</f>
        <v>147.65</v>
      </c>
      <c r="E97" s="129">
        <f>[60]Sheet1!D17</f>
        <v>105.51</v>
      </c>
      <c r="F97" s="129">
        <f>[60]Sheet1!E17</f>
        <v>98.89</v>
      </c>
      <c r="G97" s="129">
        <f>D100</f>
        <v>105.51</v>
      </c>
      <c r="H97" s="129">
        <f t="shared" ref="H97:L97" si="40">G100</f>
        <v>92.09</v>
      </c>
      <c r="I97" s="129">
        <f t="shared" si="40"/>
        <v>78.69</v>
      </c>
      <c r="J97" s="478">
        <f t="shared" si="40"/>
        <v>65.289999999999992</v>
      </c>
      <c r="K97" s="478">
        <f t="shared" si="40"/>
        <v>51.889999999999993</v>
      </c>
      <c r="L97" s="478">
        <f t="shared" si="40"/>
        <v>38.489999999999995</v>
      </c>
    </row>
    <row r="98" spans="2:12" x14ac:dyDescent="0.25">
      <c r="B98" s="441"/>
      <c r="C98" s="441" t="s">
        <v>588</v>
      </c>
      <c r="D98" s="129">
        <f>[60]Sheet1!C18</f>
        <v>0</v>
      </c>
      <c r="E98" s="129">
        <f>[60]Sheet1!D18</f>
        <v>0</v>
      </c>
      <c r="F98" s="129">
        <f>[60]Sheet1!E18</f>
        <v>0</v>
      </c>
      <c r="G98" s="129">
        <f>[60]Sheet1!F18</f>
        <v>0</v>
      </c>
      <c r="H98" s="129">
        <f>[60]Sheet1!G18</f>
        <v>0</v>
      </c>
      <c r="I98" s="129">
        <f>[60]Sheet1!H18</f>
        <v>0</v>
      </c>
      <c r="J98" s="478">
        <f>[60]Sheet1!I18</f>
        <v>0</v>
      </c>
      <c r="K98" s="478">
        <f>[60]Sheet1!J18</f>
        <v>0</v>
      </c>
      <c r="L98" s="478">
        <f>[60]Sheet1!K18</f>
        <v>0</v>
      </c>
    </row>
    <row r="99" spans="2:12" x14ac:dyDescent="0.25">
      <c r="B99" s="441"/>
      <c r="C99" s="441" t="s">
        <v>589</v>
      </c>
      <c r="D99" s="129">
        <f>[60]Sheet1!C19</f>
        <v>42.14</v>
      </c>
      <c r="E99" s="129">
        <f>[60]Sheet1!D19</f>
        <v>6.62</v>
      </c>
      <c r="F99" s="129">
        <f>[60]Sheet1!E19</f>
        <v>6.8</v>
      </c>
      <c r="G99" s="129">
        <f>[60]Sheet1!F19</f>
        <v>13.42</v>
      </c>
      <c r="H99" s="129">
        <f>[60]Sheet1!G19</f>
        <v>13.4</v>
      </c>
      <c r="I99" s="129">
        <f>[60]Sheet1!H19</f>
        <v>13.4</v>
      </c>
      <c r="J99" s="478">
        <f>[60]Sheet1!I19</f>
        <v>13.4</v>
      </c>
      <c r="K99" s="478">
        <f>[60]Sheet1!J19</f>
        <v>13.4</v>
      </c>
      <c r="L99" s="478">
        <f>[60]Sheet1!K19</f>
        <v>13.4</v>
      </c>
    </row>
    <row r="100" spans="2:12" x14ac:dyDescent="0.25">
      <c r="B100" s="441"/>
      <c r="C100" s="441" t="s">
        <v>590</v>
      </c>
      <c r="D100" s="293">
        <f>D97+D98-D99</f>
        <v>105.51</v>
      </c>
      <c r="E100" s="293">
        <f t="shared" ref="E100:L100" si="41">E97+E98-E99</f>
        <v>98.89</v>
      </c>
      <c r="F100" s="293">
        <f t="shared" si="41"/>
        <v>92.09</v>
      </c>
      <c r="G100" s="293">
        <f t="shared" si="41"/>
        <v>92.09</v>
      </c>
      <c r="H100" s="293">
        <f t="shared" si="41"/>
        <v>78.69</v>
      </c>
      <c r="I100" s="293">
        <f t="shared" si="41"/>
        <v>65.289999999999992</v>
      </c>
      <c r="J100" s="478">
        <f t="shared" si="41"/>
        <v>51.889999999999993</v>
      </c>
      <c r="K100" s="478">
        <f t="shared" si="41"/>
        <v>38.489999999999995</v>
      </c>
      <c r="L100" s="478">
        <f t="shared" si="41"/>
        <v>25.089999999999996</v>
      </c>
    </row>
    <row r="101" spans="2:12" x14ac:dyDescent="0.25">
      <c r="B101" s="441"/>
      <c r="C101" s="441" t="s">
        <v>591</v>
      </c>
      <c r="D101" s="293">
        <f t="shared" ref="D101:L101" si="42">AVERAGE(D100,D97)</f>
        <v>126.58000000000001</v>
      </c>
      <c r="E101" s="293">
        <f t="shared" si="42"/>
        <v>102.2</v>
      </c>
      <c r="F101" s="293">
        <f t="shared" si="42"/>
        <v>95.490000000000009</v>
      </c>
      <c r="G101" s="293">
        <f t="shared" si="42"/>
        <v>98.800000000000011</v>
      </c>
      <c r="H101" s="293">
        <f t="shared" si="42"/>
        <v>85.39</v>
      </c>
      <c r="I101" s="293">
        <f t="shared" si="42"/>
        <v>71.989999999999995</v>
      </c>
      <c r="J101" s="478">
        <f t="shared" si="42"/>
        <v>58.589999999999989</v>
      </c>
      <c r="K101" s="478">
        <f t="shared" si="42"/>
        <v>45.19</v>
      </c>
      <c r="L101" s="478">
        <f t="shared" si="42"/>
        <v>31.789999999999996</v>
      </c>
    </row>
    <row r="102" spans="2:12" x14ac:dyDescent="0.25">
      <c r="B102" s="441"/>
      <c r="C102" s="441" t="s">
        <v>592</v>
      </c>
      <c r="D102" s="129">
        <v>11.1</v>
      </c>
      <c r="E102" s="129">
        <v>11.1</v>
      </c>
      <c r="F102" s="129">
        <v>11.1</v>
      </c>
      <c r="G102" s="129">
        <v>11.1</v>
      </c>
      <c r="H102" s="129">
        <v>11.1</v>
      </c>
      <c r="I102" s="129">
        <v>11.1</v>
      </c>
      <c r="J102" s="478">
        <v>11.1</v>
      </c>
      <c r="K102" s="478">
        <v>11.1</v>
      </c>
      <c r="L102" s="478">
        <v>11.1</v>
      </c>
    </row>
    <row r="103" spans="2:12" x14ac:dyDescent="0.25">
      <c r="B103" s="441"/>
      <c r="C103" s="441" t="s">
        <v>582</v>
      </c>
      <c r="D103" s="293">
        <f>[60]Sheet1!$C$23</f>
        <v>29.04</v>
      </c>
      <c r="E103" s="293">
        <f>[60]Sheet1!$D$23</f>
        <v>6.69</v>
      </c>
      <c r="F103" s="293">
        <f>F101*F102/100*6/12</f>
        <v>5.2996950000000007</v>
      </c>
      <c r="G103" s="293">
        <f>G101*G102/100</f>
        <v>10.966800000000001</v>
      </c>
      <c r="H103" s="293">
        <f t="shared" ref="H103:L103" si="43">H101*H102/100</f>
        <v>9.4782899999999994</v>
      </c>
      <c r="I103" s="293">
        <f t="shared" si="43"/>
        <v>7.9908899999999994</v>
      </c>
      <c r="J103" s="478">
        <f t="shared" si="43"/>
        <v>6.5034899999999984</v>
      </c>
      <c r="K103" s="478">
        <f t="shared" si="43"/>
        <v>5.0160900000000002</v>
      </c>
      <c r="L103" s="478">
        <f t="shared" si="43"/>
        <v>3.5286899999999992</v>
      </c>
    </row>
    <row r="104" spans="2:12" x14ac:dyDescent="0.25">
      <c r="B104" s="441"/>
      <c r="C104" s="441" t="s">
        <v>583</v>
      </c>
      <c r="D104" s="129"/>
      <c r="E104" s="129"/>
      <c r="F104" s="129"/>
      <c r="G104" s="129"/>
      <c r="H104" s="129"/>
      <c r="I104" s="129"/>
      <c r="J104" s="478"/>
      <c r="K104" s="478"/>
      <c r="L104" s="478"/>
    </row>
    <row r="105" spans="2:12" x14ac:dyDescent="0.25">
      <c r="B105" s="441"/>
      <c r="C105" s="441" t="s">
        <v>584</v>
      </c>
      <c r="D105" s="293">
        <f>D103+D104</f>
        <v>29.04</v>
      </c>
      <c r="E105" s="293">
        <f t="shared" ref="E105:L105" si="44">E103+E104</f>
        <v>6.69</v>
      </c>
      <c r="F105" s="293">
        <f t="shared" si="44"/>
        <v>5.2996950000000007</v>
      </c>
      <c r="G105" s="293">
        <f t="shared" si="44"/>
        <v>10.966800000000001</v>
      </c>
      <c r="H105" s="293">
        <f t="shared" si="44"/>
        <v>9.4782899999999994</v>
      </c>
      <c r="I105" s="293">
        <f t="shared" si="44"/>
        <v>7.9908899999999994</v>
      </c>
      <c r="J105" s="478">
        <f t="shared" si="44"/>
        <v>6.5034899999999984</v>
      </c>
      <c r="K105" s="478">
        <f t="shared" si="44"/>
        <v>5.0160900000000002</v>
      </c>
      <c r="L105" s="478">
        <f t="shared" si="44"/>
        <v>3.5286899999999992</v>
      </c>
    </row>
    <row r="106" spans="2:12" x14ac:dyDescent="0.25">
      <c r="B106" s="438">
        <v>3</v>
      </c>
      <c r="C106" s="28" t="s">
        <v>704</v>
      </c>
      <c r="D106" s="129"/>
      <c r="E106" s="129"/>
      <c r="F106" s="129"/>
      <c r="G106" s="129"/>
      <c r="H106" s="129"/>
      <c r="I106" s="129"/>
      <c r="J106" s="478"/>
      <c r="K106" s="478"/>
      <c r="L106" s="478"/>
    </row>
    <row r="107" spans="2:12" x14ac:dyDescent="0.25">
      <c r="B107" s="441"/>
      <c r="C107" s="441" t="s">
        <v>587</v>
      </c>
      <c r="D107" s="129">
        <f>[60]Sheet1!C27</f>
        <v>351.28</v>
      </c>
      <c r="E107" s="129">
        <f>[60]Sheet1!D27</f>
        <v>351.28</v>
      </c>
      <c r="F107" s="129">
        <f>[60]Sheet1!E27</f>
        <v>351.28</v>
      </c>
      <c r="G107" s="129">
        <f>D110</f>
        <v>351.28</v>
      </c>
      <c r="H107" s="129">
        <f t="shared" ref="H107:L107" si="45">G110</f>
        <v>316.72999999999996</v>
      </c>
      <c r="I107" s="129">
        <f t="shared" si="45"/>
        <v>305.20999999999998</v>
      </c>
      <c r="J107" s="478">
        <f t="shared" si="45"/>
        <v>293.69</v>
      </c>
      <c r="K107" s="478">
        <f t="shared" si="45"/>
        <v>282.17</v>
      </c>
      <c r="L107" s="478">
        <f t="shared" si="45"/>
        <v>270.65000000000003</v>
      </c>
    </row>
    <row r="108" spans="2:12" x14ac:dyDescent="0.25">
      <c r="B108" s="441"/>
      <c r="C108" s="441" t="s">
        <v>588</v>
      </c>
      <c r="D108" s="129">
        <f>[60]Sheet1!C28</f>
        <v>0</v>
      </c>
      <c r="E108" s="129">
        <f>[60]Sheet1!D28</f>
        <v>0</v>
      </c>
      <c r="F108" s="129">
        <f>[60]Sheet1!E28</f>
        <v>0</v>
      </c>
      <c r="G108" s="129">
        <f>[60]Sheet1!F28</f>
        <v>0</v>
      </c>
      <c r="H108" s="129">
        <f>[60]Sheet1!G28</f>
        <v>0</v>
      </c>
      <c r="I108" s="129">
        <f>[60]Sheet1!H28</f>
        <v>0</v>
      </c>
      <c r="J108" s="478">
        <f>[60]Sheet1!I28</f>
        <v>0</v>
      </c>
      <c r="K108" s="478">
        <f>[60]Sheet1!J28</f>
        <v>0</v>
      </c>
      <c r="L108" s="478">
        <f>[60]Sheet1!K28</f>
        <v>0</v>
      </c>
    </row>
    <row r="109" spans="2:12" x14ac:dyDescent="0.25">
      <c r="B109" s="441"/>
      <c r="C109" s="441" t="s">
        <v>589</v>
      </c>
      <c r="D109" s="129">
        <f>[60]Sheet1!C29</f>
        <v>0</v>
      </c>
      <c r="E109" s="129">
        <f>[60]Sheet1!D29</f>
        <v>0</v>
      </c>
      <c r="F109" s="294">
        <v>34.549999999999997</v>
      </c>
      <c r="G109" s="294">
        <f>[60]Sheet1!F29</f>
        <v>34.549999999999997</v>
      </c>
      <c r="H109" s="129">
        <f>[60]Sheet1!G29</f>
        <v>11.52</v>
      </c>
      <c r="I109" s="129">
        <f>[60]Sheet1!H29</f>
        <v>11.52</v>
      </c>
      <c r="J109" s="478">
        <f>[60]Sheet1!I29</f>
        <v>11.52</v>
      </c>
      <c r="K109" s="478">
        <f>[60]Sheet1!J29</f>
        <v>11.52</v>
      </c>
      <c r="L109" s="478">
        <f>[60]Sheet1!K29</f>
        <v>11.52</v>
      </c>
    </row>
    <row r="110" spans="2:12" x14ac:dyDescent="0.25">
      <c r="B110" s="441"/>
      <c r="C110" s="441" t="s">
        <v>590</v>
      </c>
      <c r="D110" s="293">
        <f>D107+D108-D109</f>
        <v>351.28</v>
      </c>
      <c r="E110" s="293">
        <f t="shared" ref="E110:L110" si="46">E107+E108-E109</f>
        <v>351.28</v>
      </c>
      <c r="F110" s="293">
        <f t="shared" si="46"/>
        <v>316.72999999999996</v>
      </c>
      <c r="G110" s="293">
        <f t="shared" si="46"/>
        <v>316.72999999999996</v>
      </c>
      <c r="H110" s="293">
        <f t="shared" si="46"/>
        <v>305.20999999999998</v>
      </c>
      <c r="I110" s="293">
        <f t="shared" si="46"/>
        <v>293.69</v>
      </c>
      <c r="J110" s="478">
        <f t="shared" si="46"/>
        <v>282.17</v>
      </c>
      <c r="K110" s="478">
        <f t="shared" si="46"/>
        <v>270.65000000000003</v>
      </c>
      <c r="L110" s="478">
        <f t="shared" si="46"/>
        <v>259.13000000000005</v>
      </c>
    </row>
    <row r="111" spans="2:12" x14ac:dyDescent="0.25">
      <c r="B111" s="441"/>
      <c r="C111" s="441" t="s">
        <v>591</v>
      </c>
      <c r="D111" s="293">
        <f t="shared" ref="D111:L111" si="47">AVERAGE(D110,D107)</f>
        <v>351.28</v>
      </c>
      <c r="E111" s="293">
        <f t="shared" si="47"/>
        <v>351.28</v>
      </c>
      <c r="F111" s="293">
        <f t="shared" si="47"/>
        <v>334.005</v>
      </c>
      <c r="G111" s="293">
        <f t="shared" si="47"/>
        <v>334.005</v>
      </c>
      <c r="H111" s="293">
        <f t="shared" si="47"/>
        <v>310.96999999999997</v>
      </c>
      <c r="I111" s="293">
        <f t="shared" si="47"/>
        <v>299.45</v>
      </c>
      <c r="J111" s="478">
        <f t="shared" si="47"/>
        <v>287.93</v>
      </c>
      <c r="K111" s="478">
        <f t="shared" si="47"/>
        <v>276.41000000000003</v>
      </c>
      <c r="L111" s="478">
        <f t="shared" si="47"/>
        <v>264.89000000000004</v>
      </c>
    </row>
    <row r="112" spans="2:12" x14ac:dyDescent="0.25">
      <c r="B112" s="441"/>
      <c r="C112" s="441" t="s">
        <v>592</v>
      </c>
      <c r="D112" s="438">
        <v>0.65</v>
      </c>
      <c r="E112" s="438">
        <v>0.65</v>
      </c>
      <c r="F112" s="438">
        <v>0.65</v>
      </c>
      <c r="G112" s="438">
        <v>0.65</v>
      </c>
      <c r="H112" s="438">
        <v>0.65</v>
      </c>
      <c r="I112" s="438">
        <v>0.65</v>
      </c>
      <c r="J112" s="479">
        <v>0.65</v>
      </c>
      <c r="K112" s="479">
        <v>0.65</v>
      </c>
      <c r="L112" s="479">
        <v>0.65</v>
      </c>
    </row>
    <row r="113" spans="2:12" x14ac:dyDescent="0.25">
      <c r="B113" s="441"/>
      <c r="C113" s="441" t="s">
        <v>582</v>
      </c>
      <c r="D113" s="293">
        <f>[60]Sheet1!C33</f>
        <v>2.85</v>
      </c>
      <c r="E113" s="293">
        <f>E111*E112/100*6/12-0.03</f>
        <v>1.1116599999999999</v>
      </c>
      <c r="F113" s="293">
        <f>F111*F112/100*6/12</f>
        <v>1.08551625</v>
      </c>
      <c r="G113" s="293">
        <f>G111*G112/100</f>
        <v>2.1710324999999999</v>
      </c>
      <c r="H113" s="293">
        <f t="shared" ref="H113:L113" si="48">H111*H112/100</f>
        <v>2.0213049999999999</v>
      </c>
      <c r="I113" s="293">
        <f t="shared" si="48"/>
        <v>1.9464250000000001</v>
      </c>
      <c r="J113" s="478">
        <f t="shared" si="48"/>
        <v>1.8715450000000002</v>
      </c>
      <c r="K113" s="478">
        <f t="shared" si="48"/>
        <v>1.7966650000000002</v>
      </c>
      <c r="L113" s="478">
        <f t="shared" si="48"/>
        <v>1.7217850000000003</v>
      </c>
    </row>
    <row r="114" spans="2:12" x14ac:dyDescent="0.25">
      <c r="B114" s="441"/>
      <c r="C114" s="441" t="s">
        <v>583</v>
      </c>
      <c r="D114" s="129"/>
      <c r="E114" s="129"/>
      <c r="F114" s="129"/>
      <c r="G114" s="129"/>
      <c r="H114" s="129"/>
      <c r="I114" s="129"/>
      <c r="J114" s="478"/>
      <c r="K114" s="478"/>
      <c r="L114" s="478"/>
    </row>
    <row r="115" spans="2:12" x14ac:dyDescent="0.25">
      <c r="B115" s="441"/>
      <c r="C115" s="441" t="s">
        <v>584</v>
      </c>
      <c r="D115" s="293">
        <f>D113+D114</f>
        <v>2.85</v>
      </c>
      <c r="E115" s="293">
        <f>E113+E114</f>
        <v>1.1116599999999999</v>
      </c>
      <c r="F115" s="293">
        <f t="shared" ref="F115:L115" si="49">F113+F114</f>
        <v>1.08551625</v>
      </c>
      <c r="G115" s="293">
        <f t="shared" si="49"/>
        <v>2.1710324999999999</v>
      </c>
      <c r="H115" s="293">
        <f>H113+H114</f>
        <v>2.0213049999999999</v>
      </c>
      <c r="I115" s="293">
        <f t="shared" si="49"/>
        <v>1.9464250000000001</v>
      </c>
      <c r="J115" s="478">
        <f t="shared" si="49"/>
        <v>1.8715450000000002</v>
      </c>
      <c r="K115" s="478">
        <f t="shared" si="49"/>
        <v>1.7966650000000002</v>
      </c>
      <c r="L115" s="478">
        <f t="shared" si="49"/>
        <v>1.7217850000000003</v>
      </c>
    </row>
    <row r="116" spans="2:12" x14ac:dyDescent="0.25">
      <c r="B116" s="438">
        <v>4</v>
      </c>
      <c r="C116" s="28" t="s">
        <v>705</v>
      </c>
      <c r="D116" s="129"/>
      <c r="E116" s="129"/>
      <c r="F116" s="129"/>
      <c r="G116" s="129"/>
      <c r="H116" s="129"/>
      <c r="I116" s="129"/>
      <c r="J116" s="478"/>
      <c r="K116" s="478"/>
      <c r="L116" s="478"/>
    </row>
    <row r="117" spans="2:12" x14ac:dyDescent="0.25">
      <c r="B117" s="441"/>
      <c r="C117" s="441" t="s">
        <v>587</v>
      </c>
      <c r="D117" s="129">
        <f>[60]Sheet1!C37</f>
        <v>6.07</v>
      </c>
      <c r="E117" s="129">
        <f>[60]Sheet1!D37</f>
        <v>6.07</v>
      </c>
      <c r="F117" s="129">
        <f>[60]Sheet1!E37</f>
        <v>6.07</v>
      </c>
      <c r="G117" s="129">
        <f t="shared" ref="G117:L117" si="50">F120</f>
        <v>6.07</v>
      </c>
      <c r="H117" s="129">
        <f t="shared" si="50"/>
        <v>6.07</v>
      </c>
      <c r="I117" s="129">
        <f t="shared" si="50"/>
        <v>6.07</v>
      </c>
      <c r="J117" s="478">
        <f t="shared" si="50"/>
        <v>6.07</v>
      </c>
      <c r="K117" s="478">
        <f t="shared" si="50"/>
        <v>6.07</v>
      </c>
      <c r="L117" s="478">
        <f t="shared" si="50"/>
        <v>6.07</v>
      </c>
    </row>
    <row r="118" spans="2:12" x14ac:dyDescent="0.25">
      <c r="B118" s="441"/>
      <c r="C118" s="441" t="s">
        <v>588</v>
      </c>
      <c r="D118" s="129">
        <f>[60]Sheet1!C38</f>
        <v>0</v>
      </c>
      <c r="E118" s="129">
        <f>[60]Sheet1!D38</f>
        <v>0</v>
      </c>
      <c r="F118" s="129">
        <f>[60]Sheet1!E38</f>
        <v>0</v>
      </c>
      <c r="G118" s="129">
        <f>[60]Sheet1!F38</f>
        <v>0</v>
      </c>
      <c r="H118" s="129">
        <f>[60]Sheet1!G38</f>
        <v>0</v>
      </c>
      <c r="I118" s="129">
        <f>[60]Sheet1!H38</f>
        <v>0</v>
      </c>
      <c r="J118" s="478">
        <f>[60]Sheet1!I38</f>
        <v>0</v>
      </c>
      <c r="K118" s="478">
        <f>[60]Sheet1!J38</f>
        <v>0</v>
      </c>
      <c r="L118" s="478">
        <f>[60]Sheet1!K38</f>
        <v>0</v>
      </c>
    </row>
    <row r="119" spans="2:12" x14ac:dyDescent="0.25">
      <c r="B119" s="441"/>
      <c r="C119" s="441" t="s">
        <v>589</v>
      </c>
      <c r="D119" s="129">
        <f>[60]Sheet1!C39</f>
        <v>0</v>
      </c>
      <c r="E119" s="129">
        <f>[60]Sheet1!D39</f>
        <v>0</v>
      </c>
      <c r="F119" s="129">
        <f>[60]Sheet1!E39</f>
        <v>0</v>
      </c>
      <c r="G119" s="129">
        <f>[60]Sheet1!F39</f>
        <v>0</v>
      </c>
      <c r="H119" s="129">
        <f>[60]Sheet1!G39</f>
        <v>0</v>
      </c>
      <c r="I119" s="129">
        <f>[60]Sheet1!H39</f>
        <v>0</v>
      </c>
      <c r="J119" s="478">
        <f>[60]Sheet1!I39</f>
        <v>0</v>
      </c>
      <c r="K119" s="478">
        <f>[60]Sheet1!J39</f>
        <v>0</v>
      </c>
      <c r="L119" s="478">
        <f>[60]Sheet1!K39</f>
        <v>0</v>
      </c>
    </row>
    <row r="120" spans="2:12" x14ac:dyDescent="0.25">
      <c r="B120" s="441"/>
      <c r="C120" s="441" t="s">
        <v>590</v>
      </c>
      <c r="D120" s="293">
        <f>D117+D118-D119</f>
        <v>6.07</v>
      </c>
      <c r="E120" s="293">
        <f t="shared" ref="E120:L120" si="51">E117+E118-E119</f>
        <v>6.07</v>
      </c>
      <c r="F120" s="293">
        <f t="shared" si="51"/>
        <v>6.07</v>
      </c>
      <c r="G120" s="293">
        <f t="shared" si="51"/>
        <v>6.07</v>
      </c>
      <c r="H120" s="293">
        <f t="shared" si="51"/>
        <v>6.07</v>
      </c>
      <c r="I120" s="293">
        <f t="shared" si="51"/>
        <v>6.07</v>
      </c>
      <c r="J120" s="478">
        <f t="shared" si="51"/>
        <v>6.07</v>
      </c>
      <c r="K120" s="478">
        <f t="shared" si="51"/>
        <v>6.07</v>
      </c>
      <c r="L120" s="478">
        <f t="shared" si="51"/>
        <v>6.07</v>
      </c>
    </row>
    <row r="121" spans="2:12" x14ac:dyDescent="0.25">
      <c r="B121" s="441"/>
      <c r="C121" s="441" t="s">
        <v>591</v>
      </c>
      <c r="D121" s="293">
        <f t="shared" ref="D121:L121" si="52">AVERAGE(D120,D117)</f>
        <v>6.07</v>
      </c>
      <c r="E121" s="293">
        <f t="shared" si="52"/>
        <v>6.07</v>
      </c>
      <c r="F121" s="293">
        <f t="shared" si="52"/>
        <v>6.07</v>
      </c>
      <c r="G121" s="293">
        <f t="shared" si="52"/>
        <v>6.07</v>
      </c>
      <c r="H121" s="293">
        <f t="shared" si="52"/>
        <v>6.07</v>
      </c>
      <c r="I121" s="293">
        <f t="shared" si="52"/>
        <v>6.07</v>
      </c>
      <c r="J121" s="478">
        <f t="shared" si="52"/>
        <v>6.07</v>
      </c>
      <c r="K121" s="478">
        <f t="shared" si="52"/>
        <v>6.07</v>
      </c>
      <c r="L121" s="478">
        <f t="shared" si="52"/>
        <v>6.07</v>
      </c>
    </row>
    <row r="122" spans="2:12" x14ac:dyDescent="0.25">
      <c r="B122" s="441"/>
      <c r="C122" s="441" t="s">
        <v>592</v>
      </c>
      <c r="D122" s="438">
        <v>1</v>
      </c>
      <c r="E122" s="438">
        <v>1</v>
      </c>
      <c r="F122" s="438">
        <v>1</v>
      </c>
      <c r="G122" s="438">
        <v>1</v>
      </c>
      <c r="H122" s="438">
        <v>1</v>
      </c>
      <c r="I122" s="438">
        <v>1</v>
      </c>
      <c r="J122" s="479">
        <v>1</v>
      </c>
      <c r="K122" s="479">
        <v>1</v>
      </c>
      <c r="L122" s="479">
        <v>1</v>
      </c>
    </row>
    <row r="123" spans="2:12" x14ac:dyDescent="0.25">
      <c r="B123" s="441"/>
      <c r="C123" s="441" t="s">
        <v>582</v>
      </c>
      <c r="D123" s="293">
        <f>[60]Sheet1!C43</f>
        <v>0.06</v>
      </c>
      <c r="E123" s="293">
        <f>[60]Sheet1!D43*6/12</f>
        <v>1.4999999999999999E-2</v>
      </c>
      <c r="F123" s="293">
        <f>F121*F122/100*6/12</f>
        <v>3.0350000000000002E-2</v>
      </c>
      <c r="G123" s="293">
        <f>G121*G122/100</f>
        <v>6.0700000000000004E-2</v>
      </c>
      <c r="H123" s="293">
        <f t="shared" ref="H123:L123" si="53">H121*H122/100</f>
        <v>6.0700000000000004E-2</v>
      </c>
      <c r="I123" s="293">
        <f t="shared" si="53"/>
        <v>6.0700000000000004E-2</v>
      </c>
      <c r="J123" s="478">
        <f t="shared" si="53"/>
        <v>6.0700000000000004E-2</v>
      </c>
      <c r="K123" s="478">
        <f t="shared" si="53"/>
        <v>6.0700000000000004E-2</v>
      </c>
      <c r="L123" s="478">
        <f t="shared" si="53"/>
        <v>6.0700000000000004E-2</v>
      </c>
    </row>
    <row r="124" spans="2:12" x14ac:dyDescent="0.25">
      <c r="B124" s="441"/>
      <c r="C124" s="441" t="s">
        <v>583</v>
      </c>
      <c r="D124" s="129"/>
      <c r="E124" s="129"/>
      <c r="F124" s="129"/>
      <c r="G124" s="129"/>
      <c r="H124" s="129"/>
      <c r="I124" s="129"/>
      <c r="J124" s="478"/>
      <c r="K124" s="478"/>
      <c r="L124" s="478"/>
    </row>
    <row r="125" spans="2:12" x14ac:dyDescent="0.25">
      <c r="B125" s="441"/>
      <c r="C125" s="441" t="s">
        <v>584</v>
      </c>
      <c r="D125" s="293">
        <f>D123+D124</f>
        <v>0.06</v>
      </c>
      <c r="E125" s="293">
        <f t="shared" ref="E125:L125" si="54">E123+E124</f>
        <v>1.4999999999999999E-2</v>
      </c>
      <c r="F125" s="293">
        <f t="shared" si="54"/>
        <v>3.0350000000000002E-2</v>
      </c>
      <c r="G125" s="293">
        <f t="shared" si="54"/>
        <v>6.0700000000000004E-2</v>
      </c>
      <c r="H125" s="293">
        <f t="shared" si="54"/>
        <v>6.0700000000000004E-2</v>
      </c>
      <c r="I125" s="293">
        <f t="shared" si="54"/>
        <v>6.0700000000000004E-2</v>
      </c>
      <c r="J125" s="478">
        <f t="shared" si="54"/>
        <v>6.0700000000000004E-2</v>
      </c>
      <c r="K125" s="478">
        <f t="shared" si="54"/>
        <v>6.0700000000000004E-2</v>
      </c>
      <c r="L125" s="478">
        <f t="shared" si="54"/>
        <v>6.0700000000000004E-2</v>
      </c>
    </row>
    <row r="126" spans="2:12" x14ac:dyDescent="0.25">
      <c r="B126" s="438"/>
      <c r="C126" s="28" t="s">
        <v>251</v>
      </c>
      <c r="D126" s="438"/>
      <c r="E126" s="438"/>
      <c r="F126" s="438"/>
      <c r="G126" s="438"/>
      <c r="H126" s="438"/>
      <c r="I126" s="438"/>
      <c r="J126" s="479"/>
      <c r="K126" s="479"/>
      <c r="L126" s="479"/>
    </row>
    <row r="127" spans="2:12" x14ac:dyDescent="0.25">
      <c r="B127" s="441"/>
      <c r="C127" s="441" t="s">
        <v>587</v>
      </c>
      <c r="D127" s="129">
        <f>D87+D97+D107+D117</f>
        <v>2009.86</v>
      </c>
      <c r="E127" s="129">
        <f t="shared" ref="E127:L127" si="55">E87+E97+E107+E117</f>
        <v>2188.8200000000002</v>
      </c>
      <c r="F127" s="129">
        <f t="shared" si="55"/>
        <v>2311.2200000000003</v>
      </c>
      <c r="G127" s="129">
        <f>G87+G97+G107+G117</f>
        <v>2188.8200000000002</v>
      </c>
      <c r="H127" s="129">
        <f t="shared" si="55"/>
        <v>2294.6800000000003</v>
      </c>
      <c r="I127" s="129">
        <f t="shared" si="55"/>
        <v>2063.2400000000002</v>
      </c>
      <c r="J127" s="478">
        <f t="shared" si="55"/>
        <v>1831.8000000000002</v>
      </c>
      <c r="K127" s="478">
        <f t="shared" si="55"/>
        <v>1600.3600000000004</v>
      </c>
      <c r="L127" s="478">
        <f t="shared" si="55"/>
        <v>1368.9200000000003</v>
      </c>
    </row>
    <row r="128" spans="2:12" x14ac:dyDescent="0.25">
      <c r="B128" s="441"/>
      <c r="C128" s="441" t="s">
        <v>588</v>
      </c>
      <c r="D128" s="129">
        <f t="shared" ref="D128:L129" si="56">D88+D98+D108+D118</f>
        <v>428.12</v>
      </c>
      <c r="E128" s="129">
        <f t="shared" si="56"/>
        <v>229.83</v>
      </c>
      <c r="F128" s="129">
        <f t="shared" si="56"/>
        <v>128.07</v>
      </c>
      <c r="G128" s="129">
        <f t="shared" si="56"/>
        <v>357.9</v>
      </c>
      <c r="H128" s="129">
        <f t="shared" si="56"/>
        <v>0</v>
      </c>
      <c r="I128" s="129">
        <f t="shared" si="56"/>
        <v>0</v>
      </c>
      <c r="J128" s="478">
        <f t="shared" si="56"/>
        <v>0</v>
      </c>
      <c r="K128" s="478">
        <f t="shared" si="56"/>
        <v>0</v>
      </c>
      <c r="L128" s="478">
        <f t="shared" si="56"/>
        <v>0</v>
      </c>
    </row>
    <row r="129" spans="2:16" x14ac:dyDescent="0.25">
      <c r="B129" s="441"/>
      <c r="C129" s="441" t="s">
        <v>589</v>
      </c>
      <c r="D129" s="129">
        <f t="shared" si="56"/>
        <v>249.16000000000003</v>
      </c>
      <c r="E129" s="129">
        <f t="shared" si="56"/>
        <v>107.43</v>
      </c>
      <c r="F129" s="129">
        <f t="shared" si="56"/>
        <v>144.61000000000001</v>
      </c>
      <c r="G129" s="129">
        <f t="shared" si="56"/>
        <v>252.03999999999996</v>
      </c>
      <c r="H129" s="129">
        <f t="shared" si="56"/>
        <v>231.44000000000003</v>
      </c>
      <c r="I129" s="129">
        <f t="shared" si="56"/>
        <v>231.44000000000003</v>
      </c>
      <c r="J129" s="478">
        <f t="shared" si="56"/>
        <v>231.44000000000003</v>
      </c>
      <c r="K129" s="478">
        <f t="shared" si="56"/>
        <v>231.44000000000003</v>
      </c>
      <c r="L129" s="478">
        <f t="shared" si="56"/>
        <v>231.44000000000003</v>
      </c>
    </row>
    <row r="130" spans="2:16" x14ac:dyDescent="0.25">
      <c r="B130" s="441"/>
      <c r="C130" s="441" t="s">
        <v>590</v>
      </c>
      <c r="D130" s="293">
        <f>D127+D128-D129</f>
        <v>2188.8200000000002</v>
      </c>
      <c r="E130" s="293">
        <f t="shared" ref="E130:L130" si="57">E127+E128-E129</f>
        <v>2311.2200000000003</v>
      </c>
      <c r="F130" s="293">
        <f t="shared" si="57"/>
        <v>2294.6800000000003</v>
      </c>
      <c r="G130" s="293">
        <f t="shared" si="57"/>
        <v>2294.6800000000003</v>
      </c>
      <c r="H130" s="293">
        <f t="shared" si="57"/>
        <v>2063.2400000000002</v>
      </c>
      <c r="I130" s="293">
        <f t="shared" si="57"/>
        <v>1831.8000000000002</v>
      </c>
      <c r="J130" s="478">
        <f t="shared" si="57"/>
        <v>1600.3600000000001</v>
      </c>
      <c r="K130" s="478">
        <f t="shared" si="57"/>
        <v>1368.9200000000003</v>
      </c>
      <c r="L130" s="478">
        <f t="shared" si="57"/>
        <v>1137.4800000000002</v>
      </c>
    </row>
    <row r="131" spans="2:16" x14ac:dyDescent="0.25">
      <c r="B131" s="441"/>
      <c r="C131" s="441" t="s">
        <v>591</v>
      </c>
      <c r="D131" s="293">
        <f t="shared" ref="D131:L131" si="58">AVERAGE(D130,D127)</f>
        <v>2099.34</v>
      </c>
      <c r="E131" s="293">
        <f t="shared" si="58"/>
        <v>2250.0200000000004</v>
      </c>
      <c r="F131" s="293">
        <f t="shared" si="58"/>
        <v>2302.9500000000003</v>
      </c>
      <c r="G131" s="293">
        <f t="shared" si="58"/>
        <v>2241.75</v>
      </c>
      <c r="H131" s="293">
        <f t="shared" si="58"/>
        <v>2178.96</v>
      </c>
      <c r="I131" s="293">
        <f t="shared" si="58"/>
        <v>1947.5200000000002</v>
      </c>
      <c r="J131" s="478">
        <f t="shared" si="58"/>
        <v>1716.0800000000002</v>
      </c>
      <c r="K131" s="478">
        <f t="shared" si="58"/>
        <v>1484.6400000000003</v>
      </c>
      <c r="L131" s="478">
        <f t="shared" si="58"/>
        <v>1253.2000000000003</v>
      </c>
    </row>
    <row r="132" spans="2:16" x14ac:dyDescent="0.25">
      <c r="B132" s="441"/>
      <c r="C132" s="441" t="s">
        <v>592</v>
      </c>
      <c r="D132" s="480">
        <f>D133/D131</f>
        <v>7.5137900483008946E-2</v>
      </c>
      <c r="E132" s="480">
        <f>E133/E131*2</f>
        <v>9.0387338779210832E-2</v>
      </c>
      <c r="F132" s="480">
        <f>F133/F131*2</f>
        <v>9.9713203065633207E-2</v>
      </c>
      <c r="G132" s="480">
        <f t="shared" ref="G132:L132" si="59">G133/G131</f>
        <v>9.6116976357756234E-2</v>
      </c>
      <c r="H132" s="480">
        <f>H133/H131</f>
        <v>9.9963022726438311E-2</v>
      </c>
      <c r="I132" s="480">
        <f t="shared" si="59"/>
        <v>9.8728729871837007E-2</v>
      </c>
      <c r="J132" s="481">
        <f t="shared" si="59"/>
        <v>9.7161509952915948E-2</v>
      </c>
      <c r="K132" s="481">
        <f t="shared" si="59"/>
        <v>9.5105663325789402E-2</v>
      </c>
      <c r="L132" s="481">
        <f t="shared" si="59"/>
        <v>9.2290472390679848E-2</v>
      </c>
    </row>
    <row r="133" spans="2:16" x14ac:dyDescent="0.25">
      <c r="B133" s="441"/>
      <c r="C133" s="441" t="s">
        <v>582</v>
      </c>
      <c r="D133" s="293">
        <f>D93+D103+D113+D123</f>
        <v>157.74</v>
      </c>
      <c r="E133" s="293">
        <f t="shared" ref="E133:L133" si="60">E93+E103+E113+E123</f>
        <v>101.68666</v>
      </c>
      <c r="F133" s="293">
        <f t="shared" si="60"/>
        <v>114.81726050000002</v>
      </c>
      <c r="G133" s="293">
        <f t="shared" si="60"/>
        <v>215.47023175000004</v>
      </c>
      <c r="H133" s="293">
        <f t="shared" si="60"/>
        <v>217.81542800000003</v>
      </c>
      <c r="I133" s="293">
        <f t="shared" si="60"/>
        <v>192.27617600000002</v>
      </c>
      <c r="J133" s="478">
        <f t="shared" si="60"/>
        <v>166.73692400000002</v>
      </c>
      <c r="K133" s="478">
        <f t="shared" si="60"/>
        <v>141.19767200000001</v>
      </c>
      <c r="L133" s="478">
        <f t="shared" si="60"/>
        <v>115.65842000000001</v>
      </c>
    </row>
    <row r="134" spans="2:16" x14ac:dyDescent="0.25">
      <c r="B134" s="441"/>
      <c r="C134" s="441" t="s">
        <v>583</v>
      </c>
      <c r="D134" s="438"/>
      <c r="E134" s="438"/>
      <c r="F134" s="438"/>
      <c r="G134" s="438"/>
      <c r="H134" s="438"/>
      <c r="I134" s="438"/>
      <c r="J134" s="479"/>
      <c r="K134" s="479"/>
      <c r="L134" s="479"/>
    </row>
    <row r="135" spans="2:16" x14ac:dyDescent="0.25">
      <c r="B135" s="441"/>
      <c r="C135" s="441" t="s">
        <v>584</v>
      </c>
      <c r="D135" s="293">
        <f>D133+D134</f>
        <v>157.74</v>
      </c>
      <c r="E135" s="293">
        <f t="shared" ref="E135:L135" si="61">E133+E134</f>
        <v>101.68666</v>
      </c>
      <c r="F135" s="293">
        <f t="shared" si="61"/>
        <v>114.81726050000002</v>
      </c>
      <c r="G135" s="293">
        <f t="shared" si="61"/>
        <v>215.47023175000004</v>
      </c>
      <c r="H135" s="293">
        <f t="shared" si="61"/>
        <v>217.81542800000003</v>
      </c>
      <c r="I135" s="293">
        <f t="shared" si="61"/>
        <v>192.27617600000002</v>
      </c>
      <c r="J135" s="478">
        <f t="shared" si="61"/>
        <v>166.73692400000002</v>
      </c>
      <c r="K135" s="478">
        <f t="shared" si="61"/>
        <v>141.19767200000001</v>
      </c>
      <c r="L135" s="478">
        <f t="shared" si="61"/>
        <v>115.65842000000001</v>
      </c>
    </row>
    <row r="137" spans="2:16" x14ac:dyDescent="0.25">
      <c r="B137" s="22" t="s">
        <v>158</v>
      </c>
      <c r="H137" s="440"/>
    </row>
    <row r="138" spans="2:16" x14ac:dyDescent="0.25">
      <c r="B138" s="439" t="s">
        <v>570</v>
      </c>
      <c r="C138" s="14" t="s">
        <v>571</v>
      </c>
      <c r="D138" s="15"/>
      <c r="E138" s="15"/>
      <c r="F138" s="15"/>
      <c r="G138" s="15"/>
      <c r="H138" s="15"/>
      <c r="I138" s="15"/>
      <c r="J138" s="15"/>
      <c r="K138" s="15"/>
      <c r="L138" s="15"/>
    </row>
    <row r="139" spans="2:16" x14ac:dyDescent="0.25">
      <c r="L139" s="15" t="s">
        <v>1215</v>
      </c>
      <c r="O139" s="16" t="s">
        <v>3</v>
      </c>
    </row>
    <row r="140" spans="2:16" s="5" customFormat="1" ht="15" customHeight="1" x14ac:dyDescent="0.25">
      <c r="B140" s="758" t="s">
        <v>4</v>
      </c>
      <c r="C140" s="876" t="s">
        <v>5</v>
      </c>
      <c r="D140" s="755" t="s">
        <v>7</v>
      </c>
      <c r="E140" s="756"/>
      <c r="F140" s="757"/>
      <c r="G140" s="755" t="s">
        <v>8</v>
      </c>
      <c r="H140" s="756"/>
      <c r="I140" s="756"/>
      <c r="J140" s="757"/>
      <c r="K140" s="751" t="s">
        <v>9</v>
      </c>
      <c r="L140" s="875"/>
      <c r="M140" s="875"/>
      <c r="N140" s="875"/>
      <c r="O140" s="752"/>
      <c r="P140" s="445"/>
    </row>
    <row r="141" spans="2:16" s="5" customFormat="1" ht="27.6" x14ac:dyDescent="0.25">
      <c r="B141" s="792"/>
      <c r="C141" s="877"/>
      <c r="D141" s="435" t="s">
        <v>10</v>
      </c>
      <c r="E141" s="435" t="s">
        <v>11</v>
      </c>
      <c r="F141" s="435" t="s">
        <v>12</v>
      </c>
      <c r="G141" s="435" t="s">
        <v>10</v>
      </c>
      <c r="H141" s="435" t="s">
        <v>13</v>
      </c>
      <c r="I141" s="435" t="s">
        <v>14</v>
      </c>
      <c r="J141" s="435" t="s">
        <v>15</v>
      </c>
      <c r="K141" s="435" t="s">
        <v>16</v>
      </c>
      <c r="L141" s="435" t="s">
        <v>17</v>
      </c>
      <c r="M141" s="435" t="s">
        <v>18</v>
      </c>
      <c r="N141" s="435" t="s">
        <v>19</v>
      </c>
      <c r="O141" s="435" t="s">
        <v>20</v>
      </c>
    </row>
    <row r="142" spans="2:16" s="5" customFormat="1" x14ac:dyDescent="0.25">
      <c r="B142" s="793"/>
      <c r="C142" s="759"/>
      <c r="D142" s="435" t="s">
        <v>21</v>
      </c>
      <c r="E142" s="435" t="s">
        <v>22</v>
      </c>
      <c r="F142" s="435" t="s">
        <v>23</v>
      </c>
      <c r="G142" s="435" t="s">
        <v>21</v>
      </c>
      <c r="H142" s="435" t="s">
        <v>24</v>
      </c>
      <c r="I142" s="435" t="s">
        <v>25</v>
      </c>
      <c r="J142" s="435" t="s">
        <v>25</v>
      </c>
      <c r="K142" s="435" t="s">
        <v>26</v>
      </c>
      <c r="L142" s="435" t="s">
        <v>26</v>
      </c>
      <c r="M142" s="435" t="s">
        <v>26</v>
      </c>
      <c r="N142" s="435" t="s">
        <v>26</v>
      </c>
      <c r="O142" s="435" t="s">
        <v>26</v>
      </c>
    </row>
    <row r="143" spans="2:16" x14ac:dyDescent="0.25">
      <c r="B143" s="442">
        <v>1</v>
      </c>
      <c r="C143" s="441" t="s">
        <v>572</v>
      </c>
      <c r="D143" s="1"/>
      <c r="E143" s="66"/>
      <c r="F143" s="100">
        <f>E143</f>
        <v>0</v>
      </c>
      <c r="G143" s="436"/>
      <c r="H143" s="66"/>
      <c r="I143" s="66"/>
      <c r="J143" s="102">
        <f>F150</f>
        <v>0</v>
      </c>
      <c r="K143" s="66"/>
      <c r="L143" s="66"/>
      <c r="M143" s="66"/>
      <c r="N143" s="66"/>
      <c r="O143" s="66"/>
    </row>
    <row r="144" spans="2:16" x14ac:dyDescent="0.25">
      <c r="B144" s="438">
        <f>B143+1</f>
        <v>2</v>
      </c>
      <c r="C144" s="441" t="s">
        <v>573</v>
      </c>
      <c r="D144" s="1"/>
      <c r="E144" s="66"/>
      <c r="F144" s="100">
        <f t="shared" ref="F144:F155" si="62">E144</f>
        <v>0</v>
      </c>
      <c r="G144" s="436"/>
      <c r="H144" s="66"/>
      <c r="I144" s="66"/>
      <c r="J144" s="102">
        <f t="shared" ref="J144:J154" si="63">H144+I144</f>
        <v>0</v>
      </c>
      <c r="K144" s="66"/>
      <c r="L144" s="66"/>
      <c r="M144" s="66"/>
      <c r="N144" s="66"/>
      <c r="O144" s="66"/>
    </row>
    <row r="145" spans="2:15" x14ac:dyDescent="0.25">
      <c r="B145" s="438">
        <f t="shared" ref="B145:B155" si="64">B144+1</f>
        <v>3</v>
      </c>
      <c r="C145" s="19" t="s">
        <v>574</v>
      </c>
      <c r="D145" s="1"/>
      <c r="E145" s="66">
        <f>D273</f>
        <v>8327.6200000000008</v>
      </c>
      <c r="F145" s="100">
        <f t="shared" si="62"/>
        <v>8327.6200000000008</v>
      </c>
      <c r="G145" s="436"/>
      <c r="H145" s="414">
        <f>E273</f>
        <v>10307.870000000001</v>
      </c>
      <c r="I145" s="414">
        <f>F273</f>
        <v>10692.429999999998</v>
      </c>
      <c r="J145" s="102">
        <f>10%*J12</f>
        <v>284.79518968950015</v>
      </c>
      <c r="K145" s="129">
        <f>J149</f>
        <v>287.30065378395631</v>
      </c>
      <c r="L145" s="129">
        <f>K149</f>
        <v>361.45190352067982</v>
      </c>
      <c r="M145" s="66">
        <f>L149</f>
        <v>428.93190368579491</v>
      </c>
      <c r="N145" s="66">
        <f>M149</f>
        <v>-754.28809631420518</v>
      </c>
      <c r="O145" s="66">
        <f>N149</f>
        <v>-3415.0880963142049</v>
      </c>
    </row>
    <row r="146" spans="2:15" ht="27.6" x14ac:dyDescent="0.25">
      <c r="B146" s="438">
        <f t="shared" si="64"/>
        <v>4</v>
      </c>
      <c r="C146" s="54" t="s">
        <v>575</v>
      </c>
      <c r="D146" s="55"/>
      <c r="E146" s="104"/>
      <c r="F146" s="100">
        <f t="shared" si="62"/>
        <v>0</v>
      </c>
      <c r="G146" s="19"/>
      <c r="H146" s="477"/>
      <c r="I146" s="477"/>
      <c r="J146" s="102">
        <f t="shared" ref="J146:L150" si="65">10%*J13</f>
        <v>0</v>
      </c>
      <c r="K146" s="129"/>
      <c r="L146" s="129"/>
      <c r="M146" s="104"/>
      <c r="N146" s="104"/>
      <c r="O146" s="104"/>
    </row>
    <row r="147" spans="2:15" s="22" customFormat="1" ht="27.6" x14ac:dyDescent="0.25">
      <c r="B147" s="438">
        <f t="shared" si="64"/>
        <v>5</v>
      </c>
      <c r="C147" s="27" t="s">
        <v>576</v>
      </c>
      <c r="D147" s="55"/>
      <c r="E147" s="66">
        <f>D274</f>
        <v>2964.6</v>
      </c>
      <c r="F147" s="100">
        <f t="shared" si="62"/>
        <v>2964.6</v>
      </c>
      <c r="G147" s="19"/>
      <c r="H147" s="414">
        <f>E274</f>
        <v>4278.62</v>
      </c>
      <c r="I147" s="414">
        <f>F274</f>
        <v>4139.92</v>
      </c>
      <c r="J147" s="102">
        <f t="shared" si="65"/>
        <v>35.673372877933744</v>
      </c>
      <c r="K147" s="129">
        <f>10%*K14</f>
        <v>111.10810388741152</v>
      </c>
      <c r="L147" s="129">
        <f>10%*L14</f>
        <v>109.56104169554872</v>
      </c>
      <c r="M147" s="66">
        <f t="shared" ref="M147:O148" si="66">J274</f>
        <v>0</v>
      </c>
      <c r="N147" s="66">
        <f t="shared" si="66"/>
        <v>0</v>
      </c>
      <c r="O147" s="66">
        <f t="shared" si="66"/>
        <v>0</v>
      </c>
    </row>
    <row r="148" spans="2:15" ht="27.6" x14ac:dyDescent="0.25">
      <c r="B148" s="438">
        <f t="shared" si="64"/>
        <v>6</v>
      </c>
      <c r="C148" s="54" t="s">
        <v>577</v>
      </c>
      <c r="D148" s="55"/>
      <c r="E148" s="66">
        <f>D275</f>
        <v>984.35</v>
      </c>
      <c r="F148" s="100">
        <f t="shared" si="62"/>
        <v>984.35</v>
      </c>
      <c r="G148" s="19"/>
      <c r="H148" s="414">
        <f>E275</f>
        <v>508.73</v>
      </c>
      <c r="I148" s="414">
        <f>F275</f>
        <v>1402.11</v>
      </c>
      <c r="J148" s="102">
        <f t="shared" si="65"/>
        <v>36.909419478558483</v>
      </c>
      <c r="K148" s="129">
        <f t="shared" si="65"/>
        <v>41.4177201197733</v>
      </c>
      <c r="L148" s="129">
        <f t="shared" si="65"/>
        <v>45.976523851538531</v>
      </c>
      <c r="M148" s="66">
        <f t="shared" si="66"/>
        <v>1183.22</v>
      </c>
      <c r="N148" s="66">
        <f t="shared" si="66"/>
        <v>2660.7999999999997</v>
      </c>
      <c r="O148" s="66">
        <f t="shared" si="66"/>
        <v>4057.24</v>
      </c>
    </row>
    <row r="149" spans="2:15" x14ac:dyDescent="0.25">
      <c r="B149" s="438">
        <f t="shared" si="64"/>
        <v>7</v>
      </c>
      <c r="C149" s="441" t="s">
        <v>578</v>
      </c>
      <c r="D149" s="55"/>
      <c r="E149" s="66">
        <f>E145-E146+E147-E148</f>
        <v>10307.870000000001</v>
      </c>
      <c r="F149" s="100">
        <f>E149</f>
        <v>10307.870000000001</v>
      </c>
      <c r="G149" s="19"/>
      <c r="H149" s="414">
        <f t="shared" ref="H149:O149" si="67">H145-H146+H147-H148</f>
        <v>14077.760000000002</v>
      </c>
      <c r="I149" s="414">
        <f t="shared" si="67"/>
        <v>13430.239999999998</v>
      </c>
      <c r="J149" s="102">
        <f t="shared" si="65"/>
        <v>287.30065378395631</v>
      </c>
      <c r="K149" s="129">
        <f t="shared" si="65"/>
        <v>361.45190352067982</v>
      </c>
      <c r="L149" s="129">
        <f t="shared" si="65"/>
        <v>428.93190368579491</v>
      </c>
      <c r="M149" s="66">
        <f t="shared" si="67"/>
        <v>-754.28809631420518</v>
      </c>
      <c r="N149" s="66">
        <f t="shared" si="67"/>
        <v>-3415.0880963142049</v>
      </c>
      <c r="O149" s="66">
        <f t="shared" si="67"/>
        <v>-7472.3280963142042</v>
      </c>
    </row>
    <row r="150" spans="2:15" x14ac:dyDescent="0.25">
      <c r="B150" s="438">
        <f t="shared" si="64"/>
        <v>8</v>
      </c>
      <c r="C150" s="441" t="s">
        <v>579</v>
      </c>
      <c r="D150" s="55"/>
      <c r="E150" s="66"/>
      <c r="F150" s="100">
        <f t="shared" si="62"/>
        <v>0</v>
      </c>
      <c r="G150" s="19"/>
      <c r="H150" s="414"/>
      <c r="I150" s="414"/>
      <c r="J150" s="102">
        <f t="shared" si="65"/>
        <v>0</v>
      </c>
      <c r="K150" s="129"/>
      <c r="L150" s="129"/>
      <c r="M150" s="66"/>
      <c r="N150" s="66"/>
      <c r="O150" s="66"/>
    </row>
    <row r="151" spans="2:15" x14ac:dyDescent="0.25">
      <c r="B151" s="438">
        <f t="shared" si="64"/>
        <v>9</v>
      </c>
      <c r="C151" s="441" t="s">
        <v>580</v>
      </c>
      <c r="D151" s="55"/>
      <c r="E151" s="66">
        <f>AVERAGE(E145,E149)</f>
        <v>9317.7450000000008</v>
      </c>
      <c r="F151" s="100">
        <f t="shared" si="62"/>
        <v>9317.7450000000008</v>
      </c>
      <c r="G151" s="19"/>
      <c r="H151" s="414">
        <f t="shared" ref="H151:O151" si="68">AVERAGE(H145,H149)</f>
        <v>12192.815000000002</v>
      </c>
      <c r="I151" s="414">
        <f t="shared" si="68"/>
        <v>12061.334999999999</v>
      </c>
      <c r="J151" s="102">
        <f t="shared" si="68"/>
        <v>286.0479217367282</v>
      </c>
      <c r="K151" s="129">
        <f>AVERAGE(K145,K149)</f>
        <v>324.37627865231809</v>
      </c>
      <c r="L151" s="129">
        <f>AVERAGE(L145,L149)</f>
        <v>395.19190360323739</v>
      </c>
      <c r="M151" s="66">
        <f t="shared" si="68"/>
        <v>-162.67809631420513</v>
      </c>
      <c r="N151" s="66">
        <f t="shared" si="68"/>
        <v>-2084.6880963142048</v>
      </c>
      <c r="O151" s="66">
        <f t="shared" si="68"/>
        <v>-5443.7080963142043</v>
      </c>
    </row>
    <row r="152" spans="2:15" ht="27.6" x14ac:dyDescent="0.25">
      <c r="B152" s="438">
        <f t="shared" si="64"/>
        <v>10</v>
      </c>
      <c r="C152" s="54" t="s">
        <v>581</v>
      </c>
      <c r="D152" s="55"/>
      <c r="E152" s="66">
        <f>D278</f>
        <v>8.0977747298300165E-2</v>
      </c>
      <c r="F152" s="100">
        <f t="shared" si="62"/>
        <v>8.0977747298300165E-2</v>
      </c>
      <c r="G152" s="19"/>
      <c r="H152" s="414">
        <f>E278</f>
        <v>8.9646238378914125E-2</v>
      </c>
      <c r="I152" s="414">
        <f>F278</f>
        <v>9.9557831450664477E-2</v>
      </c>
      <c r="J152" s="290">
        <f>J19</f>
        <v>0.10742306996877957</v>
      </c>
      <c r="K152" s="290">
        <f>K19</f>
        <v>0.10752367764146818</v>
      </c>
      <c r="L152" s="290">
        <f>L19</f>
        <v>0.10752367764146818</v>
      </c>
      <c r="M152" s="129">
        <f t="shared" ref="M152:O152" si="69">J278</f>
        <v>9.872342470083241E-2</v>
      </c>
      <c r="N152" s="129">
        <f t="shared" si="69"/>
        <v>9.8770916429555419E-2</v>
      </c>
      <c r="O152" s="129">
        <f t="shared" si="69"/>
        <v>9.8585370112671294E-2</v>
      </c>
    </row>
    <row r="153" spans="2:15" x14ac:dyDescent="0.25">
      <c r="B153" s="438">
        <f t="shared" si="64"/>
        <v>11</v>
      </c>
      <c r="C153" s="441" t="s">
        <v>582</v>
      </c>
      <c r="D153" s="55"/>
      <c r="E153" s="66">
        <f>E151*E152</f>
        <v>754.53</v>
      </c>
      <c r="F153" s="100">
        <f t="shared" si="62"/>
        <v>754.53</v>
      </c>
      <c r="G153" s="19"/>
      <c r="H153" s="414">
        <f>H151*H152*6/12</f>
        <v>546.52</v>
      </c>
      <c r="I153" s="414">
        <f>I151*I152*6/12</f>
        <v>600.40017850000004</v>
      </c>
      <c r="J153" s="102">
        <f>10%*J20</f>
        <v>30.728145911148541</v>
      </c>
      <c r="K153" s="101">
        <f>10%*K20</f>
        <v>34.878130420350907</v>
      </c>
      <c r="L153" s="101">
        <f>10%*L20</f>
        <v>42.49248684955267</v>
      </c>
      <c r="M153" s="66">
        <f>M151*M152</f>
        <v>-16.060138791950195</v>
      </c>
      <c r="N153" s="66">
        <f>N151*N152</f>
        <v>-205.90655374273931</v>
      </c>
      <c r="O153" s="66">
        <f>O151*O152</f>
        <v>-536.66997746048116</v>
      </c>
    </row>
    <row r="154" spans="2:15" x14ac:dyDescent="0.25">
      <c r="B154" s="438">
        <f t="shared" si="64"/>
        <v>12</v>
      </c>
      <c r="C154" s="441" t="s">
        <v>583</v>
      </c>
      <c r="D154" s="55"/>
      <c r="E154" s="66"/>
      <c r="F154" s="100">
        <f t="shared" si="62"/>
        <v>0</v>
      </c>
      <c r="G154" s="19"/>
      <c r="H154" s="414"/>
      <c r="I154" s="414"/>
      <c r="J154" s="102">
        <f t="shared" si="63"/>
        <v>0</v>
      </c>
      <c r="K154" s="129"/>
      <c r="L154" s="129"/>
      <c r="M154" s="66"/>
      <c r="N154" s="66"/>
      <c r="O154" s="66"/>
    </row>
    <row r="155" spans="2:15" x14ac:dyDescent="0.25">
      <c r="B155" s="438">
        <f t="shared" si="64"/>
        <v>13</v>
      </c>
      <c r="C155" s="441" t="s">
        <v>584</v>
      </c>
      <c r="D155" s="55"/>
      <c r="E155" s="66">
        <f>D281</f>
        <v>754.53</v>
      </c>
      <c r="F155" s="100">
        <f t="shared" si="62"/>
        <v>754.53</v>
      </c>
      <c r="G155" s="19"/>
      <c r="H155" s="414">
        <f t="shared" ref="H155:O155" si="70">H153+H154</f>
        <v>546.52</v>
      </c>
      <c r="I155" s="414">
        <f t="shared" si="70"/>
        <v>600.40017850000004</v>
      </c>
      <c r="J155" s="102">
        <f t="shared" si="70"/>
        <v>30.728145911148541</v>
      </c>
      <c r="K155" s="101">
        <f t="shared" si="70"/>
        <v>34.878130420350907</v>
      </c>
      <c r="L155" s="101">
        <f t="shared" si="70"/>
        <v>42.49248684955267</v>
      </c>
      <c r="M155" s="66">
        <f t="shared" si="70"/>
        <v>-16.060138791950195</v>
      </c>
      <c r="N155" s="66">
        <f t="shared" si="70"/>
        <v>-205.90655374273931</v>
      </c>
      <c r="O155" s="66">
        <f t="shared" si="70"/>
        <v>-536.66997746048116</v>
      </c>
    </row>
    <row r="157" spans="2:15" x14ac:dyDescent="0.25">
      <c r="B157" s="439" t="s">
        <v>585</v>
      </c>
      <c r="C157" s="14" t="s">
        <v>586</v>
      </c>
    </row>
    <row r="158" spans="2:15" x14ac:dyDescent="0.25">
      <c r="L158" s="16" t="s">
        <v>3</v>
      </c>
    </row>
    <row r="159" spans="2:15" ht="15" customHeight="1" x14ac:dyDescent="0.25">
      <c r="B159" s="758" t="s">
        <v>4</v>
      </c>
      <c r="C159" s="876" t="s">
        <v>5</v>
      </c>
      <c r="D159" s="434" t="s">
        <v>7</v>
      </c>
      <c r="E159" s="755" t="s">
        <v>8</v>
      </c>
      <c r="F159" s="756"/>
      <c r="G159" s="757"/>
      <c r="H159" s="751" t="s">
        <v>9</v>
      </c>
      <c r="I159" s="875"/>
      <c r="J159" s="875"/>
      <c r="K159" s="875"/>
      <c r="L159" s="752"/>
    </row>
    <row r="160" spans="2:15" x14ac:dyDescent="0.25">
      <c r="B160" s="792"/>
      <c r="C160" s="877"/>
      <c r="D160" s="435" t="s">
        <v>11</v>
      </c>
      <c r="E160" s="435" t="s">
        <v>13</v>
      </c>
      <c r="F160" s="435" t="s">
        <v>14</v>
      </c>
      <c r="G160" s="435" t="s">
        <v>15</v>
      </c>
      <c r="H160" s="435" t="s">
        <v>16</v>
      </c>
      <c r="I160" s="435" t="s">
        <v>17</v>
      </c>
      <c r="J160" s="474" t="s">
        <v>18</v>
      </c>
      <c r="K160" s="474" t="s">
        <v>19</v>
      </c>
      <c r="L160" s="474" t="s">
        <v>20</v>
      </c>
    </row>
    <row r="161" spans="2:12" x14ac:dyDescent="0.25">
      <c r="B161" s="793"/>
      <c r="C161" s="759"/>
      <c r="D161" s="435" t="s">
        <v>22</v>
      </c>
      <c r="E161" s="435" t="s">
        <v>24</v>
      </c>
      <c r="F161" s="435" t="s">
        <v>25</v>
      </c>
      <c r="G161" s="435" t="s">
        <v>25</v>
      </c>
      <c r="H161" s="435" t="s">
        <v>26</v>
      </c>
      <c r="I161" s="435" t="s">
        <v>26</v>
      </c>
      <c r="J161" s="474" t="s">
        <v>26</v>
      </c>
      <c r="K161" s="474" t="s">
        <v>26</v>
      </c>
      <c r="L161" s="474" t="s">
        <v>26</v>
      </c>
    </row>
    <row r="162" spans="2:12" x14ac:dyDescent="0.25">
      <c r="B162" s="438">
        <v>1</v>
      </c>
      <c r="C162" s="28" t="s">
        <v>706</v>
      </c>
      <c r="D162" s="441"/>
      <c r="E162" s="441"/>
      <c r="F162" s="441"/>
      <c r="G162" s="441"/>
      <c r="H162" s="441"/>
      <c r="I162" s="441"/>
      <c r="J162" s="475"/>
      <c r="K162" s="475"/>
      <c r="L162" s="475"/>
    </row>
    <row r="163" spans="2:12" x14ac:dyDescent="0.25">
      <c r="B163" s="441"/>
      <c r="C163" s="441" t="s">
        <v>587</v>
      </c>
      <c r="D163" s="438">
        <f>[60]Sheet1!C62</f>
        <v>54.8</v>
      </c>
      <c r="E163" s="438">
        <f>[60]Sheet1!D62</f>
        <v>247.8</v>
      </c>
      <c r="F163" s="438">
        <f>[60]Sheet1!E62</f>
        <v>247.8</v>
      </c>
      <c r="G163" s="438">
        <f>[60]Sheet1!F62</f>
        <v>247.8</v>
      </c>
      <c r="H163" s="438">
        <f>[60]Sheet1!G62</f>
        <v>218.22000000000003</v>
      </c>
      <c r="I163" s="438">
        <f>[60]Sheet1!H62</f>
        <v>161.22000000000003</v>
      </c>
      <c r="J163" s="479">
        <f>[60]Sheet1!I62</f>
        <v>104.22000000000003</v>
      </c>
      <c r="K163" s="479">
        <f>[60]Sheet1!J62</f>
        <v>47.220000000000027</v>
      </c>
      <c r="L163" s="479">
        <f>[60]Sheet1!K62</f>
        <v>11.720000000000027</v>
      </c>
    </row>
    <row r="164" spans="2:12" x14ac:dyDescent="0.25">
      <c r="B164" s="441"/>
      <c r="C164" s="441" t="s">
        <v>588</v>
      </c>
      <c r="D164" s="438">
        <f>[60]Sheet1!C63</f>
        <v>200</v>
      </c>
      <c r="E164" s="438">
        <f>[60]Sheet1!D63</f>
        <v>0</v>
      </c>
      <c r="F164" s="438">
        <f>[60]Sheet1!E63</f>
        <v>0</v>
      </c>
      <c r="G164" s="438">
        <f>[60]Sheet1!F63</f>
        <v>0</v>
      </c>
      <c r="H164" s="438">
        <f>[60]Sheet1!G63</f>
        <v>0</v>
      </c>
      <c r="I164" s="438">
        <f>[60]Sheet1!H63</f>
        <v>0</v>
      </c>
      <c r="J164" s="479">
        <f>[60]Sheet1!I63</f>
        <v>0</v>
      </c>
      <c r="K164" s="479">
        <f>[60]Sheet1!J63</f>
        <v>0</v>
      </c>
      <c r="L164" s="479">
        <f>[60]Sheet1!K63</f>
        <v>0</v>
      </c>
    </row>
    <row r="165" spans="2:12" x14ac:dyDescent="0.25">
      <c r="B165" s="441"/>
      <c r="C165" s="441" t="s">
        <v>589</v>
      </c>
      <c r="D165" s="438">
        <f>[60]Sheet1!C64</f>
        <v>7</v>
      </c>
      <c r="E165" s="295">
        <f>[60]Sheet1!D64</f>
        <v>7.67</v>
      </c>
      <c r="F165" s="295">
        <f>[60]Sheet1!E64</f>
        <v>21.91</v>
      </c>
      <c r="G165" s="295">
        <f>E165+F165</f>
        <v>29.58</v>
      </c>
      <c r="H165" s="438">
        <f>[60]Sheet1!G64</f>
        <v>57</v>
      </c>
      <c r="I165" s="438">
        <f>[60]Sheet1!H64</f>
        <v>57</v>
      </c>
      <c r="J165" s="479">
        <f>[60]Sheet1!I64</f>
        <v>57</v>
      </c>
      <c r="K165" s="479">
        <f>[60]Sheet1!J64</f>
        <v>35.5</v>
      </c>
      <c r="L165" s="479">
        <f>[60]Sheet1!K64</f>
        <v>7</v>
      </c>
    </row>
    <row r="166" spans="2:12" x14ac:dyDescent="0.25">
      <c r="B166" s="441"/>
      <c r="C166" s="441" t="s">
        <v>590</v>
      </c>
      <c r="D166" s="293">
        <f>D163+D164-D165</f>
        <v>247.8</v>
      </c>
      <c r="E166" s="293">
        <f t="shared" ref="E166:L166" si="71">E163+E164-E165</f>
        <v>240.13000000000002</v>
      </c>
      <c r="F166" s="293">
        <f t="shared" si="71"/>
        <v>225.89000000000001</v>
      </c>
      <c r="G166" s="293">
        <f t="shared" si="71"/>
        <v>218.22000000000003</v>
      </c>
      <c r="H166" s="293">
        <f t="shared" si="71"/>
        <v>161.22000000000003</v>
      </c>
      <c r="I166" s="293">
        <f t="shared" si="71"/>
        <v>104.22000000000003</v>
      </c>
      <c r="J166" s="478">
        <f t="shared" si="71"/>
        <v>47.220000000000027</v>
      </c>
      <c r="K166" s="478">
        <f t="shared" si="71"/>
        <v>11.720000000000027</v>
      </c>
      <c r="L166" s="478">
        <f t="shared" si="71"/>
        <v>4.7200000000000273</v>
      </c>
    </row>
    <row r="167" spans="2:12" x14ac:dyDescent="0.25">
      <c r="B167" s="441"/>
      <c r="C167" s="441" t="s">
        <v>591</v>
      </c>
      <c r="D167" s="293">
        <f t="shared" ref="D167:L167" si="72">AVERAGE(D166,D163)</f>
        <v>151.30000000000001</v>
      </c>
      <c r="E167" s="293">
        <f t="shared" si="72"/>
        <v>243.96500000000003</v>
      </c>
      <c r="F167" s="293">
        <f t="shared" si="72"/>
        <v>236.84500000000003</v>
      </c>
      <c r="G167" s="293">
        <f t="shared" si="72"/>
        <v>233.01000000000002</v>
      </c>
      <c r="H167" s="293">
        <f t="shared" si="72"/>
        <v>189.72000000000003</v>
      </c>
      <c r="I167" s="293">
        <f t="shared" si="72"/>
        <v>132.72000000000003</v>
      </c>
      <c r="J167" s="478">
        <f t="shared" si="72"/>
        <v>75.720000000000027</v>
      </c>
      <c r="K167" s="478">
        <f t="shared" si="72"/>
        <v>29.470000000000027</v>
      </c>
      <c r="L167" s="478">
        <f t="shared" si="72"/>
        <v>8.2200000000000273</v>
      </c>
    </row>
    <row r="168" spans="2:12" x14ac:dyDescent="0.25">
      <c r="B168" s="441"/>
      <c r="C168" s="441" t="s">
        <v>592</v>
      </c>
      <c r="D168" s="438">
        <v>11.75</v>
      </c>
      <c r="E168" s="438">
        <v>11.75</v>
      </c>
      <c r="F168" s="438">
        <v>11.75</v>
      </c>
      <c r="G168" s="438">
        <v>11.75</v>
      </c>
      <c r="H168" s="438">
        <v>11.75</v>
      </c>
      <c r="I168" s="438">
        <v>11.75</v>
      </c>
      <c r="J168" s="479">
        <v>11.75</v>
      </c>
      <c r="K168" s="479">
        <v>11.75</v>
      </c>
      <c r="L168" s="479">
        <v>11.75</v>
      </c>
    </row>
    <row r="169" spans="2:12" x14ac:dyDescent="0.25">
      <c r="B169" s="441"/>
      <c r="C169" s="441" t="s">
        <v>582</v>
      </c>
      <c r="D169" s="293">
        <f>[60]Sheet1!$C$68</f>
        <v>16.61</v>
      </c>
      <c r="E169" s="293">
        <f>[60]Sheet1!$D$68</f>
        <v>14.34</v>
      </c>
      <c r="F169" s="293">
        <f>F167*F168/100*6/12</f>
        <v>13.914643750000003</v>
      </c>
      <c r="G169" s="293">
        <f>E169+F169</f>
        <v>28.254643750000003</v>
      </c>
      <c r="H169" s="293">
        <f t="shared" ref="H169:L169" si="73">H167*H168/100</f>
        <v>22.292100000000005</v>
      </c>
      <c r="I169" s="293">
        <f t="shared" si="73"/>
        <v>15.594600000000003</v>
      </c>
      <c r="J169" s="478">
        <f t="shared" si="73"/>
        <v>8.8971000000000018</v>
      </c>
      <c r="K169" s="478">
        <f t="shared" si="73"/>
        <v>3.4627250000000034</v>
      </c>
      <c r="L169" s="478">
        <f t="shared" si="73"/>
        <v>0.96585000000000321</v>
      </c>
    </row>
    <row r="170" spans="2:12" x14ac:dyDescent="0.25">
      <c r="B170" s="441"/>
      <c r="C170" s="441" t="s">
        <v>583</v>
      </c>
      <c r="D170" s="438"/>
      <c r="E170" s="438"/>
      <c r="F170" s="438"/>
      <c r="G170" s="438"/>
      <c r="H170" s="438"/>
      <c r="I170" s="438"/>
      <c r="J170" s="479"/>
      <c r="K170" s="479"/>
      <c r="L170" s="479"/>
    </row>
    <row r="171" spans="2:12" x14ac:dyDescent="0.25">
      <c r="B171" s="441"/>
      <c r="C171" s="441" t="s">
        <v>584</v>
      </c>
      <c r="D171" s="293">
        <f>D169+D170</f>
        <v>16.61</v>
      </c>
      <c r="E171" s="293">
        <f>E169+E170</f>
        <v>14.34</v>
      </c>
      <c r="F171" s="293">
        <f>F169+F170</f>
        <v>13.914643750000003</v>
      </c>
      <c r="G171" s="293">
        <f t="shared" ref="G171:L171" si="74">G169+G170</f>
        <v>28.254643750000003</v>
      </c>
      <c r="H171" s="293">
        <f t="shared" si="74"/>
        <v>22.292100000000005</v>
      </c>
      <c r="I171" s="293">
        <f t="shared" si="74"/>
        <v>15.594600000000003</v>
      </c>
      <c r="J171" s="478">
        <f t="shared" si="74"/>
        <v>8.8971000000000018</v>
      </c>
      <c r="K171" s="478">
        <f t="shared" si="74"/>
        <v>3.4627250000000034</v>
      </c>
      <c r="L171" s="478">
        <f t="shared" si="74"/>
        <v>0.96585000000000321</v>
      </c>
    </row>
    <row r="172" spans="2:12" x14ac:dyDescent="0.25">
      <c r="B172" s="438">
        <v>2</v>
      </c>
      <c r="C172" s="28" t="s">
        <v>707</v>
      </c>
      <c r="D172" s="438"/>
      <c r="E172" s="438"/>
      <c r="F172" s="438"/>
      <c r="G172" s="438"/>
      <c r="H172" s="438"/>
      <c r="I172" s="438"/>
      <c r="J172" s="479"/>
      <c r="K172" s="479"/>
      <c r="L172" s="479"/>
    </row>
    <row r="173" spans="2:12" x14ac:dyDescent="0.25">
      <c r="B173" s="441"/>
      <c r="C173" s="441" t="s">
        <v>587</v>
      </c>
      <c r="D173" s="438">
        <f>[60]Sheet1!C72</f>
        <v>1043.4100000000001</v>
      </c>
      <c r="E173" s="438">
        <f>[60]Sheet1!D72</f>
        <v>654.66</v>
      </c>
      <c r="F173" s="438">
        <f>[60]Sheet1!E72</f>
        <v>654.66</v>
      </c>
      <c r="G173" s="438">
        <f>[60]Sheet1!F72</f>
        <v>654.66</v>
      </c>
      <c r="H173" s="438">
        <f>[60]Sheet1!G72</f>
        <v>154.66</v>
      </c>
      <c r="I173" s="438">
        <f>[60]Sheet1!H72</f>
        <v>154.659912109375</v>
      </c>
      <c r="J173" s="479">
        <f>[60]Sheet1!I72</f>
        <v>0</v>
      </c>
      <c r="K173" s="479">
        <f>[60]Sheet1!J72</f>
        <v>0</v>
      </c>
      <c r="L173" s="479">
        <f>[60]Sheet1!K72</f>
        <v>0</v>
      </c>
    </row>
    <row r="174" spans="2:12" x14ac:dyDescent="0.25">
      <c r="B174" s="441"/>
      <c r="C174" s="441" t="s">
        <v>588</v>
      </c>
      <c r="D174" s="438">
        <f>[60]Sheet1!C73</f>
        <v>0</v>
      </c>
      <c r="E174" s="438">
        <f>[60]Sheet1!D73</f>
        <v>0</v>
      </c>
      <c r="F174" s="438">
        <f>[60]Sheet1!E73</f>
        <v>0</v>
      </c>
      <c r="G174" s="438">
        <f>[60]Sheet1!F73</f>
        <v>0</v>
      </c>
      <c r="H174" s="438">
        <f>[60]Sheet1!G73</f>
        <v>0</v>
      </c>
      <c r="I174" s="438">
        <f>[60]Sheet1!H73</f>
        <v>0</v>
      </c>
      <c r="J174" s="479">
        <f>[60]Sheet1!I73</f>
        <v>0</v>
      </c>
      <c r="K174" s="479">
        <f>[60]Sheet1!J73</f>
        <v>0</v>
      </c>
      <c r="L174" s="479">
        <f>[60]Sheet1!K73</f>
        <v>0</v>
      </c>
    </row>
    <row r="175" spans="2:12" x14ac:dyDescent="0.25">
      <c r="B175" s="441"/>
      <c r="C175" s="441" t="s">
        <v>589</v>
      </c>
      <c r="D175" s="438">
        <f>[60]Sheet1!C74</f>
        <v>388.75</v>
      </c>
      <c r="E175" s="438">
        <f>[60]Sheet1!D74</f>
        <v>200</v>
      </c>
      <c r="F175" s="438">
        <f>[60]Sheet1!E74</f>
        <v>300</v>
      </c>
      <c r="G175" s="438">
        <f>[60]Sheet1!F74</f>
        <v>500</v>
      </c>
      <c r="H175" s="438">
        <f>[60]Sheet1!G74</f>
        <v>154.66</v>
      </c>
      <c r="I175" s="438">
        <f>[60]Sheet1!H74</f>
        <v>154.659912109375</v>
      </c>
      <c r="J175" s="479">
        <f>[60]Sheet1!I74</f>
        <v>0</v>
      </c>
      <c r="K175" s="479">
        <f>[60]Sheet1!J74</f>
        <v>0</v>
      </c>
      <c r="L175" s="479">
        <f>[60]Sheet1!K74</f>
        <v>0</v>
      </c>
    </row>
    <row r="176" spans="2:12" x14ac:dyDescent="0.25">
      <c r="B176" s="441"/>
      <c r="C176" s="441" t="s">
        <v>590</v>
      </c>
      <c r="D176" s="293">
        <f>D173+D174-D175</f>
        <v>654.66000000000008</v>
      </c>
      <c r="E176" s="293">
        <f t="shared" ref="E176:L176" si="75">E173+E174-E175</f>
        <v>454.65999999999997</v>
      </c>
      <c r="F176" s="293">
        <f t="shared" si="75"/>
        <v>354.65999999999997</v>
      </c>
      <c r="G176" s="293">
        <f t="shared" si="75"/>
        <v>154.65999999999997</v>
      </c>
      <c r="H176" s="293">
        <f t="shared" si="75"/>
        <v>0</v>
      </c>
      <c r="I176" s="293">
        <f t="shared" si="75"/>
        <v>0</v>
      </c>
      <c r="J176" s="478">
        <f t="shared" si="75"/>
        <v>0</v>
      </c>
      <c r="K176" s="478">
        <f t="shared" si="75"/>
        <v>0</v>
      </c>
      <c r="L176" s="478">
        <f t="shared" si="75"/>
        <v>0</v>
      </c>
    </row>
    <row r="177" spans="2:12" x14ac:dyDescent="0.25">
      <c r="B177" s="441"/>
      <c r="C177" s="441" t="s">
        <v>591</v>
      </c>
      <c r="D177" s="293">
        <f t="shared" ref="D177:L177" si="76">AVERAGE(D176,D173)</f>
        <v>849.03500000000008</v>
      </c>
      <c r="E177" s="293">
        <f t="shared" si="76"/>
        <v>554.66</v>
      </c>
      <c r="F177" s="293">
        <f t="shared" si="76"/>
        <v>504.65999999999997</v>
      </c>
      <c r="G177" s="293">
        <f t="shared" si="76"/>
        <v>404.65999999999997</v>
      </c>
      <c r="H177" s="293">
        <f>AVERAGE(H176,H173)</f>
        <v>77.33</v>
      </c>
      <c r="I177" s="293">
        <f t="shared" si="76"/>
        <v>77.3299560546875</v>
      </c>
      <c r="J177" s="478">
        <f t="shared" si="76"/>
        <v>0</v>
      </c>
      <c r="K177" s="478">
        <f t="shared" si="76"/>
        <v>0</v>
      </c>
      <c r="L177" s="478">
        <f t="shared" si="76"/>
        <v>0</v>
      </c>
    </row>
    <row r="178" spans="2:12" x14ac:dyDescent="0.25">
      <c r="B178" s="441"/>
      <c r="C178" s="441" t="s">
        <v>592</v>
      </c>
      <c r="D178" s="438">
        <v>12.02</v>
      </c>
      <c r="E178" s="438">
        <v>12.02</v>
      </c>
      <c r="F178" s="438">
        <v>12.02</v>
      </c>
      <c r="G178" s="438">
        <v>12.02</v>
      </c>
      <c r="H178" s="438">
        <v>12.02</v>
      </c>
      <c r="I178" s="438">
        <v>12.02</v>
      </c>
      <c r="J178" s="479">
        <v>12.02</v>
      </c>
      <c r="K178" s="479">
        <v>12.02</v>
      </c>
      <c r="L178" s="479">
        <v>12.02</v>
      </c>
    </row>
    <row r="179" spans="2:12" x14ac:dyDescent="0.25">
      <c r="B179" s="441"/>
      <c r="C179" s="441" t="s">
        <v>582</v>
      </c>
      <c r="D179" s="293">
        <f>[60]Sheet1!C78</f>
        <v>92.52</v>
      </c>
      <c r="E179" s="293">
        <f>[60]Sheet1!D78</f>
        <v>33.75</v>
      </c>
      <c r="F179" s="293">
        <f>F177*F178*6/12/100</f>
        <v>30.330065999999992</v>
      </c>
      <c r="G179" s="293">
        <f>E179+F179</f>
        <v>64.080065999999988</v>
      </c>
      <c r="H179" s="293">
        <f>H177*H178/100</f>
        <v>9.2950659999999985</v>
      </c>
      <c r="I179" s="293">
        <f t="shared" ref="I179:L179" si="77">I177*I178/100</f>
        <v>9.2950607177734366</v>
      </c>
      <c r="J179" s="478">
        <f t="shared" si="77"/>
        <v>0</v>
      </c>
      <c r="K179" s="478">
        <f t="shared" si="77"/>
        <v>0</v>
      </c>
      <c r="L179" s="478">
        <f t="shared" si="77"/>
        <v>0</v>
      </c>
    </row>
    <row r="180" spans="2:12" x14ac:dyDescent="0.25">
      <c r="B180" s="441"/>
      <c r="C180" s="441" t="s">
        <v>583</v>
      </c>
      <c r="D180" s="438"/>
      <c r="E180" s="438"/>
      <c r="F180" s="438"/>
      <c r="G180" s="438"/>
      <c r="H180" s="438"/>
      <c r="I180" s="438"/>
      <c r="J180" s="479"/>
      <c r="K180" s="479"/>
      <c r="L180" s="479"/>
    </row>
    <row r="181" spans="2:12" x14ac:dyDescent="0.25">
      <c r="B181" s="441"/>
      <c r="C181" s="441" t="s">
        <v>584</v>
      </c>
      <c r="D181" s="293">
        <f>D179+D180</f>
        <v>92.52</v>
      </c>
      <c r="E181" s="293">
        <f t="shared" ref="E181:L181" si="78">E179+E180</f>
        <v>33.75</v>
      </c>
      <c r="F181" s="293">
        <f t="shared" si="78"/>
        <v>30.330065999999992</v>
      </c>
      <c r="G181" s="293">
        <f t="shared" si="78"/>
        <v>64.080065999999988</v>
      </c>
      <c r="H181" s="293">
        <f t="shared" si="78"/>
        <v>9.2950659999999985</v>
      </c>
      <c r="I181" s="293">
        <f t="shared" si="78"/>
        <v>9.2950607177734366</v>
      </c>
      <c r="J181" s="478">
        <f t="shared" si="78"/>
        <v>0</v>
      </c>
      <c r="K181" s="478">
        <f t="shared" si="78"/>
        <v>0</v>
      </c>
      <c r="L181" s="478">
        <f t="shared" si="78"/>
        <v>0</v>
      </c>
    </row>
    <row r="182" spans="2:12" x14ac:dyDescent="0.25">
      <c r="B182" s="438">
        <v>3</v>
      </c>
      <c r="C182" s="28" t="s">
        <v>708</v>
      </c>
      <c r="D182" s="438"/>
      <c r="E182" s="438"/>
      <c r="F182" s="438"/>
      <c r="G182" s="438"/>
      <c r="H182" s="438"/>
      <c r="I182" s="438"/>
      <c r="J182" s="479"/>
      <c r="K182" s="479"/>
      <c r="L182" s="479"/>
    </row>
    <row r="183" spans="2:12" x14ac:dyDescent="0.25">
      <c r="B183" s="441"/>
      <c r="C183" s="441" t="s">
        <v>587</v>
      </c>
      <c r="D183" s="438">
        <f>[60]Sheet1!C82</f>
        <v>2727.5</v>
      </c>
      <c r="E183" s="438">
        <f>[60]Sheet1!D82</f>
        <v>2727.5</v>
      </c>
      <c r="F183" s="438">
        <f>[60]Sheet1!E82</f>
        <v>2727.5</v>
      </c>
      <c r="G183" s="438">
        <f>[60]Sheet1!F82</f>
        <v>2727.5</v>
      </c>
      <c r="H183" s="438">
        <f>[60]Sheet1!G82</f>
        <v>2500.21</v>
      </c>
      <c r="I183" s="438">
        <f>[60]Sheet1!H82</f>
        <v>2110.5700000000002</v>
      </c>
      <c r="J183" s="479">
        <f>[60]Sheet1!I82</f>
        <v>1720.9300000000003</v>
      </c>
      <c r="K183" s="479">
        <f>[60]Sheet1!J82</f>
        <v>1331.2900000000004</v>
      </c>
      <c r="L183" s="479">
        <f>[60]Sheet1!K82</f>
        <v>941.65000000000043</v>
      </c>
    </row>
    <row r="184" spans="2:12" x14ac:dyDescent="0.25">
      <c r="B184" s="441"/>
      <c r="C184" s="441" t="s">
        <v>588</v>
      </c>
      <c r="D184" s="438">
        <f>[60]Sheet1!C83</f>
        <v>0</v>
      </c>
      <c r="E184" s="438">
        <f>[60]Sheet1!D83</f>
        <v>0</v>
      </c>
      <c r="F184" s="438">
        <f>[60]Sheet1!E83</f>
        <v>0</v>
      </c>
      <c r="G184" s="438">
        <f>[60]Sheet1!F83</f>
        <v>0</v>
      </c>
      <c r="H184" s="438">
        <f>[60]Sheet1!G83</f>
        <v>0</v>
      </c>
      <c r="I184" s="438">
        <f>[60]Sheet1!H83</f>
        <v>0</v>
      </c>
      <c r="J184" s="479">
        <f>[60]Sheet1!I83</f>
        <v>0</v>
      </c>
      <c r="K184" s="479">
        <f>[60]Sheet1!J83</f>
        <v>0</v>
      </c>
      <c r="L184" s="479">
        <f>[60]Sheet1!K83</f>
        <v>0</v>
      </c>
    </row>
    <row r="185" spans="2:12" x14ac:dyDescent="0.25">
      <c r="B185" s="441"/>
      <c r="C185" s="441" t="s">
        <v>589</v>
      </c>
      <c r="D185" s="438">
        <f>[60]Sheet1!C84</f>
        <v>0</v>
      </c>
      <c r="E185" s="438">
        <f>[60]Sheet1!D84</f>
        <v>64.94</v>
      </c>
      <c r="F185" s="438">
        <f>[60]Sheet1!E84</f>
        <v>162.35</v>
      </c>
      <c r="G185" s="438">
        <f>[60]Sheet1!F84</f>
        <v>227.29</v>
      </c>
      <c r="H185" s="438">
        <f>[60]Sheet1!G84</f>
        <v>389.64</v>
      </c>
      <c r="I185" s="438">
        <f>[60]Sheet1!H84</f>
        <v>389.64</v>
      </c>
      <c r="J185" s="479">
        <f>[60]Sheet1!I84</f>
        <v>389.64</v>
      </c>
      <c r="K185" s="479">
        <f>[60]Sheet1!J84</f>
        <v>389.64</v>
      </c>
      <c r="L185" s="479">
        <f>[60]Sheet1!K84</f>
        <v>389.64</v>
      </c>
    </row>
    <row r="186" spans="2:12" x14ac:dyDescent="0.25">
      <c r="B186" s="441"/>
      <c r="C186" s="441" t="s">
        <v>590</v>
      </c>
      <c r="D186" s="293">
        <f>D183+D184-D185</f>
        <v>2727.5</v>
      </c>
      <c r="E186" s="293">
        <f t="shared" ref="E186:L186" si="79">E183+E184-E185</f>
        <v>2662.56</v>
      </c>
      <c r="F186" s="293">
        <f t="shared" si="79"/>
        <v>2565.15</v>
      </c>
      <c r="G186" s="293">
        <f t="shared" si="79"/>
        <v>2500.21</v>
      </c>
      <c r="H186" s="293">
        <f t="shared" si="79"/>
        <v>2110.5700000000002</v>
      </c>
      <c r="I186" s="293">
        <f t="shared" si="79"/>
        <v>1720.9300000000003</v>
      </c>
      <c r="J186" s="478">
        <f t="shared" si="79"/>
        <v>1331.2900000000004</v>
      </c>
      <c r="K186" s="478">
        <f t="shared" si="79"/>
        <v>941.65000000000043</v>
      </c>
      <c r="L186" s="478">
        <f t="shared" si="79"/>
        <v>552.01000000000045</v>
      </c>
    </row>
    <row r="187" spans="2:12" x14ac:dyDescent="0.25">
      <c r="B187" s="441"/>
      <c r="C187" s="441" t="s">
        <v>591</v>
      </c>
      <c r="D187" s="293">
        <f t="shared" ref="D187:G187" si="80">AVERAGE(D186,D183)</f>
        <v>2727.5</v>
      </c>
      <c r="E187" s="293">
        <f t="shared" si="80"/>
        <v>2695.0299999999997</v>
      </c>
      <c r="F187" s="293">
        <f t="shared" si="80"/>
        <v>2646.3249999999998</v>
      </c>
      <c r="G187" s="293">
        <f t="shared" si="80"/>
        <v>2613.855</v>
      </c>
      <c r="H187" s="293">
        <f>AVERAGE(H186,H183)</f>
        <v>2305.3900000000003</v>
      </c>
      <c r="I187" s="293">
        <f t="shared" ref="I187:L187" si="81">AVERAGE(I186,I183)</f>
        <v>1915.7500000000002</v>
      </c>
      <c r="J187" s="478">
        <f t="shared" si="81"/>
        <v>1526.1100000000004</v>
      </c>
      <c r="K187" s="478">
        <f t="shared" si="81"/>
        <v>1136.4700000000005</v>
      </c>
      <c r="L187" s="478">
        <f t="shared" si="81"/>
        <v>746.83000000000038</v>
      </c>
    </row>
    <row r="188" spans="2:12" x14ac:dyDescent="0.25">
      <c r="B188" s="441"/>
      <c r="C188" s="441" t="s">
        <v>592</v>
      </c>
      <c r="D188" s="438">
        <v>9.75</v>
      </c>
      <c r="E188" s="438">
        <v>9.75</v>
      </c>
      <c r="F188" s="438">
        <v>9.75</v>
      </c>
      <c r="G188" s="438">
        <v>9.75</v>
      </c>
      <c r="H188" s="438">
        <v>9.75</v>
      </c>
      <c r="I188" s="438">
        <v>9.75</v>
      </c>
      <c r="J188" s="479">
        <v>9.75</v>
      </c>
      <c r="K188" s="479">
        <v>9.75</v>
      </c>
      <c r="L188" s="479">
        <v>9.75</v>
      </c>
    </row>
    <row r="189" spans="2:12" x14ac:dyDescent="0.25">
      <c r="B189" s="441"/>
      <c r="C189" s="441" t="s">
        <v>582</v>
      </c>
      <c r="D189" s="293">
        <v>230.16</v>
      </c>
      <c r="E189" s="293">
        <v>130.41999999999999</v>
      </c>
      <c r="F189" s="293">
        <f>F187*F188*6/12/100</f>
        <v>129.00834374999999</v>
      </c>
      <c r="G189" s="293">
        <f>E189+F189</f>
        <v>259.42834374999995</v>
      </c>
      <c r="H189" s="293">
        <f>H187*H188/100</f>
        <v>224.77552500000002</v>
      </c>
      <c r="I189" s="293">
        <f t="shared" ref="I189:L189" si="82">I187*I188/100</f>
        <v>186.78562500000004</v>
      </c>
      <c r="J189" s="478">
        <f t="shared" si="82"/>
        <v>148.79572500000003</v>
      </c>
      <c r="K189" s="478">
        <f t="shared" si="82"/>
        <v>110.80582500000004</v>
      </c>
      <c r="L189" s="478">
        <f t="shared" si="82"/>
        <v>72.815925000000036</v>
      </c>
    </row>
    <row r="190" spans="2:12" x14ac:dyDescent="0.25">
      <c r="B190" s="441"/>
      <c r="C190" s="441" t="s">
        <v>583</v>
      </c>
      <c r="D190" s="438"/>
      <c r="E190" s="438"/>
      <c r="F190" s="438"/>
      <c r="G190" s="438"/>
      <c r="H190" s="438"/>
      <c r="I190" s="438"/>
      <c r="J190" s="479"/>
      <c r="K190" s="479"/>
      <c r="L190" s="479"/>
    </row>
    <row r="191" spans="2:12" x14ac:dyDescent="0.25">
      <c r="B191" s="441"/>
      <c r="C191" s="441" t="s">
        <v>584</v>
      </c>
      <c r="D191" s="293">
        <f>D189+D190</f>
        <v>230.16</v>
      </c>
      <c r="E191" s="293">
        <f t="shared" ref="E191:L191" si="83">E189+E190</f>
        <v>130.41999999999999</v>
      </c>
      <c r="F191" s="293">
        <f t="shared" si="83"/>
        <v>129.00834374999999</v>
      </c>
      <c r="G191" s="293">
        <f t="shared" si="83"/>
        <v>259.42834374999995</v>
      </c>
      <c r="H191" s="293">
        <f t="shared" si="83"/>
        <v>224.77552500000002</v>
      </c>
      <c r="I191" s="293">
        <f t="shared" si="83"/>
        <v>186.78562500000004</v>
      </c>
      <c r="J191" s="478">
        <f t="shared" si="83"/>
        <v>148.79572500000003</v>
      </c>
      <c r="K191" s="478">
        <f t="shared" si="83"/>
        <v>110.80582500000004</v>
      </c>
      <c r="L191" s="478">
        <f t="shared" si="83"/>
        <v>72.815925000000036</v>
      </c>
    </row>
    <row r="192" spans="2:12" x14ac:dyDescent="0.25">
      <c r="B192" s="441">
        <v>4</v>
      </c>
      <c r="C192" s="28" t="s">
        <v>709</v>
      </c>
      <c r="D192" s="438"/>
      <c r="E192" s="438"/>
      <c r="F192" s="438"/>
      <c r="G192" s="438"/>
      <c r="H192" s="438"/>
      <c r="I192" s="438"/>
      <c r="J192" s="479"/>
      <c r="K192" s="479"/>
      <c r="L192" s="479"/>
    </row>
    <row r="193" spans="2:12" x14ac:dyDescent="0.25">
      <c r="B193" s="441"/>
      <c r="C193" s="441" t="s">
        <v>587</v>
      </c>
      <c r="D193" s="438">
        <f>[60]Sheet1!C92</f>
        <v>0</v>
      </c>
      <c r="E193" s="438">
        <f>[60]Sheet1!D92</f>
        <v>637.04999999999995</v>
      </c>
      <c r="F193" s="438">
        <f>[60]Sheet1!E92</f>
        <v>1021.6099999999999</v>
      </c>
      <c r="G193" s="438">
        <f>[60]Sheet1!F92</f>
        <v>637.04999999999995</v>
      </c>
      <c r="H193" s="438">
        <f>[60]Sheet1!G92</f>
        <v>1506.6299999999999</v>
      </c>
      <c r="I193" s="438">
        <f>[60]Sheet1!H92</f>
        <v>1779.84</v>
      </c>
      <c r="J193" s="479">
        <f>[60]Sheet1!I92</f>
        <v>1643.03</v>
      </c>
      <c r="K193" s="479">
        <f>[60]Sheet1!J92</f>
        <v>1493.78</v>
      </c>
      <c r="L193" s="479">
        <f>[60]Sheet1!K92</f>
        <v>1344.53</v>
      </c>
    </row>
    <row r="194" spans="2:12" x14ac:dyDescent="0.25">
      <c r="B194" s="441"/>
      <c r="C194" s="441" t="s">
        <v>588</v>
      </c>
      <c r="D194" s="438">
        <f>[60]Sheet1!C93</f>
        <v>637.04999999999995</v>
      </c>
      <c r="E194" s="438">
        <f>[60]Sheet1!D93</f>
        <v>384.56</v>
      </c>
      <c r="F194" s="438">
        <f>[60]Sheet1!E93</f>
        <v>485.02</v>
      </c>
      <c r="G194" s="438">
        <f>[60]Sheet1!F93</f>
        <v>869.57999999999993</v>
      </c>
      <c r="H194" s="438">
        <f>[60]Sheet1!G93</f>
        <v>273.20999999999998</v>
      </c>
      <c r="I194" s="438">
        <f>[60]Sheet1!H93</f>
        <v>273.2099609375</v>
      </c>
      <c r="J194" s="479">
        <f>[60]Sheet1!I93</f>
        <v>0</v>
      </c>
      <c r="K194" s="479">
        <f>[60]Sheet1!J93</f>
        <v>0</v>
      </c>
      <c r="L194" s="479">
        <f>[60]Sheet1!K93</f>
        <v>0</v>
      </c>
    </row>
    <row r="195" spans="2:12" x14ac:dyDescent="0.25">
      <c r="B195" s="441"/>
      <c r="C195" s="441" t="s">
        <v>589</v>
      </c>
      <c r="D195" s="438">
        <f>[60]Sheet1!C94</f>
        <v>0</v>
      </c>
      <c r="E195" s="438">
        <f>[60]Sheet1!D94</f>
        <v>0</v>
      </c>
      <c r="F195" s="438">
        <f>[60]Sheet1!E94</f>
        <v>0</v>
      </c>
      <c r="G195" s="438">
        <f>[60]Sheet1!F94</f>
        <v>0</v>
      </c>
      <c r="H195" s="438">
        <f>[60]Sheet1!G94</f>
        <v>0</v>
      </c>
      <c r="I195" s="438">
        <f>[60]Sheet1!H94</f>
        <v>136.81</v>
      </c>
      <c r="J195" s="479">
        <f>[60]Sheet1!I94</f>
        <v>149.25</v>
      </c>
      <c r="K195" s="479">
        <f>[60]Sheet1!J94</f>
        <v>149.25</v>
      </c>
      <c r="L195" s="479">
        <f>[60]Sheet1!K94</f>
        <v>149.25</v>
      </c>
    </row>
    <row r="196" spans="2:12" x14ac:dyDescent="0.25">
      <c r="B196" s="441"/>
      <c r="C196" s="441" t="s">
        <v>590</v>
      </c>
      <c r="D196" s="293">
        <f>D193+D194-D195</f>
        <v>637.04999999999995</v>
      </c>
      <c r="E196" s="293">
        <f t="shared" ref="E196:L196" si="84">E193+E194-E195</f>
        <v>1021.6099999999999</v>
      </c>
      <c r="F196" s="293">
        <f t="shared" si="84"/>
        <v>1506.6299999999999</v>
      </c>
      <c r="G196" s="293">
        <f t="shared" si="84"/>
        <v>1506.6299999999999</v>
      </c>
      <c r="H196" s="293">
        <f t="shared" si="84"/>
        <v>1779.84</v>
      </c>
      <c r="I196" s="293">
        <f t="shared" si="84"/>
        <v>1916.2399609375002</v>
      </c>
      <c r="J196" s="478">
        <f t="shared" si="84"/>
        <v>1493.78</v>
      </c>
      <c r="K196" s="478">
        <f t="shared" si="84"/>
        <v>1344.53</v>
      </c>
      <c r="L196" s="478">
        <f t="shared" si="84"/>
        <v>1195.28</v>
      </c>
    </row>
    <row r="197" spans="2:12" x14ac:dyDescent="0.25">
      <c r="B197" s="441"/>
      <c r="C197" s="441" t="s">
        <v>591</v>
      </c>
      <c r="D197" s="293">
        <f t="shared" ref="D197:G197" si="85">AVERAGE(D196,D193)</f>
        <v>318.52499999999998</v>
      </c>
      <c r="E197" s="293">
        <f t="shared" si="85"/>
        <v>829.32999999999993</v>
      </c>
      <c r="F197" s="293">
        <f t="shared" si="85"/>
        <v>1264.1199999999999</v>
      </c>
      <c r="G197" s="293">
        <f t="shared" si="85"/>
        <v>1071.8399999999999</v>
      </c>
      <c r="H197" s="293">
        <f>AVERAGE(H196,H193)</f>
        <v>1643.2349999999999</v>
      </c>
      <c r="I197" s="293">
        <f t="shared" ref="I197:L197" si="86">AVERAGE(I196,I193)</f>
        <v>1848.0399804687499</v>
      </c>
      <c r="J197" s="478">
        <f t="shared" si="86"/>
        <v>1568.405</v>
      </c>
      <c r="K197" s="478">
        <f t="shared" si="86"/>
        <v>1419.155</v>
      </c>
      <c r="L197" s="478">
        <f t="shared" si="86"/>
        <v>1269.905</v>
      </c>
    </row>
    <row r="198" spans="2:12" x14ac:dyDescent="0.25">
      <c r="B198" s="441"/>
      <c r="C198" s="441" t="s">
        <v>592</v>
      </c>
      <c r="D198" s="438">
        <v>10</v>
      </c>
      <c r="E198" s="438">
        <v>10</v>
      </c>
      <c r="F198" s="438">
        <v>10</v>
      </c>
      <c r="G198" s="438">
        <v>10</v>
      </c>
      <c r="H198" s="438">
        <v>10</v>
      </c>
      <c r="I198" s="438">
        <v>10</v>
      </c>
      <c r="J198" s="479">
        <v>10</v>
      </c>
      <c r="K198" s="479">
        <v>10</v>
      </c>
      <c r="L198" s="479">
        <v>10</v>
      </c>
    </row>
    <row r="199" spans="2:12" x14ac:dyDescent="0.25">
      <c r="B199" s="441"/>
      <c r="C199" s="441" t="s">
        <v>582</v>
      </c>
      <c r="D199" s="293">
        <f>[60]Sheet1!C98</f>
        <v>21.65</v>
      </c>
      <c r="E199" s="293">
        <f>[60]Sheet1!D98</f>
        <v>43.45</v>
      </c>
      <c r="F199" s="293">
        <f>F197*F198*6/12/100</f>
        <v>63.205999999999996</v>
      </c>
      <c r="G199" s="293">
        <f>E199+F199</f>
        <v>106.65600000000001</v>
      </c>
      <c r="H199" s="293">
        <f>H197*H198/100</f>
        <v>164.3235</v>
      </c>
      <c r="I199" s="293">
        <f t="shared" ref="I199:L199" si="87">I197*I198/100</f>
        <v>184.80399804687499</v>
      </c>
      <c r="J199" s="478">
        <f t="shared" si="87"/>
        <v>156.84049999999999</v>
      </c>
      <c r="K199" s="478">
        <f t="shared" si="87"/>
        <v>141.91549999999998</v>
      </c>
      <c r="L199" s="478">
        <f t="shared" si="87"/>
        <v>126.9905</v>
      </c>
    </row>
    <row r="200" spans="2:12" x14ac:dyDescent="0.25">
      <c r="B200" s="441"/>
      <c r="C200" s="441" t="s">
        <v>583</v>
      </c>
      <c r="D200" s="438"/>
      <c r="E200" s="438"/>
      <c r="F200" s="438"/>
      <c r="G200" s="438"/>
      <c r="H200" s="438"/>
      <c r="I200" s="438"/>
      <c r="J200" s="479"/>
      <c r="K200" s="479"/>
      <c r="L200" s="479"/>
    </row>
    <row r="201" spans="2:12" x14ac:dyDescent="0.25">
      <c r="B201" s="441"/>
      <c r="C201" s="441" t="s">
        <v>584</v>
      </c>
      <c r="D201" s="293">
        <f>D199+D200</f>
        <v>21.65</v>
      </c>
      <c r="E201" s="293">
        <f t="shared" ref="E201:L201" si="88">E199+E200</f>
        <v>43.45</v>
      </c>
      <c r="F201" s="293">
        <f t="shared" si="88"/>
        <v>63.205999999999996</v>
      </c>
      <c r="G201" s="293">
        <f t="shared" si="88"/>
        <v>106.65600000000001</v>
      </c>
      <c r="H201" s="293">
        <f t="shared" si="88"/>
        <v>164.3235</v>
      </c>
      <c r="I201" s="293">
        <f t="shared" si="88"/>
        <v>184.80399804687499</v>
      </c>
      <c r="J201" s="478">
        <f t="shared" si="88"/>
        <v>156.84049999999999</v>
      </c>
      <c r="K201" s="478">
        <f t="shared" si="88"/>
        <v>141.91549999999998</v>
      </c>
      <c r="L201" s="478">
        <f t="shared" si="88"/>
        <v>126.9905</v>
      </c>
    </row>
    <row r="202" spans="2:12" x14ac:dyDescent="0.25">
      <c r="B202" s="441"/>
      <c r="C202" s="28" t="s">
        <v>710</v>
      </c>
      <c r="D202" s="293"/>
      <c r="E202" s="293"/>
      <c r="F202" s="293"/>
      <c r="G202" s="293"/>
      <c r="H202" s="293"/>
      <c r="I202" s="293"/>
      <c r="J202" s="478"/>
      <c r="K202" s="478"/>
      <c r="L202" s="478"/>
    </row>
    <row r="203" spans="2:12" x14ac:dyDescent="0.25">
      <c r="B203" s="441"/>
      <c r="C203" s="441" t="s">
        <v>587</v>
      </c>
      <c r="D203" s="438">
        <f>[60]Sheet1!C102</f>
        <v>0</v>
      </c>
      <c r="E203" s="438">
        <f>[60]Sheet1!D102</f>
        <v>0</v>
      </c>
      <c r="F203" s="438">
        <f>[60]Sheet1!E102</f>
        <v>0</v>
      </c>
      <c r="G203" s="438">
        <f>[60]Sheet1!F102</f>
        <v>0</v>
      </c>
      <c r="H203" s="438">
        <f>[60]Sheet1!G102</f>
        <v>958.33</v>
      </c>
      <c r="I203" s="438">
        <f>[60]Sheet1!H102</f>
        <v>908.33</v>
      </c>
      <c r="J203" s="479">
        <f>[60]Sheet1!I102</f>
        <v>858.33</v>
      </c>
      <c r="K203" s="479">
        <f>[60]Sheet1!J102</f>
        <v>808.33</v>
      </c>
      <c r="L203" s="479">
        <f>[60]Sheet1!K102</f>
        <v>758.33</v>
      </c>
    </row>
    <row r="204" spans="2:12" x14ac:dyDescent="0.25">
      <c r="B204" s="441"/>
      <c r="C204" s="441" t="s">
        <v>588</v>
      </c>
      <c r="D204" s="438">
        <f>[60]Sheet1!C103</f>
        <v>0</v>
      </c>
      <c r="E204" s="438">
        <f>[60]Sheet1!D103</f>
        <v>500</v>
      </c>
      <c r="F204" s="438">
        <f>[60]Sheet1!E103</f>
        <v>500</v>
      </c>
      <c r="G204" s="438">
        <f>[60]Sheet1!F103</f>
        <v>1000</v>
      </c>
      <c r="H204" s="438">
        <f>[60]Sheet1!G103</f>
        <v>0</v>
      </c>
      <c r="I204" s="438">
        <f>[60]Sheet1!H103</f>
        <v>0</v>
      </c>
      <c r="J204" s="479">
        <f>[60]Sheet1!I103</f>
        <v>0</v>
      </c>
      <c r="K204" s="479">
        <f>[60]Sheet1!J103</f>
        <v>0</v>
      </c>
      <c r="L204" s="479">
        <f>[60]Sheet1!K103</f>
        <v>0</v>
      </c>
    </row>
    <row r="205" spans="2:12" x14ac:dyDescent="0.25">
      <c r="B205" s="441"/>
      <c r="C205" s="441" t="s">
        <v>589</v>
      </c>
      <c r="D205" s="438">
        <f>[60]Sheet1!C104</f>
        <v>0</v>
      </c>
      <c r="E205" s="438">
        <f>[60]Sheet1!D104</f>
        <v>12.5</v>
      </c>
      <c r="F205" s="438">
        <f>[60]Sheet1!E104</f>
        <v>29.17</v>
      </c>
      <c r="G205" s="438">
        <f>[60]Sheet1!F104</f>
        <v>41.67</v>
      </c>
      <c r="H205" s="438">
        <f>[60]Sheet1!G104</f>
        <v>50</v>
      </c>
      <c r="I205" s="438">
        <f>[60]Sheet1!H104</f>
        <v>50</v>
      </c>
      <c r="J205" s="479">
        <f>[60]Sheet1!I104</f>
        <v>50</v>
      </c>
      <c r="K205" s="479">
        <f>[60]Sheet1!J104</f>
        <v>50</v>
      </c>
      <c r="L205" s="479">
        <f>[60]Sheet1!K104</f>
        <v>50</v>
      </c>
    </row>
    <row r="206" spans="2:12" x14ac:dyDescent="0.25">
      <c r="B206" s="441"/>
      <c r="C206" s="441" t="s">
        <v>590</v>
      </c>
      <c r="D206" s="293">
        <f>D203+D204-D205</f>
        <v>0</v>
      </c>
      <c r="E206" s="293">
        <f t="shared" ref="E206:L206" si="89">E203+E204-E205</f>
        <v>487.5</v>
      </c>
      <c r="F206" s="293">
        <f t="shared" si="89"/>
        <v>470.83</v>
      </c>
      <c r="G206" s="293">
        <f t="shared" si="89"/>
        <v>958.33</v>
      </c>
      <c r="H206" s="293">
        <f t="shared" si="89"/>
        <v>908.33</v>
      </c>
      <c r="I206" s="293">
        <f t="shared" si="89"/>
        <v>858.33</v>
      </c>
      <c r="J206" s="478">
        <f t="shared" si="89"/>
        <v>808.33</v>
      </c>
      <c r="K206" s="478">
        <f t="shared" si="89"/>
        <v>758.33</v>
      </c>
      <c r="L206" s="478">
        <f t="shared" si="89"/>
        <v>708.33</v>
      </c>
    </row>
    <row r="207" spans="2:12" x14ac:dyDescent="0.25">
      <c r="B207" s="441"/>
      <c r="C207" s="441" t="s">
        <v>591</v>
      </c>
      <c r="D207" s="293">
        <f t="shared" ref="D207:G207" si="90">AVERAGE(D206,D203)</f>
        <v>0</v>
      </c>
      <c r="E207" s="293">
        <f t="shared" si="90"/>
        <v>243.75</v>
      </c>
      <c r="F207" s="293">
        <f t="shared" si="90"/>
        <v>235.41499999999999</v>
      </c>
      <c r="G207" s="293">
        <f t="shared" si="90"/>
        <v>479.16500000000002</v>
      </c>
      <c r="H207" s="293">
        <f>AVERAGE(H206,H203)</f>
        <v>933.33</v>
      </c>
      <c r="I207" s="293">
        <f t="shared" ref="I207:L207" si="91">AVERAGE(I206,I203)</f>
        <v>883.33</v>
      </c>
      <c r="J207" s="478">
        <f t="shared" si="91"/>
        <v>833.33</v>
      </c>
      <c r="K207" s="478">
        <f t="shared" si="91"/>
        <v>783.33</v>
      </c>
      <c r="L207" s="478">
        <f t="shared" si="91"/>
        <v>733.33</v>
      </c>
    </row>
    <row r="208" spans="2:12" x14ac:dyDescent="0.25">
      <c r="B208" s="441"/>
      <c r="C208" s="441" t="s">
        <v>592</v>
      </c>
      <c r="D208" s="438">
        <v>9.5</v>
      </c>
      <c r="E208" s="438">
        <v>9.5</v>
      </c>
      <c r="F208" s="438">
        <v>9.5</v>
      </c>
      <c r="G208" s="438">
        <v>9.5</v>
      </c>
      <c r="H208" s="438">
        <v>9.5</v>
      </c>
      <c r="I208" s="438">
        <v>9.5</v>
      </c>
      <c r="J208" s="479">
        <v>9.5</v>
      </c>
      <c r="K208" s="479">
        <v>9.5</v>
      </c>
      <c r="L208" s="479">
        <v>9.5</v>
      </c>
    </row>
    <row r="209" spans="2:12" x14ac:dyDescent="0.25">
      <c r="B209" s="441"/>
      <c r="C209" s="441" t="s">
        <v>582</v>
      </c>
      <c r="D209" s="293">
        <f>[60]Sheet1!C108</f>
        <v>0</v>
      </c>
      <c r="E209" s="293">
        <f>[60]Sheet1!D108</f>
        <v>14.08</v>
      </c>
      <c r="F209" s="293">
        <f>F207*F208*6/12/100</f>
        <v>11.1822125</v>
      </c>
      <c r="G209" s="293">
        <f>E209+F209</f>
        <v>25.2622125</v>
      </c>
      <c r="H209" s="293">
        <f>H207*H208/100</f>
        <v>88.666350000000008</v>
      </c>
      <c r="I209" s="293">
        <f t="shared" ref="I209:L209" si="92">I207*I208/100</f>
        <v>83.916350000000008</v>
      </c>
      <c r="J209" s="478">
        <f t="shared" si="92"/>
        <v>79.166350000000008</v>
      </c>
      <c r="K209" s="478">
        <f t="shared" si="92"/>
        <v>74.416350000000008</v>
      </c>
      <c r="L209" s="478">
        <f t="shared" si="92"/>
        <v>69.666350000000008</v>
      </c>
    </row>
    <row r="210" spans="2:12" x14ac:dyDescent="0.25">
      <c r="B210" s="441"/>
      <c r="C210" s="441" t="s">
        <v>583</v>
      </c>
      <c r="D210" s="438"/>
      <c r="E210" s="438"/>
      <c r="F210" s="438"/>
      <c r="G210" s="438"/>
      <c r="H210" s="438"/>
      <c r="I210" s="438"/>
      <c r="J210" s="479"/>
      <c r="K210" s="479"/>
      <c r="L210" s="479"/>
    </row>
    <row r="211" spans="2:12" x14ac:dyDescent="0.25">
      <c r="B211" s="441"/>
      <c r="C211" s="441" t="s">
        <v>584</v>
      </c>
      <c r="D211" s="293">
        <f>D209+D210</f>
        <v>0</v>
      </c>
      <c r="E211" s="293">
        <f t="shared" ref="E211:L211" si="93">E209+E210</f>
        <v>14.08</v>
      </c>
      <c r="F211" s="293">
        <f t="shared" si="93"/>
        <v>11.1822125</v>
      </c>
      <c r="G211" s="293">
        <f t="shared" si="93"/>
        <v>25.2622125</v>
      </c>
      <c r="H211" s="293">
        <f t="shared" si="93"/>
        <v>88.666350000000008</v>
      </c>
      <c r="I211" s="293">
        <f t="shared" si="93"/>
        <v>83.916350000000008</v>
      </c>
      <c r="J211" s="478">
        <f t="shared" si="93"/>
        <v>79.166350000000008</v>
      </c>
      <c r="K211" s="478">
        <f t="shared" si="93"/>
        <v>74.416350000000008</v>
      </c>
      <c r="L211" s="478">
        <f t="shared" si="93"/>
        <v>69.666350000000008</v>
      </c>
    </row>
    <row r="212" spans="2:12" x14ac:dyDescent="0.25">
      <c r="B212" s="441"/>
      <c r="C212" s="28" t="s">
        <v>711</v>
      </c>
      <c r="D212" s="293"/>
      <c r="E212" s="293"/>
      <c r="F212" s="293"/>
      <c r="G212" s="293"/>
      <c r="H212" s="293"/>
      <c r="I212" s="293"/>
      <c r="J212" s="478"/>
      <c r="K212" s="478"/>
      <c r="L212" s="478"/>
    </row>
    <row r="213" spans="2:12" x14ac:dyDescent="0.25">
      <c r="B213" s="441"/>
      <c r="C213" s="441" t="s">
        <v>587</v>
      </c>
      <c r="D213" s="438">
        <f>[60]Sheet1!C112</f>
        <v>0</v>
      </c>
      <c r="E213" s="438">
        <f>[60]Sheet1!D112</f>
        <v>490.5</v>
      </c>
      <c r="F213" s="438">
        <f>[60]Sheet1!E112</f>
        <v>490.5</v>
      </c>
      <c r="G213" s="438">
        <f>[60]Sheet1!F112</f>
        <v>490.5</v>
      </c>
      <c r="H213" s="438">
        <f>[60]Sheet1!G112</f>
        <v>4562</v>
      </c>
      <c r="I213" s="438">
        <f>[60]Sheet1!H112</f>
        <v>4562</v>
      </c>
      <c r="J213" s="479">
        <f>[60]Sheet1!I112</f>
        <v>4562</v>
      </c>
      <c r="K213" s="479">
        <f>[60]Sheet1!J112</f>
        <v>4562</v>
      </c>
      <c r="L213" s="479">
        <f>[60]Sheet1!K112</f>
        <v>4062</v>
      </c>
    </row>
    <row r="214" spans="2:12" x14ac:dyDescent="0.25">
      <c r="B214" s="441"/>
      <c r="C214" s="441" t="s">
        <v>588</v>
      </c>
      <c r="D214" s="438">
        <f>[60]Sheet1!C113</f>
        <v>490.5</v>
      </c>
      <c r="E214" s="438">
        <f>[60]Sheet1!D113</f>
        <v>2009.5</v>
      </c>
      <c r="F214" s="438">
        <f>[60]Sheet1!E113</f>
        <v>2062</v>
      </c>
      <c r="G214" s="438">
        <f>[60]Sheet1!F113</f>
        <v>4071.5</v>
      </c>
      <c r="H214" s="438">
        <f>[60]Sheet1!G113</f>
        <v>0</v>
      </c>
      <c r="I214" s="438">
        <f>[60]Sheet1!H113</f>
        <v>0</v>
      </c>
      <c r="J214" s="479">
        <f>[60]Sheet1!I113</f>
        <v>0</v>
      </c>
      <c r="K214" s="479">
        <f>[60]Sheet1!J113</f>
        <v>0</v>
      </c>
      <c r="L214" s="479">
        <f>[60]Sheet1!K113</f>
        <v>0</v>
      </c>
    </row>
    <row r="215" spans="2:12" x14ac:dyDescent="0.25">
      <c r="B215" s="441"/>
      <c r="C215" s="441" t="s">
        <v>589</v>
      </c>
      <c r="D215" s="438">
        <f>[60]Sheet1!C114</f>
        <v>0</v>
      </c>
      <c r="E215" s="438">
        <f>[60]Sheet1!D114</f>
        <v>0</v>
      </c>
      <c r="F215" s="438">
        <f>[60]Sheet1!E114</f>
        <v>0</v>
      </c>
      <c r="G215" s="438">
        <f>[60]Sheet1!F114</f>
        <v>0</v>
      </c>
      <c r="H215" s="438">
        <f>[60]Sheet1!G114</f>
        <v>0</v>
      </c>
      <c r="I215" s="438">
        <f>[60]Sheet1!H114</f>
        <v>0</v>
      </c>
      <c r="J215" s="479">
        <f>[60]Sheet1!I114</f>
        <v>0</v>
      </c>
      <c r="K215" s="479">
        <f>[60]Sheet1!J114</f>
        <v>500</v>
      </c>
      <c r="L215" s="479">
        <f>[60]Sheet1!K114</f>
        <v>2000</v>
      </c>
    </row>
    <row r="216" spans="2:12" x14ac:dyDescent="0.25">
      <c r="B216" s="441"/>
      <c r="C216" s="441" t="s">
        <v>590</v>
      </c>
      <c r="D216" s="293">
        <f>D213+D214-D215</f>
        <v>490.5</v>
      </c>
      <c r="E216" s="293">
        <f t="shared" ref="E216:L216" si="94">E213+E214-E215</f>
        <v>2500</v>
      </c>
      <c r="F216" s="293">
        <f t="shared" si="94"/>
        <v>2552.5</v>
      </c>
      <c r="G216" s="293">
        <f t="shared" si="94"/>
        <v>4562</v>
      </c>
      <c r="H216" s="293">
        <f t="shared" si="94"/>
        <v>4562</v>
      </c>
      <c r="I216" s="293">
        <f t="shared" si="94"/>
        <v>4562</v>
      </c>
      <c r="J216" s="478">
        <f t="shared" si="94"/>
        <v>4562</v>
      </c>
      <c r="K216" s="478">
        <f t="shared" si="94"/>
        <v>4062</v>
      </c>
      <c r="L216" s="478">
        <f t="shared" si="94"/>
        <v>2062</v>
      </c>
    </row>
    <row r="217" spans="2:12" x14ac:dyDescent="0.25">
      <c r="B217" s="441"/>
      <c r="C217" s="441" t="s">
        <v>591</v>
      </c>
      <c r="D217" s="293">
        <f t="shared" ref="D217:G217" si="95">AVERAGE(D216,D213)</f>
        <v>245.25</v>
      </c>
      <c r="E217" s="293">
        <f t="shared" si="95"/>
        <v>1495.25</v>
      </c>
      <c r="F217" s="293">
        <f t="shared" si="95"/>
        <v>1521.5</v>
      </c>
      <c r="G217" s="293">
        <f t="shared" si="95"/>
        <v>2526.25</v>
      </c>
      <c r="H217" s="293">
        <f>AVERAGE(H216,H213)</f>
        <v>4562</v>
      </c>
      <c r="I217" s="293">
        <f t="shared" ref="I217:L217" si="96">AVERAGE(I216,I213)</f>
        <v>4562</v>
      </c>
      <c r="J217" s="478">
        <f t="shared" si="96"/>
        <v>4562</v>
      </c>
      <c r="K217" s="478">
        <f t="shared" si="96"/>
        <v>4312</v>
      </c>
      <c r="L217" s="478">
        <f t="shared" si="96"/>
        <v>3062</v>
      </c>
    </row>
    <row r="218" spans="2:12" x14ac:dyDescent="0.25">
      <c r="B218" s="441"/>
      <c r="C218" s="441" t="s">
        <v>592</v>
      </c>
      <c r="D218" s="438">
        <v>10</v>
      </c>
      <c r="E218" s="438">
        <v>10</v>
      </c>
      <c r="F218" s="438">
        <v>10</v>
      </c>
      <c r="G218" s="438">
        <v>10</v>
      </c>
      <c r="H218" s="438">
        <v>10</v>
      </c>
      <c r="I218" s="438">
        <v>10</v>
      </c>
      <c r="J218" s="479">
        <v>10</v>
      </c>
      <c r="K218" s="479">
        <v>10</v>
      </c>
      <c r="L218" s="479">
        <v>10</v>
      </c>
    </row>
    <row r="219" spans="2:12" x14ac:dyDescent="0.25">
      <c r="B219" s="441"/>
      <c r="C219" s="441" t="s">
        <v>582</v>
      </c>
      <c r="D219" s="293">
        <f>[60]Sheet1!C118</f>
        <v>2.06</v>
      </c>
      <c r="E219" s="293">
        <f>[60]Sheet1!D118</f>
        <v>25</v>
      </c>
      <c r="F219" s="293">
        <f>F217*F218*6/12/100</f>
        <v>76.075000000000003</v>
      </c>
      <c r="G219" s="293">
        <f>E219+F219</f>
        <v>101.075</v>
      </c>
      <c r="H219" s="293">
        <f>H217*H218/100</f>
        <v>456.2</v>
      </c>
      <c r="I219" s="293">
        <f t="shared" ref="I219:L219" si="97">I217*I218/100</f>
        <v>456.2</v>
      </c>
      <c r="J219" s="478">
        <f t="shared" si="97"/>
        <v>456.2</v>
      </c>
      <c r="K219" s="478">
        <f t="shared" si="97"/>
        <v>431.2</v>
      </c>
      <c r="L219" s="478">
        <f t="shared" si="97"/>
        <v>306.2</v>
      </c>
    </row>
    <row r="220" spans="2:12" x14ac:dyDescent="0.25">
      <c r="B220" s="441"/>
      <c r="C220" s="441" t="s">
        <v>583</v>
      </c>
      <c r="D220" s="438"/>
      <c r="E220" s="438"/>
      <c r="F220" s="438"/>
      <c r="G220" s="438"/>
      <c r="H220" s="438"/>
      <c r="I220" s="438"/>
      <c r="J220" s="479"/>
      <c r="K220" s="479"/>
      <c r="L220" s="479"/>
    </row>
    <row r="221" spans="2:12" x14ac:dyDescent="0.25">
      <c r="B221" s="441"/>
      <c r="C221" s="441" t="s">
        <v>584</v>
      </c>
      <c r="D221" s="293">
        <f>D219+D220</f>
        <v>2.06</v>
      </c>
      <c r="E221" s="293">
        <f t="shared" ref="E221:L221" si="98">E219+E220</f>
        <v>25</v>
      </c>
      <c r="F221" s="293">
        <f t="shared" si="98"/>
        <v>76.075000000000003</v>
      </c>
      <c r="G221" s="293">
        <f t="shared" si="98"/>
        <v>101.075</v>
      </c>
      <c r="H221" s="293">
        <f t="shared" si="98"/>
        <v>456.2</v>
      </c>
      <c r="I221" s="293">
        <f t="shared" si="98"/>
        <v>456.2</v>
      </c>
      <c r="J221" s="478">
        <f t="shared" si="98"/>
        <v>456.2</v>
      </c>
      <c r="K221" s="478">
        <f t="shared" si="98"/>
        <v>431.2</v>
      </c>
      <c r="L221" s="478">
        <f t="shared" si="98"/>
        <v>306.2</v>
      </c>
    </row>
    <row r="222" spans="2:12" x14ac:dyDescent="0.25">
      <c r="B222" s="441"/>
      <c r="C222" s="28" t="s">
        <v>712</v>
      </c>
      <c r="D222" s="293"/>
      <c r="E222" s="293"/>
      <c r="F222" s="293"/>
      <c r="G222" s="293"/>
      <c r="H222" s="293"/>
      <c r="I222" s="293"/>
      <c r="J222" s="478"/>
      <c r="K222" s="478"/>
      <c r="L222" s="478"/>
    </row>
    <row r="223" spans="2:12" x14ac:dyDescent="0.25">
      <c r="B223" s="441"/>
      <c r="C223" s="441" t="s">
        <v>587</v>
      </c>
      <c r="D223" s="438">
        <f>[60]Sheet1!C142</f>
        <v>2716.91</v>
      </c>
      <c r="E223" s="438">
        <f>[60]Sheet1!D142</f>
        <v>2716.91</v>
      </c>
      <c r="F223" s="438">
        <f>[60]Sheet1!E142</f>
        <v>2716.91</v>
      </c>
      <c r="G223" s="438">
        <f>[60]Sheet1!F142</f>
        <v>2716.91</v>
      </c>
      <c r="H223" s="438">
        <f>[60]Sheet1!G142</f>
        <v>2485.79</v>
      </c>
      <c r="I223" s="438">
        <f>[60]Sheet1!H142</f>
        <v>2097.71</v>
      </c>
      <c r="J223" s="479">
        <f>[60]Sheet1!I142</f>
        <v>1709.63</v>
      </c>
      <c r="K223" s="479">
        <f>[60]Sheet1!J142</f>
        <v>1321.5500000000002</v>
      </c>
      <c r="L223" s="479">
        <f>[60]Sheet1!K142</f>
        <v>933.47000000000025</v>
      </c>
    </row>
    <row r="224" spans="2:12" x14ac:dyDescent="0.25">
      <c r="B224" s="441"/>
      <c r="C224" s="441" t="s">
        <v>588</v>
      </c>
      <c r="D224" s="438">
        <f>[60]Sheet1!C143</f>
        <v>0</v>
      </c>
      <c r="E224" s="438">
        <f>[60]Sheet1!D143</f>
        <v>0</v>
      </c>
      <c r="F224" s="438">
        <f>[60]Sheet1!E143</f>
        <v>0</v>
      </c>
      <c r="G224" s="438">
        <f>[60]Sheet1!F143</f>
        <v>0</v>
      </c>
      <c r="H224" s="438">
        <f>[60]Sheet1!G143</f>
        <v>0</v>
      </c>
      <c r="I224" s="438">
        <f>[60]Sheet1!H143</f>
        <v>0</v>
      </c>
      <c r="J224" s="479">
        <f>[60]Sheet1!I143</f>
        <v>0</v>
      </c>
      <c r="K224" s="479">
        <f>[60]Sheet1!J143</f>
        <v>0</v>
      </c>
      <c r="L224" s="479">
        <f>[60]Sheet1!K143</f>
        <v>0</v>
      </c>
    </row>
    <row r="225" spans="2:12" x14ac:dyDescent="0.25">
      <c r="B225" s="441"/>
      <c r="C225" s="441" t="s">
        <v>589</v>
      </c>
      <c r="D225" s="438">
        <f>[60]Sheet1!C144</f>
        <v>0</v>
      </c>
      <c r="E225" s="438">
        <f>[60]Sheet1!D144</f>
        <v>92.04</v>
      </c>
      <c r="F225" s="438">
        <f>[60]Sheet1!E144</f>
        <v>139.08000000000001</v>
      </c>
      <c r="G225" s="438">
        <f>[60]Sheet1!F144</f>
        <v>231.12</v>
      </c>
      <c r="H225" s="438">
        <f>[60]Sheet1!G144</f>
        <v>388.08</v>
      </c>
      <c r="I225" s="438">
        <f>[60]Sheet1!H144</f>
        <v>388.08</v>
      </c>
      <c r="J225" s="479">
        <f>[60]Sheet1!I144</f>
        <v>388.08</v>
      </c>
      <c r="K225" s="479">
        <f>[60]Sheet1!J144</f>
        <v>388.08</v>
      </c>
      <c r="L225" s="479">
        <f>[60]Sheet1!K144</f>
        <v>388.08</v>
      </c>
    </row>
    <row r="226" spans="2:12" x14ac:dyDescent="0.25">
      <c r="B226" s="441"/>
      <c r="C226" s="441" t="s">
        <v>590</v>
      </c>
      <c r="D226" s="293">
        <f>D223+D224-D225</f>
        <v>2716.91</v>
      </c>
      <c r="E226" s="293">
        <f t="shared" ref="E226:L226" si="99">E223+E224-E225</f>
        <v>2624.87</v>
      </c>
      <c r="F226" s="293">
        <f t="shared" si="99"/>
        <v>2577.83</v>
      </c>
      <c r="G226" s="293">
        <f t="shared" si="99"/>
        <v>2485.79</v>
      </c>
      <c r="H226" s="293">
        <f t="shared" si="99"/>
        <v>2097.71</v>
      </c>
      <c r="I226" s="293">
        <f t="shared" si="99"/>
        <v>1709.63</v>
      </c>
      <c r="J226" s="478">
        <f t="shared" si="99"/>
        <v>1321.5500000000002</v>
      </c>
      <c r="K226" s="478">
        <f t="shared" si="99"/>
        <v>933.47000000000025</v>
      </c>
      <c r="L226" s="478">
        <f t="shared" si="99"/>
        <v>545.39000000000033</v>
      </c>
    </row>
    <row r="227" spans="2:12" x14ac:dyDescent="0.25">
      <c r="B227" s="441"/>
      <c r="C227" s="441" t="s">
        <v>591</v>
      </c>
      <c r="D227" s="293">
        <f t="shared" ref="D227:G227" si="100">AVERAGE(D226,D223)</f>
        <v>2716.91</v>
      </c>
      <c r="E227" s="293">
        <f t="shared" si="100"/>
        <v>2670.89</v>
      </c>
      <c r="F227" s="293">
        <f t="shared" si="100"/>
        <v>2647.37</v>
      </c>
      <c r="G227" s="293">
        <f t="shared" si="100"/>
        <v>2601.35</v>
      </c>
      <c r="H227" s="293">
        <f>AVERAGE(H226,H223)</f>
        <v>2291.75</v>
      </c>
      <c r="I227" s="293">
        <f t="shared" ref="I227:L227" si="101">AVERAGE(I226,I223)</f>
        <v>1903.67</v>
      </c>
      <c r="J227" s="478">
        <f t="shared" si="101"/>
        <v>1515.5900000000001</v>
      </c>
      <c r="K227" s="478">
        <f t="shared" si="101"/>
        <v>1127.5100000000002</v>
      </c>
      <c r="L227" s="478">
        <f t="shared" si="101"/>
        <v>739.43000000000029</v>
      </c>
    </row>
    <row r="228" spans="2:12" x14ac:dyDescent="0.25">
      <c r="B228" s="441"/>
      <c r="C228" s="441" t="s">
        <v>592</v>
      </c>
      <c r="D228" s="438">
        <v>9.75</v>
      </c>
      <c r="E228" s="438">
        <v>9.75</v>
      </c>
      <c r="F228" s="438">
        <v>9.75</v>
      </c>
      <c r="G228" s="438">
        <v>9.75</v>
      </c>
      <c r="H228" s="438">
        <v>9.75</v>
      </c>
      <c r="I228" s="438">
        <v>9.75</v>
      </c>
      <c r="J228" s="479">
        <v>9.75</v>
      </c>
      <c r="K228" s="479">
        <v>9.75</v>
      </c>
      <c r="L228" s="479">
        <v>9.75</v>
      </c>
    </row>
    <row r="229" spans="2:12" x14ac:dyDescent="0.25">
      <c r="B229" s="441"/>
      <c r="C229" s="441" t="s">
        <v>582</v>
      </c>
      <c r="D229" s="293">
        <f>[60]Sheet1!C148</f>
        <v>229.16</v>
      </c>
      <c r="E229" s="293">
        <f>[60]Sheet1!D148</f>
        <v>133.03</v>
      </c>
      <c r="F229" s="293">
        <f>F227*F228*6/12/100</f>
        <v>129.05928749999998</v>
      </c>
      <c r="G229" s="293">
        <f>E229+F229</f>
        <v>262.08928749999995</v>
      </c>
      <c r="H229" s="293">
        <f>H227*H228/100</f>
        <v>223.44562500000001</v>
      </c>
      <c r="I229" s="293">
        <f>I227*I228/100</f>
        <v>185.60782500000002</v>
      </c>
      <c r="J229" s="478">
        <f t="shared" ref="J229:L229" si="102">J227*J228/100</f>
        <v>147.77002500000003</v>
      </c>
      <c r="K229" s="478">
        <f t="shared" si="102"/>
        <v>109.93222500000002</v>
      </c>
      <c r="L229" s="478">
        <f t="shared" si="102"/>
        <v>72.09442500000003</v>
      </c>
    </row>
    <row r="230" spans="2:12" x14ac:dyDescent="0.25">
      <c r="B230" s="441"/>
      <c r="C230" s="441" t="s">
        <v>583</v>
      </c>
      <c r="D230" s="438"/>
      <c r="E230" s="438"/>
      <c r="F230" s="438"/>
      <c r="G230" s="438"/>
      <c r="H230" s="438"/>
      <c r="I230" s="438"/>
      <c r="J230" s="479"/>
      <c r="K230" s="479"/>
      <c r="L230" s="479"/>
    </row>
    <row r="231" spans="2:12" x14ac:dyDescent="0.25">
      <c r="B231" s="441"/>
      <c r="C231" s="441" t="s">
        <v>584</v>
      </c>
      <c r="D231" s="293">
        <f>D229+D230</f>
        <v>229.16</v>
      </c>
      <c r="E231" s="293">
        <f t="shared" ref="E231:L231" si="103">E229+E230</f>
        <v>133.03</v>
      </c>
      <c r="F231" s="293">
        <f t="shared" si="103"/>
        <v>129.05928749999998</v>
      </c>
      <c r="G231" s="293">
        <f t="shared" si="103"/>
        <v>262.08928749999995</v>
      </c>
      <c r="H231" s="293">
        <f t="shared" si="103"/>
        <v>223.44562500000001</v>
      </c>
      <c r="I231" s="293">
        <f t="shared" si="103"/>
        <v>185.60782500000002</v>
      </c>
      <c r="J231" s="478">
        <f t="shared" si="103"/>
        <v>147.77002500000003</v>
      </c>
      <c r="K231" s="478">
        <f t="shared" si="103"/>
        <v>109.93222500000002</v>
      </c>
      <c r="L231" s="478">
        <f t="shared" si="103"/>
        <v>72.09442500000003</v>
      </c>
    </row>
    <row r="232" spans="2:12" x14ac:dyDescent="0.25">
      <c r="B232" s="441"/>
      <c r="C232" s="28" t="s">
        <v>713</v>
      </c>
      <c r="D232" s="293"/>
      <c r="E232" s="293"/>
      <c r="F232" s="293"/>
      <c r="G232" s="293"/>
      <c r="H232" s="293"/>
      <c r="I232" s="293"/>
      <c r="J232" s="478"/>
      <c r="K232" s="478"/>
      <c r="L232" s="478"/>
    </row>
    <row r="233" spans="2:12" x14ac:dyDescent="0.25">
      <c r="B233" s="441"/>
      <c r="C233" s="441" t="s">
        <v>587</v>
      </c>
      <c r="D233" s="438">
        <f>[60]Sheet1!C152</f>
        <v>0</v>
      </c>
      <c r="E233" s="438">
        <f>[60]Sheet1!D152</f>
        <v>637.04999999999995</v>
      </c>
      <c r="F233" s="438">
        <f>[60]Sheet1!E152</f>
        <v>637.04999999999995</v>
      </c>
      <c r="G233" s="438">
        <f>[60]Sheet1!F152</f>
        <v>637.04999999999995</v>
      </c>
      <c r="H233" s="438">
        <f>[60]Sheet1!G152</f>
        <v>1506.6299999999999</v>
      </c>
      <c r="I233" s="438">
        <f>[60]Sheet1!H152</f>
        <v>1779.84</v>
      </c>
      <c r="J233" s="479">
        <f>[60]Sheet1!I152</f>
        <v>1643.03</v>
      </c>
      <c r="K233" s="479">
        <f>[60]Sheet1!J152</f>
        <v>1493.78</v>
      </c>
      <c r="L233" s="479">
        <f>[60]Sheet1!K152</f>
        <v>1344.53</v>
      </c>
    </row>
    <row r="234" spans="2:12" x14ac:dyDescent="0.25">
      <c r="B234" s="441"/>
      <c r="C234" s="441" t="s">
        <v>588</v>
      </c>
      <c r="D234" s="438">
        <f>[60]Sheet1!C153</f>
        <v>637.04999999999995</v>
      </c>
      <c r="E234" s="438">
        <f>[60]Sheet1!D153</f>
        <v>384.56</v>
      </c>
      <c r="F234" s="438">
        <f>[60]Sheet1!E153</f>
        <v>485.02</v>
      </c>
      <c r="G234" s="438">
        <f>[60]Sheet1!F153</f>
        <v>869.57999999999993</v>
      </c>
      <c r="H234" s="438">
        <f>[60]Sheet1!G153</f>
        <v>273.20999999999998</v>
      </c>
      <c r="I234" s="438">
        <f>[60]Sheet1!H153</f>
        <v>273.2099609375</v>
      </c>
      <c r="J234" s="479">
        <f>[60]Sheet1!I153</f>
        <v>0</v>
      </c>
      <c r="K234" s="479">
        <f>[60]Sheet1!J153</f>
        <v>0</v>
      </c>
      <c r="L234" s="479">
        <f>[60]Sheet1!K153</f>
        <v>0</v>
      </c>
    </row>
    <row r="235" spans="2:12" x14ac:dyDescent="0.25">
      <c r="B235" s="441"/>
      <c r="C235" s="441" t="s">
        <v>589</v>
      </c>
      <c r="D235" s="438">
        <f>[60]Sheet1!C154</f>
        <v>0</v>
      </c>
      <c r="E235" s="438">
        <f>[60]Sheet1!D154</f>
        <v>0</v>
      </c>
      <c r="F235" s="438">
        <f>[60]Sheet1!E154</f>
        <v>0</v>
      </c>
      <c r="G235" s="438">
        <f>[60]Sheet1!F154</f>
        <v>0</v>
      </c>
      <c r="H235" s="438">
        <f>[60]Sheet1!G154</f>
        <v>0</v>
      </c>
      <c r="I235" s="438">
        <f>[60]Sheet1!H154</f>
        <v>136.81</v>
      </c>
      <c r="J235" s="479">
        <f>[60]Sheet1!I154</f>
        <v>149.25</v>
      </c>
      <c r="K235" s="479">
        <f>[60]Sheet1!J154</f>
        <v>149.25</v>
      </c>
      <c r="L235" s="479">
        <f>[60]Sheet1!K154</f>
        <v>149.25</v>
      </c>
    </row>
    <row r="236" spans="2:12" x14ac:dyDescent="0.25">
      <c r="B236" s="441"/>
      <c r="C236" s="441" t="s">
        <v>590</v>
      </c>
      <c r="D236" s="293">
        <f>D233+D234-D235</f>
        <v>637.04999999999995</v>
      </c>
      <c r="E236" s="293">
        <f t="shared" ref="E236:L236" si="104">E233+E234-E235</f>
        <v>1021.6099999999999</v>
      </c>
      <c r="F236" s="293">
        <f t="shared" si="104"/>
        <v>1122.07</v>
      </c>
      <c r="G236" s="293">
        <f t="shared" si="104"/>
        <v>1506.6299999999999</v>
      </c>
      <c r="H236" s="293">
        <f t="shared" si="104"/>
        <v>1779.84</v>
      </c>
      <c r="I236" s="293">
        <f t="shared" si="104"/>
        <v>1916.2399609375002</v>
      </c>
      <c r="J236" s="478">
        <f t="shared" si="104"/>
        <v>1493.78</v>
      </c>
      <c r="K236" s="478">
        <f t="shared" si="104"/>
        <v>1344.53</v>
      </c>
      <c r="L236" s="478">
        <f t="shared" si="104"/>
        <v>1195.28</v>
      </c>
    </row>
    <row r="237" spans="2:12" x14ac:dyDescent="0.25">
      <c r="B237" s="441"/>
      <c r="C237" s="441" t="s">
        <v>591</v>
      </c>
      <c r="D237" s="293">
        <f t="shared" ref="D237:G237" si="105">AVERAGE(D236,D233)</f>
        <v>318.52499999999998</v>
      </c>
      <c r="E237" s="293">
        <f t="shared" si="105"/>
        <v>829.32999999999993</v>
      </c>
      <c r="F237" s="293">
        <f t="shared" si="105"/>
        <v>879.56</v>
      </c>
      <c r="G237" s="293">
        <f t="shared" si="105"/>
        <v>1071.8399999999999</v>
      </c>
      <c r="H237" s="293">
        <f>AVERAGE(H236,H233)</f>
        <v>1643.2349999999999</v>
      </c>
      <c r="I237" s="293">
        <f t="shared" ref="I237:L237" si="106">AVERAGE(I236,I233)</f>
        <v>1848.0399804687499</v>
      </c>
      <c r="J237" s="478">
        <f t="shared" si="106"/>
        <v>1568.405</v>
      </c>
      <c r="K237" s="478">
        <f t="shared" si="106"/>
        <v>1419.155</v>
      </c>
      <c r="L237" s="478">
        <f t="shared" si="106"/>
        <v>1269.905</v>
      </c>
    </row>
    <row r="238" spans="2:12" x14ac:dyDescent="0.25">
      <c r="B238" s="441"/>
      <c r="C238" s="441" t="s">
        <v>592</v>
      </c>
      <c r="D238" s="438">
        <v>9.75</v>
      </c>
      <c r="E238" s="438">
        <v>9.75</v>
      </c>
      <c r="F238" s="438">
        <v>9.75</v>
      </c>
      <c r="G238" s="438">
        <v>9.75</v>
      </c>
      <c r="H238" s="438">
        <v>9.75</v>
      </c>
      <c r="I238" s="438">
        <v>9.75</v>
      </c>
      <c r="J238" s="479">
        <v>9.75</v>
      </c>
      <c r="K238" s="479">
        <v>9.75</v>
      </c>
      <c r="L238" s="479">
        <v>9.75</v>
      </c>
    </row>
    <row r="239" spans="2:12" x14ac:dyDescent="0.25">
      <c r="B239" s="441"/>
      <c r="C239" s="441" t="s">
        <v>582</v>
      </c>
      <c r="D239" s="293">
        <f>[60]Sheet1!C158</f>
        <v>17.8</v>
      </c>
      <c r="E239" s="293">
        <f>[60]Sheet1!D158</f>
        <v>46.06</v>
      </c>
      <c r="F239" s="293">
        <f>F237*F238*6/12/100</f>
        <v>42.878549999999997</v>
      </c>
      <c r="G239" s="293">
        <f>E239+F239</f>
        <v>88.938549999999992</v>
      </c>
      <c r="H239" s="293">
        <f>H237*H238/100</f>
        <v>160.21541249999999</v>
      </c>
      <c r="I239" s="293">
        <f>I237*I238/100</f>
        <v>180.18389809570311</v>
      </c>
      <c r="J239" s="478">
        <f t="shared" ref="J239:L239" si="107">J237*J238/100</f>
        <v>152.9194875</v>
      </c>
      <c r="K239" s="478">
        <f t="shared" si="107"/>
        <v>138.36761250000001</v>
      </c>
      <c r="L239" s="478">
        <f t="shared" si="107"/>
        <v>123.8157375</v>
      </c>
    </row>
    <row r="240" spans="2:12" x14ac:dyDescent="0.25">
      <c r="B240" s="441"/>
      <c r="C240" s="441" t="s">
        <v>583</v>
      </c>
      <c r="D240" s="438"/>
      <c r="E240" s="438"/>
      <c r="F240" s="438"/>
      <c r="G240" s="438"/>
      <c r="H240" s="438"/>
      <c r="I240" s="438"/>
      <c r="J240" s="479"/>
      <c r="K240" s="479"/>
      <c r="L240" s="479"/>
    </row>
    <row r="241" spans="2:12" x14ac:dyDescent="0.25">
      <c r="B241" s="441"/>
      <c r="C241" s="441" t="s">
        <v>584</v>
      </c>
      <c r="D241" s="293">
        <f>D239+D240</f>
        <v>17.8</v>
      </c>
      <c r="E241" s="293">
        <f t="shared" ref="E241:L241" si="108">E239+E240</f>
        <v>46.06</v>
      </c>
      <c r="F241" s="293">
        <f t="shared" si="108"/>
        <v>42.878549999999997</v>
      </c>
      <c r="G241" s="293">
        <f t="shared" si="108"/>
        <v>88.938549999999992</v>
      </c>
      <c r="H241" s="293">
        <f t="shared" si="108"/>
        <v>160.21541249999999</v>
      </c>
      <c r="I241" s="293">
        <f t="shared" si="108"/>
        <v>180.18389809570311</v>
      </c>
      <c r="J241" s="478">
        <f t="shared" si="108"/>
        <v>152.9194875</v>
      </c>
      <c r="K241" s="478">
        <f t="shared" si="108"/>
        <v>138.36761250000001</v>
      </c>
      <c r="L241" s="478">
        <f t="shared" si="108"/>
        <v>123.8157375</v>
      </c>
    </row>
    <row r="242" spans="2:12" x14ac:dyDescent="0.25">
      <c r="B242" s="441"/>
      <c r="C242" s="28" t="s">
        <v>714</v>
      </c>
      <c r="D242" s="293"/>
      <c r="E242" s="293"/>
      <c r="F242" s="293"/>
      <c r="G242" s="293"/>
      <c r="H242" s="293"/>
      <c r="I242" s="293"/>
      <c r="J242" s="478"/>
      <c r="K242" s="478"/>
      <c r="L242" s="478"/>
    </row>
    <row r="243" spans="2:12" x14ac:dyDescent="0.25">
      <c r="B243" s="441"/>
      <c r="C243" s="441" t="s">
        <v>587</v>
      </c>
      <c r="D243" s="438">
        <f>[60]Sheet1!C162</f>
        <v>0</v>
      </c>
      <c r="E243" s="438">
        <f>[60]Sheet1!D162</f>
        <v>1000</v>
      </c>
      <c r="F243" s="438">
        <f>[60]Sheet1!E162</f>
        <v>1000</v>
      </c>
      <c r="G243" s="129">
        <f>D246</f>
        <v>1000</v>
      </c>
      <c r="H243" s="129">
        <f>G246</f>
        <v>999.08000000000015</v>
      </c>
      <c r="I243" s="129">
        <f>H246</f>
        <v>999.08000000000015</v>
      </c>
      <c r="J243" s="478">
        <f>I246</f>
        <v>999.08000000000015</v>
      </c>
      <c r="K243" s="478">
        <f>J246</f>
        <v>999.08000000000015</v>
      </c>
      <c r="L243" s="479">
        <f>[60]Sheet1!K162</f>
        <v>1000</v>
      </c>
    </row>
    <row r="244" spans="2:12" x14ac:dyDescent="0.25">
      <c r="B244" s="441"/>
      <c r="C244" s="441" t="s">
        <v>588</v>
      </c>
      <c r="D244" s="438">
        <f>[60]Sheet1!C163</f>
        <v>1000</v>
      </c>
      <c r="E244" s="438">
        <f>[60]Sheet1!D163</f>
        <v>1000</v>
      </c>
      <c r="F244" s="438">
        <f>[60]Sheet1!E163</f>
        <v>607.88</v>
      </c>
      <c r="G244" s="438">
        <f>[60]Sheet1!F163</f>
        <v>607.88</v>
      </c>
      <c r="H244" s="438">
        <f>[60]Sheet1!G163</f>
        <v>0</v>
      </c>
      <c r="I244" s="438">
        <f>[60]Sheet1!H163</f>
        <v>0</v>
      </c>
      <c r="J244" s="479">
        <f>[60]Sheet1!I163</f>
        <v>0</v>
      </c>
      <c r="K244" s="479">
        <f>[60]Sheet1!J163</f>
        <v>0</v>
      </c>
      <c r="L244" s="479">
        <f>[60]Sheet1!K163</f>
        <v>0</v>
      </c>
    </row>
    <row r="245" spans="2:12" x14ac:dyDescent="0.25">
      <c r="B245" s="441"/>
      <c r="C245" s="441" t="s">
        <v>589</v>
      </c>
      <c r="D245" s="438">
        <f>[60]Sheet1!C164</f>
        <v>0</v>
      </c>
      <c r="E245" s="438">
        <f>[60]Sheet1!D164</f>
        <v>0</v>
      </c>
      <c r="F245" s="438">
        <f>[60]Sheet1!E164</f>
        <v>608.79999999999995</v>
      </c>
      <c r="G245" s="438">
        <f>[60]Sheet1!F164</f>
        <v>608.79999999999995</v>
      </c>
      <c r="H245" s="438">
        <f>[60]Sheet1!G164</f>
        <v>0</v>
      </c>
      <c r="I245" s="438">
        <f>[60]Sheet1!H164</f>
        <v>0</v>
      </c>
      <c r="J245" s="479">
        <f>[60]Sheet1!I164</f>
        <v>0</v>
      </c>
      <c r="K245" s="479">
        <v>999.08</v>
      </c>
      <c r="L245" s="479">
        <f>[60]Sheet1!K164</f>
        <v>0</v>
      </c>
    </row>
    <row r="246" spans="2:12" x14ac:dyDescent="0.25">
      <c r="B246" s="441"/>
      <c r="C246" s="441" t="s">
        <v>590</v>
      </c>
      <c r="D246" s="293">
        <f>D243+D244-D245</f>
        <v>1000</v>
      </c>
      <c r="E246" s="293">
        <f t="shared" ref="E246:L246" si="109">E243+E244-E245</f>
        <v>2000</v>
      </c>
      <c r="F246" s="293">
        <f t="shared" si="109"/>
        <v>999.08000000000015</v>
      </c>
      <c r="G246" s="293">
        <f t="shared" si="109"/>
        <v>999.08000000000015</v>
      </c>
      <c r="H246" s="293">
        <f t="shared" si="109"/>
        <v>999.08000000000015</v>
      </c>
      <c r="I246" s="293">
        <f t="shared" si="109"/>
        <v>999.08000000000015</v>
      </c>
      <c r="J246" s="478">
        <f t="shared" si="109"/>
        <v>999.08000000000015</v>
      </c>
      <c r="K246" s="478">
        <f>K243+K244-K245</f>
        <v>0</v>
      </c>
      <c r="L246" s="478">
        <f t="shared" si="109"/>
        <v>1000</v>
      </c>
    </row>
    <row r="247" spans="2:12" x14ac:dyDescent="0.25">
      <c r="B247" s="441"/>
      <c r="C247" s="441" t="s">
        <v>591</v>
      </c>
      <c r="D247" s="293">
        <f t="shared" ref="D247:G247" si="110">AVERAGE(D246,D243)</f>
        <v>500</v>
      </c>
      <c r="E247" s="293">
        <f t="shared" si="110"/>
        <v>1500</v>
      </c>
      <c r="F247" s="293">
        <f t="shared" si="110"/>
        <v>999.54000000000008</v>
      </c>
      <c r="G247" s="293">
        <f t="shared" si="110"/>
        <v>999.54000000000008</v>
      </c>
      <c r="H247" s="293">
        <f>AVERAGE(H246,H243)</f>
        <v>999.08000000000015</v>
      </c>
      <c r="I247" s="293">
        <f t="shared" ref="I247:L247" si="111">AVERAGE(I246,I243)</f>
        <v>999.08000000000015</v>
      </c>
      <c r="J247" s="478">
        <f t="shared" si="111"/>
        <v>999.08000000000015</v>
      </c>
      <c r="K247" s="478">
        <f t="shared" si="111"/>
        <v>499.54000000000008</v>
      </c>
      <c r="L247" s="478">
        <f t="shared" si="111"/>
        <v>1000</v>
      </c>
    </row>
    <row r="248" spans="2:12" x14ac:dyDescent="0.25">
      <c r="B248" s="441"/>
      <c r="C248" s="441" t="s">
        <v>592</v>
      </c>
      <c r="D248" s="438">
        <v>9.75</v>
      </c>
      <c r="E248" s="438">
        <v>9.75</v>
      </c>
      <c r="F248" s="438">
        <v>9.75</v>
      </c>
      <c r="G248" s="438">
        <v>9.75</v>
      </c>
      <c r="H248" s="438">
        <v>9.75</v>
      </c>
      <c r="I248" s="438">
        <v>9.75</v>
      </c>
      <c r="J248" s="479">
        <v>9.75</v>
      </c>
      <c r="K248" s="479">
        <v>9.75</v>
      </c>
      <c r="L248" s="479">
        <v>9.75</v>
      </c>
    </row>
    <row r="249" spans="2:12" x14ac:dyDescent="0.25">
      <c r="B249" s="441"/>
      <c r="C249" s="441" t="s">
        <v>582</v>
      </c>
      <c r="D249" s="293">
        <f>[60]Sheet1!C168</f>
        <v>1.69</v>
      </c>
      <c r="E249" s="293">
        <f>[60]Sheet1!D168</f>
        <v>50</v>
      </c>
      <c r="F249" s="293">
        <f>F247*F248*6/12/100</f>
        <v>48.727575000000009</v>
      </c>
      <c r="G249" s="293">
        <f>E249+F249</f>
        <v>98.727575000000002</v>
      </c>
      <c r="H249" s="293">
        <f>H247*H248/100</f>
        <v>97.410300000000007</v>
      </c>
      <c r="I249" s="293">
        <f>I247*I248/100</f>
        <v>97.410300000000007</v>
      </c>
      <c r="J249" s="478">
        <f t="shared" ref="J249:L249" si="112">J247*J248/100</f>
        <v>97.410300000000007</v>
      </c>
      <c r="K249" s="478">
        <f t="shared" si="112"/>
        <v>48.705150000000003</v>
      </c>
      <c r="L249" s="478">
        <f t="shared" si="112"/>
        <v>97.5</v>
      </c>
    </row>
    <row r="250" spans="2:12" x14ac:dyDescent="0.25">
      <c r="B250" s="441"/>
      <c r="C250" s="441" t="s">
        <v>583</v>
      </c>
      <c r="D250" s="438"/>
      <c r="E250" s="438"/>
      <c r="F250" s="438"/>
      <c r="G250" s="438"/>
      <c r="H250" s="438"/>
      <c r="I250" s="438"/>
      <c r="J250" s="479"/>
      <c r="K250" s="479"/>
      <c r="L250" s="479"/>
    </row>
    <row r="251" spans="2:12" x14ac:dyDescent="0.25">
      <c r="B251" s="441"/>
      <c r="C251" s="441" t="s">
        <v>584</v>
      </c>
      <c r="D251" s="293">
        <f>D249+D250</f>
        <v>1.69</v>
      </c>
      <c r="E251" s="293">
        <f t="shared" ref="E251:L251" si="113">E249+E250</f>
        <v>50</v>
      </c>
      <c r="F251" s="293">
        <f t="shared" si="113"/>
        <v>48.727575000000009</v>
      </c>
      <c r="G251" s="293">
        <f t="shared" si="113"/>
        <v>98.727575000000002</v>
      </c>
      <c r="H251" s="293">
        <f t="shared" si="113"/>
        <v>97.410300000000007</v>
      </c>
      <c r="I251" s="293">
        <f t="shared" si="113"/>
        <v>97.410300000000007</v>
      </c>
      <c r="J251" s="478">
        <f t="shared" si="113"/>
        <v>97.410300000000007</v>
      </c>
      <c r="K251" s="478">
        <f t="shared" si="113"/>
        <v>48.705150000000003</v>
      </c>
      <c r="L251" s="478">
        <f t="shared" si="113"/>
        <v>97.5</v>
      </c>
    </row>
    <row r="252" spans="2:12" x14ac:dyDescent="0.25">
      <c r="B252" s="441"/>
      <c r="C252" s="28" t="s">
        <v>714</v>
      </c>
      <c r="D252" s="293"/>
      <c r="E252" s="293"/>
      <c r="F252" s="293"/>
      <c r="G252" s="293"/>
      <c r="H252" s="293"/>
      <c r="I252" s="293"/>
      <c r="J252" s="478"/>
      <c r="K252" s="478"/>
      <c r="L252" s="478"/>
    </row>
    <row r="253" spans="2:12" x14ac:dyDescent="0.25">
      <c r="B253" s="441"/>
      <c r="C253" s="441" t="s">
        <v>587</v>
      </c>
      <c r="D253" s="438">
        <f>[60]Sheet1!C172</f>
        <v>860.98</v>
      </c>
      <c r="E253" s="438">
        <f>[60]Sheet1!D172</f>
        <v>272.38</v>
      </c>
      <c r="F253" s="438">
        <f>[60]Sheet1!E172</f>
        <v>272.38</v>
      </c>
      <c r="G253" s="438">
        <f>[60]Sheet1!F172</f>
        <v>272.38</v>
      </c>
      <c r="H253" s="438">
        <f>[60]Sheet1!G172</f>
        <v>272.3798828125</v>
      </c>
      <c r="I253" s="438">
        <f>[60]Sheet1!H172</f>
        <v>0</v>
      </c>
      <c r="J253" s="479">
        <f>[60]Sheet1!I172</f>
        <v>0</v>
      </c>
      <c r="K253" s="479">
        <f>[60]Sheet1!J172</f>
        <v>0</v>
      </c>
      <c r="L253" s="479">
        <f>[60]Sheet1!K172</f>
        <v>0</v>
      </c>
    </row>
    <row r="254" spans="2:12" x14ac:dyDescent="0.25">
      <c r="B254" s="441"/>
      <c r="C254" s="441" t="s">
        <v>588</v>
      </c>
      <c r="D254" s="438">
        <f>[60]Sheet1!C173</f>
        <v>0</v>
      </c>
      <c r="E254" s="438">
        <f>[60]Sheet1!D173</f>
        <v>0</v>
      </c>
      <c r="F254" s="438">
        <f>[60]Sheet1!E173</f>
        <v>0</v>
      </c>
      <c r="G254" s="438">
        <f>[60]Sheet1!F173</f>
        <v>0</v>
      </c>
      <c r="H254" s="438">
        <f>[60]Sheet1!G173</f>
        <v>0</v>
      </c>
      <c r="I254" s="438">
        <f>[60]Sheet1!H173</f>
        <v>0</v>
      </c>
      <c r="J254" s="479">
        <f>[60]Sheet1!I173</f>
        <v>0</v>
      </c>
      <c r="K254" s="479">
        <f>[60]Sheet1!J173</f>
        <v>0</v>
      </c>
      <c r="L254" s="479">
        <f>[60]Sheet1!K173</f>
        <v>0</v>
      </c>
    </row>
    <row r="255" spans="2:12" x14ac:dyDescent="0.25">
      <c r="B255" s="441"/>
      <c r="C255" s="441" t="s">
        <v>589</v>
      </c>
      <c r="D255" s="438">
        <f>[60]Sheet1!C174</f>
        <v>588.6</v>
      </c>
      <c r="E255" s="438">
        <f>[60]Sheet1!D174</f>
        <v>131.58000000000001</v>
      </c>
      <c r="F255" s="438">
        <f>[60]Sheet1!E174</f>
        <v>140.79999999999998</v>
      </c>
      <c r="G255" s="438">
        <f>[60]Sheet1!F174</f>
        <v>272.38</v>
      </c>
      <c r="H255" s="438">
        <f>[60]Sheet1!G174</f>
        <v>272.3798828125</v>
      </c>
      <c r="I255" s="438">
        <f>[60]Sheet1!H174</f>
        <v>0</v>
      </c>
      <c r="J255" s="479">
        <f>[60]Sheet1!I174</f>
        <v>0</v>
      </c>
      <c r="K255" s="479">
        <f>[60]Sheet1!J174</f>
        <v>0</v>
      </c>
      <c r="L255" s="479">
        <f>[60]Sheet1!K174</f>
        <v>0</v>
      </c>
    </row>
    <row r="256" spans="2:12" x14ac:dyDescent="0.25">
      <c r="B256" s="441"/>
      <c r="C256" s="441" t="s">
        <v>590</v>
      </c>
      <c r="D256" s="293">
        <f>D253+D254-D255</f>
        <v>272.38</v>
      </c>
      <c r="E256" s="293">
        <f t="shared" ref="E256:L256" si="114">E253+E254-E255</f>
        <v>140.79999999999998</v>
      </c>
      <c r="F256" s="293">
        <f t="shared" si="114"/>
        <v>131.58000000000001</v>
      </c>
      <c r="G256" s="293">
        <f t="shared" si="114"/>
        <v>0</v>
      </c>
      <c r="H256" s="293">
        <f t="shared" si="114"/>
        <v>0</v>
      </c>
      <c r="I256" s="293">
        <f t="shared" si="114"/>
        <v>0</v>
      </c>
      <c r="J256" s="478">
        <f t="shared" si="114"/>
        <v>0</v>
      </c>
      <c r="K256" s="478">
        <f t="shared" si="114"/>
        <v>0</v>
      </c>
      <c r="L256" s="478">
        <f t="shared" si="114"/>
        <v>0</v>
      </c>
    </row>
    <row r="257" spans="2:12" x14ac:dyDescent="0.25">
      <c r="B257" s="441"/>
      <c r="C257" s="441" t="s">
        <v>591</v>
      </c>
      <c r="D257" s="293">
        <f t="shared" ref="D257:G257" si="115">AVERAGE(D256,D253)</f>
        <v>566.68000000000006</v>
      </c>
      <c r="E257" s="293">
        <f t="shared" si="115"/>
        <v>206.58999999999997</v>
      </c>
      <c r="F257" s="293">
        <f t="shared" si="115"/>
        <v>201.98000000000002</v>
      </c>
      <c r="G257" s="293">
        <f t="shared" si="115"/>
        <v>136.19</v>
      </c>
      <c r="H257" s="293">
        <f>AVERAGE(H256,H253)</f>
        <v>136.18994140625</v>
      </c>
      <c r="I257" s="293">
        <f t="shared" ref="I257:L257" si="116">AVERAGE(I256,I253)</f>
        <v>0</v>
      </c>
      <c r="J257" s="478">
        <f t="shared" si="116"/>
        <v>0</v>
      </c>
      <c r="K257" s="478">
        <f t="shared" si="116"/>
        <v>0</v>
      </c>
      <c r="L257" s="478">
        <f t="shared" si="116"/>
        <v>0</v>
      </c>
    </row>
    <row r="258" spans="2:12" x14ac:dyDescent="0.25">
      <c r="B258" s="441"/>
      <c r="C258" s="441" t="s">
        <v>592</v>
      </c>
      <c r="D258" s="438">
        <v>9.9499999999999993</v>
      </c>
      <c r="E258" s="438">
        <v>9.9499999999999993</v>
      </c>
      <c r="F258" s="438">
        <v>9.9499999999999993</v>
      </c>
      <c r="G258" s="438">
        <v>9.9499999999999993</v>
      </c>
      <c r="H258" s="438">
        <v>9.9499999999999993</v>
      </c>
      <c r="I258" s="438">
        <v>9.9499999999999993</v>
      </c>
      <c r="J258" s="479">
        <v>9.9499999999999993</v>
      </c>
      <c r="K258" s="479">
        <v>9.9499999999999993</v>
      </c>
      <c r="L258" s="479">
        <v>9.9499999999999993</v>
      </c>
    </row>
    <row r="259" spans="2:12" x14ac:dyDescent="0.25">
      <c r="B259" s="441"/>
      <c r="C259" s="441" t="s">
        <v>582</v>
      </c>
      <c r="D259" s="293">
        <f>[60]Sheet1!C178</f>
        <v>50.82</v>
      </c>
      <c r="E259" s="293">
        <f>[60]Sheet1!D178</f>
        <v>10.36</v>
      </c>
      <c r="F259" s="293">
        <f>F257*F258*6/12/100</f>
        <v>10.048505</v>
      </c>
      <c r="G259" s="293">
        <f>E259+F259</f>
        <v>20.408504999999998</v>
      </c>
      <c r="H259" s="293">
        <f>H257*H258/100</f>
        <v>13.550899169921875</v>
      </c>
      <c r="I259" s="293">
        <f>I257*I258/100</f>
        <v>0</v>
      </c>
      <c r="J259" s="478">
        <f t="shared" ref="J259:L259" si="117">J257*J258/100</f>
        <v>0</v>
      </c>
      <c r="K259" s="478">
        <f t="shared" si="117"/>
        <v>0</v>
      </c>
      <c r="L259" s="478">
        <f t="shared" si="117"/>
        <v>0</v>
      </c>
    </row>
    <row r="260" spans="2:12" x14ac:dyDescent="0.25">
      <c r="B260" s="441"/>
      <c r="C260" s="441" t="s">
        <v>583</v>
      </c>
      <c r="D260" s="438"/>
      <c r="E260" s="438"/>
      <c r="F260" s="438"/>
      <c r="G260" s="438"/>
      <c r="H260" s="438"/>
      <c r="I260" s="438"/>
      <c r="J260" s="479"/>
      <c r="K260" s="479"/>
      <c r="L260" s="479"/>
    </row>
    <row r="261" spans="2:12" x14ac:dyDescent="0.25">
      <c r="B261" s="441"/>
      <c r="C261" s="441" t="s">
        <v>584</v>
      </c>
      <c r="D261" s="293">
        <f>D259+D260</f>
        <v>50.82</v>
      </c>
      <c r="E261" s="293">
        <f t="shared" ref="E261:L261" si="118">E259+E260</f>
        <v>10.36</v>
      </c>
      <c r="F261" s="293">
        <f t="shared" si="118"/>
        <v>10.048505</v>
      </c>
      <c r="G261" s="293">
        <f t="shared" si="118"/>
        <v>20.408504999999998</v>
      </c>
      <c r="H261" s="293">
        <f t="shared" si="118"/>
        <v>13.550899169921875</v>
      </c>
      <c r="I261" s="293">
        <f t="shared" si="118"/>
        <v>0</v>
      </c>
      <c r="J261" s="478">
        <f t="shared" si="118"/>
        <v>0</v>
      </c>
      <c r="K261" s="478">
        <f t="shared" si="118"/>
        <v>0</v>
      </c>
      <c r="L261" s="478">
        <f t="shared" si="118"/>
        <v>0</v>
      </c>
    </row>
    <row r="262" spans="2:12" x14ac:dyDescent="0.25">
      <c r="B262" s="441"/>
      <c r="C262" s="28" t="s">
        <v>714</v>
      </c>
      <c r="D262" s="293"/>
      <c r="E262" s="293"/>
      <c r="F262" s="293"/>
      <c r="G262" s="293"/>
      <c r="H262" s="293"/>
      <c r="I262" s="293"/>
      <c r="J262" s="478"/>
      <c r="K262" s="478"/>
      <c r="L262" s="478"/>
    </row>
    <row r="263" spans="2:12" x14ac:dyDescent="0.25">
      <c r="B263" s="441"/>
      <c r="C263" s="441" t="s">
        <v>587</v>
      </c>
      <c r="D263" s="438">
        <f>[60]Sheet1!C182</f>
        <v>924.02</v>
      </c>
      <c r="E263" s="438">
        <f>[60]Sheet1!D182</f>
        <v>924.02</v>
      </c>
      <c r="F263" s="438">
        <f>[60]Sheet1!E182</f>
        <v>924.02</v>
      </c>
      <c r="G263" s="438">
        <f>[60]Sheet1!F182</f>
        <v>924.02</v>
      </c>
      <c r="H263" s="438">
        <f>[60]Sheet1!G182</f>
        <v>924.02</v>
      </c>
      <c r="I263" s="438">
        <f>[60]Sheet1!H182</f>
        <v>924.02</v>
      </c>
      <c r="J263" s="479">
        <f>[60]Sheet1!I182</f>
        <v>924.02</v>
      </c>
      <c r="K263" s="479">
        <f>[60]Sheet1!J182</f>
        <v>924.02</v>
      </c>
      <c r="L263" s="479">
        <f>[60]Sheet1!K182</f>
        <v>924.02</v>
      </c>
    </row>
    <row r="264" spans="2:12" x14ac:dyDescent="0.25">
      <c r="B264" s="441"/>
      <c r="C264" s="441" t="s">
        <v>588</v>
      </c>
      <c r="D264" s="438">
        <f>[60]Sheet1!C183</f>
        <v>0</v>
      </c>
      <c r="E264" s="438">
        <f>[60]Sheet1!D183</f>
        <v>0</v>
      </c>
      <c r="F264" s="438">
        <f>[60]Sheet1!E183</f>
        <v>0</v>
      </c>
      <c r="G264" s="438">
        <f>[60]Sheet1!F183</f>
        <v>0</v>
      </c>
      <c r="H264" s="438">
        <f>[60]Sheet1!G183</f>
        <v>0</v>
      </c>
      <c r="I264" s="438">
        <f>[60]Sheet1!H183</f>
        <v>0</v>
      </c>
      <c r="J264" s="479">
        <f>[60]Sheet1!I183</f>
        <v>0</v>
      </c>
      <c r="K264" s="479">
        <f>[60]Sheet1!J183</f>
        <v>0</v>
      </c>
      <c r="L264" s="479">
        <f>[60]Sheet1!K183</f>
        <v>0</v>
      </c>
    </row>
    <row r="265" spans="2:12" x14ac:dyDescent="0.25">
      <c r="B265" s="441"/>
      <c r="C265" s="441" t="s">
        <v>589</v>
      </c>
      <c r="D265" s="438">
        <f>[60]Sheet1!C184</f>
        <v>0</v>
      </c>
      <c r="E265" s="438">
        <f>[60]Sheet1!D184</f>
        <v>0</v>
      </c>
      <c r="F265" s="438">
        <f>[60]Sheet1!E184</f>
        <v>0</v>
      </c>
      <c r="G265" s="438">
        <f>[60]Sheet1!F184</f>
        <v>0</v>
      </c>
      <c r="H265" s="438">
        <f>[60]Sheet1!G184</f>
        <v>0</v>
      </c>
      <c r="I265" s="438">
        <f>[60]Sheet1!H184</f>
        <v>0</v>
      </c>
      <c r="J265" s="479">
        <f>[60]Sheet1!I184</f>
        <v>0</v>
      </c>
      <c r="K265" s="479">
        <f>[60]Sheet1!J184</f>
        <v>0</v>
      </c>
      <c r="L265" s="479">
        <f>[60]Sheet1!K184</f>
        <v>924.02</v>
      </c>
    </row>
    <row r="266" spans="2:12" x14ac:dyDescent="0.25">
      <c r="B266" s="441"/>
      <c r="C266" s="441" t="s">
        <v>590</v>
      </c>
      <c r="D266" s="293">
        <f>D263+D264-D265</f>
        <v>924.02</v>
      </c>
      <c r="E266" s="293">
        <f t="shared" ref="E266:L266" si="119">E263+E264-E265</f>
        <v>924.02</v>
      </c>
      <c r="F266" s="293">
        <f t="shared" si="119"/>
        <v>924.02</v>
      </c>
      <c r="G266" s="293">
        <f t="shared" si="119"/>
        <v>924.02</v>
      </c>
      <c r="H266" s="293">
        <f t="shared" si="119"/>
        <v>924.02</v>
      </c>
      <c r="I266" s="293">
        <f t="shared" si="119"/>
        <v>924.02</v>
      </c>
      <c r="J266" s="478">
        <f t="shared" si="119"/>
        <v>924.02</v>
      </c>
      <c r="K266" s="478">
        <f t="shared" si="119"/>
        <v>924.02</v>
      </c>
      <c r="L266" s="478">
        <f t="shared" si="119"/>
        <v>0</v>
      </c>
    </row>
    <row r="267" spans="2:12" x14ac:dyDescent="0.25">
      <c r="B267" s="441"/>
      <c r="C267" s="441" t="s">
        <v>591</v>
      </c>
      <c r="D267" s="293">
        <f t="shared" ref="D267:G267" si="120">AVERAGE(D266,D263)</f>
        <v>924.02</v>
      </c>
      <c r="E267" s="293">
        <f t="shared" si="120"/>
        <v>924.02</v>
      </c>
      <c r="F267" s="293">
        <f t="shared" si="120"/>
        <v>924.02</v>
      </c>
      <c r="G267" s="293">
        <f t="shared" si="120"/>
        <v>924.02</v>
      </c>
      <c r="H267" s="293">
        <f>AVERAGE(H266,H263)</f>
        <v>924.02</v>
      </c>
      <c r="I267" s="293">
        <f t="shared" ref="I267:K267" si="121">AVERAGE(I266,I263)</f>
        <v>924.02</v>
      </c>
      <c r="J267" s="478">
        <f t="shared" si="121"/>
        <v>924.02</v>
      </c>
      <c r="K267" s="478">
        <f t="shared" si="121"/>
        <v>924.02</v>
      </c>
      <c r="L267" s="478">
        <f>AVERAGE(L266,L263)</f>
        <v>462.01</v>
      </c>
    </row>
    <row r="268" spans="2:12" x14ac:dyDescent="0.25">
      <c r="B268" s="441"/>
      <c r="C268" s="441" t="s">
        <v>592</v>
      </c>
      <c r="D268" s="438">
        <v>9.9499999999999993</v>
      </c>
      <c r="E268" s="438">
        <v>9.9499999999999993</v>
      </c>
      <c r="F268" s="438">
        <v>9.9499999999999993</v>
      </c>
      <c r="G268" s="438">
        <v>9.9499999999999993</v>
      </c>
      <c r="H268" s="438">
        <v>9.9499999999999993</v>
      </c>
      <c r="I268" s="438">
        <v>9.9499999999999993</v>
      </c>
      <c r="J268" s="479">
        <v>9.9499999999999993</v>
      </c>
      <c r="K268" s="479">
        <v>9.9499999999999993</v>
      </c>
      <c r="L268" s="479">
        <v>9.9499999999999993</v>
      </c>
    </row>
    <row r="269" spans="2:12" x14ac:dyDescent="0.25">
      <c r="B269" s="441"/>
      <c r="C269" s="441" t="s">
        <v>582</v>
      </c>
      <c r="D269" s="293">
        <f>[60]Sheet1!C188</f>
        <v>92.06</v>
      </c>
      <c r="E269" s="293">
        <f>[60]Sheet1!D188</f>
        <v>46.03</v>
      </c>
      <c r="F269" s="293">
        <f>F267*F268*6/12/100</f>
        <v>45.969994999999997</v>
      </c>
      <c r="G269" s="293">
        <f>E269+F269</f>
        <v>91.999994999999998</v>
      </c>
      <c r="H269" s="293">
        <f>H267*H268/100</f>
        <v>91.939989999999995</v>
      </c>
      <c r="I269" s="293">
        <f>I267*I268/100</f>
        <v>91.939989999999995</v>
      </c>
      <c r="J269" s="478">
        <f t="shared" ref="J269:L269" si="122">J267*J268/100</f>
        <v>91.939989999999995</v>
      </c>
      <c r="K269" s="478">
        <f t="shared" si="122"/>
        <v>91.939989999999995</v>
      </c>
      <c r="L269" s="478">
        <f t="shared" si="122"/>
        <v>45.969994999999997</v>
      </c>
    </row>
    <row r="270" spans="2:12" x14ac:dyDescent="0.25">
      <c r="B270" s="441"/>
      <c r="C270" s="441" t="s">
        <v>583</v>
      </c>
      <c r="D270" s="438"/>
      <c r="E270" s="438"/>
      <c r="F270" s="438"/>
      <c r="G270" s="438"/>
      <c r="H270" s="438"/>
      <c r="I270" s="438"/>
      <c r="J270" s="479"/>
      <c r="K270" s="479"/>
      <c r="L270" s="479"/>
    </row>
    <row r="271" spans="2:12" x14ac:dyDescent="0.25">
      <c r="B271" s="441"/>
      <c r="C271" s="441" t="s">
        <v>584</v>
      </c>
      <c r="D271" s="293">
        <f>D269+D270</f>
        <v>92.06</v>
      </c>
      <c r="E271" s="293">
        <f t="shared" ref="E271:L271" si="123">E269+E270</f>
        <v>46.03</v>
      </c>
      <c r="F271" s="293">
        <f t="shared" si="123"/>
        <v>45.969994999999997</v>
      </c>
      <c r="G271" s="293">
        <f t="shared" si="123"/>
        <v>91.999994999999998</v>
      </c>
      <c r="H271" s="293">
        <f t="shared" si="123"/>
        <v>91.939989999999995</v>
      </c>
      <c r="I271" s="293">
        <f t="shared" si="123"/>
        <v>91.939989999999995</v>
      </c>
      <c r="J271" s="478">
        <f t="shared" si="123"/>
        <v>91.939989999999995</v>
      </c>
      <c r="K271" s="478">
        <f t="shared" si="123"/>
        <v>91.939989999999995</v>
      </c>
      <c r="L271" s="478">
        <f t="shared" si="123"/>
        <v>45.969994999999997</v>
      </c>
    </row>
    <row r="272" spans="2:12" x14ac:dyDescent="0.25">
      <c r="B272" s="438"/>
      <c r="C272" s="28" t="s">
        <v>251</v>
      </c>
      <c r="D272" s="438"/>
      <c r="E272" s="438"/>
      <c r="F272" s="438"/>
      <c r="G272" s="438"/>
      <c r="H272" s="438"/>
      <c r="I272" s="438"/>
      <c r="J272" s="479"/>
      <c r="K272" s="479"/>
      <c r="L272" s="479"/>
    </row>
    <row r="273" spans="2:15" x14ac:dyDescent="0.25">
      <c r="B273" s="441"/>
      <c r="C273" s="441" t="s">
        <v>587</v>
      </c>
      <c r="D273" s="438">
        <f>D163+D173+D183+D193+D203+D213+D223+D233+D243+D253+D263</f>
        <v>8327.6200000000008</v>
      </c>
      <c r="E273" s="438">
        <f t="shared" ref="E273:L273" si="124">E163+E173+E183+E193+E203+E213+E223+E233+E243+E253+E263</f>
        <v>10307.870000000001</v>
      </c>
      <c r="F273" s="438">
        <f t="shared" si="124"/>
        <v>10692.429999999998</v>
      </c>
      <c r="G273" s="438">
        <f>G163+G173+G183+G193+G203+G213+G223+G233+G243+G253+G263</f>
        <v>10307.870000000001</v>
      </c>
      <c r="H273" s="438">
        <f t="shared" si="124"/>
        <v>16087.9498828125</v>
      </c>
      <c r="I273" s="438">
        <f t="shared" si="124"/>
        <v>15477.269912109374</v>
      </c>
      <c r="J273" s="479">
        <f t="shared" si="124"/>
        <v>14164.27</v>
      </c>
      <c r="K273" s="479">
        <f t="shared" si="124"/>
        <v>12981.050000000003</v>
      </c>
      <c r="L273" s="479">
        <f t="shared" si="124"/>
        <v>11320.250000000002</v>
      </c>
    </row>
    <row r="274" spans="2:15" x14ac:dyDescent="0.25">
      <c r="B274" s="441"/>
      <c r="C274" s="441" t="s">
        <v>588</v>
      </c>
      <c r="D274" s="438">
        <f t="shared" ref="D274:L275" si="125">D164+D174+D184+D194+D204+D214+D224+D234+D244+D254+D264</f>
        <v>2964.6</v>
      </c>
      <c r="E274" s="438">
        <f t="shared" si="125"/>
        <v>4278.62</v>
      </c>
      <c r="F274" s="438">
        <f t="shared" si="125"/>
        <v>4139.92</v>
      </c>
      <c r="G274" s="438">
        <f t="shared" si="125"/>
        <v>7418.54</v>
      </c>
      <c r="H274" s="438">
        <f t="shared" si="125"/>
        <v>546.41999999999996</v>
      </c>
      <c r="I274" s="438">
        <f t="shared" si="125"/>
        <v>546.419921875</v>
      </c>
      <c r="J274" s="479">
        <f t="shared" si="125"/>
        <v>0</v>
      </c>
      <c r="K274" s="479">
        <f t="shared" si="125"/>
        <v>0</v>
      </c>
      <c r="L274" s="479">
        <f t="shared" si="125"/>
        <v>0</v>
      </c>
    </row>
    <row r="275" spans="2:15" x14ac:dyDescent="0.25">
      <c r="B275" s="441"/>
      <c r="C275" s="441" t="s">
        <v>589</v>
      </c>
      <c r="D275" s="438">
        <f t="shared" si="125"/>
        <v>984.35</v>
      </c>
      <c r="E275" s="438">
        <f t="shared" si="125"/>
        <v>508.73</v>
      </c>
      <c r="F275" s="438">
        <f t="shared" si="125"/>
        <v>1402.11</v>
      </c>
      <c r="G275" s="438">
        <f t="shared" si="125"/>
        <v>1910.8399999999997</v>
      </c>
      <c r="H275" s="438">
        <f t="shared" si="125"/>
        <v>1311.7598828124999</v>
      </c>
      <c r="I275" s="438">
        <f t="shared" si="125"/>
        <v>1312.9999121093749</v>
      </c>
      <c r="J275" s="479">
        <f t="shared" si="125"/>
        <v>1183.22</v>
      </c>
      <c r="K275" s="479">
        <f t="shared" si="125"/>
        <v>2660.7999999999997</v>
      </c>
      <c r="L275" s="479">
        <f t="shared" si="125"/>
        <v>4057.24</v>
      </c>
    </row>
    <row r="276" spans="2:15" x14ac:dyDescent="0.25">
      <c r="B276" s="441"/>
      <c r="C276" s="441" t="s">
        <v>590</v>
      </c>
      <c r="D276" s="293">
        <f>D273+D274-D275</f>
        <v>10307.870000000001</v>
      </c>
      <c r="E276" s="293">
        <f t="shared" ref="E276:L276" si="126">E273+E274-E275</f>
        <v>14077.760000000002</v>
      </c>
      <c r="F276" s="293">
        <f t="shared" si="126"/>
        <v>13430.239999999998</v>
      </c>
      <c r="G276" s="293">
        <f t="shared" si="126"/>
        <v>15815.57</v>
      </c>
      <c r="H276" s="293">
        <f>H273+H274-H275</f>
        <v>15322.609999999999</v>
      </c>
      <c r="I276" s="293">
        <f>I273+I274-I275</f>
        <v>14710.689921874999</v>
      </c>
      <c r="J276" s="478">
        <f t="shared" si="126"/>
        <v>12981.050000000001</v>
      </c>
      <c r="K276" s="478">
        <f t="shared" si="126"/>
        <v>10320.250000000004</v>
      </c>
      <c r="L276" s="478">
        <f t="shared" si="126"/>
        <v>7263.010000000002</v>
      </c>
    </row>
    <row r="277" spans="2:15" x14ac:dyDescent="0.25">
      <c r="B277" s="441"/>
      <c r="C277" s="441" t="s">
        <v>591</v>
      </c>
      <c r="D277" s="293">
        <f t="shared" ref="D277:L277" si="127">AVERAGE(D276,D273)</f>
        <v>9317.7450000000008</v>
      </c>
      <c r="E277" s="293">
        <f t="shared" si="127"/>
        <v>12192.815000000002</v>
      </c>
      <c r="F277" s="293">
        <f t="shared" si="127"/>
        <v>12061.334999999999</v>
      </c>
      <c r="G277" s="293">
        <f t="shared" si="127"/>
        <v>13061.720000000001</v>
      </c>
      <c r="H277" s="293">
        <f t="shared" si="127"/>
        <v>15705.27994140625</v>
      </c>
      <c r="I277" s="293">
        <f t="shared" si="127"/>
        <v>15093.979916992186</v>
      </c>
      <c r="J277" s="478">
        <f t="shared" si="127"/>
        <v>13572.66</v>
      </c>
      <c r="K277" s="478">
        <f t="shared" si="127"/>
        <v>11650.650000000003</v>
      </c>
      <c r="L277" s="478">
        <f t="shared" si="127"/>
        <v>9291.630000000001</v>
      </c>
    </row>
    <row r="278" spans="2:15" x14ac:dyDescent="0.25">
      <c r="B278" s="441"/>
      <c r="C278" s="441" t="s">
        <v>592</v>
      </c>
      <c r="D278" s="480">
        <f>D281/D277</f>
        <v>8.0977747298300165E-2</v>
      </c>
      <c r="E278" s="480">
        <f>E281/E277*2</f>
        <v>8.9646238378914125E-2</v>
      </c>
      <c r="F278" s="480">
        <f>F281/F277*2</f>
        <v>9.9557831450664477E-2</v>
      </c>
      <c r="G278" s="480">
        <f>G281/G277</f>
        <v>8.7807744960081827E-2</v>
      </c>
      <c r="H278" s="480">
        <f t="shared" ref="H278:L278" si="128">H281/H277</f>
        <v>9.8827577315437884E-2</v>
      </c>
      <c r="I278" s="480">
        <f t="shared" si="128"/>
        <v>9.8829974272127821E-2</v>
      </c>
      <c r="J278" s="481">
        <f t="shared" si="128"/>
        <v>9.872342470083241E-2</v>
      </c>
      <c r="K278" s="481">
        <f t="shared" si="128"/>
        <v>9.8770916429555419E-2</v>
      </c>
      <c r="L278" s="481">
        <f t="shared" si="128"/>
        <v>9.8585370112671294E-2</v>
      </c>
    </row>
    <row r="279" spans="2:15" x14ac:dyDescent="0.25">
      <c r="B279" s="441"/>
      <c r="C279" s="441" t="s">
        <v>582</v>
      </c>
      <c r="D279" s="293">
        <f t="shared" ref="D279:L279" si="129">D169+D179+D189+D199+D209+D219+D229+D239+D249+D259+D269</f>
        <v>754.53</v>
      </c>
      <c r="E279" s="293">
        <f t="shared" si="129"/>
        <v>546.52</v>
      </c>
      <c r="F279" s="293">
        <f t="shared" si="129"/>
        <v>600.40017850000004</v>
      </c>
      <c r="G279" s="293">
        <f t="shared" si="129"/>
        <v>1146.9201785</v>
      </c>
      <c r="H279" s="293">
        <f t="shared" si="129"/>
        <v>1552.114767669922</v>
      </c>
      <c r="I279" s="293">
        <f t="shared" si="129"/>
        <v>1491.7376468603518</v>
      </c>
      <c r="J279" s="478">
        <f t="shared" si="129"/>
        <v>1339.9394775000001</v>
      </c>
      <c r="K279" s="478">
        <f t="shared" si="129"/>
        <v>1150.7453775000001</v>
      </c>
      <c r="L279" s="478">
        <f t="shared" si="129"/>
        <v>916.01878250000004</v>
      </c>
    </row>
    <row r="280" spans="2:15" x14ac:dyDescent="0.25">
      <c r="B280" s="441"/>
      <c r="C280" s="441" t="s">
        <v>583</v>
      </c>
      <c r="D280" s="438"/>
      <c r="E280" s="438"/>
      <c r="F280" s="438"/>
      <c r="G280" s="438"/>
      <c r="H280" s="438"/>
      <c r="I280" s="438"/>
      <c r="J280" s="479"/>
      <c r="K280" s="479"/>
      <c r="L280" s="479"/>
    </row>
    <row r="281" spans="2:15" x14ac:dyDescent="0.25">
      <c r="B281" s="441"/>
      <c r="C281" s="441" t="s">
        <v>584</v>
      </c>
      <c r="D281" s="293">
        <f>D279+D280</f>
        <v>754.53</v>
      </c>
      <c r="E281" s="293">
        <f t="shared" ref="E281:L281" si="130">E279+E280</f>
        <v>546.52</v>
      </c>
      <c r="F281" s="293">
        <f t="shared" si="130"/>
        <v>600.40017850000004</v>
      </c>
      <c r="G281" s="293">
        <f t="shared" si="130"/>
        <v>1146.9201785</v>
      </c>
      <c r="H281" s="293">
        <f t="shared" si="130"/>
        <v>1552.114767669922</v>
      </c>
      <c r="I281" s="293">
        <f t="shared" si="130"/>
        <v>1491.7376468603518</v>
      </c>
      <c r="J281" s="478">
        <f t="shared" si="130"/>
        <v>1339.9394775000001</v>
      </c>
      <c r="K281" s="478">
        <f t="shared" si="130"/>
        <v>1150.7453775000001</v>
      </c>
      <c r="L281" s="478">
        <f t="shared" si="130"/>
        <v>916.01878250000004</v>
      </c>
    </row>
    <row r="283" spans="2:15" hidden="1" x14ac:dyDescent="0.25">
      <c r="B283" s="22" t="s">
        <v>685</v>
      </c>
      <c r="H283" s="440"/>
    </row>
    <row r="284" spans="2:15" hidden="1" x14ac:dyDescent="0.25">
      <c r="B284" s="439" t="s">
        <v>570</v>
      </c>
      <c r="C284" s="14" t="s">
        <v>571</v>
      </c>
      <c r="D284" s="15"/>
      <c r="E284" s="15"/>
      <c r="F284" s="15"/>
      <c r="G284" s="15"/>
      <c r="H284" s="15"/>
      <c r="I284" s="15"/>
      <c r="J284" s="15"/>
      <c r="K284" s="15"/>
      <c r="L284" s="15"/>
    </row>
    <row r="285" spans="2:15" hidden="1" x14ac:dyDescent="0.25">
      <c r="O285" s="16" t="s">
        <v>3</v>
      </c>
    </row>
    <row r="286" spans="2:15" s="5" customFormat="1" ht="15" hidden="1" customHeight="1" x14ac:dyDescent="0.25">
      <c r="B286" s="758" t="s">
        <v>4</v>
      </c>
      <c r="C286" s="760" t="s">
        <v>5</v>
      </c>
      <c r="D286" s="755" t="s">
        <v>7</v>
      </c>
      <c r="E286" s="756"/>
      <c r="F286" s="757"/>
      <c r="G286" s="755" t="s">
        <v>8</v>
      </c>
      <c r="H286" s="756"/>
      <c r="I286" s="756"/>
      <c r="J286" s="757"/>
      <c r="K286" s="768" t="s">
        <v>9</v>
      </c>
      <c r="L286" s="768"/>
      <c r="M286" s="768"/>
      <c r="N286" s="768"/>
      <c r="O286" s="768"/>
    </row>
    <row r="287" spans="2:15" s="5" customFormat="1" ht="27.6" hidden="1" x14ac:dyDescent="0.25">
      <c r="B287" s="792"/>
      <c r="C287" s="760"/>
      <c r="D287" s="435" t="s">
        <v>10</v>
      </c>
      <c r="E287" s="435" t="s">
        <v>11</v>
      </c>
      <c r="F287" s="435" t="s">
        <v>12</v>
      </c>
      <c r="G287" s="435" t="s">
        <v>10</v>
      </c>
      <c r="H287" s="435" t="s">
        <v>13</v>
      </c>
      <c r="I287" s="435" t="s">
        <v>14</v>
      </c>
      <c r="J287" s="435" t="s">
        <v>15</v>
      </c>
      <c r="K287" s="435" t="s">
        <v>16</v>
      </c>
      <c r="L287" s="435" t="s">
        <v>17</v>
      </c>
      <c r="M287" s="435" t="s">
        <v>18</v>
      </c>
      <c r="N287" s="435" t="s">
        <v>19</v>
      </c>
      <c r="O287" s="435" t="s">
        <v>20</v>
      </c>
    </row>
    <row r="288" spans="2:15" s="5" customFormat="1" hidden="1" x14ac:dyDescent="0.25">
      <c r="B288" s="810"/>
      <c r="C288" s="857"/>
      <c r="D288" s="435" t="s">
        <v>21</v>
      </c>
      <c r="E288" s="435" t="s">
        <v>22</v>
      </c>
      <c r="F288" s="435" t="s">
        <v>23</v>
      </c>
      <c r="G288" s="435" t="s">
        <v>21</v>
      </c>
      <c r="H288" s="435" t="s">
        <v>24</v>
      </c>
      <c r="I288" s="435" t="s">
        <v>25</v>
      </c>
      <c r="J288" s="435" t="s">
        <v>25</v>
      </c>
      <c r="K288" s="435" t="s">
        <v>26</v>
      </c>
      <c r="L288" s="435" t="s">
        <v>26</v>
      </c>
      <c r="M288" s="435" t="s">
        <v>26</v>
      </c>
      <c r="N288" s="435" t="s">
        <v>26</v>
      </c>
      <c r="O288" s="435" t="s">
        <v>26</v>
      </c>
    </row>
    <row r="289" spans="2:15" hidden="1" x14ac:dyDescent="0.25">
      <c r="B289" s="442">
        <v>1</v>
      </c>
      <c r="C289" s="441" t="s">
        <v>572</v>
      </c>
      <c r="D289" s="1"/>
      <c r="E289" s="66"/>
      <c r="F289" s="100">
        <f>E289-D289</f>
        <v>0</v>
      </c>
      <c r="G289" s="436"/>
      <c r="H289" s="66"/>
      <c r="I289" s="66"/>
      <c r="J289" s="102">
        <f>F296</f>
        <v>0</v>
      </c>
      <c r="K289" s="66">
        <f>J296</f>
        <v>0</v>
      </c>
      <c r="L289" s="66">
        <f>K296</f>
        <v>0</v>
      </c>
      <c r="M289" s="66">
        <f>L296</f>
        <v>0</v>
      </c>
      <c r="N289" s="66">
        <f>M296</f>
        <v>0</v>
      </c>
      <c r="O289" s="66">
        <f>N296</f>
        <v>0</v>
      </c>
    </row>
    <row r="290" spans="2:15" hidden="1" x14ac:dyDescent="0.25">
      <c r="B290" s="438">
        <f>B289+1</f>
        <v>2</v>
      </c>
      <c r="C290" s="441" t="s">
        <v>573</v>
      </c>
      <c r="D290" s="1"/>
      <c r="E290" s="66"/>
      <c r="F290" s="100">
        <f t="shared" ref="F290:F301" si="131">E290-D290</f>
        <v>0</v>
      </c>
      <c r="G290" s="436"/>
      <c r="H290" s="66"/>
      <c r="I290" s="66"/>
      <c r="J290" s="102">
        <f t="shared" ref="J290:J301" si="132">H290+I290</f>
        <v>0</v>
      </c>
      <c r="K290" s="66"/>
      <c r="L290" s="66"/>
      <c r="M290" s="66"/>
      <c r="N290" s="66"/>
      <c r="O290" s="66"/>
    </row>
    <row r="291" spans="2:15" hidden="1" x14ac:dyDescent="0.25">
      <c r="B291" s="438">
        <f t="shared" ref="B291:B301" si="133">B290+1</f>
        <v>3</v>
      </c>
      <c r="C291" s="19" t="s">
        <v>574</v>
      </c>
      <c r="D291" s="1"/>
      <c r="E291" s="66">
        <f>E289-E290</f>
        <v>0</v>
      </c>
      <c r="F291" s="100">
        <f t="shared" si="131"/>
        <v>0</v>
      </c>
      <c r="G291" s="436"/>
      <c r="H291" s="66">
        <f>H289-H290</f>
        <v>0</v>
      </c>
      <c r="I291" s="66">
        <f>I289-I290</f>
        <v>0</v>
      </c>
      <c r="J291" s="102">
        <f t="shared" si="132"/>
        <v>0</v>
      </c>
      <c r="K291" s="66">
        <f>K289-K290</f>
        <v>0</v>
      </c>
      <c r="L291" s="66">
        <f>L289-L290</f>
        <v>0</v>
      </c>
      <c r="M291" s="66">
        <f>M289-M290</f>
        <v>0</v>
      </c>
      <c r="N291" s="66">
        <f>N289-N290</f>
        <v>0</v>
      </c>
      <c r="O291" s="66">
        <f>O289-O290</f>
        <v>0</v>
      </c>
    </row>
    <row r="292" spans="2:15" ht="27.6" hidden="1" x14ac:dyDescent="0.25">
      <c r="B292" s="438">
        <f t="shared" si="133"/>
        <v>4</v>
      </c>
      <c r="C292" s="54" t="s">
        <v>575</v>
      </c>
      <c r="D292" s="55"/>
      <c r="E292" s="104"/>
      <c r="F292" s="100">
        <f t="shared" si="131"/>
        <v>0</v>
      </c>
      <c r="G292" s="19"/>
      <c r="H292" s="104"/>
      <c r="I292" s="104"/>
      <c r="J292" s="102">
        <f t="shared" si="132"/>
        <v>0</v>
      </c>
      <c r="K292" s="104"/>
      <c r="L292" s="104"/>
      <c r="M292" s="104"/>
      <c r="N292" s="104"/>
      <c r="O292" s="104"/>
    </row>
    <row r="293" spans="2:15" s="22" customFormat="1" ht="27.6" hidden="1" x14ac:dyDescent="0.25">
      <c r="B293" s="438">
        <f t="shared" si="133"/>
        <v>5</v>
      </c>
      <c r="C293" s="27" t="s">
        <v>576</v>
      </c>
      <c r="D293" s="55"/>
      <c r="E293" s="66"/>
      <c r="F293" s="100">
        <f t="shared" si="131"/>
        <v>0</v>
      </c>
      <c r="G293" s="19"/>
      <c r="H293" s="66"/>
      <c r="I293" s="66"/>
      <c r="J293" s="102">
        <f t="shared" si="132"/>
        <v>0</v>
      </c>
      <c r="K293" s="66"/>
      <c r="L293" s="66"/>
      <c r="M293" s="66"/>
      <c r="N293" s="66"/>
      <c r="O293" s="66"/>
    </row>
    <row r="294" spans="2:15" ht="27.6" hidden="1" x14ac:dyDescent="0.25">
      <c r="B294" s="438">
        <f t="shared" si="133"/>
        <v>6</v>
      </c>
      <c r="C294" s="54" t="s">
        <v>577</v>
      </c>
      <c r="D294" s="55"/>
      <c r="E294" s="66"/>
      <c r="F294" s="100">
        <f t="shared" si="131"/>
        <v>0</v>
      </c>
      <c r="G294" s="19"/>
      <c r="H294" s="66"/>
      <c r="I294" s="66"/>
      <c r="J294" s="102">
        <f t="shared" si="132"/>
        <v>0</v>
      </c>
      <c r="K294" s="66"/>
      <c r="L294" s="66"/>
      <c r="M294" s="66"/>
      <c r="N294" s="66"/>
      <c r="O294" s="66"/>
    </row>
    <row r="295" spans="2:15" hidden="1" x14ac:dyDescent="0.25">
      <c r="B295" s="438">
        <f t="shared" si="133"/>
        <v>7</v>
      </c>
      <c r="C295" s="441" t="s">
        <v>578</v>
      </c>
      <c r="D295" s="55"/>
      <c r="E295" s="66">
        <f>E291-E292+E293-E294</f>
        <v>0</v>
      </c>
      <c r="F295" s="100">
        <f t="shared" si="131"/>
        <v>0</v>
      </c>
      <c r="G295" s="19"/>
      <c r="H295" s="66">
        <f>H291-H292+H293-H294</f>
        <v>0</v>
      </c>
      <c r="I295" s="66">
        <f>I291-I292+I293-I294</f>
        <v>0</v>
      </c>
      <c r="J295" s="102">
        <f t="shared" si="132"/>
        <v>0</v>
      </c>
      <c r="K295" s="66">
        <f>K291-K292+K293-K294</f>
        <v>0</v>
      </c>
      <c r="L295" s="66">
        <f>L291-L292+L293-L294</f>
        <v>0</v>
      </c>
      <c r="M295" s="66">
        <f>M291-M292+M293-M294</f>
        <v>0</v>
      </c>
      <c r="N295" s="66">
        <f>N291-N292+N293-N294</f>
        <v>0</v>
      </c>
      <c r="O295" s="66">
        <f>O291-O292+O293-O294</f>
        <v>0</v>
      </c>
    </row>
    <row r="296" spans="2:15" hidden="1" x14ac:dyDescent="0.25">
      <c r="B296" s="438">
        <f t="shared" si="133"/>
        <v>8</v>
      </c>
      <c r="C296" s="441" t="s">
        <v>579</v>
      </c>
      <c r="D296" s="55"/>
      <c r="E296" s="66">
        <f>E289-E292+E293-E294</f>
        <v>0</v>
      </c>
      <c r="F296" s="100">
        <f t="shared" si="131"/>
        <v>0</v>
      </c>
      <c r="G296" s="19"/>
      <c r="H296" s="66">
        <f>H289-H292+H293-H294</f>
        <v>0</v>
      </c>
      <c r="I296" s="66">
        <f>I289-I292+I293-I294</f>
        <v>0</v>
      </c>
      <c r="J296" s="102">
        <f t="shared" si="132"/>
        <v>0</v>
      </c>
      <c r="K296" s="66">
        <f>K289-K292+K293-K294</f>
        <v>0</v>
      </c>
      <c r="L296" s="66">
        <f>L289-L292+L293-L294</f>
        <v>0</v>
      </c>
      <c r="M296" s="66">
        <f>M289-M292+M293-M294</f>
        <v>0</v>
      </c>
      <c r="N296" s="66">
        <f>N289-N292+N293-N294</f>
        <v>0</v>
      </c>
      <c r="O296" s="66">
        <f>O289-O292+O293-O294</f>
        <v>0</v>
      </c>
    </row>
    <row r="297" spans="2:15" hidden="1" x14ac:dyDescent="0.25">
      <c r="B297" s="438">
        <f t="shared" si="133"/>
        <v>9</v>
      </c>
      <c r="C297" s="441" t="s">
        <v>580</v>
      </c>
      <c r="D297" s="55"/>
      <c r="E297" s="66">
        <f>AVERAGE(E291,E295)</f>
        <v>0</v>
      </c>
      <c r="F297" s="100">
        <f t="shared" si="131"/>
        <v>0</v>
      </c>
      <c r="G297" s="19"/>
      <c r="H297" s="66">
        <f>AVERAGE(H291,H295)</f>
        <v>0</v>
      </c>
      <c r="I297" s="66">
        <f>AVERAGE(I291,I295)</f>
        <v>0</v>
      </c>
      <c r="J297" s="102">
        <f t="shared" si="132"/>
        <v>0</v>
      </c>
      <c r="K297" s="66">
        <f>AVERAGE(K291,K295)</f>
        <v>0</v>
      </c>
      <c r="L297" s="66">
        <f>AVERAGE(L291,L295)</f>
        <v>0</v>
      </c>
      <c r="M297" s="66">
        <f>AVERAGE(M291,M295)</f>
        <v>0</v>
      </c>
      <c r="N297" s="66">
        <f>AVERAGE(N291,N295)</f>
        <v>0</v>
      </c>
      <c r="O297" s="66">
        <f>AVERAGE(O291,O295)</f>
        <v>0</v>
      </c>
    </row>
    <row r="298" spans="2:15" ht="27.6" hidden="1" x14ac:dyDescent="0.25">
      <c r="B298" s="438">
        <f t="shared" si="133"/>
        <v>10</v>
      </c>
      <c r="C298" s="54" t="s">
        <v>581</v>
      </c>
      <c r="D298" s="55"/>
      <c r="E298" s="66"/>
      <c r="F298" s="100">
        <f t="shared" si="131"/>
        <v>0</v>
      </c>
      <c r="G298" s="19"/>
      <c r="H298" s="66"/>
      <c r="I298" s="66"/>
      <c r="J298" s="102">
        <f t="shared" si="132"/>
        <v>0</v>
      </c>
      <c r="K298" s="66"/>
      <c r="L298" s="66"/>
      <c r="M298" s="66"/>
      <c r="N298" s="66"/>
      <c r="O298" s="66"/>
    </row>
    <row r="299" spans="2:15" hidden="1" x14ac:dyDescent="0.25">
      <c r="B299" s="438">
        <f t="shared" si="133"/>
        <v>11</v>
      </c>
      <c r="C299" s="441" t="s">
        <v>582</v>
      </c>
      <c r="D299" s="55"/>
      <c r="E299" s="66">
        <f>E297*E298</f>
        <v>0</v>
      </c>
      <c r="F299" s="100">
        <f t="shared" si="131"/>
        <v>0</v>
      </c>
      <c r="G299" s="19"/>
      <c r="H299" s="66">
        <f>H297*H298</f>
        <v>0</v>
      </c>
      <c r="I299" s="66">
        <f>I297*I298</f>
        <v>0</v>
      </c>
      <c r="J299" s="102">
        <f t="shared" si="132"/>
        <v>0</v>
      </c>
      <c r="K299" s="66">
        <f>K297*K298</f>
        <v>0</v>
      </c>
      <c r="L299" s="66">
        <f>L297*L298</f>
        <v>0</v>
      </c>
      <c r="M299" s="66">
        <f>M297*M298</f>
        <v>0</v>
      </c>
      <c r="N299" s="66">
        <f>N297*N298</f>
        <v>0</v>
      </c>
      <c r="O299" s="66">
        <f>O297*O298</f>
        <v>0</v>
      </c>
    </row>
    <row r="300" spans="2:15" hidden="1" x14ac:dyDescent="0.25">
      <c r="B300" s="438">
        <f t="shared" si="133"/>
        <v>12</v>
      </c>
      <c r="C300" s="441" t="s">
        <v>583</v>
      </c>
      <c r="D300" s="55"/>
      <c r="E300" s="66"/>
      <c r="F300" s="100">
        <f t="shared" si="131"/>
        <v>0</v>
      </c>
      <c r="G300" s="19"/>
      <c r="H300" s="66"/>
      <c r="I300" s="66"/>
      <c r="J300" s="102">
        <f t="shared" si="132"/>
        <v>0</v>
      </c>
      <c r="K300" s="66"/>
      <c r="L300" s="66"/>
      <c r="M300" s="66"/>
      <c r="N300" s="66"/>
      <c r="O300" s="66"/>
    </row>
    <row r="301" spans="2:15" hidden="1" x14ac:dyDescent="0.25">
      <c r="B301" s="438">
        <f t="shared" si="133"/>
        <v>13</v>
      </c>
      <c r="C301" s="441" t="s">
        <v>584</v>
      </c>
      <c r="D301" s="55"/>
      <c r="E301" s="66">
        <f>E299+E300</f>
        <v>0</v>
      </c>
      <c r="F301" s="100">
        <f t="shared" si="131"/>
        <v>0</v>
      </c>
      <c r="G301" s="19"/>
      <c r="H301" s="66">
        <f>H299+H300</f>
        <v>0</v>
      </c>
      <c r="I301" s="66">
        <f>I299+I300</f>
        <v>0</v>
      </c>
      <c r="J301" s="102">
        <f t="shared" si="132"/>
        <v>0</v>
      </c>
      <c r="K301" s="66">
        <f>K299+K300</f>
        <v>0</v>
      </c>
      <c r="L301" s="66">
        <f>L299+L300</f>
        <v>0</v>
      </c>
      <c r="M301" s="66">
        <f>M299+M300</f>
        <v>0</v>
      </c>
      <c r="N301" s="66">
        <f>N299+N300</f>
        <v>0</v>
      </c>
      <c r="O301" s="66">
        <f>O299+O300</f>
        <v>0</v>
      </c>
    </row>
    <row r="302" spans="2:15" hidden="1" x14ac:dyDescent="0.25"/>
    <row r="303" spans="2:15" hidden="1" x14ac:dyDescent="0.25">
      <c r="B303" s="439" t="s">
        <v>585</v>
      </c>
      <c r="C303" s="14" t="s">
        <v>586</v>
      </c>
    </row>
    <row r="304" spans="2:15" hidden="1" x14ac:dyDescent="0.25">
      <c r="L304" s="16" t="s">
        <v>3</v>
      </c>
    </row>
    <row r="305" spans="2:12" ht="15" hidden="1" customHeight="1" x14ac:dyDescent="0.25">
      <c r="B305" s="758" t="s">
        <v>4</v>
      </c>
      <c r="C305" s="760" t="s">
        <v>5</v>
      </c>
      <c r="D305" s="434" t="s">
        <v>7</v>
      </c>
      <c r="E305" s="755" t="s">
        <v>8</v>
      </c>
      <c r="F305" s="756"/>
      <c r="G305" s="757"/>
      <c r="H305" s="751" t="s">
        <v>9</v>
      </c>
      <c r="I305" s="875"/>
      <c r="J305" s="875"/>
      <c r="K305" s="875"/>
      <c r="L305" s="752"/>
    </row>
    <row r="306" spans="2:12" hidden="1" x14ac:dyDescent="0.25">
      <c r="B306" s="792"/>
      <c r="C306" s="760"/>
      <c r="D306" s="435" t="s">
        <v>11</v>
      </c>
      <c r="E306" s="435" t="s">
        <v>13</v>
      </c>
      <c r="F306" s="435" t="s">
        <v>14</v>
      </c>
      <c r="G306" s="435" t="s">
        <v>15</v>
      </c>
      <c r="H306" s="435" t="s">
        <v>16</v>
      </c>
      <c r="I306" s="435" t="s">
        <v>17</v>
      </c>
      <c r="J306" s="435" t="s">
        <v>18</v>
      </c>
      <c r="K306" s="435" t="s">
        <v>19</v>
      </c>
      <c r="L306" s="435" t="s">
        <v>20</v>
      </c>
    </row>
    <row r="307" spans="2:12" hidden="1" x14ac:dyDescent="0.25">
      <c r="B307" s="810"/>
      <c r="C307" s="857"/>
      <c r="D307" s="435" t="s">
        <v>22</v>
      </c>
      <c r="E307" s="435" t="s">
        <v>24</v>
      </c>
      <c r="F307" s="435" t="s">
        <v>25</v>
      </c>
      <c r="G307" s="435" t="s">
        <v>25</v>
      </c>
      <c r="H307" s="435" t="s">
        <v>26</v>
      </c>
      <c r="I307" s="435" t="s">
        <v>26</v>
      </c>
      <c r="J307" s="435" t="s">
        <v>26</v>
      </c>
      <c r="K307" s="435" t="s">
        <v>26</v>
      </c>
      <c r="L307" s="435" t="s">
        <v>26</v>
      </c>
    </row>
    <row r="308" spans="2:12" hidden="1" x14ac:dyDescent="0.25">
      <c r="B308" s="438">
        <v>1</v>
      </c>
      <c r="C308" s="28" t="s">
        <v>553</v>
      </c>
      <c r="D308" s="441"/>
      <c r="E308" s="441"/>
      <c r="F308" s="441"/>
      <c r="G308" s="441"/>
      <c r="H308" s="441"/>
      <c r="I308" s="441"/>
      <c r="J308" s="441"/>
      <c r="K308" s="441"/>
      <c r="L308" s="441"/>
    </row>
    <row r="309" spans="2:12" hidden="1" x14ac:dyDescent="0.25">
      <c r="B309" s="441"/>
      <c r="C309" s="441" t="s">
        <v>587</v>
      </c>
      <c r="D309" s="441"/>
      <c r="E309" s="441"/>
      <c r="F309" s="441"/>
      <c r="G309" s="441"/>
      <c r="H309" s="441"/>
      <c r="I309" s="441"/>
      <c r="J309" s="441"/>
      <c r="K309" s="441"/>
      <c r="L309" s="441"/>
    </row>
    <row r="310" spans="2:12" hidden="1" x14ac:dyDescent="0.25">
      <c r="B310" s="441"/>
      <c r="C310" s="441" t="s">
        <v>588</v>
      </c>
      <c r="D310" s="441"/>
      <c r="E310" s="441"/>
      <c r="F310" s="441"/>
      <c r="G310" s="441"/>
      <c r="H310" s="441"/>
      <c r="I310" s="441"/>
      <c r="J310" s="441"/>
      <c r="K310" s="441"/>
      <c r="L310" s="441"/>
    </row>
    <row r="311" spans="2:12" hidden="1" x14ac:dyDescent="0.25">
      <c r="B311" s="441"/>
      <c r="C311" s="441" t="s">
        <v>589</v>
      </c>
      <c r="D311" s="441"/>
      <c r="E311" s="441"/>
      <c r="F311" s="441"/>
      <c r="G311" s="441"/>
      <c r="H311" s="441"/>
      <c r="I311" s="441"/>
      <c r="J311" s="441"/>
      <c r="K311" s="441"/>
      <c r="L311" s="441"/>
    </row>
    <row r="312" spans="2:12" hidden="1" x14ac:dyDescent="0.25">
      <c r="B312" s="441"/>
      <c r="C312" s="441" t="s">
        <v>590</v>
      </c>
      <c r="D312" s="100">
        <f t="shared" ref="D312:L312" si="134">D309+D310-D311</f>
        <v>0</v>
      </c>
      <c r="E312" s="100">
        <f t="shared" si="134"/>
        <v>0</v>
      </c>
      <c r="F312" s="100">
        <f t="shared" si="134"/>
        <v>0</v>
      </c>
      <c r="G312" s="100">
        <f t="shared" si="134"/>
        <v>0</v>
      </c>
      <c r="H312" s="100">
        <f t="shared" si="134"/>
        <v>0</v>
      </c>
      <c r="I312" s="100">
        <f t="shared" si="134"/>
        <v>0</v>
      </c>
      <c r="J312" s="100">
        <f t="shared" si="134"/>
        <v>0</v>
      </c>
      <c r="K312" s="100">
        <f t="shared" si="134"/>
        <v>0</v>
      </c>
      <c r="L312" s="100">
        <f t="shared" si="134"/>
        <v>0</v>
      </c>
    </row>
    <row r="313" spans="2:12" hidden="1" x14ac:dyDescent="0.25">
      <c r="B313" s="441"/>
      <c r="C313" s="441" t="s">
        <v>591</v>
      </c>
      <c r="D313" s="100">
        <f>AVERAGE(D312,D309)</f>
        <v>0</v>
      </c>
      <c r="E313" s="100">
        <f t="shared" ref="E313:L313" si="135">AVERAGE(E312,E309)</f>
        <v>0</v>
      </c>
      <c r="F313" s="100">
        <f t="shared" si="135"/>
        <v>0</v>
      </c>
      <c r="G313" s="100">
        <f t="shared" si="135"/>
        <v>0</v>
      </c>
      <c r="H313" s="100">
        <f t="shared" si="135"/>
        <v>0</v>
      </c>
      <c r="I313" s="100">
        <f t="shared" si="135"/>
        <v>0</v>
      </c>
      <c r="J313" s="100">
        <f t="shared" si="135"/>
        <v>0</v>
      </c>
      <c r="K313" s="100">
        <f t="shared" si="135"/>
        <v>0</v>
      </c>
      <c r="L313" s="100">
        <f t="shared" si="135"/>
        <v>0</v>
      </c>
    </row>
    <row r="314" spans="2:12" hidden="1" x14ac:dyDescent="0.25">
      <c r="B314" s="441"/>
      <c r="C314" s="441" t="s">
        <v>592</v>
      </c>
      <c r="D314" s="441"/>
      <c r="E314" s="441"/>
      <c r="F314" s="441"/>
      <c r="G314" s="441"/>
      <c r="H314" s="441"/>
      <c r="I314" s="441"/>
      <c r="J314" s="441"/>
      <c r="K314" s="441"/>
      <c r="L314" s="441"/>
    </row>
    <row r="315" spans="2:12" hidden="1" x14ac:dyDescent="0.25">
      <c r="B315" s="441"/>
      <c r="C315" s="441" t="s">
        <v>582</v>
      </c>
      <c r="D315" s="100">
        <f t="shared" ref="D315:L315" si="136">D313*D314</f>
        <v>0</v>
      </c>
      <c r="E315" s="100">
        <f t="shared" si="136"/>
        <v>0</v>
      </c>
      <c r="F315" s="100">
        <f t="shared" si="136"/>
        <v>0</v>
      </c>
      <c r="G315" s="100">
        <f t="shared" si="136"/>
        <v>0</v>
      </c>
      <c r="H315" s="100">
        <f t="shared" si="136"/>
        <v>0</v>
      </c>
      <c r="I315" s="100">
        <f t="shared" si="136"/>
        <v>0</v>
      </c>
      <c r="J315" s="100">
        <f t="shared" si="136"/>
        <v>0</v>
      </c>
      <c r="K315" s="100">
        <f t="shared" si="136"/>
        <v>0</v>
      </c>
      <c r="L315" s="100">
        <f t="shared" si="136"/>
        <v>0</v>
      </c>
    </row>
    <row r="316" spans="2:12" hidden="1" x14ac:dyDescent="0.25">
      <c r="B316" s="441"/>
      <c r="C316" s="441" t="s">
        <v>583</v>
      </c>
      <c r="D316" s="441"/>
      <c r="E316" s="441"/>
      <c r="F316" s="441"/>
      <c r="G316" s="441"/>
      <c r="H316" s="441"/>
      <c r="I316" s="441"/>
      <c r="J316" s="441"/>
      <c r="K316" s="441"/>
      <c r="L316" s="441"/>
    </row>
    <row r="317" spans="2:12" hidden="1" x14ac:dyDescent="0.25">
      <c r="B317" s="441"/>
      <c r="C317" s="441" t="s">
        <v>584</v>
      </c>
      <c r="D317" s="100">
        <f t="shared" ref="D317:L317" si="137">D315+D316</f>
        <v>0</v>
      </c>
      <c r="E317" s="100">
        <f t="shared" si="137"/>
        <v>0</v>
      </c>
      <c r="F317" s="100">
        <f t="shared" si="137"/>
        <v>0</v>
      </c>
      <c r="G317" s="100">
        <f t="shared" si="137"/>
        <v>0</v>
      </c>
      <c r="H317" s="100">
        <f t="shared" si="137"/>
        <v>0</v>
      </c>
      <c r="I317" s="100">
        <f t="shared" si="137"/>
        <v>0</v>
      </c>
      <c r="J317" s="100">
        <f t="shared" si="137"/>
        <v>0</v>
      </c>
      <c r="K317" s="100">
        <f t="shared" si="137"/>
        <v>0</v>
      </c>
      <c r="L317" s="100">
        <f t="shared" si="137"/>
        <v>0</v>
      </c>
    </row>
    <row r="318" spans="2:12" hidden="1" x14ac:dyDescent="0.25">
      <c r="B318" s="438">
        <v>2</v>
      </c>
      <c r="C318" s="28" t="s">
        <v>554</v>
      </c>
      <c r="D318" s="441"/>
      <c r="E318" s="441"/>
      <c r="F318" s="441"/>
      <c r="G318" s="441"/>
      <c r="H318" s="441"/>
      <c r="I318" s="441"/>
      <c r="J318" s="441"/>
      <c r="K318" s="441"/>
      <c r="L318" s="441"/>
    </row>
    <row r="319" spans="2:12" hidden="1" x14ac:dyDescent="0.25">
      <c r="B319" s="441"/>
      <c r="C319" s="441" t="s">
        <v>587</v>
      </c>
      <c r="D319" s="441"/>
      <c r="E319" s="441"/>
      <c r="F319" s="441"/>
      <c r="G319" s="441"/>
      <c r="H319" s="441"/>
      <c r="I319" s="441"/>
      <c r="J319" s="441"/>
      <c r="K319" s="441"/>
      <c r="L319" s="441"/>
    </row>
    <row r="320" spans="2:12" hidden="1" x14ac:dyDescent="0.25">
      <c r="B320" s="441"/>
      <c r="C320" s="441" t="s">
        <v>588</v>
      </c>
      <c r="D320" s="441"/>
      <c r="E320" s="441"/>
      <c r="F320" s="441"/>
      <c r="G320" s="441"/>
      <c r="H320" s="441"/>
      <c r="I320" s="441"/>
      <c r="J320" s="441"/>
      <c r="K320" s="441"/>
      <c r="L320" s="441"/>
    </row>
    <row r="321" spans="2:12" hidden="1" x14ac:dyDescent="0.25">
      <c r="B321" s="441"/>
      <c r="C321" s="441" t="s">
        <v>589</v>
      </c>
      <c r="D321" s="441"/>
      <c r="E321" s="441"/>
      <c r="F321" s="441"/>
      <c r="G321" s="441"/>
      <c r="H321" s="441"/>
      <c r="I321" s="441"/>
      <c r="J321" s="441"/>
      <c r="K321" s="441"/>
      <c r="L321" s="441"/>
    </row>
    <row r="322" spans="2:12" hidden="1" x14ac:dyDescent="0.25">
      <c r="B322" s="441"/>
      <c r="C322" s="441" t="s">
        <v>590</v>
      </c>
      <c r="D322" s="100">
        <f t="shared" ref="D322:L322" si="138">D319+D320-D321</f>
        <v>0</v>
      </c>
      <c r="E322" s="100">
        <f t="shared" si="138"/>
        <v>0</v>
      </c>
      <c r="F322" s="100">
        <f t="shared" si="138"/>
        <v>0</v>
      </c>
      <c r="G322" s="100">
        <f t="shared" si="138"/>
        <v>0</v>
      </c>
      <c r="H322" s="100">
        <f t="shared" si="138"/>
        <v>0</v>
      </c>
      <c r="I322" s="100">
        <f t="shared" si="138"/>
        <v>0</v>
      </c>
      <c r="J322" s="100">
        <f t="shared" si="138"/>
        <v>0</v>
      </c>
      <c r="K322" s="100">
        <f t="shared" si="138"/>
        <v>0</v>
      </c>
      <c r="L322" s="100">
        <f t="shared" si="138"/>
        <v>0</v>
      </c>
    </row>
    <row r="323" spans="2:12" hidden="1" x14ac:dyDescent="0.25">
      <c r="B323" s="441"/>
      <c r="C323" s="441" t="s">
        <v>591</v>
      </c>
      <c r="D323" s="100">
        <f>AVERAGE(D322,D319)</f>
        <v>0</v>
      </c>
      <c r="E323" s="100">
        <f t="shared" ref="E323:L323" si="139">AVERAGE(E322,E319)</f>
        <v>0</v>
      </c>
      <c r="F323" s="100">
        <f t="shared" si="139"/>
        <v>0</v>
      </c>
      <c r="G323" s="100">
        <f t="shared" si="139"/>
        <v>0</v>
      </c>
      <c r="H323" s="100">
        <f t="shared" si="139"/>
        <v>0</v>
      </c>
      <c r="I323" s="100">
        <f t="shared" si="139"/>
        <v>0</v>
      </c>
      <c r="J323" s="100">
        <f t="shared" si="139"/>
        <v>0</v>
      </c>
      <c r="K323" s="100">
        <f t="shared" si="139"/>
        <v>0</v>
      </c>
      <c r="L323" s="100">
        <f t="shared" si="139"/>
        <v>0</v>
      </c>
    </row>
    <row r="324" spans="2:12" hidden="1" x14ac:dyDescent="0.25">
      <c r="B324" s="441"/>
      <c r="C324" s="441" t="s">
        <v>592</v>
      </c>
      <c r="D324" s="441"/>
      <c r="E324" s="441"/>
      <c r="F324" s="441"/>
      <c r="G324" s="441"/>
      <c r="H324" s="441"/>
      <c r="I324" s="441"/>
      <c r="J324" s="441"/>
      <c r="K324" s="441"/>
      <c r="L324" s="441"/>
    </row>
    <row r="325" spans="2:12" hidden="1" x14ac:dyDescent="0.25">
      <c r="B325" s="441"/>
      <c r="C325" s="441" t="s">
        <v>582</v>
      </c>
      <c r="D325" s="100">
        <f t="shared" ref="D325:L325" si="140">D323*D324</f>
        <v>0</v>
      </c>
      <c r="E325" s="100">
        <f t="shared" si="140"/>
        <v>0</v>
      </c>
      <c r="F325" s="100">
        <f t="shared" si="140"/>
        <v>0</v>
      </c>
      <c r="G325" s="100">
        <f t="shared" si="140"/>
        <v>0</v>
      </c>
      <c r="H325" s="100">
        <f t="shared" si="140"/>
        <v>0</v>
      </c>
      <c r="I325" s="100">
        <f t="shared" si="140"/>
        <v>0</v>
      </c>
      <c r="J325" s="100">
        <f t="shared" si="140"/>
        <v>0</v>
      </c>
      <c r="K325" s="100">
        <f t="shared" si="140"/>
        <v>0</v>
      </c>
      <c r="L325" s="100">
        <f t="shared" si="140"/>
        <v>0</v>
      </c>
    </row>
    <row r="326" spans="2:12" hidden="1" x14ac:dyDescent="0.25">
      <c r="B326" s="441"/>
      <c r="C326" s="441" t="s">
        <v>583</v>
      </c>
      <c r="D326" s="441"/>
      <c r="E326" s="441"/>
      <c r="F326" s="441"/>
      <c r="G326" s="441"/>
      <c r="H326" s="441"/>
      <c r="I326" s="441"/>
      <c r="J326" s="441"/>
      <c r="K326" s="441"/>
      <c r="L326" s="441"/>
    </row>
    <row r="327" spans="2:12" hidden="1" x14ac:dyDescent="0.25">
      <c r="B327" s="441"/>
      <c r="C327" s="441" t="s">
        <v>584</v>
      </c>
      <c r="D327" s="100">
        <f t="shared" ref="D327:L327" si="141">D325+D326</f>
        <v>0</v>
      </c>
      <c r="E327" s="100">
        <f t="shared" si="141"/>
        <v>0</v>
      </c>
      <c r="F327" s="100">
        <f t="shared" si="141"/>
        <v>0</v>
      </c>
      <c r="G327" s="100">
        <f t="shared" si="141"/>
        <v>0</v>
      </c>
      <c r="H327" s="100">
        <f t="shared" si="141"/>
        <v>0</v>
      </c>
      <c r="I327" s="100">
        <f t="shared" si="141"/>
        <v>0</v>
      </c>
      <c r="J327" s="100">
        <f t="shared" si="141"/>
        <v>0</v>
      </c>
      <c r="K327" s="100">
        <f t="shared" si="141"/>
        <v>0</v>
      </c>
      <c r="L327" s="100">
        <f t="shared" si="141"/>
        <v>0</v>
      </c>
    </row>
    <row r="328" spans="2:12" hidden="1" x14ac:dyDescent="0.25">
      <c r="B328" s="441"/>
      <c r="C328" s="441" t="s">
        <v>593</v>
      </c>
      <c r="D328" s="441"/>
      <c r="E328" s="441"/>
      <c r="F328" s="441"/>
      <c r="G328" s="441"/>
      <c r="H328" s="441"/>
      <c r="I328" s="441"/>
      <c r="J328" s="441"/>
      <c r="K328" s="441"/>
      <c r="L328" s="441"/>
    </row>
    <row r="329" spans="2:12" hidden="1" x14ac:dyDescent="0.25">
      <c r="B329" s="438"/>
      <c r="C329" s="28" t="s">
        <v>251</v>
      </c>
      <c r="D329" s="441"/>
      <c r="E329" s="441"/>
      <c r="F329" s="441"/>
      <c r="G329" s="441"/>
      <c r="H329" s="441"/>
      <c r="I329" s="441"/>
      <c r="J329" s="441"/>
      <c r="K329" s="441"/>
      <c r="L329" s="441"/>
    </row>
    <row r="330" spans="2:12" hidden="1" x14ac:dyDescent="0.25">
      <c r="B330" s="441"/>
      <c r="C330" s="441" t="s">
        <v>587</v>
      </c>
      <c r="D330" s="441"/>
      <c r="E330" s="441"/>
      <c r="F330" s="441"/>
      <c r="G330" s="441"/>
      <c r="H330" s="441"/>
      <c r="I330" s="441"/>
      <c r="J330" s="441"/>
      <c r="K330" s="441"/>
      <c r="L330" s="441"/>
    </row>
    <row r="331" spans="2:12" hidden="1" x14ac:dyDescent="0.25">
      <c r="B331" s="441"/>
      <c r="C331" s="441" t="s">
        <v>588</v>
      </c>
      <c r="D331" s="441"/>
      <c r="E331" s="441"/>
      <c r="F331" s="441"/>
      <c r="G331" s="441"/>
      <c r="H331" s="441"/>
      <c r="I331" s="441"/>
      <c r="J331" s="441"/>
      <c r="K331" s="441"/>
      <c r="L331" s="441"/>
    </row>
    <row r="332" spans="2:12" hidden="1" x14ac:dyDescent="0.25">
      <c r="B332" s="441"/>
      <c r="C332" s="441" t="s">
        <v>589</v>
      </c>
      <c r="D332" s="441"/>
      <c r="E332" s="441"/>
      <c r="F332" s="441"/>
      <c r="G332" s="441"/>
      <c r="H332" s="441"/>
      <c r="I332" s="441"/>
      <c r="J332" s="441"/>
      <c r="K332" s="441"/>
      <c r="L332" s="441"/>
    </row>
    <row r="333" spans="2:12" hidden="1" x14ac:dyDescent="0.25">
      <c r="B333" s="441"/>
      <c r="C333" s="441" t="s">
        <v>590</v>
      </c>
      <c r="D333" s="100">
        <f>D330+D331-D332</f>
        <v>0</v>
      </c>
      <c r="E333" s="100">
        <f t="shared" ref="E333:L333" si="142">E330+E331-E332</f>
        <v>0</v>
      </c>
      <c r="F333" s="100">
        <f t="shared" si="142"/>
        <v>0</v>
      </c>
      <c r="G333" s="100">
        <f t="shared" si="142"/>
        <v>0</v>
      </c>
      <c r="H333" s="100">
        <f t="shared" si="142"/>
        <v>0</v>
      </c>
      <c r="I333" s="100">
        <f t="shared" si="142"/>
        <v>0</v>
      </c>
      <c r="J333" s="100">
        <f t="shared" si="142"/>
        <v>0</v>
      </c>
      <c r="K333" s="100">
        <f t="shared" si="142"/>
        <v>0</v>
      </c>
      <c r="L333" s="100">
        <f t="shared" si="142"/>
        <v>0</v>
      </c>
    </row>
    <row r="334" spans="2:12" hidden="1" x14ac:dyDescent="0.25">
      <c r="B334" s="441"/>
      <c r="C334" s="441" t="s">
        <v>591</v>
      </c>
      <c r="D334" s="100">
        <f>AVERAGE(D333,D330)</f>
        <v>0</v>
      </c>
      <c r="E334" s="100">
        <f t="shared" ref="E334:L334" si="143">AVERAGE(E333,E330)</f>
        <v>0</v>
      </c>
      <c r="F334" s="100">
        <f t="shared" si="143"/>
        <v>0</v>
      </c>
      <c r="G334" s="100">
        <f t="shared" si="143"/>
        <v>0</v>
      </c>
      <c r="H334" s="100">
        <f t="shared" si="143"/>
        <v>0</v>
      </c>
      <c r="I334" s="100">
        <f t="shared" si="143"/>
        <v>0</v>
      </c>
      <c r="J334" s="100">
        <f t="shared" si="143"/>
        <v>0</v>
      </c>
      <c r="K334" s="100">
        <f t="shared" si="143"/>
        <v>0</v>
      </c>
      <c r="L334" s="100">
        <f t="shared" si="143"/>
        <v>0</v>
      </c>
    </row>
    <row r="335" spans="2:12" hidden="1" x14ac:dyDescent="0.25">
      <c r="B335" s="441"/>
      <c r="C335" s="441" t="s">
        <v>592</v>
      </c>
      <c r="D335" s="441"/>
      <c r="E335" s="441"/>
      <c r="F335" s="441"/>
      <c r="G335" s="441"/>
      <c r="H335" s="441"/>
      <c r="I335" s="441"/>
      <c r="J335" s="441"/>
      <c r="K335" s="441"/>
      <c r="L335" s="441"/>
    </row>
    <row r="336" spans="2:12" hidden="1" x14ac:dyDescent="0.25">
      <c r="B336" s="441"/>
      <c r="C336" s="441" t="s">
        <v>582</v>
      </c>
      <c r="D336" s="100">
        <f>D334*D335</f>
        <v>0</v>
      </c>
      <c r="E336" s="100">
        <f t="shared" ref="E336:L336" si="144">E334*E335</f>
        <v>0</v>
      </c>
      <c r="F336" s="100">
        <f t="shared" si="144"/>
        <v>0</v>
      </c>
      <c r="G336" s="100">
        <f t="shared" si="144"/>
        <v>0</v>
      </c>
      <c r="H336" s="100">
        <f t="shared" si="144"/>
        <v>0</v>
      </c>
      <c r="I336" s="100">
        <f t="shared" si="144"/>
        <v>0</v>
      </c>
      <c r="J336" s="100">
        <f t="shared" si="144"/>
        <v>0</v>
      </c>
      <c r="K336" s="100">
        <f t="shared" si="144"/>
        <v>0</v>
      </c>
      <c r="L336" s="100">
        <f t="shared" si="144"/>
        <v>0</v>
      </c>
    </row>
    <row r="337" spans="2:12" hidden="1" x14ac:dyDescent="0.25">
      <c r="B337" s="441"/>
      <c r="C337" s="441" t="s">
        <v>583</v>
      </c>
      <c r="D337" s="441"/>
      <c r="E337" s="441"/>
      <c r="F337" s="441"/>
      <c r="G337" s="441"/>
      <c r="H337" s="441"/>
      <c r="I337" s="441"/>
      <c r="J337" s="441"/>
      <c r="K337" s="441"/>
      <c r="L337" s="441"/>
    </row>
    <row r="338" spans="2:12" hidden="1" x14ac:dyDescent="0.25">
      <c r="B338" s="441"/>
      <c r="C338" s="441" t="s">
        <v>584</v>
      </c>
      <c r="D338" s="100">
        <f>D336+D337</f>
        <v>0</v>
      </c>
      <c r="E338" s="100">
        <f t="shared" ref="E338:L338" si="145">E336+E337</f>
        <v>0</v>
      </c>
      <c r="F338" s="100">
        <f t="shared" si="145"/>
        <v>0</v>
      </c>
      <c r="G338" s="100">
        <f t="shared" si="145"/>
        <v>0</v>
      </c>
      <c r="H338" s="100">
        <f t="shared" si="145"/>
        <v>0</v>
      </c>
      <c r="I338" s="100">
        <f t="shared" si="145"/>
        <v>0</v>
      </c>
      <c r="J338" s="100">
        <f t="shared" si="145"/>
        <v>0</v>
      </c>
      <c r="K338" s="100">
        <f t="shared" si="145"/>
        <v>0</v>
      </c>
      <c r="L338" s="100">
        <f t="shared" si="145"/>
        <v>0</v>
      </c>
    </row>
  </sheetData>
  <mergeCells count="36">
    <mergeCell ref="B26:B28"/>
    <mergeCell ref="C26:C28"/>
    <mergeCell ref="E26:G26"/>
    <mergeCell ref="H26:L26"/>
    <mergeCell ref="B64:B66"/>
    <mergeCell ref="C64:C66"/>
    <mergeCell ref="D64:F64"/>
    <mergeCell ref="G64:J64"/>
    <mergeCell ref="K64:O64"/>
    <mergeCell ref="B7:B9"/>
    <mergeCell ref="C7:C9"/>
    <mergeCell ref="D7:F7"/>
    <mergeCell ref="G7:J7"/>
    <mergeCell ref="K7:O7"/>
    <mergeCell ref="B83:B85"/>
    <mergeCell ref="C83:C85"/>
    <mergeCell ref="E83:G83"/>
    <mergeCell ref="H83:L83"/>
    <mergeCell ref="G286:J286"/>
    <mergeCell ref="K286:O286"/>
    <mergeCell ref="B305:B307"/>
    <mergeCell ref="C305:C307"/>
    <mergeCell ref="E305:G305"/>
    <mergeCell ref="H305:L305"/>
    <mergeCell ref="B140:B142"/>
    <mergeCell ref="C140:C142"/>
    <mergeCell ref="D140:F140"/>
    <mergeCell ref="G140:J140"/>
    <mergeCell ref="K140:O140"/>
    <mergeCell ref="B159:B161"/>
    <mergeCell ref="C159:C161"/>
    <mergeCell ref="E159:G159"/>
    <mergeCell ref="H159:L159"/>
    <mergeCell ref="B286:B288"/>
    <mergeCell ref="C286:C288"/>
    <mergeCell ref="D286:F286"/>
  </mergeCells>
  <pageMargins left="1.02" right="0.25" top="1" bottom="1" header="0.25" footer="0.25"/>
  <pageSetup paperSize="9" scale="64" orientation="landscape" r:id="rId1"/>
  <headerFooter alignWithMargins="0">
    <oddHeader>&amp;F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1:P58"/>
  <sheetViews>
    <sheetView showGridLines="0" topLeftCell="A4" zoomScale="66" zoomScaleNormal="90" zoomScaleSheetLayoutView="90" workbookViewId="0">
      <selection activeCell="L13" sqref="L13"/>
    </sheetView>
  </sheetViews>
  <sheetFormatPr defaultColWidth="9.109375" defaultRowHeight="13.8" x14ac:dyDescent="0.25"/>
  <cols>
    <col min="1" max="1" width="4.109375" style="4" customWidth="1"/>
    <col min="2" max="2" width="6.33203125" style="4" customWidth="1"/>
    <col min="3" max="3" width="41" style="4" customWidth="1"/>
    <col min="4" max="4" width="13.6640625" style="4" bestFit="1" customWidth="1"/>
    <col min="5" max="5" width="12.5546875" style="4" bestFit="1" customWidth="1"/>
    <col min="6" max="6" width="13.44140625" style="4" bestFit="1" customWidth="1"/>
    <col min="7" max="7" width="13.6640625" style="4" bestFit="1" customWidth="1"/>
    <col min="8" max="8" width="12.5546875" style="4" bestFit="1" customWidth="1"/>
    <col min="9" max="9" width="13.109375" style="4" bestFit="1" customWidth="1"/>
    <col min="10" max="10" width="12.5546875" style="4" customWidth="1"/>
    <col min="11" max="11" width="11.88671875" style="4" bestFit="1" customWidth="1"/>
    <col min="12" max="12" width="13.88671875" style="4" bestFit="1" customWidth="1"/>
    <col min="13" max="15" width="11.88671875" style="4" hidden="1" customWidth="1"/>
    <col min="16" max="17" width="11.88671875" style="4" bestFit="1" customWidth="1"/>
    <col min="18" max="18" width="11.6640625" style="4" bestFit="1" customWidth="1"/>
    <col min="19" max="16384" width="9.109375" style="4"/>
  </cols>
  <sheetData>
    <row r="1" spans="2:16" x14ac:dyDescent="0.25">
      <c r="B1" s="14"/>
    </row>
    <row r="2" spans="2:16" x14ac:dyDescent="0.25">
      <c r="H2" s="251" t="s">
        <v>0</v>
      </c>
    </row>
    <row r="3" spans="2:16" x14ac:dyDescent="0.25">
      <c r="H3" s="440" t="s">
        <v>594</v>
      </c>
    </row>
    <row r="4" spans="2:16" x14ac:dyDescent="0.25">
      <c r="B4" s="266" t="s">
        <v>697</v>
      </c>
      <c r="C4" s="14"/>
      <c r="D4" s="15"/>
      <c r="E4" s="15"/>
      <c r="F4" s="15"/>
      <c r="G4" s="15"/>
      <c r="H4" s="15"/>
      <c r="I4" s="15"/>
      <c r="J4" s="15"/>
      <c r="K4" s="15"/>
      <c r="L4" s="15"/>
    </row>
    <row r="5" spans="2:16" x14ac:dyDescent="0.25">
      <c r="L5" s="15" t="s">
        <v>1215</v>
      </c>
      <c r="O5" s="16" t="s">
        <v>3</v>
      </c>
    </row>
    <row r="6" spans="2:16" s="5" customFormat="1" x14ac:dyDescent="0.25">
      <c r="B6" s="758" t="s">
        <v>4</v>
      </c>
      <c r="C6" s="760" t="s">
        <v>5</v>
      </c>
      <c r="D6" s="755" t="s">
        <v>7</v>
      </c>
      <c r="E6" s="756"/>
      <c r="F6" s="757"/>
      <c r="G6" s="755" t="s">
        <v>8</v>
      </c>
      <c r="H6" s="756"/>
      <c r="I6" s="756"/>
      <c r="J6" s="756"/>
      <c r="K6" s="768" t="s">
        <v>9</v>
      </c>
      <c r="L6" s="768"/>
      <c r="M6" s="768"/>
      <c r="N6" s="768"/>
      <c r="O6" s="768"/>
      <c r="P6" s="445"/>
    </row>
    <row r="7" spans="2:16" s="5" customFormat="1" ht="27.6" x14ac:dyDescent="0.25">
      <c r="B7" s="792"/>
      <c r="C7" s="760"/>
      <c r="D7" s="435" t="s">
        <v>10</v>
      </c>
      <c r="E7" s="435" t="s">
        <v>11</v>
      </c>
      <c r="F7" s="435" t="s">
        <v>12</v>
      </c>
      <c r="G7" s="435" t="s">
        <v>10</v>
      </c>
      <c r="H7" s="435" t="s">
        <v>13</v>
      </c>
      <c r="I7" s="435" t="s">
        <v>14</v>
      </c>
      <c r="J7" s="435" t="s">
        <v>15</v>
      </c>
      <c r="K7" s="435" t="s">
        <v>16</v>
      </c>
      <c r="L7" s="435" t="s">
        <v>17</v>
      </c>
      <c r="M7" s="435" t="s">
        <v>18</v>
      </c>
      <c r="N7" s="435" t="s">
        <v>19</v>
      </c>
      <c r="O7" s="435" t="s">
        <v>20</v>
      </c>
    </row>
    <row r="8" spans="2:16" s="5" customFormat="1" x14ac:dyDescent="0.25">
      <c r="B8" s="810"/>
      <c r="C8" s="857"/>
      <c r="D8" s="435" t="s">
        <v>21</v>
      </c>
      <c r="E8" s="435" t="s">
        <v>22</v>
      </c>
      <c r="F8" s="435" t="s">
        <v>23</v>
      </c>
      <c r="G8" s="435" t="s">
        <v>21</v>
      </c>
      <c r="H8" s="435" t="s">
        <v>24</v>
      </c>
      <c r="I8" s="435" t="s">
        <v>25</v>
      </c>
      <c r="J8" s="435" t="s">
        <v>25</v>
      </c>
      <c r="K8" s="435" t="s">
        <v>26</v>
      </c>
      <c r="L8" s="435" t="s">
        <v>26</v>
      </c>
      <c r="M8" s="435" t="s">
        <v>26</v>
      </c>
      <c r="N8" s="435" t="s">
        <v>26</v>
      </c>
      <c r="O8" s="435" t="s">
        <v>26</v>
      </c>
    </row>
    <row r="9" spans="2:16" x14ac:dyDescent="0.25">
      <c r="B9" s="438">
        <v>1</v>
      </c>
      <c r="C9" s="54" t="s">
        <v>595</v>
      </c>
      <c r="D9" s="482"/>
      <c r="E9" s="483">
        <f>E24+E39</f>
        <v>204.10680658333337</v>
      </c>
      <c r="F9" s="483">
        <f>E9-D9</f>
        <v>204.10680658333337</v>
      </c>
      <c r="G9" s="484"/>
      <c r="H9" s="483" t="e">
        <f t="shared" ref="H9:I11" si="0">H24+H39</f>
        <v>#REF!</v>
      </c>
      <c r="I9" s="483" t="e">
        <f t="shared" si="0"/>
        <v>#REF!</v>
      </c>
      <c r="J9" s="98">
        <f>'[56]Int on Working cap'!D4</f>
        <v>231.81748333333331</v>
      </c>
      <c r="K9" s="296">
        <f>'[56]Int on Working cap'!E42</f>
        <v>262.13335166215523</v>
      </c>
      <c r="L9" s="296">
        <f>'[56]Int on Working cap'!F42</f>
        <v>278.03650075756741</v>
      </c>
      <c r="M9" s="296">
        <f>'[56]Int on Working cap'!G4</f>
        <v>334.64972154645903</v>
      </c>
      <c r="N9" s="296">
        <f>'[56]Int on Working cap'!H4</f>
        <v>358.79616804445766</v>
      </c>
      <c r="O9" s="296">
        <f>'[56]Int on Working cap'!I4</f>
        <v>384.7143877084971</v>
      </c>
    </row>
    <row r="10" spans="2:16" s="22" customFormat="1" x14ac:dyDescent="0.25">
      <c r="B10" s="438">
        <f t="shared" ref="B10:B17" si="1">B9+1</f>
        <v>2</v>
      </c>
      <c r="C10" s="27" t="s">
        <v>596</v>
      </c>
      <c r="D10" s="482"/>
      <c r="E10" s="483">
        <f>E25+E40</f>
        <v>90.547440486029998</v>
      </c>
      <c r="F10" s="483">
        <f t="shared" ref="F10:F16" si="2">E10-D10</f>
        <v>90.547440486029998</v>
      </c>
      <c r="G10" s="484"/>
      <c r="H10" s="483">
        <f t="shared" si="0"/>
        <v>0</v>
      </c>
      <c r="I10" s="483">
        <f t="shared" si="0"/>
        <v>0</v>
      </c>
      <c r="J10" s="98">
        <f>'[56]Int on Working cap'!D5</f>
        <v>96.025944019660002</v>
      </c>
      <c r="K10" s="296">
        <f>'[56]Int on Working cap'!E43</f>
        <v>101.99121173671782</v>
      </c>
      <c r="L10" s="296">
        <f>'[56]Int on Working cap'!F43</f>
        <v>118.51401658837273</v>
      </c>
      <c r="M10" s="296">
        <f>'[56]Int on Working cap'!G5</f>
        <v>134.94350348111254</v>
      </c>
      <c r="N10" s="296">
        <f>'[56]Int on Working cap'!H5</f>
        <v>152.48668530913019</v>
      </c>
      <c r="O10" s="296">
        <f>'[56]Int on Working cap'!I5</f>
        <v>171.49495722150201</v>
      </c>
    </row>
    <row r="11" spans="2:16" x14ac:dyDescent="0.25">
      <c r="B11" s="438">
        <f t="shared" si="1"/>
        <v>3</v>
      </c>
      <c r="C11" s="54" t="s">
        <v>597</v>
      </c>
      <c r="D11" s="482"/>
      <c r="E11" s="483" t="e">
        <f>E26+E41</f>
        <v>#REF!</v>
      </c>
      <c r="F11" s="483" t="e">
        <f t="shared" si="2"/>
        <v>#REF!</v>
      </c>
      <c r="G11" s="484"/>
      <c r="H11" s="483" t="e">
        <f t="shared" si="0"/>
        <v>#REF!</v>
      </c>
      <c r="I11" s="483" t="e">
        <f t="shared" si="0"/>
        <v>#REF!</v>
      </c>
      <c r="J11" s="98">
        <f>'[56]Int on Working cap'!D6</f>
        <v>432.35978588208201</v>
      </c>
      <c r="K11" s="296">
        <f>'[56]Int on Working cap'!E44</f>
        <v>487.03743642666876</v>
      </c>
      <c r="L11" s="296">
        <f>'[56]Int on Working cap'!F44</f>
        <v>539.16849715887599</v>
      </c>
      <c r="M11" s="296">
        <f>'[56]Int on Working cap'!G6</f>
        <v>644.56259599173904</v>
      </c>
      <c r="N11" s="296">
        <f>'[56]Int on Working cap'!H6</f>
        <v>704.41962714563556</v>
      </c>
      <c r="O11" s="296">
        <f>'[56]Int on Working cap'!I6</f>
        <v>770.43112741579159</v>
      </c>
    </row>
    <row r="12" spans="2:16" x14ac:dyDescent="0.25">
      <c r="B12" s="438"/>
      <c r="C12" s="54" t="s">
        <v>152</v>
      </c>
      <c r="D12" s="482"/>
      <c r="E12" s="483"/>
      <c r="F12" s="483">
        <f t="shared" si="2"/>
        <v>0</v>
      </c>
      <c r="G12" s="484"/>
      <c r="H12" s="483"/>
      <c r="I12" s="483"/>
      <c r="J12" s="98"/>
      <c r="K12" s="296"/>
      <c r="L12" s="296"/>
      <c r="M12" s="296"/>
      <c r="N12" s="296"/>
      <c r="O12" s="296"/>
    </row>
    <row r="13" spans="2:16" x14ac:dyDescent="0.25">
      <c r="B13" s="438">
        <f>B11+1</f>
        <v>4</v>
      </c>
      <c r="C13" s="441" t="s">
        <v>598</v>
      </c>
      <c r="D13" s="482"/>
      <c r="E13" s="483"/>
      <c r="F13" s="483">
        <f t="shared" si="2"/>
        <v>0</v>
      </c>
      <c r="G13" s="484"/>
      <c r="H13" s="483"/>
      <c r="I13" s="483"/>
      <c r="J13" s="98">
        <f>H13+I13</f>
        <v>0</v>
      </c>
      <c r="K13" s="296">
        <f>I13+J13</f>
        <v>0</v>
      </c>
      <c r="L13" s="296">
        <f t="shared" ref="L13:O14" si="3">J13+K13</f>
        <v>0</v>
      </c>
      <c r="M13" s="296">
        <f t="shared" si="3"/>
        <v>0</v>
      </c>
      <c r="N13" s="296">
        <f t="shared" si="3"/>
        <v>0</v>
      </c>
      <c r="O13" s="296">
        <f t="shared" si="3"/>
        <v>0</v>
      </c>
    </row>
    <row r="14" spans="2:16" ht="27.6" x14ac:dyDescent="0.25">
      <c r="B14" s="438">
        <f>B13+1</f>
        <v>5</v>
      </c>
      <c r="C14" s="54" t="s">
        <v>599</v>
      </c>
      <c r="D14" s="482"/>
      <c r="E14" s="483">
        <f>E29+E44</f>
        <v>0</v>
      </c>
      <c r="F14" s="483">
        <f t="shared" si="2"/>
        <v>0</v>
      </c>
      <c r="G14" s="484"/>
      <c r="H14" s="483">
        <f>H29+H44</f>
        <v>0</v>
      </c>
      <c r="I14" s="483">
        <f>I29+I44</f>
        <v>0</v>
      </c>
      <c r="J14" s="98">
        <f>H14+I14</f>
        <v>0</v>
      </c>
      <c r="K14" s="296">
        <f>I14+J14</f>
        <v>0</v>
      </c>
      <c r="L14" s="296">
        <f>J14+K14</f>
        <v>0</v>
      </c>
      <c r="M14" s="296">
        <f t="shared" si="3"/>
        <v>0</v>
      </c>
      <c r="N14" s="296">
        <f t="shared" si="3"/>
        <v>0</v>
      </c>
      <c r="O14" s="296">
        <f t="shared" si="3"/>
        <v>0</v>
      </c>
    </row>
    <row r="15" spans="2:16" x14ac:dyDescent="0.25">
      <c r="B15" s="438">
        <f>B14+1</f>
        <v>6</v>
      </c>
      <c r="C15" s="441" t="s">
        <v>600</v>
      </c>
      <c r="D15" s="482"/>
      <c r="E15" s="483" t="e">
        <f>E30+E45</f>
        <v>#REF!</v>
      </c>
      <c r="F15" s="483" t="e">
        <f>E15-D15</f>
        <v>#REF!</v>
      </c>
      <c r="G15" s="484"/>
      <c r="H15" s="483" t="e">
        <f>H30+H45</f>
        <v>#REF!</v>
      </c>
      <c r="I15" s="483" t="e">
        <f>I30+I45</f>
        <v>#REF!</v>
      </c>
      <c r="J15" s="98">
        <f>'[56]Int on Working cap'!D9</f>
        <v>760.20321323507528</v>
      </c>
      <c r="K15" s="296">
        <f>'[56]Int on Working cap'!E47</f>
        <v>852</v>
      </c>
      <c r="L15" s="296">
        <f>'[56]Int on Working cap'!F47</f>
        <v>935.71901450481619</v>
      </c>
      <c r="M15" s="296">
        <f>'[56]Int on Working cap'!G9</f>
        <v>1114.1558210193107</v>
      </c>
      <c r="N15" s="296">
        <f>'[56]Int on Working cap'!H9</f>
        <v>1215.7024804992234</v>
      </c>
      <c r="O15" s="296">
        <f>'[56]Int on Working cap'!I9</f>
        <v>1326.6404723457908</v>
      </c>
    </row>
    <row r="16" spans="2:16" x14ac:dyDescent="0.25">
      <c r="B16" s="438">
        <f t="shared" si="1"/>
        <v>7</v>
      </c>
      <c r="C16" s="441" t="s">
        <v>601</v>
      </c>
      <c r="D16" s="482"/>
      <c r="E16" s="483"/>
      <c r="F16" s="483">
        <f t="shared" si="2"/>
        <v>0</v>
      </c>
      <c r="G16" s="484"/>
      <c r="H16" s="483"/>
      <c r="I16" s="483"/>
      <c r="J16" s="268">
        <f>'[56]Int on Working cap'!D10</f>
        <v>0.105</v>
      </c>
      <c r="K16" s="485">
        <f>'[56]Int on Working cap'!E48</f>
        <v>0.105</v>
      </c>
      <c r="L16" s="485">
        <f>'[56]Int on Working cap'!F48</f>
        <v>0.105</v>
      </c>
      <c r="M16" s="297">
        <f>'[56]Int on Working cap'!G10</f>
        <v>0.105</v>
      </c>
      <c r="N16" s="297">
        <f>'[56]Int on Working cap'!H10</f>
        <v>0.105</v>
      </c>
      <c r="O16" s="297">
        <f>'[56]Int on Working cap'!I10</f>
        <v>0.105</v>
      </c>
    </row>
    <row r="17" spans="2:16" x14ac:dyDescent="0.25">
      <c r="B17" s="438">
        <f t="shared" si="1"/>
        <v>8</v>
      </c>
      <c r="C17" s="54" t="s">
        <v>92</v>
      </c>
      <c r="D17" s="482"/>
      <c r="E17" s="483" t="e">
        <f>E15*E16</f>
        <v>#REF!</v>
      </c>
      <c r="F17" s="483" t="e">
        <f>E17-D17</f>
        <v>#REF!</v>
      </c>
      <c r="G17" s="484"/>
      <c r="H17" s="483" t="e">
        <f>H15*H16</f>
        <v>#REF!</v>
      </c>
      <c r="I17" s="483" t="e">
        <f>I15*I16</f>
        <v>#REF!</v>
      </c>
      <c r="J17" s="98">
        <f>'[56]Int on Working cap'!D11</f>
        <v>79.821337389682895</v>
      </c>
      <c r="K17" s="98">
        <f>'[56]Int on Working cap'!E49</f>
        <v>89.46</v>
      </c>
      <c r="L17" s="98">
        <f>'[56]Int on Working cap'!F49</f>
        <v>98.250496523005694</v>
      </c>
      <c r="M17" s="98">
        <f>'[56]Int on Working cap'!G11</f>
        <v>116.98636120702761</v>
      </c>
      <c r="N17" s="98">
        <f>'[56]Int on Working cap'!H11</f>
        <v>127.64876045241846</v>
      </c>
      <c r="O17" s="98">
        <f>'[56]Int on Working cap'!I11</f>
        <v>139.29724959630803</v>
      </c>
    </row>
    <row r="19" spans="2:16" hidden="1" x14ac:dyDescent="0.25">
      <c r="B19" s="266" t="s">
        <v>687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</row>
    <row r="20" spans="2:16" hidden="1" x14ac:dyDescent="0.25">
      <c r="O20" s="16" t="s">
        <v>3</v>
      </c>
    </row>
    <row r="21" spans="2:16" ht="13.95" hidden="1" customHeight="1" x14ac:dyDescent="0.25">
      <c r="B21" s="758" t="s">
        <v>4</v>
      </c>
      <c r="C21" s="760" t="s">
        <v>5</v>
      </c>
      <c r="D21" s="755" t="s">
        <v>7</v>
      </c>
      <c r="E21" s="756"/>
      <c r="F21" s="757"/>
      <c r="G21" s="755" t="s">
        <v>8</v>
      </c>
      <c r="H21" s="756"/>
      <c r="I21" s="756"/>
      <c r="J21" s="756"/>
      <c r="K21" s="768" t="s">
        <v>9</v>
      </c>
      <c r="L21" s="768"/>
      <c r="M21" s="768"/>
      <c r="N21" s="768"/>
      <c r="O21" s="768"/>
      <c r="P21" s="443"/>
    </row>
    <row r="22" spans="2:16" ht="27.6" hidden="1" x14ac:dyDescent="0.25">
      <c r="B22" s="792"/>
      <c r="C22" s="760"/>
      <c r="D22" s="435" t="s">
        <v>10</v>
      </c>
      <c r="E22" s="435" t="s">
        <v>11</v>
      </c>
      <c r="F22" s="435" t="s">
        <v>12</v>
      </c>
      <c r="G22" s="435" t="s">
        <v>10</v>
      </c>
      <c r="H22" s="435" t="s">
        <v>13</v>
      </c>
      <c r="I22" s="435" t="s">
        <v>14</v>
      </c>
      <c r="J22" s="435" t="s">
        <v>15</v>
      </c>
      <c r="K22" s="435" t="s">
        <v>16</v>
      </c>
      <c r="L22" s="435" t="s">
        <v>17</v>
      </c>
      <c r="M22" s="435" t="s">
        <v>18</v>
      </c>
      <c r="N22" s="435" t="s">
        <v>19</v>
      </c>
      <c r="O22" s="435" t="s">
        <v>20</v>
      </c>
    </row>
    <row r="23" spans="2:16" hidden="1" x14ac:dyDescent="0.25">
      <c r="B23" s="810"/>
      <c r="C23" s="857"/>
      <c r="D23" s="435" t="s">
        <v>21</v>
      </c>
      <c r="E23" s="435" t="s">
        <v>22</v>
      </c>
      <c r="F23" s="435" t="s">
        <v>23</v>
      </c>
      <c r="G23" s="435" t="s">
        <v>21</v>
      </c>
      <c r="H23" s="435" t="s">
        <v>24</v>
      </c>
      <c r="I23" s="435" t="s">
        <v>25</v>
      </c>
      <c r="J23" s="435" t="s">
        <v>25</v>
      </c>
      <c r="K23" s="435" t="s">
        <v>26</v>
      </c>
      <c r="L23" s="435" t="s">
        <v>26</v>
      </c>
      <c r="M23" s="435" t="s">
        <v>26</v>
      </c>
      <c r="N23" s="435" t="s">
        <v>26</v>
      </c>
      <c r="O23" s="435" t="s">
        <v>26</v>
      </c>
    </row>
    <row r="24" spans="2:16" hidden="1" x14ac:dyDescent="0.25">
      <c r="B24" s="438">
        <v>1</v>
      </c>
      <c r="C24" s="54" t="s">
        <v>595</v>
      </c>
      <c r="D24" s="482"/>
      <c r="E24" s="483">
        <f>'F15'!F23/12</f>
        <v>183.78345750000003</v>
      </c>
      <c r="F24" s="483">
        <f>E24</f>
        <v>183.78345750000003</v>
      </c>
      <c r="G24" s="484"/>
      <c r="H24" s="483" t="e">
        <f>'F15'!I23/12</f>
        <v>#REF!</v>
      </c>
      <c r="I24" s="483" t="e">
        <f>'F15'!J23/12</f>
        <v>#REF!</v>
      </c>
      <c r="J24" s="98">
        <f>J9*90%</f>
        <v>208.63573499999998</v>
      </c>
      <c r="K24" s="92">
        <f>90%*K9</f>
        <v>235.92001649593971</v>
      </c>
      <c r="L24" s="92">
        <f t="shared" ref="L24:O24" si="4">90%*L9</f>
        <v>250.23285068181067</v>
      </c>
      <c r="M24" s="92">
        <f t="shared" si="4"/>
        <v>301.18474939181311</v>
      </c>
      <c r="N24" s="92">
        <f t="shared" si="4"/>
        <v>322.91655124001193</v>
      </c>
      <c r="O24" s="92">
        <f t="shared" si="4"/>
        <v>346.24294893764738</v>
      </c>
    </row>
    <row r="25" spans="2:16" hidden="1" x14ac:dyDescent="0.25">
      <c r="B25" s="438">
        <f t="shared" ref="B25:B32" si="5">B24+1</f>
        <v>2</v>
      </c>
      <c r="C25" s="27" t="s">
        <v>596</v>
      </c>
      <c r="D25" s="482"/>
      <c r="E25" s="483">
        <f>'F17'!F366*1%</f>
        <v>81.492696437427</v>
      </c>
      <c r="F25" s="483">
        <f t="shared" ref="F25:F32" si="6">E25</f>
        <v>81.492696437427</v>
      </c>
      <c r="G25" s="484"/>
      <c r="H25" s="483"/>
      <c r="I25" s="483"/>
      <c r="J25" s="98">
        <f t="shared" ref="J25:J26" si="7">J10*90%</f>
        <v>86.423349617694001</v>
      </c>
      <c r="K25" s="92">
        <f t="shared" ref="K25:O29" si="8">90%*K10</f>
        <v>91.792090563046031</v>
      </c>
      <c r="L25" s="92">
        <f t="shared" si="8"/>
        <v>106.66261492953545</v>
      </c>
      <c r="M25" s="92">
        <f t="shared" si="8"/>
        <v>121.44915313300129</v>
      </c>
      <c r="N25" s="92">
        <f t="shared" si="8"/>
        <v>137.23801677821717</v>
      </c>
      <c r="O25" s="92">
        <f t="shared" si="8"/>
        <v>154.34546149935181</v>
      </c>
    </row>
    <row r="26" spans="2:16" hidden="1" x14ac:dyDescent="0.25">
      <c r="B26" s="438">
        <f t="shared" si="5"/>
        <v>3</v>
      </c>
      <c r="C26" s="54" t="s">
        <v>597</v>
      </c>
      <c r="D26" s="482"/>
      <c r="E26" s="483" t="e">
        <f>[61]F1!F44*45/365</f>
        <v>#REF!</v>
      </c>
      <c r="F26" s="483" t="e">
        <f t="shared" si="6"/>
        <v>#REF!</v>
      </c>
      <c r="G26" s="484"/>
      <c r="H26" s="483" t="e">
        <f>[61]F1!I44*45/365</f>
        <v>#REF!</v>
      </c>
      <c r="I26" s="483" t="e">
        <f>[61]F1!J44*45/365</f>
        <v>#REF!</v>
      </c>
      <c r="J26" s="98">
        <f t="shared" si="7"/>
        <v>389.12380729387382</v>
      </c>
      <c r="K26" s="92">
        <f t="shared" si="8"/>
        <v>438.33369278400187</v>
      </c>
      <c r="L26" s="92">
        <f t="shared" si="8"/>
        <v>485.25164744298843</v>
      </c>
      <c r="M26" s="92">
        <f t="shared" si="8"/>
        <v>580.10633639256514</v>
      </c>
      <c r="N26" s="92">
        <f t="shared" si="8"/>
        <v>633.97766443107207</v>
      </c>
      <c r="O26" s="92">
        <f t="shared" si="8"/>
        <v>693.3880146742124</v>
      </c>
    </row>
    <row r="27" spans="2:16" hidden="1" x14ac:dyDescent="0.25">
      <c r="B27" s="438"/>
      <c r="C27" s="54" t="s">
        <v>152</v>
      </c>
      <c r="D27" s="482"/>
      <c r="E27" s="483"/>
      <c r="F27" s="483">
        <f t="shared" si="6"/>
        <v>0</v>
      </c>
      <c r="G27" s="484"/>
      <c r="H27" s="483"/>
      <c r="I27" s="483"/>
      <c r="J27" s="98"/>
      <c r="K27" s="92">
        <f t="shared" si="8"/>
        <v>0</v>
      </c>
      <c r="L27" s="92">
        <f t="shared" si="8"/>
        <v>0</v>
      </c>
      <c r="M27" s="92">
        <f t="shared" si="8"/>
        <v>0</v>
      </c>
      <c r="N27" s="92">
        <f t="shared" si="8"/>
        <v>0</v>
      </c>
      <c r="O27" s="92">
        <f t="shared" si="8"/>
        <v>0</v>
      </c>
    </row>
    <row r="28" spans="2:16" hidden="1" x14ac:dyDescent="0.25">
      <c r="B28" s="438">
        <f>B26+1</f>
        <v>4</v>
      </c>
      <c r="C28" s="441" t="s">
        <v>598</v>
      </c>
      <c r="D28" s="482"/>
      <c r="E28" s="483"/>
      <c r="F28" s="483">
        <f t="shared" si="6"/>
        <v>0</v>
      </c>
      <c r="G28" s="484"/>
      <c r="H28" s="483"/>
      <c r="I28" s="483"/>
      <c r="J28" s="98">
        <f>H28+I28</f>
        <v>0</v>
      </c>
      <c r="K28" s="92">
        <f t="shared" si="8"/>
        <v>0</v>
      </c>
      <c r="L28" s="92">
        <f t="shared" si="8"/>
        <v>0</v>
      </c>
      <c r="M28" s="92">
        <f t="shared" si="8"/>
        <v>0</v>
      </c>
      <c r="N28" s="92">
        <f t="shared" si="8"/>
        <v>0</v>
      </c>
      <c r="O28" s="92">
        <f t="shared" si="8"/>
        <v>0</v>
      </c>
    </row>
    <row r="29" spans="2:16" ht="27.6" hidden="1" x14ac:dyDescent="0.25">
      <c r="B29" s="438">
        <f>B28+1</f>
        <v>5</v>
      </c>
      <c r="C29" s="298" t="s">
        <v>599</v>
      </c>
      <c r="D29" s="482"/>
      <c r="E29" s="483"/>
      <c r="F29" s="483">
        <f t="shared" si="6"/>
        <v>0</v>
      </c>
      <c r="G29" s="484"/>
      <c r="H29" s="483"/>
      <c r="I29" s="483"/>
      <c r="J29" s="98"/>
      <c r="K29" s="92">
        <f t="shared" si="8"/>
        <v>0</v>
      </c>
      <c r="L29" s="92">
        <f t="shared" si="8"/>
        <v>0</v>
      </c>
      <c r="M29" s="92">
        <f t="shared" si="8"/>
        <v>0</v>
      </c>
      <c r="N29" s="92">
        <f t="shared" si="8"/>
        <v>0</v>
      </c>
      <c r="O29" s="92">
        <f t="shared" si="8"/>
        <v>0</v>
      </c>
    </row>
    <row r="30" spans="2:16" hidden="1" x14ac:dyDescent="0.25">
      <c r="B30" s="438">
        <f>B29+1</f>
        <v>6</v>
      </c>
      <c r="C30" s="441" t="s">
        <v>600</v>
      </c>
      <c r="D30" s="482"/>
      <c r="E30" s="483" t="e">
        <f>SUM(E24:E26)-E28-E29</f>
        <v>#REF!</v>
      </c>
      <c r="F30" s="483" t="e">
        <f t="shared" si="6"/>
        <v>#REF!</v>
      </c>
      <c r="G30" s="484"/>
      <c r="H30" s="483" t="e">
        <f>SUM(H24:H26)-H28-H29</f>
        <v>#REF!</v>
      </c>
      <c r="I30" s="483" t="e">
        <f>SUM(I24:I26)-I28-I29</f>
        <v>#REF!</v>
      </c>
      <c r="J30" s="98">
        <f t="shared" ref="J30:O30" si="9">90%*J15</f>
        <v>684.18289191156782</v>
      </c>
      <c r="K30" s="92">
        <f t="shared" si="9"/>
        <v>766.80000000000007</v>
      </c>
      <c r="L30" s="92">
        <f t="shared" si="9"/>
        <v>842.14711305433457</v>
      </c>
      <c r="M30" s="92">
        <f t="shared" si="9"/>
        <v>1002.7402389173797</v>
      </c>
      <c r="N30" s="92">
        <f t="shared" si="9"/>
        <v>1094.132232449301</v>
      </c>
      <c r="O30" s="92">
        <f t="shared" si="9"/>
        <v>1193.9764251112117</v>
      </c>
    </row>
    <row r="31" spans="2:16" hidden="1" x14ac:dyDescent="0.25">
      <c r="B31" s="438">
        <f t="shared" si="5"/>
        <v>7</v>
      </c>
      <c r="C31" s="441" t="s">
        <v>601</v>
      </c>
      <c r="D31" s="482"/>
      <c r="E31" s="483"/>
      <c r="F31" s="483">
        <f t="shared" si="6"/>
        <v>0</v>
      </c>
      <c r="G31" s="484"/>
      <c r="H31" s="483"/>
      <c r="I31" s="483"/>
      <c r="J31" s="299">
        <f>J16</f>
        <v>0.105</v>
      </c>
      <c r="K31" s="300">
        <f>K16</f>
        <v>0.105</v>
      </c>
      <c r="L31" s="300">
        <f t="shared" ref="L31:O31" si="10">L16</f>
        <v>0.105</v>
      </c>
      <c r="M31" s="300">
        <f t="shared" si="10"/>
        <v>0.105</v>
      </c>
      <c r="N31" s="300">
        <f t="shared" si="10"/>
        <v>0.105</v>
      </c>
      <c r="O31" s="300">
        <f t="shared" si="10"/>
        <v>0.105</v>
      </c>
    </row>
    <row r="32" spans="2:16" hidden="1" x14ac:dyDescent="0.25">
      <c r="B32" s="438">
        <f t="shared" si="5"/>
        <v>8</v>
      </c>
      <c r="C32" s="54" t="s">
        <v>92</v>
      </c>
      <c r="D32" s="482"/>
      <c r="E32" s="483" t="e">
        <f>E30*E31</f>
        <v>#REF!</v>
      </c>
      <c r="F32" s="483" t="e">
        <f t="shared" si="6"/>
        <v>#REF!</v>
      </c>
      <c r="G32" s="484"/>
      <c r="H32" s="483" t="e">
        <f t="shared" ref="H32:O32" si="11">H30*H31</f>
        <v>#REF!</v>
      </c>
      <c r="I32" s="483" t="e">
        <f t="shared" si="11"/>
        <v>#REF!</v>
      </c>
      <c r="J32" s="98">
        <f t="shared" si="11"/>
        <v>71.839203650714623</v>
      </c>
      <c r="K32" s="98">
        <f t="shared" si="11"/>
        <v>80.51400000000001</v>
      </c>
      <c r="L32" s="98">
        <f t="shared" si="11"/>
        <v>88.42544687070513</v>
      </c>
      <c r="M32" s="98">
        <f t="shared" si="11"/>
        <v>105.28772508632485</v>
      </c>
      <c r="N32" s="98">
        <f t="shared" si="11"/>
        <v>114.88388440717659</v>
      </c>
      <c r="O32" s="98">
        <f t="shared" si="11"/>
        <v>125.36752463667723</v>
      </c>
    </row>
    <row r="33" spans="2:16" hidden="1" x14ac:dyDescent="0.25"/>
    <row r="34" spans="2:16" hidden="1" x14ac:dyDescent="0.25">
      <c r="B34" s="266" t="s">
        <v>688</v>
      </c>
      <c r="C34" s="14"/>
      <c r="D34" s="15"/>
      <c r="E34" s="15"/>
      <c r="F34" s="15"/>
      <c r="G34" s="15"/>
      <c r="H34" s="15"/>
      <c r="I34" s="15"/>
      <c r="J34" s="15"/>
      <c r="K34" s="15"/>
      <c r="L34" s="15"/>
    </row>
    <row r="35" spans="2:16" hidden="1" x14ac:dyDescent="0.25">
      <c r="O35" s="16" t="s">
        <v>3</v>
      </c>
    </row>
    <row r="36" spans="2:16" ht="13.95" hidden="1" customHeight="1" x14ac:dyDescent="0.25">
      <c r="B36" s="758" t="s">
        <v>4</v>
      </c>
      <c r="C36" s="760" t="s">
        <v>5</v>
      </c>
      <c r="D36" s="755" t="s">
        <v>7</v>
      </c>
      <c r="E36" s="756"/>
      <c r="F36" s="757"/>
      <c r="G36" s="755" t="s">
        <v>8</v>
      </c>
      <c r="H36" s="756"/>
      <c r="I36" s="756"/>
      <c r="J36" s="756"/>
      <c r="K36" s="768" t="s">
        <v>9</v>
      </c>
      <c r="L36" s="768"/>
      <c r="M36" s="768"/>
      <c r="N36" s="768"/>
      <c r="O36" s="768"/>
      <c r="P36" s="443"/>
    </row>
    <row r="37" spans="2:16" ht="27.6" hidden="1" x14ac:dyDescent="0.25">
      <c r="B37" s="792"/>
      <c r="C37" s="760"/>
      <c r="D37" s="435" t="s">
        <v>10</v>
      </c>
      <c r="E37" s="435" t="s">
        <v>11</v>
      </c>
      <c r="F37" s="435" t="s">
        <v>12</v>
      </c>
      <c r="G37" s="435" t="s">
        <v>10</v>
      </c>
      <c r="H37" s="435" t="s">
        <v>13</v>
      </c>
      <c r="I37" s="435" t="s">
        <v>14</v>
      </c>
      <c r="J37" s="435" t="s">
        <v>15</v>
      </c>
      <c r="K37" s="435" t="s">
        <v>16</v>
      </c>
      <c r="L37" s="435" t="s">
        <v>17</v>
      </c>
      <c r="M37" s="435" t="s">
        <v>18</v>
      </c>
      <c r="N37" s="435" t="s">
        <v>19</v>
      </c>
      <c r="O37" s="435" t="s">
        <v>20</v>
      </c>
    </row>
    <row r="38" spans="2:16" hidden="1" x14ac:dyDescent="0.25">
      <c r="B38" s="810"/>
      <c r="C38" s="857"/>
      <c r="D38" s="435" t="s">
        <v>21</v>
      </c>
      <c r="E38" s="435" t="s">
        <v>22</v>
      </c>
      <c r="F38" s="435" t="s">
        <v>23</v>
      </c>
      <c r="G38" s="435" t="s">
        <v>21</v>
      </c>
      <c r="H38" s="435" t="s">
        <v>24</v>
      </c>
      <c r="I38" s="435" t="s">
        <v>25</v>
      </c>
      <c r="J38" s="435" t="s">
        <v>25</v>
      </c>
      <c r="K38" s="435" t="s">
        <v>26</v>
      </c>
      <c r="L38" s="435" t="s">
        <v>26</v>
      </c>
      <c r="M38" s="435" t="s">
        <v>26</v>
      </c>
      <c r="N38" s="435" t="s">
        <v>26</v>
      </c>
      <c r="O38" s="435" t="s">
        <v>26</v>
      </c>
    </row>
    <row r="39" spans="2:16" hidden="1" x14ac:dyDescent="0.25">
      <c r="B39" s="438">
        <v>1</v>
      </c>
      <c r="C39" s="54" t="s">
        <v>595</v>
      </c>
      <c r="D39" s="482"/>
      <c r="E39" s="483">
        <f>'F15'!F33/12</f>
        <v>20.323349083333337</v>
      </c>
      <c r="F39" s="483">
        <f>E39</f>
        <v>20.323349083333337</v>
      </c>
      <c r="G39" s="484"/>
      <c r="H39" s="483" t="e">
        <f>'F15'!I33/12</f>
        <v>#REF!</v>
      </c>
      <c r="I39" s="483" t="e">
        <f>'F15'!J33/12</f>
        <v>#REF!</v>
      </c>
      <c r="J39" s="98">
        <f>J9*10%</f>
        <v>23.181748333333331</v>
      </c>
      <c r="K39" s="92">
        <f t="shared" ref="K39:O41" si="12">K9*10%</f>
        <v>26.213335166215526</v>
      </c>
      <c r="L39" s="92">
        <f t="shared" si="12"/>
        <v>27.803650075756742</v>
      </c>
      <c r="M39" s="92">
        <f t="shared" si="12"/>
        <v>33.464972154645906</v>
      </c>
      <c r="N39" s="92">
        <f t="shared" si="12"/>
        <v>35.879616804445767</v>
      </c>
      <c r="O39" s="92">
        <f t="shared" si="12"/>
        <v>38.471438770849716</v>
      </c>
    </row>
    <row r="40" spans="2:16" hidden="1" x14ac:dyDescent="0.25">
      <c r="B40" s="438">
        <f t="shared" ref="B40:B47" si="13">B39+1</f>
        <v>2</v>
      </c>
      <c r="C40" s="27" t="s">
        <v>596</v>
      </c>
      <c r="D40" s="482"/>
      <c r="E40" s="483">
        <f>'F17'!F683*1%</f>
        <v>9.0547440486030002</v>
      </c>
      <c r="F40" s="483">
        <f t="shared" ref="F40:F47" si="14">E40</f>
        <v>9.0547440486030002</v>
      </c>
      <c r="G40" s="484"/>
      <c r="H40" s="483"/>
      <c r="I40" s="483"/>
      <c r="J40" s="98">
        <f>J10*10%</f>
        <v>9.6025944019660017</v>
      </c>
      <c r="K40" s="92">
        <f t="shared" si="12"/>
        <v>10.199121173671783</v>
      </c>
      <c r="L40" s="92">
        <f t="shared" si="12"/>
        <v>11.851401658837274</v>
      </c>
      <c r="M40" s="92">
        <f t="shared" si="12"/>
        <v>13.494350348111254</v>
      </c>
      <c r="N40" s="92">
        <f t="shared" si="12"/>
        <v>15.248668530913021</v>
      </c>
      <c r="O40" s="92">
        <f t="shared" si="12"/>
        <v>17.149495722150203</v>
      </c>
    </row>
    <row r="41" spans="2:16" hidden="1" x14ac:dyDescent="0.25">
      <c r="B41" s="438">
        <f t="shared" si="13"/>
        <v>3</v>
      </c>
      <c r="C41" s="54" t="s">
        <v>597</v>
      </c>
      <c r="D41" s="482"/>
      <c r="E41" s="483" t="e">
        <f>[61]F1!F67*45/365</f>
        <v>#REF!</v>
      </c>
      <c r="F41" s="483" t="e">
        <f t="shared" si="14"/>
        <v>#REF!</v>
      </c>
      <c r="G41" s="484"/>
      <c r="H41" s="483" t="e">
        <f>[61]F1!I67*45/365</f>
        <v>#REF!</v>
      </c>
      <c r="I41" s="483" t="e">
        <f>[61]F1!J67*45/365</f>
        <v>#REF!</v>
      </c>
      <c r="J41" s="98">
        <f>J11*10%</f>
        <v>43.235978588208205</v>
      </c>
      <c r="K41" s="92">
        <f t="shared" si="12"/>
        <v>48.703743642666879</v>
      </c>
      <c r="L41" s="92">
        <f t="shared" si="12"/>
        <v>53.916849715887601</v>
      </c>
      <c r="M41" s="92">
        <f t="shared" si="12"/>
        <v>64.456259599173904</v>
      </c>
      <c r="N41" s="92">
        <f t="shared" si="12"/>
        <v>70.441962714563559</v>
      </c>
      <c r="O41" s="92">
        <f t="shared" si="12"/>
        <v>77.043112741579165</v>
      </c>
    </row>
    <row r="42" spans="2:16" hidden="1" x14ac:dyDescent="0.25">
      <c r="B42" s="438"/>
      <c r="C42" s="54" t="s">
        <v>152</v>
      </c>
      <c r="D42" s="482"/>
      <c r="E42" s="483"/>
      <c r="F42" s="483">
        <f t="shared" si="14"/>
        <v>0</v>
      </c>
      <c r="G42" s="484"/>
      <c r="H42" s="483"/>
      <c r="I42" s="483"/>
      <c r="J42" s="98"/>
      <c r="K42" s="19"/>
      <c r="L42" s="19"/>
      <c r="M42" s="19"/>
      <c r="N42" s="19"/>
      <c r="O42" s="19"/>
    </row>
    <row r="43" spans="2:16" hidden="1" x14ac:dyDescent="0.25">
      <c r="B43" s="438">
        <f>B41+1</f>
        <v>4</v>
      </c>
      <c r="C43" s="441" t="s">
        <v>598</v>
      </c>
      <c r="D43" s="482"/>
      <c r="E43" s="483"/>
      <c r="F43" s="483">
        <f t="shared" si="14"/>
        <v>0</v>
      </c>
      <c r="G43" s="484"/>
      <c r="H43" s="483"/>
      <c r="I43" s="483"/>
      <c r="J43" s="98">
        <f>H43+I43</f>
        <v>0</v>
      </c>
      <c r="K43" s="19"/>
      <c r="L43" s="19"/>
      <c r="M43" s="19"/>
      <c r="N43" s="19"/>
      <c r="O43" s="19"/>
    </row>
    <row r="44" spans="2:16" ht="27.6" hidden="1" x14ac:dyDescent="0.25">
      <c r="B44" s="438">
        <f>B43+1</f>
        <v>5</v>
      </c>
      <c r="C44" s="54" t="s">
        <v>599</v>
      </c>
      <c r="D44" s="482"/>
      <c r="E44" s="483">
        <f>([61]F14!G15+[61]F14!G20+[61]F14!G25+[61]F12!F90)*45/365</f>
        <v>0</v>
      </c>
      <c r="F44" s="483">
        <f t="shared" si="14"/>
        <v>0</v>
      </c>
      <c r="G44" s="484"/>
      <c r="H44" s="483">
        <f>([61]F14!J15+[61]F14!J20+[61]F14!J25+[61]F12!I90)*45/365</f>
        <v>0</v>
      </c>
      <c r="I44" s="483">
        <f>([61]F14!K15+[61]F14!K20+[61]F14!K25+[61]F12!J90)*45/365</f>
        <v>0</v>
      </c>
      <c r="J44" s="98">
        <f>H44+I44</f>
        <v>0</v>
      </c>
      <c r="K44" s="92">
        <f>([61]F14!M15+[61]F14!M20+[61]F14!M25+[61]F12!L90)*45/365</f>
        <v>0</v>
      </c>
      <c r="L44" s="92">
        <f>([61]F14!N15+[61]F14!N20+[61]F14!N25+[61]F12!M90)*45/365</f>
        <v>0</v>
      </c>
      <c r="M44" s="92">
        <f>([61]F14!O15+[61]F14!O20+[61]F14!O25+[61]F12!N90)*45/365</f>
        <v>0</v>
      </c>
      <c r="N44" s="92">
        <f>([61]F14!P15+[61]F14!P20+[61]F14!P25+[61]F12!O90)*45/365</f>
        <v>0</v>
      </c>
      <c r="O44" s="92">
        <f>([61]F14!Q15+[61]F14!Q20+[61]F14!Q25+[61]F12!P90)*45/365</f>
        <v>0</v>
      </c>
    </row>
    <row r="45" spans="2:16" hidden="1" x14ac:dyDescent="0.25">
      <c r="B45" s="438">
        <f>B44+1</f>
        <v>6</v>
      </c>
      <c r="C45" s="441" t="s">
        <v>600</v>
      </c>
      <c r="D45" s="482"/>
      <c r="E45" s="483" t="e">
        <f>SUM(E39:E41)-E43-E44</f>
        <v>#REF!</v>
      </c>
      <c r="F45" s="483" t="e">
        <f t="shared" si="14"/>
        <v>#REF!</v>
      </c>
      <c r="G45" s="484"/>
      <c r="H45" s="483" t="e">
        <f>SUM(H39:H41)-H43-H44</f>
        <v>#REF!</v>
      </c>
      <c r="I45" s="483" t="e">
        <f>SUM(I39:I41)-I43-I44</f>
        <v>#REF!</v>
      </c>
      <c r="J45" s="98">
        <f t="shared" ref="J45:O45" si="15">10%*J15</f>
        <v>76.020321323507531</v>
      </c>
      <c r="K45" s="92">
        <f t="shared" si="15"/>
        <v>85.2</v>
      </c>
      <c r="L45" s="92">
        <f t="shared" si="15"/>
        <v>93.571901450481619</v>
      </c>
      <c r="M45" s="92">
        <f t="shared" si="15"/>
        <v>111.41558210193108</v>
      </c>
      <c r="N45" s="92">
        <f t="shared" si="15"/>
        <v>121.57024804992234</v>
      </c>
      <c r="O45" s="92">
        <f t="shared" si="15"/>
        <v>132.6640472345791</v>
      </c>
    </row>
    <row r="46" spans="2:16" hidden="1" x14ac:dyDescent="0.25">
      <c r="B46" s="438">
        <f t="shared" si="13"/>
        <v>7</v>
      </c>
      <c r="C46" s="441" t="s">
        <v>601</v>
      </c>
      <c r="D46" s="482"/>
      <c r="E46" s="483"/>
      <c r="F46" s="483">
        <f t="shared" si="14"/>
        <v>0</v>
      </c>
      <c r="G46" s="484"/>
      <c r="H46" s="483"/>
      <c r="I46" s="483"/>
      <c r="J46" s="299">
        <f>J31</f>
        <v>0.105</v>
      </c>
      <c r="K46" s="301">
        <f>K31</f>
        <v>0.105</v>
      </c>
      <c r="L46" s="301">
        <f t="shared" ref="L46:O46" si="16">L31</f>
        <v>0.105</v>
      </c>
      <c r="M46" s="301">
        <f t="shared" si="16"/>
        <v>0.105</v>
      </c>
      <c r="N46" s="301">
        <f t="shared" si="16"/>
        <v>0.105</v>
      </c>
      <c r="O46" s="301">
        <f t="shared" si="16"/>
        <v>0.105</v>
      </c>
    </row>
    <row r="47" spans="2:16" hidden="1" x14ac:dyDescent="0.25">
      <c r="B47" s="438">
        <f t="shared" si="13"/>
        <v>8</v>
      </c>
      <c r="C47" s="54" t="s">
        <v>92</v>
      </c>
      <c r="D47" s="482"/>
      <c r="E47" s="483" t="e">
        <f>E45*E46</f>
        <v>#REF!</v>
      </c>
      <c r="F47" s="483" t="e">
        <f t="shared" si="14"/>
        <v>#REF!</v>
      </c>
      <c r="G47" s="484"/>
      <c r="H47" s="483" t="e">
        <f t="shared" ref="H47:O47" si="17">H45*H46</f>
        <v>#REF!</v>
      </c>
      <c r="I47" s="483" t="e">
        <f t="shared" si="17"/>
        <v>#REF!</v>
      </c>
      <c r="J47" s="98">
        <f t="shared" si="17"/>
        <v>7.9821337389682903</v>
      </c>
      <c r="K47" s="98">
        <f t="shared" si="17"/>
        <v>8.9459999999999997</v>
      </c>
      <c r="L47" s="98">
        <f t="shared" si="17"/>
        <v>9.825049652300569</v>
      </c>
      <c r="M47" s="98">
        <f t="shared" si="17"/>
        <v>11.698636120702762</v>
      </c>
      <c r="N47" s="98">
        <f t="shared" si="17"/>
        <v>12.764876045241845</v>
      </c>
      <c r="O47" s="98">
        <f t="shared" si="17"/>
        <v>13.929724959630805</v>
      </c>
    </row>
    <row r="51" spans="3:10" ht="18" x14ac:dyDescent="0.35">
      <c r="C51" s="878" t="s">
        <v>715</v>
      </c>
      <c r="D51" s="878"/>
      <c r="E51" s="878"/>
      <c r="F51" s="878"/>
      <c r="G51" s="878"/>
      <c r="H51" s="878"/>
      <c r="I51" s="878"/>
      <c r="J51" s="878"/>
    </row>
    <row r="52" spans="3:10" ht="15.6" x14ac:dyDescent="0.3">
      <c r="C52" s="302" t="s">
        <v>716</v>
      </c>
      <c r="D52" s="302" t="s">
        <v>717</v>
      </c>
      <c r="E52" s="302" t="s">
        <v>718</v>
      </c>
      <c r="F52" s="302" t="s">
        <v>719</v>
      </c>
      <c r="G52" s="302" t="s">
        <v>720</v>
      </c>
      <c r="H52" s="302" t="s">
        <v>721</v>
      </c>
      <c r="I52" s="302" t="s">
        <v>722</v>
      </c>
      <c r="J52" s="302" t="s">
        <v>723</v>
      </c>
    </row>
    <row r="53" spans="3:10" ht="15.6" x14ac:dyDescent="0.3">
      <c r="C53" s="303" t="s">
        <v>724</v>
      </c>
      <c r="D53" s="304">
        <f>'[62]1.5 Int on CSD'!E173</f>
        <v>1136.5541324860001</v>
      </c>
      <c r="E53" s="304">
        <f>'[62]1.5 Int on CSD'!F173</f>
        <v>1318.6960000000001</v>
      </c>
      <c r="F53" s="304">
        <f>'[62]1.5 Int on CSD'!G173</f>
        <v>1416.0936999999999</v>
      </c>
      <c r="G53" s="304"/>
      <c r="H53" s="304"/>
      <c r="I53" s="304"/>
      <c r="J53" s="304"/>
    </row>
    <row r="54" spans="3:10" ht="15.6" x14ac:dyDescent="0.3">
      <c r="C54" s="303" t="s">
        <v>725</v>
      </c>
      <c r="D54" s="304">
        <f>'[62]1.5 Int on CSD'!E174</f>
        <v>182.14186751400007</v>
      </c>
      <c r="E54" s="304">
        <f>'[62]1.5 Int on CSD'!F174</f>
        <v>97.397699999999759</v>
      </c>
      <c r="F54" s="304">
        <f>'[62]1.5 Int on CSD'!G174</f>
        <v>178.17497050921403</v>
      </c>
      <c r="G54" s="304"/>
      <c r="H54" s="304"/>
      <c r="I54" s="304"/>
      <c r="J54" s="304"/>
    </row>
    <row r="55" spans="3:10" ht="15.6" x14ac:dyDescent="0.3">
      <c r="C55" s="303" t="s">
        <v>726</v>
      </c>
      <c r="D55" s="304">
        <f>'[62]1.5 Int on CSD'!E175</f>
        <v>1318.6960000000001</v>
      </c>
      <c r="E55" s="304">
        <f>'[62]1.5 Int on CSD'!F175</f>
        <v>1416.0936999999999</v>
      </c>
      <c r="F55" s="304">
        <f>'[62]1.5 Int on CSD'!G175</f>
        <v>1594.268670509214</v>
      </c>
      <c r="G55" s="304"/>
      <c r="H55" s="304"/>
      <c r="I55" s="304"/>
      <c r="J55" s="304"/>
    </row>
    <row r="56" spans="3:10" ht="15.6" x14ac:dyDescent="0.3">
      <c r="C56" s="303" t="s">
        <v>727</v>
      </c>
      <c r="D56" s="304">
        <f>'[62]1.5 Int on CSD'!E176</f>
        <v>1227.6250662430002</v>
      </c>
      <c r="E56" s="304">
        <f>'[62]1.5 Int on CSD'!F176</f>
        <v>1367.3948500000001</v>
      </c>
      <c r="F56" s="304">
        <f>'[62]1.5 Int on CSD'!G176</f>
        <v>1505.181185254607</v>
      </c>
      <c r="G56" s="304"/>
      <c r="H56" s="304"/>
      <c r="I56" s="304"/>
      <c r="J56" s="304"/>
    </row>
    <row r="57" spans="3:10" ht="15.6" x14ac:dyDescent="0.3">
      <c r="C57" s="303" t="s">
        <v>728</v>
      </c>
      <c r="D57" s="486">
        <f>'[62]1.5 Int on CSD'!E177</f>
        <v>6.2792624653642728E-2</v>
      </c>
      <c r="E57" s="486">
        <f>'[62]1.5 Int on CSD'!F177</f>
        <v>6.7500000000000004E-2</v>
      </c>
      <c r="F57" s="486">
        <f>'[62]1.5 Int on CSD'!G177</f>
        <v>6.7500000000000004E-2</v>
      </c>
      <c r="G57" s="304"/>
      <c r="H57" s="304"/>
      <c r="I57" s="304"/>
      <c r="J57" s="304"/>
    </row>
    <row r="58" spans="3:10" ht="15.6" x14ac:dyDescent="0.3">
      <c r="C58" s="305" t="s">
        <v>729</v>
      </c>
      <c r="D58" s="306">
        <f>'[62]1.5 Int on CSD'!E178</f>
        <v>77.085800000000006</v>
      </c>
      <c r="E58" s="306">
        <f>'[62]1.5 Int on CSD'!F178</f>
        <v>92.29915237500002</v>
      </c>
      <c r="F58" s="306">
        <f>'[62]1.5 Int on CSD'!G178</f>
        <v>101.59973000468598</v>
      </c>
      <c r="G58" s="306">
        <f>'[62]1.5 Int on CSD'!H178</f>
        <v>116.64110863270913</v>
      </c>
      <c r="H58" s="306">
        <f>'[62]1.5 Int on CSD'!I178</f>
        <v>133.90929505855928</v>
      </c>
      <c r="I58" s="306">
        <f>'[62]1.5 Int on CSD'!J178</f>
        <v>153.73395806400785</v>
      </c>
      <c r="J58" s="306">
        <f>'[62]1.5 Int on CSD'!K178</f>
        <v>176.49357239682868</v>
      </c>
    </row>
  </sheetData>
  <mergeCells count="16">
    <mergeCell ref="K36:O36"/>
    <mergeCell ref="C51:J51"/>
    <mergeCell ref="B6:B8"/>
    <mergeCell ref="C6:C8"/>
    <mergeCell ref="D6:F6"/>
    <mergeCell ref="G6:J6"/>
    <mergeCell ref="B36:B38"/>
    <mergeCell ref="C36:C38"/>
    <mergeCell ref="D36:F36"/>
    <mergeCell ref="G36:J36"/>
    <mergeCell ref="K6:O6"/>
    <mergeCell ref="B21:B23"/>
    <mergeCell ref="C21:C23"/>
    <mergeCell ref="D21:F21"/>
    <mergeCell ref="G21:J21"/>
    <mergeCell ref="K21:O21"/>
  </mergeCells>
  <pageMargins left="1.02" right="0.25" top="1" bottom="1" header="0.25" footer="0.25"/>
  <pageSetup paperSize="9" scale="61" orientation="landscape" r:id="rId1"/>
  <headerFooter alignWithMargins="0">
    <oddHeader>&amp;F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1:P59"/>
  <sheetViews>
    <sheetView showGridLines="0" zoomScale="75" zoomScaleNormal="75" zoomScaleSheetLayoutView="90" workbookViewId="0">
      <selection activeCell="L13" sqref="L13"/>
    </sheetView>
  </sheetViews>
  <sheetFormatPr defaultColWidth="9.109375" defaultRowHeight="13.8" x14ac:dyDescent="0.25"/>
  <cols>
    <col min="1" max="1" width="4.109375" style="4" customWidth="1"/>
    <col min="2" max="2" width="6.33203125" style="4" customWidth="1"/>
    <col min="3" max="3" width="44.44140625" style="4" customWidth="1"/>
    <col min="4" max="4" width="13.6640625" style="4" bestFit="1" customWidth="1"/>
    <col min="5" max="5" width="12.5546875" style="4" bestFit="1" customWidth="1"/>
    <col min="6" max="6" width="13.44140625" style="4" bestFit="1" customWidth="1"/>
    <col min="7" max="7" width="13.6640625" style="4" bestFit="1" customWidth="1"/>
    <col min="8" max="8" width="12.5546875" style="4" bestFit="1" customWidth="1"/>
    <col min="9" max="9" width="13.109375" style="4" bestFit="1" customWidth="1"/>
    <col min="10" max="10" width="12.5546875" style="4" customWidth="1"/>
    <col min="11" max="11" width="11.88671875" style="4" bestFit="1" customWidth="1"/>
    <col min="12" max="12" width="13.88671875" style="4" bestFit="1" customWidth="1"/>
    <col min="13" max="15" width="11.88671875" style="4" hidden="1" customWidth="1"/>
    <col min="16" max="17" width="11.88671875" style="4" bestFit="1" customWidth="1"/>
    <col min="18" max="18" width="11.6640625" style="4" bestFit="1" customWidth="1"/>
    <col min="19" max="16384" width="9.109375" style="4"/>
  </cols>
  <sheetData>
    <row r="1" spans="2:16" x14ac:dyDescent="0.25">
      <c r="B1" s="14"/>
    </row>
    <row r="2" spans="2:16" x14ac:dyDescent="0.25">
      <c r="G2" s="22"/>
      <c r="H2" s="251" t="s">
        <v>0</v>
      </c>
    </row>
    <row r="3" spans="2:16" x14ac:dyDescent="0.25">
      <c r="H3" s="440" t="s">
        <v>602</v>
      </c>
    </row>
    <row r="4" spans="2:16" x14ac:dyDescent="0.25">
      <c r="B4" s="266" t="s">
        <v>684</v>
      </c>
      <c r="C4" s="14"/>
      <c r="D4" s="15"/>
      <c r="E4" s="15"/>
      <c r="F4" s="15"/>
      <c r="G4" s="15"/>
      <c r="H4" s="15"/>
      <c r="I4" s="15"/>
      <c r="J4" s="15"/>
      <c r="K4" s="15"/>
      <c r="L4" s="15"/>
    </row>
    <row r="5" spans="2:16" x14ac:dyDescent="0.25">
      <c r="L5" s="15" t="s">
        <v>1215</v>
      </c>
      <c r="O5" s="16" t="s">
        <v>3</v>
      </c>
    </row>
    <row r="6" spans="2:16" s="5" customFormat="1" ht="15" customHeight="1" x14ac:dyDescent="0.25">
      <c r="B6" s="758" t="s">
        <v>4</v>
      </c>
      <c r="C6" s="760" t="s">
        <v>5</v>
      </c>
      <c r="D6" s="755" t="s">
        <v>7</v>
      </c>
      <c r="E6" s="756"/>
      <c r="F6" s="757"/>
      <c r="G6" s="755" t="s">
        <v>8</v>
      </c>
      <c r="H6" s="756"/>
      <c r="I6" s="756"/>
      <c r="J6" s="756"/>
      <c r="K6" s="768" t="s">
        <v>9</v>
      </c>
      <c r="L6" s="768"/>
      <c r="M6" s="768"/>
      <c r="N6" s="768"/>
      <c r="O6" s="768"/>
      <c r="P6" s="445"/>
    </row>
    <row r="7" spans="2:16" s="5" customFormat="1" ht="27.6" x14ac:dyDescent="0.25">
      <c r="B7" s="792"/>
      <c r="C7" s="760"/>
      <c r="D7" s="435" t="s">
        <v>10</v>
      </c>
      <c r="E7" s="435" t="s">
        <v>11</v>
      </c>
      <c r="F7" s="435" t="s">
        <v>12</v>
      </c>
      <c r="G7" s="435" t="s">
        <v>10</v>
      </c>
      <c r="H7" s="435" t="s">
        <v>13</v>
      </c>
      <c r="I7" s="435" t="s">
        <v>14</v>
      </c>
      <c r="J7" s="435" t="s">
        <v>15</v>
      </c>
      <c r="K7" s="435" t="s">
        <v>16</v>
      </c>
      <c r="L7" s="435" t="s">
        <v>17</v>
      </c>
      <c r="M7" s="435" t="s">
        <v>18</v>
      </c>
      <c r="N7" s="435" t="s">
        <v>19</v>
      </c>
      <c r="O7" s="435" t="s">
        <v>20</v>
      </c>
    </row>
    <row r="8" spans="2:16" s="5" customFormat="1" x14ac:dyDescent="0.25">
      <c r="B8" s="810"/>
      <c r="C8" s="857"/>
      <c r="D8" s="435" t="s">
        <v>21</v>
      </c>
      <c r="E8" s="435" t="s">
        <v>22</v>
      </c>
      <c r="F8" s="435" t="s">
        <v>23</v>
      </c>
      <c r="G8" s="435" t="s">
        <v>21</v>
      </c>
      <c r="H8" s="435" t="s">
        <v>24</v>
      </c>
      <c r="I8" s="435" t="s">
        <v>25</v>
      </c>
      <c r="J8" s="435" t="s">
        <v>25</v>
      </c>
      <c r="K8" s="435" t="s">
        <v>26</v>
      </c>
      <c r="L8" s="435" t="s">
        <v>26</v>
      </c>
      <c r="M8" s="435" t="s">
        <v>26</v>
      </c>
      <c r="N8" s="435" t="s">
        <v>26</v>
      </c>
      <c r="O8" s="435" t="s">
        <v>26</v>
      </c>
    </row>
    <row r="9" spans="2:16" x14ac:dyDescent="0.25">
      <c r="B9" s="442">
        <v>1</v>
      </c>
      <c r="C9" s="441" t="s">
        <v>603</v>
      </c>
      <c r="D9" s="1"/>
      <c r="E9" s="66">
        <f>E28+E47</f>
        <v>0</v>
      </c>
      <c r="F9" s="66">
        <f>E9-D9</f>
        <v>0</v>
      </c>
      <c r="G9" s="436"/>
      <c r="H9" s="66">
        <f t="shared" ref="H9:I13" si="0">H28+H47</f>
        <v>0</v>
      </c>
      <c r="I9" s="66">
        <f t="shared" si="0"/>
        <v>0</v>
      </c>
      <c r="J9" s="307">
        <f>[56]RoE!D4</f>
        <v>949.31729896500042</v>
      </c>
      <c r="K9" s="307">
        <f>[56]RoE!E4</f>
        <v>1005.8700303067644</v>
      </c>
      <c r="L9" s="307">
        <f>[56]RoE!F4</f>
        <v>1301.8826104467148</v>
      </c>
      <c r="M9" s="307">
        <f>[56]RoE!G4</f>
        <v>1602.1613774134621</v>
      </c>
      <c r="N9" s="307">
        <f>[56]RoE!H4</f>
        <v>1924.7574195299017</v>
      </c>
      <c r="O9" s="307">
        <f>[56]RoE!I4</f>
        <v>2281.2846119891924</v>
      </c>
    </row>
    <row r="10" spans="2:16" x14ac:dyDescent="0.25">
      <c r="B10" s="438">
        <f>B9+1</f>
        <v>2</v>
      </c>
      <c r="C10" s="441" t="s">
        <v>547</v>
      </c>
      <c r="D10" s="1"/>
      <c r="E10" s="66">
        <f>E29+E48</f>
        <v>0</v>
      </c>
      <c r="F10" s="66">
        <f t="shared" ref="F10:F21" si="1">E10-D10</f>
        <v>0</v>
      </c>
      <c r="G10" s="436"/>
      <c r="H10" s="66">
        <f t="shared" si="0"/>
        <v>0</v>
      </c>
      <c r="I10" s="66">
        <f t="shared" si="0"/>
        <v>0</v>
      </c>
      <c r="J10" s="307">
        <f>[56]RoE!D5</f>
        <v>475.64497170578318</v>
      </c>
      <c r="K10" s="307">
        <f>[56]RoE!E5</f>
        <v>1481.441385165487</v>
      </c>
      <c r="L10" s="307">
        <f>[56]RoE!F5</f>
        <v>1460.8138892739828</v>
      </c>
      <c r="M10" s="307">
        <f>[56]RoE!G5</f>
        <v>1561.5686828017656</v>
      </c>
      <c r="N10" s="307">
        <f>[56]RoE!H5</f>
        <v>1695.9161912371869</v>
      </c>
      <c r="O10" s="307">
        <f>[56]RoE!I5</f>
        <v>1888.9951792202432</v>
      </c>
    </row>
    <row r="11" spans="2:16" x14ac:dyDescent="0.25">
      <c r="B11" s="438">
        <f t="shared" ref="B11:B21" si="2">B10+1</f>
        <v>3</v>
      </c>
      <c r="C11" s="19" t="s">
        <v>604</v>
      </c>
      <c r="D11" s="1"/>
      <c r="E11" s="100">
        <f>E30+E49</f>
        <v>0</v>
      </c>
      <c r="F11" s="66">
        <f t="shared" si="1"/>
        <v>0</v>
      </c>
      <c r="G11" s="436"/>
      <c r="H11" s="100">
        <f t="shared" si="0"/>
        <v>0</v>
      </c>
      <c r="I11" s="100">
        <f t="shared" si="0"/>
        <v>0</v>
      </c>
      <c r="J11" s="308">
        <f>[56]RoE!D6</f>
        <v>118.91124292644579</v>
      </c>
      <c r="K11" s="308">
        <f>[56]RoE!E6</f>
        <v>370.36034629137174</v>
      </c>
      <c r="L11" s="308">
        <f>[56]RoE!F6</f>
        <v>365.2034723184957</v>
      </c>
      <c r="M11" s="308">
        <f>[56]RoE!G6</f>
        <v>390.3921707004414</v>
      </c>
      <c r="N11" s="308">
        <f>[56]RoE!H6</f>
        <v>423.97904780929673</v>
      </c>
      <c r="O11" s="308">
        <f>[56]RoE!I6</f>
        <v>472.24879480506081</v>
      </c>
    </row>
    <row r="12" spans="2:16" ht="27.6" x14ac:dyDescent="0.25">
      <c r="B12" s="438">
        <f t="shared" si="2"/>
        <v>4</v>
      </c>
      <c r="C12" s="54" t="s">
        <v>605</v>
      </c>
      <c r="D12" s="55"/>
      <c r="E12" s="100">
        <f t="shared" ref="E12:E13" si="3">E31+E50</f>
        <v>0</v>
      </c>
      <c r="F12" s="66">
        <f t="shared" si="1"/>
        <v>0</v>
      </c>
      <c r="G12" s="19"/>
      <c r="H12" s="100">
        <f t="shared" si="0"/>
        <v>0</v>
      </c>
      <c r="I12" s="100">
        <f t="shared" si="0"/>
        <v>0</v>
      </c>
      <c r="J12" s="308">
        <f>H12+I12</f>
        <v>0</v>
      </c>
      <c r="K12" s="309">
        <f t="shared" ref="K12:O12" ca="1" si="4">K31+K50</f>
        <v>0</v>
      </c>
      <c r="L12" s="309">
        <f t="shared" ca="1" si="4"/>
        <v>0</v>
      </c>
      <c r="M12" s="309">
        <f t="shared" ca="1" si="4"/>
        <v>0</v>
      </c>
      <c r="N12" s="309">
        <f t="shared" ca="1" si="4"/>
        <v>0</v>
      </c>
      <c r="O12" s="309">
        <f t="shared" ca="1" si="4"/>
        <v>0</v>
      </c>
    </row>
    <row r="13" spans="2:16" s="22" customFormat="1" x14ac:dyDescent="0.25">
      <c r="B13" s="438">
        <f t="shared" si="2"/>
        <v>5</v>
      </c>
      <c r="C13" s="27" t="s">
        <v>606</v>
      </c>
      <c r="D13" s="55"/>
      <c r="E13" s="100">
        <f t="shared" si="3"/>
        <v>0</v>
      </c>
      <c r="F13" s="66">
        <f t="shared" si="1"/>
        <v>0</v>
      </c>
      <c r="G13" s="19"/>
      <c r="H13" s="100">
        <f t="shared" si="0"/>
        <v>0</v>
      </c>
      <c r="I13" s="100">
        <f t="shared" si="0"/>
        <v>0</v>
      </c>
      <c r="J13" s="308">
        <f>[56]RoE!D9</f>
        <v>1005.8700303067644</v>
      </c>
      <c r="K13" s="308">
        <f>[56]RoE!E9</f>
        <v>1301.8826104467148</v>
      </c>
      <c r="L13" s="308">
        <f>[56]RoE!F9</f>
        <v>1602.1613774134621</v>
      </c>
      <c r="M13" s="308">
        <f>[56]RoE!G9</f>
        <v>1924.7574195299017</v>
      </c>
      <c r="N13" s="308">
        <f>[56]RoE!H9</f>
        <v>2281.2846119891924</v>
      </c>
      <c r="O13" s="308">
        <f>[56]RoE!I9</f>
        <v>2653.653119421775</v>
      </c>
    </row>
    <row r="14" spans="2:16" s="22" customFormat="1" x14ac:dyDescent="0.25">
      <c r="B14" s="438"/>
      <c r="C14" s="56" t="s">
        <v>607</v>
      </c>
      <c r="D14" s="55"/>
      <c r="E14" s="19"/>
      <c r="F14" s="441"/>
      <c r="G14" s="19"/>
      <c r="H14" s="19"/>
      <c r="I14" s="19"/>
      <c r="J14" s="29"/>
      <c r="K14" s="19"/>
      <c r="L14" s="19"/>
      <c r="M14" s="19"/>
      <c r="N14" s="19"/>
      <c r="O14" s="19"/>
    </row>
    <row r="15" spans="2:16" s="22" customFormat="1" x14ac:dyDescent="0.25">
      <c r="B15" s="438">
        <f>B13+1</f>
        <v>6</v>
      </c>
      <c r="C15" s="27" t="s">
        <v>608</v>
      </c>
      <c r="D15" s="55"/>
      <c r="E15" s="19"/>
      <c r="F15" s="66">
        <f t="shared" si="1"/>
        <v>0</v>
      </c>
      <c r="G15" s="19"/>
      <c r="H15" s="19"/>
      <c r="I15" s="19"/>
      <c r="J15" s="310">
        <f>[56]RoE!D11</f>
        <v>0.14000000000000001</v>
      </c>
      <c r="K15" s="310">
        <f>[56]RoE!E11</f>
        <v>0.11</v>
      </c>
      <c r="L15" s="310">
        <f>[56]RoE!F11</f>
        <v>0.16</v>
      </c>
      <c r="M15" s="310">
        <f>[56]RoE!G11</f>
        <v>0.14000000000000001</v>
      </c>
      <c r="N15" s="310">
        <f>[56]RoE!H11</f>
        <v>0.14000000000000001</v>
      </c>
      <c r="O15" s="310">
        <f>[56]RoE!I11</f>
        <v>0.14000000000000001</v>
      </c>
    </row>
    <row r="16" spans="2:16" s="22" customFormat="1" x14ac:dyDescent="0.25">
      <c r="B16" s="438">
        <f>B15+1</f>
        <v>7</v>
      </c>
      <c r="C16" s="27" t="s">
        <v>609</v>
      </c>
      <c r="D16" s="55"/>
      <c r="E16" s="19"/>
      <c r="F16" s="66">
        <f t="shared" si="1"/>
        <v>0</v>
      </c>
      <c r="G16" s="19"/>
      <c r="H16" s="19"/>
      <c r="I16" s="19"/>
      <c r="J16" s="487">
        <v>0</v>
      </c>
      <c r="K16" s="487">
        <v>0</v>
      </c>
      <c r="L16" s="487">
        <v>0</v>
      </c>
      <c r="M16" s="487">
        <v>0</v>
      </c>
      <c r="N16" s="487">
        <v>0</v>
      </c>
      <c r="O16" s="487">
        <v>0</v>
      </c>
    </row>
    <row r="17" spans="2:16" s="22" customFormat="1" x14ac:dyDescent="0.25">
      <c r="B17" s="438">
        <f>B16+1</f>
        <v>8</v>
      </c>
      <c r="C17" s="20" t="s">
        <v>607</v>
      </c>
      <c r="D17" s="55"/>
      <c r="E17" s="100">
        <f>E15/(1-E16)</f>
        <v>0</v>
      </c>
      <c r="F17" s="66">
        <f t="shared" si="1"/>
        <v>0</v>
      </c>
      <c r="G17" s="19"/>
      <c r="H17" s="100">
        <f>H15/(1-H16)</f>
        <v>0</v>
      </c>
      <c r="I17" s="100">
        <f>I15/(1-I16)</f>
        <v>0</v>
      </c>
      <c r="J17" s="488">
        <f>J15/(1-J16)</f>
        <v>0.14000000000000001</v>
      </c>
      <c r="K17" s="488">
        <f t="shared" ref="K17:O17" si="5">K15/(1-K16)</f>
        <v>0.11</v>
      </c>
      <c r="L17" s="488">
        <f t="shared" si="5"/>
        <v>0.16</v>
      </c>
      <c r="M17" s="488">
        <f t="shared" si="5"/>
        <v>0.14000000000000001</v>
      </c>
      <c r="N17" s="488">
        <f t="shared" si="5"/>
        <v>0.14000000000000001</v>
      </c>
      <c r="O17" s="488">
        <f t="shared" si="5"/>
        <v>0.14000000000000001</v>
      </c>
    </row>
    <row r="18" spans="2:16" x14ac:dyDescent="0.25">
      <c r="B18" s="438"/>
      <c r="C18" s="56" t="s">
        <v>610</v>
      </c>
      <c r="D18" s="55"/>
      <c r="E18" s="19"/>
      <c r="F18" s="441"/>
      <c r="G18" s="19"/>
      <c r="H18" s="19"/>
      <c r="I18" s="19"/>
      <c r="J18" s="29"/>
      <c r="K18" s="19"/>
      <c r="L18" s="19"/>
      <c r="M18" s="19"/>
      <c r="N18" s="19"/>
      <c r="O18" s="19"/>
    </row>
    <row r="19" spans="2:16" ht="27.6" x14ac:dyDescent="0.25">
      <c r="B19" s="438">
        <f>B17+1</f>
        <v>9</v>
      </c>
      <c r="C19" s="54" t="s">
        <v>611</v>
      </c>
      <c r="D19" s="55"/>
      <c r="E19" s="100">
        <f>E38+E57</f>
        <v>0</v>
      </c>
      <c r="F19" s="66">
        <f t="shared" si="1"/>
        <v>0</v>
      </c>
      <c r="G19" s="19"/>
      <c r="H19" s="100">
        <f t="shared" ref="H19:I20" si="6">H38+H57</f>
        <v>0</v>
      </c>
      <c r="I19" s="100">
        <f t="shared" si="6"/>
        <v>0</v>
      </c>
      <c r="J19" s="311">
        <f>[56]RoE!D15</f>
        <v>132.90442185510008</v>
      </c>
      <c r="K19" s="311">
        <f>[56]RoE!E15</f>
        <v>110.64570333374408</v>
      </c>
      <c r="L19" s="311">
        <f>[56]RoE!F15</f>
        <v>208.30121767147438</v>
      </c>
      <c r="M19" s="311">
        <f>[56]RoE!G15</f>
        <v>224.3025928378847</v>
      </c>
      <c r="N19" s="311">
        <f>[56]RoE!H15</f>
        <v>269.46603873418627</v>
      </c>
      <c r="O19" s="311">
        <f>[56]RoE!I15</f>
        <v>319.37984567848696</v>
      </c>
    </row>
    <row r="20" spans="2:16" ht="27.6" x14ac:dyDescent="0.25">
      <c r="B20" s="438">
        <f t="shared" si="2"/>
        <v>10</v>
      </c>
      <c r="C20" s="54" t="s">
        <v>612</v>
      </c>
      <c r="D20" s="55"/>
      <c r="E20" s="100">
        <f>E39+E58</f>
        <v>0</v>
      </c>
      <c r="F20" s="66">
        <f t="shared" si="1"/>
        <v>0</v>
      </c>
      <c r="G20" s="19"/>
      <c r="H20" s="100">
        <f t="shared" si="6"/>
        <v>0</v>
      </c>
      <c r="I20" s="100">
        <f t="shared" si="6"/>
        <v>0</v>
      </c>
      <c r="J20" s="311">
        <f>[56]RoE!D16</f>
        <v>3.9586911939234826</v>
      </c>
      <c r="K20" s="311">
        <f>[56]RoE!E16</f>
        <v>16.28069190769726</v>
      </c>
      <c r="L20" s="311">
        <f>[56]RoE!F16</f>
        <v>24.022301357339789</v>
      </c>
      <c r="M20" s="311">
        <f>[56]RoE!G16</f>
        <v>22.581722948150762</v>
      </c>
      <c r="N20" s="311">
        <f>[56]RoE!H16</f>
        <v>24.956903472150337</v>
      </c>
      <c r="O20" s="311">
        <f>[56]RoE!I16</f>
        <v>26.065795520280812</v>
      </c>
    </row>
    <row r="21" spans="2:16" x14ac:dyDescent="0.25">
      <c r="B21" s="438">
        <f t="shared" si="2"/>
        <v>11</v>
      </c>
      <c r="C21" s="28" t="s">
        <v>613</v>
      </c>
      <c r="D21" s="55"/>
      <c r="E21" s="66">
        <f>E19+E20</f>
        <v>0</v>
      </c>
      <c r="F21" s="66">
        <f t="shared" si="1"/>
        <v>0</v>
      </c>
      <c r="G21" s="19"/>
      <c r="H21" s="66">
        <f>H19+H20</f>
        <v>0</v>
      </c>
      <c r="I21" s="66">
        <f>I19+I20</f>
        <v>0</v>
      </c>
      <c r="J21" s="307">
        <f>J19+J20</f>
        <v>136.86311304902355</v>
      </c>
      <c r="K21" s="307">
        <f t="shared" ref="K21:O21" si="7">K19+K20</f>
        <v>126.92639524144134</v>
      </c>
      <c r="L21" s="307">
        <f t="shared" si="7"/>
        <v>232.32351902881416</v>
      </c>
      <c r="M21" s="307">
        <f t="shared" si="7"/>
        <v>246.88431578603547</v>
      </c>
      <c r="N21" s="307">
        <f t="shared" si="7"/>
        <v>294.42294220633659</v>
      </c>
      <c r="O21" s="307">
        <f t="shared" si="7"/>
        <v>345.44564119876776</v>
      </c>
    </row>
    <row r="23" spans="2:16" x14ac:dyDescent="0.25">
      <c r="B23" s="266" t="s">
        <v>687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</row>
    <row r="24" spans="2:16" x14ac:dyDescent="0.25">
      <c r="L24" s="15" t="s">
        <v>1215</v>
      </c>
      <c r="O24" s="16" t="s">
        <v>3</v>
      </c>
    </row>
    <row r="25" spans="2:16" ht="13.95" customHeight="1" x14ac:dyDescent="0.25">
      <c r="B25" s="758" t="s">
        <v>4</v>
      </c>
      <c r="C25" s="760" t="s">
        <v>5</v>
      </c>
      <c r="D25" s="755" t="s">
        <v>7</v>
      </c>
      <c r="E25" s="756"/>
      <c r="F25" s="757"/>
      <c r="G25" s="755" t="s">
        <v>8</v>
      </c>
      <c r="H25" s="756"/>
      <c r="I25" s="756"/>
      <c r="J25" s="756"/>
      <c r="K25" s="768" t="s">
        <v>9</v>
      </c>
      <c r="L25" s="768"/>
      <c r="M25" s="768"/>
      <c r="N25" s="768"/>
      <c r="O25" s="768"/>
      <c r="P25" s="443"/>
    </row>
    <row r="26" spans="2:16" ht="27.6" x14ac:dyDescent="0.25">
      <c r="B26" s="792"/>
      <c r="C26" s="760"/>
      <c r="D26" s="435" t="s">
        <v>10</v>
      </c>
      <c r="E26" s="435" t="s">
        <v>11</v>
      </c>
      <c r="F26" s="435" t="s">
        <v>12</v>
      </c>
      <c r="G26" s="435" t="s">
        <v>10</v>
      </c>
      <c r="H26" s="435" t="s">
        <v>13</v>
      </c>
      <c r="I26" s="435" t="s">
        <v>14</v>
      </c>
      <c r="J26" s="435" t="s">
        <v>15</v>
      </c>
      <c r="K26" s="435" t="s">
        <v>16</v>
      </c>
      <c r="L26" s="435" t="s">
        <v>17</v>
      </c>
      <c r="M26" s="435" t="s">
        <v>18</v>
      </c>
      <c r="N26" s="435" t="s">
        <v>19</v>
      </c>
      <c r="O26" s="435" t="s">
        <v>20</v>
      </c>
    </row>
    <row r="27" spans="2:16" x14ac:dyDescent="0.25">
      <c r="B27" s="810"/>
      <c r="C27" s="857"/>
      <c r="D27" s="435" t="s">
        <v>21</v>
      </c>
      <c r="E27" s="435" t="s">
        <v>22</v>
      </c>
      <c r="F27" s="435" t="s">
        <v>23</v>
      </c>
      <c r="G27" s="435" t="s">
        <v>21</v>
      </c>
      <c r="H27" s="435" t="s">
        <v>24</v>
      </c>
      <c r="I27" s="435" t="s">
        <v>25</v>
      </c>
      <c r="J27" s="435" t="s">
        <v>25</v>
      </c>
      <c r="K27" s="435" t="s">
        <v>26</v>
      </c>
      <c r="L27" s="435" t="s">
        <v>26</v>
      </c>
      <c r="M27" s="435" t="s">
        <v>26</v>
      </c>
      <c r="N27" s="435" t="s">
        <v>26</v>
      </c>
      <c r="O27" s="435" t="s">
        <v>26</v>
      </c>
    </row>
    <row r="28" spans="2:16" x14ac:dyDescent="0.25">
      <c r="B28" s="442">
        <v>1</v>
      </c>
      <c r="C28" s="441" t="s">
        <v>603</v>
      </c>
      <c r="D28" s="1"/>
      <c r="E28" s="441"/>
      <c r="F28" s="66">
        <f>E28</f>
        <v>0</v>
      </c>
      <c r="G28" s="436"/>
      <c r="H28" s="436"/>
      <c r="I28" s="436"/>
      <c r="J28" s="307">
        <f>90%*J9</f>
        <v>854.38556906850044</v>
      </c>
      <c r="K28" s="307">
        <f t="shared" ref="K28:O32" si="8">90%*K9</f>
        <v>905.28302727608798</v>
      </c>
      <c r="L28" s="307">
        <f t="shared" si="8"/>
        <v>1171.6943494020434</v>
      </c>
      <c r="M28" s="307">
        <f t="shared" si="8"/>
        <v>1441.945239672116</v>
      </c>
      <c r="N28" s="307">
        <f t="shared" si="8"/>
        <v>1732.2816775769115</v>
      </c>
      <c r="O28" s="307">
        <f t="shared" si="8"/>
        <v>2053.1561507902734</v>
      </c>
    </row>
    <row r="29" spans="2:16" x14ac:dyDescent="0.25">
      <c r="B29" s="438">
        <f>B28+1</f>
        <v>2</v>
      </c>
      <c r="C29" s="441" t="s">
        <v>547</v>
      </c>
      <c r="D29" s="1"/>
      <c r="E29" s="66"/>
      <c r="F29" s="66">
        <f t="shared" ref="F29:F39" si="9">E29</f>
        <v>0</v>
      </c>
      <c r="G29" s="436"/>
      <c r="H29" s="66"/>
      <c r="I29" s="66"/>
      <c r="J29" s="307">
        <f>90%*J10</f>
        <v>428.08047453520487</v>
      </c>
      <c r="K29" s="307">
        <f t="shared" si="8"/>
        <v>1333.2972466489382</v>
      </c>
      <c r="L29" s="307">
        <f t="shared" si="8"/>
        <v>1314.7325003465846</v>
      </c>
      <c r="M29" s="307">
        <f t="shared" si="8"/>
        <v>1405.4118145215891</v>
      </c>
      <c r="N29" s="307">
        <f t="shared" si="8"/>
        <v>1526.3245721134683</v>
      </c>
      <c r="O29" s="307">
        <f t="shared" si="8"/>
        <v>1700.0956612982191</v>
      </c>
    </row>
    <row r="30" spans="2:16" x14ac:dyDescent="0.25">
      <c r="B30" s="438">
        <f t="shared" ref="B30:B40" si="10">B29+1</f>
        <v>3</v>
      </c>
      <c r="C30" s="19" t="s">
        <v>604</v>
      </c>
      <c r="D30" s="1"/>
      <c r="E30" s="100">
        <f>E29*25%</f>
        <v>0</v>
      </c>
      <c r="F30" s="66">
        <f t="shared" si="9"/>
        <v>0</v>
      </c>
      <c r="G30" s="436"/>
      <c r="H30" s="100">
        <f>H29*25%</f>
        <v>0</v>
      </c>
      <c r="I30" s="100">
        <f>I29*25%</f>
        <v>0</v>
      </c>
      <c r="J30" s="308">
        <f>90%*J11</f>
        <v>107.02011863380122</v>
      </c>
      <c r="K30" s="308">
        <f t="shared" si="8"/>
        <v>333.32431166223455</v>
      </c>
      <c r="L30" s="308">
        <f t="shared" si="8"/>
        <v>328.68312508664616</v>
      </c>
      <c r="M30" s="308">
        <f t="shared" si="8"/>
        <v>351.35295363039728</v>
      </c>
      <c r="N30" s="308">
        <f t="shared" si="8"/>
        <v>381.58114302836708</v>
      </c>
      <c r="O30" s="308">
        <f t="shared" si="8"/>
        <v>425.02391532455476</v>
      </c>
    </row>
    <row r="31" spans="2:16" ht="27.6" x14ac:dyDescent="0.25">
      <c r="B31" s="438">
        <f t="shared" si="10"/>
        <v>4</v>
      </c>
      <c r="C31" s="54" t="s">
        <v>605</v>
      </c>
      <c r="D31" s="55"/>
      <c r="E31" s="100"/>
      <c r="F31" s="66">
        <f t="shared" si="9"/>
        <v>0</v>
      </c>
      <c r="G31" s="19"/>
      <c r="H31" s="100"/>
      <c r="I31" s="100"/>
      <c r="J31" s="308">
        <f>90%*J12</f>
        <v>0</v>
      </c>
      <c r="K31" s="308">
        <f t="shared" ca="1" si="8"/>
        <v>0</v>
      </c>
      <c r="L31" s="308">
        <f t="shared" ca="1" si="8"/>
        <v>0</v>
      </c>
      <c r="M31" s="308">
        <f t="shared" ca="1" si="8"/>
        <v>0</v>
      </c>
      <c r="N31" s="308">
        <f t="shared" ca="1" si="8"/>
        <v>0</v>
      </c>
      <c r="O31" s="308">
        <f t="shared" ca="1" si="8"/>
        <v>0</v>
      </c>
    </row>
    <row r="32" spans="2:16" x14ac:dyDescent="0.25">
      <c r="B32" s="438">
        <f t="shared" si="10"/>
        <v>5</v>
      </c>
      <c r="C32" s="27" t="s">
        <v>606</v>
      </c>
      <c r="D32" s="55"/>
      <c r="E32" s="100">
        <f>E28+E30-E31</f>
        <v>0</v>
      </c>
      <c r="F32" s="66">
        <f t="shared" si="9"/>
        <v>0</v>
      </c>
      <c r="G32" s="19"/>
      <c r="H32" s="100">
        <f t="shared" ref="H32:I32" si="11">H28+H30-H31</f>
        <v>0</v>
      </c>
      <c r="I32" s="100">
        <f t="shared" si="11"/>
        <v>0</v>
      </c>
      <c r="J32" s="308">
        <f>90%*J13</f>
        <v>905.28302727608798</v>
      </c>
      <c r="K32" s="308">
        <f t="shared" si="8"/>
        <v>1171.6943494020434</v>
      </c>
      <c r="L32" s="308">
        <f t="shared" si="8"/>
        <v>1441.945239672116</v>
      </c>
      <c r="M32" s="308">
        <f t="shared" si="8"/>
        <v>1732.2816775769115</v>
      </c>
      <c r="N32" s="308">
        <f t="shared" si="8"/>
        <v>2053.1561507902734</v>
      </c>
      <c r="O32" s="308">
        <f t="shared" si="8"/>
        <v>2388.2878074795976</v>
      </c>
    </row>
    <row r="33" spans="2:16" x14ac:dyDescent="0.25">
      <c r="B33" s="438"/>
      <c r="C33" s="56" t="s">
        <v>607</v>
      </c>
      <c r="D33" s="55"/>
      <c r="E33" s="19"/>
      <c r="F33" s="66">
        <f t="shared" si="9"/>
        <v>0</v>
      </c>
      <c r="G33" s="19"/>
      <c r="H33" s="19"/>
      <c r="I33" s="19"/>
      <c r="J33" s="300"/>
      <c r="K33" s="19"/>
      <c r="L33" s="19"/>
      <c r="M33" s="19"/>
      <c r="N33" s="19"/>
      <c r="O33" s="19"/>
    </row>
    <row r="34" spans="2:16" x14ac:dyDescent="0.25">
      <c r="B34" s="438">
        <f>B32+1</f>
        <v>6</v>
      </c>
      <c r="C34" s="27" t="s">
        <v>608</v>
      </c>
      <c r="D34" s="55"/>
      <c r="E34" s="19"/>
      <c r="F34" s="66">
        <f t="shared" si="9"/>
        <v>0</v>
      </c>
      <c r="G34" s="19"/>
      <c r="H34" s="19"/>
      <c r="I34" s="19"/>
      <c r="J34" s="310">
        <f>[59]RoE!$D$10</f>
        <v>0.14000000000000001</v>
      </c>
      <c r="K34" s="310">
        <f>[59]RoE!$D$10</f>
        <v>0.14000000000000001</v>
      </c>
      <c r="L34" s="310">
        <f>[59]RoE!$D$10</f>
        <v>0.14000000000000001</v>
      </c>
      <c r="M34" s="310">
        <f>[59]RoE!$D$10</f>
        <v>0.14000000000000001</v>
      </c>
      <c r="N34" s="310">
        <f>[59]RoE!$D$10</f>
        <v>0.14000000000000001</v>
      </c>
      <c r="O34" s="310">
        <f>[59]RoE!$D$10</f>
        <v>0.14000000000000001</v>
      </c>
    </row>
    <row r="35" spans="2:16" x14ac:dyDescent="0.25">
      <c r="B35" s="438">
        <f>B34+1</f>
        <v>7</v>
      </c>
      <c r="C35" s="27" t="s">
        <v>609</v>
      </c>
      <c r="D35" s="55"/>
      <c r="E35" s="19"/>
      <c r="F35" s="66">
        <f t="shared" si="9"/>
        <v>0</v>
      </c>
      <c r="G35" s="19"/>
      <c r="H35" s="19"/>
      <c r="I35" s="19"/>
      <c r="J35" s="487">
        <v>0</v>
      </c>
      <c r="K35" s="487">
        <v>0</v>
      </c>
      <c r="L35" s="487">
        <v>0</v>
      </c>
      <c r="M35" s="487">
        <v>0</v>
      </c>
      <c r="N35" s="487">
        <v>0</v>
      </c>
      <c r="O35" s="487">
        <v>0</v>
      </c>
    </row>
    <row r="36" spans="2:16" x14ac:dyDescent="0.25">
      <c r="B36" s="438">
        <f>B35+1</f>
        <v>8</v>
      </c>
      <c r="C36" s="20" t="s">
        <v>607</v>
      </c>
      <c r="D36" s="55"/>
      <c r="E36" s="100">
        <f>E34/(1-E35)</f>
        <v>0</v>
      </c>
      <c r="F36" s="66">
        <f t="shared" si="9"/>
        <v>0</v>
      </c>
      <c r="G36" s="19"/>
      <c r="H36" s="100">
        <f>H34/(1-H35)</f>
        <v>0</v>
      </c>
      <c r="I36" s="100">
        <f>I34/(1-I35)</f>
        <v>0</v>
      </c>
      <c r="J36" s="488">
        <f>J34/(1-J35)</f>
        <v>0.14000000000000001</v>
      </c>
      <c r="K36" s="488">
        <f t="shared" ref="K36:O36" si="12">K34/(1-K35)</f>
        <v>0.14000000000000001</v>
      </c>
      <c r="L36" s="488">
        <f t="shared" si="12"/>
        <v>0.14000000000000001</v>
      </c>
      <c r="M36" s="488">
        <f t="shared" si="12"/>
        <v>0.14000000000000001</v>
      </c>
      <c r="N36" s="488">
        <f t="shared" si="12"/>
        <v>0.14000000000000001</v>
      </c>
      <c r="O36" s="488">
        <f t="shared" si="12"/>
        <v>0.14000000000000001</v>
      </c>
    </row>
    <row r="37" spans="2:16" x14ac:dyDescent="0.25">
      <c r="B37" s="438"/>
      <c r="C37" s="56" t="s">
        <v>610</v>
      </c>
      <c r="D37" s="55"/>
      <c r="E37" s="19"/>
      <c r="F37" s="66">
        <f t="shared" si="9"/>
        <v>0</v>
      </c>
      <c r="G37" s="19"/>
      <c r="H37" s="19"/>
      <c r="I37" s="19"/>
      <c r="J37" s="29"/>
      <c r="K37" s="19"/>
      <c r="L37" s="19"/>
      <c r="M37" s="19"/>
      <c r="N37" s="19"/>
      <c r="O37" s="19"/>
    </row>
    <row r="38" spans="2:16" ht="27.6" x14ac:dyDescent="0.25">
      <c r="B38" s="438">
        <f>B36+1</f>
        <v>9</v>
      </c>
      <c r="C38" s="54" t="s">
        <v>611</v>
      </c>
      <c r="D38" s="55"/>
      <c r="E38" s="100">
        <f>E28*E36</f>
        <v>0</v>
      </c>
      <c r="F38" s="66">
        <f t="shared" si="9"/>
        <v>0</v>
      </c>
      <c r="G38" s="19"/>
      <c r="H38" s="100">
        <f t="shared" ref="H38:I38" si="13">H28*H36</f>
        <v>0</v>
      </c>
      <c r="I38" s="100">
        <f t="shared" si="13"/>
        <v>0</v>
      </c>
      <c r="J38" s="308">
        <f t="shared" ref="J38:O39" si="14">90%*J19</f>
        <v>119.61397966959008</v>
      </c>
      <c r="K38" s="308">
        <f t="shared" si="14"/>
        <v>99.581133000369675</v>
      </c>
      <c r="L38" s="308">
        <f t="shared" si="14"/>
        <v>187.47109590432694</v>
      </c>
      <c r="M38" s="308">
        <f t="shared" si="14"/>
        <v>201.87233355409623</v>
      </c>
      <c r="N38" s="308">
        <f t="shared" si="14"/>
        <v>242.51943486076766</v>
      </c>
      <c r="O38" s="308">
        <f t="shared" si="14"/>
        <v>287.44186111063829</v>
      </c>
    </row>
    <row r="39" spans="2:16" ht="27.6" x14ac:dyDescent="0.25">
      <c r="B39" s="438">
        <f t="shared" si="10"/>
        <v>10</v>
      </c>
      <c r="C39" s="54" t="s">
        <v>612</v>
      </c>
      <c r="D39" s="55"/>
      <c r="E39" s="100">
        <f>(E30+E31)*E36/2</f>
        <v>0</v>
      </c>
      <c r="F39" s="66">
        <f t="shared" si="9"/>
        <v>0</v>
      </c>
      <c r="G39" s="19"/>
      <c r="H39" s="100">
        <f>(H30+H31)*H36/2</f>
        <v>0</v>
      </c>
      <c r="I39" s="100">
        <f>(I30+I31)*I36/2</f>
        <v>0</v>
      </c>
      <c r="J39" s="308">
        <f t="shared" si="14"/>
        <v>3.5628220745311343</v>
      </c>
      <c r="K39" s="308">
        <f t="shared" si="14"/>
        <v>14.652622716927535</v>
      </c>
      <c r="L39" s="308">
        <f t="shared" si="14"/>
        <v>21.620071221605809</v>
      </c>
      <c r="M39" s="308">
        <f t="shared" si="14"/>
        <v>20.323550653335687</v>
      </c>
      <c r="N39" s="308">
        <f t="shared" si="14"/>
        <v>22.461213124935306</v>
      </c>
      <c r="O39" s="308">
        <f t="shared" si="14"/>
        <v>23.459215968252732</v>
      </c>
    </row>
    <row r="40" spans="2:16" x14ac:dyDescent="0.25">
      <c r="B40" s="438">
        <f t="shared" si="10"/>
        <v>11</v>
      </c>
      <c r="C40" s="28" t="s">
        <v>613</v>
      </c>
      <c r="D40" s="55"/>
      <c r="E40" s="66">
        <f>E38+E39</f>
        <v>0</v>
      </c>
      <c r="F40" s="66">
        <f>E40</f>
        <v>0</v>
      </c>
      <c r="G40" s="19"/>
      <c r="H40" s="66">
        <f t="shared" ref="H40:O40" si="15">H38+H39</f>
        <v>0</v>
      </c>
      <c r="I40" s="66">
        <f t="shared" si="15"/>
        <v>0</v>
      </c>
      <c r="J40" s="111">
        <f t="shared" si="15"/>
        <v>123.17680174412122</v>
      </c>
      <c r="K40" s="111">
        <f>K38+K39</f>
        <v>114.23375571729721</v>
      </c>
      <c r="L40" s="111">
        <f>L38+L39</f>
        <v>209.09116712593274</v>
      </c>
      <c r="M40" s="111">
        <f>M38+M39</f>
        <v>222.1958842074319</v>
      </c>
      <c r="N40" s="111">
        <f>N38+N39</f>
        <v>264.98064798570294</v>
      </c>
      <c r="O40" s="111">
        <f t="shared" si="15"/>
        <v>310.90107707889103</v>
      </c>
    </row>
    <row r="42" spans="2:16" x14ac:dyDescent="0.25">
      <c r="B42" s="266" t="s">
        <v>688</v>
      </c>
      <c r="C42" s="14"/>
      <c r="D42" s="15"/>
      <c r="E42" s="15"/>
      <c r="F42" s="15"/>
      <c r="G42" s="15"/>
      <c r="H42" s="15"/>
      <c r="I42" s="15"/>
      <c r="J42" s="15"/>
      <c r="K42" s="15"/>
      <c r="L42" s="15"/>
    </row>
    <row r="43" spans="2:16" x14ac:dyDescent="0.25">
      <c r="L43" s="15" t="s">
        <v>1215</v>
      </c>
      <c r="O43" s="16" t="s">
        <v>3</v>
      </c>
    </row>
    <row r="44" spans="2:16" ht="13.95" customHeight="1" x14ac:dyDescent="0.25">
      <c r="B44" s="758" t="s">
        <v>4</v>
      </c>
      <c r="C44" s="760" t="s">
        <v>5</v>
      </c>
      <c r="D44" s="755" t="s">
        <v>7</v>
      </c>
      <c r="E44" s="756"/>
      <c r="F44" s="757"/>
      <c r="G44" s="755" t="s">
        <v>8</v>
      </c>
      <c r="H44" s="756"/>
      <c r="I44" s="756"/>
      <c r="J44" s="756"/>
      <c r="K44" s="768" t="s">
        <v>9</v>
      </c>
      <c r="L44" s="768"/>
      <c r="M44" s="768"/>
      <c r="N44" s="768"/>
      <c r="O44" s="768"/>
      <c r="P44" s="443"/>
    </row>
    <row r="45" spans="2:16" ht="27.6" x14ac:dyDescent="0.25">
      <c r="B45" s="792"/>
      <c r="C45" s="760"/>
      <c r="D45" s="435" t="s">
        <v>10</v>
      </c>
      <c r="E45" s="435" t="s">
        <v>11</v>
      </c>
      <c r="F45" s="435" t="s">
        <v>12</v>
      </c>
      <c r="G45" s="435" t="s">
        <v>10</v>
      </c>
      <c r="H45" s="435" t="s">
        <v>13</v>
      </c>
      <c r="I45" s="435" t="s">
        <v>14</v>
      </c>
      <c r="J45" s="435" t="s">
        <v>15</v>
      </c>
      <c r="K45" s="435" t="s">
        <v>16</v>
      </c>
      <c r="L45" s="435" t="s">
        <v>17</v>
      </c>
      <c r="M45" s="435" t="s">
        <v>18</v>
      </c>
      <c r="N45" s="435" t="s">
        <v>19</v>
      </c>
      <c r="O45" s="435" t="s">
        <v>20</v>
      </c>
    </row>
    <row r="46" spans="2:16" x14ac:dyDescent="0.25">
      <c r="B46" s="810"/>
      <c r="C46" s="857"/>
      <c r="D46" s="435" t="s">
        <v>21</v>
      </c>
      <c r="E46" s="435" t="s">
        <v>22</v>
      </c>
      <c r="F46" s="435" t="s">
        <v>23</v>
      </c>
      <c r="G46" s="435" t="s">
        <v>21</v>
      </c>
      <c r="H46" s="435" t="s">
        <v>24</v>
      </c>
      <c r="I46" s="435" t="s">
        <v>25</v>
      </c>
      <c r="J46" s="435" t="s">
        <v>25</v>
      </c>
      <c r="K46" s="435" t="s">
        <v>26</v>
      </c>
      <c r="L46" s="435" t="s">
        <v>26</v>
      </c>
      <c r="M46" s="435" t="s">
        <v>26</v>
      </c>
      <c r="N46" s="435" t="s">
        <v>26</v>
      </c>
      <c r="O46" s="435" t="s">
        <v>26</v>
      </c>
    </row>
    <row r="47" spans="2:16" x14ac:dyDescent="0.25">
      <c r="B47" s="442">
        <v>1</v>
      </c>
      <c r="C47" s="441" t="s">
        <v>603</v>
      </c>
      <c r="D47" s="1"/>
      <c r="E47" s="441"/>
      <c r="F47" s="66">
        <f>E47</f>
        <v>0</v>
      </c>
      <c r="G47" s="436"/>
      <c r="H47" s="436"/>
      <c r="I47" s="436"/>
      <c r="J47" s="312">
        <f>J9*10%</f>
        <v>94.931729896500045</v>
      </c>
      <c r="K47" s="312">
        <f t="shared" ref="K47:O47" si="16">K9*10%</f>
        <v>100.58700303067644</v>
      </c>
      <c r="L47" s="312">
        <f t="shared" si="16"/>
        <v>130.18826104467149</v>
      </c>
      <c r="M47" s="312">
        <f t="shared" si="16"/>
        <v>160.21613774134622</v>
      </c>
      <c r="N47" s="312">
        <f t="shared" si="16"/>
        <v>192.47574195299018</v>
      </c>
      <c r="O47" s="312">
        <f t="shared" si="16"/>
        <v>228.12846119891924</v>
      </c>
    </row>
    <row r="48" spans="2:16" x14ac:dyDescent="0.25">
      <c r="B48" s="438">
        <f>B47+1</f>
        <v>2</v>
      </c>
      <c r="C48" s="441" t="s">
        <v>547</v>
      </c>
      <c r="D48" s="1"/>
      <c r="E48" s="66"/>
      <c r="F48" s="66">
        <f t="shared" ref="F48:F58" si="17">E48</f>
        <v>0</v>
      </c>
      <c r="G48" s="436"/>
      <c r="H48" s="66"/>
      <c r="I48" s="66"/>
      <c r="J48" s="312">
        <f t="shared" ref="J48:O51" si="18">J10*10%</f>
        <v>47.564497170578321</v>
      </c>
      <c r="K48" s="312">
        <f t="shared" si="18"/>
        <v>148.14413851654871</v>
      </c>
      <c r="L48" s="312">
        <f t="shared" si="18"/>
        <v>146.08138892739828</v>
      </c>
      <c r="M48" s="312">
        <f t="shared" si="18"/>
        <v>156.15686828017658</v>
      </c>
      <c r="N48" s="312">
        <f t="shared" si="18"/>
        <v>169.59161912371871</v>
      </c>
      <c r="O48" s="312">
        <f t="shared" si="18"/>
        <v>188.89951792202433</v>
      </c>
    </row>
    <row r="49" spans="2:15" x14ac:dyDescent="0.25">
      <c r="B49" s="438">
        <f t="shared" ref="B49:B59" si="19">B48+1</f>
        <v>3</v>
      </c>
      <c r="C49" s="19" t="s">
        <v>604</v>
      </c>
      <c r="D49" s="1"/>
      <c r="E49" s="100">
        <f>E48*25%</f>
        <v>0</v>
      </c>
      <c r="F49" s="66">
        <f t="shared" si="17"/>
        <v>0</v>
      </c>
      <c r="G49" s="436"/>
      <c r="H49" s="100">
        <f>H48*25%</f>
        <v>0</v>
      </c>
      <c r="I49" s="100">
        <f>I48*25%</f>
        <v>0</v>
      </c>
      <c r="J49" s="313">
        <f t="shared" si="18"/>
        <v>11.89112429264458</v>
      </c>
      <c r="K49" s="313">
        <f t="shared" si="18"/>
        <v>37.036034629137177</v>
      </c>
      <c r="L49" s="313">
        <f t="shared" si="18"/>
        <v>36.52034723184957</v>
      </c>
      <c r="M49" s="313">
        <f t="shared" si="18"/>
        <v>39.039217070044145</v>
      </c>
      <c r="N49" s="313">
        <f t="shared" si="18"/>
        <v>42.397904780929679</v>
      </c>
      <c r="O49" s="313">
        <f t="shared" si="18"/>
        <v>47.224879480506083</v>
      </c>
    </row>
    <row r="50" spans="2:15" ht="27.6" x14ac:dyDescent="0.25">
      <c r="B50" s="438">
        <f t="shared" si="19"/>
        <v>4</v>
      </c>
      <c r="C50" s="54" t="s">
        <v>605</v>
      </c>
      <c r="D50" s="55"/>
      <c r="E50" s="100"/>
      <c r="F50" s="66"/>
      <c r="G50" s="19"/>
      <c r="H50" s="100"/>
      <c r="I50" s="100"/>
      <c r="J50" s="313">
        <f t="shared" si="18"/>
        <v>0</v>
      </c>
      <c r="K50" s="313">
        <f t="shared" ca="1" si="18"/>
        <v>0</v>
      </c>
      <c r="L50" s="313">
        <f t="shared" ca="1" si="18"/>
        <v>0</v>
      </c>
      <c r="M50" s="313">
        <f t="shared" ca="1" si="18"/>
        <v>0</v>
      </c>
      <c r="N50" s="313">
        <f t="shared" ca="1" si="18"/>
        <v>0</v>
      </c>
      <c r="O50" s="313">
        <f t="shared" ca="1" si="18"/>
        <v>0</v>
      </c>
    </row>
    <row r="51" spans="2:15" x14ac:dyDescent="0.25">
      <c r="B51" s="438">
        <f t="shared" si="19"/>
        <v>5</v>
      </c>
      <c r="C51" s="27" t="s">
        <v>606</v>
      </c>
      <c r="D51" s="55"/>
      <c r="E51" s="100">
        <f>E47+E49-E50</f>
        <v>0</v>
      </c>
      <c r="F51" s="66">
        <f t="shared" si="17"/>
        <v>0</v>
      </c>
      <c r="G51" s="19"/>
      <c r="H51" s="100">
        <f>H47+H49-H50</f>
        <v>0</v>
      </c>
      <c r="I51" s="100">
        <f>I47+I49-I50</f>
        <v>0</v>
      </c>
      <c r="J51" s="313">
        <f t="shared" si="18"/>
        <v>100.58700303067644</v>
      </c>
      <c r="K51" s="313">
        <f t="shared" si="18"/>
        <v>130.18826104467149</v>
      </c>
      <c r="L51" s="313">
        <f t="shared" si="18"/>
        <v>160.21613774134622</v>
      </c>
      <c r="M51" s="313">
        <f t="shared" si="18"/>
        <v>192.47574195299018</v>
      </c>
      <c r="N51" s="313">
        <f t="shared" si="18"/>
        <v>228.12846119891924</v>
      </c>
      <c r="O51" s="313">
        <f t="shared" si="18"/>
        <v>265.36531194217753</v>
      </c>
    </row>
    <row r="52" spans="2:15" x14ac:dyDescent="0.25">
      <c r="B52" s="438"/>
      <c r="C52" s="56" t="s">
        <v>607</v>
      </c>
      <c r="D52" s="55"/>
      <c r="E52" s="19"/>
      <c r="F52" s="66">
        <f t="shared" si="17"/>
        <v>0</v>
      </c>
      <c r="G52" s="19"/>
      <c r="H52" s="19"/>
      <c r="I52" s="19"/>
      <c r="J52" s="29"/>
      <c r="K52" s="19"/>
      <c r="L52" s="19"/>
      <c r="M52" s="19"/>
      <c r="N52" s="19"/>
      <c r="O52" s="19"/>
    </row>
    <row r="53" spans="2:15" x14ac:dyDescent="0.25">
      <c r="B53" s="438">
        <f>B51+1</f>
        <v>6</v>
      </c>
      <c r="C53" s="27" t="s">
        <v>608</v>
      </c>
      <c r="D53" s="55"/>
      <c r="E53" s="19"/>
      <c r="F53" s="66">
        <f t="shared" si="17"/>
        <v>0</v>
      </c>
      <c r="G53" s="19"/>
      <c r="H53" s="19"/>
      <c r="I53" s="19"/>
      <c r="J53" s="314">
        <f>J34</f>
        <v>0.14000000000000001</v>
      </c>
      <c r="K53" s="314">
        <f t="shared" ref="K53:O55" si="20">K34</f>
        <v>0.14000000000000001</v>
      </c>
      <c r="L53" s="314">
        <f t="shared" si="20"/>
        <v>0.14000000000000001</v>
      </c>
      <c r="M53" s="314">
        <f t="shared" si="20"/>
        <v>0.14000000000000001</v>
      </c>
      <c r="N53" s="314">
        <f t="shared" si="20"/>
        <v>0.14000000000000001</v>
      </c>
      <c r="O53" s="314">
        <f t="shared" si="20"/>
        <v>0.14000000000000001</v>
      </c>
    </row>
    <row r="54" spans="2:15" x14ac:dyDescent="0.25">
      <c r="B54" s="438">
        <f>B53+1</f>
        <v>7</v>
      </c>
      <c r="C54" s="27" t="s">
        <v>609</v>
      </c>
      <c r="D54" s="55"/>
      <c r="E54" s="19"/>
      <c r="F54" s="66">
        <f t="shared" si="17"/>
        <v>0</v>
      </c>
      <c r="G54" s="19"/>
      <c r="H54" s="19"/>
      <c r="I54" s="19"/>
      <c r="J54" s="312">
        <f>J35</f>
        <v>0</v>
      </c>
      <c r="K54" s="312">
        <f t="shared" si="20"/>
        <v>0</v>
      </c>
      <c r="L54" s="312">
        <f t="shared" si="20"/>
        <v>0</v>
      </c>
      <c r="M54" s="312">
        <f t="shared" si="20"/>
        <v>0</v>
      </c>
      <c r="N54" s="312">
        <f t="shared" si="20"/>
        <v>0</v>
      </c>
      <c r="O54" s="312">
        <f t="shared" si="20"/>
        <v>0</v>
      </c>
    </row>
    <row r="55" spans="2:15" x14ac:dyDescent="0.25">
      <c r="B55" s="438">
        <f>B54+1</f>
        <v>8</v>
      </c>
      <c r="C55" s="20" t="s">
        <v>607</v>
      </c>
      <c r="D55" s="55"/>
      <c r="E55" s="100">
        <f>E53/(1-E54)</f>
        <v>0</v>
      </c>
      <c r="F55" s="66">
        <f t="shared" si="17"/>
        <v>0</v>
      </c>
      <c r="G55" s="19"/>
      <c r="H55" s="100">
        <f>H53/(1-H54)</f>
        <v>0</v>
      </c>
      <c r="I55" s="100">
        <f>I53/(1-I54)</f>
        <v>0</v>
      </c>
      <c r="J55" s="315">
        <f>J36</f>
        <v>0.14000000000000001</v>
      </c>
      <c r="K55" s="315">
        <f t="shared" si="20"/>
        <v>0.14000000000000001</v>
      </c>
      <c r="L55" s="315">
        <f t="shared" si="20"/>
        <v>0.14000000000000001</v>
      </c>
      <c r="M55" s="315">
        <f t="shared" si="20"/>
        <v>0.14000000000000001</v>
      </c>
      <c r="N55" s="315">
        <f t="shared" si="20"/>
        <v>0.14000000000000001</v>
      </c>
      <c r="O55" s="315">
        <f t="shared" si="20"/>
        <v>0.14000000000000001</v>
      </c>
    </row>
    <row r="56" spans="2:15" x14ac:dyDescent="0.25">
      <c r="B56" s="438"/>
      <c r="C56" s="56" t="s">
        <v>610</v>
      </c>
      <c r="D56" s="55"/>
      <c r="E56" s="19"/>
      <c r="F56" s="66">
        <f t="shared" si="17"/>
        <v>0</v>
      </c>
      <c r="G56" s="19"/>
      <c r="H56" s="19"/>
      <c r="I56" s="19"/>
      <c r="J56" s="29"/>
      <c r="K56" s="19"/>
      <c r="L56" s="19"/>
      <c r="M56" s="19"/>
      <c r="N56" s="19"/>
      <c r="O56" s="19"/>
    </row>
    <row r="57" spans="2:15" ht="27.6" x14ac:dyDescent="0.25">
      <c r="B57" s="438">
        <f>B55+1</f>
        <v>9</v>
      </c>
      <c r="C57" s="54" t="s">
        <v>611</v>
      </c>
      <c r="D57" s="55"/>
      <c r="E57" s="100">
        <f>E47*E55</f>
        <v>0</v>
      </c>
      <c r="F57" s="66">
        <f t="shared" si="17"/>
        <v>0</v>
      </c>
      <c r="G57" s="19"/>
      <c r="H57" s="100">
        <f>H47*H55</f>
        <v>0</v>
      </c>
      <c r="I57" s="100">
        <f>I47*I55</f>
        <v>0</v>
      </c>
      <c r="J57" s="313">
        <f>J19*10%</f>
        <v>13.29044218551001</v>
      </c>
      <c r="K57" s="313">
        <f t="shared" ref="K57:O58" si="21">K19*10%</f>
        <v>11.064570333374409</v>
      </c>
      <c r="L57" s="313">
        <f t="shared" si="21"/>
        <v>20.830121767147439</v>
      </c>
      <c r="M57" s="313">
        <f t="shared" si="21"/>
        <v>22.430259283788473</v>
      </c>
      <c r="N57" s="313">
        <f t="shared" si="21"/>
        <v>26.946603873418628</v>
      </c>
      <c r="O57" s="313">
        <f t="shared" si="21"/>
        <v>31.937984567848698</v>
      </c>
    </row>
    <row r="58" spans="2:15" ht="27.6" x14ac:dyDescent="0.25">
      <c r="B58" s="438">
        <f t="shared" si="19"/>
        <v>10</v>
      </c>
      <c r="C58" s="54" t="s">
        <v>612</v>
      </c>
      <c r="D58" s="55"/>
      <c r="E58" s="100">
        <f>(E49+E50)*E55/2</f>
        <v>0</v>
      </c>
      <c r="F58" s="66">
        <f t="shared" si="17"/>
        <v>0</v>
      </c>
      <c r="G58" s="19"/>
      <c r="H58" s="100">
        <f>(H49+H50)*H55/2</f>
        <v>0</v>
      </c>
      <c r="I58" s="100">
        <f>(I49+I50)*I55/2</f>
        <v>0</v>
      </c>
      <c r="J58" s="313">
        <f>J20*10%</f>
        <v>0.39586911939234826</v>
      </c>
      <c r="K58" s="313">
        <f t="shared" si="21"/>
        <v>1.6280691907697262</v>
      </c>
      <c r="L58" s="313">
        <f t="shared" si="21"/>
        <v>2.402230135733979</v>
      </c>
      <c r="M58" s="313">
        <f t="shared" si="21"/>
        <v>2.2581722948150764</v>
      </c>
      <c r="N58" s="313">
        <f t="shared" si="21"/>
        <v>2.4956903472150338</v>
      </c>
      <c r="O58" s="313">
        <f t="shared" si="21"/>
        <v>2.6065795520280814</v>
      </c>
    </row>
    <row r="59" spans="2:15" x14ac:dyDescent="0.25">
      <c r="B59" s="438">
        <f t="shared" si="19"/>
        <v>11</v>
      </c>
      <c r="C59" s="28" t="s">
        <v>613</v>
      </c>
      <c r="D59" s="55"/>
      <c r="E59" s="66">
        <f>E57+E58</f>
        <v>0</v>
      </c>
      <c r="F59" s="66">
        <f>F57+F58</f>
        <v>0</v>
      </c>
      <c r="G59" s="19"/>
      <c r="H59" s="66">
        <f>H57+H58</f>
        <v>0</v>
      </c>
      <c r="I59" s="66">
        <f>I57+I58</f>
        <v>0</v>
      </c>
      <c r="J59" s="312">
        <f>SUM(J57:J58)</f>
        <v>13.686311304902357</v>
      </c>
      <c r="K59" s="312">
        <f t="shared" ref="K59:O59" si="22">SUM(K57:K58)</f>
        <v>12.692639524144134</v>
      </c>
      <c r="L59" s="312">
        <f t="shared" si="22"/>
        <v>23.232351902881419</v>
      </c>
      <c r="M59" s="312">
        <f t="shared" si="22"/>
        <v>24.688431578603549</v>
      </c>
      <c r="N59" s="312">
        <f t="shared" si="22"/>
        <v>29.442294220633663</v>
      </c>
      <c r="O59" s="312">
        <f t="shared" si="22"/>
        <v>34.544564119876782</v>
      </c>
    </row>
  </sheetData>
  <mergeCells count="15">
    <mergeCell ref="B25:B27"/>
    <mergeCell ref="C25:C27"/>
    <mergeCell ref="D25:F25"/>
    <mergeCell ref="G25:J25"/>
    <mergeCell ref="K25:O25"/>
    <mergeCell ref="B6:B8"/>
    <mergeCell ref="C6:C8"/>
    <mergeCell ref="D6:F6"/>
    <mergeCell ref="G6:J6"/>
    <mergeCell ref="K6:O6"/>
    <mergeCell ref="B44:B46"/>
    <mergeCell ref="C44:C46"/>
    <mergeCell ref="D44:F44"/>
    <mergeCell ref="G44:J44"/>
    <mergeCell ref="K44:O44"/>
  </mergeCells>
  <pageMargins left="1.02" right="0.25" top="1" bottom="1" header="0.25" footer="0.25"/>
  <pageSetup paperSize="9" scale="45" orientation="landscape" r:id="rId1"/>
  <headerFooter alignWithMargins="0">
    <oddHeader>&amp;F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1:P68"/>
  <sheetViews>
    <sheetView showGridLines="0" zoomScale="75" zoomScaleNormal="75" zoomScaleSheetLayoutView="90" workbookViewId="0">
      <selection activeCell="K17" sqref="K17"/>
    </sheetView>
  </sheetViews>
  <sheetFormatPr defaultColWidth="9.109375" defaultRowHeight="13.8" x14ac:dyDescent="0.25"/>
  <cols>
    <col min="1" max="1" width="4.109375" style="4" customWidth="1"/>
    <col min="2" max="2" width="6.33203125" style="4" customWidth="1"/>
    <col min="3" max="3" width="53.109375" style="4" customWidth="1"/>
    <col min="4" max="4" width="13.6640625" style="4" hidden="1" customWidth="1"/>
    <col min="5" max="5" width="12.5546875" style="4" hidden="1" customWidth="1"/>
    <col min="6" max="6" width="13.44140625" style="4" hidden="1" customWidth="1"/>
    <col min="7" max="7" width="13.6640625" style="4" hidden="1" customWidth="1"/>
    <col min="8" max="8" width="12.5546875" style="4" hidden="1" customWidth="1"/>
    <col min="9" max="9" width="13.109375" style="4" hidden="1" customWidth="1"/>
    <col min="10" max="12" width="17" style="4" customWidth="1"/>
    <col min="13" max="15" width="11.88671875" style="4" hidden="1" customWidth="1"/>
    <col min="16" max="17" width="11.88671875" style="4" bestFit="1" customWidth="1"/>
    <col min="18" max="18" width="11.6640625" style="4" bestFit="1" customWidth="1"/>
    <col min="19" max="16384" width="9.109375" style="4"/>
  </cols>
  <sheetData>
    <row r="1" spans="2:16" x14ac:dyDescent="0.25">
      <c r="B1" s="14"/>
    </row>
    <row r="2" spans="2:16" x14ac:dyDescent="0.25">
      <c r="H2" s="251"/>
      <c r="K2" s="251" t="s">
        <v>1238</v>
      </c>
    </row>
    <row r="3" spans="2:16" x14ac:dyDescent="0.25">
      <c r="H3" s="440"/>
      <c r="K3" s="440" t="s">
        <v>730</v>
      </c>
    </row>
    <row r="4" spans="2:16" hidden="1" x14ac:dyDescent="0.25">
      <c r="B4" s="266" t="s">
        <v>684</v>
      </c>
      <c r="C4" s="14"/>
      <c r="D4" s="15"/>
      <c r="E4" s="15"/>
      <c r="F4" s="15"/>
      <c r="G4" s="15"/>
      <c r="H4" s="15"/>
      <c r="I4" s="15"/>
      <c r="J4" s="15"/>
      <c r="K4" s="15"/>
      <c r="L4" s="15"/>
    </row>
    <row r="5" spans="2:16" hidden="1" x14ac:dyDescent="0.25">
      <c r="L5" s="15" t="s">
        <v>1215</v>
      </c>
      <c r="O5" s="16" t="s">
        <v>3</v>
      </c>
    </row>
    <row r="6" spans="2:16" s="5" customFormat="1" ht="39.6" hidden="1" customHeight="1" x14ac:dyDescent="0.25">
      <c r="B6" s="758" t="s">
        <v>4</v>
      </c>
      <c r="C6" s="760" t="s">
        <v>5</v>
      </c>
      <c r="D6" s="755" t="s">
        <v>7</v>
      </c>
      <c r="E6" s="756"/>
      <c r="F6" s="757"/>
      <c r="G6" s="755" t="s">
        <v>8</v>
      </c>
      <c r="H6" s="756"/>
      <c r="I6" s="756"/>
      <c r="J6" s="756"/>
      <c r="K6" s="768" t="s">
        <v>9</v>
      </c>
      <c r="L6" s="768"/>
      <c r="M6" s="768"/>
      <c r="N6" s="768"/>
      <c r="O6" s="768"/>
      <c r="P6" s="445"/>
    </row>
    <row r="7" spans="2:16" s="5" customFormat="1" ht="27.6" hidden="1" x14ac:dyDescent="0.25">
      <c r="B7" s="792"/>
      <c r="C7" s="760"/>
      <c r="D7" s="435" t="s">
        <v>10</v>
      </c>
      <c r="E7" s="435" t="s">
        <v>11</v>
      </c>
      <c r="F7" s="435" t="s">
        <v>12</v>
      </c>
      <c r="G7" s="435" t="s">
        <v>10</v>
      </c>
      <c r="H7" s="435" t="s">
        <v>13</v>
      </c>
      <c r="I7" s="435" t="s">
        <v>14</v>
      </c>
      <c r="J7" s="435" t="s">
        <v>15</v>
      </c>
      <c r="K7" s="435" t="s">
        <v>16</v>
      </c>
      <c r="L7" s="435" t="s">
        <v>17</v>
      </c>
      <c r="M7" s="435" t="s">
        <v>18</v>
      </c>
      <c r="N7" s="435" t="s">
        <v>19</v>
      </c>
      <c r="O7" s="435" t="s">
        <v>20</v>
      </c>
    </row>
    <row r="8" spans="2:16" s="5" customFormat="1" hidden="1" x14ac:dyDescent="0.25">
      <c r="B8" s="810"/>
      <c r="C8" s="857"/>
      <c r="D8" s="435" t="s">
        <v>21</v>
      </c>
      <c r="E8" s="435" t="s">
        <v>22</v>
      </c>
      <c r="F8" s="435" t="s">
        <v>23</v>
      </c>
      <c r="G8" s="435" t="s">
        <v>21</v>
      </c>
      <c r="H8" s="435" t="s">
        <v>24</v>
      </c>
      <c r="I8" s="435" t="s">
        <v>25</v>
      </c>
      <c r="J8" s="435" t="s">
        <v>25</v>
      </c>
      <c r="K8" s="435" t="s">
        <v>26</v>
      </c>
      <c r="L8" s="435" t="s">
        <v>26</v>
      </c>
      <c r="M8" s="435" t="s">
        <v>26</v>
      </c>
      <c r="N8" s="435" t="s">
        <v>26</v>
      </c>
      <c r="O8" s="435" t="s">
        <v>26</v>
      </c>
    </row>
    <row r="9" spans="2:16" hidden="1" x14ac:dyDescent="0.25">
      <c r="B9" s="442">
        <v>1</v>
      </c>
      <c r="C9" s="361" t="s">
        <v>731</v>
      </c>
      <c r="D9" s="136"/>
      <c r="E9" s="136">
        <f>E37</f>
        <v>123.5424606</v>
      </c>
      <c r="F9" s="136"/>
      <c r="G9" s="136"/>
      <c r="H9" s="136"/>
      <c r="I9" s="136"/>
      <c r="J9" s="136">
        <f>'[56]NTI Proj'!I6</f>
        <v>140.714603377</v>
      </c>
      <c r="K9" s="136">
        <f>'[56]NTI Proj'!J6</f>
        <v>143.52889544454001</v>
      </c>
      <c r="L9" s="136">
        <f>'[56]NTI Proj'!K6</f>
        <v>146.39947335343081</v>
      </c>
      <c r="M9" s="136">
        <f>'[56]NTI Proj'!L6</f>
        <v>149.32746282049942</v>
      </c>
      <c r="N9" s="136">
        <f>'[56]NTI Proj'!M6</f>
        <v>152.31401207690942</v>
      </c>
      <c r="O9" s="136">
        <f>'[56]NTI Proj'!N6</f>
        <v>155.36029231844762</v>
      </c>
    </row>
    <row r="10" spans="2:16" hidden="1" x14ac:dyDescent="0.25">
      <c r="B10" s="442">
        <v>2</v>
      </c>
      <c r="C10" s="361" t="s">
        <v>732</v>
      </c>
      <c r="D10" s="136"/>
      <c r="E10" s="136">
        <f t="shared" ref="E10:E15" si="0">E38</f>
        <v>1.0236000000000001</v>
      </c>
      <c r="F10" s="136"/>
      <c r="G10" s="136"/>
      <c r="H10" s="136"/>
      <c r="I10" s="136"/>
      <c r="J10" s="136">
        <f>'[56]NTI Proj'!I7</f>
        <v>-2.1514000000000002</v>
      </c>
      <c r="K10" s="136">
        <f>'[56]NTI Proj'!J7</f>
        <v>0.83969579748000001</v>
      </c>
      <c r="L10" s="136">
        <f>'[56]NTI Proj'!K7</f>
        <v>0.85648971342960001</v>
      </c>
      <c r="M10" s="136">
        <f>'[56]NTI Proj'!L7</f>
        <v>0.87361950769819208</v>
      </c>
      <c r="N10" s="136">
        <f>'[56]NTI Proj'!M7</f>
        <v>0.89109189785215592</v>
      </c>
      <c r="O10" s="136">
        <f>'[56]NTI Proj'!N7</f>
        <v>0.9089137358091991</v>
      </c>
    </row>
    <row r="11" spans="2:16" hidden="1" x14ac:dyDescent="0.25">
      <c r="B11" s="442">
        <v>3</v>
      </c>
      <c r="C11" s="361" t="s">
        <v>733</v>
      </c>
      <c r="D11" s="136"/>
      <c r="E11" s="136">
        <f t="shared" si="0"/>
        <v>6.1459831999999999</v>
      </c>
      <c r="F11" s="136"/>
      <c r="G11" s="136"/>
      <c r="H11" s="136"/>
      <c r="I11" s="136"/>
      <c r="J11" s="136">
        <f>'[56]NTI Proj'!I8</f>
        <v>6.5406405000000003</v>
      </c>
      <c r="K11" s="136">
        <f>'[56]NTI Proj'!J8</f>
        <v>6.6714533100000004</v>
      </c>
      <c r="L11" s="136">
        <f>'[56]NTI Proj'!K8</f>
        <v>6.8048823762000001</v>
      </c>
      <c r="M11" s="136">
        <f>'[56]NTI Proj'!L8</f>
        <v>6.9409800237240002</v>
      </c>
      <c r="N11" s="136">
        <f>'[56]NTI Proj'!M8</f>
        <v>7.07979962419848</v>
      </c>
      <c r="O11" s="136">
        <f>'[56]NTI Proj'!N8</f>
        <v>7.2213956166824493</v>
      </c>
    </row>
    <row r="12" spans="2:16" hidden="1" x14ac:dyDescent="0.25">
      <c r="B12" s="442">
        <v>4</v>
      </c>
      <c r="C12" s="361" t="s">
        <v>734</v>
      </c>
      <c r="D12" s="136"/>
      <c r="E12" s="136">
        <f t="shared" si="0"/>
        <v>0</v>
      </c>
      <c r="F12" s="136"/>
      <c r="G12" s="136"/>
      <c r="H12" s="136"/>
      <c r="I12" s="136"/>
      <c r="J12" s="136">
        <f>'[56]NTI Proj'!I9</f>
        <v>0</v>
      </c>
      <c r="K12" s="136">
        <f>'[56]NTI Proj'!J9</f>
        <v>0</v>
      </c>
      <c r="L12" s="136">
        <f>'[56]NTI Proj'!K9</f>
        <v>0</v>
      </c>
      <c r="M12" s="136">
        <f>'[56]NTI Proj'!L9</f>
        <v>0</v>
      </c>
      <c r="N12" s="136">
        <f>'[56]NTI Proj'!M9</f>
        <v>0</v>
      </c>
      <c r="O12" s="136">
        <f>'[56]NTI Proj'!N9</f>
        <v>0</v>
      </c>
    </row>
    <row r="13" spans="2:16" hidden="1" x14ac:dyDescent="0.25">
      <c r="B13" s="442">
        <v>5</v>
      </c>
      <c r="C13" s="316" t="s">
        <v>735</v>
      </c>
      <c r="D13" s="136"/>
      <c r="E13" s="136">
        <f t="shared" si="0"/>
        <v>5.8211966589999999</v>
      </c>
      <c r="F13" s="136"/>
      <c r="G13" s="136"/>
      <c r="H13" s="136"/>
      <c r="I13" s="136"/>
      <c r="J13" s="136">
        <f>'[56]NTI Proj'!I10</f>
        <v>3.8972269000000002</v>
      </c>
      <c r="K13" s="136">
        <f>'[56]NTI Proj'!J10</f>
        <v>3.9751714380000003</v>
      </c>
      <c r="L13" s="136">
        <f>'[56]NTI Proj'!K10</f>
        <v>4.0546748667600001</v>
      </c>
      <c r="M13" s="136">
        <f>'[56]NTI Proj'!L10</f>
        <v>4.1357683640951999</v>
      </c>
      <c r="N13" s="136">
        <f>'[56]NTI Proj'!M10</f>
        <v>4.2184837313771038</v>
      </c>
      <c r="O13" s="136">
        <f>'[56]NTI Proj'!N10</f>
        <v>4.3028534060046457</v>
      </c>
    </row>
    <row r="14" spans="2:16" hidden="1" x14ac:dyDescent="0.25">
      <c r="B14" s="442">
        <v>6</v>
      </c>
      <c r="C14" s="362" t="s">
        <v>736</v>
      </c>
      <c r="D14" s="136"/>
      <c r="E14" s="136">
        <f t="shared" si="0"/>
        <v>4.7151011590000005</v>
      </c>
      <c r="F14" s="136"/>
      <c r="G14" s="136"/>
      <c r="H14" s="136"/>
      <c r="I14" s="136"/>
      <c r="J14" s="136">
        <f>'[56]NTI Proj'!I11</f>
        <v>5.7372583879999999</v>
      </c>
      <c r="K14" s="136">
        <f>'[56]NTI Proj'!J11</f>
        <v>5.8520035557599996</v>
      </c>
      <c r="L14" s="136">
        <f>'[56]NTI Proj'!K11</f>
        <v>5.9690436268751998</v>
      </c>
      <c r="M14" s="136">
        <f>'[56]NTI Proj'!L11</f>
        <v>6.0884244994127039</v>
      </c>
      <c r="N14" s="136">
        <f>'[56]NTI Proj'!M11</f>
        <v>6.2101929894009578</v>
      </c>
      <c r="O14" s="136">
        <f>'[56]NTI Proj'!N11</f>
        <v>6.3343968491889768</v>
      </c>
    </row>
    <row r="15" spans="2:16" hidden="1" x14ac:dyDescent="0.25">
      <c r="B15" s="442">
        <v>7</v>
      </c>
      <c r="C15" s="361" t="s">
        <v>737</v>
      </c>
      <c r="D15" s="136"/>
      <c r="E15" s="136">
        <f t="shared" si="0"/>
        <v>9.2565720389999626</v>
      </c>
      <c r="F15" s="136"/>
      <c r="G15" s="136"/>
      <c r="H15" s="136"/>
      <c r="I15" s="136"/>
      <c r="J15" s="136">
        <f>'[56]NTI Proj'!I12</f>
        <v>10.742023833000047</v>
      </c>
      <c r="K15" s="136">
        <f>'[56]NTI Proj'!J12</f>
        <v>10.956864309660048</v>
      </c>
      <c r="L15" s="136">
        <f>'[56]NTI Proj'!K12</f>
        <v>11.176001595853249</v>
      </c>
      <c r="M15" s="136">
        <f>'[56]NTI Proj'!L12</f>
        <v>11.399521627770314</v>
      </c>
      <c r="N15" s="136">
        <f>'[56]NTI Proj'!M12</f>
        <v>11.627512060325721</v>
      </c>
      <c r="O15" s="136">
        <f>'[56]NTI Proj'!N12</f>
        <v>11.860062301532235</v>
      </c>
    </row>
    <row r="16" spans="2:16" hidden="1" x14ac:dyDescent="0.25">
      <c r="B16" s="442">
        <v>8</v>
      </c>
      <c r="C16" s="362" t="s">
        <v>738</v>
      </c>
      <c r="D16" s="136"/>
      <c r="E16" s="136">
        <f t="shared" ref="E16:K23" si="1">E57</f>
        <v>0.88690040199999998</v>
      </c>
      <c r="F16" s="136">
        <f t="shared" si="1"/>
        <v>0.15314075199999999</v>
      </c>
      <c r="G16" s="136">
        <f t="shared" si="1"/>
        <v>0.15620356703999999</v>
      </c>
      <c r="H16" s="136">
        <f t="shared" si="1"/>
        <v>0</v>
      </c>
      <c r="I16" s="136">
        <f t="shared" si="1"/>
        <v>0</v>
      </c>
      <c r="J16" s="136">
        <f t="shared" si="1"/>
        <v>0.15314075199999999</v>
      </c>
      <c r="K16" s="136">
        <f t="shared" si="1"/>
        <v>0.15620356703999999</v>
      </c>
      <c r="L16" s="136">
        <v>0</v>
      </c>
      <c r="M16" s="136">
        <v>0</v>
      </c>
      <c r="N16" s="136">
        <v>0</v>
      </c>
      <c r="O16" s="136">
        <v>0</v>
      </c>
    </row>
    <row r="17" spans="2:15" hidden="1" x14ac:dyDescent="0.25">
      <c r="B17" s="442">
        <v>9</v>
      </c>
      <c r="C17" s="362" t="s">
        <v>739</v>
      </c>
      <c r="D17" s="136"/>
      <c r="E17" s="136">
        <f t="shared" si="1"/>
        <v>22.469789688999999</v>
      </c>
      <c r="F17" s="136">
        <f t="shared" si="1"/>
        <v>0</v>
      </c>
      <c r="G17" s="136">
        <f t="shared" si="1"/>
        <v>0</v>
      </c>
      <c r="H17" s="136">
        <f t="shared" si="1"/>
        <v>0</v>
      </c>
      <c r="I17" s="136">
        <f t="shared" si="1"/>
        <v>0</v>
      </c>
      <c r="J17" s="136">
        <f t="shared" si="1"/>
        <v>22.403402181000001</v>
      </c>
      <c r="K17" s="136">
        <f t="shared" si="1"/>
        <v>0</v>
      </c>
      <c r="L17" s="136">
        <v>0</v>
      </c>
      <c r="M17" s="136">
        <v>0</v>
      </c>
      <c r="N17" s="136">
        <v>0</v>
      </c>
      <c r="O17" s="136">
        <v>0</v>
      </c>
    </row>
    <row r="18" spans="2:15" hidden="1" x14ac:dyDescent="0.25">
      <c r="B18" s="442">
        <v>10</v>
      </c>
      <c r="C18" s="362" t="s">
        <v>740</v>
      </c>
      <c r="D18" s="136"/>
      <c r="E18" s="136">
        <f t="shared" si="1"/>
        <v>5.4601422990000001</v>
      </c>
      <c r="F18" s="136"/>
      <c r="G18" s="136"/>
      <c r="H18" s="136"/>
      <c r="I18" s="136"/>
      <c r="J18" s="136">
        <f t="shared" si="1"/>
        <v>4.5486013500000002</v>
      </c>
      <c r="K18" s="136">
        <f t="shared" si="1"/>
        <v>4.6395733770000005</v>
      </c>
      <c r="L18" s="136">
        <v>0</v>
      </c>
      <c r="M18" s="136">
        <v>0</v>
      </c>
      <c r="N18" s="136">
        <v>0</v>
      </c>
      <c r="O18" s="136">
        <v>0</v>
      </c>
    </row>
    <row r="19" spans="2:15" hidden="1" x14ac:dyDescent="0.25">
      <c r="B19" s="442">
        <v>11</v>
      </c>
      <c r="C19" s="362" t="s">
        <v>741</v>
      </c>
      <c r="D19" s="136"/>
      <c r="E19" s="136">
        <f t="shared" si="1"/>
        <v>0.13425337300000001</v>
      </c>
      <c r="F19" s="136"/>
      <c r="G19" s="136"/>
      <c r="H19" s="136"/>
      <c r="I19" s="136"/>
      <c r="J19" s="136">
        <f t="shared" si="1"/>
        <v>0.161219853</v>
      </c>
      <c r="K19" s="136">
        <f t="shared" si="1"/>
        <v>0.16444425005999999</v>
      </c>
      <c r="L19" s="136">
        <v>0</v>
      </c>
      <c r="M19" s="136">
        <v>0</v>
      </c>
      <c r="N19" s="136">
        <v>0</v>
      </c>
      <c r="O19" s="136">
        <v>0</v>
      </c>
    </row>
    <row r="20" spans="2:15" hidden="1" x14ac:dyDescent="0.25">
      <c r="B20" s="442">
        <v>12</v>
      </c>
      <c r="C20" s="362" t="s">
        <v>742</v>
      </c>
      <c r="D20" s="136"/>
      <c r="E20" s="136">
        <f t="shared" si="1"/>
        <v>0.45796035199999996</v>
      </c>
      <c r="F20" s="136"/>
      <c r="G20" s="136"/>
      <c r="H20" s="136"/>
      <c r="I20" s="136"/>
      <c r="J20" s="136">
        <f t="shared" si="1"/>
        <v>0.51624581899999999</v>
      </c>
      <c r="K20" s="136">
        <f t="shared" si="1"/>
        <v>0.52657073537999999</v>
      </c>
      <c r="L20" s="136">
        <v>0</v>
      </c>
      <c r="M20" s="136">
        <v>0</v>
      </c>
      <c r="N20" s="136">
        <v>0</v>
      </c>
      <c r="O20" s="136">
        <v>0</v>
      </c>
    </row>
    <row r="21" spans="2:15" hidden="1" x14ac:dyDescent="0.25">
      <c r="B21" s="442">
        <v>13</v>
      </c>
      <c r="C21" s="362" t="s">
        <v>743</v>
      </c>
      <c r="D21" s="136"/>
      <c r="E21" s="136">
        <f t="shared" si="1"/>
        <v>21.585319047999999</v>
      </c>
      <c r="F21" s="136"/>
      <c r="G21" s="136"/>
      <c r="H21" s="136"/>
      <c r="I21" s="136"/>
      <c r="J21" s="136">
        <f t="shared" si="1"/>
        <v>23.948858315999999</v>
      </c>
      <c r="K21" s="136">
        <f t="shared" si="1"/>
        <v>24.427835482319999</v>
      </c>
      <c r="L21" s="136">
        <v>0</v>
      </c>
      <c r="M21" s="136">
        <v>0</v>
      </c>
      <c r="N21" s="136">
        <v>0</v>
      </c>
      <c r="O21" s="136">
        <v>0</v>
      </c>
    </row>
    <row r="22" spans="2:15" hidden="1" x14ac:dyDescent="0.25">
      <c r="B22" s="442">
        <v>14</v>
      </c>
      <c r="C22" s="362" t="s">
        <v>744</v>
      </c>
      <c r="D22" s="136"/>
      <c r="E22" s="136">
        <f t="shared" si="1"/>
        <v>0.31260166299999997</v>
      </c>
      <c r="F22" s="136"/>
      <c r="G22" s="136"/>
      <c r="H22" s="136"/>
      <c r="I22" s="136"/>
      <c r="J22" s="136">
        <f t="shared" si="1"/>
        <v>0.37653960200000003</v>
      </c>
      <c r="K22" s="136">
        <f t="shared" si="1"/>
        <v>0.38407039404000004</v>
      </c>
      <c r="L22" s="136">
        <v>0</v>
      </c>
      <c r="M22" s="136">
        <v>0</v>
      </c>
      <c r="N22" s="136">
        <v>0</v>
      </c>
      <c r="O22" s="136">
        <v>0</v>
      </c>
    </row>
    <row r="23" spans="2:15" hidden="1" x14ac:dyDescent="0.25">
      <c r="B23" s="442">
        <v>15</v>
      </c>
      <c r="C23" s="362" t="s">
        <v>745</v>
      </c>
      <c r="D23" s="136"/>
      <c r="E23" s="136">
        <f t="shared" si="1"/>
        <v>11.101792010000031</v>
      </c>
      <c r="F23" s="136"/>
      <c r="G23" s="136"/>
      <c r="H23" s="136"/>
      <c r="I23" s="136"/>
      <c r="J23" s="136">
        <f t="shared" si="1"/>
        <v>20.265805253000075</v>
      </c>
      <c r="K23" s="136">
        <f t="shared" si="1"/>
        <v>20.671121358060077</v>
      </c>
      <c r="L23" s="136">
        <v>0</v>
      </c>
      <c r="M23" s="136">
        <v>0</v>
      </c>
      <c r="N23" s="136">
        <v>0</v>
      </c>
      <c r="O23" s="136">
        <v>0</v>
      </c>
    </row>
    <row r="24" spans="2:15" s="22" customFormat="1" hidden="1" x14ac:dyDescent="0.25">
      <c r="B24" s="438"/>
      <c r="C24" s="363"/>
      <c r="D24" s="136"/>
      <c r="E24" s="136"/>
      <c r="F24" s="136"/>
      <c r="G24" s="136"/>
      <c r="H24" s="136"/>
      <c r="I24" s="136"/>
      <c r="J24" s="136"/>
      <c r="K24" s="136"/>
      <c r="L24" s="136">
        <f>'[56]NTI Proj'!K13</f>
        <v>0</v>
      </c>
      <c r="M24" s="136">
        <f>'[56]NTI Proj'!L13</f>
        <v>0</v>
      </c>
      <c r="N24" s="136">
        <f>'[56]NTI Proj'!M13</f>
        <v>0</v>
      </c>
      <c r="O24" s="136">
        <f>'[56]NTI Proj'!N13</f>
        <v>0</v>
      </c>
    </row>
    <row r="25" spans="2:15" s="22" customFormat="1" hidden="1" x14ac:dyDescent="0.25">
      <c r="B25" s="438"/>
      <c r="C25" s="27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</row>
    <row r="26" spans="2:15" s="22" customFormat="1" hidden="1" x14ac:dyDescent="0.25">
      <c r="B26" s="438"/>
      <c r="C26" s="27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</row>
    <row r="27" spans="2:15" s="22" customFormat="1" hidden="1" x14ac:dyDescent="0.25">
      <c r="B27" s="438"/>
      <c r="C27" s="27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</row>
    <row r="28" spans="2:15" s="22" customFormat="1" hidden="1" x14ac:dyDescent="0.25">
      <c r="B28" s="438"/>
      <c r="C28" s="5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</row>
    <row r="29" spans="2:15" hidden="1" x14ac:dyDescent="0.25">
      <c r="B29" s="438"/>
      <c r="C29" s="5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</row>
    <row r="30" spans="2:15" hidden="1" x14ac:dyDescent="0.25">
      <c r="B30" s="438"/>
      <c r="C30" s="433" t="s">
        <v>251</v>
      </c>
      <c r="D30" s="317">
        <f>D50+D68</f>
        <v>204.87</v>
      </c>
      <c r="E30" s="317">
        <f>SUM(E9:E29)</f>
        <v>212.91367249300004</v>
      </c>
      <c r="F30" s="317">
        <f>E30-D30</f>
        <v>8.043672493000031</v>
      </c>
      <c r="G30" s="317">
        <f>G50+G68</f>
        <v>222.25</v>
      </c>
      <c r="H30" s="317">
        <f t="shared" ref="H30:O30" si="2">SUM(H9:H29)</f>
        <v>0</v>
      </c>
      <c r="I30" s="317">
        <f t="shared" si="2"/>
        <v>0</v>
      </c>
      <c r="J30" s="318">
        <f t="shared" si="2"/>
        <v>237.85416612400013</v>
      </c>
      <c r="K30" s="318">
        <f>'[56]NTI Proj'!J14</f>
        <v>171.82408385544005</v>
      </c>
      <c r="L30" s="318">
        <f>'[56]NTI Proj'!K14</f>
        <v>175.26056553254884</v>
      </c>
      <c r="M30" s="318">
        <f t="shared" si="2"/>
        <v>178.76577684319983</v>
      </c>
      <c r="N30" s="318">
        <f t="shared" si="2"/>
        <v>182.34109238006383</v>
      </c>
      <c r="O30" s="318">
        <f t="shared" si="2"/>
        <v>185.98791422766513</v>
      </c>
    </row>
    <row r="31" spans="2:15" hidden="1" x14ac:dyDescent="0.25"/>
    <row r="32" spans="2:15" hidden="1" x14ac:dyDescent="0.25">
      <c r="B32" s="266" t="s">
        <v>687</v>
      </c>
      <c r="C32" s="14"/>
      <c r="D32" s="15"/>
      <c r="E32" s="15"/>
      <c r="F32" s="15"/>
      <c r="G32" s="15"/>
      <c r="H32" s="15"/>
      <c r="I32" s="15"/>
      <c r="J32" s="15"/>
      <c r="K32" s="15"/>
      <c r="L32" s="15"/>
    </row>
    <row r="33" spans="2:16" hidden="1" x14ac:dyDescent="0.25">
      <c r="O33" s="16" t="s">
        <v>3</v>
      </c>
    </row>
    <row r="34" spans="2:16" ht="13.95" hidden="1" customHeight="1" x14ac:dyDescent="0.25">
      <c r="B34" s="758" t="s">
        <v>4</v>
      </c>
      <c r="C34" s="760" t="s">
        <v>5</v>
      </c>
      <c r="D34" s="755" t="s">
        <v>7</v>
      </c>
      <c r="E34" s="756"/>
      <c r="F34" s="757"/>
      <c r="G34" s="755" t="s">
        <v>8</v>
      </c>
      <c r="H34" s="756"/>
      <c r="I34" s="756"/>
      <c r="J34" s="756"/>
      <c r="K34" s="768" t="s">
        <v>9</v>
      </c>
      <c r="L34" s="768"/>
      <c r="M34" s="768"/>
      <c r="N34" s="768"/>
      <c r="O34" s="768"/>
      <c r="P34" s="443"/>
    </row>
    <row r="35" spans="2:16" ht="27.6" hidden="1" x14ac:dyDescent="0.25">
      <c r="B35" s="792"/>
      <c r="C35" s="760"/>
      <c r="D35" s="435" t="s">
        <v>10</v>
      </c>
      <c r="E35" s="435" t="s">
        <v>11</v>
      </c>
      <c r="F35" s="435" t="s">
        <v>12</v>
      </c>
      <c r="G35" s="435" t="s">
        <v>10</v>
      </c>
      <c r="H35" s="435" t="s">
        <v>13</v>
      </c>
      <c r="I35" s="435" t="s">
        <v>14</v>
      </c>
      <c r="J35" s="435" t="s">
        <v>15</v>
      </c>
      <c r="K35" s="435" t="s">
        <v>16</v>
      </c>
      <c r="L35" s="435" t="s">
        <v>17</v>
      </c>
      <c r="M35" s="435" t="s">
        <v>18</v>
      </c>
      <c r="N35" s="435" t="s">
        <v>19</v>
      </c>
      <c r="O35" s="435" t="s">
        <v>20</v>
      </c>
    </row>
    <row r="36" spans="2:16" hidden="1" x14ac:dyDescent="0.25">
      <c r="B36" s="810"/>
      <c r="C36" s="857"/>
      <c r="D36" s="435" t="s">
        <v>21</v>
      </c>
      <c r="E36" s="435" t="s">
        <v>22</v>
      </c>
      <c r="F36" s="435" t="s">
        <v>23</v>
      </c>
      <c r="G36" s="435" t="s">
        <v>21</v>
      </c>
      <c r="H36" s="435" t="s">
        <v>24</v>
      </c>
      <c r="I36" s="435" t="s">
        <v>25</v>
      </c>
      <c r="J36" s="435" t="s">
        <v>25</v>
      </c>
      <c r="K36" s="435" t="s">
        <v>26</v>
      </c>
      <c r="L36" s="435" t="s">
        <v>26</v>
      </c>
      <c r="M36" s="435" t="s">
        <v>26</v>
      </c>
      <c r="N36" s="435" t="s">
        <v>26</v>
      </c>
      <c r="O36" s="435" t="s">
        <v>26</v>
      </c>
    </row>
    <row r="37" spans="2:16" hidden="1" x14ac:dyDescent="0.25">
      <c r="B37" s="442">
        <v>1</v>
      </c>
      <c r="C37" s="361" t="s">
        <v>731</v>
      </c>
      <c r="D37" s="1"/>
      <c r="E37" s="129">
        <f>'[63]Non-Tariff Income'!L18</f>
        <v>123.5424606</v>
      </c>
      <c r="F37" s="438"/>
      <c r="G37" s="436"/>
      <c r="H37" s="436"/>
      <c r="I37" s="436"/>
      <c r="J37" s="101">
        <f t="shared" ref="J37:O43" si="3">J9</f>
        <v>140.714603377</v>
      </c>
      <c r="K37" s="101">
        <f t="shared" si="3"/>
        <v>143.52889544454001</v>
      </c>
      <c r="L37" s="101">
        <f t="shared" si="3"/>
        <v>146.39947335343081</v>
      </c>
      <c r="M37" s="101">
        <f t="shared" si="3"/>
        <v>149.32746282049942</v>
      </c>
      <c r="N37" s="101">
        <f t="shared" si="3"/>
        <v>152.31401207690942</v>
      </c>
      <c r="O37" s="101">
        <f t="shared" si="3"/>
        <v>155.36029231844762</v>
      </c>
    </row>
    <row r="38" spans="2:16" hidden="1" x14ac:dyDescent="0.25">
      <c r="B38" s="442">
        <f>B37+1</f>
        <v>2</v>
      </c>
      <c r="C38" s="361" t="s">
        <v>732</v>
      </c>
      <c r="D38" s="1"/>
      <c r="E38" s="129">
        <f>'[63]Non-Tariff Income'!L19</f>
        <v>1.0236000000000001</v>
      </c>
      <c r="F38" s="438"/>
      <c r="G38" s="436"/>
      <c r="H38" s="436"/>
      <c r="I38" s="436"/>
      <c r="J38" s="101">
        <f t="shared" si="3"/>
        <v>-2.1514000000000002</v>
      </c>
      <c r="K38" s="101">
        <f t="shared" si="3"/>
        <v>0.83969579748000001</v>
      </c>
      <c r="L38" s="101">
        <f t="shared" si="3"/>
        <v>0.85648971342960001</v>
      </c>
      <c r="M38" s="101">
        <f t="shared" si="3"/>
        <v>0.87361950769819208</v>
      </c>
      <c r="N38" s="101">
        <f t="shared" si="3"/>
        <v>0.89109189785215592</v>
      </c>
      <c r="O38" s="101">
        <f t="shared" si="3"/>
        <v>0.9089137358091991</v>
      </c>
    </row>
    <row r="39" spans="2:16" hidden="1" x14ac:dyDescent="0.25">
      <c r="B39" s="442">
        <f>B38+1</f>
        <v>3</v>
      </c>
      <c r="C39" s="361" t="s">
        <v>733</v>
      </c>
      <c r="D39" s="1"/>
      <c r="E39" s="129">
        <f>'[63]Non-Tariff Income'!L20</f>
        <v>6.1459831999999999</v>
      </c>
      <c r="F39" s="438"/>
      <c r="G39" s="436"/>
      <c r="H39" s="436"/>
      <c r="I39" s="436"/>
      <c r="J39" s="101">
        <f t="shared" si="3"/>
        <v>6.5406405000000003</v>
      </c>
      <c r="K39" s="101">
        <f t="shared" si="3"/>
        <v>6.6714533100000004</v>
      </c>
      <c r="L39" s="101">
        <f t="shared" si="3"/>
        <v>6.8048823762000001</v>
      </c>
      <c r="M39" s="101">
        <f t="shared" si="3"/>
        <v>6.9409800237240002</v>
      </c>
      <c r="N39" s="101">
        <f t="shared" si="3"/>
        <v>7.07979962419848</v>
      </c>
      <c r="O39" s="101">
        <f t="shared" si="3"/>
        <v>7.2213956166824493</v>
      </c>
    </row>
    <row r="40" spans="2:16" hidden="1" x14ac:dyDescent="0.25">
      <c r="B40" s="438">
        <f t="shared" ref="B40:B43" si="4">B39+1</f>
        <v>4</v>
      </c>
      <c r="C40" s="361" t="s">
        <v>734</v>
      </c>
      <c r="D40" s="1"/>
      <c r="E40" s="129">
        <f>'[63]Non-Tariff Income'!L21</f>
        <v>0</v>
      </c>
      <c r="F40" s="438"/>
      <c r="G40" s="436"/>
      <c r="H40" s="436"/>
      <c r="I40" s="436"/>
      <c r="J40" s="101">
        <f t="shared" si="3"/>
        <v>0</v>
      </c>
      <c r="K40" s="101">
        <f t="shared" si="3"/>
        <v>0</v>
      </c>
      <c r="L40" s="101">
        <f t="shared" si="3"/>
        <v>0</v>
      </c>
      <c r="M40" s="101">
        <f t="shared" si="3"/>
        <v>0</v>
      </c>
      <c r="N40" s="101">
        <f t="shared" si="3"/>
        <v>0</v>
      </c>
      <c r="O40" s="101">
        <f t="shared" si="3"/>
        <v>0</v>
      </c>
    </row>
    <row r="41" spans="2:16" hidden="1" x14ac:dyDescent="0.25">
      <c r="B41" s="438">
        <f t="shared" si="4"/>
        <v>5</v>
      </c>
      <c r="C41" s="316" t="s">
        <v>735</v>
      </c>
      <c r="D41" s="319"/>
      <c r="E41" s="129">
        <f>'[63]Non-Tariff Income'!L22</f>
        <v>5.8211966589999999</v>
      </c>
      <c r="F41" s="1"/>
      <c r="G41" s="438"/>
      <c r="H41" s="438"/>
      <c r="I41" s="438"/>
      <c r="J41" s="101">
        <f t="shared" si="3"/>
        <v>3.8972269000000002</v>
      </c>
      <c r="K41" s="101">
        <f t="shared" si="3"/>
        <v>3.9751714380000003</v>
      </c>
      <c r="L41" s="101">
        <f t="shared" si="3"/>
        <v>4.0546748667600001</v>
      </c>
      <c r="M41" s="101">
        <f t="shared" si="3"/>
        <v>4.1357683640951999</v>
      </c>
      <c r="N41" s="101">
        <f t="shared" si="3"/>
        <v>4.2184837313771038</v>
      </c>
      <c r="O41" s="101">
        <f t="shared" si="3"/>
        <v>4.3028534060046457</v>
      </c>
    </row>
    <row r="42" spans="2:16" hidden="1" x14ac:dyDescent="0.25">
      <c r="B42" s="438">
        <f t="shared" si="4"/>
        <v>6</v>
      </c>
      <c r="C42" s="362" t="s">
        <v>736</v>
      </c>
      <c r="D42" s="319"/>
      <c r="E42" s="129">
        <f>'[63]Non-Tariff Income'!L23</f>
        <v>4.7151011590000005</v>
      </c>
      <c r="F42" s="1"/>
      <c r="G42" s="438"/>
      <c r="H42" s="438"/>
      <c r="I42" s="438"/>
      <c r="J42" s="101">
        <f t="shared" si="3"/>
        <v>5.7372583879999999</v>
      </c>
      <c r="K42" s="101">
        <f t="shared" si="3"/>
        <v>5.8520035557599996</v>
      </c>
      <c r="L42" s="101">
        <f t="shared" si="3"/>
        <v>5.9690436268751998</v>
      </c>
      <c r="M42" s="101">
        <f t="shared" si="3"/>
        <v>6.0884244994127039</v>
      </c>
      <c r="N42" s="101">
        <f t="shared" si="3"/>
        <v>6.2101929894009578</v>
      </c>
      <c r="O42" s="101">
        <f t="shared" si="3"/>
        <v>6.3343968491889768</v>
      </c>
    </row>
    <row r="43" spans="2:16" hidden="1" x14ac:dyDescent="0.25">
      <c r="B43" s="438">
        <f t="shared" si="4"/>
        <v>7</v>
      </c>
      <c r="C43" s="361" t="s">
        <v>737</v>
      </c>
      <c r="D43" s="319"/>
      <c r="E43" s="129">
        <f>'[63]Non-Tariff Income'!L24</f>
        <v>9.2565720389999626</v>
      </c>
      <c r="F43" s="1"/>
      <c r="G43" s="438"/>
      <c r="H43" s="438"/>
      <c r="I43" s="438"/>
      <c r="J43" s="101">
        <f t="shared" si="3"/>
        <v>10.742023833000047</v>
      </c>
      <c r="K43" s="101">
        <f t="shared" si="3"/>
        <v>10.956864309660048</v>
      </c>
      <c r="L43" s="101">
        <f t="shared" si="3"/>
        <v>11.176001595853249</v>
      </c>
      <c r="M43" s="101">
        <f t="shared" si="3"/>
        <v>11.399521627770314</v>
      </c>
      <c r="N43" s="101">
        <f t="shared" si="3"/>
        <v>11.627512060325721</v>
      </c>
      <c r="O43" s="101">
        <f t="shared" si="3"/>
        <v>11.860062301532235</v>
      </c>
    </row>
    <row r="44" spans="2:16" hidden="1" x14ac:dyDescent="0.25">
      <c r="B44" s="438"/>
      <c r="C44" s="363"/>
      <c r="D44" s="319"/>
      <c r="E44" s="129"/>
      <c r="F44" s="1"/>
      <c r="G44" s="438"/>
      <c r="H44" s="438"/>
      <c r="I44" s="438"/>
      <c r="J44" s="129"/>
      <c r="K44" s="129"/>
      <c r="L44" s="129"/>
      <c r="M44" s="129"/>
      <c r="N44" s="129"/>
      <c r="O44" s="129"/>
    </row>
    <row r="45" spans="2:16" hidden="1" x14ac:dyDescent="0.25">
      <c r="B45" s="438"/>
      <c r="C45" s="27"/>
      <c r="D45" s="319"/>
      <c r="E45" s="438"/>
      <c r="F45" s="1"/>
      <c r="G45" s="438"/>
      <c r="H45" s="438"/>
      <c r="I45" s="438"/>
      <c r="J45" s="438"/>
      <c r="K45" s="438"/>
      <c r="L45" s="438"/>
      <c r="M45" s="438"/>
      <c r="N45" s="438"/>
      <c r="O45" s="438"/>
    </row>
    <row r="46" spans="2:16" hidden="1" x14ac:dyDescent="0.25">
      <c r="B46" s="438"/>
      <c r="C46" s="27"/>
      <c r="D46" s="319"/>
      <c r="E46" s="438"/>
      <c r="F46" s="1"/>
      <c r="G46" s="438"/>
      <c r="H46" s="438"/>
      <c r="I46" s="438"/>
      <c r="J46" s="438"/>
      <c r="K46" s="438"/>
      <c r="L46" s="438"/>
      <c r="M46" s="438"/>
      <c r="N46" s="438"/>
      <c r="O46" s="438"/>
    </row>
    <row r="47" spans="2:16" hidden="1" x14ac:dyDescent="0.25">
      <c r="B47" s="438"/>
      <c r="C47" s="27"/>
      <c r="D47" s="319"/>
      <c r="E47" s="438"/>
      <c r="F47" s="1"/>
      <c r="G47" s="438"/>
      <c r="H47" s="438"/>
      <c r="I47" s="438"/>
      <c r="J47" s="438"/>
      <c r="K47" s="438"/>
      <c r="L47" s="438"/>
      <c r="M47" s="438"/>
      <c r="N47" s="438"/>
      <c r="O47" s="438"/>
    </row>
    <row r="48" spans="2:16" hidden="1" x14ac:dyDescent="0.25">
      <c r="B48" s="438"/>
      <c r="C48" s="54"/>
      <c r="D48" s="319"/>
      <c r="E48" s="438"/>
      <c r="F48" s="1"/>
      <c r="G48" s="438"/>
      <c r="H48" s="438"/>
      <c r="I48" s="438"/>
      <c r="J48" s="438"/>
      <c r="K48" s="438"/>
      <c r="L48" s="438"/>
      <c r="M48" s="438"/>
      <c r="N48" s="438"/>
      <c r="O48" s="438"/>
    </row>
    <row r="49" spans="2:16" hidden="1" x14ac:dyDescent="0.25">
      <c r="B49" s="438"/>
      <c r="C49" s="54"/>
      <c r="D49" s="319"/>
      <c r="E49" s="438"/>
      <c r="F49" s="1"/>
      <c r="G49" s="438"/>
      <c r="H49" s="438"/>
      <c r="I49" s="438"/>
      <c r="J49" s="438"/>
      <c r="K49" s="438"/>
      <c r="L49" s="438"/>
      <c r="M49" s="438"/>
      <c r="N49" s="438"/>
      <c r="O49" s="438"/>
    </row>
    <row r="50" spans="2:16" hidden="1" x14ac:dyDescent="0.25">
      <c r="B50" s="438"/>
      <c r="C50" s="433" t="s">
        <v>251</v>
      </c>
      <c r="D50" s="317">
        <f>'[64]DB ARR (R)'!$F$13</f>
        <v>175.46</v>
      </c>
      <c r="E50" s="317">
        <f t="shared" ref="E50" si="5">SUM(E37:E49)</f>
        <v>150.50491365699997</v>
      </c>
      <c r="F50" s="317">
        <f>E50</f>
        <v>150.50491365699997</v>
      </c>
      <c r="G50" s="317">
        <f>'[64]DB ARR (R)'!$G$13</f>
        <v>188.44</v>
      </c>
      <c r="H50" s="317">
        <f t="shared" ref="H50:O50" si="6">SUM(H37:H49)</f>
        <v>0</v>
      </c>
      <c r="I50" s="317">
        <f t="shared" si="6"/>
        <v>0</v>
      </c>
      <c r="J50" s="317">
        <f t="shared" si="6"/>
        <v>165.48035299800003</v>
      </c>
      <c r="K50" s="317">
        <f t="shared" si="6"/>
        <v>171.82408385544005</v>
      </c>
      <c r="L50" s="317">
        <f t="shared" si="6"/>
        <v>175.26056553254884</v>
      </c>
      <c r="M50" s="317">
        <f t="shared" si="6"/>
        <v>178.76577684319983</v>
      </c>
      <c r="N50" s="317">
        <f t="shared" si="6"/>
        <v>182.34109238006383</v>
      </c>
      <c r="O50" s="317">
        <f t="shared" si="6"/>
        <v>185.98791422766513</v>
      </c>
    </row>
    <row r="52" spans="2:16" x14ac:dyDescent="0.25">
      <c r="B52" s="266" t="s">
        <v>688</v>
      </c>
      <c r="C52" s="14"/>
      <c r="D52" s="15"/>
      <c r="E52" s="15"/>
      <c r="F52" s="15"/>
      <c r="G52" s="15"/>
      <c r="H52" s="15"/>
      <c r="I52" s="15"/>
      <c r="J52" s="15"/>
      <c r="K52" s="15"/>
      <c r="L52" s="15"/>
    </row>
    <row r="53" spans="2:16" x14ac:dyDescent="0.25">
      <c r="O53" s="16" t="s">
        <v>3</v>
      </c>
    </row>
    <row r="54" spans="2:16" ht="13.95" customHeight="1" x14ac:dyDescent="0.25">
      <c r="B54" s="758" t="s">
        <v>4</v>
      </c>
      <c r="C54" s="760" t="s">
        <v>5</v>
      </c>
      <c r="D54" s="755" t="s">
        <v>7</v>
      </c>
      <c r="E54" s="756"/>
      <c r="F54" s="757"/>
      <c r="G54" s="755" t="s">
        <v>8</v>
      </c>
      <c r="H54" s="756"/>
      <c r="I54" s="756"/>
      <c r="J54" s="756"/>
      <c r="K54" s="768" t="s">
        <v>9</v>
      </c>
      <c r="L54" s="768"/>
      <c r="M54" s="768"/>
      <c r="N54" s="768"/>
      <c r="O54" s="768"/>
      <c r="P54" s="443"/>
    </row>
    <row r="55" spans="2:16" ht="27.6" x14ac:dyDescent="0.25">
      <c r="B55" s="792"/>
      <c r="C55" s="760"/>
      <c r="D55" s="435" t="s">
        <v>10</v>
      </c>
      <c r="E55" s="435" t="s">
        <v>11</v>
      </c>
      <c r="F55" s="435" t="s">
        <v>12</v>
      </c>
      <c r="G55" s="435" t="s">
        <v>10</v>
      </c>
      <c r="H55" s="435" t="s">
        <v>13</v>
      </c>
      <c r="I55" s="435" t="s">
        <v>14</v>
      </c>
      <c r="J55" s="435" t="s">
        <v>15</v>
      </c>
      <c r="K55" s="435" t="s">
        <v>16</v>
      </c>
      <c r="L55" s="435" t="s">
        <v>17</v>
      </c>
      <c r="M55" s="435" t="s">
        <v>18</v>
      </c>
      <c r="N55" s="435" t="s">
        <v>19</v>
      </c>
      <c r="O55" s="435" t="s">
        <v>20</v>
      </c>
    </row>
    <row r="56" spans="2:16" x14ac:dyDescent="0.25">
      <c r="B56" s="810"/>
      <c r="C56" s="857"/>
      <c r="D56" s="435" t="s">
        <v>21</v>
      </c>
      <c r="E56" s="435" t="s">
        <v>22</v>
      </c>
      <c r="F56" s="435" t="s">
        <v>23</v>
      </c>
      <c r="G56" s="435" t="s">
        <v>21</v>
      </c>
      <c r="H56" s="435" t="s">
        <v>24</v>
      </c>
      <c r="I56" s="435" t="s">
        <v>25</v>
      </c>
      <c r="J56" s="435" t="s">
        <v>25</v>
      </c>
      <c r="K56" s="435" t="s">
        <v>26</v>
      </c>
      <c r="L56" s="435" t="s">
        <v>26</v>
      </c>
      <c r="M56" s="435" t="s">
        <v>26</v>
      </c>
      <c r="N56" s="435" t="s">
        <v>26</v>
      </c>
      <c r="O56" s="435" t="s">
        <v>26</v>
      </c>
    </row>
    <row r="57" spans="2:16" x14ac:dyDescent="0.25">
      <c r="B57" s="442">
        <v>1</v>
      </c>
      <c r="C57" s="362" t="s">
        <v>738</v>
      </c>
      <c r="D57" s="1"/>
      <c r="E57" s="129">
        <f>'[65]Non-Tariff Income'!D5</f>
        <v>0.88690040199999998</v>
      </c>
      <c r="F57" s="129">
        <f>'[65]Non-Tariff Income'!E5</f>
        <v>0.15314075199999999</v>
      </c>
      <c r="G57" s="129">
        <f>'[65]Non-Tariff Income'!F5</f>
        <v>0.15620356703999999</v>
      </c>
      <c r="H57" s="129">
        <f>'[65]Non-Tariff Income'!G5</f>
        <v>0</v>
      </c>
      <c r="I57" s="129">
        <f>'[65]Non-Tariff Income'!H5</f>
        <v>0</v>
      </c>
      <c r="J57" s="129">
        <f>'[65]Non-Tariff Income'!E5</f>
        <v>0.15314075199999999</v>
      </c>
      <c r="K57" s="129">
        <f>'[65]Non-Tariff Income'!F5</f>
        <v>0.15620356703999999</v>
      </c>
      <c r="L57" s="129">
        <v>0.1593276383808</v>
      </c>
      <c r="M57" s="101"/>
      <c r="N57" s="101"/>
      <c r="O57" s="101"/>
    </row>
    <row r="58" spans="2:16" x14ac:dyDescent="0.25">
      <c r="B58" s="442">
        <f t="shared" ref="B58:B64" si="7">B57+1</f>
        <v>2</v>
      </c>
      <c r="C58" s="362" t="s">
        <v>739</v>
      </c>
      <c r="D58" s="1"/>
      <c r="E58" s="129">
        <f>'[65]Non-Tariff Income'!$D$4</f>
        <v>22.469789688999999</v>
      </c>
      <c r="F58" s="438"/>
      <c r="G58" s="436"/>
      <c r="H58" s="436"/>
      <c r="I58" s="436"/>
      <c r="J58" s="101">
        <f>'[65]Non-Tariff Income'!$E$4</f>
        <v>22.403402181000001</v>
      </c>
      <c r="K58" s="101">
        <f>'[65]Non-Tariff Income'!$F$4</f>
        <v>0</v>
      </c>
      <c r="L58" s="129">
        <v>0</v>
      </c>
      <c r="M58" s="101"/>
      <c r="N58" s="101"/>
      <c r="O58" s="101"/>
    </row>
    <row r="59" spans="2:16" x14ac:dyDescent="0.25">
      <c r="B59" s="442">
        <f t="shared" si="7"/>
        <v>3</v>
      </c>
      <c r="C59" s="362" t="s">
        <v>740</v>
      </c>
      <c r="D59" s="1"/>
      <c r="E59" s="129">
        <f>'[65]Non-Tariff Income'!$D$8</f>
        <v>5.4601422990000001</v>
      </c>
      <c r="F59" s="438"/>
      <c r="G59" s="436"/>
      <c r="H59" s="436"/>
      <c r="I59" s="436"/>
      <c r="J59" s="101">
        <f>'[65]Non-Tariff Income'!$E$8</f>
        <v>4.5486013500000002</v>
      </c>
      <c r="K59" s="101">
        <f>'[65]Non-Tariff Income'!$F$8</f>
        <v>4.6395733770000005</v>
      </c>
      <c r="L59" s="129">
        <v>4.7323648445400002</v>
      </c>
      <c r="M59" s="101"/>
      <c r="N59" s="101"/>
      <c r="O59" s="101"/>
    </row>
    <row r="60" spans="2:16" x14ac:dyDescent="0.25">
      <c r="B60" s="442">
        <f t="shared" si="7"/>
        <v>4</v>
      </c>
      <c r="C60" s="362" t="s">
        <v>741</v>
      </c>
      <c r="D60" s="55"/>
      <c r="E60" s="129">
        <f>'[65]Non-Tariff Income'!$D$9</f>
        <v>0.13425337300000001</v>
      </c>
      <c r="F60" s="1"/>
      <c r="G60" s="438"/>
      <c r="H60" s="438"/>
      <c r="I60" s="438"/>
      <c r="J60" s="101">
        <f>'[65]Non-Tariff Income'!$E$9</f>
        <v>0.161219853</v>
      </c>
      <c r="K60" s="101">
        <f>'[65]Non-Tariff Income'!$F$9</f>
        <v>0.16444425005999999</v>
      </c>
      <c r="L60" s="129">
        <v>0.16773313506119999</v>
      </c>
      <c r="M60" s="101"/>
      <c r="N60" s="101"/>
      <c r="O60" s="101"/>
    </row>
    <row r="61" spans="2:16" x14ac:dyDescent="0.25">
      <c r="B61" s="442">
        <f t="shared" si="7"/>
        <v>5</v>
      </c>
      <c r="C61" s="362" t="s">
        <v>742</v>
      </c>
      <c r="D61" s="55"/>
      <c r="E61" s="129">
        <f>'[65]Non-Tariff Income'!$D$10</f>
        <v>0.45796035199999996</v>
      </c>
      <c r="F61" s="1"/>
      <c r="G61" s="438"/>
      <c r="H61" s="438"/>
      <c r="I61" s="438"/>
      <c r="J61" s="101">
        <f>'[65]Non-Tariff Income'!$E$10</f>
        <v>0.51624581899999999</v>
      </c>
      <c r="K61" s="101">
        <f>'[65]Non-Tariff Income'!$F$10</f>
        <v>0.52657073537999999</v>
      </c>
      <c r="L61" s="129">
        <v>0.53710215008759998</v>
      </c>
      <c r="M61" s="101"/>
      <c r="N61" s="101"/>
      <c r="O61" s="101"/>
    </row>
    <row r="62" spans="2:16" x14ac:dyDescent="0.25">
      <c r="B62" s="442">
        <f t="shared" si="7"/>
        <v>6</v>
      </c>
      <c r="C62" s="362" t="s">
        <v>743</v>
      </c>
      <c r="D62" s="55"/>
      <c r="E62" s="129">
        <f>'[65]Non-Tariff Income'!$D$11</f>
        <v>21.585319047999999</v>
      </c>
      <c r="F62" s="1"/>
      <c r="G62" s="438"/>
      <c r="H62" s="438"/>
      <c r="I62" s="438"/>
      <c r="J62" s="101">
        <f>'[65]Non-Tariff Income'!$E$11</f>
        <v>23.948858315999999</v>
      </c>
      <c r="K62" s="101">
        <f>'[65]Non-Tariff Income'!$F$11</f>
        <v>24.427835482319999</v>
      </c>
      <c r="L62" s="129">
        <v>24.916392191966398</v>
      </c>
      <c r="M62" s="101"/>
      <c r="N62" s="101"/>
      <c r="O62" s="101"/>
    </row>
    <row r="63" spans="2:16" x14ac:dyDescent="0.25">
      <c r="B63" s="442">
        <f t="shared" si="7"/>
        <v>7</v>
      </c>
      <c r="C63" s="362" t="s">
        <v>744</v>
      </c>
      <c r="D63" s="55"/>
      <c r="E63" s="129">
        <f>'[65]Non-Tariff Income'!$D$12</f>
        <v>0.31260166299999997</v>
      </c>
      <c r="F63" s="1"/>
      <c r="G63" s="438"/>
      <c r="H63" s="438"/>
      <c r="I63" s="438"/>
      <c r="J63" s="101">
        <f>'[65]Non-Tariff Income'!$E$12</f>
        <v>0.37653960200000003</v>
      </c>
      <c r="K63" s="101">
        <f>'[65]Non-Tariff Income'!$F$12</f>
        <v>0.38407039404000004</v>
      </c>
      <c r="L63" s="129">
        <v>0.39175180192080006</v>
      </c>
      <c r="M63" s="101"/>
      <c r="N63" s="101"/>
      <c r="O63" s="101"/>
    </row>
    <row r="64" spans="2:16" x14ac:dyDescent="0.25">
      <c r="B64" s="442">
        <f t="shared" si="7"/>
        <v>8</v>
      </c>
      <c r="C64" s="362" t="s">
        <v>745</v>
      </c>
      <c r="D64" s="55"/>
      <c r="E64" s="129">
        <f>'[65]Non-Tariff Income'!D6</f>
        <v>11.101792010000031</v>
      </c>
      <c r="F64" s="1"/>
      <c r="G64" s="438"/>
      <c r="H64" s="438"/>
      <c r="I64" s="438"/>
      <c r="J64" s="101">
        <f>'[65]Non-Tariff Income'!$E$6</f>
        <v>20.265805253000075</v>
      </c>
      <c r="K64" s="101">
        <f>'[65]Non-Tariff Income'!$F$6</f>
        <v>20.671121358060077</v>
      </c>
      <c r="L64" s="129">
        <v>21.084543785221278</v>
      </c>
      <c r="M64" s="101"/>
      <c r="N64" s="101"/>
      <c r="O64" s="101"/>
    </row>
    <row r="65" spans="2:15" x14ac:dyDescent="0.25">
      <c r="B65" s="438"/>
      <c r="C65" s="27"/>
      <c r="D65" s="55"/>
      <c r="E65" s="438"/>
      <c r="F65" s="1"/>
      <c r="G65" s="438"/>
      <c r="H65" s="438"/>
      <c r="I65" s="438"/>
      <c r="J65" s="438"/>
      <c r="K65" s="438"/>
      <c r="L65" s="19"/>
      <c r="M65" s="19"/>
      <c r="N65" s="19"/>
      <c r="O65" s="19"/>
    </row>
    <row r="66" spans="2:15" x14ac:dyDescent="0.25">
      <c r="B66" s="438"/>
      <c r="C66" s="27"/>
      <c r="D66" s="55"/>
      <c r="E66" s="438"/>
      <c r="F66" s="1"/>
      <c r="G66" s="438"/>
      <c r="H66" s="438"/>
      <c r="I66" s="438"/>
      <c r="J66" s="438"/>
      <c r="K66" s="438"/>
      <c r="L66" s="19"/>
      <c r="M66" s="19"/>
      <c r="N66" s="19"/>
      <c r="O66" s="19"/>
    </row>
    <row r="67" spans="2:15" x14ac:dyDescent="0.25">
      <c r="B67" s="438"/>
      <c r="C67" s="54" t="s">
        <v>283</v>
      </c>
      <c r="D67" s="55"/>
      <c r="E67" s="438"/>
      <c r="F67" s="1"/>
      <c r="G67" s="438"/>
      <c r="H67" s="438"/>
      <c r="I67" s="438"/>
      <c r="J67" s="438"/>
      <c r="K67" s="438"/>
      <c r="L67" s="19"/>
      <c r="M67" s="19"/>
      <c r="N67" s="19"/>
      <c r="O67" s="19"/>
    </row>
    <row r="68" spans="2:15" x14ac:dyDescent="0.25">
      <c r="B68" s="438"/>
      <c r="C68" s="433" t="s">
        <v>251</v>
      </c>
      <c r="D68" s="317">
        <f>'[66]P&amp;L'!$L$14</f>
        <v>29.41</v>
      </c>
      <c r="E68" s="317">
        <f>SUM(E57:E67)</f>
        <v>62.408758836000032</v>
      </c>
      <c r="F68" s="317">
        <f>E68</f>
        <v>62.408758836000032</v>
      </c>
      <c r="G68" s="317">
        <f>'[67]P&amp;L'!$E$14</f>
        <v>33.81</v>
      </c>
      <c r="H68" s="317">
        <f t="shared" ref="H68:O68" si="8">SUM(H57:H67)</f>
        <v>0</v>
      </c>
      <c r="I68" s="317">
        <f t="shared" si="8"/>
        <v>0</v>
      </c>
      <c r="J68" s="317">
        <f t="shared" si="8"/>
        <v>72.373813126000073</v>
      </c>
      <c r="K68" s="317">
        <f t="shared" si="8"/>
        <v>50.96981916390007</v>
      </c>
      <c r="L68" s="317">
        <f t="shared" si="8"/>
        <v>51.989215547178077</v>
      </c>
      <c r="M68" s="103">
        <f t="shared" si="8"/>
        <v>0</v>
      </c>
      <c r="N68" s="103">
        <f t="shared" si="8"/>
        <v>0</v>
      </c>
      <c r="O68" s="103">
        <f t="shared" si="8"/>
        <v>0</v>
      </c>
    </row>
  </sheetData>
  <mergeCells count="15">
    <mergeCell ref="B34:B36"/>
    <mergeCell ref="C34:C36"/>
    <mergeCell ref="D34:F34"/>
    <mergeCell ref="G34:J34"/>
    <mergeCell ref="K34:O34"/>
    <mergeCell ref="B6:B8"/>
    <mergeCell ref="C6:C8"/>
    <mergeCell ref="D6:F6"/>
    <mergeCell ref="G6:J6"/>
    <mergeCell ref="K6:O6"/>
    <mergeCell ref="B54:B56"/>
    <mergeCell ref="C54:C56"/>
    <mergeCell ref="D54:F54"/>
    <mergeCell ref="G54:J54"/>
    <mergeCell ref="K54:O54"/>
  </mergeCells>
  <pageMargins left="1.02" right="0.25" top="1" bottom="1" header="0.25" footer="0.25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O19"/>
  <sheetViews>
    <sheetView showGridLines="0" zoomScale="65" zoomScaleNormal="90" zoomScaleSheetLayoutView="90" workbookViewId="0">
      <selection activeCell="H25" sqref="H25"/>
    </sheetView>
  </sheetViews>
  <sheetFormatPr defaultColWidth="9.33203125" defaultRowHeight="13.8" x14ac:dyDescent="0.25"/>
  <cols>
    <col min="1" max="1" width="4.33203125" style="4" customWidth="1"/>
    <col min="2" max="2" width="6.33203125" style="4" customWidth="1"/>
    <col min="3" max="3" width="43.5546875" style="4" customWidth="1"/>
    <col min="4" max="4" width="13.6640625" style="4" bestFit="1" customWidth="1"/>
    <col min="5" max="5" width="12.5546875" style="4" bestFit="1" customWidth="1"/>
    <col min="6" max="6" width="13.44140625" style="4" bestFit="1" customWidth="1"/>
    <col min="7" max="7" width="13.6640625" style="4" bestFit="1" customWidth="1"/>
    <col min="8" max="8" width="12.5546875" style="4" bestFit="1" customWidth="1"/>
    <col min="9" max="9" width="13.33203125" style="4" bestFit="1" customWidth="1"/>
    <col min="10" max="10" width="12.5546875" style="4" customWidth="1"/>
    <col min="11" max="11" width="11.6640625" style="4" bestFit="1" customWidth="1"/>
    <col min="12" max="12" width="13.6640625" style="4" bestFit="1" customWidth="1"/>
    <col min="13" max="18" width="11.6640625" style="4" bestFit="1" customWidth="1"/>
    <col min="19" max="16384" width="9.33203125" style="4"/>
  </cols>
  <sheetData>
    <row r="1" spans="2:15" x14ac:dyDescent="0.25">
      <c r="B1" s="14"/>
    </row>
    <row r="2" spans="2:15" x14ac:dyDescent="0.25">
      <c r="H2" s="23" t="s">
        <v>38</v>
      </c>
    </row>
    <row r="3" spans="2:15" x14ac:dyDescent="0.25">
      <c r="H3" s="25" t="s">
        <v>746</v>
      </c>
    </row>
    <row r="4" spans="2:15" x14ac:dyDescent="0.25">
      <c r="B4" s="23"/>
      <c r="C4" s="14"/>
      <c r="D4" s="15"/>
      <c r="E4" s="15"/>
      <c r="F4" s="15"/>
      <c r="G4" s="15"/>
      <c r="H4" s="15"/>
      <c r="I4" s="15"/>
      <c r="J4" s="15"/>
      <c r="K4" s="15"/>
      <c r="L4" s="15"/>
    </row>
    <row r="5" spans="2:15" x14ac:dyDescent="0.25">
      <c r="O5" s="16" t="s">
        <v>3</v>
      </c>
    </row>
    <row r="6" spans="2:15" s="5" customFormat="1" ht="15" customHeight="1" x14ac:dyDescent="0.25">
      <c r="B6" s="758" t="s">
        <v>4</v>
      </c>
      <c r="C6" s="760" t="s">
        <v>5</v>
      </c>
      <c r="D6" s="755" t="s">
        <v>7</v>
      </c>
      <c r="E6" s="756"/>
      <c r="F6" s="757"/>
      <c r="G6" s="755" t="s">
        <v>225</v>
      </c>
      <c r="H6" s="756"/>
      <c r="I6" s="756"/>
      <c r="J6" s="756"/>
      <c r="K6" s="768" t="s">
        <v>9</v>
      </c>
      <c r="L6" s="768"/>
      <c r="M6" s="768"/>
      <c r="N6" s="768"/>
      <c r="O6" s="768"/>
    </row>
    <row r="7" spans="2:15" s="5" customFormat="1" ht="27.6" x14ac:dyDescent="0.25">
      <c r="B7" s="792"/>
      <c r="C7" s="760"/>
      <c r="D7" s="7" t="s">
        <v>10</v>
      </c>
      <c r="E7" s="7" t="s">
        <v>11</v>
      </c>
      <c r="F7" s="7" t="s">
        <v>12</v>
      </c>
      <c r="G7" s="7" t="s">
        <v>10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17</v>
      </c>
      <c r="M7" s="7" t="s">
        <v>18</v>
      </c>
      <c r="N7" s="7" t="s">
        <v>19</v>
      </c>
      <c r="O7" s="7" t="s">
        <v>20</v>
      </c>
    </row>
    <row r="8" spans="2:15" s="5" customFormat="1" x14ac:dyDescent="0.25">
      <c r="B8" s="810"/>
      <c r="C8" s="857"/>
      <c r="D8" s="7" t="s">
        <v>21</v>
      </c>
      <c r="E8" s="7" t="s">
        <v>22</v>
      </c>
      <c r="F8" s="7" t="s">
        <v>23</v>
      </c>
      <c r="G8" s="7" t="s">
        <v>21</v>
      </c>
      <c r="H8" s="7" t="s">
        <v>24</v>
      </c>
      <c r="I8" s="7" t="s">
        <v>25</v>
      </c>
      <c r="J8" s="7" t="s">
        <v>25</v>
      </c>
      <c r="K8" s="7" t="s">
        <v>26</v>
      </c>
      <c r="L8" s="7" t="s">
        <v>26</v>
      </c>
      <c r="M8" s="7" t="s">
        <v>26</v>
      </c>
      <c r="N8" s="7" t="s">
        <v>26</v>
      </c>
      <c r="O8" s="7" t="s">
        <v>26</v>
      </c>
    </row>
    <row r="9" spans="2:15" x14ac:dyDescent="0.25">
      <c r="B9" s="49">
        <v>1</v>
      </c>
      <c r="C9" s="17"/>
      <c r="D9" s="1"/>
      <c r="E9" s="17"/>
      <c r="F9" s="17"/>
      <c r="G9" s="12"/>
      <c r="H9" s="12"/>
      <c r="I9" s="12"/>
      <c r="J9" s="12"/>
      <c r="K9" s="12"/>
      <c r="L9" s="12"/>
      <c r="M9" s="12"/>
      <c r="N9" s="12"/>
      <c r="O9" s="12"/>
    </row>
    <row r="10" spans="2:15" x14ac:dyDescent="0.25">
      <c r="B10" s="49">
        <f>B9+1</f>
        <v>2</v>
      </c>
      <c r="C10" s="17"/>
      <c r="D10" s="1"/>
      <c r="E10" s="17"/>
      <c r="F10" s="17"/>
      <c r="G10" s="12"/>
      <c r="H10" s="12"/>
      <c r="I10" s="12"/>
      <c r="J10" s="12"/>
      <c r="K10" s="12"/>
      <c r="L10" s="12"/>
      <c r="M10" s="12"/>
      <c r="N10" s="12"/>
      <c r="O10" s="12"/>
    </row>
    <row r="11" spans="2:15" x14ac:dyDescent="0.25">
      <c r="B11" s="49">
        <f>B10+1</f>
        <v>3</v>
      </c>
      <c r="C11" s="17"/>
      <c r="D11" s="1"/>
      <c r="E11" s="17"/>
      <c r="F11" s="17"/>
      <c r="G11" s="12"/>
      <c r="H11" s="12"/>
      <c r="I11" s="12"/>
      <c r="J11" s="12"/>
      <c r="K11" s="12"/>
      <c r="L11" s="12"/>
      <c r="M11" s="12"/>
      <c r="N11" s="12"/>
      <c r="O11" s="12"/>
    </row>
    <row r="12" spans="2:15" x14ac:dyDescent="0.25">
      <c r="B12" s="11">
        <f t="shared" ref="B12:B18" si="0">B11+1</f>
        <v>4</v>
      </c>
      <c r="C12" s="19"/>
      <c r="D12" s="1"/>
      <c r="E12" s="17"/>
      <c r="F12" s="17"/>
      <c r="G12" s="12"/>
      <c r="H12" s="12"/>
      <c r="I12" s="12"/>
      <c r="J12" s="12"/>
      <c r="K12" s="12"/>
      <c r="L12" s="12"/>
      <c r="M12" s="12"/>
      <c r="N12" s="12"/>
      <c r="O12" s="12"/>
    </row>
    <row r="13" spans="2:15" x14ac:dyDescent="0.25">
      <c r="B13" s="11">
        <f t="shared" si="0"/>
        <v>5</v>
      </c>
      <c r="C13" s="54"/>
      <c r="D13" s="55"/>
      <c r="E13" s="19"/>
      <c r="F13" s="2"/>
      <c r="G13" s="19"/>
      <c r="H13" s="19"/>
      <c r="I13" s="19"/>
      <c r="J13" s="19"/>
      <c r="K13" s="19"/>
      <c r="L13" s="19"/>
      <c r="M13" s="19"/>
      <c r="N13" s="19"/>
      <c r="O13" s="19"/>
    </row>
    <row r="14" spans="2:15" s="22" customFormat="1" x14ac:dyDescent="0.25">
      <c r="B14" s="11">
        <f t="shared" si="0"/>
        <v>6</v>
      </c>
      <c r="C14" s="27"/>
      <c r="D14" s="55"/>
      <c r="E14" s="19"/>
      <c r="F14" s="2"/>
      <c r="G14" s="19"/>
      <c r="H14" s="19"/>
      <c r="I14" s="19"/>
      <c r="J14" s="19"/>
      <c r="K14" s="19"/>
      <c r="L14" s="19"/>
      <c r="M14" s="19"/>
      <c r="N14" s="19"/>
      <c r="O14" s="19"/>
    </row>
    <row r="15" spans="2:15" s="22" customFormat="1" x14ac:dyDescent="0.25">
      <c r="B15" s="11">
        <f t="shared" si="0"/>
        <v>7</v>
      </c>
      <c r="C15" s="54"/>
      <c r="D15" s="55"/>
      <c r="E15" s="19"/>
      <c r="F15" s="2"/>
      <c r="G15" s="19"/>
      <c r="H15" s="19"/>
      <c r="I15" s="19"/>
      <c r="J15" s="19"/>
      <c r="K15" s="19"/>
      <c r="L15" s="19"/>
      <c r="M15" s="19"/>
      <c r="N15" s="19"/>
      <c r="O15" s="19"/>
    </row>
    <row r="16" spans="2:15" s="22" customFormat="1" x14ac:dyDescent="0.25">
      <c r="B16" s="11">
        <f t="shared" si="0"/>
        <v>8</v>
      </c>
      <c r="C16" s="27"/>
      <c r="D16" s="55"/>
      <c r="E16" s="19"/>
      <c r="F16" s="2"/>
      <c r="G16" s="19"/>
      <c r="H16" s="19"/>
      <c r="I16" s="19"/>
      <c r="J16" s="19"/>
      <c r="K16" s="19"/>
      <c r="L16" s="19"/>
      <c r="M16" s="19"/>
      <c r="N16" s="19"/>
      <c r="O16" s="19"/>
    </row>
    <row r="17" spans="2:15" s="22" customFormat="1" x14ac:dyDescent="0.25">
      <c r="B17" s="11">
        <f t="shared" si="0"/>
        <v>9</v>
      </c>
      <c r="C17" s="27"/>
      <c r="D17" s="55"/>
      <c r="E17" s="19"/>
      <c r="F17" s="2"/>
      <c r="G17" s="19"/>
      <c r="H17" s="19"/>
      <c r="I17" s="19"/>
      <c r="J17" s="19"/>
      <c r="K17" s="19"/>
      <c r="L17" s="19"/>
      <c r="M17" s="19"/>
      <c r="N17" s="19"/>
      <c r="O17" s="19"/>
    </row>
    <row r="18" spans="2:15" x14ac:dyDescent="0.25">
      <c r="B18" s="11">
        <f t="shared" si="0"/>
        <v>10</v>
      </c>
      <c r="C18" s="54"/>
      <c r="D18" s="55"/>
      <c r="E18" s="19"/>
      <c r="F18" s="2"/>
      <c r="G18" s="19"/>
      <c r="H18" s="19"/>
      <c r="I18" s="19"/>
      <c r="J18" s="19"/>
      <c r="K18" s="19"/>
      <c r="L18" s="19"/>
      <c r="M18" s="19"/>
      <c r="N18" s="19"/>
      <c r="O18" s="19"/>
    </row>
    <row r="19" spans="2:15" x14ac:dyDescent="0.25">
      <c r="B19" s="11"/>
      <c r="C19" s="21" t="s">
        <v>251</v>
      </c>
      <c r="D19" s="103">
        <f>SUM(D9:D18)</f>
        <v>0</v>
      </c>
      <c r="E19" s="103">
        <f t="shared" ref="E19:O19" si="1">SUM(E9:E18)</f>
        <v>0</v>
      </c>
      <c r="F19" s="103">
        <f>E19-D19</f>
        <v>0</v>
      </c>
      <c r="G19" s="103">
        <f t="shared" si="1"/>
        <v>0</v>
      </c>
      <c r="H19" s="103">
        <f t="shared" si="1"/>
        <v>0</v>
      </c>
      <c r="I19" s="103">
        <f t="shared" si="1"/>
        <v>0</v>
      </c>
      <c r="J19" s="103">
        <f t="shared" si="1"/>
        <v>0</v>
      </c>
      <c r="K19" s="103">
        <f t="shared" si="1"/>
        <v>0</v>
      </c>
      <c r="L19" s="103">
        <f t="shared" si="1"/>
        <v>0</v>
      </c>
      <c r="M19" s="103">
        <f t="shared" si="1"/>
        <v>0</v>
      </c>
      <c r="N19" s="103">
        <f t="shared" si="1"/>
        <v>0</v>
      </c>
      <c r="O19" s="103">
        <f t="shared" si="1"/>
        <v>0</v>
      </c>
    </row>
  </sheetData>
  <mergeCells count="5">
    <mergeCell ref="B6:B8"/>
    <mergeCell ref="C6:C8"/>
    <mergeCell ref="D6:F6"/>
    <mergeCell ref="G6:J6"/>
    <mergeCell ref="K6:O6"/>
  </mergeCells>
  <pageMargins left="1.02" right="0.25" top="1" bottom="1" header="0.25" footer="0.25"/>
  <pageSetup paperSize="9" scale="64" orientation="landscape" r:id="rId1"/>
  <headerFooter alignWithMargins="0">
    <oddHeader>&amp;F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O74"/>
  <sheetViews>
    <sheetView showGridLines="0" zoomScale="72" zoomScaleNormal="90" zoomScaleSheetLayoutView="90" workbookViewId="0">
      <selection activeCell="H25" sqref="H25"/>
    </sheetView>
  </sheetViews>
  <sheetFormatPr defaultColWidth="9.33203125" defaultRowHeight="13.8" zeroHeight="1" x14ac:dyDescent="0.25"/>
  <cols>
    <col min="1" max="1" width="4.33203125" style="4" customWidth="1"/>
    <col min="2" max="2" width="7.33203125" style="4" customWidth="1"/>
    <col min="3" max="3" width="31.6640625" style="4" customWidth="1"/>
    <col min="4" max="4" width="13.6640625" style="4" bestFit="1" customWidth="1"/>
    <col min="5" max="6" width="16.5546875" style="4" customWidth="1"/>
    <col min="7" max="7" width="21.33203125" style="4" customWidth="1"/>
    <col min="8" max="8" width="41.33203125" style="4" customWidth="1"/>
    <col min="9" max="9" width="21.33203125" style="4" customWidth="1"/>
    <col min="10" max="10" width="12.5546875" style="4" customWidth="1"/>
    <col min="11" max="11" width="11.6640625" style="4" bestFit="1" customWidth="1"/>
    <col min="12" max="12" width="13.6640625" style="4" bestFit="1" customWidth="1"/>
    <col min="13" max="18" width="11.6640625" style="4" bestFit="1" customWidth="1"/>
    <col min="19" max="16384" width="9.33203125" style="4"/>
  </cols>
  <sheetData>
    <row r="1" spans="2:15" x14ac:dyDescent="0.25">
      <c r="B1" s="14"/>
    </row>
    <row r="2" spans="2:15" x14ac:dyDescent="0.25">
      <c r="H2" s="23" t="s">
        <v>38</v>
      </c>
    </row>
    <row r="3" spans="2:15" x14ac:dyDescent="0.25">
      <c r="H3" s="25" t="s">
        <v>747</v>
      </c>
    </row>
    <row r="4" spans="2:15" x14ac:dyDescent="0.25">
      <c r="B4" s="23"/>
      <c r="C4" s="14"/>
      <c r="D4" s="15"/>
      <c r="E4" s="15"/>
      <c r="F4" s="15"/>
      <c r="G4" s="15"/>
      <c r="H4" s="15"/>
      <c r="I4" s="15"/>
      <c r="J4" s="15"/>
      <c r="K4" s="15"/>
      <c r="L4" s="15"/>
    </row>
    <row r="5" spans="2:15" x14ac:dyDescent="0.25">
      <c r="O5" s="16" t="s">
        <v>3</v>
      </c>
    </row>
    <row r="6" spans="2:15" s="5" customFormat="1" x14ac:dyDescent="0.25">
      <c r="B6" s="758" t="s">
        <v>4</v>
      </c>
      <c r="C6" s="760" t="s">
        <v>5</v>
      </c>
      <c r="D6" s="755" t="s">
        <v>7</v>
      </c>
      <c r="E6" s="756"/>
      <c r="F6" s="757"/>
      <c r="G6" s="755" t="s">
        <v>225</v>
      </c>
      <c r="H6" s="756"/>
      <c r="I6" s="756"/>
      <c r="J6" s="756"/>
      <c r="K6" s="768" t="s">
        <v>9</v>
      </c>
      <c r="L6" s="768"/>
      <c r="M6" s="768"/>
      <c r="N6" s="768"/>
      <c r="O6" s="768"/>
    </row>
    <row r="7" spans="2:15" s="5" customFormat="1" ht="27.6" x14ac:dyDescent="0.25">
      <c r="B7" s="792"/>
      <c r="C7" s="760"/>
      <c r="D7" s="7" t="s">
        <v>10</v>
      </c>
      <c r="E7" s="7" t="s">
        <v>11</v>
      </c>
      <c r="F7" s="7" t="s">
        <v>12</v>
      </c>
      <c r="G7" s="7" t="s">
        <v>10</v>
      </c>
      <c r="H7" s="7" t="s">
        <v>13</v>
      </c>
      <c r="I7" s="7" t="s">
        <v>14</v>
      </c>
      <c r="J7" s="7" t="s">
        <v>15</v>
      </c>
      <c r="K7" s="7" t="s">
        <v>16</v>
      </c>
      <c r="L7" s="7" t="s">
        <v>17</v>
      </c>
      <c r="M7" s="7" t="s">
        <v>18</v>
      </c>
      <c r="N7" s="7" t="s">
        <v>19</v>
      </c>
      <c r="O7" s="7" t="s">
        <v>20</v>
      </c>
    </row>
    <row r="8" spans="2:15" s="5" customFormat="1" x14ac:dyDescent="0.25">
      <c r="B8" s="810"/>
      <c r="C8" s="857"/>
      <c r="D8" s="7" t="s">
        <v>21</v>
      </c>
      <c r="E8" s="7" t="s">
        <v>22</v>
      </c>
      <c r="F8" s="7" t="s">
        <v>23</v>
      </c>
      <c r="G8" s="7" t="s">
        <v>21</v>
      </c>
      <c r="H8" s="7" t="s">
        <v>24</v>
      </c>
      <c r="I8" s="7" t="s">
        <v>25</v>
      </c>
      <c r="J8" s="7" t="s">
        <v>25</v>
      </c>
      <c r="K8" s="7" t="s">
        <v>26</v>
      </c>
      <c r="L8" s="7" t="s">
        <v>26</v>
      </c>
      <c r="M8" s="7" t="s">
        <v>26</v>
      </c>
      <c r="N8" s="7" t="s">
        <v>26</v>
      </c>
      <c r="O8" s="7" t="s">
        <v>26</v>
      </c>
    </row>
    <row r="9" spans="2:15" ht="27.6" x14ac:dyDescent="0.25">
      <c r="B9" s="49">
        <v>1</v>
      </c>
      <c r="C9" s="54" t="s">
        <v>748</v>
      </c>
      <c r="D9" s="1"/>
      <c r="E9" s="66">
        <f>G20</f>
        <v>0</v>
      </c>
      <c r="F9" s="100">
        <f>E9-D9</f>
        <v>0</v>
      </c>
      <c r="G9" s="12"/>
      <c r="H9" s="66">
        <f>G29/2</f>
        <v>0</v>
      </c>
      <c r="I9" s="66">
        <f>G29/2</f>
        <v>0</v>
      </c>
      <c r="J9" s="100">
        <f>H9+I9</f>
        <v>0</v>
      </c>
      <c r="K9" s="66">
        <f>G38</f>
        <v>0</v>
      </c>
      <c r="L9" s="414">
        <f>G47</f>
        <v>0</v>
      </c>
      <c r="M9" s="414">
        <f>G56</f>
        <v>0</v>
      </c>
      <c r="N9" s="414">
        <f>G65</f>
        <v>0</v>
      </c>
      <c r="O9" s="414">
        <f>G74</f>
        <v>0</v>
      </c>
    </row>
    <row r="10" spans="2:15" ht="27.6" x14ac:dyDescent="0.25">
      <c r="B10" s="359">
        <f>B9+1</f>
        <v>2</v>
      </c>
      <c r="C10" s="364" t="s">
        <v>749</v>
      </c>
      <c r="D10" s="365"/>
      <c r="E10" s="366">
        <f>I20</f>
        <v>0</v>
      </c>
      <c r="F10" s="367">
        <f>E10-D10</f>
        <v>0</v>
      </c>
      <c r="G10" s="358"/>
      <c r="H10" s="366">
        <f>I29/2</f>
        <v>0</v>
      </c>
      <c r="I10" s="366">
        <f>I29/2</f>
        <v>0</v>
      </c>
      <c r="J10" s="367">
        <f>H10+I10</f>
        <v>0</v>
      </c>
      <c r="K10" s="366">
        <f>I38</f>
        <v>0</v>
      </c>
      <c r="L10" s="415">
        <f>I47</f>
        <v>0</v>
      </c>
      <c r="M10" s="415">
        <f>I56</f>
        <v>0</v>
      </c>
      <c r="N10" s="415">
        <f>I65</f>
        <v>0</v>
      </c>
      <c r="O10" s="415">
        <f>I74</f>
        <v>0</v>
      </c>
    </row>
    <row r="11" spans="2:15" x14ac:dyDescent="0.25">
      <c r="B11" s="17"/>
      <c r="C11" s="17" t="s">
        <v>251</v>
      </c>
      <c r="D11" s="17"/>
      <c r="E11" s="17"/>
      <c r="F11" s="17"/>
      <c r="G11" s="17"/>
      <c r="H11" s="17"/>
      <c r="I11" s="17"/>
      <c r="J11" s="17"/>
      <c r="K11" s="66">
        <f>SUM(K9:K10)</f>
        <v>0</v>
      </c>
      <c r="L11" s="414">
        <f>SUM(L9:L10)</f>
        <v>0</v>
      </c>
      <c r="M11" s="414">
        <f>SUM(M9:M10)</f>
        <v>0</v>
      </c>
      <c r="N11" s="414">
        <f>SUM(N9:N10)</f>
        <v>0</v>
      </c>
      <c r="O11" s="414">
        <f>SUM(O9:O10)</f>
        <v>0</v>
      </c>
    </row>
    <row r="12" spans="2:15" x14ac:dyDescent="0.25"/>
    <row r="13" spans="2:15" hidden="1" x14ac:dyDescent="0.25">
      <c r="B13" s="22" t="s">
        <v>255</v>
      </c>
    </row>
    <row r="14" spans="2:15" ht="41.4" hidden="1" x14ac:dyDescent="0.25">
      <c r="B14" s="768" t="s">
        <v>4</v>
      </c>
      <c r="C14" s="852" t="s">
        <v>750</v>
      </c>
      <c r="D14" s="21" t="s">
        <v>751</v>
      </c>
      <c r="E14" s="21" t="s">
        <v>752</v>
      </c>
      <c r="F14" s="21" t="s">
        <v>753</v>
      </c>
      <c r="G14" s="21" t="s">
        <v>748</v>
      </c>
      <c r="H14" s="21" t="s">
        <v>754</v>
      </c>
      <c r="I14" s="21" t="s">
        <v>749</v>
      </c>
    </row>
    <row r="15" spans="2:15" ht="27.6" hidden="1" x14ac:dyDescent="0.25">
      <c r="B15" s="768"/>
      <c r="C15" s="852"/>
      <c r="D15" s="21" t="s">
        <v>755</v>
      </c>
      <c r="E15" s="13" t="s">
        <v>306</v>
      </c>
      <c r="F15" s="13" t="s">
        <v>756</v>
      </c>
      <c r="G15" s="13" t="s">
        <v>682</v>
      </c>
      <c r="H15" s="13" t="s">
        <v>756</v>
      </c>
      <c r="I15" s="13" t="s">
        <v>682</v>
      </c>
    </row>
    <row r="16" spans="2:15" hidden="1" x14ac:dyDescent="0.25">
      <c r="B16" s="11">
        <v>1</v>
      </c>
      <c r="C16" s="17"/>
      <c r="D16" s="17"/>
      <c r="E16" s="17"/>
      <c r="F16" s="17"/>
      <c r="G16" s="17"/>
      <c r="H16" s="17"/>
      <c r="I16" s="17"/>
    </row>
    <row r="17" spans="2:9" hidden="1" x14ac:dyDescent="0.25">
      <c r="B17" s="11">
        <f>B16+1</f>
        <v>2</v>
      </c>
      <c r="C17" s="17"/>
      <c r="D17" s="17"/>
      <c r="E17" s="17"/>
      <c r="F17" s="17"/>
      <c r="G17" s="17"/>
      <c r="H17" s="17"/>
      <c r="I17" s="17"/>
    </row>
    <row r="18" spans="2:9" hidden="1" x14ac:dyDescent="0.25">
      <c r="B18" s="11">
        <f>B17+1</f>
        <v>3</v>
      </c>
      <c r="C18" s="17"/>
      <c r="D18" s="17"/>
      <c r="E18" s="17"/>
      <c r="F18" s="17"/>
      <c r="G18" s="17"/>
      <c r="H18" s="17"/>
      <c r="I18" s="17"/>
    </row>
    <row r="19" spans="2:9" hidden="1" x14ac:dyDescent="0.25">
      <c r="B19" s="11"/>
      <c r="C19" s="17" t="s">
        <v>593</v>
      </c>
      <c r="D19" s="17"/>
      <c r="E19" s="17"/>
      <c r="F19" s="17"/>
      <c r="G19" s="17"/>
      <c r="H19" s="17"/>
      <c r="I19" s="17"/>
    </row>
    <row r="20" spans="2:9" hidden="1" x14ac:dyDescent="0.25">
      <c r="B20" s="11"/>
      <c r="C20" s="13" t="s">
        <v>251</v>
      </c>
      <c r="D20" s="17"/>
      <c r="E20" s="86">
        <f>SUM(E16:E19)</f>
        <v>0</v>
      </c>
      <c r="F20" s="86">
        <f t="shared" ref="F20:I20" si="0">SUM(F16:F19)</f>
        <v>0</v>
      </c>
      <c r="G20" s="86">
        <f t="shared" si="0"/>
        <v>0</v>
      </c>
      <c r="H20" s="86">
        <f t="shared" si="0"/>
        <v>0</v>
      </c>
      <c r="I20" s="86">
        <f t="shared" si="0"/>
        <v>0</v>
      </c>
    </row>
    <row r="22" spans="2:9" hidden="1" x14ac:dyDescent="0.25">
      <c r="B22" s="22" t="s">
        <v>757</v>
      </c>
    </row>
    <row r="23" spans="2:9" ht="41.4" hidden="1" x14ac:dyDescent="0.25">
      <c r="B23" s="768" t="s">
        <v>4</v>
      </c>
      <c r="C23" s="852" t="s">
        <v>750</v>
      </c>
      <c r="D23" s="21" t="s">
        <v>751</v>
      </c>
      <c r="E23" s="21" t="s">
        <v>752</v>
      </c>
      <c r="F23" s="21" t="s">
        <v>753</v>
      </c>
      <c r="G23" s="21" t="s">
        <v>748</v>
      </c>
      <c r="H23" s="21" t="s">
        <v>754</v>
      </c>
      <c r="I23" s="21" t="s">
        <v>749</v>
      </c>
    </row>
    <row r="24" spans="2:9" ht="27.6" hidden="1" x14ac:dyDescent="0.25">
      <c r="B24" s="768"/>
      <c r="C24" s="852"/>
      <c r="D24" s="21" t="s">
        <v>755</v>
      </c>
      <c r="E24" s="13" t="s">
        <v>306</v>
      </c>
      <c r="F24" s="13" t="s">
        <v>756</v>
      </c>
      <c r="G24" s="13" t="s">
        <v>682</v>
      </c>
      <c r="H24" s="13" t="s">
        <v>756</v>
      </c>
      <c r="I24" s="13" t="s">
        <v>682</v>
      </c>
    </row>
    <row r="25" spans="2:9" hidden="1" x14ac:dyDescent="0.25">
      <c r="B25" s="11">
        <v>1</v>
      </c>
      <c r="C25" s="17"/>
      <c r="D25" s="17"/>
      <c r="E25" s="17"/>
      <c r="F25" s="17"/>
      <c r="G25" s="17"/>
      <c r="H25" s="17"/>
      <c r="I25" s="17"/>
    </row>
    <row r="26" spans="2:9" hidden="1" x14ac:dyDescent="0.25">
      <c r="B26" s="11">
        <f>B25+1</f>
        <v>2</v>
      </c>
      <c r="C26" s="17"/>
      <c r="D26" s="17"/>
      <c r="E26" s="17"/>
      <c r="F26" s="17"/>
      <c r="G26" s="17"/>
      <c r="H26" s="17"/>
      <c r="I26" s="17"/>
    </row>
    <row r="27" spans="2:9" hidden="1" x14ac:dyDescent="0.25">
      <c r="B27" s="11">
        <f>B26+1</f>
        <v>3</v>
      </c>
      <c r="C27" s="17"/>
      <c r="D27" s="17"/>
      <c r="E27" s="17"/>
      <c r="F27" s="17"/>
      <c r="G27" s="17"/>
      <c r="H27" s="17"/>
      <c r="I27" s="17"/>
    </row>
    <row r="28" spans="2:9" hidden="1" x14ac:dyDescent="0.25">
      <c r="B28" s="11"/>
      <c r="C28" s="17" t="s">
        <v>593</v>
      </c>
      <c r="D28" s="17"/>
      <c r="E28" s="17"/>
      <c r="F28" s="17"/>
      <c r="G28" s="17"/>
      <c r="H28" s="17"/>
      <c r="I28" s="17"/>
    </row>
    <row r="29" spans="2:9" hidden="1" x14ac:dyDescent="0.25">
      <c r="B29" s="11"/>
      <c r="C29" s="13" t="s">
        <v>251</v>
      </c>
      <c r="D29" s="17"/>
      <c r="E29" s="86">
        <f>SUM(E25:E28)</f>
        <v>0</v>
      </c>
      <c r="F29" s="86">
        <f t="shared" ref="F29" si="1">SUM(F25:F28)</f>
        <v>0</v>
      </c>
      <c r="G29" s="86">
        <f t="shared" ref="G29" si="2">SUM(G25:G28)</f>
        <v>0</v>
      </c>
      <c r="H29" s="86">
        <f t="shared" ref="H29" si="3">SUM(H25:H28)</f>
        <v>0</v>
      </c>
      <c r="I29" s="86">
        <f t="shared" ref="I29" si="4">SUM(I25:I28)</f>
        <v>0</v>
      </c>
    </row>
    <row r="30" spans="2:9" x14ac:dyDescent="0.25"/>
    <row r="31" spans="2:9" x14ac:dyDescent="0.25">
      <c r="B31" s="22" t="s">
        <v>256</v>
      </c>
    </row>
    <row r="32" spans="2:9" ht="41.4" x14ac:dyDescent="0.25">
      <c r="B32" s="768" t="s">
        <v>4</v>
      </c>
      <c r="C32" s="852" t="s">
        <v>750</v>
      </c>
      <c r="D32" s="21" t="s">
        <v>751</v>
      </c>
      <c r="E32" s="21" t="s">
        <v>752</v>
      </c>
      <c r="F32" s="21" t="s">
        <v>753</v>
      </c>
      <c r="G32" s="21" t="s">
        <v>748</v>
      </c>
      <c r="H32" s="21" t="s">
        <v>754</v>
      </c>
      <c r="I32" s="21" t="s">
        <v>749</v>
      </c>
    </row>
    <row r="33" spans="2:9" ht="27.6" x14ac:dyDescent="0.25">
      <c r="B33" s="768"/>
      <c r="C33" s="852"/>
      <c r="D33" s="21" t="s">
        <v>755</v>
      </c>
      <c r="E33" s="13" t="s">
        <v>306</v>
      </c>
      <c r="F33" s="13" t="s">
        <v>756</v>
      </c>
      <c r="G33" s="13" t="s">
        <v>682</v>
      </c>
      <c r="H33" s="13" t="s">
        <v>756</v>
      </c>
      <c r="I33" s="13" t="s">
        <v>682</v>
      </c>
    </row>
    <row r="34" spans="2:9" x14ac:dyDescent="0.25">
      <c r="B34" s="11">
        <v>1</v>
      </c>
      <c r="C34" s="11" t="s">
        <v>758</v>
      </c>
      <c r="D34" s="11">
        <v>0</v>
      </c>
      <c r="E34" s="11">
        <v>0</v>
      </c>
      <c r="F34" s="11"/>
      <c r="G34" s="11">
        <v>0</v>
      </c>
      <c r="H34" s="11" t="s">
        <v>759</v>
      </c>
      <c r="I34" s="11">
        <v>0</v>
      </c>
    </row>
    <row r="35" spans="2:9" x14ac:dyDescent="0.25">
      <c r="B35" s="11">
        <f>B34+1</f>
        <v>2</v>
      </c>
      <c r="C35" s="17"/>
      <c r="D35" s="17"/>
      <c r="E35" s="17"/>
      <c r="F35" s="17"/>
      <c r="G35" s="17"/>
      <c r="H35" s="17"/>
      <c r="I35" s="17"/>
    </row>
    <row r="36" spans="2:9" x14ac:dyDescent="0.25">
      <c r="B36" s="11">
        <f>B35+1</f>
        <v>3</v>
      </c>
      <c r="C36" s="17"/>
      <c r="D36" s="17"/>
      <c r="E36" s="17"/>
      <c r="F36" s="17"/>
      <c r="G36" s="17"/>
      <c r="H36" s="17"/>
      <c r="I36" s="17"/>
    </row>
    <row r="37" spans="2:9" x14ac:dyDescent="0.25">
      <c r="B37" s="11"/>
      <c r="C37" s="17" t="s">
        <v>593</v>
      </c>
      <c r="D37" s="17"/>
      <c r="E37" s="17"/>
      <c r="F37" s="17"/>
      <c r="G37" s="17"/>
      <c r="H37" s="17"/>
      <c r="I37" s="17"/>
    </row>
    <row r="38" spans="2:9" x14ac:dyDescent="0.25">
      <c r="B38" s="11"/>
      <c r="C38" s="13" t="s">
        <v>251</v>
      </c>
      <c r="D38" s="17"/>
      <c r="E38" s="86">
        <f>SUM(E34:E37)</f>
        <v>0</v>
      </c>
      <c r="F38" s="86">
        <f t="shared" ref="F38" si="5">SUM(F34:F37)</f>
        <v>0</v>
      </c>
      <c r="G38" s="86">
        <f t="shared" ref="G38" si="6">SUM(G34:G37)</f>
        <v>0</v>
      </c>
      <c r="H38" s="86">
        <f t="shared" ref="H38" si="7">SUM(H34:H37)</f>
        <v>0</v>
      </c>
      <c r="I38" s="86">
        <f t="shared" ref="I38" si="8">SUM(I34:I37)</f>
        <v>0</v>
      </c>
    </row>
    <row r="39" spans="2:9" x14ac:dyDescent="0.25"/>
    <row r="40" spans="2:9" hidden="1" x14ac:dyDescent="0.25">
      <c r="B40" s="22" t="s">
        <v>257</v>
      </c>
    </row>
    <row r="41" spans="2:9" ht="41.4" hidden="1" x14ac:dyDescent="0.25">
      <c r="B41" s="768" t="s">
        <v>4</v>
      </c>
      <c r="C41" s="852" t="s">
        <v>750</v>
      </c>
      <c r="D41" s="21" t="s">
        <v>751</v>
      </c>
      <c r="E41" s="21" t="s">
        <v>752</v>
      </c>
      <c r="F41" s="21" t="s">
        <v>753</v>
      </c>
      <c r="G41" s="21" t="s">
        <v>748</v>
      </c>
      <c r="H41" s="21" t="s">
        <v>754</v>
      </c>
      <c r="I41" s="21" t="s">
        <v>749</v>
      </c>
    </row>
    <row r="42" spans="2:9" ht="27.6" hidden="1" x14ac:dyDescent="0.25">
      <c r="B42" s="768"/>
      <c r="C42" s="852"/>
      <c r="D42" s="21" t="s">
        <v>755</v>
      </c>
      <c r="E42" s="13" t="s">
        <v>306</v>
      </c>
      <c r="F42" s="13" t="s">
        <v>756</v>
      </c>
      <c r="G42" s="13" t="s">
        <v>682</v>
      </c>
      <c r="H42" s="13" t="s">
        <v>756</v>
      </c>
      <c r="I42" s="13" t="s">
        <v>682</v>
      </c>
    </row>
    <row r="43" spans="2:9" hidden="1" x14ac:dyDescent="0.25">
      <c r="B43" s="11">
        <v>1</v>
      </c>
      <c r="C43" s="17"/>
      <c r="D43" s="17"/>
      <c r="E43" s="17"/>
      <c r="F43" s="17"/>
      <c r="G43" s="17"/>
      <c r="H43" s="17"/>
      <c r="I43" s="17"/>
    </row>
    <row r="44" spans="2:9" hidden="1" x14ac:dyDescent="0.25">
      <c r="B44" s="11">
        <f>B43+1</f>
        <v>2</v>
      </c>
      <c r="C44" s="17"/>
      <c r="D44" s="17"/>
      <c r="E44" s="17"/>
      <c r="F44" s="17"/>
      <c r="G44" s="17"/>
      <c r="H44" s="17"/>
      <c r="I44" s="17"/>
    </row>
    <row r="45" spans="2:9" hidden="1" x14ac:dyDescent="0.25">
      <c r="B45" s="11">
        <f>B44+1</f>
        <v>3</v>
      </c>
      <c r="C45" s="17"/>
      <c r="D45" s="17"/>
      <c r="E45" s="17"/>
      <c r="F45" s="17"/>
      <c r="G45" s="17"/>
      <c r="H45" s="17"/>
      <c r="I45" s="17"/>
    </row>
    <row r="46" spans="2:9" hidden="1" x14ac:dyDescent="0.25">
      <c r="B46" s="11"/>
      <c r="C46" s="17" t="s">
        <v>593</v>
      </c>
      <c r="D46" s="17"/>
      <c r="E46" s="17"/>
      <c r="F46" s="17"/>
      <c r="G46" s="17"/>
      <c r="H46" s="17"/>
      <c r="I46" s="17"/>
    </row>
    <row r="47" spans="2:9" hidden="1" x14ac:dyDescent="0.25">
      <c r="B47" s="11"/>
      <c r="C47" s="13" t="s">
        <v>251</v>
      </c>
      <c r="D47" s="17"/>
      <c r="E47" s="86">
        <f>SUM(E43:E46)</f>
        <v>0</v>
      </c>
      <c r="F47" s="86">
        <f t="shared" ref="F47" si="9">SUM(F43:F46)</f>
        <v>0</v>
      </c>
      <c r="G47" s="86">
        <f t="shared" ref="G47" si="10">SUM(G43:G46)</f>
        <v>0</v>
      </c>
      <c r="H47" s="86">
        <f t="shared" ref="H47" si="11">SUM(H43:H46)</f>
        <v>0</v>
      </c>
      <c r="I47" s="86">
        <f t="shared" ref="I47" si="12">SUM(I43:I46)</f>
        <v>0</v>
      </c>
    </row>
    <row r="49" spans="2:9" hidden="1" x14ac:dyDescent="0.25">
      <c r="B49" s="22" t="s">
        <v>258</v>
      </c>
    </row>
    <row r="50" spans="2:9" ht="41.4" hidden="1" x14ac:dyDescent="0.25">
      <c r="B50" s="768" t="s">
        <v>4</v>
      </c>
      <c r="C50" s="852" t="s">
        <v>750</v>
      </c>
      <c r="D50" s="21" t="s">
        <v>751</v>
      </c>
      <c r="E50" s="21" t="s">
        <v>752</v>
      </c>
      <c r="F50" s="21" t="s">
        <v>753</v>
      </c>
      <c r="G50" s="21" t="s">
        <v>748</v>
      </c>
      <c r="H50" s="21" t="s">
        <v>754</v>
      </c>
      <c r="I50" s="21" t="s">
        <v>749</v>
      </c>
    </row>
    <row r="51" spans="2:9" ht="27.6" hidden="1" x14ac:dyDescent="0.25">
      <c r="B51" s="768"/>
      <c r="C51" s="852"/>
      <c r="D51" s="21" t="s">
        <v>755</v>
      </c>
      <c r="E51" s="13" t="s">
        <v>306</v>
      </c>
      <c r="F51" s="13" t="s">
        <v>756</v>
      </c>
      <c r="G51" s="13" t="s">
        <v>682</v>
      </c>
      <c r="H51" s="13" t="s">
        <v>756</v>
      </c>
      <c r="I51" s="13" t="s">
        <v>682</v>
      </c>
    </row>
    <row r="52" spans="2:9" hidden="1" x14ac:dyDescent="0.25">
      <c r="B52" s="11">
        <v>1</v>
      </c>
      <c r="C52" s="17"/>
      <c r="D52" s="17"/>
      <c r="E52" s="17"/>
      <c r="F52" s="17"/>
      <c r="G52" s="17"/>
      <c r="H52" s="17"/>
      <c r="I52" s="17"/>
    </row>
    <row r="53" spans="2:9" hidden="1" x14ac:dyDescent="0.25">
      <c r="B53" s="11">
        <f>B52+1</f>
        <v>2</v>
      </c>
      <c r="C53" s="17"/>
      <c r="D53" s="17"/>
      <c r="E53" s="17"/>
      <c r="F53" s="17"/>
      <c r="G53" s="17"/>
      <c r="H53" s="17"/>
      <c r="I53" s="17"/>
    </row>
    <row r="54" spans="2:9" hidden="1" x14ac:dyDescent="0.25">
      <c r="B54" s="11">
        <f>B53+1</f>
        <v>3</v>
      </c>
      <c r="C54" s="17"/>
      <c r="D54" s="17"/>
      <c r="E54" s="17"/>
      <c r="F54" s="17"/>
      <c r="G54" s="17"/>
      <c r="H54" s="17"/>
      <c r="I54" s="17"/>
    </row>
    <row r="55" spans="2:9" hidden="1" x14ac:dyDescent="0.25">
      <c r="B55" s="11"/>
      <c r="C55" s="17" t="s">
        <v>593</v>
      </c>
      <c r="D55" s="17"/>
      <c r="E55" s="17"/>
      <c r="F55" s="17"/>
      <c r="G55" s="17"/>
      <c r="H55" s="17"/>
      <c r="I55" s="17"/>
    </row>
    <row r="56" spans="2:9" hidden="1" x14ac:dyDescent="0.25">
      <c r="B56" s="11"/>
      <c r="C56" s="13" t="s">
        <v>251</v>
      </c>
      <c r="D56" s="17"/>
      <c r="E56" s="86">
        <f>SUM(E52:E55)</f>
        <v>0</v>
      </c>
      <c r="F56" s="86">
        <f t="shared" ref="F56" si="13">SUM(F52:F55)</f>
        <v>0</v>
      </c>
      <c r="G56" s="86">
        <f t="shared" ref="G56" si="14">SUM(G52:G55)</f>
        <v>0</v>
      </c>
      <c r="H56" s="86">
        <f t="shared" ref="H56" si="15">SUM(H52:H55)</f>
        <v>0</v>
      </c>
      <c r="I56" s="86">
        <f t="shared" ref="I56" si="16">SUM(I52:I55)</f>
        <v>0</v>
      </c>
    </row>
    <row r="58" spans="2:9" hidden="1" x14ac:dyDescent="0.25">
      <c r="B58" s="22" t="s">
        <v>259</v>
      </c>
    </row>
    <row r="59" spans="2:9" ht="41.4" hidden="1" x14ac:dyDescent="0.25">
      <c r="B59" s="768" t="s">
        <v>4</v>
      </c>
      <c r="C59" s="852" t="s">
        <v>750</v>
      </c>
      <c r="D59" s="21" t="s">
        <v>751</v>
      </c>
      <c r="E59" s="21" t="s">
        <v>752</v>
      </c>
      <c r="F59" s="21" t="s">
        <v>753</v>
      </c>
      <c r="G59" s="21" t="s">
        <v>748</v>
      </c>
      <c r="H59" s="21" t="s">
        <v>754</v>
      </c>
      <c r="I59" s="21" t="s">
        <v>749</v>
      </c>
    </row>
    <row r="60" spans="2:9" ht="27.6" hidden="1" x14ac:dyDescent="0.25">
      <c r="B60" s="768"/>
      <c r="C60" s="852"/>
      <c r="D60" s="21" t="s">
        <v>755</v>
      </c>
      <c r="E60" s="13" t="s">
        <v>306</v>
      </c>
      <c r="F60" s="13" t="s">
        <v>756</v>
      </c>
      <c r="G60" s="13" t="s">
        <v>682</v>
      </c>
      <c r="H60" s="13" t="s">
        <v>756</v>
      </c>
      <c r="I60" s="13" t="s">
        <v>682</v>
      </c>
    </row>
    <row r="61" spans="2:9" hidden="1" x14ac:dyDescent="0.25">
      <c r="B61" s="11">
        <v>1</v>
      </c>
      <c r="C61" s="17"/>
      <c r="D61" s="17"/>
      <c r="E61" s="17"/>
      <c r="F61" s="17"/>
      <c r="G61" s="17"/>
      <c r="H61" s="17"/>
      <c r="I61" s="17"/>
    </row>
    <row r="62" spans="2:9" hidden="1" x14ac:dyDescent="0.25">
      <c r="B62" s="11">
        <f>B61+1</f>
        <v>2</v>
      </c>
      <c r="C62" s="17"/>
      <c r="D62" s="17"/>
      <c r="E62" s="17"/>
      <c r="F62" s="17"/>
      <c r="G62" s="17"/>
      <c r="H62" s="17"/>
      <c r="I62" s="17"/>
    </row>
    <row r="63" spans="2:9" hidden="1" x14ac:dyDescent="0.25">
      <c r="B63" s="11">
        <f>B62+1</f>
        <v>3</v>
      </c>
      <c r="C63" s="17"/>
      <c r="D63" s="17"/>
      <c r="E63" s="17"/>
      <c r="F63" s="17"/>
      <c r="G63" s="17"/>
      <c r="H63" s="17"/>
      <c r="I63" s="17"/>
    </row>
    <row r="64" spans="2:9" hidden="1" x14ac:dyDescent="0.25">
      <c r="B64" s="11"/>
      <c r="C64" s="17" t="s">
        <v>593</v>
      </c>
      <c r="D64" s="17"/>
      <c r="E64" s="17"/>
      <c r="F64" s="17"/>
      <c r="G64" s="17"/>
      <c r="H64" s="17"/>
      <c r="I64" s="17"/>
    </row>
    <row r="65" spans="2:9" hidden="1" x14ac:dyDescent="0.25">
      <c r="B65" s="11"/>
      <c r="C65" s="13" t="s">
        <v>251</v>
      </c>
      <c r="D65" s="17"/>
      <c r="E65" s="86">
        <f>SUM(E61:E64)</f>
        <v>0</v>
      </c>
      <c r="F65" s="86">
        <f t="shared" ref="F65" si="17">SUM(F61:F64)</f>
        <v>0</v>
      </c>
      <c r="G65" s="86">
        <f t="shared" ref="G65" si="18">SUM(G61:G64)</f>
        <v>0</v>
      </c>
      <c r="H65" s="86">
        <f t="shared" ref="H65" si="19">SUM(H61:H64)</f>
        <v>0</v>
      </c>
      <c r="I65" s="86">
        <f t="shared" ref="I65" si="20">SUM(I61:I64)</f>
        <v>0</v>
      </c>
    </row>
    <row r="67" spans="2:9" hidden="1" x14ac:dyDescent="0.25">
      <c r="B67" s="22" t="s">
        <v>260</v>
      </c>
    </row>
    <row r="68" spans="2:9" ht="41.4" hidden="1" x14ac:dyDescent="0.25">
      <c r="B68" s="768" t="s">
        <v>4</v>
      </c>
      <c r="C68" s="852" t="s">
        <v>750</v>
      </c>
      <c r="D68" s="21" t="s">
        <v>751</v>
      </c>
      <c r="E68" s="21" t="s">
        <v>752</v>
      </c>
      <c r="F68" s="21" t="s">
        <v>753</v>
      </c>
      <c r="G68" s="21" t="s">
        <v>748</v>
      </c>
      <c r="H68" s="21" t="s">
        <v>754</v>
      </c>
      <c r="I68" s="21" t="s">
        <v>749</v>
      </c>
    </row>
    <row r="69" spans="2:9" ht="27.6" hidden="1" x14ac:dyDescent="0.25">
      <c r="B69" s="768"/>
      <c r="C69" s="852"/>
      <c r="D69" s="21" t="s">
        <v>755</v>
      </c>
      <c r="E69" s="13" t="s">
        <v>306</v>
      </c>
      <c r="F69" s="13" t="s">
        <v>756</v>
      </c>
      <c r="G69" s="13" t="s">
        <v>682</v>
      </c>
      <c r="H69" s="13" t="s">
        <v>756</v>
      </c>
      <c r="I69" s="13" t="s">
        <v>682</v>
      </c>
    </row>
    <row r="70" spans="2:9" hidden="1" x14ac:dyDescent="0.25">
      <c r="B70" s="11">
        <v>1</v>
      </c>
      <c r="C70" s="17"/>
      <c r="D70" s="17"/>
      <c r="E70" s="17"/>
      <c r="F70" s="17"/>
      <c r="G70" s="17"/>
      <c r="H70" s="17"/>
      <c r="I70" s="17"/>
    </row>
    <row r="71" spans="2:9" hidden="1" x14ac:dyDescent="0.25">
      <c r="B71" s="11">
        <f>B70+1</f>
        <v>2</v>
      </c>
      <c r="C71" s="17"/>
      <c r="D71" s="17"/>
      <c r="E71" s="17"/>
      <c r="F71" s="17"/>
      <c r="G71" s="17"/>
      <c r="H71" s="17"/>
      <c r="I71" s="17"/>
    </row>
    <row r="72" spans="2:9" hidden="1" x14ac:dyDescent="0.25">
      <c r="B72" s="11">
        <f>B71+1</f>
        <v>3</v>
      </c>
      <c r="C72" s="17"/>
      <c r="D72" s="17"/>
      <c r="E72" s="17"/>
      <c r="F72" s="17"/>
      <c r="G72" s="17"/>
      <c r="H72" s="17"/>
      <c r="I72" s="17"/>
    </row>
    <row r="73" spans="2:9" hidden="1" x14ac:dyDescent="0.25">
      <c r="B73" s="11"/>
      <c r="C73" s="17" t="s">
        <v>593</v>
      </c>
      <c r="D73" s="17"/>
      <c r="E73" s="17"/>
      <c r="F73" s="17"/>
      <c r="G73" s="17"/>
      <c r="H73" s="17"/>
      <c r="I73" s="17"/>
    </row>
    <row r="74" spans="2:9" hidden="1" x14ac:dyDescent="0.25">
      <c r="B74" s="11"/>
      <c r="C74" s="13" t="s">
        <v>251</v>
      </c>
      <c r="D74" s="17"/>
      <c r="E74" s="86">
        <f>SUM(E70:E73)</f>
        <v>0</v>
      </c>
      <c r="F74" s="86">
        <f t="shared" ref="F74" si="21">SUM(F70:F73)</f>
        <v>0</v>
      </c>
      <c r="G74" s="86">
        <f t="shared" ref="G74" si="22">SUM(G70:G73)</f>
        <v>0</v>
      </c>
      <c r="H74" s="86">
        <f t="shared" ref="H74" si="23">SUM(H70:H73)</f>
        <v>0</v>
      </c>
      <c r="I74" s="86">
        <f t="shared" ref="I74" si="24">SUM(I70:I73)</f>
        <v>0</v>
      </c>
    </row>
  </sheetData>
  <mergeCells count="19">
    <mergeCell ref="B6:B8"/>
    <mergeCell ref="C6:C8"/>
    <mergeCell ref="D6:F6"/>
    <mergeCell ref="G6:J6"/>
    <mergeCell ref="K6:O6"/>
    <mergeCell ref="C14:C15"/>
    <mergeCell ref="B14:B15"/>
    <mergeCell ref="B23:B24"/>
    <mergeCell ref="C23:C24"/>
    <mergeCell ref="B32:B33"/>
    <mergeCell ref="C32:C33"/>
    <mergeCell ref="B68:B69"/>
    <mergeCell ref="C68:C69"/>
    <mergeCell ref="B41:B42"/>
    <mergeCell ref="C41:C42"/>
    <mergeCell ref="B50:B51"/>
    <mergeCell ref="C50:C51"/>
    <mergeCell ref="B59:B60"/>
    <mergeCell ref="C59:C60"/>
  </mergeCells>
  <pageMargins left="1.02" right="0.25" top="1" bottom="1" header="0.25" footer="0.25"/>
  <pageSetup paperSize="9" scale="30" orientation="landscape" r:id="rId1"/>
  <headerFooter alignWithMargins="0">
    <oddHeader>&amp;F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501C9"/>
  </sheetPr>
  <dimension ref="A1:AF55"/>
  <sheetViews>
    <sheetView showGridLines="0" view="pageBreakPreview" topLeftCell="J26" zoomScale="60" zoomScaleNormal="70" workbookViewId="0">
      <selection activeCell="K17" sqref="K17"/>
    </sheetView>
  </sheetViews>
  <sheetFormatPr defaultColWidth="9.33203125" defaultRowHeight="13.8" x14ac:dyDescent="0.25"/>
  <cols>
    <col min="1" max="2" width="9.33203125" style="571"/>
    <col min="3" max="3" width="20.5546875" style="571" customWidth="1"/>
    <col min="4" max="4" width="44.33203125" style="571" customWidth="1"/>
    <col min="5" max="5" width="11.33203125" style="571" customWidth="1"/>
    <col min="6" max="6" width="12.5546875" style="571" customWidth="1"/>
    <col min="7" max="7" width="12.109375" style="571" customWidth="1"/>
    <col min="8" max="8" width="13.6640625" style="571" bestFit="1" customWidth="1"/>
    <col min="9" max="9" width="13.44140625" style="571" customWidth="1"/>
    <col min="10" max="10" width="10.44140625" style="571" bestFit="1" customWidth="1"/>
    <col min="11" max="11" width="10.5546875" style="571" customWidth="1"/>
    <col min="12" max="12" width="12.44140625" style="571" customWidth="1"/>
    <col min="13" max="13" width="12.5546875" style="571" customWidth="1"/>
    <col min="14" max="14" width="11.6640625" style="571" customWidth="1"/>
    <col min="15" max="15" width="14.6640625" style="571" customWidth="1"/>
    <col min="16" max="16" width="10.109375" style="571" customWidth="1"/>
    <col min="17" max="17" width="12.33203125" style="571" customWidth="1"/>
    <col min="18" max="18" width="13.44140625" style="571" customWidth="1"/>
    <col min="19" max="19" width="12.44140625" style="571" customWidth="1"/>
    <col min="20" max="20" width="11.6640625" style="571" customWidth="1"/>
    <col min="21" max="21" width="14.109375" style="571" customWidth="1"/>
    <col min="22" max="22" width="9.44140625" style="571" customWidth="1"/>
    <col min="23" max="25" width="12.6640625" style="571" bestFit="1" customWidth="1"/>
    <col min="26" max="26" width="13.6640625" style="571" bestFit="1" customWidth="1"/>
    <col min="27" max="27" width="13.44140625" style="571" bestFit="1" customWidth="1"/>
    <col min="28" max="28" width="13.6640625" style="571" bestFit="1" customWidth="1"/>
    <col min="29" max="29" width="13.6640625" style="571" customWidth="1"/>
    <col min="30" max="30" width="13.109375" style="571" customWidth="1"/>
    <col min="31" max="31" width="10.44140625" style="571" bestFit="1" customWidth="1"/>
    <col min="32" max="32" width="0" style="571" hidden="1" customWidth="1"/>
    <col min="33" max="16384" width="9.33203125" style="571"/>
  </cols>
  <sheetData>
    <row r="1" spans="1:32" x14ac:dyDescent="0.25">
      <c r="A1" s="571" t="s">
        <v>760</v>
      </c>
      <c r="C1" s="571" t="s">
        <v>761</v>
      </c>
    </row>
    <row r="2" spans="1:32" x14ac:dyDescent="0.25"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 t="s">
        <v>160</v>
      </c>
      <c r="O2" s="641"/>
      <c r="P2" s="641"/>
      <c r="Q2" s="641"/>
    </row>
    <row r="3" spans="1:32" x14ac:dyDescent="0.25">
      <c r="N3" s="628" t="s">
        <v>762</v>
      </c>
    </row>
    <row r="5" spans="1:32" x14ac:dyDescent="0.25">
      <c r="C5" s="883" t="s">
        <v>163</v>
      </c>
      <c r="D5" s="884"/>
      <c r="E5" s="799" t="s">
        <v>763</v>
      </c>
      <c r="F5" s="799"/>
      <c r="G5" s="799"/>
      <c r="H5" s="799"/>
      <c r="I5" s="799"/>
      <c r="J5" s="799"/>
      <c r="K5" s="799" t="s">
        <v>764</v>
      </c>
      <c r="L5" s="799"/>
      <c r="M5" s="799"/>
      <c r="N5" s="799" t="s">
        <v>765</v>
      </c>
      <c r="O5" s="799"/>
      <c r="P5" s="799"/>
      <c r="Q5" s="799" t="s">
        <v>766</v>
      </c>
      <c r="R5" s="799"/>
      <c r="S5" s="799"/>
      <c r="T5" s="799" t="s">
        <v>767</v>
      </c>
      <c r="U5" s="799"/>
      <c r="V5" s="799"/>
      <c r="W5" s="799" t="s">
        <v>768</v>
      </c>
      <c r="X5" s="799"/>
      <c r="Y5" s="799"/>
      <c r="Z5" s="799"/>
      <c r="AA5" s="799" t="s">
        <v>768</v>
      </c>
      <c r="AB5" s="799"/>
      <c r="AC5" s="879" t="s">
        <v>769</v>
      </c>
      <c r="AD5" s="879" t="s">
        <v>770</v>
      </c>
      <c r="AE5" s="799" t="s">
        <v>771</v>
      </c>
    </row>
    <row r="6" spans="1:32" x14ac:dyDescent="0.25">
      <c r="C6" s="885"/>
      <c r="D6" s="886"/>
      <c r="E6" s="799" t="s">
        <v>772</v>
      </c>
      <c r="F6" s="799"/>
      <c r="G6" s="799"/>
      <c r="H6" s="799" t="s">
        <v>773</v>
      </c>
      <c r="I6" s="799"/>
      <c r="J6" s="799"/>
      <c r="K6" s="799" t="s">
        <v>772</v>
      </c>
      <c r="L6" s="799"/>
      <c r="M6" s="799"/>
      <c r="N6" s="799" t="s">
        <v>772</v>
      </c>
      <c r="O6" s="799"/>
      <c r="P6" s="799"/>
      <c r="Q6" s="799" t="s">
        <v>772</v>
      </c>
      <c r="R6" s="799"/>
      <c r="S6" s="799"/>
      <c r="T6" s="799" t="s">
        <v>773</v>
      </c>
      <c r="U6" s="799"/>
      <c r="V6" s="799"/>
      <c r="W6" s="880" t="s">
        <v>774</v>
      </c>
      <c r="X6" s="880" t="s">
        <v>775</v>
      </c>
      <c r="Y6" s="880" t="s">
        <v>776</v>
      </c>
      <c r="Z6" s="799" t="s">
        <v>773</v>
      </c>
      <c r="AA6" s="799" t="s">
        <v>772</v>
      </c>
      <c r="AB6" s="799" t="s">
        <v>773</v>
      </c>
      <c r="AC6" s="879"/>
      <c r="AD6" s="879"/>
      <c r="AE6" s="799"/>
    </row>
    <row r="7" spans="1:32" ht="78" customHeight="1" x14ac:dyDescent="0.25">
      <c r="C7" s="885"/>
      <c r="D7" s="886"/>
      <c r="E7" s="629" t="s">
        <v>777</v>
      </c>
      <c r="F7" s="629" t="s">
        <v>778</v>
      </c>
      <c r="G7" s="629" t="s">
        <v>771</v>
      </c>
      <c r="H7" s="629" t="s">
        <v>777</v>
      </c>
      <c r="I7" s="629" t="s">
        <v>779</v>
      </c>
      <c r="J7" s="629" t="s">
        <v>771</v>
      </c>
      <c r="K7" s="629" t="s">
        <v>777</v>
      </c>
      <c r="L7" s="629" t="s">
        <v>778</v>
      </c>
      <c r="M7" s="629" t="s">
        <v>771</v>
      </c>
      <c r="N7" s="629" t="s">
        <v>777</v>
      </c>
      <c r="O7" s="629" t="s">
        <v>778</v>
      </c>
      <c r="P7" s="629" t="s">
        <v>771</v>
      </c>
      <c r="Q7" s="629" t="s">
        <v>777</v>
      </c>
      <c r="R7" s="629" t="s">
        <v>778</v>
      </c>
      <c r="S7" s="629" t="s">
        <v>771</v>
      </c>
      <c r="T7" s="629" t="s">
        <v>777</v>
      </c>
      <c r="U7" s="629" t="s">
        <v>779</v>
      </c>
      <c r="V7" s="629" t="s">
        <v>771</v>
      </c>
      <c r="W7" s="880"/>
      <c r="X7" s="880"/>
      <c r="Y7" s="880"/>
      <c r="Z7" s="799"/>
      <c r="AA7" s="799"/>
      <c r="AB7" s="799"/>
      <c r="AC7" s="879"/>
      <c r="AD7" s="879"/>
      <c r="AE7" s="799"/>
    </row>
    <row r="8" spans="1:32" ht="46.5" customHeight="1" x14ac:dyDescent="0.25">
      <c r="C8" s="887"/>
      <c r="D8" s="888"/>
      <c r="E8" s="629" t="s">
        <v>682</v>
      </c>
      <c r="F8" s="629" t="s">
        <v>679</v>
      </c>
      <c r="G8" s="629" t="s">
        <v>780</v>
      </c>
      <c r="H8" s="629" t="s">
        <v>682</v>
      </c>
      <c r="I8" s="629" t="s">
        <v>306</v>
      </c>
      <c r="J8" s="629" t="s">
        <v>756</v>
      </c>
      <c r="K8" s="629" t="s">
        <v>682</v>
      </c>
      <c r="L8" s="629" t="s">
        <v>679</v>
      </c>
      <c r="M8" s="629" t="s">
        <v>780</v>
      </c>
      <c r="N8" s="629" t="s">
        <v>682</v>
      </c>
      <c r="O8" s="629" t="s">
        <v>679</v>
      </c>
      <c r="P8" s="629" t="s">
        <v>780</v>
      </c>
      <c r="Q8" s="629" t="s">
        <v>682</v>
      </c>
      <c r="R8" s="629" t="s">
        <v>679</v>
      </c>
      <c r="S8" s="629" t="s">
        <v>780</v>
      </c>
      <c r="T8" s="629" t="s">
        <v>682</v>
      </c>
      <c r="U8" s="629" t="s">
        <v>306</v>
      </c>
      <c r="V8" s="629" t="s">
        <v>756</v>
      </c>
      <c r="W8" s="629" t="s">
        <v>682</v>
      </c>
      <c r="X8" s="629" t="s">
        <v>682</v>
      </c>
      <c r="Y8" s="629" t="s">
        <v>682</v>
      </c>
      <c r="Z8" s="629" t="s">
        <v>682</v>
      </c>
      <c r="AA8" s="629" t="s">
        <v>682</v>
      </c>
      <c r="AB8" s="629" t="s">
        <v>682</v>
      </c>
      <c r="AC8" s="629" t="s">
        <v>682</v>
      </c>
      <c r="AD8" s="629" t="s">
        <v>306</v>
      </c>
      <c r="AE8" s="629" t="s">
        <v>756</v>
      </c>
    </row>
    <row r="9" spans="1:32" x14ac:dyDescent="0.25">
      <c r="C9" s="881" t="s">
        <v>781</v>
      </c>
      <c r="D9" s="882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1" t="s">
        <v>782</v>
      </c>
    </row>
    <row r="10" spans="1:32" x14ac:dyDescent="0.25">
      <c r="C10" s="630" t="s">
        <v>172</v>
      </c>
      <c r="D10" s="630" t="s">
        <v>173</v>
      </c>
      <c r="E10" s="145">
        <f>[68]NPDCL_Output!$H9</f>
        <v>1024.1837235439539</v>
      </c>
      <c r="F10" s="145">
        <f>'[68]NPDCL_Cost Alloc_Factors'!$V11</f>
        <v>837.97741676559087</v>
      </c>
      <c r="G10" s="145">
        <f t="shared" ref="G10:G19" si="0">IFERROR((E10*10^7)/((F10*10^3))/12,0)</f>
        <v>1018.5076819622404</v>
      </c>
      <c r="H10" s="145">
        <f>[68]NPDCL_Output!$I9</f>
        <v>1900.8061091042</v>
      </c>
      <c r="I10" s="145">
        <f>'[68]NPDCL_Cost Alloc_Factors'!$H11</f>
        <v>5004.1429709956828</v>
      </c>
      <c r="J10" s="145">
        <f t="shared" ref="J10:J19" si="1">IFERROR((H10*10^7)/(I10*10^6),0)</f>
        <v>3.7984648322827463</v>
      </c>
      <c r="K10" s="145">
        <f>[68]NPDCL_Output!$K9*[68]NPDCL_Switch_Selection!$I$46</f>
        <v>129.5576052069386</v>
      </c>
      <c r="L10" s="145">
        <f>'[68]NPDCL_Cost Alloc_Factors'!$V11</f>
        <v>837.97741676559087</v>
      </c>
      <c r="M10" s="145">
        <f t="shared" ref="M10:M19" si="2">IFERROR((K10*10^7)/((L10*10^3))/12,0)</f>
        <v>128.83959501259847</v>
      </c>
      <c r="N10" s="145">
        <f>[68]NPDCL_Output!$K9*[68]NPDCL_Switch_Selection!$I$45</f>
        <v>115.81545889299863</v>
      </c>
      <c r="O10" s="145">
        <f>'[68]NPDCL_Cost Alloc_Factors'!$V11</f>
        <v>837.97741676559087</v>
      </c>
      <c r="P10" s="145">
        <f t="shared" ref="P10:P19" si="3">IFERROR((N10*10^7)/((O10*10^3))/12,0)</f>
        <v>115.17360787997217</v>
      </c>
      <c r="Q10" s="145">
        <f>[68]NPDCL_Output!$N9</f>
        <v>1084.2732557811855</v>
      </c>
      <c r="R10" s="145">
        <f>'[68]NPDCL_Cost Alloc_Factors'!$V11</f>
        <v>837.97741676559087</v>
      </c>
      <c r="S10" s="145">
        <f t="shared" ref="S10:S19" si="4">IFERROR((Q10*10^7)/((R10*10^3))/12,0)</f>
        <v>1078.2641971091164</v>
      </c>
      <c r="T10" s="145">
        <f>[68]NPDCL_Output!$R9</f>
        <v>22.014413836648696</v>
      </c>
      <c r="U10" s="145">
        <f>[68]NPDCL_Inp_Category!$H9</f>
        <v>5004.1429709956828</v>
      </c>
      <c r="V10" s="145">
        <f t="shared" ref="V10:V19" si="5">IFERROR((T10*10^7)/((U10*10^3))/12,0)</f>
        <v>3.6660313204887722</v>
      </c>
      <c r="W10" s="145">
        <f t="shared" ref="W10:W19" si="6">E10</f>
        <v>1024.1837235439539</v>
      </c>
      <c r="X10" s="145">
        <f t="shared" ref="X10:X19" si="7">K10+N10</f>
        <v>245.37306409993724</v>
      </c>
      <c r="Y10" s="145">
        <f t="shared" ref="Y10:Y19" si="8">Q10</f>
        <v>1084.2732557811855</v>
      </c>
      <c r="Z10" s="145">
        <f t="shared" ref="Z10:Z19" si="9">H10+T10</f>
        <v>1922.8205229408486</v>
      </c>
      <c r="AA10" s="145">
        <f t="shared" ref="AA10:AA19" si="10">SUM(W10:Y10)</f>
        <v>2353.8300434250768</v>
      </c>
      <c r="AB10" s="145">
        <f t="shared" ref="AB10:AB19" si="11">Z10</f>
        <v>1922.8205229408486</v>
      </c>
      <c r="AC10" s="145">
        <f t="shared" ref="AC10:AC19" si="12">AA10+AB10</f>
        <v>4276.6505663659254</v>
      </c>
      <c r="AD10" s="145">
        <f t="shared" ref="AD10:AD19" si="13">U10</f>
        <v>5004.1429709956828</v>
      </c>
      <c r="AE10" s="145">
        <f t="shared" ref="AE10:AE19" si="14">IFERROR(AC10/AD10*10,0)</f>
        <v>8.5462197845937897</v>
      </c>
      <c r="AF10" s="631">
        <f>AE10-[68]NPDCL_Output!$AF9</f>
        <v>0</v>
      </c>
    </row>
    <row r="11" spans="1:32" x14ac:dyDescent="0.25">
      <c r="C11" s="630" t="s">
        <v>783</v>
      </c>
      <c r="D11" s="630" t="s">
        <v>175</v>
      </c>
      <c r="E11" s="145">
        <f>[68]NPDCL_Output!$H10</f>
        <v>223.04542023558992</v>
      </c>
      <c r="F11" s="145">
        <f>'[68]NPDCL_Cost Alloc_Factors'!$V12</f>
        <v>198.51022582099625</v>
      </c>
      <c r="G11" s="145">
        <f t="shared" si="0"/>
        <v>936.33052282790186</v>
      </c>
      <c r="H11" s="145">
        <f>[68]NPDCL_Output!$I10</f>
        <v>416.47721265122289</v>
      </c>
      <c r="I11" s="145">
        <f>'[68]NPDCL_Cost Alloc_Factors'!$H12</f>
        <v>1096.1498398291596</v>
      </c>
      <c r="J11" s="145">
        <f t="shared" si="1"/>
        <v>3.7994551248224684</v>
      </c>
      <c r="K11" s="145">
        <f>[68]NPDCL_Output!$K10*[68]NPDCL_Switch_Selection!$I$46</f>
        <v>30.691172520763942</v>
      </c>
      <c r="L11" s="145">
        <f>'[68]NPDCL_Cost Alloc_Factors'!$V12</f>
        <v>198.51022582099625</v>
      </c>
      <c r="M11" s="145">
        <f t="shared" si="2"/>
        <v>128.83959501259844</v>
      </c>
      <c r="N11" s="145">
        <f>[68]NPDCL_Output!$K10*[68]NPDCL_Switch_Selection!$I$45</f>
        <v>27.435766690646581</v>
      </c>
      <c r="O11" s="145">
        <f>'[68]NPDCL_Cost Alloc_Factors'!$V12</f>
        <v>198.51022582099625</v>
      </c>
      <c r="P11" s="145">
        <f t="shared" si="3"/>
        <v>115.17360787997218</v>
      </c>
      <c r="Q11" s="145">
        <f>[68]NPDCL_Output!$N10</f>
        <v>256.85576311539108</v>
      </c>
      <c r="R11" s="145">
        <f>'[68]NPDCL_Cost Alloc_Factors'!$V12</f>
        <v>198.51022582099625</v>
      </c>
      <c r="S11" s="145">
        <f t="shared" si="4"/>
        <v>1078.2641971091164</v>
      </c>
      <c r="T11" s="145">
        <f>[68]NPDCL_Output!$R10</f>
        <v>4.8222235737149406</v>
      </c>
      <c r="U11" s="145">
        <f>[68]NPDCL_Inp_Category!$H10</f>
        <v>1096.1498398291596</v>
      </c>
      <c r="V11" s="145">
        <f t="shared" si="5"/>
        <v>3.6660313204887718</v>
      </c>
      <c r="W11" s="145">
        <f t="shared" si="6"/>
        <v>223.04542023558992</v>
      </c>
      <c r="X11" s="145">
        <f t="shared" si="7"/>
        <v>58.126939211410523</v>
      </c>
      <c r="Y11" s="145">
        <f t="shared" si="8"/>
        <v>256.85576311539108</v>
      </c>
      <c r="Z11" s="145">
        <f t="shared" si="9"/>
        <v>421.29943622493784</v>
      </c>
      <c r="AA11" s="145">
        <f t="shared" si="10"/>
        <v>538.02812256239145</v>
      </c>
      <c r="AB11" s="145">
        <f t="shared" si="11"/>
        <v>421.29943622493784</v>
      </c>
      <c r="AC11" s="145">
        <f t="shared" si="12"/>
        <v>959.32755878732928</v>
      </c>
      <c r="AD11" s="145">
        <f t="shared" si="13"/>
        <v>1096.1498398291596</v>
      </c>
      <c r="AE11" s="145">
        <f t="shared" si="14"/>
        <v>8.7517921722895586</v>
      </c>
      <c r="AF11" s="631">
        <f>AE11-[68]NPDCL_Output!$AF10</f>
        <v>0</v>
      </c>
    </row>
    <row r="12" spans="1:32" x14ac:dyDescent="0.25">
      <c r="C12" s="630" t="s">
        <v>784</v>
      </c>
      <c r="D12" s="630" t="s">
        <v>785</v>
      </c>
      <c r="E12" s="145">
        <f>[68]NPDCL_Output!$H11</f>
        <v>49.136395106394382</v>
      </c>
      <c r="F12" s="145">
        <f>'[68]NPDCL_Cost Alloc_Factors'!$V13</f>
        <v>38.563291899432329</v>
      </c>
      <c r="G12" s="145">
        <f t="shared" si="0"/>
        <v>1061.8127733695389</v>
      </c>
      <c r="H12" s="145">
        <f>[68]NPDCL_Output!$I11</f>
        <v>92.816984142316528</v>
      </c>
      <c r="I12" s="145">
        <f>'[68]NPDCL_Cost Alloc_Factors'!$H13</f>
        <v>244.09749984720008</v>
      </c>
      <c r="J12" s="145">
        <f t="shared" si="1"/>
        <v>3.802455338560125</v>
      </c>
      <c r="K12" s="145">
        <f>[68]NPDCL_Output!$K11*[68]NPDCL_Switch_Selection!$I$46</f>
        <v>5.9621746928105752</v>
      </c>
      <c r="L12" s="145">
        <f>'[68]NPDCL_Cost Alloc_Factors'!$V13</f>
        <v>38.563291899432329</v>
      </c>
      <c r="M12" s="145">
        <f t="shared" si="2"/>
        <v>128.83959501259844</v>
      </c>
      <c r="N12" s="145">
        <f>[68]NPDCL_Output!$K11*[68]NPDCL_Switch_Selection!$I$45</f>
        <v>5.3297681517433517</v>
      </c>
      <c r="O12" s="145">
        <f>'[68]NPDCL_Cost Alloc_Factors'!$V13</f>
        <v>38.563291899432329</v>
      </c>
      <c r="P12" s="145">
        <f t="shared" si="3"/>
        <v>115.17360787997218</v>
      </c>
      <c r="Q12" s="145">
        <f>[68]NPDCL_Output!$N11</f>
        <v>49.897700373391075</v>
      </c>
      <c r="R12" s="145">
        <f>'[68]NPDCL_Cost Alloc_Factors'!$V13</f>
        <v>38.563291899432329</v>
      </c>
      <c r="S12" s="145">
        <f t="shared" si="4"/>
        <v>1078.2641971091166</v>
      </c>
      <c r="T12" s="145">
        <f>[68]NPDCL_Output!$R11</f>
        <v>1.0738428956314068</v>
      </c>
      <c r="U12" s="145">
        <f>[68]NPDCL_Inp_Category!$H11</f>
        <v>244.09749984720008</v>
      </c>
      <c r="V12" s="145">
        <f t="shared" si="5"/>
        <v>3.6660313204887731</v>
      </c>
      <c r="W12" s="145">
        <f t="shared" si="6"/>
        <v>49.136395106394382</v>
      </c>
      <c r="X12" s="145">
        <f t="shared" si="7"/>
        <v>11.291942844553926</v>
      </c>
      <c r="Y12" s="145">
        <f t="shared" si="8"/>
        <v>49.897700373391075</v>
      </c>
      <c r="Z12" s="145">
        <f t="shared" si="9"/>
        <v>93.890827037947929</v>
      </c>
      <c r="AA12" s="145">
        <f t="shared" si="10"/>
        <v>110.32603832433938</v>
      </c>
      <c r="AB12" s="145">
        <f t="shared" si="11"/>
        <v>93.890827037947929</v>
      </c>
      <c r="AC12" s="145">
        <f t="shared" si="12"/>
        <v>204.21686536228731</v>
      </c>
      <c r="AD12" s="145">
        <f t="shared" si="13"/>
        <v>244.09749984720008</v>
      </c>
      <c r="AE12" s="145">
        <f t="shared" si="14"/>
        <v>8.3662006161522662</v>
      </c>
      <c r="AF12" s="631">
        <f>AE12-[68]NPDCL_Output!$AF11</f>
        <v>0</v>
      </c>
    </row>
    <row r="13" spans="1:32" x14ac:dyDescent="0.25">
      <c r="C13" s="630" t="s">
        <v>786</v>
      </c>
      <c r="D13" s="630" t="s">
        <v>787</v>
      </c>
      <c r="E13" s="145">
        <f>[68]NPDCL_Output!$H12</f>
        <v>1.7991260066680432</v>
      </c>
      <c r="F13" s="145">
        <f>'[68]NPDCL_Cost Alloc_Factors'!$V14</f>
        <v>1.9193290263181897</v>
      </c>
      <c r="G13" s="145">
        <f t="shared" si="0"/>
        <v>781.14364533911714</v>
      </c>
      <c r="H13" s="145">
        <f>[68]NPDCL_Output!$I12</f>
        <v>3.2921051383186266</v>
      </c>
      <c r="I13" s="145">
        <f>'[68]NPDCL_Cost Alloc_Factors'!$H14</f>
        <v>8.6405391582405286</v>
      </c>
      <c r="J13" s="145">
        <f t="shared" si="1"/>
        <v>3.8100691149335608</v>
      </c>
      <c r="K13" s="145">
        <f>[68]NPDCL_Output!$K12*[68]NPDCL_Switch_Selection!$I$46</f>
        <v>0.29674268933611259</v>
      </c>
      <c r="L13" s="145">
        <f>'[68]NPDCL_Cost Alloc_Factors'!$V14</f>
        <v>1.9193290263181897</v>
      </c>
      <c r="M13" s="145">
        <f t="shared" si="2"/>
        <v>128.83959501259847</v>
      </c>
      <c r="N13" s="145">
        <f>[68]NPDCL_Output!$K12*[68]NPDCL_Switch_Selection!$I$45</f>
        <v>0.26526725840378401</v>
      </c>
      <c r="O13" s="145">
        <f>'[68]NPDCL_Cost Alloc_Factors'!$V14</f>
        <v>1.9193290263181897</v>
      </c>
      <c r="P13" s="145">
        <f t="shared" si="3"/>
        <v>115.17360787997218</v>
      </c>
      <c r="Q13" s="145">
        <f>[68]NPDCL_Output!$N12</f>
        <v>2.4834525258614457</v>
      </c>
      <c r="R13" s="145">
        <f>'[68]NPDCL_Cost Alloc_Factors'!$V14</f>
        <v>1.9193290263181897</v>
      </c>
      <c r="S13" s="145">
        <f t="shared" si="4"/>
        <v>1078.2641971091164</v>
      </c>
      <c r="T13" s="145">
        <f>[68]NPDCL_Output!$R12</f>
        <v>3.8011784616023371E-2</v>
      </c>
      <c r="U13" s="145">
        <f>[68]NPDCL_Inp_Category!$H12</f>
        <v>8.6405391582405286</v>
      </c>
      <c r="V13" s="145">
        <f t="shared" si="5"/>
        <v>3.6660313204887731</v>
      </c>
      <c r="W13" s="145">
        <f t="shared" si="6"/>
        <v>1.7991260066680432</v>
      </c>
      <c r="X13" s="145">
        <f t="shared" si="7"/>
        <v>0.56200994773989654</v>
      </c>
      <c r="Y13" s="145">
        <f t="shared" si="8"/>
        <v>2.4834525258614457</v>
      </c>
      <c r="Z13" s="145">
        <f t="shared" si="9"/>
        <v>3.3301169229346499</v>
      </c>
      <c r="AA13" s="145">
        <f t="shared" si="10"/>
        <v>4.844588480269385</v>
      </c>
      <c r="AB13" s="145">
        <f t="shared" si="11"/>
        <v>3.3301169229346499</v>
      </c>
      <c r="AC13" s="145">
        <f t="shared" si="12"/>
        <v>8.1747054032040349</v>
      </c>
      <c r="AD13" s="145">
        <f t="shared" si="13"/>
        <v>8.6405391582405286</v>
      </c>
      <c r="AE13" s="145">
        <f t="shared" si="14"/>
        <v>9.4608742041377987</v>
      </c>
      <c r="AF13" s="631">
        <f>AE13-[68]NPDCL_Output!$AF12</f>
        <v>0</v>
      </c>
    </row>
    <row r="14" spans="1:32" x14ac:dyDescent="0.25">
      <c r="C14" s="630" t="s">
        <v>788</v>
      </c>
      <c r="D14" s="630" t="s">
        <v>203</v>
      </c>
      <c r="E14" s="145">
        <f>[68]NPDCL_Output!$H13</f>
        <v>2665.0631765939929</v>
      </c>
      <c r="F14" s="145">
        <f>'[68]NPDCL_Cost Alloc_Factors'!$V15</f>
        <v>2117.0462966448486</v>
      </c>
      <c r="G14" s="145">
        <f t="shared" si="0"/>
        <v>1049.0493212239683</v>
      </c>
      <c r="H14" s="145">
        <f>[68]NPDCL_Output!$I13</f>
        <v>4002.0754488321672</v>
      </c>
      <c r="I14" s="145">
        <f>'[68]NPDCL_Cost Alloc_Factors'!$H15</f>
        <v>10456.606075527796</v>
      </c>
      <c r="J14" s="145">
        <f t="shared" si="1"/>
        <v>3.8273177931015852</v>
      </c>
      <c r="K14" s="145">
        <f>[68]NPDCL_Output!$K13*[68]NPDCL_Switch_Selection!$I$46</f>
        <v>327.31126497917234</v>
      </c>
      <c r="L14" s="145">
        <f>'[68]NPDCL_Cost Alloc_Factors'!$V15</f>
        <v>2117.0462966448486</v>
      </c>
      <c r="M14" s="145">
        <f t="shared" si="2"/>
        <v>128.83959501259841</v>
      </c>
      <c r="N14" s="145">
        <f>[68]NPDCL_Output!$K13*[68]NPDCL_Switch_Selection!$I$45</f>
        <v>292.59343204022525</v>
      </c>
      <c r="O14" s="145">
        <f>'[68]NPDCL_Cost Alloc_Factors'!$V15</f>
        <v>2117.0462966448486</v>
      </c>
      <c r="P14" s="145">
        <f t="shared" si="3"/>
        <v>115.17360787997217</v>
      </c>
      <c r="Q14" s="145">
        <f>[68]NPDCL_Output!$N13</f>
        <v>2739.282270353503</v>
      </c>
      <c r="R14" s="145">
        <f>'[68]NPDCL_Cost Alloc_Factors'!$V15</f>
        <v>2117.0462966448486</v>
      </c>
      <c r="S14" s="145">
        <f t="shared" si="4"/>
        <v>1078.2641971091164</v>
      </c>
      <c r="T14" s="145">
        <f>[68]NPDCL_Output!$R13</f>
        <v>46.001094454677705</v>
      </c>
      <c r="U14" s="145">
        <f>[68]NPDCL_Inp_Category!$H13</f>
        <v>10456.606075527796</v>
      </c>
      <c r="V14" s="145">
        <f t="shared" si="5"/>
        <v>3.6660313204887722</v>
      </c>
      <c r="W14" s="145">
        <f t="shared" si="6"/>
        <v>2665.0631765939929</v>
      </c>
      <c r="X14" s="145">
        <f t="shared" si="7"/>
        <v>619.90469701939764</v>
      </c>
      <c r="Y14" s="145">
        <f t="shared" si="8"/>
        <v>2739.282270353503</v>
      </c>
      <c r="Z14" s="145">
        <f t="shared" si="9"/>
        <v>4048.0765432868448</v>
      </c>
      <c r="AA14" s="145">
        <f t="shared" si="10"/>
        <v>6024.250143966894</v>
      </c>
      <c r="AB14" s="145">
        <f t="shared" si="11"/>
        <v>4048.0765432868448</v>
      </c>
      <c r="AC14" s="145">
        <f t="shared" si="12"/>
        <v>10072.326687253739</v>
      </c>
      <c r="AD14" s="145">
        <f t="shared" si="13"/>
        <v>10456.606075527796</v>
      </c>
      <c r="AE14" s="145">
        <f t="shared" si="14"/>
        <v>9.6325008463564394</v>
      </c>
      <c r="AF14" s="631">
        <f>AE14-[68]NPDCL_Output!$AF13</f>
        <v>0</v>
      </c>
    </row>
    <row r="15" spans="1:32" x14ac:dyDescent="0.25">
      <c r="C15" s="630" t="s">
        <v>789</v>
      </c>
      <c r="D15" s="630" t="s">
        <v>790</v>
      </c>
      <c r="E15" s="145">
        <f>[68]NPDCL_Output!$H14</f>
        <v>67.5192486218792</v>
      </c>
      <c r="F15" s="145">
        <f>'[68]NPDCL_Cost Alloc_Factors'!$V16</f>
        <v>103.75056149721435</v>
      </c>
      <c r="G15" s="145">
        <f t="shared" si="0"/>
        <v>542.32034705415424</v>
      </c>
      <c r="H15" s="145">
        <f>[68]NPDCL_Output!$I14</f>
        <v>149.9286616984183</v>
      </c>
      <c r="I15" s="145">
        <f>'[68]NPDCL_Cost Alloc_Factors'!$H16</f>
        <v>396.51543480131897</v>
      </c>
      <c r="J15" s="145">
        <f t="shared" si="1"/>
        <v>3.7811557518194139</v>
      </c>
      <c r="K15" s="145">
        <f>[68]NPDCL_Output!$K14*[68]NPDCL_Switch_Selection!$I$46</f>
        <v>16.040616390756941</v>
      </c>
      <c r="L15" s="145">
        <f>'[68]NPDCL_Cost Alloc_Factors'!$V16</f>
        <v>103.75056149721435</v>
      </c>
      <c r="M15" s="145">
        <f t="shared" si="2"/>
        <v>128.83959501259844</v>
      </c>
      <c r="N15" s="145">
        <f>[68]NPDCL_Output!$K14*[68]NPDCL_Switch_Selection!$I$45</f>
        <v>14.339191784648525</v>
      </c>
      <c r="O15" s="145">
        <f>'[68]NPDCL_Cost Alloc_Factors'!$V16</f>
        <v>103.75056149721435</v>
      </c>
      <c r="P15" s="145">
        <f t="shared" si="3"/>
        <v>115.17360787997217</v>
      </c>
      <c r="Q15" s="145">
        <f>[68]NPDCL_Output!$N14</f>
        <v>134.24461907089659</v>
      </c>
      <c r="R15" s="145">
        <f>'[68]NPDCL_Cost Alloc_Factors'!$V16</f>
        <v>103.75056149721435</v>
      </c>
      <c r="S15" s="145">
        <f t="shared" si="4"/>
        <v>1078.2641971091164</v>
      </c>
      <c r="T15" s="145">
        <f>[68]NPDCL_Output!$R14</f>
        <v>1.7443656036466311</v>
      </c>
      <c r="U15" s="145">
        <f>[68]NPDCL_Inp_Category!$H14</f>
        <v>396.51543480131897</v>
      </c>
      <c r="V15" s="145">
        <f t="shared" si="5"/>
        <v>3.6660313204887731</v>
      </c>
      <c r="W15" s="145">
        <f t="shared" si="6"/>
        <v>67.5192486218792</v>
      </c>
      <c r="X15" s="145">
        <f t="shared" si="7"/>
        <v>30.379808175405465</v>
      </c>
      <c r="Y15" s="145">
        <f t="shared" si="8"/>
        <v>134.24461907089659</v>
      </c>
      <c r="Z15" s="145">
        <f t="shared" si="9"/>
        <v>151.67302730206492</v>
      </c>
      <c r="AA15" s="145">
        <f t="shared" si="10"/>
        <v>232.14367586818125</v>
      </c>
      <c r="AB15" s="145">
        <f t="shared" si="11"/>
        <v>151.67302730206492</v>
      </c>
      <c r="AC15" s="145">
        <f t="shared" si="12"/>
        <v>383.81670317024617</v>
      </c>
      <c r="AD15" s="145">
        <f t="shared" si="13"/>
        <v>396.51543480131897</v>
      </c>
      <c r="AE15" s="145">
        <f t="shared" si="14"/>
        <v>9.6797418078457458</v>
      </c>
      <c r="AF15" s="631">
        <f>AE15-[68]NPDCL_Output!$AF14</f>
        <v>0</v>
      </c>
    </row>
    <row r="16" spans="1:32" x14ac:dyDescent="0.25">
      <c r="C16" s="630" t="s">
        <v>791</v>
      </c>
      <c r="D16" s="630" t="s">
        <v>792</v>
      </c>
      <c r="E16" s="145">
        <f>[68]NPDCL_Output!$H15</f>
        <v>15.329079240045793</v>
      </c>
      <c r="F16" s="145">
        <f>'[68]NPDCL_Cost Alloc_Factors'!$V17</f>
        <v>23.554773058814572</v>
      </c>
      <c r="G16" s="145">
        <f t="shared" si="0"/>
        <v>542.32034705415424</v>
      </c>
      <c r="H16" s="145">
        <f>[68]NPDCL_Output!$I15</f>
        <v>34.038713143859447</v>
      </c>
      <c r="I16" s="145">
        <f>'[68]NPDCL_Cost Alloc_Factors'!$H17</f>
        <v>90.021981050319653</v>
      </c>
      <c r="J16" s="145">
        <f t="shared" si="1"/>
        <v>3.7811557518194139</v>
      </c>
      <c r="K16" s="145">
        <f>[68]NPDCL_Output!$K15*[68]NPDCL_Switch_Selection!$I$46</f>
        <v>3.6417449058136007</v>
      </c>
      <c r="L16" s="145">
        <f>'[68]NPDCL_Cost Alloc_Factors'!$V17</f>
        <v>23.554773058814572</v>
      </c>
      <c r="M16" s="145">
        <f t="shared" si="2"/>
        <v>128.83959501259844</v>
      </c>
      <c r="N16" s="145">
        <f>[68]NPDCL_Output!$K15*[68]NPDCL_Switch_Selection!$I$45</f>
        <v>3.2554658351731707</v>
      </c>
      <c r="O16" s="145">
        <f>'[68]NPDCL_Cost Alloc_Factors'!$V17</f>
        <v>23.554773058814572</v>
      </c>
      <c r="P16" s="145">
        <f t="shared" si="3"/>
        <v>115.17360787997217</v>
      </c>
      <c r="Q16" s="145">
        <f>[68]NPDCL_Output!$N15</f>
        <v>30.477922152420167</v>
      </c>
      <c r="R16" s="145">
        <f>'[68]NPDCL_Cost Alloc_Factors'!$V17</f>
        <v>23.554773058814572</v>
      </c>
      <c r="S16" s="145">
        <f t="shared" si="4"/>
        <v>1078.2641971091164</v>
      </c>
      <c r="T16" s="145">
        <f>[68]NPDCL_Output!$R15</f>
        <v>0.39602808247550231</v>
      </c>
      <c r="U16" s="145">
        <f>[68]NPDCL_Inp_Category!$H15</f>
        <v>90.021981050319653</v>
      </c>
      <c r="V16" s="145">
        <f t="shared" si="5"/>
        <v>3.6660313204887722</v>
      </c>
      <c r="W16" s="145">
        <f t="shared" si="6"/>
        <v>15.329079240045793</v>
      </c>
      <c r="X16" s="145">
        <f t="shared" si="7"/>
        <v>6.8972107409867718</v>
      </c>
      <c r="Y16" s="145">
        <f t="shared" si="8"/>
        <v>30.477922152420167</v>
      </c>
      <c r="Z16" s="145">
        <f t="shared" si="9"/>
        <v>34.43474122633495</v>
      </c>
      <c r="AA16" s="145">
        <f t="shared" si="10"/>
        <v>52.704212133452728</v>
      </c>
      <c r="AB16" s="145">
        <f t="shared" si="11"/>
        <v>34.43474122633495</v>
      </c>
      <c r="AC16" s="145">
        <f t="shared" si="12"/>
        <v>87.138953359787678</v>
      </c>
      <c r="AD16" s="145">
        <f t="shared" si="13"/>
        <v>90.021981050319653</v>
      </c>
      <c r="AE16" s="145">
        <f t="shared" si="14"/>
        <v>9.6797418078457476</v>
      </c>
      <c r="AF16" s="631">
        <f>AE16-[68]NPDCL_Output!$AF15</f>
        <v>0</v>
      </c>
    </row>
    <row r="17" spans="3:32" x14ac:dyDescent="0.25">
      <c r="C17" s="630" t="s">
        <v>793</v>
      </c>
      <c r="D17" s="630" t="s">
        <v>794</v>
      </c>
      <c r="E17" s="145">
        <f>[68]NPDCL_Output!$H16</f>
        <v>3.0801303052134205E-2</v>
      </c>
      <c r="F17" s="145">
        <f>'[68]NPDCL_Cost Alloc_Factors'!$V18</f>
        <v>4.5377449273082106E-2</v>
      </c>
      <c r="G17" s="145">
        <f t="shared" si="0"/>
        <v>565.6499639055578</v>
      </c>
      <c r="H17" s="145">
        <f>[68]NPDCL_Output!$I16</f>
        <v>6.6489047552519859E-2</v>
      </c>
      <c r="I17" s="145">
        <f>'[68]NPDCL_Cost Alloc_Factors'!$H18</f>
        <v>0.17605145250000001</v>
      </c>
      <c r="J17" s="145">
        <f t="shared" si="1"/>
        <v>3.7766827031728045</v>
      </c>
      <c r="K17" s="145">
        <f>[68]NPDCL_Output!$K16*[68]NPDCL_Switch_Selection!$I$46</f>
        <v>7.0156946244583534E-3</v>
      </c>
      <c r="L17" s="145">
        <f>'[68]NPDCL_Cost Alloc_Factors'!$V18</f>
        <v>4.5377449273082106E-2</v>
      </c>
      <c r="M17" s="145">
        <f t="shared" si="2"/>
        <v>128.83959501259844</v>
      </c>
      <c r="N17" s="145">
        <f>[68]NPDCL_Output!$K16*[68]NPDCL_Switch_Selection!$I$45</f>
        <v>6.2715414590055439E-3</v>
      </c>
      <c r="O17" s="145">
        <f>'[68]NPDCL_Cost Alloc_Factors'!$V18</f>
        <v>4.5377449273082106E-2</v>
      </c>
      <c r="P17" s="145">
        <f t="shared" si="3"/>
        <v>115.17360787997217</v>
      </c>
      <c r="Q17" s="145">
        <f>[68]NPDCL_Output!$N16</f>
        <v>5.8714654688759436E-2</v>
      </c>
      <c r="R17" s="145">
        <f>'[68]NPDCL_Cost Alloc_Factors'!$V18</f>
        <v>4.5377449273082106E-2</v>
      </c>
      <c r="S17" s="145">
        <f t="shared" si="4"/>
        <v>1078.2641971091164</v>
      </c>
      <c r="T17" s="145">
        <f>[68]NPDCL_Output!$R16</f>
        <v>7.7449216665904973E-4</v>
      </c>
      <c r="U17" s="145">
        <f>[68]NPDCL_Inp_Category!$H16</f>
        <v>0.17605145250000001</v>
      </c>
      <c r="V17" s="145">
        <f t="shared" si="5"/>
        <v>3.6660313204887722</v>
      </c>
      <c r="W17" s="145">
        <f t="shared" si="6"/>
        <v>3.0801303052134205E-2</v>
      </c>
      <c r="X17" s="145">
        <f t="shared" si="7"/>
        <v>1.3287236083463896E-2</v>
      </c>
      <c r="Y17" s="145">
        <f t="shared" si="8"/>
        <v>5.8714654688759436E-2</v>
      </c>
      <c r="Z17" s="145">
        <f t="shared" si="9"/>
        <v>6.7263539719178908E-2</v>
      </c>
      <c r="AA17" s="145">
        <f t="shared" si="10"/>
        <v>0.10280319382435754</v>
      </c>
      <c r="AB17" s="145">
        <f t="shared" si="11"/>
        <v>6.7263539719178908E-2</v>
      </c>
      <c r="AC17" s="145">
        <f t="shared" si="12"/>
        <v>0.17006673354353646</v>
      </c>
      <c r="AD17" s="145">
        <f t="shared" si="13"/>
        <v>0.17605145250000001</v>
      </c>
      <c r="AE17" s="145">
        <f t="shared" si="14"/>
        <v>9.660058529965065</v>
      </c>
      <c r="AF17" s="631">
        <f>AE17-[68]NPDCL_Output!$AF16</f>
        <v>0</v>
      </c>
    </row>
    <row r="18" spans="3:32" hidden="1" x14ac:dyDescent="0.25">
      <c r="C18" s="630" t="s">
        <v>795</v>
      </c>
      <c r="D18" s="630" t="s">
        <v>796</v>
      </c>
      <c r="E18" s="145">
        <f>[68]NPDCL_Output!$H17</f>
        <v>0</v>
      </c>
      <c r="F18" s="145">
        <f>'[68]NPDCL_Cost Alloc_Factors'!$V19</f>
        <v>0</v>
      </c>
      <c r="G18" s="145">
        <f t="shared" si="0"/>
        <v>0</v>
      </c>
      <c r="H18" s="145">
        <f>[68]NPDCL_Output!$I17</f>
        <v>0</v>
      </c>
      <c r="I18" s="145">
        <f>'[68]NPDCL_Cost Alloc_Factors'!$H19</f>
        <v>0</v>
      </c>
      <c r="J18" s="145">
        <f t="shared" si="1"/>
        <v>0</v>
      </c>
      <c r="K18" s="145">
        <f>[68]NPDCL_Output!$K17*[68]NPDCL_Switch_Selection!$I$46</f>
        <v>0</v>
      </c>
      <c r="L18" s="145">
        <f>'[68]NPDCL_Cost Alloc_Factors'!$V19</f>
        <v>0</v>
      </c>
      <c r="M18" s="145">
        <f t="shared" si="2"/>
        <v>0</v>
      </c>
      <c r="N18" s="145">
        <f>[68]NPDCL_Output!$K17*[68]NPDCL_Switch_Selection!$I$45</f>
        <v>0</v>
      </c>
      <c r="O18" s="145">
        <f>'[68]NPDCL_Cost Alloc_Factors'!$V19</f>
        <v>0</v>
      </c>
      <c r="P18" s="145">
        <f t="shared" si="3"/>
        <v>0</v>
      </c>
      <c r="Q18" s="145">
        <f>[68]NPDCL_Output!$N17</f>
        <v>0</v>
      </c>
      <c r="R18" s="632">
        <f>'[68]NPDCL_Cost Alloc_Factors'!$V19</f>
        <v>0</v>
      </c>
      <c r="S18" s="145">
        <f t="shared" si="4"/>
        <v>0</v>
      </c>
      <c r="T18" s="632">
        <f>[68]NPDCL_Output!$R17</f>
        <v>0</v>
      </c>
      <c r="U18" s="632">
        <f>[68]NPDCL_Inp_Category!$H17</f>
        <v>0</v>
      </c>
      <c r="V18" s="145">
        <f t="shared" si="5"/>
        <v>0</v>
      </c>
      <c r="W18" s="145">
        <f t="shared" si="6"/>
        <v>0</v>
      </c>
      <c r="X18" s="145">
        <f t="shared" si="7"/>
        <v>0</v>
      </c>
      <c r="Y18" s="145">
        <f t="shared" si="8"/>
        <v>0</v>
      </c>
      <c r="Z18" s="145">
        <f t="shared" si="9"/>
        <v>0</v>
      </c>
      <c r="AA18" s="145">
        <f t="shared" si="10"/>
        <v>0</v>
      </c>
      <c r="AB18" s="145">
        <f t="shared" si="11"/>
        <v>0</v>
      </c>
      <c r="AC18" s="145">
        <f t="shared" si="12"/>
        <v>0</v>
      </c>
      <c r="AD18" s="145">
        <f t="shared" si="13"/>
        <v>0</v>
      </c>
      <c r="AE18" s="145">
        <f t="shared" si="14"/>
        <v>0</v>
      </c>
      <c r="AF18" s="631">
        <f>AE18-[68]NPDCL_Output!$AF17</f>
        <v>0</v>
      </c>
    </row>
    <row r="19" spans="3:32" hidden="1" x14ac:dyDescent="0.25">
      <c r="C19" s="630" t="s">
        <v>797</v>
      </c>
      <c r="D19" s="633" t="s">
        <v>798</v>
      </c>
      <c r="E19" s="145">
        <f>[68]NPDCL_Output!$H18</f>
        <v>0</v>
      </c>
      <c r="F19" s="145">
        <f>'[68]NPDCL_Cost Alloc_Factors'!$V20</f>
        <v>0</v>
      </c>
      <c r="G19" s="145">
        <f t="shared" si="0"/>
        <v>0</v>
      </c>
      <c r="H19" s="145">
        <f>[68]NPDCL_Output!$I18</f>
        <v>0</v>
      </c>
      <c r="I19" s="145">
        <f>'[68]NPDCL_Cost Alloc_Factors'!$H20</f>
        <v>0</v>
      </c>
      <c r="J19" s="145">
        <f t="shared" si="1"/>
        <v>0</v>
      </c>
      <c r="K19" s="145">
        <f>[68]NPDCL_Output!$K18*[68]NPDCL_Switch_Selection!$I$46</f>
        <v>0</v>
      </c>
      <c r="L19" s="145">
        <f>'[68]NPDCL_Cost Alloc_Factors'!$V20</f>
        <v>0</v>
      </c>
      <c r="M19" s="145">
        <f t="shared" si="2"/>
        <v>0</v>
      </c>
      <c r="N19" s="145">
        <f>[68]NPDCL_Output!$K18*[68]NPDCL_Switch_Selection!$I$45</f>
        <v>0</v>
      </c>
      <c r="O19" s="145">
        <f>'[68]NPDCL_Cost Alloc_Factors'!$V20</f>
        <v>0</v>
      </c>
      <c r="P19" s="145">
        <f t="shared" si="3"/>
        <v>0</v>
      </c>
      <c r="Q19" s="145">
        <f>[68]NPDCL_Output!$N18</f>
        <v>0</v>
      </c>
      <c r="R19" s="632">
        <f>'[68]NPDCL_Cost Alloc_Factors'!$V20</f>
        <v>0</v>
      </c>
      <c r="S19" s="145">
        <f t="shared" si="4"/>
        <v>0</v>
      </c>
      <c r="T19" s="632">
        <f>[68]NPDCL_Output!$R18</f>
        <v>0</v>
      </c>
      <c r="U19" s="632">
        <f>[68]NPDCL_Inp_Category!$H18</f>
        <v>0</v>
      </c>
      <c r="V19" s="145">
        <f t="shared" si="5"/>
        <v>0</v>
      </c>
      <c r="W19" s="145">
        <f t="shared" si="6"/>
        <v>0</v>
      </c>
      <c r="X19" s="145">
        <f t="shared" si="7"/>
        <v>0</v>
      </c>
      <c r="Y19" s="145">
        <f t="shared" si="8"/>
        <v>0</v>
      </c>
      <c r="Z19" s="145">
        <f t="shared" si="9"/>
        <v>0</v>
      </c>
      <c r="AA19" s="145">
        <f t="shared" si="10"/>
        <v>0</v>
      </c>
      <c r="AB19" s="145">
        <f t="shared" si="11"/>
        <v>0</v>
      </c>
      <c r="AC19" s="145">
        <f t="shared" si="12"/>
        <v>0</v>
      </c>
      <c r="AD19" s="145">
        <f t="shared" si="13"/>
        <v>0</v>
      </c>
      <c r="AE19" s="145">
        <f t="shared" si="14"/>
        <v>0</v>
      </c>
      <c r="AF19" s="631">
        <f>AE19-[68]NPDCL_Output!$AF18</f>
        <v>0</v>
      </c>
    </row>
    <row r="20" spans="3:32" x14ac:dyDescent="0.25">
      <c r="C20" s="881" t="s">
        <v>799</v>
      </c>
      <c r="D20" s="882"/>
      <c r="E20" s="579"/>
      <c r="F20" s="579"/>
      <c r="G20" s="579"/>
      <c r="H20" s="579"/>
      <c r="I20" s="579"/>
      <c r="J20" s="579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81"/>
      <c r="AE20" s="579"/>
      <c r="AF20" s="631"/>
    </row>
    <row r="21" spans="3:32" x14ac:dyDescent="0.25">
      <c r="C21" s="630"/>
      <c r="D21" s="634" t="s">
        <v>800</v>
      </c>
      <c r="E21" s="579"/>
      <c r="F21" s="579"/>
      <c r="G21" s="579"/>
      <c r="H21" s="579"/>
      <c r="I21" s="579"/>
      <c r="J21" s="579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631"/>
    </row>
    <row r="22" spans="3:32" x14ac:dyDescent="0.25">
      <c r="C22" s="630" t="s">
        <v>801</v>
      </c>
      <c r="D22" s="635" t="s">
        <v>802</v>
      </c>
      <c r="E22" s="145">
        <f>[68]NPDCL_Output!$H23</f>
        <v>222.3996148125577</v>
      </c>
      <c r="F22" s="145">
        <f>'[68]NPDCL_Cost Alloc_Factors'!$V25</f>
        <v>169.46345697457508</v>
      </c>
      <c r="G22" s="145">
        <f t="shared" ref="G22:G31" si="15">IFERROR((E22*10^7)/((F22*10^3))/12,0)</f>
        <v>1093.6458847974754</v>
      </c>
      <c r="H22" s="145">
        <f>[68]NPDCL_Output!$I23</f>
        <v>441.77508634554948</v>
      </c>
      <c r="I22" s="145">
        <f>[68]NPDCL_Inp_Category!$H23</f>
        <v>1211.3663986092286</v>
      </c>
      <c r="J22" s="145">
        <f t="shared" ref="J22:J31" si="16">IFERROR((H22*10^7)/((I22*10^3))/12,0)</f>
        <v>303.90962281158426</v>
      </c>
      <c r="K22" s="145">
        <f>[68]NPDCL_Output!$K23*[68]NPDCL_Switch_Selection!$I$46</f>
        <v>23.219235332328388</v>
      </c>
      <c r="L22" s="145">
        <f>'[68]NPDCL_Cost Alloc_Factors'!$V25</f>
        <v>169.46345697457508</v>
      </c>
      <c r="M22" s="145">
        <f t="shared" ref="M22:M31" si="17">IFERROR((K22*10^7)/((L22*10^3))/12,0)</f>
        <v>114.180149056226</v>
      </c>
      <c r="N22" s="145">
        <f>[68]NPDCL_Output!$K23*[68]NPDCL_Switch_Selection!$I$45</f>
        <v>20.75637621475671</v>
      </c>
      <c r="O22" s="145">
        <f>'[68]NPDCL_Cost Alloc_Factors'!$V25</f>
        <v>169.46345697457508</v>
      </c>
      <c r="P22" s="145">
        <f t="shared" ref="P22:P31" si="18">IFERROR((N22*10^7)/((O22*10^3))/12,0)</f>
        <v>102.06908608951026</v>
      </c>
      <c r="Q22" s="145">
        <f>[68]NPDCL_Output!$N23</f>
        <v>27.779363946952426</v>
      </c>
      <c r="R22" s="145">
        <f>'[68]NPDCL_Cost Alloc_Factors'!$V25</f>
        <v>169.46345697457508</v>
      </c>
      <c r="S22" s="145">
        <f t="shared" ref="S22:S31" si="19">IFERROR((Q22*10^7)/((R22*10^3))/12,0)</f>
        <v>136.60449496947797</v>
      </c>
      <c r="T22" s="145">
        <f>[68]NPDCL_Output!$R23</f>
        <v>5.3290885894669433</v>
      </c>
      <c r="U22" s="145">
        <f>[68]NPDCL_Inp_Category!$H23</f>
        <v>1211.3663986092286</v>
      </c>
      <c r="V22" s="145">
        <f t="shared" ref="V22:V31" si="20">IFERROR((T22*10^7)/((U22*10^3))/12,0)</f>
        <v>3.6660313204887731</v>
      </c>
      <c r="W22" s="145">
        <f t="shared" ref="W22:W31" si="21">E22</f>
        <v>222.3996148125577</v>
      </c>
      <c r="X22" s="145">
        <f t="shared" ref="X22:X31" si="22">K22+N22</f>
        <v>43.975611547085094</v>
      </c>
      <c r="Y22" s="145">
        <f t="shared" ref="Y22:Y31" si="23">Q22</f>
        <v>27.779363946952426</v>
      </c>
      <c r="Z22" s="145">
        <f t="shared" ref="Z22:Z31" si="24">H22+T22</f>
        <v>447.10417493501643</v>
      </c>
      <c r="AA22" s="145">
        <f t="shared" ref="AA22:AA31" si="25">SUM(W22:Y22)</f>
        <v>294.1545903065952</v>
      </c>
      <c r="AB22" s="145">
        <f t="shared" ref="AB22:AB31" si="26">Z22</f>
        <v>447.10417493501643</v>
      </c>
      <c r="AC22" s="145">
        <f t="shared" ref="AC22:AC31" si="27">AA22+AB22</f>
        <v>741.25876524161163</v>
      </c>
      <c r="AD22" s="145">
        <f t="shared" ref="AD22:AD31" si="28">U22</f>
        <v>1211.3663986092286</v>
      </c>
      <c r="AE22" s="145">
        <f t="shared" ref="AE22:AE31" si="29">IFERROR(AC22/AD22*10,0)</f>
        <v>6.1191953656024456</v>
      </c>
      <c r="AF22" s="631">
        <f>AE22-[68]NPDCL_Output!$AF23</f>
        <v>0</v>
      </c>
    </row>
    <row r="23" spans="3:32" x14ac:dyDescent="0.25">
      <c r="C23" s="630" t="s">
        <v>803</v>
      </c>
      <c r="D23" s="635" t="s">
        <v>804</v>
      </c>
      <c r="E23" s="145">
        <f>[68]NPDCL_Output!$H24</f>
        <v>0</v>
      </c>
      <c r="F23" s="145">
        <f>'[68]NPDCL_Cost Alloc_Factors'!$V26</f>
        <v>0</v>
      </c>
      <c r="G23" s="145">
        <f t="shared" si="15"/>
        <v>0</v>
      </c>
      <c r="H23" s="145">
        <f>[68]NPDCL_Output!$I24</f>
        <v>0</v>
      </c>
      <c r="I23" s="145">
        <f>[68]NPDCL_Inp_Category!$H24</f>
        <v>0</v>
      </c>
      <c r="J23" s="145">
        <f t="shared" si="16"/>
        <v>0</v>
      </c>
      <c r="K23" s="145">
        <f>[68]NPDCL_Output!$K24*[68]NPDCL_Switch_Selection!$I$46</f>
        <v>0</v>
      </c>
      <c r="L23" s="145">
        <f>'[68]NPDCL_Cost Alloc_Factors'!$V26</f>
        <v>0</v>
      </c>
      <c r="M23" s="145">
        <f t="shared" si="17"/>
        <v>0</v>
      </c>
      <c r="N23" s="145">
        <f>[68]NPDCL_Output!$K24*[68]NPDCL_Switch_Selection!$I$45</f>
        <v>0</v>
      </c>
      <c r="O23" s="145">
        <f>'[68]NPDCL_Cost Alloc_Factors'!$V26</f>
        <v>0</v>
      </c>
      <c r="P23" s="145">
        <f t="shared" si="18"/>
        <v>0</v>
      </c>
      <c r="Q23" s="145">
        <f>[68]NPDCL_Output!$N24</f>
        <v>0</v>
      </c>
      <c r="R23" s="145">
        <f>'[68]NPDCL_Cost Alloc_Factors'!$V26</f>
        <v>0</v>
      </c>
      <c r="S23" s="145">
        <f t="shared" si="19"/>
        <v>0</v>
      </c>
      <c r="T23" s="145">
        <f>[68]NPDCL_Output!$R24</f>
        <v>0</v>
      </c>
      <c r="U23" s="145">
        <f>[68]NPDCL_Inp_Category!$H24</f>
        <v>0</v>
      </c>
      <c r="V23" s="145">
        <f t="shared" si="20"/>
        <v>0</v>
      </c>
      <c r="W23" s="145">
        <f t="shared" si="21"/>
        <v>0</v>
      </c>
      <c r="X23" s="145">
        <f t="shared" si="22"/>
        <v>0</v>
      </c>
      <c r="Y23" s="145">
        <f t="shared" si="23"/>
        <v>0</v>
      </c>
      <c r="Z23" s="145">
        <f t="shared" si="24"/>
        <v>0</v>
      </c>
      <c r="AA23" s="145">
        <f t="shared" si="25"/>
        <v>0</v>
      </c>
      <c r="AB23" s="145">
        <f t="shared" si="26"/>
        <v>0</v>
      </c>
      <c r="AC23" s="145">
        <f t="shared" si="27"/>
        <v>0</v>
      </c>
      <c r="AD23" s="145">
        <f t="shared" si="28"/>
        <v>0</v>
      </c>
      <c r="AE23" s="145">
        <f t="shared" si="29"/>
        <v>0</v>
      </c>
      <c r="AF23" s="631">
        <f>AE23-[68]NPDCL_Output!$AF24</f>
        <v>0</v>
      </c>
    </row>
    <row r="24" spans="3:32" x14ac:dyDescent="0.25">
      <c r="C24" s="630" t="s">
        <v>805</v>
      </c>
      <c r="D24" s="635" t="s">
        <v>498</v>
      </c>
      <c r="E24" s="145">
        <f>[68]NPDCL_Output!$H25</f>
        <v>44.04683231659908</v>
      </c>
      <c r="F24" s="145">
        <f>'[68]NPDCL_Cost Alloc_Factors'!$V27</f>
        <v>41.036996967783921</v>
      </c>
      <c r="G24" s="145">
        <f t="shared" si="15"/>
        <v>894.45369567324076</v>
      </c>
      <c r="H24" s="145">
        <f>[68]NPDCL_Output!$I25</f>
        <v>92.177117616192504</v>
      </c>
      <c r="I24" s="145">
        <f>[68]NPDCL_Inp_Category!$H25</f>
        <v>252.98851961016715</v>
      </c>
      <c r="J24" s="145">
        <f t="shared" si="16"/>
        <v>303.62747210238786</v>
      </c>
      <c r="K24" s="145">
        <f>[68]NPDCL_Output!$K25*[68]NPDCL_Switch_Selection!$I$46</f>
        <v>6.1358594386379393</v>
      </c>
      <c r="L24" s="145">
        <f>'[68]NPDCL_Cost Alloc_Factors'!$V27</f>
        <v>41.036996967783921</v>
      </c>
      <c r="M24" s="145">
        <f t="shared" si="17"/>
        <v>124.6001553885407</v>
      </c>
      <c r="N24" s="145">
        <f>[68]NPDCL_Output!$K25*[68]NPDCL_Switch_Selection!$I$45</f>
        <v>5.4850301952843719</v>
      </c>
      <c r="O24" s="145">
        <f>'[68]NPDCL_Cost Alloc_Factors'!$V27</f>
        <v>41.036996967783921</v>
      </c>
      <c r="P24" s="145">
        <f t="shared" si="18"/>
        <v>111.3838446721299</v>
      </c>
      <c r="Q24" s="145">
        <f>[68]NPDCL_Output!$N25</f>
        <v>6.7270058950177463</v>
      </c>
      <c r="R24" s="145">
        <f>'[68]NPDCL_Cost Alloc_Factors'!$V27</f>
        <v>41.036996967783921</v>
      </c>
      <c r="S24" s="145">
        <f t="shared" si="19"/>
        <v>136.604494969478</v>
      </c>
      <c r="T24" s="145">
        <f>[68]NPDCL_Output!$R25</f>
        <v>1.112956603937953</v>
      </c>
      <c r="U24" s="145">
        <f>[68]NPDCL_Inp_Category!$H25</f>
        <v>252.98851961016715</v>
      </c>
      <c r="V24" s="145">
        <f t="shared" si="20"/>
        <v>3.6660313204887731</v>
      </c>
      <c r="W24" s="145">
        <f t="shared" si="21"/>
        <v>44.04683231659908</v>
      </c>
      <c r="X24" s="145">
        <f t="shared" si="22"/>
        <v>11.62088963392231</v>
      </c>
      <c r="Y24" s="145">
        <f t="shared" si="23"/>
        <v>6.7270058950177463</v>
      </c>
      <c r="Z24" s="145">
        <f t="shared" si="24"/>
        <v>93.290074220130464</v>
      </c>
      <c r="AA24" s="145">
        <f t="shared" si="25"/>
        <v>62.394727845539137</v>
      </c>
      <c r="AB24" s="145">
        <f t="shared" si="26"/>
        <v>93.290074220130464</v>
      </c>
      <c r="AC24" s="145">
        <f t="shared" si="27"/>
        <v>155.6848020656696</v>
      </c>
      <c r="AD24" s="145">
        <f t="shared" si="28"/>
        <v>252.98851961016715</v>
      </c>
      <c r="AE24" s="145">
        <f t="shared" si="29"/>
        <v>6.1538287312628279</v>
      </c>
      <c r="AF24" s="631">
        <f>AE24-[68]NPDCL_Output!$AF25</f>
        <v>0</v>
      </c>
    </row>
    <row r="25" spans="3:32" x14ac:dyDescent="0.25">
      <c r="C25" s="630" t="s">
        <v>806</v>
      </c>
      <c r="D25" s="635" t="s">
        <v>807</v>
      </c>
      <c r="E25" s="145">
        <f>[68]NPDCL_Output!$H26</f>
        <v>1.5424604034324674</v>
      </c>
      <c r="F25" s="145">
        <f>'[68]NPDCL_Cost Alloc_Factors'!$V28</f>
        <v>1.4640515083713543</v>
      </c>
      <c r="G25" s="145">
        <f t="shared" si="15"/>
        <v>877.96342012375464</v>
      </c>
      <c r="H25" s="145">
        <f>[68]NPDCL_Output!$I26</f>
        <v>3.1350781568988801</v>
      </c>
      <c r="I25" s="145">
        <f>[68]NPDCL_Inp_Category!$H26</f>
        <v>8.6112217104417237</v>
      </c>
      <c r="J25" s="145">
        <f t="shared" si="16"/>
        <v>303.39076365681586</v>
      </c>
      <c r="K25" s="145">
        <f>[68]NPDCL_Output!$K26*[68]NPDCL_Switch_Selection!$I$46</f>
        <v>0.11774667148423187</v>
      </c>
      <c r="L25" s="145">
        <f>'[68]NPDCL_Cost Alloc_Factors'!$V28</f>
        <v>1.4640515083713543</v>
      </c>
      <c r="M25" s="145">
        <f t="shared" si="17"/>
        <v>67.021020555494928</v>
      </c>
      <c r="N25" s="145">
        <f>[68]NPDCL_Output!$K26*[68]NPDCL_Switch_Selection!$I$45</f>
        <v>0.10525730827833435</v>
      </c>
      <c r="O25" s="145">
        <f>'[68]NPDCL_Cost Alloc_Factors'!$V28</f>
        <v>1.4640515083713543</v>
      </c>
      <c r="P25" s="145">
        <f t="shared" si="18"/>
        <v>59.912115840004994</v>
      </c>
      <c r="Q25" s="145">
        <f>[68]NPDCL_Output!$N26</f>
        <v>0.2399952202924456</v>
      </c>
      <c r="R25" s="145">
        <f>'[68]NPDCL_Cost Alloc_Factors'!$V28</f>
        <v>1.4640515083713543</v>
      </c>
      <c r="S25" s="145">
        <f t="shared" si="19"/>
        <v>136.60449496947797</v>
      </c>
      <c r="T25" s="145">
        <f>[68]NPDCL_Output!$R26</f>
        <v>3.788281019778271E-2</v>
      </c>
      <c r="U25" s="145">
        <f>[68]NPDCL_Inp_Category!$H26</f>
        <v>8.6112217104417237</v>
      </c>
      <c r="V25" s="145">
        <f t="shared" si="20"/>
        <v>3.6660313204887722</v>
      </c>
      <c r="W25" s="145">
        <f t="shared" si="21"/>
        <v>1.5424604034324674</v>
      </c>
      <c r="X25" s="145">
        <f t="shared" si="22"/>
        <v>0.22300397976256622</v>
      </c>
      <c r="Y25" s="145">
        <f t="shared" si="23"/>
        <v>0.2399952202924456</v>
      </c>
      <c r="Z25" s="145">
        <f t="shared" si="24"/>
        <v>3.172960967096663</v>
      </c>
      <c r="AA25" s="145">
        <f t="shared" si="25"/>
        <v>2.0054596034874792</v>
      </c>
      <c r="AB25" s="145">
        <f t="shared" si="26"/>
        <v>3.172960967096663</v>
      </c>
      <c r="AC25" s="145">
        <f t="shared" si="27"/>
        <v>5.1784205705841426</v>
      </c>
      <c r="AD25" s="145">
        <f t="shared" si="28"/>
        <v>8.6112217104417237</v>
      </c>
      <c r="AE25" s="145">
        <f t="shared" si="29"/>
        <v>6.0135724577906711</v>
      </c>
      <c r="AF25" s="631">
        <f>AE25-[68]NPDCL_Output!$AF26</f>
        <v>0</v>
      </c>
    </row>
    <row r="26" spans="3:32" x14ac:dyDescent="0.25">
      <c r="C26" s="630" t="s">
        <v>808</v>
      </c>
      <c r="D26" s="635" t="s">
        <v>809</v>
      </c>
      <c r="E26" s="145">
        <f>[68]NPDCL_Output!$H27</f>
        <v>36.469304859731366</v>
      </c>
      <c r="F26" s="145">
        <f>'[68]NPDCL_Cost Alloc_Factors'!$V29</f>
        <v>27.545149675047131</v>
      </c>
      <c r="G26" s="145">
        <f t="shared" si="15"/>
        <v>1103.3190141145049</v>
      </c>
      <c r="H26" s="145">
        <f>[68]NPDCL_Output!$I27</f>
        <v>69.450215371876283</v>
      </c>
      <c r="I26" s="145">
        <f>[68]NPDCL_Inp_Category!$H27</f>
        <v>190.27305724476437</v>
      </c>
      <c r="J26" s="145">
        <f t="shared" si="16"/>
        <v>304.16907319733565</v>
      </c>
      <c r="K26" s="145">
        <f>[68]NPDCL_Output!$K27*[68]NPDCL_Switch_Selection!$I$46</f>
        <v>1.4698660129477901</v>
      </c>
      <c r="L26" s="145">
        <f>'[68]NPDCL_Cost Alloc_Factors'!$V29</f>
        <v>27.545149675047131</v>
      </c>
      <c r="M26" s="145">
        <f t="shared" si="17"/>
        <v>44.468385852801241</v>
      </c>
      <c r="N26" s="145">
        <f>[68]NPDCL_Output!$K27*[68]NPDCL_Switch_Selection!$I$45</f>
        <v>1.3139576524964476</v>
      </c>
      <c r="O26" s="145">
        <f>'[68]NPDCL_Cost Alloc_Factors'!$V29</f>
        <v>27.545149675047131</v>
      </c>
      <c r="P26" s="145">
        <f t="shared" si="18"/>
        <v>39.751634074641593</v>
      </c>
      <c r="Q26" s="145">
        <f>[68]NPDCL_Output!$N27</f>
        <v>4.5153495122621932</v>
      </c>
      <c r="R26" s="145">
        <f>'[68]NPDCL_Cost Alloc_Factors'!$V29</f>
        <v>27.545149675047131</v>
      </c>
      <c r="S26" s="145">
        <f t="shared" si="19"/>
        <v>136.604494969478</v>
      </c>
      <c r="T26" s="145">
        <f>[68]NPDCL_Output!$R27</f>
        <v>0.83705638476535127</v>
      </c>
      <c r="U26" s="145">
        <f>[68]NPDCL_Inp_Category!$H27</f>
        <v>190.27305724476437</v>
      </c>
      <c r="V26" s="145">
        <f t="shared" si="20"/>
        <v>3.6660313204887731</v>
      </c>
      <c r="W26" s="145">
        <f t="shared" si="21"/>
        <v>36.469304859731366</v>
      </c>
      <c r="X26" s="145">
        <f t="shared" si="22"/>
        <v>2.7838236654442374</v>
      </c>
      <c r="Y26" s="145">
        <f t="shared" si="23"/>
        <v>4.5153495122621932</v>
      </c>
      <c r="Z26" s="145">
        <f t="shared" si="24"/>
        <v>70.28727175664163</v>
      </c>
      <c r="AA26" s="145">
        <f t="shared" si="25"/>
        <v>43.768478037437795</v>
      </c>
      <c r="AB26" s="145">
        <f t="shared" si="26"/>
        <v>70.28727175664163</v>
      </c>
      <c r="AC26" s="145">
        <f t="shared" si="27"/>
        <v>114.05574979407942</v>
      </c>
      <c r="AD26" s="145">
        <f t="shared" si="28"/>
        <v>190.27305724476437</v>
      </c>
      <c r="AE26" s="145">
        <f t="shared" si="29"/>
        <v>5.994319503016122</v>
      </c>
      <c r="AF26" s="631">
        <f>AE26-[68]NPDCL_Output!$AF27</f>
        <v>0</v>
      </c>
    </row>
    <row r="27" spans="3:32" x14ac:dyDescent="0.25">
      <c r="C27" s="630" t="s">
        <v>810</v>
      </c>
      <c r="D27" s="635" t="s">
        <v>811</v>
      </c>
      <c r="E27" s="145">
        <f>[68]NPDCL_Output!$H28</f>
        <v>1.9771219759110312</v>
      </c>
      <c r="F27" s="145">
        <f>'[68]NPDCL_Cost Alloc_Factors'!$V30</f>
        <v>1.9269541871666329</v>
      </c>
      <c r="G27" s="145">
        <f t="shared" si="15"/>
        <v>855.02896621280706</v>
      </c>
      <c r="H27" s="145">
        <f>[68]NPDCL_Output!$I28</f>
        <v>3.3724714377231462</v>
      </c>
      <c r="I27" s="145">
        <f>[68]NPDCL_Inp_Category!$H28</f>
        <v>9.2586596461890274</v>
      </c>
      <c r="J27" s="145">
        <f t="shared" si="16"/>
        <v>303.54208623772871</v>
      </c>
      <c r="K27" s="145">
        <f>[68]NPDCL_Output!$K28*[68]NPDCL_Switch_Selection!$I$46</f>
        <v>0.23397020959676693</v>
      </c>
      <c r="L27" s="145">
        <f>'[68]NPDCL_Cost Alloc_Factors'!$V30</f>
        <v>1.9269541871666329</v>
      </c>
      <c r="M27" s="145">
        <f t="shared" si="17"/>
        <v>101.18308777784762</v>
      </c>
      <c r="N27" s="145">
        <f>[68]NPDCL_Output!$K28*[68]NPDCL_Switch_Selection!$I$45</f>
        <v>0.20915304160229573</v>
      </c>
      <c r="O27" s="145">
        <f>'[68]NPDCL_Cost Alloc_Factors'!$V30</f>
        <v>1.9269541871666329</v>
      </c>
      <c r="P27" s="145">
        <f t="shared" si="18"/>
        <v>90.450620204690097</v>
      </c>
      <c r="Q27" s="145">
        <f>[68]NPDCL_Output!$N28</f>
        <v>0.31587672428066266</v>
      </c>
      <c r="R27" s="145">
        <f>'[68]NPDCL_Cost Alloc_Factors'!$V30</f>
        <v>1.9269541871666329</v>
      </c>
      <c r="S27" s="145">
        <f t="shared" si="19"/>
        <v>136.604494969478</v>
      </c>
      <c r="T27" s="145">
        <f>[68]NPDCL_Output!$R28</f>
        <v>4.0731043498409364E-2</v>
      </c>
      <c r="U27" s="145">
        <f>[68]NPDCL_Inp_Category!$H28</f>
        <v>9.2586596461890274</v>
      </c>
      <c r="V27" s="145">
        <f t="shared" si="20"/>
        <v>3.6660313204887722</v>
      </c>
      <c r="W27" s="145">
        <f t="shared" si="21"/>
        <v>1.9771219759110312</v>
      </c>
      <c r="X27" s="145">
        <f t="shared" si="22"/>
        <v>0.44312325119906265</v>
      </c>
      <c r="Y27" s="145">
        <f t="shared" si="23"/>
        <v>0.31587672428066266</v>
      </c>
      <c r="Z27" s="145">
        <f t="shared" si="24"/>
        <v>3.4132024812215556</v>
      </c>
      <c r="AA27" s="145">
        <f t="shared" si="25"/>
        <v>2.7361219513907566</v>
      </c>
      <c r="AB27" s="145">
        <f t="shared" si="26"/>
        <v>3.4132024812215556</v>
      </c>
      <c r="AC27" s="145">
        <f t="shared" si="27"/>
        <v>6.1493244326123122</v>
      </c>
      <c r="AD27" s="145">
        <f t="shared" si="28"/>
        <v>9.2586596461890274</v>
      </c>
      <c r="AE27" s="145">
        <f t="shared" si="29"/>
        <v>6.6417004918670344</v>
      </c>
      <c r="AF27" s="631">
        <f>AE27-[68]NPDCL_Output!$AF28</f>
        <v>0</v>
      </c>
    </row>
    <row r="28" spans="3:32" x14ac:dyDescent="0.25">
      <c r="C28" s="630" t="s">
        <v>812</v>
      </c>
      <c r="D28" s="635" t="s">
        <v>813</v>
      </c>
      <c r="E28" s="145">
        <f>[68]NPDCL_Output!$H29</f>
        <v>2.655022706541073</v>
      </c>
      <c r="F28" s="145">
        <f>'[68]NPDCL_Cost Alloc_Factors'!$V31</f>
        <v>2.2652999702292584</v>
      </c>
      <c r="G28" s="145">
        <f t="shared" si="15"/>
        <v>976.70019476212849</v>
      </c>
      <c r="H28" s="145">
        <f>[68]NPDCL_Output!$I29</f>
        <v>5.325942641840272</v>
      </c>
      <c r="I28" s="145">
        <f>[68]NPDCL_Inp_Category!$H29</f>
        <v>14.611284000000001</v>
      </c>
      <c r="J28" s="145">
        <f t="shared" si="16"/>
        <v>303.75739290721418</v>
      </c>
      <c r="K28" s="145">
        <f>[68]NPDCL_Output!$K29*[68]NPDCL_Switch_Selection!$I$46</f>
        <v>0.40731124914793398</v>
      </c>
      <c r="L28" s="145">
        <f>'[68]NPDCL_Cost Alloc_Factors'!$V31</f>
        <v>2.2652999702292584</v>
      </c>
      <c r="M28" s="145">
        <f t="shared" si="17"/>
        <v>149.8371277170238</v>
      </c>
      <c r="N28" s="145">
        <f>[68]NPDCL_Output!$K29*[68]NPDCL_Switch_Selection!$I$45</f>
        <v>0.3641078357152443</v>
      </c>
      <c r="O28" s="145">
        <f>'[68]NPDCL_Cost Alloc_Factors'!$V31</f>
        <v>2.2652999702292584</v>
      </c>
      <c r="P28" s="145">
        <f t="shared" si="18"/>
        <v>133.94393696948774</v>
      </c>
      <c r="Q28" s="145">
        <f>[68]NPDCL_Output!$N29</f>
        <v>0.37134019006504965</v>
      </c>
      <c r="R28" s="145">
        <f>'[68]NPDCL_Cost Alloc_Factors'!$V31</f>
        <v>2.2652999702292584</v>
      </c>
      <c r="S28" s="145">
        <f t="shared" si="19"/>
        <v>136.604494969478</v>
      </c>
      <c r="T28" s="145">
        <f>[68]NPDCL_Output!$R29</f>
        <v>6.4278509731867772E-2</v>
      </c>
      <c r="U28" s="145">
        <f>[68]NPDCL_Inp_Category!$H29</f>
        <v>14.611284000000001</v>
      </c>
      <c r="V28" s="145">
        <f t="shared" si="20"/>
        <v>3.6660313204887722</v>
      </c>
      <c r="W28" s="145">
        <f t="shared" si="21"/>
        <v>2.655022706541073</v>
      </c>
      <c r="X28" s="145">
        <f t="shared" si="22"/>
        <v>0.77141908486317834</v>
      </c>
      <c r="Y28" s="145">
        <f t="shared" si="23"/>
        <v>0.37134019006504965</v>
      </c>
      <c r="Z28" s="145">
        <f t="shared" si="24"/>
        <v>5.3902211515721401</v>
      </c>
      <c r="AA28" s="145">
        <f t="shared" si="25"/>
        <v>3.7977819814693006</v>
      </c>
      <c r="AB28" s="145">
        <f t="shared" si="26"/>
        <v>5.3902211515721401</v>
      </c>
      <c r="AC28" s="145">
        <f t="shared" si="27"/>
        <v>9.1880031330414411</v>
      </c>
      <c r="AD28" s="145">
        <f t="shared" si="28"/>
        <v>14.611284000000001</v>
      </c>
      <c r="AE28" s="145">
        <f t="shared" si="29"/>
        <v>6.2882927558190236</v>
      </c>
      <c r="AF28" s="631">
        <f>AE28-[68]NPDCL_Output!$AF29</f>
        <v>0</v>
      </c>
    </row>
    <row r="29" spans="3:32" x14ac:dyDescent="0.25">
      <c r="C29" s="630" t="s">
        <v>814</v>
      </c>
      <c r="D29" s="635" t="s">
        <v>815</v>
      </c>
      <c r="E29" s="145">
        <f>[68]NPDCL_Output!$H30</f>
        <v>143.85454312926743</v>
      </c>
      <c r="F29" s="145">
        <f>'[68]NPDCL_Cost Alloc_Factors'!$V32</f>
        <v>197.27687128465564</v>
      </c>
      <c r="G29" s="145">
        <f t="shared" si="15"/>
        <v>607.66771674962422</v>
      </c>
      <c r="H29" s="145">
        <f>[68]NPDCL_Output!$I30</f>
        <v>439.25463035803818</v>
      </c>
      <c r="I29" s="145">
        <f>[68]NPDCL_Inp_Category!$H30</f>
        <v>1235.0571142844228</v>
      </c>
      <c r="J29" s="145">
        <f t="shared" si="16"/>
        <v>296.37943141637419</v>
      </c>
      <c r="K29" s="145">
        <f>[68]NPDCL_Output!$K30*[68]NPDCL_Switch_Selection!$I$46</f>
        <v>22.533912049048475</v>
      </c>
      <c r="L29" s="145">
        <f>'[68]NPDCL_Cost Alloc_Factors'!$V32</f>
        <v>197.27687128465564</v>
      </c>
      <c r="M29" s="145">
        <f t="shared" si="17"/>
        <v>95.187337058778255</v>
      </c>
      <c r="N29" s="145">
        <f>[68]NPDCL_Output!$K30*[68]NPDCL_Switch_Selection!$I$45</f>
        <v>20.143745019418212</v>
      </c>
      <c r="O29" s="145">
        <f>'[68]NPDCL_Cost Alloc_Factors'!$V32</f>
        <v>197.27687128465564</v>
      </c>
      <c r="P29" s="145">
        <f t="shared" si="18"/>
        <v>85.090837428311218</v>
      </c>
      <c r="Q29" s="145">
        <f>[68]NPDCL_Output!$N30</f>
        <v>32.338688845198917</v>
      </c>
      <c r="R29" s="145">
        <f>'[68]NPDCL_Cost Alloc_Factors'!$V32</f>
        <v>197.27687128465564</v>
      </c>
      <c r="S29" s="145">
        <f t="shared" si="19"/>
        <v>136.604494969478</v>
      </c>
      <c r="T29" s="145">
        <f>[68]NPDCL_Output!$R30</f>
        <v>5.4333096762710102</v>
      </c>
      <c r="U29" s="145">
        <f>[68]NPDCL_Inp_Category!$H30</f>
        <v>1235.0571142844228</v>
      </c>
      <c r="V29" s="145">
        <f t="shared" si="20"/>
        <v>3.6660313204887722</v>
      </c>
      <c r="W29" s="145">
        <f t="shared" si="21"/>
        <v>143.85454312926743</v>
      </c>
      <c r="X29" s="145">
        <f t="shared" si="22"/>
        <v>42.677657068466686</v>
      </c>
      <c r="Y29" s="145">
        <f t="shared" si="23"/>
        <v>32.338688845198917</v>
      </c>
      <c r="Z29" s="145">
        <f t="shared" si="24"/>
        <v>444.68794003430918</v>
      </c>
      <c r="AA29" s="145">
        <f t="shared" si="25"/>
        <v>218.87088904293302</v>
      </c>
      <c r="AB29" s="145">
        <f t="shared" si="26"/>
        <v>444.68794003430918</v>
      </c>
      <c r="AC29" s="145">
        <f t="shared" si="27"/>
        <v>663.55882907724219</v>
      </c>
      <c r="AD29" s="145">
        <f t="shared" si="28"/>
        <v>1235.0571142844228</v>
      </c>
      <c r="AE29" s="145">
        <f t="shared" si="29"/>
        <v>5.3726975165978477</v>
      </c>
      <c r="AF29" s="631">
        <f>AE29-[68]NPDCL_Output!$AF30</f>
        <v>0</v>
      </c>
    </row>
    <row r="30" spans="3:32" x14ac:dyDescent="0.25">
      <c r="C30" s="630" t="s">
        <v>816</v>
      </c>
      <c r="D30" s="635" t="s">
        <v>199</v>
      </c>
      <c r="E30" s="145">
        <f>[68]NPDCL_Output!$H31</f>
        <v>0</v>
      </c>
      <c r="F30" s="145">
        <f>'[68]NPDCL_Cost Alloc_Factors'!$V33</f>
        <v>0</v>
      </c>
      <c r="G30" s="145">
        <f t="shared" si="15"/>
        <v>0</v>
      </c>
      <c r="H30" s="145">
        <f>[68]NPDCL_Output!$I31</f>
        <v>0.11613590578807513</v>
      </c>
      <c r="I30" s="145">
        <f>[68]NPDCL_Inp_Category!$H31</f>
        <v>0.33764713200000002</v>
      </c>
      <c r="J30" s="145">
        <f t="shared" si="16"/>
        <v>286.63036738029399</v>
      </c>
      <c r="K30" s="145">
        <f>[68]NPDCL_Output!$K31*[68]NPDCL_Switch_Selection!$I$46</f>
        <v>9.8157483953797316E-3</v>
      </c>
      <c r="L30" s="145">
        <f>'[68]NPDCL_Cost Alloc_Factors'!$V33</f>
        <v>0</v>
      </c>
      <c r="M30" s="145">
        <f t="shared" si="17"/>
        <v>0</v>
      </c>
      <c r="N30" s="145">
        <f>[68]NPDCL_Output!$K31*[68]NPDCL_Switch_Selection!$I$45</f>
        <v>8.7745941504037261E-3</v>
      </c>
      <c r="O30" s="145">
        <f>'[68]NPDCL_Cost Alloc_Factors'!$V33</f>
        <v>0</v>
      </c>
      <c r="P30" s="145">
        <f t="shared" si="18"/>
        <v>0</v>
      </c>
      <c r="Q30" s="145">
        <f>[68]NPDCL_Output!$N31</f>
        <v>0</v>
      </c>
      <c r="R30" s="145">
        <f>'[68]NPDCL_Cost Alloc_Factors'!$V33</f>
        <v>0</v>
      </c>
      <c r="S30" s="145">
        <f t="shared" si="19"/>
        <v>0</v>
      </c>
      <c r="T30" s="145">
        <f>[68]NPDCL_Output!$R31</f>
        <v>1.4853899534222484E-3</v>
      </c>
      <c r="U30" s="145">
        <f>[68]NPDCL_Inp_Category!$H31</f>
        <v>0.33764713200000002</v>
      </c>
      <c r="V30" s="145">
        <f t="shared" si="20"/>
        <v>3.6660313204887731</v>
      </c>
      <c r="W30" s="145">
        <f t="shared" si="21"/>
        <v>0</v>
      </c>
      <c r="X30" s="145">
        <f t="shared" si="22"/>
        <v>1.8590342545783456E-2</v>
      </c>
      <c r="Y30" s="145">
        <f t="shared" si="23"/>
        <v>0</v>
      </c>
      <c r="Z30" s="145">
        <f t="shared" si="24"/>
        <v>0.11762129574149738</v>
      </c>
      <c r="AA30" s="145">
        <f t="shared" si="25"/>
        <v>1.8590342545783456E-2</v>
      </c>
      <c r="AB30" s="145">
        <f t="shared" si="26"/>
        <v>0.11762129574149738</v>
      </c>
      <c r="AC30" s="145">
        <f t="shared" si="27"/>
        <v>0.13621163828728083</v>
      </c>
      <c r="AD30" s="145">
        <f t="shared" si="28"/>
        <v>0.33764713200000002</v>
      </c>
      <c r="AE30" s="145">
        <f t="shared" si="29"/>
        <v>4.0341417230601806</v>
      </c>
      <c r="AF30" s="631">
        <f>AE30-[68]NPDCL_Output!$AF31</f>
        <v>0</v>
      </c>
    </row>
    <row r="31" spans="3:32" hidden="1" x14ac:dyDescent="0.25">
      <c r="C31" s="630" t="s">
        <v>817</v>
      </c>
      <c r="D31" s="635" t="s">
        <v>798</v>
      </c>
      <c r="E31" s="145">
        <f>[68]NPDCL_Output!$H32</f>
        <v>0</v>
      </c>
      <c r="F31" s="145">
        <f>'[68]NPDCL_Cost Alloc_Factors'!$V34</f>
        <v>0</v>
      </c>
      <c r="G31" s="145">
        <f t="shared" si="15"/>
        <v>0</v>
      </c>
      <c r="H31" s="145">
        <f>[68]NPDCL_Output!$I32</f>
        <v>0</v>
      </c>
      <c r="I31" s="145">
        <f>[68]NPDCL_Inp_Category!$H32</f>
        <v>0</v>
      </c>
      <c r="J31" s="145">
        <f t="shared" si="16"/>
        <v>0</v>
      </c>
      <c r="K31" s="145">
        <f>[68]NPDCL_Output!$K32*[68]NPDCL_Switch_Selection!$I$46</f>
        <v>0</v>
      </c>
      <c r="L31" s="145">
        <f>'[68]NPDCL_Cost Alloc_Factors'!$V34</f>
        <v>0</v>
      </c>
      <c r="M31" s="145">
        <f t="shared" si="17"/>
        <v>0</v>
      </c>
      <c r="N31" s="145">
        <f>[68]NPDCL_Output!$K32*[68]NPDCL_Switch_Selection!$I$45</f>
        <v>0</v>
      </c>
      <c r="O31" s="145">
        <f>'[68]NPDCL_Cost Alloc_Factors'!$V34</f>
        <v>0</v>
      </c>
      <c r="P31" s="145">
        <f t="shared" si="18"/>
        <v>0</v>
      </c>
      <c r="Q31" s="145">
        <f>[68]NPDCL_Output!$N32</f>
        <v>0</v>
      </c>
      <c r="R31" s="145">
        <f>'[68]NPDCL_Cost Alloc_Factors'!$V34</f>
        <v>0</v>
      </c>
      <c r="S31" s="145">
        <f t="shared" si="19"/>
        <v>0</v>
      </c>
      <c r="T31" s="145">
        <f>[68]NPDCL_Output!$R32</f>
        <v>0</v>
      </c>
      <c r="U31" s="145">
        <f>[68]NPDCL_Inp_Category!$H32</f>
        <v>0</v>
      </c>
      <c r="V31" s="145">
        <f t="shared" si="20"/>
        <v>0</v>
      </c>
      <c r="W31" s="145">
        <f t="shared" si="21"/>
        <v>0</v>
      </c>
      <c r="X31" s="145">
        <f t="shared" si="22"/>
        <v>0</v>
      </c>
      <c r="Y31" s="145">
        <f t="shared" si="23"/>
        <v>0</v>
      </c>
      <c r="Z31" s="145">
        <f t="shared" si="24"/>
        <v>0</v>
      </c>
      <c r="AA31" s="145">
        <f t="shared" si="25"/>
        <v>0</v>
      </c>
      <c r="AB31" s="145">
        <f t="shared" si="26"/>
        <v>0</v>
      </c>
      <c r="AC31" s="145">
        <f t="shared" si="27"/>
        <v>0</v>
      </c>
      <c r="AD31" s="145">
        <f t="shared" si="28"/>
        <v>0</v>
      </c>
      <c r="AE31" s="145">
        <f t="shared" si="29"/>
        <v>0</v>
      </c>
      <c r="AF31" s="631">
        <f>AE31-[68]NPDCL_Output!$AF32</f>
        <v>0</v>
      </c>
    </row>
    <row r="32" spans="3:32" x14ac:dyDescent="0.25">
      <c r="C32" s="630"/>
      <c r="D32" s="636" t="s">
        <v>818</v>
      </c>
      <c r="E32" s="579"/>
      <c r="F32" s="579"/>
      <c r="G32" s="579"/>
      <c r="H32" s="579"/>
      <c r="I32" s="579"/>
      <c r="J32" s="579"/>
      <c r="K32" s="579"/>
      <c r="L32" s="579"/>
      <c r="M32" s="579"/>
      <c r="N32" s="579"/>
      <c r="O32" s="579"/>
      <c r="P32" s="579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79"/>
      <c r="AD32" s="579"/>
      <c r="AE32" s="579"/>
      <c r="AF32" s="631"/>
    </row>
    <row r="33" spans="3:32" x14ac:dyDescent="0.25">
      <c r="C33" s="630" t="s">
        <v>819</v>
      </c>
      <c r="D33" s="635" t="s">
        <v>802</v>
      </c>
      <c r="E33" s="145">
        <f>[68]NPDCL_Output!$H37</f>
        <v>43.654809345489689</v>
      </c>
      <c r="F33" s="145">
        <f>'[68]NPDCL_Cost Alloc_Factors'!$V39</f>
        <v>33.058414800601469</v>
      </c>
      <c r="G33" s="145">
        <f t="shared" ref="G33:G41" si="30">IFERROR((E33*10^7)/((F33*10^3))/12,0)</f>
        <v>1100.4462254870791</v>
      </c>
      <c r="H33" s="145">
        <f>[68]NPDCL_Output!$I37</f>
        <v>79.40626281838712</v>
      </c>
      <c r="I33" s="145">
        <f>'[68]NPDCL_Cost Alloc_Factors'!$H39</f>
        <v>227.82383538265128</v>
      </c>
      <c r="J33" s="145">
        <f t="shared" ref="J33:J41" si="31">IFERROR((H33*10^7)/((I33*10^3))/12,0)</f>
        <v>290.45198704010687</v>
      </c>
      <c r="K33" s="145">
        <f>[68]NPDCL_Output!$K37*[68]NPDCL_Switch_Selection!$I$46</f>
        <v>3.0930607853130634</v>
      </c>
      <c r="L33" s="145">
        <f>'[68]NPDCL_Cost Alloc_Factors'!$V39</f>
        <v>33.058414800601469</v>
      </c>
      <c r="M33" s="145">
        <f t="shared" ref="M33:M41" si="32">IFERROR((K33*10^7)/((L33*10^3))/12,0)</f>
        <v>77.969578093038407</v>
      </c>
      <c r="N33" s="145">
        <f>[68]NPDCL_Output!$K37*[68]NPDCL_Switch_Selection!$I$45</f>
        <v>2.764980517066443</v>
      </c>
      <c r="O33" s="145">
        <f>'[68]NPDCL_Cost Alloc_Factors'!$V39</f>
        <v>33.058414800601469</v>
      </c>
      <c r="P33" s="145">
        <f t="shared" ref="P33:P41" si="33">IFERROR((N33*10^7)/((O33*10^3))/12,0)</f>
        <v>69.6993623192961</v>
      </c>
      <c r="Q33" s="145">
        <f>[68]NPDCL_Output!$N37</f>
        <v>1.0407058605390245</v>
      </c>
      <c r="R33" s="145">
        <f>'[68]NPDCL_Cost Alloc_Factors'!$V39</f>
        <v>33.058414800601469</v>
      </c>
      <c r="S33" s="145">
        <f t="shared" ref="S33:S41" si="34">IFERROR((Q33*10^7)/((R33*10^3))/12,0)</f>
        <v>26.234013004360438</v>
      </c>
      <c r="T33" s="145">
        <f>[68]NPDCL_Output!$R37</f>
        <v>1.0022511792800133</v>
      </c>
      <c r="U33" s="145">
        <f>'[68]NPDCL_Cost Alloc_Factors'!$H39</f>
        <v>227.82383538265128</v>
      </c>
      <c r="V33" s="145">
        <f t="shared" ref="V33:V41" si="35">IFERROR((T33*10^7)/((U33*10^3))/12,0)</f>
        <v>3.6660313204887718</v>
      </c>
      <c r="W33" s="145">
        <f t="shared" ref="W33:W41" si="36">E33</f>
        <v>43.654809345489689</v>
      </c>
      <c r="X33" s="145">
        <f t="shared" ref="X33:X41" si="37">K33+N33</f>
        <v>5.8580413023795064</v>
      </c>
      <c r="Y33" s="145">
        <f t="shared" ref="Y33:Y41" si="38">Q33</f>
        <v>1.0407058605390245</v>
      </c>
      <c r="Z33" s="145">
        <f t="shared" ref="Z33:Z41" si="39">H33+T33</f>
        <v>80.408513997667129</v>
      </c>
      <c r="AA33" s="145">
        <f t="shared" ref="AA33:AA41" si="40">SUM(W33:Y33)</f>
        <v>50.553556508408221</v>
      </c>
      <c r="AB33" s="145">
        <f t="shared" ref="AB33:AB41" si="41">Z33</f>
        <v>80.408513997667129</v>
      </c>
      <c r="AC33" s="145">
        <f t="shared" ref="AC33:AC41" si="42">AA33+AB33</f>
        <v>130.96207050607535</v>
      </c>
      <c r="AD33" s="145">
        <f t="shared" ref="AD33:AD41" si="43">U33</f>
        <v>227.82383538265128</v>
      </c>
      <c r="AE33" s="145">
        <f t="shared" ref="AE33:AE41" si="44">IFERROR(AC33/AD33*10,0)</f>
        <v>5.7483919663678904</v>
      </c>
      <c r="AF33" s="631">
        <f>AE33-[68]NPDCL_Output!AF37</f>
        <v>0</v>
      </c>
    </row>
    <row r="34" spans="3:32" x14ac:dyDescent="0.25">
      <c r="C34" s="630" t="s">
        <v>820</v>
      </c>
      <c r="D34" s="635" t="s">
        <v>804</v>
      </c>
      <c r="E34" s="145">
        <f>[68]NPDCL_Output!$H38</f>
        <v>5.9862185456796642</v>
      </c>
      <c r="F34" s="145">
        <f>'[68]NPDCL_Cost Alloc_Factors'!$V40</f>
        <v>4.4422562218207169</v>
      </c>
      <c r="G34" s="145">
        <f t="shared" si="30"/>
        <v>1122.9688711400904</v>
      </c>
      <c r="H34" s="145">
        <f>[68]NPDCL_Output!$I38</f>
        <v>12.393606457582173</v>
      </c>
      <c r="I34" s="145">
        <f>'[68]NPDCL_Cost Alloc_Factors'!$H40</f>
        <v>35.5944</v>
      </c>
      <c r="J34" s="145">
        <f t="shared" si="31"/>
        <v>290.15815356681043</v>
      </c>
      <c r="K34" s="145">
        <f>[68]NPDCL_Output!$K38*[68]NPDCL_Switch_Selection!$I$46</f>
        <v>0.24750917290073896</v>
      </c>
      <c r="L34" s="145">
        <f>'[68]NPDCL_Cost Alloc_Factors'!$V40</f>
        <v>4.4422562218207169</v>
      </c>
      <c r="M34" s="145">
        <f t="shared" si="32"/>
        <v>46.43083014230362</v>
      </c>
      <c r="N34" s="145">
        <f>[68]NPDCL_Output!$K38*[68]NPDCL_Switch_Selection!$I$45</f>
        <v>0.2212559300856112</v>
      </c>
      <c r="O34" s="145">
        <f>'[68]NPDCL_Cost Alloc_Factors'!$V40</f>
        <v>4.4422562218207169</v>
      </c>
      <c r="P34" s="145">
        <f t="shared" si="33"/>
        <v>41.505922335663655</v>
      </c>
      <c r="Q34" s="145">
        <f>[68]NPDCL_Output!$N38</f>
        <v>0.13984584899033484</v>
      </c>
      <c r="R34" s="145">
        <f>'[68]NPDCL_Cost Alloc_Factors'!$V40</f>
        <v>4.4422562218207169</v>
      </c>
      <c r="S34" s="145">
        <f t="shared" si="34"/>
        <v>26.234013004360424</v>
      </c>
      <c r="T34" s="145">
        <f>[68]NPDCL_Output!$R38</f>
        <v>0.15658822228080668</v>
      </c>
      <c r="U34" s="145">
        <f>'[68]NPDCL_Cost Alloc_Factors'!$H40</f>
        <v>35.5944</v>
      </c>
      <c r="V34" s="145">
        <f t="shared" si="35"/>
        <v>3.6660313204887722</v>
      </c>
      <c r="W34" s="145">
        <f t="shared" si="36"/>
        <v>5.9862185456796642</v>
      </c>
      <c r="X34" s="145">
        <f t="shared" si="37"/>
        <v>0.46876510298635016</v>
      </c>
      <c r="Y34" s="145">
        <f t="shared" si="38"/>
        <v>0.13984584899033484</v>
      </c>
      <c r="Z34" s="145">
        <f t="shared" si="39"/>
        <v>12.55019467986298</v>
      </c>
      <c r="AA34" s="145">
        <f t="shared" si="40"/>
        <v>6.5948294976563497</v>
      </c>
      <c r="AB34" s="145">
        <f t="shared" si="41"/>
        <v>12.55019467986298</v>
      </c>
      <c r="AC34" s="145">
        <f t="shared" si="42"/>
        <v>19.145024177519328</v>
      </c>
      <c r="AD34" s="145">
        <f t="shared" si="43"/>
        <v>35.5944</v>
      </c>
      <c r="AE34" s="145">
        <f t="shared" si="44"/>
        <v>5.3786618618432467</v>
      </c>
      <c r="AF34" s="631">
        <f>AE34-[68]NPDCL_Output!AF38</f>
        <v>0</v>
      </c>
    </row>
    <row r="35" spans="3:32" x14ac:dyDescent="0.25">
      <c r="C35" s="630" t="s">
        <v>821</v>
      </c>
      <c r="D35" s="635" t="s">
        <v>498</v>
      </c>
      <c r="E35" s="145">
        <f>[68]NPDCL_Output!$H39</f>
        <v>3.0925563076096476</v>
      </c>
      <c r="F35" s="145">
        <f>'[68]NPDCL_Cost Alloc_Factors'!$V41</f>
        <v>2.6238137298859305</v>
      </c>
      <c r="G35" s="145">
        <f t="shared" si="30"/>
        <v>982.20777907638012</v>
      </c>
      <c r="H35" s="145">
        <f>[68]NPDCL_Output!$I39</f>
        <v>5.8143204085671405</v>
      </c>
      <c r="I35" s="145">
        <f>'[68]NPDCL_Cost Alloc_Factors'!$H41</f>
        <v>16.688775793919998</v>
      </c>
      <c r="J35" s="145">
        <f t="shared" si="31"/>
        <v>290.33088268250901</v>
      </c>
      <c r="K35" s="145">
        <f>[68]NPDCL_Output!$K39*[68]NPDCL_Switch_Selection!$I$46</f>
        <v>0.37327979560559049</v>
      </c>
      <c r="L35" s="145">
        <f>'[68]NPDCL_Cost Alloc_Factors'!$V41</f>
        <v>2.6238137298859305</v>
      </c>
      <c r="M35" s="145">
        <f t="shared" si="32"/>
        <v>118.55509893665949</v>
      </c>
      <c r="N35" s="145">
        <f>[68]NPDCL_Output!$K39*[68]NPDCL_Switch_Selection!$I$45</f>
        <v>0.33368609086663548</v>
      </c>
      <c r="O35" s="145">
        <f>'[68]NPDCL_Cost Alloc_Factors'!$V41</f>
        <v>2.6238137298859305</v>
      </c>
      <c r="P35" s="145">
        <f t="shared" si="33"/>
        <v>105.97998601103133</v>
      </c>
      <c r="Q35" s="145">
        <f>[68]NPDCL_Output!$N39</f>
        <v>8.2599796213016344E-2</v>
      </c>
      <c r="R35" s="145">
        <f>'[68]NPDCL_Cost Alloc_Factors'!$V41</f>
        <v>2.6238137298859305</v>
      </c>
      <c r="S35" s="145">
        <f t="shared" si="34"/>
        <v>26.234013004360435</v>
      </c>
      <c r="T35" s="145">
        <f>[68]NPDCL_Output!$R39</f>
        <v>7.3417889713350726E-2</v>
      </c>
      <c r="U35" s="145">
        <f>'[68]NPDCL_Cost Alloc_Factors'!$H41</f>
        <v>16.688775793919998</v>
      </c>
      <c r="V35" s="145">
        <f t="shared" si="35"/>
        <v>3.6660313204887736</v>
      </c>
      <c r="W35" s="145">
        <f t="shared" si="36"/>
        <v>3.0925563076096476</v>
      </c>
      <c r="X35" s="145">
        <f t="shared" si="37"/>
        <v>0.70696588647222591</v>
      </c>
      <c r="Y35" s="145">
        <f t="shared" si="38"/>
        <v>8.2599796213016344E-2</v>
      </c>
      <c r="Z35" s="145">
        <f t="shared" si="39"/>
        <v>5.8877382982804916</v>
      </c>
      <c r="AA35" s="145">
        <f t="shared" si="40"/>
        <v>3.8821219902948902</v>
      </c>
      <c r="AB35" s="145">
        <f t="shared" si="41"/>
        <v>5.8877382982804916</v>
      </c>
      <c r="AC35" s="145">
        <f t="shared" si="42"/>
        <v>9.7698602885753818</v>
      </c>
      <c r="AD35" s="145">
        <f t="shared" si="43"/>
        <v>16.688775793919998</v>
      </c>
      <c r="AE35" s="145">
        <f t="shared" si="44"/>
        <v>5.8541503638239938</v>
      </c>
      <c r="AF35" s="631">
        <f>AE35-[68]NPDCL_Output!AF39</f>
        <v>0</v>
      </c>
    </row>
    <row r="36" spans="3:32" x14ac:dyDescent="0.25">
      <c r="C36" s="630" t="s">
        <v>822</v>
      </c>
      <c r="D36" s="635" t="s">
        <v>807</v>
      </c>
      <c r="E36" s="145">
        <f>[68]NPDCL_Output!$H40</f>
        <v>0</v>
      </c>
      <c r="F36" s="145">
        <f>'[68]NPDCL_Cost Alloc_Factors'!$V42</f>
        <v>0</v>
      </c>
      <c r="G36" s="145">
        <f t="shared" si="30"/>
        <v>0</v>
      </c>
      <c r="H36" s="145">
        <f>[68]NPDCL_Output!$I40</f>
        <v>0</v>
      </c>
      <c r="I36" s="145">
        <f>'[68]NPDCL_Cost Alloc_Factors'!$H42</f>
        <v>0</v>
      </c>
      <c r="J36" s="145">
        <f t="shared" si="31"/>
        <v>0</v>
      </c>
      <c r="K36" s="145">
        <f>[68]NPDCL_Output!$K40*[68]NPDCL_Switch_Selection!$I$46</f>
        <v>0</v>
      </c>
      <c r="L36" s="145">
        <f>'[68]NPDCL_Cost Alloc_Factors'!$V42</f>
        <v>0</v>
      </c>
      <c r="M36" s="145">
        <f t="shared" si="32"/>
        <v>0</v>
      </c>
      <c r="N36" s="145">
        <f>[68]NPDCL_Output!$K40*[68]NPDCL_Switch_Selection!$I$45</f>
        <v>0</v>
      </c>
      <c r="O36" s="145">
        <f>'[68]NPDCL_Cost Alloc_Factors'!$V42</f>
        <v>0</v>
      </c>
      <c r="P36" s="145">
        <f t="shared" si="33"/>
        <v>0</v>
      </c>
      <c r="Q36" s="145">
        <f>[68]NPDCL_Output!$N40</f>
        <v>0</v>
      </c>
      <c r="R36" s="145">
        <f>'[68]NPDCL_Cost Alloc_Factors'!$V42</f>
        <v>0</v>
      </c>
      <c r="S36" s="145">
        <f t="shared" si="34"/>
        <v>0</v>
      </c>
      <c r="T36" s="145">
        <f>[68]NPDCL_Output!$R40</f>
        <v>0</v>
      </c>
      <c r="U36" s="145">
        <f>'[68]NPDCL_Cost Alloc_Factors'!$H42</f>
        <v>0</v>
      </c>
      <c r="V36" s="145">
        <f t="shared" si="35"/>
        <v>0</v>
      </c>
      <c r="W36" s="145">
        <f t="shared" si="36"/>
        <v>0</v>
      </c>
      <c r="X36" s="145">
        <f t="shared" si="37"/>
        <v>0</v>
      </c>
      <c r="Y36" s="145">
        <f t="shared" si="38"/>
        <v>0</v>
      </c>
      <c r="Z36" s="145">
        <f t="shared" si="39"/>
        <v>0</v>
      </c>
      <c r="AA36" s="145">
        <f t="shared" si="40"/>
        <v>0</v>
      </c>
      <c r="AB36" s="145">
        <f t="shared" si="41"/>
        <v>0</v>
      </c>
      <c r="AC36" s="145">
        <f t="shared" si="42"/>
        <v>0</v>
      </c>
      <c r="AD36" s="145">
        <f t="shared" si="43"/>
        <v>0</v>
      </c>
      <c r="AE36" s="145">
        <f t="shared" si="44"/>
        <v>0</v>
      </c>
      <c r="AF36" s="631">
        <f>AE36-[68]NPDCL_Output!AF40</f>
        <v>0</v>
      </c>
    </row>
    <row r="37" spans="3:32" x14ac:dyDescent="0.25">
      <c r="C37" s="630" t="s">
        <v>823</v>
      </c>
      <c r="D37" s="635" t="s">
        <v>809</v>
      </c>
      <c r="E37" s="145">
        <f>[68]NPDCL_Output!$H41</f>
        <v>73.067643785531914</v>
      </c>
      <c r="F37" s="145">
        <f>'[68]NPDCL_Cost Alloc_Factors'!$V43</f>
        <v>55.600480544359655</v>
      </c>
      <c r="G37" s="145">
        <f t="shared" si="30"/>
        <v>1095.1290808724284</v>
      </c>
      <c r="H37" s="145">
        <f>[68]NPDCL_Output!$I41</f>
        <v>144.77808022852375</v>
      </c>
      <c r="I37" s="145">
        <f>'[68]NPDCL_Cost Alloc_Factors'!$H43</f>
        <v>414.7353139065051</v>
      </c>
      <c r="J37" s="145">
        <f t="shared" si="31"/>
        <v>290.90457490589898</v>
      </c>
      <c r="K37" s="145">
        <f>[68]NPDCL_Output!$K41*[68]NPDCL_Switch_Selection!$I$46</f>
        <v>5.4511251002617449</v>
      </c>
      <c r="L37" s="145">
        <f>'[68]NPDCL_Cost Alloc_Factors'!$V43</f>
        <v>55.600480544359655</v>
      </c>
      <c r="M37" s="145">
        <f t="shared" si="32"/>
        <v>81.700809161062935</v>
      </c>
      <c r="N37" s="145">
        <f>[68]NPDCL_Output!$K41*[68]NPDCL_Switch_Selection!$I$45</f>
        <v>4.8729254755948972</v>
      </c>
      <c r="O37" s="145">
        <f>'[68]NPDCL_Cost Alloc_Factors'!$V43</f>
        <v>55.600480544359655</v>
      </c>
      <c r="P37" s="145">
        <f t="shared" si="33"/>
        <v>73.034822539395392</v>
      </c>
      <c r="Q37" s="145">
        <f>[68]NPDCL_Output!$N41</f>
        <v>1.7503484755793046</v>
      </c>
      <c r="R37" s="145">
        <f>'[68]NPDCL_Cost Alloc_Factors'!$V43</f>
        <v>55.600480544359655</v>
      </c>
      <c r="S37" s="145">
        <f t="shared" si="34"/>
        <v>26.234013004360435</v>
      </c>
      <c r="T37" s="145">
        <f>[68]NPDCL_Output!$R41</f>
        <v>1.8245191805927885</v>
      </c>
      <c r="U37" s="145">
        <f>'[68]NPDCL_Cost Alloc_Factors'!$H43</f>
        <v>414.7353139065051</v>
      </c>
      <c r="V37" s="145">
        <f t="shared" si="35"/>
        <v>3.6660313204887718</v>
      </c>
      <c r="W37" s="145">
        <f t="shared" si="36"/>
        <v>73.067643785531914</v>
      </c>
      <c r="X37" s="145">
        <f t="shared" si="37"/>
        <v>10.324050575856642</v>
      </c>
      <c r="Y37" s="145">
        <f t="shared" si="38"/>
        <v>1.7503484755793046</v>
      </c>
      <c r="Z37" s="145">
        <f t="shared" si="39"/>
        <v>146.60259940911655</v>
      </c>
      <c r="AA37" s="145">
        <f t="shared" si="40"/>
        <v>85.14204283696786</v>
      </c>
      <c r="AB37" s="145">
        <f t="shared" si="41"/>
        <v>146.60259940911655</v>
      </c>
      <c r="AC37" s="145">
        <f t="shared" si="42"/>
        <v>231.74464224608442</v>
      </c>
      <c r="AD37" s="145">
        <f t="shared" si="43"/>
        <v>414.7353139065051</v>
      </c>
      <c r="AE37" s="145">
        <f t="shared" si="44"/>
        <v>5.5877721157433733</v>
      </c>
      <c r="AF37" s="631">
        <f>AE37-[68]NPDCL_Output!AF41</f>
        <v>0</v>
      </c>
    </row>
    <row r="38" spans="3:32" x14ac:dyDescent="0.25">
      <c r="C38" s="630" t="s">
        <v>824</v>
      </c>
      <c r="D38" s="635" t="s">
        <v>825</v>
      </c>
      <c r="E38" s="145">
        <f>[68]NPDCL_Output!$H42</f>
        <v>7.24331904665687</v>
      </c>
      <c r="F38" s="145">
        <f>'[68]NPDCL_Cost Alloc_Factors'!$V44</f>
        <v>5.9001112557935196</v>
      </c>
      <c r="G38" s="145">
        <f t="shared" si="30"/>
        <v>1023.0483704218867</v>
      </c>
      <c r="H38" s="145">
        <f>[68]NPDCL_Output!$I42</f>
        <v>12.064675148563628</v>
      </c>
      <c r="I38" s="145">
        <f>'[68]NPDCL_Cost Alloc_Factors'!$H44</f>
        <v>34.61275435448276</v>
      </c>
      <c r="J38" s="145">
        <f t="shared" si="31"/>
        <v>290.46795450516521</v>
      </c>
      <c r="K38" s="145">
        <f>[68]NPDCL_Output!$K42*[68]NPDCL_Switch_Selection!$I$46</f>
        <v>0.61644592293397715</v>
      </c>
      <c r="L38" s="145">
        <f>'[68]NPDCL_Cost Alloc_Factors'!$V44</f>
        <v>5.9001112557935196</v>
      </c>
      <c r="M38" s="145">
        <f t="shared" si="32"/>
        <v>87.066991367983107</v>
      </c>
      <c r="N38" s="145">
        <f>[68]NPDCL_Output!$K42*[68]NPDCL_Switch_Selection!$I$45</f>
        <v>0.55105964125595819</v>
      </c>
      <c r="O38" s="145">
        <f>'[68]NPDCL_Cost Alloc_Factors'!$V44</f>
        <v>5.9001112557935196</v>
      </c>
      <c r="P38" s="145">
        <f t="shared" si="33"/>
        <v>77.831814995416963</v>
      </c>
      <c r="Q38" s="145">
        <f>[68]NPDCL_Output!$N42</f>
        <v>0.18574031449399267</v>
      </c>
      <c r="R38" s="145">
        <f>'[68]NPDCL_Cost Alloc_Factors'!$V44</f>
        <v>5.9001112557935196</v>
      </c>
      <c r="S38" s="145">
        <f t="shared" si="34"/>
        <v>26.234013004360435</v>
      </c>
      <c r="T38" s="145">
        <f>[68]NPDCL_Output!$R42</f>
        <v>0.15226972986230153</v>
      </c>
      <c r="U38" s="145">
        <f>'[68]NPDCL_Cost Alloc_Factors'!$H44</f>
        <v>34.61275435448276</v>
      </c>
      <c r="V38" s="145">
        <f t="shared" si="35"/>
        <v>3.6660313204887722</v>
      </c>
      <c r="W38" s="145">
        <f t="shared" si="36"/>
        <v>7.24331904665687</v>
      </c>
      <c r="X38" s="145">
        <f t="shared" si="37"/>
        <v>1.1675055641899355</v>
      </c>
      <c r="Y38" s="145">
        <f t="shared" si="38"/>
        <v>0.18574031449399267</v>
      </c>
      <c r="Z38" s="145">
        <f t="shared" si="39"/>
        <v>12.216944878425929</v>
      </c>
      <c r="AA38" s="145">
        <f t="shared" si="40"/>
        <v>8.5965649253407985</v>
      </c>
      <c r="AB38" s="145">
        <f t="shared" si="41"/>
        <v>12.216944878425929</v>
      </c>
      <c r="AC38" s="145">
        <f t="shared" si="42"/>
        <v>20.813509803766728</v>
      </c>
      <c r="AD38" s="145">
        <f t="shared" si="43"/>
        <v>34.61275435448276</v>
      </c>
      <c r="AE38" s="145">
        <f t="shared" si="44"/>
        <v>6.0132486396798788</v>
      </c>
      <c r="AF38" s="631">
        <f>AE38-[68]NPDCL_Output!AF42</f>
        <v>0</v>
      </c>
    </row>
    <row r="39" spans="3:32" x14ac:dyDescent="0.25">
      <c r="C39" s="630" t="s">
        <v>826</v>
      </c>
      <c r="D39" s="635" t="s">
        <v>827</v>
      </c>
      <c r="E39" s="145">
        <f>[68]NPDCL_Output!$H43</f>
        <v>1.7728030640448771</v>
      </c>
      <c r="F39" s="145">
        <f>'[68]NPDCL_Cost Alloc_Factors'!$V45</f>
        <v>1.3989762951570635</v>
      </c>
      <c r="G39" s="145">
        <f t="shared" si="30"/>
        <v>1056.0120938562461</v>
      </c>
      <c r="H39" s="145">
        <f>[68]NPDCL_Output!$I43</f>
        <v>2.8988822594690946</v>
      </c>
      <c r="I39" s="145">
        <f>'[68]NPDCL_Cost Alloc_Factors'!$H45</f>
        <v>8.3104927379999989</v>
      </c>
      <c r="J39" s="145">
        <f t="shared" si="31"/>
        <v>290.68495604095978</v>
      </c>
      <c r="K39" s="145">
        <f>[68]NPDCL_Output!$K43*[68]NPDCL_Switch_Selection!$I$46</f>
        <v>0.28135658116066908</v>
      </c>
      <c r="L39" s="145">
        <f>'[68]NPDCL_Cost Alloc_Factors'!$V45</f>
        <v>1.3989762951570635</v>
      </c>
      <c r="M39" s="145">
        <f t="shared" si="32"/>
        <v>167.59670513757172</v>
      </c>
      <c r="N39" s="145">
        <f>[68]NPDCL_Output!$K43*[68]NPDCL_Switch_Selection!$I$45</f>
        <v>0.25151315129389989</v>
      </c>
      <c r="O39" s="145">
        <f>'[68]NPDCL_Cost Alloc_Factors'!$V45</f>
        <v>1.3989762951570635</v>
      </c>
      <c r="P39" s="145">
        <f t="shared" si="33"/>
        <v>149.81975997054715</v>
      </c>
      <c r="Q39" s="145">
        <f>[68]NPDCL_Output!$N43</f>
        <v>4.4040914783930844E-2</v>
      </c>
      <c r="R39" s="145">
        <f>'[68]NPDCL_Cost Alloc_Factors'!$V45</f>
        <v>1.3989762951570635</v>
      </c>
      <c r="S39" s="145">
        <f t="shared" si="34"/>
        <v>26.23401300436042</v>
      </c>
      <c r="T39" s="145">
        <f>[68]NPDCL_Output!$R43</f>
        <v>3.6559831999442988E-2</v>
      </c>
      <c r="U39" s="145">
        <f>'[68]NPDCL_Cost Alloc_Factors'!$H45</f>
        <v>8.3104927379999989</v>
      </c>
      <c r="V39" s="145">
        <f t="shared" si="35"/>
        <v>3.6660313204887722</v>
      </c>
      <c r="W39" s="145">
        <f t="shared" si="36"/>
        <v>1.7728030640448771</v>
      </c>
      <c r="X39" s="145">
        <f t="shared" si="37"/>
        <v>0.53286973245456903</v>
      </c>
      <c r="Y39" s="145">
        <f t="shared" si="38"/>
        <v>4.4040914783930844E-2</v>
      </c>
      <c r="Z39" s="145">
        <f t="shared" si="39"/>
        <v>2.9354420914685377</v>
      </c>
      <c r="AA39" s="145">
        <f t="shared" si="40"/>
        <v>2.349713711283377</v>
      </c>
      <c r="AB39" s="145">
        <f t="shared" si="41"/>
        <v>2.9354420914685377</v>
      </c>
      <c r="AC39" s="145">
        <f t="shared" si="42"/>
        <v>5.2851558027519143</v>
      </c>
      <c r="AD39" s="145">
        <f t="shared" si="43"/>
        <v>8.3104927379999989</v>
      </c>
      <c r="AE39" s="145">
        <f t="shared" si="44"/>
        <v>6.3596178582593152</v>
      </c>
      <c r="AF39" s="631">
        <f>AE39-[68]NPDCL_Output!AF43</f>
        <v>0</v>
      </c>
    </row>
    <row r="40" spans="3:32" hidden="1" x14ac:dyDescent="0.25">
      <c r="C40" s="630" t="s">
        <v>828</v>
      </c>
      <c r="D40" s="635" t="s">
        <v>199</v>
      </c>
      <c r="E40" s="145">
        <f>[68]NPDCL_Output!$H44</f>
        <v>0</v>
      </c>
      <c r="F40" s="145">
        <f>'[68]NPDCL_Cost Alloc_Factors'!$V46</f>
        <v>0</v>
      </c>
      <c r="G40" s="145">
        <f t="shared" si="30"/>
        <v>0</v>
      </c>
      <c r="H40" s="145">
        <f>[68]NPDCL_Output!$I44</f>
        <v>0</v>
      </c>
      <c r="I40" s="145">
        <f>'[68]NPDCL_Cost Alloc_Factors'!$H46</f>
        <v>0</v>
      </c>
      <c r="J40" s="145">
        <f t="shared" si="31"/>
        <v>0</v>
      </c>
      <c r="K40" s="145">
        <f>[68]NPDCL_Output!$K44*[68]NPDCL_Switch_Selection!$I$46</f>
        <v>0</v>
      </c>
      <c r="L40" s="145">
        <f>'[68]NPDCL_Cost Alloc_Factors'!$V46</f>
        <v>0</v>
      </c>
      <c r="M40" s="145">
        <f t="shared" si="32"/>
        <v>0</v>
      </c>
      <c r="N40" s="145">
        <f>[68]NPDCL_Output!$K44*[68]NPDCL_Switch_Selection!$I$45</f>
        <v>0</v>
      </c>
      <c r="O40" s="145">
        <f>'[68]NPDCL_Cost Alloc_Factors'!$V46</f>
        <v>0</v>
      </c>
      <c r="P40" s="145">
        <f t="shared" si="33"/>
        <v>0</v>
      </c>
      <c r="Q40" s="145">
        <f>[68]NPDCL_Output!$N44</f>
        <v>0</v>
      </c>
      <c r="R40" s="145">
        <f>'[68]NPDCL_Cost Alloc_Factors'!$V46</f>
        <v>0</v>
      </c>
      <c r="S40" s="145">
        <f t="shared" si="34"/>
        <v>0</v>
      </c>
      <c r="T40" s="145">
        <f>[68]NPDCL_Output!$R44</f>
        <v>0</v>
      </c>
      <c r="U40" s="145">
        <f>'[68]NPDCL_Cost Alloc_Factors'!$H46</f>
        <v>0</v>
      </c>
      <c r="V40" s="145">
        <f t="shared" si="35"/>
        <v>0</v>
      </c>
      <c r="W40" s="145">
        <f t="shared" si="36"/>
        <v>0</v>
      </c>
      <c r="X40" s="145">
        <f t="shared" si="37"/>
        <v>0</v>
      </c>
      <c r="Y40" s="145">
        <f t="shared" si="38"/>
        <v>0</v>
      </c>
      <c r="Z40" s="145">
        <f t="shared" si="39"/>
        <v>0</v>
      </c>
      <c r="AA40" s="145">
        <f t="shared" si="40"/>
        <v>0</v>
      </c>
      <c r="AB40" s="145">
        <f t="shared" si="41"/>
        <v>0</v>
      </c>
      <c r="AC40" s="145">
        <f t="shared" si="42"/>
        <v>0</v>
      </c>
      <c r="AD40" s="145">
        <f t="shared" si="43"/>
        <v>0</v>
      </c>
      <c r="AE40" s="145">
        <f t="shared" si="44"/>
        <v>0</v>
      </c>
      <c r="AF40" s="631">
        <f>AE40-[68]NPDCL_Output!AF44</f>
        <v>0</v>
      </c>
    </row>
    <row r="41" spans="3:32" x14ac:dyDescent="0.25">
      <c r="C41" s="630" t="s">
        <v>828</v>
      </c>
      <c r="D41" s="635" t="s">
        <v>794</v>
      </c>
      <c r="E41" s="145">
        <f>[68]NPDCL_Output!$H45</f>
        <v>0</v>
      </c>
      <c r="F41" s="145">
        <f>'[68]NPDCL_Cost Alloc_Factors'!$V47</f>
        <v>4.7962065635697675</v>
      </c>
      <c r="G41" s="145">
        <f t="shared" si="30"/>
        <v>0</v>
      </c>
      <c r="H41" s="145">
        <f>[68]NPDCL_Output!$I45</f>
        <v>13.665421903403363</v>
      </c>
      <c r="I41" s="145">
        <f>'[68]NPDCL_Cost Alloc_Factors'!$H47</f>
        <v>39.244800000000005</v>
      </c>
      <c r="J41" s="145">
        <f t="shared" si="31"/>
        <v>290.17478968346046</v>
      </c>
      <c r="K41" s="145">
        <f>[68]NPDCL_Output!$K45*[68]NPDCL_Switch_Selection!$I$46</f>
        <v>0</v>
      </c>
      <c r="L41" s="145">
        <f>'[68]NPDCL_Cost Alloc_Factors'!$V47</f>
        <v>4.7962065635697675</v>
      </c>
      <c r="M41" s="145">
        <f t="shared" si="32"/>
        <v>0</v>
      </c>
      <c r="N41" s="145">
        <f>[68]NPDCL_Output!$K45*[68]NPDCL_Switch_Selection!$I$45</f>
        <v>0</v>
      </c>
      <c r="O41" s="145">
        <f>'[68]NPDCL_Cost Alloc_Factors'!$V47</f>
        <v>4.7962065635697675</v>
      </c>
      <c r="P41" s="145">
        <f t="shared" si="33"/>
        <v>0</v>
      </c>
      <c r="Q41" s="145">
        <f>[68]NPDCL_Output!$N45</f>
        <v>0.15098849443234577</v>
      </c>
      <c r="R41" s="145">
        <f>'[68]NPDCL_Cost Alloc_Factors'!$V47</f>
        <v>4.7962065635697675</v>
      </c>
      <c r="S41" s="145">
        <f t="shared" si="34"/>
        <v>26.234013004360435</v>
      </c>
      <c r="T41" s="145">
        <f>[68]NPDCL_Output!$R45</f>
        <v>0.17264719915958138</v>
      </c>
      <c r="U41" s="145">
        <f>'[68]NPDCL_Cost Alloc_Factors'!$H47</f>
        <v>39.244800000000005</v>
      </c>
      <c r="V41" s="145">
        <f t="shared" si="35"/>
        <v>3.6660313204887731</v>
      </c>
      <c r="W41" s="145">
        <f t="shared" si="36"/>
        <v>0</v>
      </c>
      <c r="X41" s="145">
        <f t="shared" si="37"/>
        <v>0</v>
      </c>
      <c r="Y41" s="145">
        <f t="shared" si="38"/>
        <v>0.15098849443234577</v>
      </c>
      <c r="Z41" s="145">
        <f t="shared" si="39"/>
        <v>13.838069102562944</v>
      </c>
      <c r="AA41" s="145">
        <f t="shared" si="40"/>
        <v>0.15098849443234577</v>
      </c>
      <c r="AB41" s="145">
        <f t="shared" si="41"/>
        <v>13.838069102562944</v>
      </c>
      <c r="AC41" s="145">
        <f t="shared" si="42"/>
        <v>13.98905759699529</v>
      </c>
      <c r="AD41" s="145">
        <f t="shared" si="43"/>
        <v>39.244800000000005</v>
      </c>
      <c r="AE41" s="145">
        <f t="shared" si="44"/>
        <v>3.5645633553987506</v>
      </c>
      <c r="AF41" s="631">
        <f>AE41-[68]NPDCL_Output!AF45</f>
        <v>0</v>
      </c>
    </row>
    <row r="42" spans="3:32" x14ac:dyDescent="0.25">
      <c r="C42" s="630"/>
      <c r="D42" s="636" t="s">
        <v>829</v>
      </c>
      <c r="E42" s="579"/>
      <c r="F42" s="579"/>
      <c r="G42" s="579"/>
      <c r="H42" s="579"/>
      <c r="I42" s="579"/>
      <c r="J42" s="579"/>
      <c r="K42" s="579"/>
      <c r="L42" s="579"/>
      <c r="M42" s="579"/>
      <c r="N42" s="579"/>
      <c r="O42" s="579"/>
      <c r="P42" s="579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631"/>
    </row>
    <row r="43" spans="3:32" x14ac:dyDescent="0.25">
      <c r="C43" s="630" t="s">
        <v>830</v>
      </c>
      <c r="D43" s="635" t="s">
        <v>802</v>
      </c>
      <c r="E43" s="145">
        <f>[68]NPDCL_Output!$H50</f>
        <v>101.55586078487843</v>
      </c>
      <c r="F43" s="145">
        <f>'[68]NPDCL_Cost Alloc_Factors'!$V52</f>
        <v>97.931500121963637</v>
      </c>
      <c r="G43" s="145">
        <f t="shared" ref="G43:G53" si="45">IFERROR((E43*10^7)/((F43*10^3))/12,0)</f>
        <v>864.1742838821101</v>
      </c>
      <c r="H43" s="145">
        <f>[68]NPDCL_Output!$I50</f>
        <v>219.95389473462055</v>
      </c>
      <c r="I43" s="145">
        <f>'[68]NPDCL_Cost Alloc_Factors'!$H52</f>
        <v>647.89480280865871</v>
      </c>
      <c r="J43" s="145">
        <f t="shared" ref="J43:J53" si="46">IFERROR((H43*10^7)/((I43*10^3))/12,0)</f>
        <v>282.90844668649481</v>
      </c>
      <c r="K43" s="145">
        <f>[68]NPDCL_Output!$K50*[68]NPDCL_Switch_Selection!$I$46</f>
        <v>8.856174371210713</v>
      </c>
      <c r="L43" s="637">
        <f>'[68]NPDCL_Cost Alloc_Factors'!$V52</f>
        <v>97.931500121963637</v>
      </c>
      <c r="M43" s="145">
        <f t="shared" ref="M43:M53" si="47">IFERROR((K43*10^7)/((L43*10^3))/12,0)</f>
        <v>75.360280401617942</v>
      </c>
      <c r="N43" s="145">
        <f>[68]NPDCL_Output!$K50*[68]NPDCL_Switch_Selection!$I$45</f>
        <v>7.9168019291487415</v>
      </c>
      <c r="O43" s="145">
        <f>'[68]NPDCL_Cost Alloc_Factors'!$V52</f>
        <v>97.931500121963637</v>
      </c>
      <c r="P43" s="145">
        <f t="shared" ref="P43:P53" si="48">IFERROR((N43*10^7)/((O43*10^3))/12,0)</f>
        <v>67.366832252553891</v>
      </c>
      <c r="Q43" s="145">
        <f>[68]NPDCL_Output!$N50</f>
        <v>0</v>
      </c>
      <c r="R43" s="145">
        <f>'[68]NPDCL_Cost Alloc_Factors'!$V52</f>
        <v>97.931500121963637</v>
      </c>
      <c r="S43" s="145">
        <f t="shared" ref="S43:S53" si="49">IFERROR((Q43*10^7)/((R43*10^3))/12,0)</f>
        <v>0</v>
      </c>
      <c r="T43" s="145">
        <f>[68]NPDCL_Output!$R50</f>
        <v>2.8502431673741282</v>
      </c>
      <c r="U43" s="145">
        <f>'[68]NPDCL_Cost Alloc_Factors'!$H52</f>
        <v>647.89480280865871</v>
      </c>
      <c r="V43" s="145">
        <f t="shared" ref="V43:V53" si="50">IFERROR((T43*10^7)/((U43*10^3))/12,0)</f>
        <v>3.6660313204887731</v>
      </c>
      <c r="W43" s="145">
        <f t="shared" ref="W43:W52" si="51">E43</f>
        <v>101.55586078487843</v>
      </c>
      <c r="X43" s="145">
        <f t="shared" ref="X43:X52" si="52">K43+N43</f>
        <v>16.772976300359453</v>
      </c>
      <c r="Y43" s="145">
        <f t="shared" ref="Y43:Y52" si="53">Q43</f>
        <v>0</v>
      </c>
      <c r="Z43" s="145">
        <f t="shared" ref="Z43:Z52" si="54">H43+T43</f>
        <v>222.80413790199466</v>
      </c>
      <c r="AA43" s="145">
        <f t="shared" ref="AA43:AA52" si="55">SUM(W43:Y43)</f>
        <v>118.32883708523789</v>
      </c>
      <c r="AB43" s="145">
        <f t="shared" ref="AB43:AB52" si="56">Z43</f>
        <v>222.80413790199466</v>
      </c>
      <c r="AC43" s="145">
        <f t="shared" ref="AC43:AC52" si="57">AA43+AB43</f>
        <v>341.13297498723256</v>
      </c>
      <c r="AD43" s="145">
        <f t="shared" ref="AD43:AD52" si="58">U43</f>
        <v>647.89480280865871</v>
      </c>
      <c r="AE43" s="145">
        <f t="shared" ref="AE43:AE53" si="59">IFERROR(AC43/AD43*10,0)</f>
        <v>5.2652525303244113</v>
      </c>
      <c r="AF43" s="631">
        <f>AE43-[68]NPDCL_Output!AF50</f>
        <v>0</v>
      </c>
    </row>
    <row r="44" spans="3:32" x14ac:dyDescent="0.25">
      <c r="C44" s="630" t="s">
        <v>831</v>
      </c>
      <c r="D44" s="635" t="s">
        <v>804</v>
      </c>
      <c r="E44" s="145">
        <f>[68]NPDCL_Output!$H51</f>
        <v>0</v>
      </c>
      <c r="F44" s="145">
        <f>'[68]NPDCL_Cost Alloc_Factors'!$V53</f>
        <v>0</v>
      </c>
      <c r="G44" s="145">
        <f t="shared" si="45"/>
        <v>0</v>
      </c>
      <c r="H44" s="145">
        <f>[68]NPDCL_Output!$I51</f>
        <v>0</v>
      </c>
      <c r="I44" s="145">
        <f>'[68]NPDCL_Cost Alloc_Factors'!$H53</f>
        <v>0</v>
      </c>
      <c r="J44" s="145">
        <f t="shared" si="46"/>
        <v>0</v>
      </c>
      <c r="K44" s="145">
        <f>[68]NPDCL_Output!$K51*[68]NPDCL_Switch_Selection!$I$46</f>
        <v>0</v>
      </c>
      <c r="L44" s="637">
        <f>'[68]NPDCL_Cost Alloc_Factors'!$V53</f>
        <v>0</v>
      </c>
      <c r="M44" s="145">
        <f t="shared" si="47"/>
        <v>0</v>
      </c>
      <c r="N44" s="145">
        <f>[68]NPDCL_Output!$K51*[68]NPDCL_Switch_Selection!$I$45</f>
        <v>0</v>
      </c>
      <c r="O44" s="145">
        <f>'[68]NPDCL_Cost Alloc_Factors'!$V53</f>
        <v>0</v>
      </c>
      <c r="P44" s="145">
        <f t="shared" si="48"/>
        <v>0</v>
      </c>
      <c r="Q44" s="145">
        <f>[68]NPDCL_Output!$N51</f>
        <v>0</v>
      </c>
      <c r="R44" s="145">
        <f>'[68]NPDCL_Cost Alloc_Factors'!$V53</f>
        <v>0</v>
      </c>
      <c r="S44" s="145">
        <f t="shared" si="49"/>
        <v>0</v>
      </c>
      <c r="T44" s="145">
        <f>[68]NPDCL_Output!$R51</f>
        <v>0</v>
      </c>
      <c r="U44" s="145">
        <f>'[68]NPDCL_Cost Alloc_Factors'!$H53</f>
        <v>0</v>
      </c>
      <c r="V44" s="145">
        <f t="shared" si="50"/>
        <v>0</v>
      </c>
      <c r="W44" s="145">
        <f t="shared" si="51"/>
        <v>0</v>
      </c>
      <c r="X44" s="145">
        <f t="shared" si="52"/>
        <v>0</v>
      </c>
      <c r="Y44" s="145">
        <f t="shared" si="53"/>
        <v>0</v>
      </c>
      <c r="Z44" s="145">
        <f t="shared" si="54"/>
        <v>0</v>
      </c>
      <c r="AA44" s="145">
        <f t="shared" si="55"/>
        <v>0</v>
      </c>
      <c r="AB44" s="145">
        <f t="shared" si="56"/>
        <v>0</v>
      </c>
      <c r="AC44" s="145">
        <f t="shared" si="57"/>
        <v>0</v>
      </c>
      <c r="AD44" s="145">
        <f t="shared" si="58"/>
        <v>0</v>
      </c>
      <c r="AE44" s="145">
        <f t="shared" si="59"/>
        <v>0</v>
      </c>
      <c r="AF44" s="631">
        <f>AE44-[68]NPDCL_Output!AF51</f>
        <v>0</v>
      </c>
    </row>
    <row r="45" spans="3:32" x14ac:dyDescent="0.25">
      <c r="C45" s="630" t="s">
        <v>832</v>
      </c>
      <c r="D45" s="635" t="s">
        <v>498</v>
      </c>
      <c r="E45" s="145">
        <f>[68]NPDCL_Output!$H52</f>
        <v>0.75817564819941341</v>
      </c>
      <c r="F45" s="145">
        <f>'[68]NPDCL_Cost Alloc_Factors'!$V54</f>
        <v>0.55864267002153456</v>
      </c>
      <c r="G45" s="145">
        <f t="shared" si="45"/>
        <v>1130.9788422388551</v>
      </c>
      <c r="H45" s="145">
        <f>[68]NPDCL_Output!$I52</f>
        <v>1.5869693777547742</v>
      </c>
      <c r="I45" s="145">
        <f>'[68]NPDCL_Cost Alloc_Factors'!$H54</f>
        <v>4.6745669736802009</v>
      </c>
      <c r="J45" s="145">
        <f t="shared" si="46"/>
        <v>282.90844668787616</v>
      </c>
      <c r="K45" s="145">
        <f>[68]NPDCL_Output!$K52*[68]NPDCL_Switch_Selection!$I$46</f>
        <v>0.73406566663723427</v>
      </c>
      <c r="L45" s="637">
        <f>'[68]NPDCL_Cost Alloc_Factors'!$V54</f>
        <v>0.55864267002153456</v>
      </c>
      <c r="M45" s="145">
        <f t="shared" si="47"/>
        <v>1095.0137210979271</v>
      </c>
      <c r="N45" s="145">
        <f>[68]NPDCL_Output!$K52*[68]NPDCL_Switch_Selection!$I$45</f>
        <v>0.65620348495476144</v>
      </c>
      <c r="O45" s="145">
        <f>'[68]NPDCL_Cost Alloc_Factors'!$V54</f>
        <v>0.55864267002153456</v>
      </c>
      <c r="P45" s="145">
        <f t="shared" si="48"/>
        <v>978.86585971175782</v>
      </c>
      <c r="Q45" s="145">
        <f>[68]NPDCL_Output!$N52</f>
        <v>0</v>
      </c>
      <c r="R45" s="145">
        <f>'[68]NPDCL_Cost Alloc_Factors'!$V54</f>
        <v>0.55864267002153456</v>
      </c>
      <c r="S45" s="145">
        <f t="shared" si="49"/>
        <v>0</v>
      </c>
      <c r="T45" s="145">
        <f>[68]NPDCL_Output!$R52</f>
        <v>2.0564530722280837E-2</v>
      </c>
      <c r="U45" s="145">
        <f>'[68]NPDCL_Cost Alloc_Factors'!$H54</f>
        <v>4.6745669736802009</v>
      </c>
      <c r="V45" s="145">
        <f t="shared" si="50"/>
        <v>3.6660313204887718</v>
      </c>
      <c r="W45" s="145">
        <f t="shared" si="51"/>
        <v>0.75817564819941341</v>
      </c>
      <c r="X45" s="145">
        <f t="shared" si="52"/>
        <v>1.3902691515919958</v>
      </c>
      <c r="Y45" s="145">
        <f t="shared" si="53"/>
        <v>0</v>
      </c>
      <c r="Z45" s="145">
        <f t="shared" si="54"/>
        <v>1.607533908477055</v>
      </c>
      <c r="AA45" s="145">
        <f t="shared" si="55"/>
        <v>2.1484447997914091</v>
      </c>
      <c r="AB45" s="145">
        <f t="shared" si="56"/>
        <v>1.607533908477055</v>
      </c>
      <c r="AC45" s="145">
        <f t="shared" si="57"/>
        <v>3.7559787082684641</v>
      </c>
      <c r="AD45" s="145">
        <f t="shared" si="58"/>
        <v>4.6745669736802009</v>
      </c>
      <c r="AE45" s="145">
        <f t="shared" si="59"/>
        <v>8.0349232975294207</v>
      </c>
      <c r="AF45" s="631">
        <f>AE45-[68]NPDCL_Output!AF52</f>
        <v>0</v>
      </c>
    </row>
    <row r="46" spans="3:32" x14ac:dyDescent="0.25">
      <c r="C46" s="630" t="s">
        <v>833</v>
      </c>
      <c r="D46" s="635" t="s">
        <v>807</v>
      </c>
      <c r="E46" s="145">
        <f>[68]NPDCL_Output!$H53</f>
        <v>0</v>
      </c>
      <c r="F46" s="145">
        <f>'[68]NPDCL_Cost Alloc_Factors'!$V55</f>
        <v>0</v>
      </c>
      <c r="G46" s="145">
        <f t="shared" si="45"/>
        <v>0</v>
      </c>
      <c r="H46" s="145">
        <f>[68]NPDCL_Output!$I53</f>
        <v>0</v>
      </c>
      <c r="I46" s="145">
        <f>'[68]NPDCL_Cost Alloc_Factors'!$H55</f>
        <v>0</v>
      </c>
      <c r="J46" s="145">
        <f t="shared" si="46"/>
        <v>0</v>
      </c>
      <c r="K46" s="145">
        <f>[68]NPDCL_Output!$K53*[68]NPDCL_Switch_Selection!$I$46</f>
        <v>0</v>
      </c>
      <c r="L46" s="637">
        <f>'[68]NPDCL_Cost Alloc_Factors'!$V55</f>
        <v>0</v>
      </c>
      <c r="M46" s="145">
        <f t="shared" si="47"/>
        <v>0</v>
      </c>
      <c r="N46" s="145">
        <f>[68]NPDCL_Output!$K53*[68]NPDCL_Switch_Selection!$I$45</f>
        <v>0</v>
      </c>
      <c r="O46" s="145">
        <f>'[68]NPDCL_Cost Alloc_Factors'!$V55</f>
        <v>0</v>
      </c>
      <c r="P46" s="145">
        <f t="shared" si="48"/>
        <v>0</v>
      </c>
      <c r="Q46" s="145">
        <f>[68]NPDCL_Output!$N53</f>
        <v>0</v>
      </c>
      <c r="R46" s="145">
        <f>'[68]NPDCL_Cost Alloc_Factors'!$V55</f>
        <v>0</v>
      </c>
      <c r="S46" s="145">
        <f t="shared" si="49"/>
        <v>0</v>
      </c>
      <c r="T46" s="145">
        <f>[68]NPDCL_Output!$R53</f>
        <v>0</v>
      </c>
      <c r="U46" s="145">
        <f>'[68]NPDCL_Cost Alloc_Factors'!$H55</f>
        <v>0</v>
      </c>
      <c r="V46" s="145">
        <f t="shared" si="50"/>
        <v>0</v>
      </c>
      <c r="W46" s="145">
        <f t="shared" si="51"/>
        <v>0</v>
      </c>
      <c r="X46" s="145">
        <f t="shared" si="52"/>
        <v>0</v>
      </c>
      <c r="Y46" s="145">
        <f t="shared" si="53"/>
        <v>0</v>
      </c>
      <c r="Z46" s="145">
        <f t="shared" si="54"/>
        <v>0</v>
      </c>
      <c r="AA46" s="145">
        <f t="shared" si="55"/>
        <v>0</v>
      </c>
      <c r="AB46" s="145">
        <f t="shared" si="56"/>
        <v>0</v>
      </c>
      <c r="AC46" s="145">
        <f t="shared" si="57"/>
        <v>0</v>
      </c>
      <c r="AD46" s="145">
        <f t="shared" si="58"/>
        <v>0</v>
      </c>
      <c r="AE46" s="145">
        <f t="shared" si="59"/>
        <v>0</v>
      </c>
      <c r="AF46" s="631">
        <f>AE46-[68]NPDCL_Output!AF53</f>
        <v>0</v>
      </c>
    </row>
    <row r="47" spans="3:32" x14ac:dyDescent="0.25">
      <c r="C47" s="630" t="s">
        <v>834</v>
      </c>
      <c r="D47" s="635" t="s">
        <v>809</v>
      </c>
      <c r="E47" s="145">
        <f>[68]NPDCL_Output!$H54</f>
        <v>251.77995002879408</v>
      </c>
      <c r="F47" s="145">
        <f>'[68]NPDCL_Cost Alloc_Factors'!$V56</f>
        <v>216.93532661521155</v>
      </c>
      <c r="G47" s="145">
        <f t="shared" si="45"/>
        <v>967.18514359884205</v>
      </c>
      <c r="H47" s="145">
        <f>[68]NPDCL_Output!$I54</f>
        <v>527.98847600646968</v>
      </c>
      <c r="I47" s="145">
        <f>'[68]NPDCL_Cost Alloc_Factors'!$H56</f>
        <v>1555.2395194385535</v>
      </c>
      <c r="J47" s="145">
        <f t="shared" si="46"/>
        <v>282.90844668793915</v>
      </c>
      <c r="K47" s="145">
        <f>[68]NPDCL_Output!$K54*[68]NPDCL_Switch_Selection!$I$46</f>
        <v>113.46171652630568</v>
      </c>
      <c r="L47" s="637">
        <f>'[68]NPDCL_Cost Alloc_Factors'!$V56</f>
        <v>216.93532661521155</v>
      </c>
      <c r="M47" s="145">
        <f t="shared" si="47"/>
        <v>435.85077596097761</v>
      </c>
      <c r="N47" s="145">
        <f>[68]NPDCL_Output!$K54*[68]NPDCL_Switch_Selection!$I$45</f>
        <v>101.42685753794451</v>
      </c>
      <c r="O47" s="145">
        <f>'[68]NPDCL_Cost Alloc_Factors'!$V56</f>
        <v>216.93532661521155</v>
      </c>
      <c r="P47" s="145">
        <f t="shared" si="48"/>
        <v>389.62018127891997</v>
      </c>
      <c r="Q47" s="145">
        <f>[68]NPDCL_Output!$N54</f>
        <v>0</v>
      </c>
      <c r="R47" s="145">
        <f>'[68]NPDCL_Cost Alloc_Factors'!$V56</f>
        <v>216.93532661521155</v>
      </c>
      <c r="S47" s="145">
        <f t="shared" si="49"/>
        <v>0</v>
      </c>
      <c r="T47" s="145">
        <f>[68]NPDCL_Output!$R54</f>
        <v>6.8418681469483742</v>
      </c>
      <c r="U47" s="145">
        <f>'[68]NPDCL_Cost Alloc_Factors'!$H56</f>
        <v>1555.2395194385535</v>
      </c>
      <c r="V47" s="145">
        <f t="shared" si="50"/>
        <v>3.6660313204887731</v>
      </c>
      <c r="W47" s="145">
        <f t="shared" si="51"/>
        <v>251.77995002879408</v>
      </c>
      <c r="X47" s="145">
        <f t="shared" si="52"/>
        <v>214.88857406425018</v>
      </c>
      <c r="Y47" s="145">
        <f t="shared" si="53"/>
        <v>0</v>
      </c>
      <c r="Z47" s="145">
        <f t="shared" si="54"/>
        <v>534.83034415341808</v>
      </c>
      <c r="AA47" s="145">
        <f t="shared" si="55"/>
        <v>466.66852409304425</v>
      </c>
      <c r="AB47" s="145">
        <f t="shared" si="56"/>
        <v>534.83034415341808</v>
      </c>
      <c r="AC47" s="145">
        <f t="shared" si="57"/>
        <v>1001.4988682464623</v>
      </c>
      <c r="AD47" s="145">
        <f t="shared" si="58"/>
        <v>1555.2395194385535</v>
      </c>
      <c r="AE47" s="145">
        <f t="shared" si="59"/>
        <v>6.4395153012058657</v>
      </c>
      <c r="AF47" s="631">
        <f>AE47-[68]NPDCL_Output!AF54</f>
        <v>0</v>
      </c>
    </row>
    <row r="48" spans="3:32" x14ac:dyDescent="0.25">
      <c r="C48" s="630" t="s">
        <v>835</v>
      </c>
      <c r="D48" s="635" t="s">
        <v>836</v>
      </c>
      <c r="E48" s="145">
        <f>[68]NPDCL_Output!$H55</f>
        <v>114.43888622048397</v>
      </c>
      <c r="F48" s="145">
        <f>'[68]NPDCL_Cost Alloc_Factors'!$V57</f>
        <v>86.149107663608291</v>
      </c>
      <c r="G48" s="145">
        <f t="shared" si="45"/>
        <v>1106.9846351682531</v>
      </c>
      <c r="H48" s="145">
        <f>[68]NPDCL_Output!$I55</f>
        <v>231.1091925244562</v>
      </c>
      <c r="I48" s="145">
        <f>'[68]NPDCL_Cost Alloc_Factors'!$H57</f>
        <v>680.75377750250368</v>
      </c>
      <c r="J48" s="145">
        <f t="shared" si="46"/>
        <v>282.9084466882328</v>
      </c>
      <c r="K48" s="145">
        <f>[68]NPDCL_Output!$K55*[68]NPDCL_Switch_Selection!$I$46</f>
        <v>8.6099344761197223</v>
      </c>
      <c r="L48" s="637">
        <f>'[68]NPDCL_Cost Alloc_Factors'!$V57</f>
        <v>86.149107663608291</v>
      </c>
      <c r="M48" s="145">
        <f t="shared" si="47"/>
        <v>83.285196926042289</v>
      </c>
      <c r="N48" s="145">
        <f>[68]NPDCL_Output!$K55*[68]NPDCL_Switch_Selection!$I$45</f>
        <v>7.6966806448584411</v>
      </c>
      <c r="O48" s="145">
        <f>'[68]NPDCL_Cost Alloc_Factors'!$V57</f>
        <v>86.149107663608291</v>
      </c>
      <c r="P48" s="145">
        <f t="shared" si="48"/>
        <v>74.451154647205229</v>
      </c>
      <c r="Q48" s="145">
        <f>[68]NPDCL_Output!$N55</f>
        <v>0</v>
      </c>
      <c r="R48" s="145">
        <f>'[68]NPDCL_Cost Alloc_Factors'!$V57</f>
        <v>86.149107663608291</v>
      </c>
      <c r="S48" s="145">
        <f t="shared" si="49"/>
        <v>0</v>
      </c>
      <c r="T48" s="145">
        <f>[68]NPDCL_Output!$R55</f>
        <v>2.9947976038382684</v>
      </c>
      <c r="U48" s="145">
        <f>'[68]NPDCL_Cost Alloc_Factors'!$H57</f>
        <v>680.75377750250368</v>
      </c>
      <c r="V48" s="145">
        <f t="shared" si="50"/>
        <v>3.6660313204887722</v>
      </c>
      <c r="W48" s="145">
        <f t="shared" si="51"/>
        <v>114.43888622048397</v>
      </c>
      <c r="X48" s="145">
        <f t="shared" si="52"/>
        <v>16.306615120978165</v>
      </c>
      <c r="Y48" s="145">
        <f t="shared" si="53"/>
        <v>0</v>
      </c>
      <c r="Z48" s="145">
        <f t="shared" si="54"/>
        <v>234.10399012829447</v>
      </c>
      <c r="AA48" s="145">
        <f t="shared" si="55"/>
        <v>130.74550134146213</v>
      </c>
      <c r="AB48" s="145">
        <f t="shared" si="56"/>
        <v>234.10399012829447</v>
      </c>
      <c r="AC48" s="145">
        <f t="shared" si="57"/>
        <v>364.84949146975657</v>
      </c>
      <c r="AD48" s="145">
        <f t="shared" si="58"/>
        <v>680.75377750250368</v>
      </c>
      <c r="AE48" s="145">
        <f t="shared" si="59"/>
        <v>5.3594927200887206</v>
      </c>
      <c r="AF48" s="631">
        <f>AE48-[68]NPDCL_Output!AF55</f>
        <v>0</v>
      </c>
    </row>
    <row r="49" spans="3:32" x14ac:dyDescent="0.25">
      <c r="C49" s="630" t="s">
        <v>837</v>
      </c>
      <c r="D49" s="635" t="s">
        <v>838</v>
      </c>
      <c r="E49" s="145">
        <f>[68]NPDCL_Output!$H56</f>
        <v>0</v>
      </c>
      <c r="F49" s="145">
        <f>'[68]NPDCL_Cost Alloc_Factors'!$V58</f>
        <v>0</v>
      </c>
      <c r="G49" s="145">
        <f t="shared" si="45"/>
        <v>0</v>
      </c>
      <c r="H49" s="145">
        <f>[68]NPDCL_Output!$I56</f>
        <v>0</v>
      </c>
      <c r="I49" s="145">
        <f>'[68]NPDCL_Cost Alloc_Factors'!$H58</f>
        <v>0</v>
      </c>
      <c r="J49" s="145">
        <f t="shared" si="46"/>
        <v>0</v>
      </c>
      <c r="K49" s="145">
        <f>[68]NPDCL_Output!$K56*[68]NPDCL_Switch_Selection!$I$46</f>
        <v>0</v>
      </c>
      <c r="L49" s="637">
        <f>'[68]NPDCL_Cost Alloc_Factors'!$V58</f>
        <v>0</v>
      </c>
      <c r="M49" s="145">
        <f t="shared" si="47"/>
        <v>0</v>
      </c>
      <c r="N49" s="145">
        <f>[68]NPDCL_Output!$K56*[68]NPDCL_Switch_Selection!$I$45</f>
        <v>0</v>
      </c>
      <c r="O49" s="145">
        <f>'[68]NPDCL_Cost Alloc_Factors'!$V58</f>
        <v>0</v>
      </c>
      <c r="P49" s="145">
        <f t="shared" si="48"/>
        <v>0</v>
      </c>
      <c r="Q49" s="145">
        <f>[68]NPDCL_Output!$N56</f>
        <v>0</v>
      </c>
      <c r="R49" s="145">
        <f>'[68]NPDCL_Cost Alloc_Factors'!$V58</f>
        <v>0</v>
      </c>
      <c r="S49" s="145">
        <f t="shared" si="49"/>
        <v>0</v>
      </c>
      <c r="T49" s="145">
        <f>[68]NPDCL_Output!$R56</f>
        <v>0</v>
      </c>
      <c r="U49" s="145">
        <f>'[68]NPDCL_Cost Alloc_Factors'!$H58</f>
        <v>0</v>
      </c>
      <c r="V49" s="145">
        <f t="shared" si="50"/>
        <v>0</v>
      </c>
      <c r="W49" s="145">
        <f t="shared" si="51"/>
        <v>0</v>
      </c>
      <c r="X49" s="145">
        <f t="shared" si="52"/>
        <v>0</v>
      </c>
      <c r="Y49" s="145">
        <f t="shared" si="53"/>
        <v>0</v>
      </c>
      <c r="Z49" s="145">
        <f t="shared" si="54"/>
        <v>0</v>
      </c>
      <c r="AA49" s="145">
        <f t="shared" si="55"/>
        <v>0</v>
      </c>
      <c r="AB49" s="145">
        <f t="shared" si="56"/>
        <v>0</v>
      </c>
      <c r="AC49" s="145">
        <f t="shared" si="57"/>
        <v>0</v>
      </c>
      <c r="AD49" s="145">
        <f t="shared" si="58"/>
        <v>0</v>
      </c>
      <c r="AE49" s="145">
        <f t="shared" si="59"/>
        <v>0</v>
      </c>
      <c r="AF49" s="631">
        <f>AE49-[68]NPDCL_Output!AF56</f>
        <v>0</v>
      </c>
    </row>
    <row r="50" spans="3:32" x14ac:dyDescent="0.25">
      <c r="C50" s="630" t="s">
        <v>839</v>
      </c>
      <c r="D50" s="635" t="s">
        <v>825</v>
      </c>
      <c r="E50" s="145">
        <f>[68]NPDCL_Output!$H57</f>
        <v>10.77789220968706</v>
      </c>
      <c r="F50" s="145">
        <f>'[68]NPDCL_Cost Alloc_Factors'!$V59</f>
        <v>7.8349504104447671</v>
      </c>
      <c r="G50" s="145">
        <f t="shared" si="45"/>
        <v>1146.3476309221498</v>
      </c>
      <c r="H50" s="145">
        <f>[68]NPDCL_Output!$I57</f>
        <v>22.727426901298301</v>
      </c>
      <c r="I50" s="145">
        <f>'[68]NPDCL_Cost Alloc_Factors'!$H59</f>
        <v>66.945765103448267</v>
      </c>
      <c r="J50" s="145">
        <f t="shared" si="46"/>
        <v>282.90844668788526</v>
      </c>
      <c r="K50" s="145">
        <f>[68]NPDCL_Output!$K57*[68]NPDCL_Switch_Selection!$I$46</f>
        <v>1.2692778097473791</v>
      </c>
      <c r="L50" s="637">
        <f>'[68]NPDCL_Cost Alloc_Factors'!$V59</f>
        <v>7.8349504104447671</v>
      </c>
      <c r="M50" s="145">
        <f t="shared" si="47"/>
        <v>135.00168510482908</v>
      </c>
      <c r="N50" s="145">
        <f>[68]NPDCL_Output!$K57*[68]NPDCL_Switch_Selection!$I$45</f>
        <v>1.1346457953108267</v>
      </c>
      <c r="O50" s="145">
        <f>'[68]NPDCL_Cost Alloc_Factors'!$V59</f>
        <v>7.8349504104447671</v>
      </c>
      <c r="P50" s="145">
        <f t="shared" si="48"/>
        <v>120.68208644926789</v>
      </c>
      <c r="Q50" s="145">
        <f>[68]NPDCL_Output!$N57</f>
        <v>0</v>
      </c>
      <c r="R50" s="145">
        <f>'[68]NPDCL_Cost Alloc_Factors'!$V59</f>
        <v>7.8349504104447671</v>
      </c>
      <c r="S50" s="145">
        <f t="shared" si="49"/>
        <v>0</v>
      </c>
      <c r="T50" s="145">
        <f>[68]NPDCL_Output!$R57</f>
        <v>0.29451032597199078</v>
      </c>
      <c r="U50" s="145">
        <f>'[68]NPDCL_Cost Alloc_Factors'!$H59</f>
        <v>66.945765103448267</v>
      </c>
      <c r="V50" s="145">
        <f t="shared" si="50"/>
        <v>3.6660313204887722</v>
      </c>
      <c r="W50" s="145">
        <f t="shared" si="51"/>
        <v>10.77789220968706</v>
      </c>
      <c r="X50" s="145">
        <f t="shared" si="52"/>
        <v>2.403923605058206</v>
      </c>
      <c r="Y50" s="145">
        <f t="shared" si="53"/>
        <v>0</v>
      </c>
      <c r="Z50" s="145">
        <f t="shared" si="54"/>
        <v>23.021937227270293</v>
      </c>
      <c r="AA50" s="145">
        <f t="shared" si="55"/>
        <v>13.181815814745267</v>
      </c>
      <c r="AB50" s="145">
        <f t="shared" si="56"/>
        <v>23.021937227270293</v>
      </c>
      <c r="AC50" s="145">
        <f t="shared" si="57"/>
        <v>36.203753042015563</v>
      </c>
      <c r="AD50" s="145">
        <f t="shared" si="58"/>
        <v>66.945765103448267</v>
      </c>
      <c r="AE50" s="145">
        <f t="shared" si="59"/>
        <v>5.4079228142469562</v>
      </c>
      <c r="AF50" s="631">
        <f>AE50-[68]NPDCL_Output!AF57</f>
        <v>0</v>
      </c>
    </row>
    <row r="51" spans="3:32" x14ac:dyDescent="0.25">
      <c r="C51" s="630" t="s">
        <v>840</v>
      </c>
      <c r="D51" s="635" t="s">
        <v>827</v>
      </c>
      <c r="E51" s="145">
        <f>[68]NPDCL_Output!$H58</f>
        <v>0</v>
      </c>
      <c r="F51" s="145">
        <f>'[68]NPDCL_Cost Alloc_Factors'!$V60</f>
        <v>0</v>
      </c>
      <c r="G51" s="145">
        <f t="shared" si="45"/>
        <v>0</v>
      </c>
      <c r="H51" s="145">
        <f>[68]NPDCL_Output!$I58</f>
        <v>0</v>
      </c>
      <c r="I51" s="145">
        <f>'[68]NPDCL_Cost Alloc_Factors'!$H60</f>
        <v>0</v>
      </c>
      <c r="J51" s="145">
        <f t="shared" si="46"/>
        <v>0</v>
      </c>
      <c r="K51" s="145">
        <f>[68]NPDCL_Output!$K58*[68]NPDCL_Switch_Selection!$I$46</f>
        <v>0</v>
      </c>
      <c r="L51" s="637">
        <f>'[68]NPDCL_Cost Alloc_Factors'!$V60</f>
        <v>0</v>
      </c>
      <c r="M51" s="145">
        <f t="shared" si="47"/>
        <v>0</v>
      </c>
      <c r="N51" s="145">
        <f>[68]NPDCL_Output!$K58*[68]NPDCL_Switch_Selection!$I$45</f>
        <v>0</v>
      </c>
      <c r="O51" s="145">
        <f>'[68]NPDCL_Cost Alloc_Factors'!$V60</f>
        <v>0</v>
      </c>
      <c r="P51" s="145">
        <f t="shared" si="48"/>
        <v>0</v>
      </c>
      <c r="Q51" s="145">
        <f>[68]NPDCL_Output!$N58</f>
        <v>0</v>
      </c>
      <c r="R51" s="145">
        <f>'[68]NPDCL_Cost Alloc_Factors'!$V60</f>
        <v>0</v>
      </c>
      <c r="S51" s="145">
        <f t="shared" si="49"/>
        <v>0</v>
      </c>
      <c r="T51" s="145">
        <f>[68]NPDCL_Output!$R58</f>
        <v>0</v>
      </c>
      <c r="U51" s="145">
        <f>'[68]NPDCL_Cost Alloc_Factors'!$H60</f>
        <v>0</v>
      </c>
      <c r="V51" s="145">
        <f t="shared" si="50"/>
        <v>0</v>
      </c>
      <c r="W51" s="145">
        <f t="shared" si="51"/>
        <v>0</v>
      </c>
      <c r="X51" s="145">
        <f t="shared" si="52"/>
        <v>0</v>
      </c>
      <c r="Y51" s="145">
        <f t="shared" si="53"/>
        <v>0</v>
      </c>
      <c r="Z51" s="145">
        <f t="shared" si="54"/>
        <v>0</v>
      </c>
      <c r="AA51" s="145">
        <f t="shared" si="55"/>
        <v>0</v>
      </c>
      <c r="AB51" s="145">
        <f t="shared" si="56"/>
        <v>0</v>
      </c>
      <c r="AC51" s="145">
        <f t="shared" si="57"/>
        <v>0</v>
      </c>
      <c r="AD51" s="145">
        <f t="shared" si="58"/>
        <v>0</v>
      </c>
      <c r="AE51" s="145">
        <f t="shared" si="59"/>
        <v>0</v>
      </c>
      <c r="AF51" s="631">
        <f>AE51-[68]NPDCL_Output!AF58</f>
        <v>0</v>
      </c>
    </row>
    <row r="52" spans="3:32" hidden="1" x14ac:dyDescent="0.25">
      <c r="C52" s="630" t="s">
        <v>841</v>
      </c>
      <c r="D52" s="635" t="s">
        <v>199</v>
      </c>
      <c r="E52" s="145">
        <f>[68]NPDCL_Output!$H59</f>
        <v>0</v>
      </c>
      <c r="F52" s="145">
        <f>'[68]NPDCL_Cost Alloc_Factors'!$V61</f>
        <v>0</v>
      </c>
      <c r="G52" s="145">
        <f t="shared" si="45"/>
        <v>0</v>
      </c>
      <c r="H52" s="145">
        <f>[68]NPDCL_Output!$I59</f>
        <v>0</v>
      </c>
      <c r="I52" s="145">
        <f>'[68]NPDCL_Cost Alloc_Factors'!$H61</f>
        <v>0</v>
      </c>
      <c r="J52" s="145">
        <f t="shared" si="46"/>
        <v>0</v>
      </c>
      <c r="K52" s="145">
        <f>[68]NPDCL_Output!$K59*[68]NPDCL_Switch_Selection!$I$46</f>
        <v>0</v>
      </c>
      <c r="L52" s="637">
        <f>'[68]NPDCL_Cost Alloc_Factors'!$V61</f>
        <v>0</v>
      </c>
      <c r="M52" s="145">
        <f t="shared" si="47"/>
        <v>0</v>
      </c>
      <c r="N52" s="145">
        <f>[68]NPDCL_Output!$K59*[68]NPDCL_Switch_Selection!$I$45</f>
        <v>0</v>
      </c>
      <c r="O52" s="145">
        <f>'[68]NPDCL_Cost Alloc_Factors'!$V61</f>
        <v>0</v>
      </c>
      <c r="P52" s="145">
        <f t="shared" si="48"/>
        <v>0</v>
      </c>
      <c r="Q52" s="145">
        <f>[68]NPDCL_Output!$N59</f>
        <v>0</v>
      </c>
      <c r="R52" s="145">
        <f>'[68]NPDCL_Cost Alloc_Factors'!$V61</f>
        <v>0</v>
      </c>
      <c r="S52" s="145">
        <f t="shared" si="49"/>
        <v>0</v>
      </c>
      <c r="T52" s="145">
        <f>[68]NPDCL_Output!$R59</f>
        <v>0</v>
      </c>
      <c r="U52" s="145">
        <f>'[68]NPDCL_Cost Alloc_Factors'!$H61</f>
        <v>0</v>
      </c>
      <c r="V52" s="145">
        <f t="shared" si="50"/>
        <v>0</v>
      </c>
      <c r="W52" s="145">
        <f t="shared" si="51"/>
        <v>0</v>
      </c>
      <c r="X52" s="145">
        <f t="shared" si="52"/>
        <v>0</v>
      </c>
      <c r="Y52" s="145">
        <f t="shared" si="53"/>
        <v>0</v>
      </c>
      <c r="Z52" s="145">
        <f t="shared" si="54"/>
        <v>0</v>
      </c>
      <c r="AA52" s="145">
        <f t="shared" si="55"/>
        <v>0</v>
      </c>
      <c r="AB52" s="145">
        <f t="shared" si="56"/>
        <v>0</v>
      </c>
      <c r="AC52" s="145">
        <f t="shared" si="57"/>
        <v>0</v>
      </c>
      <c r="AD52" s="145">
        <f t="shared" si="58"/>
        <v>0</v>
      </c>
      <c r="AE52" s="145">
        <f t="shared" si="59"/>
        <v>0</v>
      </c>
      <c r="AF52" s="631">
        <f>AE52-[68]NPDCL_Output!AF59</f>
        <v>0</v>
      </c>
    </row>
    <row r="53" spans="3:32" x14ac:dyDescent="0.25">
      <c r="C53" s="786" t="s">
        <v>220</v>
      </c>
      <c r="D53" s="786"/>
      <c r="E53" s="638">
        <f>SUM(E10:E52)</f>
        <v>5113.1799858426721</v>
      </c>
      <c r="F53" s="638">
        <f>SUM(F10:F52)</f>
        <v>4279.5758396227538</v>
      </c>
      <c r="G53" s="639">
        <f t="shared" si="45"/>
        <v>995.65552316772755</v>
      </c>
      <c r="H53" s="638">
        <f>SUM(H10:H52)</f>
        <v>8928.4956103610584</v>
      </c>
      <c r="I53" s="638">
        <f>SUM(I10:I52)</f>
        <v>23951.373098901844</v>
      </c>
      <c r="J53" s="639">
        <f t="shared" si="46"/>
        <v>310.64661628837274</v>
      </c>
      <c r="K53" s="638">
        <f>SUM(K10:K52)</f>
        <v>710.63</v>
      </c>
      <c r="L53" s="638">
        <f>SUM(L10:L52)</f>
        <v>4279.5758396227538</v>
      </c>
      <c r="M53" s="639">
        <f t="shared" si="47"/>
        <v>138.37625242759307</v>
      </c>
      <c r="N53" s="638">
        <f>SUM(N10:N52)</f>
        <v>635.25363425538103</v>
      </c>
      <c r="O53" s="638">
        <f>SUM(O10:O52)</f>
        <v>4279.5758396227538</v>
      </c>
      <c r="P53" s="639">
        <f t="shared" si="48"/>
        <v>123.69871416808815</v>
      </c>
      <c r="Q53" s="638">
        <f>SUM(Q10:Q52)</f>
        <v>4373.2555880664386</v>
      </c>
      <c r="R53" s="638">
        <f>SUM(R10:R52)</f>
        <v>4279.5758396227538</v>
      </c>
      <c r="S53" s="639">
        <f t="shared" si="49"/>
        <v>851.57496754241083</v>
      </c>
      <c r="T53" s="638">
        <f>SUM(T10:T52)</f>
        <v>105.36778073914361</v>
      </c>
      <c r="U53" s="638">
        <f>SUM(U10:U52)</f>
        <v>23951.373098901844</v>
      </c>
      <c r="V53" s="639">
        <f t="shared" si="50"/>
        <v>3.66603132048877</v>
      </c>
      <c r="W53" s="638">
        <f t="shared" ref="W53:AD53" si="60">SUM(W10:W52)</f>
        <v>5113.1799858426721</v>
      </c>
      <c r="X53" s="638">
        <f t="shared" si="60"/>
        <v>1345.8836342553816</v>
      </c>
      <c r="Y53" s="638">
        <f t="shared" si="60"/>
        <v>4373.2555880664386</v>
      </c>
      <c r="Z53" s="638">
        <f t="shared" si="60"/>
        <v>9033.8633911002016</v>
      </c>
      <c r="AA53" s="638">
        <f t="shared" si="60"/>
        <v>10832.319208164496</v>
      </c>
      <c r="AB53" s="638">
        <f t="shared" si="60"/>
        <v>9033.8633911002016</v>
      </c>
      <c r="AC53" s="638">
        <f t="shared" si="60"/>
        <v>19866.182599264695</v>
      </c>
      <c r="AD53" s="638">
        <f t="shared" si="60"/>
        <v>23951.373098901844</v>
      </c>
      <c r="AE53" s="639">
        <f t="shared" si="59"/>
        <v>8.2943815025684469</v>
      </c>
      <c r="AF53" s="631"/>
    </row>
    <row r="54" spans="3:32" x14ac:dyDescent="0.25">
      <c r="Q54" s="631"/>
      <c r="W54" s="631"/>
      <c r="AD54" s="589" t="s">
        <v>842</v>
      </c>
      <c r="AE54" s="631">
        <f>AE53-[68]NPDCL_Output!$AF$64</f>
        <v>0</v>
      </c>
    </row>
    <row r="55" spans="3:32" x14ac:dyDescent="0.25">
      <c r="Q55" s="640"/>
    </row>
  </sheetData>
  <mergeCells count="26">
    <mergeCell ref="C9:D9"/>
    <mergeCell ref="C20:D20"/>
    <mergeCell ref="C53:D53"/>
    <mergeCell ref="Q6:S6"/>
    <mergeCell ref="T6:V6"/>
    <mergeCell ref="C5:D8"/>
    <mergeCell ref="E5:J5"/>
    <mergeCell ref="K5:M5"/>
    <mergeCell ref="N5:P5"/>
    <mergeCell ref="Q5:S5"/>
    <mergeCell ref="E6:G6"/>
    <mergeCell ref="H6:J6"/>
    <mergeCell ref="K6:M6"/>
    <mergeCell ref="N6:P6"/>
    <mergeCell ref="W6:W7"/>
    <mergeCell ref="X6:X7"/>
    <mergeCell ref="Y6:Y7"/>
    <mergeCell ref="Z6:Z7"/>
    <mergeCell ref="T5:V5"/>
    <mergeCell ref="W5:Z5"/>
    <mergeCell ref="AA5:AB5"/>
    <mergeCell ref="AC5:AC7"/>
    <mergeCell ref="AD5:AD7"/>
    <mergeCell ref="AE5:AE7"/>
    <mergeCell ref="AA6:AA7"/>
    <mergeCell ref="AB6:AB7"/>
  </mergeCells>
  <pageMargins left="0.45" right="0.45" top="0.75" bottom="0.75" header="0.3" footer="0.3"/>
  <pageSetup paperSize="9" scale="35" orientation="landscape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33"/>
  <sheetViews>
    <sheetView showGridLines="0" zoomScale="50" zoomScaleNormal="50" workbookViewId="0">
      <selection activeCell="K17" sqref="K17"/>
    </sheetView>
  </sheetViews>
  <sheetFormatPr defaultColWidth="9.33203125" defaultRowHeight="13.8" x14ac:dyDescent="0.25"/>
  <cols>
    <col min="1" max="1" width="9.33203125" style="571"/>
    <col min="2" max="2" width="27.44140625" style="571" customWidth="1"/>
    <col min="3" max="3" width="24.6640625" style="571" customWidth="1"/>
    <col min="4" max="4" width="17.6640625" style="571" customWidth="1"/>
    <col min="5" max="5" width="16.5546875" style="571" customWidth="1"/>
    <col min="6" max="16384" width="9.33203125" style="571"/>
  </cols>
  <sheetData>
    <row r="2" spans="2:16" x14ac:dyDescent="0.25">
      <c r="B2" s="890" t="s">
        <v>160</v>
      </c>
      <c r="C2" s="890"/>
      <c r="D2" s="890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</row>
    <row r="3" spans="2:16" x14ac:dyDescent="0.25">
      <c r="C3" s="628" t="s">
        <v>843</v>
      </c>
    </row>
    <row r="4" spans="2:16" x14ac:dyDescent="0.25">
      <c r="D4" s="642" t="s">
        <v>844</v>
      </c>
    </row>
    <row r="5" spans="2:16" x14ac:dyDescent="0.25">
      <c r="B5" s="893" t="s">
        <v>5</v>
      </c>
      <c r="C5" s="894"/>
      <c r="D5" s="643" t="s">
        <v>549</v>
      </c>
    </row>
    <row r="6" spans="2:16" x14ac:dyDescent="0.25">
      <c r="B6" s="773" t="s">
        <v>845</v>
      </c>
      <c r="C6" s="892"/>
      <c r="D6" s="774"/>
    </row>
    <row r="7" spans="2:16" x14ac:dyDescent="0.25">
      <c r="B7" s="799" t="s">
        <v>846</v>
      </c>
      <c r="C7" s="799"/>
      <c r="D7" s="579"/>
    </row>
    <row r="8" spans="2:16" x14ac:dyDescent="0.25">
      <c r="B8" s="644" t="s">
        <v>847</v>
      </c>
      <c r="C8" s="607" t="s">
        <v>848</v>
      </c>
      <c r="D8" s="645">
        <f>'[68]NPDCL_Cost Alloc_Factors'!$I$36/'[68]NPDCL_Cost Alloc_Factors'!$K$66</f>
        <v>5.5320223458781735E-3</v>
      </c>
      <c r="H8" s="646"/>
    </row>
    <row r="9" spans="2:16" x14ac:dyDescent="0.25">
      <c r="B9" s="644" t="s">
        <v>847</v>
      </c>
      <c r="C9" s="607" t="s">
        <v>849</v>
      </c>
      <c r="D9" s="645">
        <f>'[68]NPDCL_Cost Alloc_Factors'!$I$49/'[68]NPDCL_Cost Alloc_Factors'!$K$66</f>
        <v>8.1020282037023343E-4</v>
      </c>
      <c r="G9" s="647"/>
    </row>
    <row r="10" spans="2:16" x14ac:dyDescent="0.25">
      <c r="B10" s="644" t="s">
        <v>847</v>
      </c>
      <c r="C10" s="607" t="s">
        <v>850</v>
      </c>
      <c r="D10" s="645">
        <f>'[68]NPDCL_Cost Alloc_Factors'!$I$63/'[68]NPDCL_Cost Alloc_Factors'!$K$66</f>
        <v>1.8563257950693882E-11</v>
      </c>
    </row>
    <row r="11" spans="2:16" x14ac:dyDescent="0.25">
      <c r="B11" s="889" t="s">
        <v>851</v>
      </c>
      <c r="C11" s="889"/>
      <c r="D11" s="645">
        <f>'[68]NPDCL_Cost Alloc_Factors'!$I$22/'[68]NPDCL_Cost Alloc_Factors'!$K$66</f>
        <v>6.8661240621741573E-2</v>
      </c>
    </row>
    <row r="12" spans="2:16" x14ac:dyDescent="0.25">
      <c r="B12" s="891" t="s">
        <v>852</v>
      </c>
      <c r="C12" s="891"/>
      <c r="D12" s="152">
        <f>'[68]NPDCL_Cost Alloc_Factors'!$I$66/'[68]NPDCL_Cost Alloc_Factors'!$K$66</f>
        <v>7.5003465806553246E-2</v>
      </c>
    </row>
    <row r="13" spans="2:16" x14ac:dyDescent="0.25">
      <c r="B13" s="799" t="s">
        <v>853</v>
      </c>
      <c r="C13" s="799"/>
      <c r="D13" s="579"/>
    </row>
    <row r="14" spans="2:16" x14ac:dyDescent="0.25">
      <c r="B14" s="644" t="s">
        <v>847</v>
      </c>
      <c r="C14" s="607" t="s">
        <v>848</v>
      </c>
      <c r="D14" s="645">
        <f>'[68]NPDCL_Cost Alloc_Factors'!$J$36/'[68]NPDCL_Cost Alloc_Factors'!$K$66</f>
        <v>1.461925281823646E-3</v>
      </c>
    </row>
    <row r="15" spans="2:16" x14ac:dyDescent="0.25">
      <c r="B15" s="644" t="s">
        <v>847</v>
      </c>
      <c r="C15" s="607" t="s">
        <v>849</v>
      </c>
      <c r="D15" s="645">
        <f>'[68]NPDCL_Cost Alloc_Factors'!$J$49/'[68]NPDCL_Cost Alloc_Factors'!$K$66</f>
        <v>0</v>
      </c>
    </row>
    <row r="16" spans="2:16" x14ac:dyDescent="0.25">
      <c r="B16" s="644" t="s">
        <v>847</v>
      </c>
      <c r="C16" s="607" t="s">
        <v>850</v>
      </c>
      <c r="D16" s="645">
        <f>'[68]NPDCL_Cost Alloc_Factors'!$J$63/'[68]NPDCL_Cost Alloc_Factors'!$K$66</f>
        <v>0</v>
      </c>
    </row>
    <row r="17" spans="2:6" x14ac:dyDescent="0.25">
      <c r="B17" s="889" t="s">
        <v>851</v>
      </c>
      <c r="C17" s="889"/>
      <c r="D17" s="340">
        <f>'[68]NPDCL_Cost Alloc_Factors'!$J$22/'[68]NPDCL_Cost Alloc_Factors'!$K$66</f>
        <v>1.2826325585811219E-2</v>
      </c>
    </row>
    <row r="18" spans="2:6" x14ac:dyDescent="0.25">
      <c r="B18" s="891" t="s">
        <v>854</v>
      </c>
      <c r="C18" s="891"/>
      <c r="D18" s="349">
        <f>'[68]NPDCL_Cost Alloc_Factors'!$J$66/'[68]NPDCL_Cost Alloc_Factors'!$K$66</f>
        <v>1.4288250867634866E-2</v>
      </c>
    </row>
    <row r="19" spans="2:6" x14ac:dyDescent="0.25">
      <c r="B19" s="891" t="s">
        <v>855</v>
      </c>
      <c r="C19" s="891"/>
      <c r="D19" s="349">
        <f>SUM('[68]NPDCL_Cost Alloc_Factors'!$I$66:$J$66)/'[68]NPDCL_Cost Alloc_Factors'!$K$66</f>
        <v>8.9291716674188115E-2</v>
      </c>
      <c r="E19" s="648"/>
      <c r="F19" s="648"/>
    </row>
    <row r="20" spans="2:6" x14ac:dyDescent="0.25">
      <c r="B20" s="773" t="s">
        <v>856</v>
      </c>
      <c r="C20" s="892"/>
      <c r="D20" s="774"/>
    </row>
    <row r="21" spans="2:6" x14ac:dyDescent="0.25">
      <c r="B21" s="799" t="s">
        <v>846</v>
      </c>
      <c r="C21" s="799"/>
      <c r="D21" s="579"/>
    </row>
    <row r="22" spans="2:6" x14ac:dyDescent="0.25">
      <c r="B22" s="644" t="s">
        <v>847</v>
      </c>
      <c r="C22" s="607" t="s">
        <v>848</v>
      </c>
      <c r="D22" s="645">
        <f>'[68]NPDCL_Cost Alloc_Factors'!$S$36/'[68]NPDCL_Cost Alloc_Factors'!$U$66</f>
        <v>7.483480685270911E-3</v>
      </c>
    </row>
    <row r="23" spans="2:6" x14ac:dyDescent="0.25">
      <c r="B23" s="644" t="s">
        <v>847</v>
      </c>
      <c r="C23" s="607" t="s">
        <v>849</v>
      </c>
      <c r="D23" s="645">
        <f>'[68]NPDCL_Cost Alloc_Factors'!$S$49/'[68]NPDCL_Cost Alloc_Factors'!$U$66</f>
        <v>1.1093317557395643E-3</v>
      </c>
    </row>
    <row r="24" spans="2:6" x14ac:dyDescent="0.25">
      <c r="B24" s="644" t="s">
        <v>847</v>
      </c>
      <c r="C24" s="607" t="s">
        <v>850</v>
      </c>
      <c r="D24" s="645">
        <f>'[68]NPDCL_Cost Alloc_Factors'!$S$63/'[68]NPDCL_Cost Alloc_Factors'!$U$66</f>
        <v>2.2475404963354008E-11</v>
      </c>
    </row>
    <row r="25" spans="2:6" x14ac:dyDescent="0.25">
      <c r="B25" s="889" t="s">
        <v>851</v>
      </c>
      <c r="C25" s="889"/>
      <c r="D25" s="645">
        <f>'[68]NPDCL_Cost Alloc_Factors'!$S$22/'[68]NPDCL_Cost Alloc_Factors'!$U$66</f>
        <v>0.10922155067453178</v>
      </c>
    </row>
    <row r="26" spans="2:6" x14ac:dyDescent="0.25">
      <c r="B26" s="891" t="s">
        <v>852</v>
      </c>
      <c r="C26" s="891"/>
      <c r="D26" s="152">
        <f>'[68]NPDCL_Cost Alloc_Factors'!$S$66/'[68]NPDCL_Cost Alloc_Factors'!$U$66</f>
        <v>0.11781436313801766</v>
      </c>
    </row>
    <row r="27" spans="2:6" x14ac:dyDescent="0.25">
      <c r="B27" s="799" t="s">
        <v>853</v>
      </c>
      <c r="C27" s="799"/>
      <c r="D27" s="579"/>
    </row>
    <row r="28" spans="2:6" x14ac:dyDescent="0.25">
      <c r="B28" s="644" t="s">
        <v>847</v>
      </c>
      <c r="C28" s="607" t="s">
        <v>848</v>
      </c>
      <c r="D28" s="645">
        <f>'[68]NPDCL_Cost Alloc_Factors'!$T$36/'[68]NPDCL_Cost Alloc_Factors'!$U$66</f>
        <v>1.2408441215698764E-3</v>
      </c>
    </row>
    <row r="29" spans="2:6" x14ac:dyDescent="0.25">
      <c r="B29" s="644" t="s">
        <v>847</v>
      </c>
      <c r="C29" s="607" t="s">
        <v>849</v>
      </c>
      <c r="D29" s="645">
        <f>'[68]NPDCL_Cost Alloc_Factors'!$T$49/'[68]NPDCL_Cost Alloc_Factors'!$U$66</f>
        <v>0</v>
      </c>
    </row>
    <row r="30" spans="2:6" x14ac:dyDescent="0.25">
      <c r="B30" s="644" t="s">
        <v>847</v>
      </c>
      <c r="C30" s="607" t="s">
        <v>850</v>
      </c>
      <c r="D30" s="645">
        <f>'[68]NPDCL_Cost Alloc_Factors'!$T$63/'[68]NPDCL_Cost Alloc_Factors'!$U$66</f>
        <v>0</v>
      </c>
    </row>
    <row r="31" spans="2:6" x14ac:dyDescent="0.25">
      <c r="B31" s="889" t="s">
        <v>851</v>
      </c>
      <c r="C31" s="889"/>
      <c r="D31" s="645">
        <f>'[68]NPDCL_Cost Alloc_Factors'!$T$22/'[68]NPDCL_Cost Alloc_Factors'!$U$66</f>
        <v>1.2757891283827014E-2</v>
      </c>
    </row>
    <row r="32" spans="2:6" x14ac:dyDescent="0.25">
      <c r="B32" s="891" t="s">
        <v>854</v>
      </c>
      <c r="C32" s="891"/>
      <c r="D32" s="152">
        <f>'[68]NPDCL_Cost Alloc_Factors'!$T$66/'[68]NPDCL_Cost Alloc_Factors'!$U$66</f>
        <v>1.399873540539689E-2</v>
      </c>
      <c r="E32" s="648"/>
    </row>
    <row r="33" spans="2:4" x14ac:dyDescent="0.25">
      <c r="B33" s="891" t="s">
        <v>857</v>
      </c>
      <c r="C33" s="891"/>
      <c r="D33" s="349">
        <f>SUM('[68]NPDCL_Cost Alloc_Factors'!$S$66:$T$66)/'[68]NPDCL_Cost Alloc_Factors'!$U$66</f>
        <v>0.13181309854341455</v>
      </c>
    </row>
  </sheetData>
  <mergeCells count="18">
    <mergeCell ref="B21:C21"/>
    <mergeCell ref="B12:C12"/>
    <mergeCell ref="B13:C13"/>
    <mergeCell ref="B17:C17"/>
    <mergeCell ref="B18:C18"/>
    <mergeCell ref="B33:C33"/>
    <mergeCell ref="B25:C25"/>
    <mergeCell ref="B26:C26"/>
    <mergeCell ref="B27:C27"/>
    <mergeCell ref="B31:C31"/>
    <mergeCell ref="B32:C32"/>
    <mergeCell ref="B7:C7"/>
    <mergeCell ref="B11:C11"/>
    <mergeCell ref="B2:D2"/>
    <mergeCell ref="B19:C19"/>
    <mergeCell ref="B20:D20"/>
    <mergeCell ref="B5:C5"/>
    <mergeCell ref="B6:D6"/>
  </mergeCells>
  <pageMargins left="2.4500000000000002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52"/>
  <sheetViews>
    <sheetView showGridLines="0" topLeftCell="A31" zoomScale="80" zoomScaleNormal="80" workbookViewId="0">
      <selection activeCell="K17" sqref="K17"/>
    </sheetView>
  </sheetViews>
  <sheetFormatPr defaultColWidth="9.33203125" defaultRowHeight="13.8" x14ac:dyDescent="0.25"/>
  <cols>
    <col min="1" max="1" width="9.33203125" style="4"/>
    <col min="2" max="2" width="27" style="4" customWidth="1"/>
    <col min="3" max="3" width="44.109375" style="4" customWidth="1"/>
    <col min="4" max="4" width="12.6640625" style="4" customWidth="1"/>
    <col min="5" max="5" width="7.44140625" style="4" customWidth="1"/>
    <col min="6" max="6" width="11.109375" style="4" customWidth="1"/>
    <col min="7" max="7" width="13" style="4" customWidth="1"/>
    <col min="8" max="8" width="12.44140625" style="4" customWidth="1"/>
    <col min="9" max="9" width="12.88671875" style="4" customWidth="1"/>
    <col min="10" max="10" width="19.109375" style="4" customWidth="1"/>
    <col min="11" max="16384" width="9.33203125" style="4"/>
  </cols>
  <sheetData>
    <row r="2" spans="2:16" x14ac:dyDescent="0.25">
      <c r="B2" s="825" t="s">
        <v>160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6" x14ac:dyDescent="0.25">
      <c r="G3" s="151" t="s">
        <v>858</v>
      </c>
    </row>
    <row r="4" spans="2:16" x14ac:dyDescent="0.25">
      <c r="D4" s="15"/>
      <c r="J4" s="15" t="s">
        <v>844</v>
      </c>
    </row>
    <row r="5" spans="2:16" x14ac:dyDescent="0.25">
      <c r="B5" s="897" t="s">
        <v>163</v>
      </c>
      <c r="C5" s="897"/>
      <c r="D5" s="897" t="s">
        <v>549</v>
      </c>
      <c r="E5" s="897"/>
      <c r="F5" s="897"/>
      <c r="G5" s="897"/>
      <c r="H5" s="897"/>
      <c r="I5" s="897"/>
      <c r="J5" s="897"/>
    </row>
    <row r="6" spans="2:16" x14ac:dyDescent="0.25">
      <c r="B6" s="897"/>
      <c r="C6" s="897"/>
      <c r="D6" s="149" t="s">
        <v>859</v>
      </c>
      <c r="E6" s="897" t="s">
        <v>860</v>
      </c>
      <c r="F6" s="897"/>
      <c r="G6" s="897"/>
      <c r="H6" s="897" t="s">
        <v>853</v>
      </c>
      <c r="I6" s="897"/>
      <c r="J6" s="897"/>
    </row>
    <row r="7" spans="2:16" ht="92.25" customHeight="1" x14ac:dyDescent="0.25">
      <c r="B7" s="897"/>
      <c r="C7" s="897"/>
      <c r="D7" s="150" t="s">
        <v>853</v>
      </c>
      <c r="E7" s="150" t="s">
        <v>861</v>
      </c>
      <c r="F7" s="150" t="s">
        <v>862</v>
      </c>
      <c r="G7" s="150" t="s">
        <v>863</v>
      </c>
      <c r="H7" s="150" t="s">
        <v>864</v>
      </c>
      <c r="I7" s="150" t="s">
        <v>865</v>
      </c>
      <c r="J7" s="150" t="s">
        <v>866</v>
      </c>
    </row>
    <row r="8" spans="2:16" x14ac:dyDescent="0.25">
      <c r="B8" s="895" t="s">
        <v>781</v>
      </c>
      <c r="C8" s="896"/>
      <c r="D8" s="17"/>
      <c r="E8" s="17"/>
      <c r="F8" s="17"/>
      <c r="G8" s="17"/>
      <c r="H8" s="17"/>
      <c r="I8" s="17"/>
      <c r="J8" s="17"/>
    </row>
    <row r="9" spans="2:16" x14ac:dyDescent="0.25">
      <c r="B9" s="148" t="s">
        <v>172</v>
      </c>
      <c r="C9" s="148" t="s">
        <v>173</v>
      </c>
      <c r="D9" s="160">
        <f>'[68]NPDCL_Cost Alloc_Factors'!$J11/'[68]NPDCL_Cost Alloc_Factors'!$J$66</f>
        <v>0.25971583384449903</v>
      </c>
      <c r="E9" s="160">
        <f>[68]NPDCL_Inp_Category!$K9</f>
        <v>0.83292620328817435</v>
      </c>
      <c r="F9" s="160">
        <f>[68]NPDCL_Inp_Category!$M9</f>
        <v>1</v>
      </c>
      <c r="G9" s="160">
        <f>[68]NPDCL_Inp_Category!$O9</f>
        <v>0.77696128901025852</v>
      </c>
      <c r="H9" s="160">
        <f>[68]NPDCL_Inp_Losses!$S9</f>
        <v>0.22889995613274342</v>
      </c>
      <c r="I9" s="160">
        <f>[68]NPDCL_Inp_Losses!$Y9</f>
        <v>0.21568111391392616</v>
      </c>
      <c r="J9" s="160">
        <f>[68]NPDCL_Inp_Losses!$AE9</f>
        <v>0.2423828764210593</v>
      </c>
    </row>
    <row r="10" spans="2:16" x14ac:dyDescent="0.25">
      <c r="B10" s="143" t="s">
        <v>783</v>
      </c>
      <c r="C10" s="143" t="s">
        <v>175</v>
      </c>
      <c r="D10" s="160">
        <f>'[68]NPDCL_Cost Alloc_Factors'!$J12/'[68]NPDCL_Cost Alloc_Factors'!$J$66</f>
        <v>5.6890354915878731E-2</v>
      </c>
      <c r="E10" s="160">
        <f>[68]NPDCL_Inp_Category!$K10</f>
        <v>0.74538389853972342</v>
      </c>
      <c r="F10" s="160">
        <f>[68]NPDCL_Inp_Category!$M10</f>
        <v>0.80557255014799733</v>
      </c>
      <c r="G10" s="160">
        <f>[68]NPDCL_Inp_Category!$O10</f>
        <v>0.87295951066414224</v>
      </c>
      <c r="H10" s="160">
        <f>[68]NPDCL_Inp_Losses!$S10</f>
        <v>5.602894471810918E-2</v>
      </c>
      <c r="I10" s="160">
        <f>[68]NPDCL_Inp_Losses!$Y10</f>
        <v>5.5868962186264692E-2</v>
      </c>
      <c r="J10" s="160">
        <f>[68]NPDCL_Inp_Losses!$AE10</f>
        <v>4.5016358509240816E-2</v>
      </c>
    </row>
    <row r="11" spans="2:16" x14ac:dyDescent="0.25">
      <c r="B11" s="143" t="s">
        <v>784</v>
      </c>
      <c r="C11" s="143" t="s">
        <v>785</v>
      </c>
      <c r="D11" s="160">
        <f>'[68]NPDCL_Cost Alloc_Factors'!$J13/'[68]NPDCL_Cost Alloc_Factors'!$J$66</f>
        <v>1.2668699931161048E-2</v>
      </c>
      <c r="E11" s="160">
        <f>[68]NPDCL_Inp_Category!$K11</f>
        <v>0.87788622992436049</v>
      </c>
      <c r="F11" s="160">
        <f>[68]NPDCL_Inp_Category!$M11</f>
        <v>0.87989334017014931</v>
      </c>
      <c r="G11" s="160">
        <f>[68]NPDCL_Inp_Category!$O11</f>
        <v>0.97262110608244523</v>
      </c>
      <c r="H11" s="160">
        <f>[68]NPDCL_Inp_Losses!$S11</f>
        <v>1.0593698762561615E-2</v>
      </c>
      <c r="I11" s="160">
        <f>[68]NPDCL_Inp_Losses!$Y11</f>
        <v>1.2425051893780436E-2</v>
      </c>
      <c r="J11" s="160">
        <f>[68]NPDCL_Inp_Losses!$AE11</f>
        <v>9.8146259056446864E-3</v>
      </c>
    </row>
    <row r="12" spans="2:16" x14ac:dyDescent="0.25">
      <c r="B12" s="143" t="s">
        <v>786</v>
      </c>
      <c r="C12" s="143" t="s">
        <v>787</v>
      </c>
      <c r="D12" s="160">
        <f>'[68]NPDCL_Cost Alloc_Factors'!$J14/'[68]NPDCL_Cost Alloc_Factors'!$J$66</f>
        <v>4.4844538722321422E-4</v>
      </c>
      <c r="E12" s="160">
        <f>[68]NPDCL_Inp_Category!$K12</f>
        <v>0.62037389168413759</v>
      </c>
      <c r="F12" s="160">
        <f>[68]NPDCL_Inp_Category!$M12</f>
        <v>0.46852337789733534</v>
      </c>
      <c r="G12" s="160">
        <f>[68]NPDCL_Inp_Category!$O12</f>
        <v>0.89526091724539114</v>
      </c>
      <c r="H12" s="160">
        <f>[68]NPDCL_Inp_Losses!$S12</f>
        <v>5.5285799012235837E-4</v>
      </c>
      <c r="I12" s="160">
        <f>[68]NPDCL_Inp_Losses!$Y12</f>
        <v>5.6882458140501159E-4</v>
      </c>
      <c r="J12" s="160">
        <f>[68]NPDCL_Inp_Losses!$AE12</f>
        <v>2.5992568333178416E-4</v>
      </c>
    </row>
    <row r="13" spans="2:16" x14ac:dyDescent="0.25">
      <c r="B13" s="143" t="s">
        <v>788</v>
      </c>
      <c r="C13" s="143" t="s">
        <v>203</v>
      </c>
      <c r="D13" s="160">
        <f>'[68]NPDCL_Cost Alloc_Factors'!$J15/'[68]NPDCL_Cost Alloc_Factors'!$J$66</f>
        <v>0.54269955551425808</v>
      </c>
      <c r="E13" s="160">
        <f>[68]NPDCL_Inp_Category!$K13</f>
        <v>0.68887692333221107</v>
      </c>
      <c r="F13" s="160">
        <f>[68]NPDCL_Inp_Category!$M13</f>
        <v>0.97766005608368145</v>
      </c>
      <c r="G13" s="160">
        <f>[68]NPDCL_Inp_Category!$O13</f>
        <v>0.85258635942306871</v>
      </c>
      <c r="H13" s="160">
        <f>[68]NPDCL_Inp_Losses!$S13</f>
        <v>0.57832455987761799</v>
      </c>
      <c r="I13" s="160">
        <f>[68]NPDCL_Inp_Losses!$Y13</f>
        <v>0.59792836659429682</v>
      </c>
      <c r="J13" s="160">
        <f>[68]NPDCL_Inp_Losses!$AE13</f>
        <v>0.59867048504764186</v>
      </c>
    </row>
    <row r="14" spans="2:16" x14ac:dyDescent="0.25">
      <c r="B14" s="143" t="s">
        <v>789</v>
      </c>
      <c r="C14" s="143" t="s">
        <v>790</v>
      </c>
      <c r="D14" s="160">
        <f>'[68]NPDCL_Cost Alloc_Factors'!$J16/'[68]NPDCL_Cost Alloc_Factors'!$J$66</f>
        <v>2.0579215537710402E-2</v>
      </c>
      <c r="E14" s="160">
        <f>[68]NPDCL_Inp_Category!$K14</f>
        <v>0.50208333333333333</v>
      </c>
      <c r="F14" s="160">
        <f>[68]NPDCL_Inp_Category!$M14</f>
        <v>0.42468112395712365</v>
      </c>
      <c r="G14" s="160">
        <f>[68]NPDCL_Inp_Category!$O14</f>
        <v>0.52148971012163969</v>
      </c>
      <c r="H14" s="160">
        <f>[68]NPDCL_Inp_Losses!$S14</f>
        <v>3.0088935081690103E-2</v>
      </c>
      <c r="I14" s="160">
        <f>[68]NPDCL_Inp_Losses!$Y14</f>
        <v>1.7923244166511292E-2</v>
      </c>
      <c r="J14" s="160">
        <f>[68]NPDCL_Inp_Losses!$AE14</f>
        <v>1.2744506826060193E-2</v>
      </c>
    </row>
    <row r="15" spans="2:16" x14ac:dyDescent="0.25">
      <c r="B15" s="143" t="s">
        <v>791</v>
      </c>
      <c r="C15" s="143" t="s">
        <v>792</v>
      </c>
      <c r="D15" s="160">
        <f>'[68]NPDCL_Cost Alloc_Factors'!$J17/'[68]NPDCL_Cost Alloc_Factors'!$J$66</f>
        <v>4.6721554536571274E-3</v>
      </c>
      <c r="E15" s="160">
        <f>[68]NPDCL_Inp_Category!$K15</f>
        <v>0.50208333333333333</v>
      </c>
      <c r="F15" s="160">
        <f>[68]NPDCL_Inp_Category!$M15</f>
        <v>0.42468112395712365</v>
      </c>
      <c r="G15" s="160">
        <f>[68]NPDCL_Inp_Category!$O15</f>
        <v>0.5214897101216398</v>
      </c>
      <c r="H15" s="160">
        <f>[68]NPDCL_Inp_Losses!$S15</f>
        <v>6.8311730288769948E-3</v>
      </c>
      <c r="I15" s="160">
        <f>[68]NPDCL_Inp_Losses!$Y15</f>
        <v>4.0691630264693161E-3</v>
      </c>
      <c r="J15" s="160">
        <f>[68]NPDCL_Inp_Losses!$AE15</f>
        <v>2.8934201579470112E-3</v>
      </c>
    </row>
    <row r="16" spans="2:16" x14ac:dyDescent="0.25">
      <c r="B16" s="143" t="s">
        <v>793</v>
      </c>
      <c r="C16" s="143" t="s">
        <v>794</v>
      </c>
      <c r="D16" s="160">
        <f>'[68]NPDCL_Cost Alloc_Factors'!$J18/'[68]NPDCL_Cost Alloc_Factors'!$J$66</f>
        <v>9.1370990098780219E-6</v>
      </c>
      <c r="E16" s="160">
        <f>[68]NPDCL_Inp_Category!$K16</f>
        <v>0.55694444444444435</v>
      </c>
      <c r="F16" s="160">
        <f>[68]NPDCL_Inp_Category!$M16</f>
        <v>3.3635233355320038E-2</v>
      </c>
      <c r="G16" s="160">
        <f>[68]NPDCL_Inp_Category!$O16</f>
        <v>0.99126203277791802</v>
      </c>
      <c r="H16" s="160">
        <f>[68]NPDCL_Inp_Losses!$S16</f>
        <v>4.01447730216289E-5</v>
      </c>
      <c r="I16" s="160">
        <f>[68]NPDCL_Inp_Losses!$Y16</f>
        <v>1.4347956820452832E-5</v>
      </c>
      <c r="J16" s="160">
        <f>[68]NPDCL_Inp_Losses!$AE16</f>
        <v>4.2509425177041566E-7</v>
      </c>
    </row>
    <row r="17" spans="2:10" hidden="1" x14ac:dyDescent="0.25">
      <c r="B17" s="143" t="s">
        <v>795</v>
      </c>
      <c r="C17" s="143" t="s">
        <v>796</v>
      </c>
      <c r="D17" s="141">
        <f>'[68]NPDCL_Cost Alloc_Factors'!$J19/'[68]NPDCL_Cost Alloc_Factors'!$J$66</f>
        <v>0</v>
      </c>
      <c r="E17" s="141">
        <f>[68]NPDCL_Inp_Category!$K17</f>
        <v>0</v>
      </c>
      <c r="F17" s="159">
        <f>[68]NPDCL_Inp_Category!$M17</f>
        <v>0</v>
      </c>
      <c r="G17" s="159">
        <f>[68]NPDCL_Inp_Category!$O17</f>
        <v>0</v>
      </c>
      <c r="H17" s="141">
        <f>[68]NPDCL_Inp_Losses!$S17</f>
        <v>0</v>
      </c>
      <c r="I17" s="141">
        <f>[68]NPDCL_Inp_Losses!$Y17</f>
        <v>0</v>
      </c>
      <c r="J17" s="141">
        <f>[68]NPDCL_Inp_Losses!$AE17</f>
        <v>0</v>
      </c>
    </row>
    <row r="18" spans="2:10" hidden="1" x14ac:dyDescent="0.25">
      <c r="B18" s="143" t="s">
        <v>797</v>
      </c>
      <c r="C18" s="147" t="s">
        <v>798</v>
      </c>
      <c r="D18" s="141">
        <f>'[68]NPDCL_Cost Alloc_Factors'!$J20/'[68]NPDCL_Cost Alloc_Factors'!$J$66</f>
        <v>0</v>
      </c>
      <c r="E18" s="141">
        <f>[68]NPDCL_Inp_Category!$K18</f>
        <v>0</v>
      </c>
      <c r="F18" s="141">
        <f>[68]NPDCL_Inp_Category!$M18</f>
        <v>0</v>
      </c>
      <c r="G18" s="141">
        <f>[68]NPDCL_Inp_Category!$O18</f>
        <v>0</v>
      </c>
      <c r="H18" s="141">
        <f>[68]NPDCL_Inp_Losses!$S18</f>
        <v>0</v>
      </c>
      <c r="I18" s="141">
        <f>[68]NPDCL_Inp_Losses!$Y18</f>
        <v>0</v>
      </c>
      <c r="J18" s="141">
        <f>[68]NPDCL_Inp_Losses!$AE18</f>
        <v>0</v>
      </c>
    </row>
    <row r="19" spans="2:10" x14ac:dyDescent="0.25">
      <c r="B19" s="895" t="s">
        <v>799</v>
      </c>
      <c r="C19" s="896"/>
      <c r="D19" s="17"/>
      <c r="E19" s="17"/>
      <c r="F19" s="17"/>
      <c r="G19" s="17"/>
      <c r="H19" s="17"/>
      <c r="I19" s="17"/>
      <c r="J19" s="17"/>
    </row>
    <row r="20" spans="2:10" x14ac:dyDescent="0.25">
      <c r="B20" s="143"/>
      <c r="C20" s="146" t="s">
        <v>800</v>
      </c>
      <c r="D20" s="17"/>
      <c r="E20" s="17"/>
      <c r="F20" s="17"/>
      <c r="G20" s="17"/>
      <c r="H20" s="17"/>
      <c r="I20" s="17"/>
      <c r="J20" s="17"/>
    </row>
    <row r="21" spans="2:10" x14ac:dyDescent="0.25">
      <c r="B21" s="143" t="s">
        <v>801</v>
      </c>
      <c r="C21" s="142" t="s">
        <v>802</v>
      </c>
      <c r="D21" s="160">
        <f>'[68]NPDCL_Cost Alloc_Factors'!$J25/'[68]NPDCL_Cost Alloc_Factors'!$J$66</f>
        <v>4.2409830136177225E-2</v>
      </c>
      <c r="E21" s="160">
        <f>[68]NPDCL_Inp_Category!$K23</f>
        <v>0.93236402879197822</v>
      </c>
      <c r="F21" s="160">
        <f>[68]NPDCL_Inp_Category!$M23</f>
        <v>0.93294437183280321</v>
      </c>
      <c r="G21" s="159">
        <f>[68]NPDCL_Inp_Category!$O23</f>
        <v>1</v>
      </c>
      <c r="H21" s="160">
        <f>[68]NPDCL_Inp_Losses!$S23</f>
        <v>3.3391415515300622E-2</v>
      </c>
      <c r="I21" s="160">
        <f>[68]NPDCL_Inp_Losses!$Y23</f>
        <v>3.9584766512119965E-2</v>
      </c>
      <c r="J21" s="160">
        <f>[68]NPDCL_Inp_Losses!$AE23</f>
        <v>3.2461060579414933E-2</v>
      </c>
    </row>
    <row r="22" spans="2:10" x14ac:dyDescent="0.25">
      <c r="B22" s="143" t="s">
        <v>803</v>
      </c>
      <c r="C22" s="142" t="s">
        <v>804</v>
      </c>
      <c r="D22" s="160">
        <f>'[68]NPDCL_Cost Alloc_Factors'!$J26/'[68]NPDCL_Cost Alloc_Factors'!$J$66</f>
        <v>0</v>
      </c>
      <c r="E22" s="511">
        <f>[68]NPDCL_Inp_Category!$K24</f>
        <v>0</v>
      </c>
      <c r="F22" s="160">
        <f>[68]NPDCL_Inp_Category!$M24</f>
        <v>0</v>
      </c>
      <c r="G22" s="159">
        <f>[68]NPDCL_Inp_Category!$O24</f>
        <v>0</v>
      </c>
      <c r="H22" s="160">
        <f>[68]NPDCL_Inp_Losses!$S24</f>
        <v>0</v>
      </c>
      <c r="I22" s="153">
        <f>[68]NPDCL_Inp_Losses!$Y24</f>
        <v>0</v>
      </c>
      <c r="J22" s="160">
        <f>[68]NPDCL_Inp_Losses!$AE24</f>
        <v>0</v>
      </c>
    </row>
    <row r="23" spans="2:10" x14ac:dyDescent="0.25">
      <c r="B23" s="143" t="s">
        <v>805</v>
      </c>
      <c r="C23" s="142" t="s">
        <v>498</v>
      </c>
      <c r="D23" s="160">
        <f>'[68]NPDCL_Cost Alloc_Factors'!$J27/'[68]NPDCL_Cost Alloc_Factors'!$J$66</f>
        <v>8.8571056250101865E-3</v>
      </c>
      <c r="E23" s="160">
        <f>[68]NPDCL_Inp_Category!$K25</f>
        <v>0.78835658277102461</v>
      </c>
      <c r="F23" s="160">
        <f>[68]NPDCL_Inp_Category!$M25</f>
        <v>0.75825744488158675</v>
      </c>
      <c r="G23" s="159">
        <f>[68]NPDCL_Inp_Category!$O25</f>
        <v>0.82778778976448775</v>
      </c>
      <c r="H23" s="160">
        <f>[68]NPDCL_Inp_Losses!$S25</f>
        <v>8.2475115467296519E-3</v>
      </c>
      <c r="I23" s="155">
        <f>[68]NPDCL_Inp_Losses!$Y25</f>
        <v>7.9091814709833681E-3</v>
      </c>
      <c r="J23" s="160">
        <f>[68]NPDCL_Inp_Losses!$AE25</f>
        <v>6.3680736223152923E-3</v>
      </c>
    </row>
    <row r="24" spans="2:10" x14ac:dyDescent="0.25">
      <c r="B24" s="143" t="s">
        <v>806</v>
      </c>
      <c r="C24" s="143" t="s">
        <v>807</v>
      </c>
      <c r="D24" s="160">
        <f>'[68]NPDCL_Cost Alloc_Factors'!$J28/'[68]NPDCL_Cost Alloc_Factors'!$J$66</f>
        <v>3.01478108047311E-4</v>
      </c>
      <c r="E24" s="160">
        <f>[68]NPDCL_Inp_Category!$K26</f>
        <v>0.75548370385764474</v>
      </c>
      <c r="F24" s="160">
        <f>[68]NPDCL_Inp_Category!$M26</f>
        <v>0.62368581294568681</v>
      </c>
      <c r="G24" s="159">
        <f>[68]NPDCL_Inp_Category!$O26</f>
        <v>0.93606031481501595</v>
      </c>
      <c r="H24" s="160">
        <f>[68]NPDCL_Inp_Losses!$S26</f>
        <v>2.9294391884570741E-4</v>
      </c>
      <c r="I24" s="155">
        <f>[68]NPDCL_Inp_Losses!$Y26</f>
        <v>3.1847647213746383E-4</v>
      </c>
      <c r="J24" s="160">
        <f>[68]NPDCL_Inp_Losses!$AE26</f>
        <v>1.8651692812488108E-4</v>
      </c>
    </row>
    <row r="25" spans="2:10" x14ac:dyDescent="0.25">
      <c r="B25" s="143" t="s">
        <v>808</v>
      </c>
      <c r="C25" s="142" t="s">
        <v>809</v>
      </c>
      <c r="D25" s="160">
        <f>'[68]NPDCL_Cost Alloc_Factors'!$J29/'[68]NPDCL_Cost Alloc_Factors'!$J$66</f>
        <v>6.6614428520603893E-3</v>
      </c>
      <c r="E25" s="160">
        <f>[68]NPDCL_Inp_Category!$K27</f>
        <v>0.90370962866711346</v>
      </c>
      <c r="F25" s="160">
        <f>[68]NPDCL_Inp_Category!$M27</f>
        <v>0.97454066527449634</v>
      </c>
      <c r="G25" s="159">
        <f>[68]NPDCL_Inp_Category!$O27</f>
        <v>0.95073959577183542</v>
      </c>
      <c r="H25" s="160">
        <f>[68]NPDCL_Inp_Losses!$S27</f>
        <v>5.4111952368301368E-3</v>
      </c>
      <c r="I25" s="155">
        <f>[68]NPDCL_Inp_Losses!$Y27</f>
        <v>6.1959587981366623E-3</v>
      </c>
      <c r="J25" s="160">
        <f>[68]NPDCL_Inp_Losses!$AE27</f>
        <v>5.5824619805676214E-3</v>
      </c>
    </row>
    <row r="26" spans="2:10" x14ac:dyDescent="0.25">
      <c r="B26" s="143" t="s">
        <v>810</v>
      </c>
      <c r="C26" s="142" t="s">
        <v>811</v>
      </c>
      <c r="D26" s="160">
        <f>'[68]NPDCL_Cost Alloc_Factors'!$J30/'[68]NPDCL_Cost Alloc_Factors'!$J$66</f>
        <v>3.2414485273354681E-4</v>
      </c>
      <c r="E26" s="160">
        <f>[68]NPDCL_Inp_Category!$K28</f>
        <v>0.62866300366300354</v>
      </c>
      <c r="F26" s="160">
        <f>[68]NPDCL_Inp_Category!$M28</f>
        <v>1</v>
      </c>
      <c r="G26" s="159">
        <f>[68]NPDCL_Inp_Category!$O28</f>
        <v>0.49174463860248618</v>
      </c>
      <c r="H26" s="160">
        <f>[68]NPDCL_Inp_Losses!$S28</f>
        <v>3.785079739296234E-4</v>
      </c>
      <c r="I26" s="160">
        <f>[68]NPDCL_Inp_Losses!$Y28</f>
        <v>2.2422912585715599E-4</v>
      </c>
      <c r="J26" s="160">
        <f>[68]NPDCL_Inp_Losses!$AE28</f>
        <v>4.0080327239628411E-4</v>
      </c>
    </row>
    <row r="27" spans="2:10" x14ac:dyDescent="0.25">
      <c r="B27" s="143" t="s">
        <v>812</v>
      </c>
      <c r="C27" s="142" t="s">
        <v>813</v>
      </c>
      <c r="D27" s="160">
        <f>'[68]NPDCL_Cost Alloc_Factors'!$J31/'[68]NPDCL_Cost Alloc_Factors'!$J$66</f>
        <v>5.1153975644600922E-4</v>
      </c>
      <c r="E27" s="160">
        <f>[68]NPDCL_Inp_Category!$K29</f>
        <v>0.82917051887916815</v>
      </c>
      <c r="F27" s="160">
        <f>[68]NPDCL_Inp_Category!$M29</f>
        <v>0.79955060282925794</v>
      </c>
      <c r="G27" s="159">
        <f>[68]NPDCL_Inp_Category!$O29</f>
        <v>0.93706329400711397</v>
      </c>
      <c r="H27" s="160">
        <f>[68]NPDCL_Inp_Losses!$S29</f>
        <v>4.5288647039770825E-4</v>
      </c>
      <c r="I27" s="160">
        <f>[68]NPDCL_Inp_Losses!$Y29</f>
        <v>4.928869350830893E-4</v>
      </c>
      <c r="J27" s="160">
        <f>[68]NPDCL_Inp_Losses!$AE29</f>
        <v>3.6966063368564867E-4</v>
      </c>
    </row>
    <row r="28" spans="2:10" x14ac:dyDescent="0.25">
      <c r="B28" s="143" t="s">
        <v>814</v>
      </c>
      <c r="C28" s="142" t="s">
        <v>815</v>
      </c>
      <c r="D28" s="160">
        <f>'[68]NPDCL_Cost Alloc_Factors'!$J32/'[68]NPDCL_Cost Alloc_Factors'!$J$66</f>
        <v>4.3239239989994349E-2</v>
      </c>
      <c r="E28" s="159">
        <f>[68]NPDCL_Inp_Category!$K30</f>
        <v>0.78442138873443512</v>
      </c>
      <c r="F28" s="159">
        <f>[68]NPDCL_Inp_Category!$M30</f>
        <v>1</v>
      </c>
      <c r="G28" s="159">
        <f>[68]NPDCL_Inp_Category!$O30</f>
        <v>0.84106136384294561</v>
      </c>
      <c r="H28" s="160">
        <f>[68]NPDCL_Inp_Losses!$S30</f>
        <v>4.0465268973223285E-2</v>
      </c>
      <c r="I28" s="141">
        <f>[68]NPDCL_Inp_Losses!$Y30</f>
        <v>4.0795426366208115E-2</v>
      </c>
      <c r="J28" s="160">
        <f>[68]NPDCL_Inp_Losses!$AE30</f>
        <v>4.2848799338317957E-2</v>
      </c>
    </row>
    <row r="29" spans="2:10" hidden="1" x14ac:dyDescent="0.25">
      <c r="B29" s="143" t="s">
        <v>816</v>
      </c>
      <c r="C29" s="142" t="s">
        <v>199</v>
      </c>
      <c r="D29" s="160">
        <f>'[68]NPDCL_Cost Alloc_Factors'!$J33/'[68]NPDCL_Cost Alloc_Factors'!$J$66</f>
        <v>1.1820996133397553E-5</v>
      </c>
      <c r="E29" s="512">
        <f>[68]NPDCL_Inp_Category!$K31</f>
        <v>0</v>
      </c>
      <c r="F29" s="159">
        <f>[68]NPDCL_Inp_Category!$M31</f>
        <v>0</v>
      </c>
      <c r="G29" s="159">
        <f>[68]NPDCL_Inp_Category!$O31</f>
        <v>0</v>
      </c>
      <c r="H29" s="141">
        <f>[68]NPDCL_Inp_Losses!$S31</f>
        <v>0</v>
      </c>
      <c r="I29" s="141">
        <f>[68]NPDCL_Inp_Losses!$Y31</f>
        <v>0</v>
      </c>
      <c r="J29" s="141">
        <f>[68]NPDCL_Inp_Losses!$AE31</f>
        <v>0</v>
      </c>
    </row>
    <row r="30" spans="2:10" hidden="1" x14ac:dyDescent="0.25">
      <c r="B30" s="143" t="s">
        <v>817</v>
      </c>
      <c r="C30" s="142" t="s">
        <v>798</v>
      </c>
      <c r="D30" s="141">
        <f>'[68]NPDCL_Cost Alloc_Factors'!$J34/'[68]NPDCL_Cost Alloc_Factors'!$J$66</f>
        <v>0</v>
      </c>
      <c r="E30" s="512">
        <f>[68]NPDCL_Inp_Category!$K32</f>
        <v>0</v>
      </c>
      <c r="F30" s="159">
        <f>[68]NPDCL_Inp_Category!$M32</f>
        <v>0</v>
      </c>
      <c r="G30" s="159">
        <f>[68]NPDCL_Inp_Category!$O32</f>
        <v>0</v>
      </c>
      <c r="H30" s="141">
        <f>[68]NPDCL_Inp_Losses!$S32</f>
        <v>0</v>
      </c>
      <c r="I30" s="141">
        <f>[68]NPDCL_Inp_Losses!$Y32</f>
        <v>0</v>
      </c>
      <c r="J30" s="141">
        <f>[68]NPDCL_Inp_Losses!$AE32</f>
        <v>0</v>
      </c>
    </row>
    <row r="31" spans="2:10" x14ac:dyDescent="0.25">
      <c r="B31" s="143"/>
      <c r="C31" s="144" t="s">
        <v>818</v>
      </c>
      <c r="D31" s="17"/>
      <c r="E31" s="17"/>
      <c r="F31" s="17"/>
      <c r="G31" s="17"/>
      <c r="H31" s="17"/>
      <c r="I31" s="17"/>
      <c r="J31" s="17"/>
    </row>
    <row r="32" spans="2:10" x14ac:dyDescent="0.25">
      <c r="B32" s="143" t="s">
        <v>819</v>
      </c>
      <c r="C32" s="142" t="s">
        <v>802</v>
      </c>
      <c r="D32" s="141">
        <f>'[68]NPDCL_Cost Alloc_Factors'!$J39/'[68]NPDCL_Cost Alloc_Factors'!$J$66</f>
        <v>0</v>
      </c>
      <c r="E32" s="89">
        <f>IFERROR([68]NPDCL_Inp_Category!$K37,0)</f>
        <v>0.84204320805415611</v>
      </c>
      <c r="F32" s="89">
        <f>IFERROR([68]NPDCL_Inp_Category!$M37,0)</f>
        <v>0.98965756606202249</v>
      </c>
      <c r="G32" s="89">
        <f>IFERROR([68]NPDCL_Inp_Category!$O37,0)</f>
        <v>0.93164973191012834</v>
      </c>
      <c r="H32" s="141">
        <f>[68]NPDCL_Inp_Losses!$S37</f>
        <v>0</v>
      </c>
      <c r="I32" s="141">
        <f>[68]NPDCL_Inp_Losses!$Y37</f>
        <v>0</v>
      </c>
      <c r="J32" s="141">
        <f>[68]NPDCL_Inp_Losses!$AE37</f>
        <v>0</v>
      </c>
    </row>
    <row r="33" spans="2:10" x14ac:dyDescent="0.25">
      <c r="B33" s="143" t="s">
        <v>820</v>
      </c>
      <c r="C33" s="142" t="s">
        <v>804</v>
      </c>
      <c r="D33" s="141">
        <f>'[68]NPDCL_Cost Alloc_Factors'!$J40/'[68]NPDCL_Cost Alloc_Factors'!$J$66</f>
        <v>0</v>
      </c>
      <c r="E33" s="89">
        <f>IFERROR([68]NPDCL_Inp_Category!$K38,0)</f>
        <v>0.97917789411553391</v>
      </c>
      <c r="F33" s="89">
        <f>IFERROR([68]NPDCL_Inp_Category!$M38,0)</f>
        <v>1</v>
      </c>
      <c r="G33" s="89">
        <f>IFERROR([68]NPDCL_Inp_Category!$O38,0)</f>
        <v>0.96250363835474062</v>
      </c>
      <c r="H33" s="141">
        <f>[68]NPDCL_Inp_Losses!$S38</f>
        <v>0</v>
      </c>
      <c r="I33" s="141">
        <f>[68]NPDCL_Inp_Losses!$Y38</f>
        <v>0</v>
      </c>
      <c r="J33" s="141">
        <f>[68]NPDCL_Inp_Losses!$AE38</f>
        <v>0</v>
      </c>
    </row>
    <row r="34" spans="2:10" x14ac:dyDescent="0.25">
      <c r="B34" s="143" t="s">
        <v>821</v>
      </c>
      <c r="C34" s="142" t="s">
        <v>498</v>
      </c>
      <c r="D34" s="141">
        <f>'[68]NPDCL_Cost Alloc_Factors'!$J41/'[68]NPDCL_Cost Alloc_Factors'!$J$66</f>
        <v>0</v>
      </c>
      <c r="E34" s="89">
        <f>IFERROR([68]NPDCL_Inp_Category!$K39,0)</f>
        <v>0.7759462669572218</v>
      </c>
      <c r="F34" s="89">
        <f>IFERROR([68]NPDCL_Inp_Category!$M39,0)</f>
        <v>0.96117186995201254</v>
      </c>
      <c r="G34" s="89">
        <f>IFERROR([68]NPDCL_Inp_Category!$O39,0)</f>
        <v>0.75526261516276627</v>
      </c>
      <c r="H34" s="141">
        <f>[68]NPDCL_Inp_Losses!$S39</f>
        <v>0</v>
      </c>
      <c r="I34" s="141">
        <f>[68]NPDCL_Inp_Losses!$Y39</f>
        <v>0</v>
      </c>
      <c r="J34" s="141">
        <f>[68]NPDCL_Inp_Losses!$AE39</f>
        <v>0</v>
      </c>
    </row>
    <row r="35" spans="2:10" x14ac:dyDescent="0.25">
      <c r="B35" s="143" t="s">
        <v>822</v>
      </c>
      <c r="C35" s="142" t="s">
        <v>807</v>
      </c>
      <c r="D35" s="141">
        <f>'[68]NPDCL_Cost Alloc_Factors'!$J42/'[68]NPDCL_Cost Alloc_Factors'!$J$66</f>
        <v>0</v>
      </c>
      <c r="E35" s="89">
        <f>IFERROR([68]NPDCL_Inp_Category!$K40,0)</f>
        <v>0</v>
      </c>
      <c r="F35" s="89">
        <f>IFERROR([68]NPDCL_Inp_Category!$M40,0)</f>
        <v>0</v>
      </c>
      <c r="G35" s="89">
        <f>IFERROR([68]NPDCL_Inp_Category!$O40,0)</f>
        <v>0</v>
      </c>
      <c r="H35" s="141">
        <f>[68]NPDCL_Inp_Losses!$S40</f>
        <v>0</v>
      </c>
      <c r="I35" s="141">
        <f>[68]NPDCL_Inp_Losses!$Y40</f>
        <v>0</v>
      </c>
      <c r="J35" s="141">
        <f>[68]NPDCL_Inp_Losses!$AE40</f>
        <v>0</v>
      </c>
    </row>
    <row r="36" spans="2:10" x14ac:dyDescent="0.25">
      <c r="B36" s="143" t="s">
        <v>823</v>
      </c>
      <c r="C36" s="142" t="s">
        <v>809</v>
      </c>
      <c r="D36" s="141">
        <f>'[68]NPDCL_Cost Alloc_Factors'!$J43/'[68]NPDCL_Cost Alloc_Factors'!$J$66</f>
        <v>0</v>
      </c>
      <c r="E36" s="89">
        <f>IFERROR([68]NPDCL_Inp_Category!$K41,0)</f>
        <v>0.91495235429495569</v>
      </c>
      <c r="F36" s="89">
        <f>IFERROR([68]NPDCL_Inp_Category!$M41,0)</f>
        <v>1</v>
      </c>
      <c r="G36" s="89">
        <f>IFERROR([68]NPDCL_Inp_Category!$O41,0)</f>
        <v>0.91074535985334071</v>
      </c>
      <c r="H36" s="141">
        <f>[68]NPDCL_Inp_Losses!$S41</f>
        <v>0</v>
      </c>
      <c r="I36" s="141">
        <f>[68]NPDCL_Inp_Losses!$Y41</f>
        <v>0</v>
      </c>
      <c r="J36" s="141">
        <f>[68]NPDCL_Inp_Losses!$AE41</f>
        <v>0</v>
      </c>
    </row>
    <row r="37" spans="2:10" x14ac:dyDescent="0.25">
      <c r="B37" s="143" t="s">
        <v>824</v>
      </c>
      <c r="C37" s="142" t="s">
        <v>825</v>
      </c>
      <c r="D37" s="141">
        <f>'[68]NPDCL_Cost Alloc_Factors'!$J44/'[68]NPDCL_Cost Alloc_Factors'!$J$66</f>
        <v>0</v>
      </c>
      <c r="E37" s="89">
        <f>IFERROR([68]NPDCL_Inp_Category!$K42,0)</f>
        <v>0.71695470328282829</v>
      </c>
      <c r="F37" s="89">
        <f>IFERROR([68]NPDCL_Inp_Category!$M42,0)</f>
        <v>1</v>
      </c>
      <c r="G37" s="89">
        <f>IFERROR([68]NPDCL_Inp_Category!$O42,0)</f>
        <v>0.78488329859461636</v>
      </c>
      <c r="H37" s="141">
        <f>[68]NPDCL_Inp_Losses!$S42</f>
        <v>0</v>
      </c>
      <c r="I37" s="141">
        <f>[68]NPDCL_Inp_Losses!$Y42</f>
        <v>0</v>
      </c>
      <c r="J37" s="141">
        <f>[68]NPDCL_Inp_Losses!$AE42</f>
        <v>0</v>
      </c>
    </row>
    <row r="38" spans="2:10" x14ac:dyDescent="0.25">
      <c r="B38" s="143" t="s">
        <v>826</v>
      </c>
      <c r="C38" s="142" t="s">
        <v>827</v>
      </c>
      <c r="D38" s="141">
        <f>'[68]NPDCL_Cost Alloc_Factors'!$J45/'[68]NPDCL_Cost Alloc_Factors'!$J$66</f>
        <v>0</v>
      </c>
      <c r="E38" s="89">
        <f>IFERROR([68]NPDCL_Inp_Category!$K43,0)</f>
        <v>0.72405778110570351</v>
      </c>
      <c r="F38" s="89">
        <f>IFERROR([68]NPDCL_Inp_Category!$M43,0)</f>
        <v>0.94057724115775565</v>
      </c>
      <c r="G38" s="89">
        <f>IFERROR([68]NPDCL_Inp_Category!$O43,0)</f>
        <v>0.90372078635965936</v>
      </c>
      <c r="H38" s="141">
        <f>[68]NPDCL_Inp_Losses!$S43</f>
        <v>0</v>
      </c>
      <c r="I38" s="141">
        <f>[68]NPDCL_Inp_Losses!$Y43</f>
        <v>0</v>
      </c>
      <c r="J38" s="141">
        <f>[68]NPDCL_Inp_Losses!$AE43</f>
        <v>0</v>
      </c>
    </row>
    <row r="39" spans="2:10" hidden="1" x14ac:dyDescent="0.25">
      <c r="B39" s="143" t="s">
        <v>828</v>
      </c>
      <c r="C39" s="142" t="s">
        <v>794</v>
      </c>
      <c r="D39" s="141">
        <f>'[68]NPDCL_Cost Alloc_Factors'!$J46/'[68]NPDCL_Cost Alloc_Factors'!$J$66</f>
        <v>0</v>
      </c>
      <c r="E39" s="89">
        <f>IFERROR([68]NPDCL_Inp_Category!$K44,0)</f>
        <v>0</v>
      </c>
      <c r="F39" s="89">
        <f>IFERROR([68]NPDCL_Inp_Category!$M44,0)</f>
        <v>1</v>
      </c>
      <c r="G39" s="89">
        <f>IFERROR([68]NPDCL_Inp_Category!$O44,0)</f>
        <v>0.88204414115554997</v>
      </c>
      <c r="H39" s="141">
        <f>[68]NPDCL_Inp_Losses!$S44</f>
        <v>0</v>
      </c>
      <c r="I39" s="141">
        <f>[68]NPDCL_Inp_Losses!$Y44</f>
        <v>0</v>
      </c>
      <c r="J39" s="141">
        <f>[68]NPDCL_Inp_Losses!$AE44</f>
        <v>0</v>
      </c>
    </row>
    <row r="40" spans="2:10" x14ac:dyDescent="0.25">
      <c r="B40" s="143" t="s">
        <v>828</v>
      </c>
      <c r="C40" s="142" t="s">
        <v>794</v>
      </c>
      <c r="D40" s="141">
        <f>'[68]NPDCL_Cost Alloc_Factors'!$J47/'[68]NPDCL_Cost Alloc_Factors'!$J$66</f>
        <v>0</v>
      </c>
      <c r="E40" s="89">
        <f>IFERROR([68]NPDCL_Inp_Category!$K45,0)</f>
        <v>1.0000000000000002</v>
      </c>
      <c r="F40" s="89">
        <f>IFERROR([68]NPDCL_Inp_Category!$M45,0)</f>
        <v>1</v>
      </c>
      <c r="G40" s="89">
        <f>IFERROR([68]NPDCL_Inp_Category!$O45,0)</f>
        <v>0.99500211682582806</v>
      </c>
      <c r="H40" s="141">
        <f>[68]NPDCL_Inp_Losses!$S45</f>
        <v>0</v>
      </c>
      <c r="I40" s="141">
        <f>[68]NPDCL_Inp_Losses!$Y45</f>
        <v>0</v>
      </c>
      <c r="J40" s="141">
        <f>[68]NPDCL_Inp_Losses!$AE45</f>
        <v>0</v>
      </c>
    </row>
    <row r="41" spans="2:10" x14ac:dyDescent="0.25">
      <c r="B41" s="143"/>
      <c r="C41" s="144" t="s">
        <v>829</v>
      </c>
      <c r="D41" s="17"/>
      <c r="E41" s="89"/>
      <c r="F41" s="89"/>
      <c r="G41" s="89"/>
      <c r="H41" s="17"/>
      <c r="I41" s="17"/>
      <c r="J41" s="17"/>
    </row>
    <row r="42" spans="2:10" x14ac:dyDescent="0.25">
      <c r="B42" s="143" t="s">
        <v>830</v>
      </c>
      <c r="C42" s="142" t="s">
        <v>802</v>
      </c>
      <c r="D42" s="141">
        <f>'[68]NPDCL_Cost Alloc_Factors'!$J52/'[68]NPDCL_Cost Alloc_Factors'!$J$66</f>
        <v>0</v>
      </c>
      <c r="E42" s="89">
        <f>IFERROR([68]NPDCL_Inp_Category!$K50,0)</f>
        <v>0.77427499087159068</v>
      </c>
      <c r="F42" s="89">
        <f>IFERROR([68]NPDCL_Inp_Category!$M50,0)</f>
        <v>0.66218316176657477</v>
      </c>
      <c r="G42" s="89">
        <f>IFERROR([68]NPDCL_Inp_Category!$O50,0)</f>
        <v>0.84551705164346003</v>
      </c>
      <c r="H42" s="141">
        <f>[68]NPDCL_Inp_Losses!$S50</f>
        <v>0</v>
      </c>
      <c r="I42" s="141">
        <f>[68]NPDCL_Inp_Losses!$Y50</f>
        <v>0</v>
      </c>
      <c r="J42" s="141">
        <f>[68]NPDCL_Inp_Losses!$AE50</f>
        <v>0</v>
      </c>
    </row>
    <row r="43" spans="2:10" x14ac:dyDescent="0.25">
      <c r="B43" s="143" t="s">
        <v>831</v>
      </c>
      <c r="C43" s="142" t="s">
        <v>804</v>
      </c>
      <c r="D43" s="141">
        <f>'[68]NPDCL_Cost Alloc_Factors'!$J53/'[68]NPDCL_Cost Alloc_Factors'!$J$66</f>
        <v>0</v>
      </c>
      <c r="E43" s="89">
        <f>IFERROR([68]NPDCL_Inp_Category!$K51,0)</f>
        <v>0</v>
      </c>
      <c r="F43" s="89">
        <f>IFERROR([68]NPDCL_Inp_Category!$M51,0)</f>
        <v>0</v>
      </c>
      <c r="G43" s="89">
        <f>IFERROR([68]NPDCL_Inp_Category!$O51,0)</f>
        <v>0</v>
      </c>
      <c r="H43" s="141">
        <f>[68]NPDCL_Inp_Losses!$S51</f>
        <v>0</v>
      </c>
      <c r="I43" s="141">
        <f>[68]NPDCL_Inp_Losses!$Y51</f>
        <v>0</v>
      </c>
      <c r="J43" s="141">
        <f>[68]NPDCL_Inp_Losses!$AE51</f>
        <v>0</v>
      </c>
    </row>
    <row r="44" spans="2:10" x14ac:dyDescent="0.25">
      <c r="B44" s="143" t="s">
        <v>832</v>
      </c>
      <c r="C44" s="142" t="s">
        <v>498</v>
      </c>
      <c r="D44" s="141">
        <f>'[68]NPDCL_Cost Alloc_Factors'!$J54/'[68]NPDCL_Cost Alloc_Factors'!$J$66</f>
        <v>0</v>
      </c>
      <c r="E44" s="89">
        <f>IFERROR([68]NPDCL_Inp_Category!$K52,0)</f>
        <v>0.97931053021055403</v>
      </c>
      <c r="F44" s="89">
        <f>IFERROR([68]NPDCL_Inp_Category!$M52,0)</f>
        <v>0.98109002138524914</v>
      </c>
      <c r="G44" s="89">
        <f>IFERROR([68]NPDCL_Inp_Category!$O52,0)</f>
        <v>0.99209649166130254</v>
      </c>
      <c r="H44" s="141">
        <f>[68]NPDCL_Inp_Losses!$S52</f>
        <v>0</v>
      </c>
      <c r="I44" s="141">
        <f>[68]NPDCL_Inp_Losses!$Y52</f>
        <v>0</v>
      </c>
      <c r="J44" s="141">
        <f>[68]NPDCL_Inp_Losses!$AE52</f>
        <v>0</v>
      </c>
    </row>
    <row r="45" spans="2:10" x14ac:dyDescent="0.25">
      <c r="B45" s="143" t="s">
        <v>833</v>
      </c>
      <c r="C45" s="142" t="s">
        <v>807</v>
      </c>
      <c r="D45" s="141">
        <f>'[68]NPDCL_Cost Alloc_Factors'!$J55/'[68]NPDCL_Cost Alloc_Factors'!$J$66</f>
        <v>0</v>
      </c>
      <c r="E45" s="89">
        <f>IFERROR([68]NPDCL_Inp_Category!$K53,0)</f>
        <v>0</v>
      </c>
      <c r="F45" s="89">
        <f>IFERROR([68]NPDCL_Inp_Category!$M53,0)</f>
        <v>0</v>
      </c>
      <c r="G45" s="89">
        <f>IFERROR([68]NPDCL_Inp_Category!$O53,0)</f>
        <v>0</v>
      </c>
      <c r="H45" s="141">
        <f>[68]NPDCL_Inp_Losses!$S53</f>
        <v>0</v>
      </c>
      <c r="I45" s="141">
        <f>[68]NPDCL_Inp_Losses!$Y53</f>
        <v>0</v>
      </c>
      <c r="J45" s="141">
        <f>[68]NPDCL_Inp_Losses!$AE53</f>
        <v>0</v>
      </c>
    </row>
    <row r="46" spans="2:10" x14ac:dyDescent="0.25">
      <c r="B46" s="143" t="s">
        <v>834</v>
      </c>
      <c r="C46" s="142" t="s">
        <v>809</v>
      </c>
      <c r="D46" s="141">
        <f>'[68]NPDCL_Cost Alloc_Factors'!$J56/'[68]NPDCL_Cost Alloc_Factors'!$J$66</f>
        <v>0</v>
      </c>
      <c r="E46" s="89">
        <f>IFERROR([68]NPDCL_Inp_Category!$K54,0)</f>
        <v>0.83903513214806924</v>
      </c>
      <c r="F46" s="89">
        <f>IFERROR([68]NPDCL_Inp_Category!$M54,0)</f>
        <v>0.83459337667835443</v>
      </c>
      <c r="G46" s="89">
        <f>IFERROR([68]NPDCL_Inp_Category!$O54,0)</f>
        <v>0.85282694421000704</v>
      </c>
      <c r="H46" s="141">
        <f>[68]NPDCL_Inp_Losses!$S54</f>
        <v>0</v>
      </c>
      <c r="I46" s="141">
        <f>[68]NPDCL_Inp_Losses!$Y54</f>
        <v>0</v>
      </c>
      <c r="J46" s="141">
        <f>[68]NPDCL_Inp_Losses!$AE54</f>
        <v>0</v>
      </c>
    </row>
    <row r="47" spans="2:10" x14ac:dyDescent="0.25">
      <c r="B47" s="143" t="s">
        <v>835</v>
      </c>
      <c r="C47" s="142" t="s">
        <v>836</v>
      </c>
      <c r="D47" s="141">
        <f>'[68]NPDCL_Cost Alloc_Factors'!$J57/'[68]NPDCL_Cost Alloc_Factors'!$J$66</f>
        <v>0</v>
      </c>
      <c r="E47" s="89">
        <f>IFERROR([68]NPDCL_Inp_Category!$K55,0)</f>
        <v>0.92480979154073728</v>
      </c>
      <c r="F47" s="89">
        <f>IFERROR([68]NPDCL_Inp_Category!$M55,0)</f>
        <v>0.96791306644359698</v>
      </c>
      <c r="G47" s="89">
        <f>IFERROR([68]NPDCL_Inp_Category!$O55,0)</f>
        <v>0.96341143811913865</v>
      </c>
      <c r="H47" s="141">
        <f>[68]NPDCL_Inp_Losses!$S55</f>
        <v>0</v>
      </c>
      <c r="I47" s="141">
        <f>[68]NPDCL_Inp_Losses!$Y55</f>
        <v>0</v>
      </c>
      <c r="J47" s="141">
        <f>[68]NPDCL_Inp_Losses!$AE55</f>
        <v>0</v>
      </c>
    </row>
    <row r="48" spans="2:10" x14ac:dyDescent="0.25">
      <c r="B48" s="143" t="s">
        <v>837</v>
      </c>
      <c r="C48" s="142" t="s">
        <v>838</v>
      </c>
      <c r="D48" s="141">
        <f>'[68]NPDCL_Cost Alloc_Factors'!$J58/'[68]NPDCL_Cost Alloc_Factors'!$J$66</f>
        <v>0</v>
      </c>
      <c r="E48" s="89">
        <f>IFERROR([68]NPDCL_Inp_Category!$K56,0)</f>
        <v>0</v>
      </c>
      <c r="F48" s="89">
        <f>IFERROR([68]NPDCL_Inp_Category!$M56,0)</f>
        <v>0</v>
      </c>
      <c r="G48" s="89">
        <f>IFERROR([68]NPDCL_Inp_Category!$O56,0)</f>
        <v>0</v>
      </c>
      <c r="H48" s="141">
        <f>[68]NPDCL_Inp_Losses!$S56</f>
        <v>0</v>
      </c>
      <c r="I48" s="141">
        <f>[68]NPDCL_Inp_Losses!$Y56</f>
        <v>0</v>
      </c>
      <c r="J48" s="141">
        <f>[68]NPDCL_Inp_Losses!$AE56</f>
        <v>0</v>
      </c>
    </row>
    <row r="49" spans="2:10" x14ac:dyDescent="0.25">
      <c r="B49" s="143" t="s">
        <v>867</v>
      </c>
      <c r="C49" s="142" t="s">
        <v>825</v>
      </c>
      <c r="D49" s="141">
        <f>'[68]NPDCL_Cost Alloc_Factors'!$J59/'[68]NPDCL_Cost Alloc_Factors'!$J$66</f>
        <v>0</v>
      </c>
      <c r="E49" s="89">
        <f>IFERROR([68]NPDCL_Inp_Category!$K57,0)</f>
        <v>1.0000000000000002</v>
      </c>
      <c r="F49" s="89">
        <f>IFERROR([68]NPDCL_Inp_Category!$M57,0)</f>
        <v>1</v>
      </c>
      <c r="G49" s="89">
        <f>IFERROR([68]NPDCL_Inp_Category!$O57,0)</f>
        <v>1</v>
      </c>
      <c r="H49" s="141">
        <f>[68]NPDCL_Inp_Losses!$S57</f>
        <v>0</v>
      </c>
      <c r="I49" s="141">
        <f>[68]NPDCL_Inp_Losses!$Y57</f>
        <v>0</v>
      </c>
      <c r="J49" s="141">
        <f>[68]NPDCL_Inp_Losses!$AE57</f>
        <v>0</v>
      </c>
    </row>
    <row r="50" spans="2:10" x14ac:dyDescent="0.25">
      <c r="B50" s="143" t="s">
        <v>840</v>
      </c>
      <c r="C50" s="142" t="s">
        <v>827</v>
      </c>
      <c r="D50" s="141">
        <f>'[68]NPDCL_Cost Alloc_Factors'!$J60/'[68]NPDCL_Cost Alloc_Factors'!$J$66</f>
        <v>0</v>
      </c>
      <c r="E50" s="89">
        <f>IFERROR([68]NPDCL_Inp_Category!$K58,0)</f>
        <v>0</v>
      </c>
      <c r="F50" s="89">
        <f>IFERROR([68]NPDCL_Inp_Category!$M58,0)</f>
        <v>0</v>
      </c>
      <c r="G50" s="89">
        <f>IFERROR([68]NPDCL_Inp_Category!$O58,0)</f>
        <v>0</v>
      </c>
      <c r="H50" s="158">
        <f>[68]NPDCL_Inp_Losses!$S58</f>
        <v>0</v>
      </c>
      <c r="I50" s="141">
        <f>[68]NPDCL_Inp_Losses!$Y58</f>
        <v>0</v>
      </c>
      <c r="J50" s="141">
        <f>[68]NPDCL_Inp_Losses!$AE58</f>
        <v>0</v>
      </c>
    </row>
    <row r="51" spans="2:10" hidden="1" x14ac:dyDescent="0.25">
      <c r="B51" s="143" t="s">
        <v>841</v>
      </c>
      <c r="C51" s="142" t="s">
        <v>199</v>
      </c>
      <c r="D51" s="141">
        <f>'[68]NPDCL_Cost Alloc_Factors'!$J61/'[68]NPDCL_Cost Alloc_Factors'!$J$66</f>
        <v>0</v>
      </c>
      <c r="E51" s="141">
        <f>IFERROR([68]NPDCL_Inp_Category!$K59,0)</f>
        <v>0</v>
      </c>
      <c r="F51" s="141">
        <f>IFERROR([68]NPDCL_Inp_Category!$M59,0)</f>
        <v>0</v>
      </c>
      <c r="G51" s="141">
        <f>IFERROR([68]NPDCL_Inp_Category!$O59,0)</f>
        <v>0</v>
      </c>
      <c r="H51" s="141">
        <f>[68]NPDCL_Inp_Losses!$S59</f>
        <v>0</v>
      </c>
      <c r="I51" s="141">
        <f>[68]NPDCL_Inp_Losses!$Y59</f>
        <v>0</v>
      </c>
      <c r="J51" s="141">
        <f>[68]NPDCL_Inp_Losses!$AE59</f>
        <v>0</v>
      </c>
    </row>
    <row r="52" spans="2:10" x14ac:dyDescent="0.25">
      <c r="B52" s="768" t="s">
        <v>220</v>
      </c>
      <c r="C52" s="768"/>
      <c r="D52" s="157">
        <f>SUM(D9:D51)</f>
        <v>1</v>
      </c>
      <c r="E52" s="157">
        <f>[68]NPDCL_Inp_Category!$H$65/[68]NPDCL_Inp_Category!$R$65/8.76</f>
        <v>0.86889160039637425</v>
      </c>
      <c r="F52" s="157">
        <f>[68]NPDCL_Inp_Category!$H$65/[68]NPDCL_Inp_Category!$N$65/8.76</f>
        <v>0.80908750016514974</v>
      </c>
      <c r="G52" s="157">
        <f>[68]NPDCL_Inp_Category!$H$65/[68]NPDCL_Inp_Category!$P$65/8.76</f>
        <v>0.93536630584279412</v>
      </c>
      <c r="H52" s="157">
        <f>SUM(H9:H51)</f>
        <v>1</v>
      </c>
      <c r="I52" s="157">
        <f>SUM(I9:I51)</f>
        <v>1</v>
      </c>
      <c r="J52" s="157">
        <f>SUM(J9:J51)</f>
        <v>1</v>
      </c>
    </row>
  </sheetData>
  <mergeCells count="8">
    <mergeCell ref="B19:C19"/>
    <mergeCell ref="B52:C52"/>
    <mergeCell ref="B2:P2"/>
    <mergeCell ref="B5:C7"/>
    <mergeCell ref="D5:J5"/>
    <mergeCell ref="E6:G6"/>
    <mergeCell ref="H6:J6"/>
    <mergeCell ref="B8:C8"/>
  </mergeCells>
  <pageMargins left="1.45" right="0.7" top="0.75" bottom="0.75" header="0.3" footer="0.3"/>
  <pageSetup paperSize="9" scale="6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AE55"/>
  <sheetViews>
    <sheetView showGridLines="0" topLeftCell="D1" zoomScale="60" zoomScaleNormal="60" workbookViewId="0">
      <selection activeCell="K17" sqref="K17"/>
    </sheetView>
  </sheetViews>
  <sheetFormatPr defaultColWidth="9.33203125" defaultRowHeight="13.8" x14ac:dyDescent="0.25"/>
  <cols>
    <col min="1" max="1" width="9.33203125" style="571"/>
    <col min="2" max="2" width="16.44140625" style="571" bestFit="1" customWidth="1"/>
    <col min="3" max="3" width="47.109375" style="571" customWidth="1"/>
    <col min="4" max="4" width="11.44140625" style="571" bestFit="1" customWidth="1"/>
    <col min="5" max="7" width="9.33203125" style="571"/>
    <col min="8" max="8" width="11.109375" style="571" customWidth="1"/>
    <col min="9" max="9" width="11.88671875" style="571" customWidth="1"/>
    <col min="10" max="10" width="9.33203125" style="571"/>
    <col min="11" max="11" width="12.109375" style="571" customWidth="1"/>
    <col min="12" max="12" width="7.109375" style="571" customWidth="1"/>
    <col min="13" max="13" width="9.33203125" style="571" customWidth="1"/>
    <col min="14" max="15" width="9.33203125" style="571"/>
    <col min="16" max="16" width="12.5546875" style="571" bestFit="1" customWidth="1"/>
    <col min="17" max="17" width="9.33203125" style="571"/>
    <col min="18" max="18" width="12.88671875" style="571" customWidth="1"/>
    <col min="19" max="22" width="9.33203125" style="571"/>
    <col min="23" max="23" width="10.6640625" style="571" bestFit="1" customWidth="1"/>
    <col min="24" max="24" width="9.33203125" style="571"/>
    <col min="25" max="25" width="12.109375" style="571" customWidth="1"/>
    <col min="26" max="26" width="7.44140625" style="571" customWidth="1"/>
    <col min="27" max="27" width="9.33203125" style="571"/>
    <col min="28" max="28" width="7.44140625" style="571" customWidth="1"/>
    <col min="29" max="29" width="9" style="571" customWidth="1"/>
    <col min="30" max="30" width="11.109375" style="571" customWidth="1"/>
    <col min="31" max="16384" width="9.33203125" style="571"/>
  </cols>
  <sheetData>
    <row r="2" spans="2:31" x14ac:dyDescent="0.25"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 t="s">
        <v>160</v>
      </c>
      <c r="N2" s="641"/>
      <c r="O2" s="641"/>
      <c r="P2" s="641"/>
    </row>
    <row r="3" spans="2:31" x14ac:dyDescent="0.25">
      <c r="N3" s="628" t="s">
        <v>868</v>
      </c>
    </row>
    <row r="5" spans="2:31" x14ac:dyDescent="0.25">
      <c r="B5" s="799" t="s">
        <v>163</v>
      </c>
      <c r="C5" s="799"/>
      <c r="D5" s="786" t="s">
        <v>549</v>
      </c>
      <c r="E5" s="786"/>
      <c r="F5" s="786"/>
      <c r="G5" s="786"/>
      <c r="H5" s="786"/>
      <c r="I5" s="786"/>
      <c r="J5" s="786"/>
      <c r="K5" s="786"/>
      <c r="L5" s="786"/>
      <c r="M5" s="786"/>
      <c r="N5" s="786"/>
      <c r="O5" s="786"/>
      <c r="P5" s="786"/>
      <c r="Q5" s="786"/>
      <c r="R5" s="786"/>
      <c r="S5" s="786"/>
      <c r="T5" s="786"/>
      <c r="U5" s="786"/>
      <c r="V5" s="786"/>
      <c r="W5" s="786"/>
      <c r="X5" s="786"/>
      <c r="Y5" s="786"/>
      <c r="Z5" s="786"/>
      <c r="AA5" s="786"/>
      <c r="AB5" s="786"/>
      <c r="AC5" s="786"/>
      <c r="AD5" s="786"/>
      <c r="AE5" s="786"/>
    </row>
    <row r="6" spans="2:31" x14ac:dyDescent="0.25">
      <c r="B6" s="799"/>
      <c r="C6" s="799"/>
      <c r="D6" s="799" t="s">
        <v>859</v>
      </c>
      <c r="E6" s="799"/>
      <c r="F6" s="799"/>
      <c r="G6" s="799"/>
      <c r="H6" s="799"/>
      <c r="I6" s="799"/>
      <c r="J6" s="799"/>
      <c r="K6" s="799" t="s">
        <v>869</v>
      </c>
      <c r="L6" s="799"/>
      <c r="M6" s="799"/>
      <c r="N6" s="799"/>
      <c r="O6" s="799"/>
      <c r="P6" s="799"/>
      <c r="Q6" s="799"/>
      <c r="R6" s="799"/>
      <c r="S6" s="799"/>
      <c r="T6" s="799"/>
      <c r="U6" s="799"/>
      <c r="V6" s="799"/>
      <c r="W6" s="799"/>
      <c r="X6" s="799"/>
      <c r="Y6" s="799"/>
      <c r="Z6" s="799"/>
      <c r="AA6" s="799"/>
      <c r="AB6" s="799"/>
      <c r="AC6" s="799"/>
      <c r="AD6" s="799"/>
      <c r="AE6" s="799"/>
    </row>
    <row r="7" spans="2:31" ht="77.25" customHeight="1" x14ac:dyDescent="0.25">
      <c r="B7" s="799"/>
      <c r="C7" s="799"/>
      <c r="D7" s="629" t="s">
        <v>770</v>
      </c>
      <c r="E7" s="879" t="s">
        <v>853</v>
      </c>
      <c r="F7" s="879"/>
      <c r="G7" s="879" t="s">
        <v>846</v>
      </c>
      <c r="H7" s="879"/>
      <c r="I7" s="879" t="s">
        <v>870</v>
      </c>
      <c r="J7" s="879"/>
      <c r="K7" s="629" t="s">
        <v>871</v>
      </c>
      <c r="L7" s="879" t="s">
        <v>853</v>
      </c>
      <c r="M7" s="879"/>
      <c r="N7" s="879" t="s">
        <v>846</v>
      </c>
      <c r="O7" s="879"/>
      <c r="P7" s="879" t="s">
        <v>870</v>
      </c>
      <c r="Q7" s="879"/>
      <c r="R7" s="629" t="s">
        <v>872</v>
      </c>
      <c r="S7" s="879" t="s">
        <v>853</v>
      </c>
      <c r="T7" s="879"/>
      <c r="U7" s="879" t="s">
        <v>846</v>
      </c>
      <c r="V7" s="879"/>
      <c r="W7" s="879" t="s">
        <v>870</v>
      </c>
      <c r="X7" s="879"/>
      <c r="Y7" s="629" t="s">
        <v>873</v>
      </c>
      <c r="Z7" s="879" t="s">
        <v>853</v>
      </c>
      <c r="AA7" s="879"/>
      <c r="AB7" s="879" t="s">
        <v>846</v>
      </c>
      <c r="AC7" s="879"/>
      <c r="AD7" s="879" t="s">
        <v>870</v>
      </c>
      <c r="AE7" s="879"/>
    </row>
    <row r="8" spans="2:31" x14ac:dyDescent="0.25">
      <c r="B8" s="799"/>
      <c r="C8" s="799"/>
      <c r="D8" s="594" t="s">
        <v>306</v>
      </c>
      <c r="E8" s="594" t="s">
        <v>308</v>
      </c>
      <c r="F8" s="594" t="s">
        <v>306</v>
      </c>
      <c r="G8" s="594" t="s">
        <v>308</v>
      </c>
      <c r="H8" s="594" t="s">
        <v>306</v>
      </c>
      <c r="I8" s="594" t="s">
        <v>306</v>
      </c>
      <c r="J8" s="594" t="s">
        <v>308</v>
      </c>
      <c r="K8" s="594" t="s">
        <v>679</v>
      </c>
      <c r="L8" s="594" t="s">
        <v>308</v>
      </c>
      <c r="M8" s="594" t="s">
        <v>679</v>
      </c>
      <c r="N8" s="594" t="s">
        <v>308</v>
      </c>
      <c r="O8" s="594" t="s">
        <v>679</v>
      </c>
      <c r="P8" s="594" t="s">
        <v>679</v>
      </c>
      <c r="Q8" s="594" t="s">
        <v>308</v>
      </c>
      <c r="R8" s="594" t="s">
        <v>679</v>
      </c>
      <c r="S8" s="594" t="s">
        <v>308</v>
      </c>
      <c r="T8" s="594" t="s">
        <v>679</v>
      </c>
      <c r="U8" s="594" t="s">
        <v>308</v>
      </c>
      <c r="V8" s="594" t="s">
        <v>679</v>
      </c>
      <c r="W8" s="594" t="s">
        <v>679</v>
      </c>
      <c r="X8" s="594" t="s">
        <v>308</v>
      </c>
      <c r="Y8" s="594" t="s">
        <v>679</v>
      </c>
      <c r="Z8" s="594" t="s">
        <v>308</v>
      </c>
      <c r="AA8" s="594" t="s">
        <v>679</v>
      </c>
      <c r="AB8" s="594" t="s">
        <v>308</v>
      </c>
      <c r="AC8" s="594" t="s">
        <v>679</v>
      </c>
      <c r="AD8" s="594" t="s">
        <v>679</v>
      </c>
      <c r="AE8" s="594" t="s">
        <v>308</v>
      </c>
    </row>
    <row r="9" spans="2:31" x14ac:dyDescent="0.25">
      <c r="B9" s="881" t="s">
        <v>781</v>
      </c>
      <c r="C9" s="882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</row>
    <row r="10" spans="2:31" x14ac:dyDescent="0.25">
      <c r="B10" s="630" t="s">
        <v>172</v>
      </c>
      <c r="C10" s="630" t="s">
        <v>173</v>
      </c>
      <c r="D10" s="145">
        <f>'[68]NPDCL_Cost Alloc_Factors'!$H11</f>
        <v>5004.1429709956828</v>
      </c>
      <c r="E10" s="649">
        <f>'[68]NPDCL_Cost Alloc_Factors'!$J11/'[68]NPDCL_Cost Alloc_Factors'!$J$66</f>
        <v>0.25971583384449903</v>
      </c>
      <c r="F10" s="145">
        <f>'[68]NPDCL_Cost Alloc_Factors'!$J11</f>
        <v>97.595237145002869</v>
      </c>
      <c r="G10" s="649">
        <f>'[68]NPDCL_Cost Alloc_Factors'!$I11/'[68]NPDCL_Cost Alloc_Factors'!$I$66</f>
        <v>0.25208951614659714</v>
      </c>
      <c r="H10" s="145">
        <f>'[68]NPDCL_Cost Alloc_Factors'!$I11</f>
        <v>497.26425971582665</v>
      </c>
      <c r="I10" s="637">
        <f t="shared" ref="I10:I19" si="0">D10+F10+H10</f>
        <v>5599.0024678565123</v>
      </c>
      <c r="J10" s="649">
        <f t="shared" ref="J10:J19" si="1">I10/SUM($D$53,$F$53,$H$53)</f>
        <v>0.21289209202258128</v>
      </c>
      <c r="K10" s="145">
        <f>'[68]NPDCL_Cost Alloc_Factors'!$R11</f>
        <v>685.83410552712212</v>
      </c>
      <c r="L10" s="649">
        <f>[68]NPDCL_Inp_Losses!$S9</f>
        <v>0.22889995613274342</v>
      </c>
      <c r="M10" s="145">
        <f>'[68]NPDCL_Cost Alloc_Factors'!$T11</f>
        <v>13.375745369188042</v>
      </c>
      <c r="N10" s="649">
        <f>[68]NPDCL_Inp_Losses!$R9</f>
        <v>0.24025045364011549</v>
      </c>
      <c r="O10" s="145">
        <f>'[68]NPDCL_Cost Alloc_Factors'!$S11</f>
        <v>118.15332141684729</v>
      </c>
      <c r="P10" s="637">
        <f t="shared" ref="P10:P19" si="2">K10+M10+O10</f>
        <v>817.36317231315752</v>
      </c>
      <c r="Q10" s="649">
        <f t="shared" ref="Q10:Q19" si="3">P10/$P$53</f>
        <v>0.19580852125743817</v>
      </c>
      <c r="R10" s="145">
        <f>'[68]NPDCL_Cost Alloc_Factors'!$AB11</f>
        <v>542.432480614317</v>
      </c>
      <c r="S10" s="649">
        <f t="shared" ref="S10:S19" si="4">T10/$T$53</f>
        <v>0.21568111391392622</v>
      </c>
      <c r="T10" s="145">
        <f>'[68]NPDCL_Cost Alloc_Factors'!$AD11</f>
        <v>10.578999618424792</v>
      </c>
      <c r="U10" s="649">
        <f t="shared" ref="U10:U19" si="5">V10/$V$53</f>
        <v>0.21922089050851687</v>
      </c>
      <c r="V10" s="145">
        <f>'[68]NPDCL_Cost Alloc_Factors'!$AC11</f>
        <v>82.048063717203121</v>
      </c>
      <c r="W10" s="637">
        <f t="shared" ref="W10:W19" si="6">R10+T10+V10</f>
        <v>635.0595439499449</v>
      </c>
      <c r="X10" s="649">
        <f t="shared" ref="X10:X19" si="7">W10/$W$53</f>
        <v>0.19002683682423357</v>
      </c>
      <c r="Y10" s="145">
        <f>'[68]NPDCL_Cost Alloc_Factors'!$AJ11</f>
        <v>685.83410552712212</v>
      </c>
      <c r="Z10" s="649">
        <f t="shared" ref="Z10:Z19" si="8">AA10/$AA$53</f>
        <v>0.24238287642105924</v>
      </c>
      <c r="AA10" s="145">
        <f>'[68]NPDCL_Cost Alloc_Factors'!$AL11</f>
        <v>13.375745369188042</v>
      </c>
      <c r="AB10" s="649">
        <f t="shared" ref="AB10:AB19" si="9">AC10/$AC$53</f>
        <v>0.24658604084409816</v>
      </c>
      <c r="AC10" s="145">
        <f>'[68]NPDCL_Cost Alloc_Factors'!$AK11</f>
        <v>118.15332141684729</v>
      </c>
      <c r="AD10" s="637">
        <f t="shared" ref="AD10:AD19" si="10">Y10+AA10+AC10</f>
        <v>817.36317231315752</v>
      </c>
      <c r="AE10" s="649">
        <f t="shared" ref="AE10:AE19" si="11">AD10/$AD$53</f>
        <v>0.2090874651788126</v>
      </c>
    </row>
    <row r="11" spans="2:31" x14ac:dyDescent="0.25">
      <c r="B11" s="630" t="s">
        <v>783</v>
      </c>
      <c r="C11" s="630" t="s">
        <v>175</v>
      </c>
      <c r="D11" s="145">
        <f>'[68]NPDCL_Cost Alloc_Factors'!$H12</f>
        <v>1096.1498398291596</v>
      </c>
      <c r="E11" s="649">
        <f>'[68]NPDCL_Cost Alloc_Factors'!$J12/'[68]NPDCL_Cost Alloc_Factors'!$J$66</f>
        <v>5.6890354915878731E-2</v>
      </c>
      <c r="F11" s="145">
        <f>'[68]NPDCL_Cost Alloc_Factors'!$J12</f>
        <v>21.378086954077961</v>
      </c>
      <c r="G11" s="649">
        <f>'[68]NPDCL_Cost Alloc_Factors'!$I12/'[68]NPDCL_Cost Alloc_Factors'!$I$66</f>
        <v>5.538191828995391E-2</v>
      </c>
      <c r="H11" s="145">
        <f>'[68]NPDCL_Cost Alloc_Factors'!$I12</f>
        <v>109.24471997511142</v>
      </c>
      <c r="I11" s="637">
        <f t="shared" si="0"/>
        <v>1226.7726467583491</v>
      </c>
      <c r="J11" s="649">
        <f t="shared" si="1"/>
        <v>4.6645843916630535E-2</v>
      </c>
      <c r="K11" s="145">
        <f>'[68]NPDCL_Cost Alloc_Factors'!$R12</f>
        <v>167.87491720657516</v>
      </c>
      <c r="L11" s="649">
        <f>[68]NPDCL_Inp_Losses!$S10</f>
        <v>5.602894471810918E-2</v>
      </c>
      <c r="M11" s="145">
        <f>'[68]NPDCL_Cost Alloc_Factors'!$T12</f>
        <v>3.2740456158896496</v>
      </c>
      <c r="N11" s="649">
        <f>[68]NPDCL_Inp_Losses!$R10</f>
        <v>4.5706107592956256E-2</v>
      </c>
      <c r="O11" s="145">
        <f>'[68]NPDCL_Cost Alloc_Factors'!$S12</f>
        <v>22.47791144333495</v>
      </c>
      <c r="P11" s="637">
        <f t="shared" si="2"/>
        <v>193.62687426579978</v>
      </c>
      <c r="Q11" s="649">
        <f t="shared" si="3"/>
        <v>4.6385490819691837E-2</v>
      </c>
      <c r="R11" s="145">
        <f>'[68]NPDCL_Cost Alloc_Factors'!$AB12</f>
        <v>140.50900979738628</v>
      </c>
      <c r="S11" s="649">
        <f t="shared" si="4"/>
        <v>5.5868962186264699E-2</v>
      </c>
      <c r="T11" s="145">
        <f>'[68]NPDCL_Cost Alloc_Factors'!$AD12</f>
        <v>2.7403314037322439</v>
      </c>
      <c r="U11" s="649">
        <f t="shared" si="5"/>
        <v>5.6785888295937607E-2</v>
      </c>
      <c r="V11" s="145">
        <f>'[68]NPDCL_Cost Alloc_Factors'!$AC12</f>
        <v>21.253322027546712</v>
      </c>
      <c r="W11" s="637">
        <f t="shared" si="6"/>
        <v>164.50266322866526</v>
      </c>
      <c r="X11" s="649">
        <f t="shared" si="7"/>
        <v>4.9223605944215702E-2</v>
      </c>
      <c r="Y11" s="145">
        <f>'[68]NPDCL_Cost Alloc_Factors'!$AJ12</f>
        <v>127.375969904081</v>
      </c>
      <c r="Z11" s="649">
        <f t="shared" si="8"/>
        <v>4.5016358509240809E-2</v>
      </c>
      <c r="AA11" s="145">
        <f>'[68]NPDCL_Cost Alloc_Factors'!$AL12</f>
        <v>2.4841992048220907</v>
      </c>
      <c r="AB11" s="649">
        <f t="shared" si="9"/>
        <v>4.579698773245424E-2</v>
      </c>
      <c r="AC11" s="145">
        <f>'[68]NPDCL_Cost Alloc_Factors'!$AK12</f>
        <v>21.943927535205358</v>
      </c>
      <c r="AD11" s="637">
        <f t="shared" si="10"/>
        <v>151.80409664410845</v>
      </c>
      <c r="AE11" s="649">
        <f t="shared" si="11"/>
        <v>3.88325958964486E-2</v>
      </c>
    </row>
    <row r="12" spans="2:31" x14ac:dyDescent="0.25">
      <c r="B12" s="630" t="s">
        <v>784</v>
      </c>
      <c r="C12" s="630" t="s">
        <v>785</v>
      </c>
      <c r="D12" s="145">
        <f>'[68]NPDCL_Cost Alloc_Factors'!$H13</f>
        <v>244.09749984720008</v>
      </c>
      <c r="E12" s="649">
        <f>'[68]NPDCL_Cost Alloc_Factors'!$J13/'[68]NPDCL_Cost Alloc_Factors'!$J$66</f>
        <v>1.2668699931161048E-2</v>
      </c>
      <c r="F12" s="145">
        <f>'[68]NPDCL_Cost Alloc_Factors'!$J13</f>
        <v>4.7606060662470924</v>
      </c>
      <c r="G12" s="649">
        <f>'[68]NPDCL_Cost Alloc_Factors'!$I13/'[68]NPDCL_Cost Alloc_Factors'!$I$66</f>
        <v>1.2442151178203183E-2</v>
      </c>
      <c r="H12" s="145">
        <f>'[68]NPDCL_Cost Alloc_Factors'!$I13</f>
        <v>24.543016264522759</v>
      </c>
      <c r="I12" s="637">
        <f t="shared" si="0"/>
        <v>273.40112217796991</v>
      </c>
      <c r="J12" s="649">
        <f t="shared" si="1"/>
        <v>1.0395590499546997E-2</v>
      </c>
      <c r="K12" s="145">
        <f>'[68]NPDCL_Cost Alloc_Factors'!$R13</f>
        <v>31.741027992298136</v>
      </c>
      <c r="L12" s="649">
        <f>[68]NPDCL_Inp_Losses!$S11</f>
        <v>1.0593698762561615E-2</v>
      </c>
      <c r="M12" s="145">
        <f>'[68]NPDCL_Cost Alloc_Factors'!$T13</f>
        <v>0.61904169646818508</v>
      </c>
      <c r="N12" s="649">
        <f>[68]NPDCL_Inp_Losses!$R11</f>
        <v>1.0684521307029904E-2</v>
      </c>
      <c r="O12" s="145">
        <f>'[68]NPDCL_Cost Alloc_Factors'!$S13</f>
        <v>5.2545652299399785</v>
      </c>
      <c r="P12" s="637">
        <f t="shared" si="2"/>
        <v>37.614634918706301</v>
      </c>
      <c r="Q12" s="649">
        <f t="shared" si="3"/>
        <v>9.0110079467201811E-3</v>
      </c>
      <c r="R12" s="145">
        <f>'[68]NPDCL_Cost Alloc_Factors'!$AB13</f>
        <v>31.248687463635004</v>
      </c>
      <c r="S12" s="649">
        <f t="shared" si="4"/>
        <v>1.2425051893780438E-2</v>
      </c>
      <c r="T12" s="145">
        <f>'[68]NPDCL_Cost Alloc_Factors'!$AD13</f>
        <v>0.60943963455079464</v>
      </c>
      <c r="U12" s="649">
        <f t="shared" si="5"/>
        <v>1.2628972891229153E-2</v>
      </c>
      <c r="V12" s="145">
        <f>'[68]NPDCL_Cost Alloc_Factors'!$AC13</f>
        <v>4.7266607213336913</v>
      </c>
      <c r="W12" s="637">
        <f t="shared" si="6"/>
        <v>36.584787819519491</v>
      </c>
      <c r="X12" s="649">
        <f t="shared" si="7"/>
        <v>1.0947149084617172E-2</v>
      </c>
      <c r="Y12" s="145">
        <f>'[68]NPDCL_Cost Alloc_Factors'!$AJ13</f>
        <v>27.770960054900588</v>
      </c>
      <c r="Z12" s="649">
        <f t="shared" si="8"/>
        <v>9.8146259056446864E-3</v>
      </c>
      <c r="AA12" s="145">
        <f>'[68]NPDCL_Cost Alloc_Factors'!$AL13</f>
        <v>0.54161390831788114</v>
      </c>
      <c r="AB12" s="649">
        <f t="shared" si="9"/>
        <v>9.9848214534538435E-3</v>
      </c>
      <c r="AC12" s="145">
        <f>'[68]NPDCL_Cost Alloc_Factors'!$AK13</f>
        <v>4.7842927946827469</v>
      </c>
      <c r="AD12" s="637">
        <f t="shared" si="10"/>
        <v>33.096866757901218</v>
      </c>
      <c r="AE12" s="649">
        <f t="shared" si="11"/>
        <v>8.4664200812795479E-3</v>
      </c>
    </row>
    <row r="13" spans="2:31" x14ac:dyDescent="0.25">
      <c r="B13" s="630" t="s">
        <v>786</v>
      </c>
      <c r="C13" s="630" t="s">
        <v>787</v>
      </c>
      <c r="D13" s="145">
        <f>'[68]NPDCL_Cost Alloc_Factors'!$H14</f>
        <v>8.6405391582405286</v>
      </c>
      <c r="E13" s="649">
        <f>'[68]NPDCL_Cost Alloc_Factors'!$J14/'[68]NPDCL_Cost Alloc_Factors'!$J$66</f>
        <v>4.4844538722321422E-4</v>
      </c>
      <c r="F13" s="145">
        <f>'[68]NPDCL_Cost Alloc_Factors'!$J14</f>
        <v>0.16851546270696977</v>
      </c>
      <c r="G13" s="649">
        <f>'[68]NPDCL_Cost Alloc_Factors'!$I14/'[68]NPDCL_Cost Alloc_Factors'!$I$66</f>
        <v>4.5024987817495941E-4</v>
      </c>
      <c r="H13" s="145">
        <f>'[68]NPDCL_Cost Alloc_Factors'!$I14</f>
        <v>0.88814947872569261</v>
      </c>
      <c r="I13" s="637">
        <f t="shared" si="0"/>
        <v>9.6972040996731899</v>
      </c>
      <c r="J13" s="649">
        <f t="shared" si="1"/>
        <v>3.6871890651973967E-4</v>
      </c>
      <c r="K13" s="145">
        <f>'[68]NPDCL_Cost Alloc_Factors'!$R14</f>
        <v>1.5899491110589343</v>
      </c>
      <c r="L13" s="649">
        <f>[68]NPDCL_Inp_Losses!$S12</f>
        <v>5.5285799012235837E-4</v>
      </c>
      <c r="M13" s="145">
        <f>'[68]NPDCL_Cost Alloc_Factors'!$T14</f>
        <v>3.2306199730808637E-2</v>
      </c>
      <c r="N13" s="649">
        <f>[68]NPDCL_Inp_Losses!$R12</f>
        <v>5.0805639940281865E-4</v>
      </c>
      <c r="O13" s="145">
        <f>'[68]NPDCL_Cost Alloc_Factors'!$S14</f>
        <v>0.24985822148101944</v>
      </c>
      <c r="P13" s="637">
        <f t="shared" si="2"/>
        <v>1.8721135322707625</v>
      </c>
      <c r="Q13" s="649">
        <f t="shared" si="3"/>
        <v>4.4848580752978988E-4</v>
      </c>
      <c r="R13" s="145">
        <f>'[68]NPDCL_Cost Alloc_Factors'!$AB14</f>
        <v>1.4305792617941337</v>
      </c>
      <c r="S13" s="649">
        <f t="shared" si="4"/>
        <v>5.688245814050117E-4</v>
      </c>
      <c r="T13" s="145">
        <f>'[68]NPDCL_Cost Alloc_Factors'!$AD14</f>
        <v>2.7900426330493434E-2</v>
      </c>
      <c r="U13" s="649">
        <f t="shared" si="5"/>
        <v>5.7816017831076978E-4</v>
      </c>
      <c r="V13" s="145">
        <f>'[68]NPDCL_Cost Alloc_Factors'!$AC14</f>
        <v>0.21638869835239813</v>
      </c>
      <c r="W13" s="637">
        <f t="shared" si="6"/>
        <v>1.6748683864770253</v>
      </c>
      <c r="X13" s="649">
        <f t="shared" si="7"/>
        <v>5.0116551213380859E-4</v>
      </c>
      <c r="Y13" s="145">
        <f>'[68]NPDCL_Cost Alloc_Factors'!$AJ14</f>
        <v>0.73547232858852107</v>
      </c>
      <c r="Z13" s="649">
        <f t="shared" si="8"/>
        <v>2.5992568333178416E-4</v>
      </c>
      <c r="AA13" s="145">
        <f>'[68]NPDCL_Cost Alloc_Factors'!$AL14</f>
        <v>1.4343834046752317E-2</v>
      </c>
      <c r="AB13" s="649">
        <f t="shared" si="9"/>
        <v>2.6443305778391492E-4</v>
      </c>
      <c r="AC13" s="145">
        <f>'[68]NPDCL_Cost Alloc_Factors'!$AK14</f>
        <v>0.12670483682949502</v>
      </c>
      <c r="AD13" s="637">
        <f t="shared" si="10"/>
        <v>0.87652099946476847</v>
      </c>
      <c r="AE13" s="649">
        <f t="shared" si="11"/>
        <v>2.2422046914033397E-4</v>
      </c>
    </row>
    <row r="14" spans="2:31" x14ac:dyDescent="0.25">
      <c r="B14" s="630" t="s">
        <v>788</v>
      </c>
      <c r="C14" s="630" t="s">
        <v>203</v>
      </c>
      <c r="D14" s="145">
        <f>'[68]NPDCL_Cost Alloc_Factors'!$H15</f>
        <v>10456.606075527796</v>
      </c>
      <c r="E14" s="649">
        <f>'[68]NPDCL_Cost Alloc_Factors'!$J15/'[68]NPDCL_Cost Alloc_Factors'!$J$66</f>
        <v>0.54269955551425808</v>
      </c>
      <c r="F14" s="145">
        <f>'[68]NPDCL_Cost Alloc_Factors'!$J15</f>
        <v>203.9340113957534</v>
      </c>
      <c r="G14" s="649">
        <f>'[68]NPDCL_Cost Alloc_Factors'!$I15/'[68]NPDCL_Cost Alloc_Factors'!$I$66</f>
        <v>0.57181645133965597</v>
      </c>
      <c r="H14" s="650">
        <f>'[68]NPDCL_Cost Alloc_Factors'!$I15</f>
        <v>1127.9480746172367</v>
      </c>
      <c r="I14" s="637">
        <f t="shared" si="0"/>
        <v>11788.488161540787</v>
      </c>
      <c r="J14" s="649">
        <f t="shared" si="1"/>
        <v>0.44823625652993149</v>
      </c>
      <c r="K14" s="145">
        <f>'[68]NPDCL_Cost Alloc_Factors'!$R15</f>
        <v>1732.786296376644</v>
      </c>
      <c r="L14" s="649">
        <f>[68]NPDCL_Inp_Losses!$S13</f>
        <v>0.57832455987761799</v>
      </c>
      <c r="M14" s="145">
        <f>'[68]NPDCL_Cost Alloc_Factors'!$T15</f>
        <v>33.794336112431523</v>
      </c>
      <c r="N14" s="649">
        <f>[68]NPDCL_Inp_Losses!$R13</f>
        <v>0.60673241465977246</v>
      </c>
      <c r="O14" s="145">
        <f>'[68]NPDCL_Cost Alloc_Factors'!$S15</f>
        <v>298.38632525830974</v>
      </c>
      <c r="P14" s="637">
        <f t="shared" si="2"/>
        <v>2064.9669577473851</v>
      </c>
      <c r="Q14" s="649">
        <f t="shared" si="3"/>
        <v>0.49468601001155899</v>
      </c>
      <c r="R14" s="145">
        <f>'[68]NPDCL_Cost Alloc_Factors'!$AB15</f>
        <v>1503.7745365634878</v>
      </c>
      <c r="S14" s="649">
        <f t="shared" si="4"/>
        <v>0.59792836659429693</v>
      </c>
      <c r="T14" s="145">
        <f>'[68]NPDCL_Cost Alloc_Factors'!$AD15</f>
        <v>29.327945536162215</v>
      </c>
      <c r="U14" s="649">
        <f t="shared" si="5"/>
        <v>0.60774161727213305</v>
      </c>
      <c r="V14" s="145">
        <f>'[68]NPDCL_Cost Alloc_Factors'!$AC15</f>
        <v>227.46017873512287</v>
      </c>
      <c r="W14" s="637">
        <f t="shared" si="6"/>
        <v>1760.5626608347727</v>
      </c>
      <c r="X14" s="649">
        <f t="shared" si="7"/>
        <v>0.52680753585471229</v>
      </c>
      <c r="Y14" s="145">
        <f>'[68]NPDCL_Cost Alloc_Factors'!$AJ15</f>
        <v>1693.9671757376011</v>
      </c>
      <c r="Z14" s="649">
        <f t="shared" si="8"/>
        <v>0.59867048504764175</v>
      </c>
      <c r="AA14" s="145">
        <f>'[68]NPDCL_Cost Alloc_Factors'!$AL15</f>
        <v>33.037251171716079</v>
      </c>
      <c r="AB14" s="649">
        <f t="shared" si="9"/>
        <v>0.60905203724732959</v>
      </c>
      <c r="AC14" s="145">
        <f>'[68]NPDCL_Cost Alloc_Factors'!$AK15</f>
        <v>291.83128481294045</v>
      </c>
      <c r="AD14" s="637">
        <f t="shared" si="10"/>
        <v>2018.8357117222577</v>
      </c>
      <c r="AE14" s="649">
        <f t="shared" si="11"/>
        <v>0.51643290996568914</v>
      </c>
    </row>
    <row r="15" spans="2:31" x14ac:dyDescent="0.25">
      <c r="B15" s="630" t="s">
        <v>789</v>
      </c>
      <c r="C15" s="630" t="s">
        <v>790</v>
      </c>
      <c r="D15" s="145">
        <f>'[68]NPDCL_Cost Alloc_Factors'!$H16</f>
        <v>396.51543480131897</v>
      </c>
      <c r="E15" s="649">
        <f>'[68]NPDCL_Cost Alloc_Factors'!$J16/'[68]NPDCL_Cost Alloc_Factors'!$J$66</f>
        <v>2.0579215537710402E-2</v>
      </c>
      <c r="F15" s="145">
        <f>'[68]NPDCL_Cost Alloc_Factors'!$J16</f>
        <v>7.7331958969567243</v>
      </c>
      <c r="G15" s="649">
        <f>'[68]NPDCL_Cost Alloc_Factors'!$I16/'[68]NPDCL_Cost Alloc_Factors'!$I$66</f>
        <v>1.895004228061821E-2</v>
      </c>
      <c r="H15" s="145">
        <f>'[68]NPDCL_Cost Alloc_Factors'!$I16</f>
        <v>37.380288122634127</v>
      </c>
      <c r="I15" s="637">
        <f t="shared" si="0"/>
        <v>441.6289188209098</v>
      </c>
      <c r="J15" s="649">
        <f t="shared" si="1"/>
        <v>1.6792152703131058E-2</v>
      </c>
      <c r="K15" s="145">
        <f>'[68]NPDCL_Cost Alloc_Factors'!$R16</f>
        <v>90.15300058007594</v>
      </c>
      <c r="L15" s="649">
        <f>[68]NPDCL_Inp_Losses!$S14</f>
        <v>3.0088935081690103E-2</v>
      </c>
      <c r="M15" s="145">
        <f>'[68]NPDCL_Cost Alloc_Factors'!$T16</f>
        <v>1.758243823556352</v>
      </c>
      <c r="N15" s="649">
        <f>[68]NPDCL_Inp_Losses!$R14</f>
        <v>1.8884096840650542E-2</v>
      </c>
      <c r="O15" s="145">
        <f>'[68]NPDCL_Cost Alloc_Factors'!$S16</f>
        <v>9.2870532807505981</v>
      </c>
      <c r="P15" s="637">
        <f t="shared" si="2"/>
        <v>101.19829768438289</v>
      </c>
      <c r="Q15" s="649">
        <f t="shared" si="3"/>
        <v>2.4243187966581283E-2</v>
      </c>
      <c r="R15" s="145">
        <f>'[68]NPDCL_Cost Alloc_Factors'!$AB16</f>
        <v>45.07650029003797</v>
      </c>
      <c r="S15" s="649">
        <f t="shared" si="4"/>
        <v>1.7923244166511296E-2</v>
      </c>
      <c r="T15" s="145">
        <f>'[68]NPDCL_Cost Alloc_Factors'!$AD16</f>
        <v>0.879121911778176</v>
      </c>
      <c r="U15" s="649">
        <f t="shared" si="5"/>
        <v>1.8217401958301398E-2</v>
      </c>
      <c r="V15" s="145">
        <f>'[68]NPDCL_Cost Alloc_Factors'!$AC16</f>
        <v>6.8182487224160955</v>
      </c>
      <c r="W15" s="637">
        <f t="shared" si="6"/>
        <v>52.773870924232241</v>
      </c>
      <c r="X15" s="649">
        <f t="shared" si="7"/>
        <v>1.5791356659766508E-2</v>
      </c>
      <c r="Y15" s="145">
        <f>'[68]NPDCL_Cost Alloc_Factors'!$AJ16</f>
        <v>36.06120023203038</v>
      </c>
      <c r="Z15" s="649">
        <f t="shared" si="8"/>
        <v>1.2744506826060192E-2</v>
      </c>
      <c r="AA15" s="145">
        <f>'[68]NPDCL_Cost Alloc_Factors'!$AL16</f>
        <v>0.70329752942254087</v>
      </c>
      <c r="AB15" s="649">
        <f t="shared" si="9"/>
        <v>1.2965509474726746E-2</v>
      </c>
      <c r="AC15" s="145">
        <f>'[68]NPDCL_Cost Alloc_Factors'!$AK16</f>
        <v>6.2125090416983895</v>
      </c>
      <c r="AD15" s="637">
        <f t="shared" si="10"/>
        <v>42.977006803151312</v>
      </c>
      <c r="AE15" s="649">
        <f t="shared" si="11"/>
        <v>1.0993832017184024E-2</v>
      </c>
    </row>
    <row r="16" spans="2:31" x14ac:dyDescent="0.25">
      <c r="B16" s="630" t="s">
        <v>791</v>
      </c>
      <c r="C16" s="630" t="s">
        <v>792</v>
      </c>
      <c r="D16" s="145">
        <f>'[68]NPDCL_Cost Alloc_Factors'!$H17</f>
        <v>90.021981050319653</v>
      </c>
      <c r="E16" s="649">
        <f>'[68]NPDCL_Cost Alloc_Factors'!$J17/'[68]NPDCL_Cost Alloc_Factors'!$J$66</f>
        <v>4.6721554536571274E-3</v>
      </c>
      <c r="F16" s="145">
        <f>'[68]NPDCL_Cost Alloc_Factors'!$J17</f>
        <v>1.7556885644138165</v>
      </c>
      <c r="G16" s="649">
        <f>'[68]NPDCL_Cost Alloc_Factors'!$I17/'[68]NPDCL_Cost Alloc_Factors'!$I$66</f>
        <v>4.3022798039207477E-3</v>
      </c>
      <c r="H16" s="145">
        <f>'[68]NPDCL_Cost Alloc_Factors'!$I17</f>
        <v>8.4865488041275725</v>
      </c>
      <c r="I16" s="637">
        <f t="shared" si="0"/>
        <v>100.26421841886105</v>
      </c>
      <c r="J16" s="649">
        <f t="shared" si="1"/>
        <v>3.8123682453692718E-3</v>
      </c>
      <c r="K16" s="145">
        <f>'[68]NPDCL_Cost Alloc_Factors'!$R17</f>
        <v>20.467681703022716</v>
      </c>
      <c r="L16" s="649">
        <f>[68]NPDCL_Inp_Losses!$S15</f>
        <v>6.8311730288769948E-3</v>
      </c>
      <c r="M16" s="145">
        <f>'[68]NPDCL_Cost Alloc_Factors'!$T17</f>
        <v>0.39917889260815476</v>
      </c>
      <c r="N16" s="649">
        <f>[68]NPDCL_Inp_Losses!$R15</f>
        <v>4.2873080307535847E-3</v>
      </c>
      <c r="O16" s="145">
        <f>'[68]NPDCL_Cost Alloc_Factors'!$S17</f>
        <v>2.1084650459368657</v>
      </c>
      <c r="P16" s="637">
        <f t="shared" si="2"/>
        <v>22.975325641567736</v>
      </c>
      <c r="Q16" s="649">
        <f t="shared" si="3"/>
        <v>5.5039971112863673E-3</v>
      </c>
      <c r="R16" s="145">
        <f>'[68]NPDCL_Cost Alloc_Factors'!$AB17</f>
        <v>10.233840851511358</v>
      </c>
      <c r="S16" s="649">
        <f t="shared" si="4"/>
        <v>4.069163026469317E-3</v>
      </c>
      <c r="T16" s="145">
        <f>'[68]NPDCL_Cost Alloc_Factors'!$AD17</f>
        <v>0.19958944630407738</v>
      </c>
      <c r="U16" s="649">
        <f t="shared" si="5"/>
        <v>4.1359464725452579E-3</v>
      </c>
      <c r="V16" s="145">
        <f>'[68]NPDCL_Cost Alloc_Factors'!$AC17</f>
        <v>1.5479656109560003</v>
      </c>
      <c r="W16" s="637">
        <f t="shared" si="6"/>
        <v>11.981395908771436</v>
      </c>
      <c r="X16" s="649">
        <f t="shared" si="7"/>
        <v>3.5851547889848021E-3</v>
      </c>
      <c r="Y16" s="145">
        <f>'[68]NPDCL_Cost Alloc_Factors'!$AJ17</f>
        <v>8.1870726812090862</v>
      </c>
      <c r="Z16" s="649">
        <f t="shared" si="8"/>
        <v>2.8934201579470108E-3</v>
      </c>
      <c r="AA16" s="145">
        <f>'[68]NPDCL_Cost Alloc_Factors'!$AL17</f>
        <v>0.15967155704326191</v>
      </c>
      <c r="AB16" s="649">
        <f t="shared" si="9"/>
        <v>2.943594992276726E-3</v>
      </c>
      <c r="AC16" s="145">
        <f>'[68]NPDCL_Cost Alloc_Factors'!$AK17</f>
        <v>1.4104428784895604</v>
      </c>
      <c r="AD16" s="637">
        <f t="shared" si="10"/>
        <v>9.7571871167419086</v>
      </c>
      <c r="AE16" s="649">
        <f t="shared" si="11"/>
        <v>2.4959596793936592E-3</v>
      </c>
    </row>
    <row r="17" spans="2:31" x14ac:dyDescent="0.25">
      <c r="B17" s="630" t="s">
        <v>793</v>
      </c>
      <c r="C17" s="630" t="s">
        <v>794</v>
      </c>
      <c r="D17" s="145">
        <f>'[68]NPDCL_Cost Alloc_Factors'!$H18</f>
        <v>0.17605145250000001</v>
      </c>
      <c r="E17" s="649">
        <f>'[68]NPDCL_Cost Alloc_Factors'!$J18/'[68]NPDCL_Cost Alloc_Factors'!$J$66</f>
        <v>9.1370990098780219E-6</v>
      </c>
      <c r="F17" s="145">
        <f>'[68]NPDCL_Cost Alloc_Factors'!$J18</f>
        <v>3.4335116634449437E-3</v>
      </c>
      <c r="G17" s="649">
        <f>'[68]NPDCL_Cost Alloc_Factors'!$I18/'[68]NPDCL_Cost Alloc_Factors'!$I$66</f>
        <v>8.2961582581322137E-6</v>
      </c>
      <c r="H17" s="145">
        <f>'[68]NPDCL_Cost Alloc_Factors'!$I18</f>
        <v>1.6364754305436609E-2</v>
      </c>
      <c r="I17" s="637">
        <f t="shared" si="0"/>
        <v>0.19584971846888155</v>
      </c>
      <c r="J17" s="649">
        <f t="shared" si="1"/>
        <v>7.4468365617341772E-6</v>
      </c>
      <c r="K17" s="145">
        <f>'[68]NPDCL_Cost Alloc_Factors'!$R18</f>
        <v>3.6084744132818647E-2</v>
      </c>
      <c r="L17" s="649">
        <f>[68]NPDCL_Inp_Losses!$S16</f>
        <v>4.01447730216289E-5</v>
      </c>
      <c r="M17" s="145">
        <f>'[68]NPDCL_Cost Alloc_Factors'!$T18</f>
        <v>2.3458556782324628E-3</v>
      </c>
      <c r="N17" s="649">
        <f>[68]NPDCL_Inp_Losses!$R16</f>
        <v>1.1855745395996338E-5</v>
      </c>
      <c r="O17" s="145">
        <f>'[68]NPDCL_Cost Alloc_Factors'!$S18</f>
        <v>5.8305642099131787E-3</v>
      </c>
      <c r="P17" s="637">
        <f t="shared" si="2"/>
        <v>4.4261164020964291E-2</v>
      </c>
      <c r="Q17" s="649">
        <f t="shared" si="3"/>
        <v>1.060325858767399E-5</v>
      </c>
      <c r="R17" s="145">
        <f>'[68]NPDCL_Cost Alloc_Factors'!$AB18</f>
        <v>3.6084744132818647E-2</v>
      </c>
      <c r="S17" s="649">
        <f t="shared" si="4"/>
        <v>1.4347956820452833E-5</v>
      </c>
      <c r="T17" s="145">
        <f>'[68]NPDCL_Cost Alloc_Factors'!$AD18</f>
        <v>7.0375670346973878E-4</v>
      </c>
      <c r="U17" s="649">
        <f t="shared" si="5"/>
        <v>1.4583436695401483E-5</v>
      </c>
      <c r="V17" s="145">
        <f>'[68]NPDCL_Cost Alloc_Factors'!$AC18</f>
        <v>5.4581602165036935E-3</v>
      </c>
      <c r="W17" s="637">
        <f t="shared" si="6"/>
        <v>4.2246661052792081E-2</v>
      </c>
      <c r="X17" s="649">
        <f t="shared" si="7"/>
        <v>1.2641333309180828E-5</v>
      </c>
      <c r="Y17" s="145">
        <f>'[68]NPDCL_Cost Alloc_Factors'!$AJ18</f>
        <v>1.2028248044272884E-3</v>
      </c>
      <c r="Z17" s="649">
        <f t="shared" si="8"/>
        <v>4.2509425177041561E-7</v>
      </c>
      <c r="AA17" s="145">
        <f>'[68]NPDCL_Cost Alloc_Factors'!$AL18</f>
        <v>2.345855678232463E-5</v>
      </c>
      <c r="AB17" s="649">
        <f t="shared" si="9"/>
        <v>4.3246581638695173E-7</v>
      </c>
      <c r="AC17" s="145">
        <f>'[68]NPDCL_Cost Alloc_Factors'!$AK18</f>
        <v>2.0721883700494049E-4</v>
      </c>
      <c r="AD17" s="637">
        <f t="shared" si="10"/>
        <v>1.4335021982145534E-3</v>
      </c>
      <c r="AE17" s="649">
        <f t="shared" si="11"/>
        <v>3.6670032502773666E-7</v>
      </c>
    </row>
    <row r="18" spans="2:31" hidden="1" x14ac:dyDescent="0.25">
      <c r="B18" s="630" t="s">
        <v>795</v>
      </c>
      <c r="C18" s="630" t="s">
        <v>796</v>
      </c>
      <c r="D18" s="145">
        <f>'[68]NPDCL_Cost Alloc_Factors'!$H19</f>
        <v>0</v>
      </c>
      <c r="E18" s="145">
        <f>'[68]NPDCL_Cost Alloc_Factors'!$J19/'[68]NPDCL_Cost Alloc_Factors'!$J$66</f>
        <v>0</v>
      </c>
      <c r="F18" s="145">
        <f>'[68]NPDCL_Cost Alloc_Factors'!$J19</f>
        <v>0</v>
      </c>
      <c r="G18" s="145">
        <f>'[68]NPDCL_Cost Alloc_Factors'!$I19/'[68]NPDCL_Cost Alloc_Factors'!$I$66</f>
        <v>0</v>
      </c>
      <c r="H18" s="145">
        <f>'[68]NPDCL_Cost Alloc_Factors'!$I19</f>
        <v>0</v>
      </c>
      <c r="I18" s="637">
        <f t="shared" si="0"/>
        <v>0</v>
      </c>
      <c r="J18" s="145">
        <f t="shared" si="1"/>
        <v>0</v>
      </c>
      <c r="K18" s="145">
        <f>'[68]NPDCL_Cost Alloc_Factors'!$R19</f>
        <v>0</v>
      </c>
      <c r="L18" s="145">
        <f>[68]NPDCL_Inp_Losses!$S17</f>
        <v>0</v>
      </c>
      <c r="M18" s="145">
        <f>'[68]NPDCL_Cost Alloc_Factors'!$T19</f>
        <v>0</v>
      </c>
      <c r="N18" s="145">
        <f>[68]NPDCL_Inp_Losses!$R17</f>
        <v>0</v>
      </c>
      <c r="O18" s="145">
        <f>'[68]NPDCL_Cost Alloc_Factors'!$S19</f>
        <v>0</v>
      </c>
      <c r="P18" s="637">
        <f t="shared" si="2"/>
        <v>0</v>
      </c>
      <c r="Q18" s="649">
        <f t="shared" si="3"/>
        <v>0</v>
      </c>
      <c r="R18" s="145">
        <f>'[68]NPDCL_Cost Alloc_Factors'!$AB19</f>
        <v>0</v>
      </c>
      <c r="S18" s="145">
        <f t="shared" si="4"/>
        <v>0</v>
      </c>
      <c r="T18" s="145">
        <f>'[68]NPDCL_Cost Alloc_Factors'!$AD19</f>
        <v>0</v>
      </c>
      <c r="U18" s="145">
        <f t="shared" si="5"/>
        <v>0</v>
      </c>
      <c r="V18" s="145">
        <f>'[68]NPDCL_Cost Alloc_Factors'!$AC19</f>
        <v>0</v>
      </c>
      <c r="W18" s="637">
        <f t="shared" si="6"/>
        <v>0</v>
      </c>
      <c r="X18" s="145">
        <f t="shared" si="7"/>
        <v>0</v>
      </c>
      <c r="Y18" s="145">
        <f>'[68]NPDCL_Cost Alloc_Factors'!$AJ19</f>
        <v>0</v>
      </c>
      <c r="Z18" s="649">
        <f t="shared" si="8"/>
        <v>0</v>
      </c>
      <c r="AA18" s="145">
        <f>'[68]NPDCL_Cost Alloc_Factors'!$AL19</f>
        <v>0</v>
      </c>
      <c r="AB18" s="145">
        <f t="shared" si="9"/>
        <v>0</v>
      </c>
      <c r="AC18" s="145">
        <f>'[68]NPDCL_Cost Alloc_Factors'!$AK19</f>
        <v>0</v>
      </c>
      <c r="AD18" s="637">
        <f t="shared" si="10"/>
        <v>0</v>
      </c>
      <c r="AE18" s="649">
        <f t="shared" si="11"/>
        <v>0</v>
      </c>
    </row>
    <row r="19" spans="2:31" hidden="1" x14ac:dyDescent="0.25">
      <c r="B19" s="630" t="s">
        <v>797</v>
      </c>
      <c r="C19" s="633" t="s">
        <v>798</v>
      </c>
      <c r="D19" s="145">
        <f>'[68]NPDCL_Cost Alloc_Factors'!$H20</f>
        <v>0</v>
      </c>
      <c r="E19" s="145">
        <f>'[68]NPDCL_Cost Alloc_Factors'!$J20/'[68]NPDCL_Cost Alloc_Factors'!$J$66</f>
        <v>0</v>
      </c>
      <c r="F19" s="145">
        <f>'[68]NPDCL_Cost Alloc_Factors'!$J20</f>
        <v>0</v>
      </c>
      <c r="G19" s="145">
        <f>'[68]NPDCL_Cost Alloc_Factors'!$I20/'[68]NPDCL_Cost Alloc_Factors'!$I$66</f>
        <v>0</v>
      </c>
      <c r="H19" s="145">
        <f>'[68]NPDCL_Cost Alloc_Factors'!$I20</f>
        <v>0</v>
      </c>
      <c r="I19" s="637">
        <f t="shared" si="0"/>
        <v>0</v>
      </c>
      <c r="J19" s="145">
        <f t="shared" si="1"/>
        <v>0</v>
      </c>
      <c r="K19" s="145">
        <f>'[68]NPDCL_Cost Alloc_Factors'!$R20</f>
        <v>0</v>
      </c>
      <c r="L19" s="145">
        <f>[68]NPDCL_Inp_Losses!$S18</f>
        <v>0</v>
      </c>
      <c r="M19" s="145">
        <f>'[68]NPDCL_Cost Alloc_Factors'!$T20</f>
        <v>0</v>
      </c>
      <c r="N19" s="145">
        <f>[68]NPDCL_Inp_Losses!$R18</f>
        <v>0</v>
      </c>
      <c r="O19" s="145">
        <f>'[68]NPDCL_Cost Alloc_Factors'!$S20</f>
        <v>0</v>
      </c>
      <c r="P19" s="637">
        <f t="shared" si="2"/>
        <v>0</v>
      </c>
      <c r="Q19" s="649">
        <f t="shared" si="3"/>
        <v>0</v>
      </c>
      <c r="R19" s="145">
        <f>'[68]NPDCL_Cost Alloc_Factors'!$AB20</f>
        <v>0</v>
      </c>
      <c r="S19" s="145">
        <f t="shared" si="4"/>
        <v>0</v>
      </c>
      <c r="T19" s="145">
        <f>'[68]NPDCL_Cost Alloc_Factors'!$AD20</f>
        <v>0</v>
      </c>
      <c r="U19" s="145">
        <f t="shared" si="5"/>
        <v>0</v>
      </c>
      <c r="V19" s="145">
        <f>'[68]NPDCL_Cost Alloc_Factors'!$AC20</f>
        <v>0</v>
      </c>
      <c r="W19" s="637">
        <f t="shared" si="6"/>
        <v>0</v>
      </c>
      <c r="X19" s="145">
        <f t="shared" si="7"/>
        <v>0</v>
      </c>
      <c r="Y19" s="145">
        <f>'[68]NPDCL_Cost Alloc_Factors'!$AJ20</f>
        <v>0</v>
      </c>
      <c r="Z19" s="145">
        <f t="shared" si="8"/>
        <v>0</v>
      </c>
      <c r="AA19" s="145">
        <f>'[68]NPDCL_Cost Alloc_Factors'!$AL20</f>
        <v>0</v>
      </c>
      <c r="AB19" s="145">
        <f t="shared" si="9"/>
        <v>0</v>
      </c>
      <c r="AC19" s="145">
        <f>'[68]NPDCL_Cost Alloc_Factors'!$AK20</f>
        <v>0</v>
      </c>
      <c r="AD19" s="637">
        <f t="shared" si="10"/>
        <v>0</v>
      </c>
      <c r="AE19" s="145">
        <f t="shared" si="11"/>
        <v>0</v>
      </c>
    </row>
    <row r="20" spans="2:31" x14ac:dyDescent="0.25">
      <c r="B20" s="881" t="s">
        <v>799</v>
      </c>
      <c r="C20" s="882"/>
      <c r="D20" s="579"/>
      <c r="E20" s="579"/>
      <c r="F20" s="579"/>
      <c r="G20" s="579"/>
      <c r="H20" s="579"/>
      <c r="I20" s="637"/>
      <c r="J20" s="649"/>
      <c r="K20" s="579"/>
      <c r="L20" s="579"/>
      <c r="M20" s="579"/>
      <c r="N20" s="579"/>
      <c r="O20" s="579"/>
      <c r="P20" s="579"/>
      <c r="Q20" s="649"/>
      <c r="R20" s="579"/>
      <c r="S20" s="579"/>
      <c r="T20" s="579"/>
      <c r="U20" s="579"/>
      <c r="V20" s="579"/>
      <c r="W20" s="637"/>
      <c r="X20" s="579"/>
      <c r="Y20" s="579"/>
      <c r="Z20" s="579"/>
      <c r="AA20" s="579"/>
      <c r="AB20" s="579"/>
      <c r="AC20" s="579"/>
      <c r="AD20" s="579"/>
      <c r="AE20" s="145"/>
    </row>
    <row r="21" spans="2:31" x14ac:dyDescent="0.25">
      <c r="B21" s="630"/>
      <c r="C21" s="634" t="s">
        <v>800</v>
      </c>
      <c r="D21" s="579"/>
      <c r="E21" s="579"/>
      <c r="F21" s="579"/>
      <c r="G21" s="579"/>
      <c r="H21" s="579"/>
      <c r="I21" s="637"/>
      <c r="J21" s="649"/>
      <c r="K21" s="579"/>
      <c r="L21" s="579"/>
      <c r="M21" s="579"/>
      <c r="N21" s="579"/>
      <c r="O21" s="579"/>
      <c r="P21" s="579"/>
      <c r="Q21" s="649"/>
      <c r="R21" s="579"/>
      <c r="S21" s="579"/>
      <c r="T21" s="579"/>
      <c r="U21" s="579"/>
      <c r="V21" s="579"/>
      <c r="W21" s="637"/>
      <c r="X21" s="579"/>
      <c r="Y21" s="579"/>
      <c r="Z21" s="579"/>
      <c r="AA21" s="579"/>
      <c r="AB21" s="579"/>
      <c r="AC21" s="579"/>
      <c r="AD21" s="579"/>
      <c r="AE21" s="145"/>
    </row>
    <row r="22" spans="2:31" x14ac:dyDescent="0.25">
      <c r="B22" s="630" t="s">
        <v>801</v>
      </c>
      <c r="C22" s="635" t="s">
        <v>802</v>
      </c>
      <c r="D22" s="145">
        <f>'[68]NPDCL_Cost Alloc_Factors'!$H25</f>
        <v>1211.3663986092286</v>
      </c>
      <c r="E22" s="649">
        <f>'[68]NPDCL_Cost Alloc_Factors'!$J25/'[68]NPDCL_Cost Alloc_Factors'!$J$66</f>
        <v>4.2409830136177225E-2</v>
      </c>
      <c r="F22" s="145">
        <f>'[68]NPDCL_Cost Alloc_Factors'!$J25</f>
        <v>15.936638779973917</v>
      </c>
      <c r="G22" s="649">
        <f>'[68]NPDCL_Cost Alloc_Factors'!$I25/'[68]NPDCL_Cost Alloc_Factors'!$I$66</f>
        <v>3.7507850136857424E-2</v>
      </c>
      <c r="H22" s="145">
        <f>'[68]NPDCL_Cost Alloc_Factors'!$I25</f>
        <v>73.986866320098414</v>
      </c>
      <c r="I22" s="637">
        <f t="shared" ref="I22:I31" si="12">D22+F22+H22</f>
        <v>1301.2899037093009</v>
      </c>
      <c r="J22" s="649">
        <f t="shared" ref="J22:J31" si="13">I22/SUM($D$53,$F$53,$H$53)</f>
        <v>4.9479229830487026E-2</v>
      </c>
      <c r="K22" s="145">
        <f>'[68]NPDCL_Cost Alloc_Factors'!$R25</f>
        <v>148.31528371685744</v>
      </c>
      <c r="L22" s="649">
        <f>[68]NPDCL_Inp_Losses!$S23</f>
        <v>3.3391415515300622E-2</v>
      </c>
      <c r="M22" s="145">
        <f>'[68]NPDCL_Cost Alloc_Factors'!$T25</f>
        <v>1.951223927672594</v>
      </c>
      <c r="N22" s="649">
        <f>[68]NPDCL_Inp_Losses!$R23</f>
        <v>3.0557917461651235E-2</v>
      </c>
      <c r="O22" s="145">
        <f>'[68]NPDCL_Cost Alloc_Factors'!$S25</f>
        <v>15.028148288470524</v>
      </c>
      <c r="P22" s="637">
        <f t="shared" ref="P22:P31" si="14">K22+M22+O22</f>
        <v>165.29465593300057</v>
      </c>
      <c r="Q22" s="649">
        <f t="shared" ref="Q22:Q31" si="15">P22/$P$53</f>
        <v>3.95981899434018E-2</v>
      </c>
      <c r="R22" s="145">
        <f>'[68]NPDCL_Cost Alloc_Factors'!$AB25</f>
        <v>147.58402995343607</v>
      </c>
      <c r="S22" s="649">
        <f t="shared" ref="S22:S31" si="16">T22/$T$53</f>
        <v>3.9584766512119972E-2</v>
      </c>
      <c r="T22" s="145">
        <f>'[68]NPDCL_Cost Alloc_Factors'!$AD25</f>
        <v>1.9416036120541962</v>
      </c>
      <c r="U22" s="649">
        <f t="shared" ref="U22:U31" si="17">V22/$V$53</f>
        <v>3.6445313146849366E-2</v>
      </c>
      <c r="V22" s="145">
        <f>'[68]NPDCL_Cost Alloc_Factors'!$AC25</f>
        <v>13.640430746949928</v>
      </c>
      <c r="W22" s="637">
        <f t="shared" ref="W22:W31" si="18">R22+T22+V22</f>
        <v>163.1660643124402</v>
      </c>
      <c r="X22" s="649">
        <f t="shared" ref="X22:X31" si="19">W22/$W$53</f>
        <v>4.8823659724097225E-2</v>
      </c>
      <c r="Y22" s="145">
        <f>'[68]NPDCL_Cost Alloc_Factors'!$AJ25</f>
        <v>136.16251250675901</v>
      </c>
      <c r="Z22" s="649">
        <f t="shared" ref="Z22:Z31" si="20">AA22/$AA$53</f>
        <v>3.2461060579414933E-2</v>
      </c>
      <c r="AA22" s="145">
        <f>'[68]NPDCL_Cost Alloc_Factors'!$AL25</f>
        <v>1.7913430483834187</v>
      </c>
      <c r="AB22" s="649">
        <f t="shared" ref="AB22:AB31" si="21">AC22/$AC$53</f>
        <v>2.9783596276728181E-2</v>
      </c>
      <c r="AC22" s="145">
        <f>'[68]NPDCL_Cost Alloc_Factors'!$AK25</f>
        <v>14.27100581925786</v>
      </c>
      <c r="AD22" s="637">
        <f t="shared" ref="AD22:AD31" si="22">Y22+AA22+AC22</f>
        <v>152.22486137440029</v>
      </c>
      <c r="AE22" s="649">
        <f t="shared" ref="AE22:AE31" si="23">AD22/$AD$53</f>
        <v>3.8940230585499239E-2</v>
      </c>
    </row>
    <row r="23" spans="2:31" x14ac:dyDescent="0.25">
      <c r="B23" s="630" t="s">
        <v>803</v>
      </c>
      <c r="C23" s="635" t="s">
        <v>804</v>
      </c>
      <c r="D23" s="145">
        <f>'[68]NPDCL_Cost Alloc_Factors'!$H26</f>
        <v>0</v>
      </c>
      <c r="E23" s="649">
        <f>'[68]NPDCL_Cost Alloc_Factors'!$J26/'[68]NPDCL_Cost Alloc_Factors'!$J$66</f>
        <v>0</v>
      </c>
      <c r="F23" s="145">
        <f>'[68]NPDCL_Cost Alloc_Factors'!$J26</f>
        <v>0</v>
      </c>
      <c r="G23" s="649">
        <f>'[68]NPDCL_Cost Alloc_Factors'!$I26/'[68]NPDCL_Cost Alloc_Factors'!$I$66</f>
        <v>0</v>
      </c>
      <c r="H23" s="145">
        <f>'[68]NPDCL_Cost Alloc_Factors'!$I26</f>
        <v>0</v>
      </c>
      <c r="I23" s="637">
        <f t="shared" si="12"/>
        <v>0</v>
      </c>
      <c r="J23" s="649">
        <f t="shared" si="13"/>
        <v>0</v>
      </c>
      <c r="K23" s="145">
        <f>'[68]NPDCL_Cost Alloc_Factors'!$R26</f>
        <v>0</v>
      </c>
      <c r="L23" s="649">
        <f>[68]NPDCL_Inp_Losses!$S24</f>
        <v>0</v>
      </c>
      <c r="M23" s="145">
        <f>'[68]NPDCL_Cost Alloc_Factors'!$T26</f>
        <v>0</v>
      </c>
      <c r="N23" s="649">
        <f>[68]NPDCL_Inp_Losses!$R24</f>
        <v>0</v>
      </c>
      <c r="O23" s="145">
        <f>'[68]NPDCL_Cost Alloc_Factors'!$S26</f>
        <v>0</v>
      </c>
      <c r="P23" s="637">
        <f t="shared" si="14"/>
        <v>0</v>
      </c>
      <c r="Q23" s="649">
        <f t="shared" si="15"/>
        <v>0</v>
      </c>
      <c r="R23" s="145">
        <f>'[68]NPDCL_Cost Alloc_Factors'!$AB26</f>
        <v>0</v>
      </c>
      <c r="S23" s="649">
        <f t="shared" si="16"/>
        <v>0</v>
      </c>
      <c r="T23" s="145">
        <f>'[68]NPDCL_Cost Alloc_Factors'!$AD26</f>
        <v>0</v>
      </c>
      <c r="U23" s="649">
        <f t="shared" si="17"/>
        <v>0</v>
      </c>
      <c r="V23" s="145">
        <f>'[68]NPDCL_Cost Alloc_Factors'!$AC26</f>
        <v>0</v>
      </c>
      <c r="W23" s="637">
        <f t="shared" si="18"/>
        <v>0</v>
      </c>
      <c r="X23" s="649">
        <f t="shared" si="19"/>
        <v>0</v>
      </c>
      <c r="Y23" s="145">
        <f>'[68]NPDCL_Cost Alloc_Factors'!$AJ26</f>
        <v>0</v>
      </c>
      <c r="Z23" s="649">
        <f t="shared" si="20"/>
        <v>0</v>
      </c>
      <c r="AA23" s="145">
        <f>'[68]NPDCL_Cost Alloc_Factors'!$AL26</f>
        <v>0</v>
      </c>
      <c r="AB23" s="649">
        <f t="shared" si="21"/>
        <v>0</v>
      </c>
      <c r="AC23" s="145">
        <f>'[68]NPDCL_Cost Alloc_Factors'!$AK26</f>
        <v>0</v>
      </c>
      <c r="AD23" s="637">
        <f t="shared" si="22"/>
        <v>0</v>
      </c>
      <c r="AE23" s="649">
        <f t="shared" si="23"/>
        <v>0</v>
      </c>
    </row>
    <row r="24" spans="2:31" x14ac:dyDescent="0.25">
      <c r="B24" s="630" t="s">
        <v>805</v>
      </c>
      <c r="C24" s="635" t="s">
        <v>498</v>
      </c>
      <c r="D24" s="145">
        <f>'[68]NPDCL_Cost Alloc_Factors'!$H27</f>
        <v>252.98851961016715</v>
      </c>
      <c r="E24" s="649">
        <f>'[68]NPDCL_Cost Alloc_Factors'!$J27/'[68]NPDCL_Cost Alloc_Factors'!$J$66</f>
        <v>8.8571056250101865E-3</v>
      </c>
      <c r="F24" s="145">
        <f>'[68]NPDCL_Cost Alloc_Factors'!$J27</f>
        <v>3.3282965889894927</v>
      </c>
      <c r="G24" s="649">
        <f>'[68]NPDCL_Cost Alloc_Factors'!$I27/'[68]NPDCL_Cost Alloc_Factors'!$I$66</f>
        <v>7.7054390321389978E-3</v>
      </c>
      <c r="H24" s="145">
        <f>'[68]NPDCL_Cost Alloc_Factors'!$I27</f>
        <v>15.199519181407879</v>
      </c>
      <c r="I24" s="637">
        <f t="shared" si="12"/>
        <v>271.5163353805645</v>
      </c>
      <c r="J24" s="649">
        <f t="shared" si="13"/>
        <v>1.0323924840062159E-2</v>
      </c>
      <c r="K24" s="145">
        <f>'[68]NPDCL_Cost Alloc_Factors'!$R27</f>
        <v>36.633128489289597</v>
      </c>
      <c r="L24" s="649">
        <f>[68]NPDCL_Inp_Losses!$S25</f>
        <v>8.2475115467296519E-3</v>
      </c>
      <c r="M24" s="145">
        <f>'[68]NPDCL_Cost Alloc_Factors'!$T27</f>
        <v>0.48194248807334572</v>
      </c>
      <c r="N24" s="649">
        <f>[68]NPDCL_Inp_Losses!$R25</f>
        <v>5.9220445465902318E-3</v>
      </c>
      <c r="O24" s="145">
        <f>'[68]NPDCL_Cost Alloc_Factors'!$S27</f>
        <v>2.9124158650135024</v>
      </c>
      <c r="P24" s="637">
        <f t="shared" si="14"/>
        <v>40.02748684237644</v>
      </c>
      <c r="Q24" s="649">
        <f t="shared" si="15"/>
        <v>9.5890337046582955E-3</v>
      </c>
      <c r="R24" s="145">
        <f>'[68]NPDCL_Cost Alloc_Factors'!$AB27</f>
        <v>29.487830243065332</v>
      </c>
      <c r="S24" s="649">
        <f t="shared" si="16"/>
        <v>7.9091814709833681E-3</v>
      </c>
      <c r="T24" s="145">
        <f>'[68]NPDCL_Cost Alloc_Factors'!$AD27</f>
        <v>0.38793951980875302</v>
      </c>
      <c r="U24" s="649">
        <f t="shared" si="17"/>
        <v>7.2819071790404784E-3</v>
      </c>
      <c r="V24" s="145">
        <f>'[68]NPDCL_Cost Alloc_Factors'!$AC27</f>
        <v>2.7254080704751997</v>
      </c>
      <c r="W24" s="637">
        <f t="shared" si="18"/>
        <v>32.601177833349283</v>
      </c>
      <c r="X24" s="649">
        <f t="shared" si="19"/>
        <v>9.7551462054776706E-3</v>
      </c>
      <c r="Y24" s="145">
        <f>'[68]NPDCL_Cost Alloc_Factors'!$AJ27</f>
        <v>26.711786021937066</v>
      </c>
      <c r="Z24" s="649">
        <f t="shared" si="20"/>
        <v>6.3680736223152923E-3</v>
      </c>
      <c r="AA24" s="145">
        <f>'[68]NPDCL_Cost Alloc_Factors'!$AL27</f>
        <v>0.35141810561058134</v>
      </c>
      <c r="AB24" s="649">
        <f t="shared" si="21"/>
        <v>5.8428199954685262E-3</v>
      </c>
      <c r="AC24" s="145">
        <f>'[68]NPDCL_Cost Alloc_Factors'!$AK27</f>
        <v>2.7996255852205429</v>
      </c>
      <c r="AD24" s="637">
        <f t="shared" si="22"/>
        <v>29.862829712768189</v>
      </c>
      <c r="AE24" s="649">
        <f t="shared" si="23"/>
        <v>7.6391298008187947E-3</v>
      </c>
    </row>
    <row r="25" spans="2:31" x14ac:dyDescent="0.25">
      <c r="B25" s="630" t="s">
        <v>806</v>
      </c>
      <c r="C25" s="630" t="s">
        <v>807</v>
      </c>
      <c r="D25" s="145">
        <f>'[68]NPDCL_Cost Alloc_Factors'!$H28</f>
        <v>8.6112217104417237</v>
      </c>
      <c r="E25" s="649">
        <f>'[68]NPDCL_Cost Alloc_Factors'!$J28/'[68]NPDCL_Cost Alloc_Factors'!$J$66</f>
        <v>3.01478108047311E-4</v>
      </c>
      <c r="F25" s="145">
        <f>'[68]NPDCL_Cost Alloc_Factors'!$J28</f>
        <v>0.1132885392983802</v>
      </c>
      <c r="G25" s="649">
        <f>'[68]NPDCL_Cost Alloc_Factors'!$I28/'[68]NPDCL_Cost Alloc_Factors'!$I$66</f>
        <v>2.5862510401083013E-4</v>
      </c>
      <c r="H25" s="145">
        <f>'[68]NPDCL_Cost Alloc_Factors'!$I28</f>
        <v>0.51015616538010522</v>
      </c>
      <c r="I25" s="637">
        <f t="shared" si="12"/>
        <v>9.2346664151202091</v>
      </c>
      <c r="J25" s="649">
        <f t="shared" si="13"/>
        <v>3.5113173525680886E-4</v>
      </c>
      <c r="K25" s="145">
        <f>'[68]NPDCL_Cost Alloc_Factors'!$R28</f>
        <v>1.301174561372529</v>
      </c>
      <c r="L25" s="649">
        <f>[68]NPDCL_Inp_Losses!$S26</f>
        <v>2.9294391884570741E-4</v>
      </c>
      <c r="M25" s="145">
        <f>'[68]NPDCL_Cost Alloc_Factors'!$T28</f>
        <v>1.7118147736384655E-2</v>
      </c>
      <c r="N25" s="649">
        <f>[68]NPDCL_Inp_Losses!$R26</f>
        <v>2.2314935346987364E-4</v>
      </c>
      <c r="O25" s="145">
        <f>'[68]NPDCL_Cost Alloc_Factors'!$S28</f>
        <v>0.10974313215650573</v>
      </c>
      <c r="P25" s="637">
        <f t="shared" si="14"/>
        <v>1.4280358412654193</v>
      </c>
      <c r="Q25" s="649">
        <f t="shared" si="15"/>
        <v>3.4210201273133899E-4</v>
      </c>
      <c r="R25" s="145">
        <f>'[68]NPDCL_Cost Alloc_Factors'!$AB28</f>
        <v>1.187376997386334</v>
      </c>
      <c r="S25" s="649">
        <f t="shared" si="16"/>
        <v>3.1847647213746388E-4</v>
      </c>
      <c r="T25" s="145">
        <f>'[68]NPDCL_Cost Alloc_Factors'!$AD28</f>
        <v>1.5621036149526129E-2</v>
      </c>
      <c r="U25" s="649">
        <f t="shared" si="17"/>
        <v>2.9321821952391514E-4</v>
      </c>
      <c r="V25" s="145">
        <f>'[68]NPDCL_Cost Alloc_Factors'!$AC28</f>
        <v>0.10974313215650573</v>
      </c>
      <c r="W25" s="637">
        <f t="shared" si="18"/>
        <v>1.3127411656923658</v>
      </c>
      <c r="X25" s="649">
        <f t="shared" si="19"/>
        <v>3.9280734170832235E-4</v>
      </c>
      <c r="Y25" s="145">
        <f>'[68]NPDCL_Cost Alloc_Factors'!$AJ28</f>
        <v>0.78237165099379291</v>
      </c>
      <c r="Z25" s="649">
        <f t="shared" si="20"/>
        <v>1.8651692812488108E-4</v>
      </c>
      <c r="AA25" s="145">
        <f>'[68]NPDCL_Cost Alloc_Factors'!$AL28</f>
        <v>1.0292818430406241E-2</v>
      </c>
      <c r="AB25" s="649">
        <f t="shared" si="21"/>
        <v>1.7113257505732148E-4</v>
      </c>
      <c r="AC25" s="145">
        <f>'[68]NPDCL_Cost Alloc_Factors'!$AK28</f>
        <v>8.1999297593752643E-2</v>
      </c>
      <c r="AD25" s="637">
        <f t="shared" si="22"/>
        <v>0.87466376701795179</v>
      </c>
      <c r="AE25" s="649">
        <f t="shared" si="23"/>
        <v>2.2374537552502735E-4</v>
      </c>
    </row>
    <row r="26" spans="2:31" x14ac:dyDescent="0.25">
      <c r="B26" s="630" t="s">
        <v>808</v>
      </c>
      <c r="C26" s="635" t="s">
        <v>809</v>
      </c>
      <c r="D26" s="145">
        <f>'[68]NPDCL_Cost Alloc_Factors'!$H29</f>
        <v>190.27305724476437</v>
      </c>
      <c r="E26" s="649">
        <f>'[68]NPDCL_Cost Alloc_Factors'!$J29/'[68]NPDCL_Cost Alloc_Factors'!$J$66</f>
        <v>6.6614428520603893E-3</v>
      </c>
      <c r="F26" s="145">
        <f>'[68]NPDCL_Cost Alloc_Factors'!$J29</f>
        <v>2.5032170170416741</v>
      </c>
      <c r="G26" s="649">
        <f>'[68]NPDCL_Cost Alloc_Factors'!$I29/'[68]NPDCL_Cost Alloc_Factors'!$I$66</f>
        <v>5.9799350157508143E-3</v>
      </c>
      <c r="H26" s="145">
        <f>'[68]NPDCL_Cost Alloc_Factors'!$I29</f>
        <v>11.79584143049742</v>
      </c>
      <c r="I26" s="637">
        <f t="shared" si="12"/>
        <v>204.57211569230347</v>
      </c>
      <c r="J26" s="649">
        <f t="shared" si="13"/>
        <v>7.7784901737850297E-3</v>
      </c>
      <c r="K26" s="145">
        <f>'[68]NPDCL_Cost Alloc_Factors'!$R29</f>
        <v>24.035008531759271</v>
      </c>
      <c r="L26" s="649">
        <f>[68]NPDCL_Inp_Losses!$S27</f>
        <v>5.4111952368301368E-3</v>
      </c>
      <c r="M26" s="145">
        <f>'[68]NPDCL_Cost Alloc_Factors'!$T29</f>
        <v>0.31620263653012359</v>
      </c>
      <c r="N26" s="649">
        <f>[68]NPDCL_Inp_Losses!$R27</f>
        <v>5.1166475402832845E-3</v>
      </c>
      <c r="O26" s="145">
        <f>'[68]NPDCL_Cost Alloc_Factors'!$S29</f>
        <v>2.5163278247515795</v>
      </c>
      <c r="P26" s="637">
        <f t="shared" si="14"/>
        <v>26.867538993040974</v>
      </c>
      <c r="Q26" s="649">
        <f t="shared" si="15"/>
        <v>6.4364205022419321E-3</v>
      </c>
      <c r="R26" s="145">
        <f>'[68]NPDCL_Cost Alloc_Factors'!$AB29</f>
        <v>23.100415877771585</v>
      </c>
      <c r="S26" s="649">
        <f t="shared" si="16"/>
        <v>6.1959587981366632E-3</v>
      </c>
      <c r="T26" s="145">
        <f>'[68]NPDCL_Cost Alloc_Factors'!$AD29</f>
        <v>0.30390721084379202</v>
      </c>
      <c r="U26" s="649">
        <f t="shared" si="17"/>
        <v>5.704559570256099E-3</v>
      </c>
      <c r="V26" s="145">
        <f>'[68]NPDCL_Cost Alloc_Factors'!$AC29</f>
        <v>2.1350523027857569</v>
      </c>
      <c r="W26" s="637">
        <f t="shared" si="18"/>
        <v>25.539375391401133</v>
      </c>
      <c r="X26" s="649">
        <f t="shared" si="19"/>
        <v>7.6420656398751077E-3</v>
      </c>
      <c r="Y26" s="145">
        <f>'[68]NPDCL_Cost Alloc_Factors'!$AJ29</f>
        <v>23.416426810452833</v>
      </c>
      <c r="Z26" s="649">
        <f t="shared" si="20"/>
        <v>5.5824619805676205E-3</v>
      </c>
      <c r="AA26" s="145">
        <f>'[68]NPDCL_Cost Alloc_Factors'!$AL29</f>
        <v>0.30806462522349226</v>
      </c>
      <c r="AB26" s="649">
        <f t="shared" si="21"/>
        <v>5.1220074418901551E-3</v>
      </c>
      <c r="AC26" s="145">
        <f>'[68]NPDCL_Cost Alloc_Factors'!$AK29</f>
        <v>2.4542435147971426</v>
      </c>
      <c r="AD26" s="637">
        <f t="shared" si="22"/>
        <v>26.178734950473466</v>
      </c>
      <c r="AE26" s="649">
        <f t="shared" si="23"/>
        <v>6.6967114714649272E-3</v>
      </c>
    </row>
    <row r="27" spans="2:31" x14ac:dyDescent="0.25">
      <c r="B27" s="630" t="s">
        <v>810</v>
      </c>
      <c r="C27" s="635" t="s">
        <v>811</v>
      </c>
      <c r="D27" s="145">
        <f>'[68]NPDCL_Cost Alloc_Factors'!$H30</f>
        <v>9.2586596461890274</v>
      </c>
      <c r="E27" s="145">
        <f>'[68]NPDCL_Cost Alloc_Factors'!$J30/'[68]NPDCL_Cost Alloc_Factors'!$J$66</f>
        <v>3.2414485273354681E-4</v>
      </c>
      <c r="F27" s="145">
        <f>'[68]NPDCL_Cost Alloc_Factors'!$J30</f>
        <v>0.12180618063819516</v>
      </c>
      <c r="G27" s="649">
        <f>'[68]NPDCL_Cost Alloc_Factors'!$I30/'[68]NPDCL_Cost Alloc_Factors'!$I$66</f>
        <v>2.8058050614984984E-4</v>
      </c>
      <c r="H27" s="145">
        <f>'[68]NPDCL_Cost Alloc_Factors'!$I30</f>
        <v>0.55346473670948171</v>
      </c>
      <c r="I27" s="637">
        <f t="shared" si="12"/>
        <v>9.9339305635367037</v>
      </c>
      <c r="J27" s="649">
        <f t="shared" si="13"/>
        <v>3.7772000848715944E-4</v>
      </c>
      <c r="K27" s="145">
        <f>'[68]NPDCL_Cost Alloc_Factors'!$R30</f>
        <v>1.6812260479565826</v>
      </c>
      <c r="L27" s="649">
        <f>[68]NPDCL_Inp_Losses!$S28</f>
        <v>3.785079739296234E-4</v>
      </c>
      <c r="M27" s="145">
        <f>'[68]NPDCL_Cost Alloc_Factors'!$T30</f>
        <v>2.2118074485579543E-2</v>
      </c>
      <c r="N27" s="649">
        <f>[68]NPDCL_Inp_Losses!$R28</f>
        <v>3.5829555350354341E-4</v>
      </c>
      <c r="O27" s="145">
        <f>'[68]NPDCL_Cost Alloc_Factors'!$S30</f>
        <v>0.17620699172017187</v>
      </c>
      <c r="P27" s="637">
        <f t="shared" si="14"/>
        <v>1.879551114162334</v>
      </c>
      <c r="Q27" s="649">
        <f t="shared" si="15"/>
        <v>4.5026756374447012E-4</v>
      </c>
      <c r="R27" s="145">
        <f>'[68]NPDCL_Cost Alloc_Factors'!$AB30</f>
        <v>0.8359942710992897</v>
      </c>
      <c r="S27" s="649">
        <f t="shared" si="16"/>
        <v>2.2422912585715605E-4</v>
      </c>
      <c r="T27" s="145">
        <f>'[68]NPDCL_Cost Alloc_Factors'!$AD30</f>
        <v>1.0998273301895322E-2</v>
      </c>
      <c r="U27" s="649">
        <f t="shared" si="17"/>
        <v>2.0644559583308988E-4</v>
      </c>
      <c r="V27" s="145">
        <f>'[68]NPDCL_Cost Alloc_Factors'!$AC30</f>
        <v>7.726663896747217E-2</v>
      </c>
      <c r="W27" s="637">
        <f t="shared" si="18"/>
        <v>0.9242591833686572</v>
      </c>
      <c r="X27" s="649">
        <f t="shared" si="19"/>
        <v>2.7656312025308067E-4</v>
      </c>
      <c r="Y27" s="145">
        <f>'[68]NPDCL_Cost Alloc_Factors'!$AJ30</f>
        <v>1.6812260479565826</v>
      </c>
      <c r="Z27" s="649">
        <f t="shared" si="20"/>
        <v>4.0080327239628405E-4</v>
      </c>
      <c r="AA27" s="145">
        <f>'[68]NPDCL_Cost Alloc_Factors'!$AL30</f>
        <v>2.2118074485579543E-2</v>
      </c>
      <c r="AB27" s="649">
        <f t="shared" si="21"/>
        <v>3.6774407977946589E-4</v>
      </c>
      <c r="AC27" s="145">
        <f>'[68]NPDCL_Cost Alloc_Factors'!$AK30</f>
        <v>0.17620699172017187</v>
      </c>
      <c r="AD27" s="637">
        <f t="shared" si="22"/>
        <v>1.879551114162334</v>
      </c>
      <c r="AE27" s="649">
        <f t="shared" si="23"/>
        <v>4.8080289331123478E-4</v>
      </c>
    </row>
    <row r="28" spans="2:31" x14ac:dyDescent="0.25">
      <c r="B28" s="630" t="s">
        <v>812</v>
      </c>
      <c r="C28" s="635" t="s">
        <v>813</v>
      </c>
      <c r="D28" s="145">
        <f>'[68]NPDCL_Cost Alloc_Factors'!$H31</f>
        <v>14.611284000000001</v>
      </c>
      <c r="E28" s="145">
        <f>'[68]NPDCL_Cost Alloc_Factors'!$J31/'[68]NPDCL_Cost Alloc_Factors'!$J$66</f>
        <v>5.1153975644600922E-4</v>
      </c>
      <c r="F28" s="145">
        <f>'[68]NPDCL_Cost Alloc_Factors'!$J31</f>
        <v>0.19222487555123971</v>
      </c>
      <c r="G28" s="649">
        <f>'[68]NPDCL_Cost Alloc_Factors'!$I31/'[68]NPDCL_Cost Alloc_Factors'!$I$66</f>
        <v>4.4842720451485611E-4</v>
      </c>
      <c r="H28" s="145">
        <f>'[68]NPDCL_Cost Alloc_Factors'!$I31</f>
        <v>0.88455412703416203</v>
      </c>
      <c r="I28" s="637">
        <f t="shared" si="12"/>
        <v>15.688063002585404</v>
      </c>
      <c r="J28" s="649">
        <f t="shared" si="13"/>
        <v>5.9651064123947023E-4</v>
      </c>
      <c r="K28" s="145">
        <f>'[68]NPDCL_Cost Alloc_Factors'!$R31</f>
        <v>2.0115944266508743</v>
      </c>
      <c r="L28" s="649">
        <f>[68]NPDCL_Inp_Losses!$S29</f>
        <v>4.5288647039770825E-4</v>
      </c>
      <c r="M28" s="145">
        <f>'[68]NPDCL_Cost Alloc_Factors'!$T31</f>
        <v>2.6464374268718043E-2</v>
      </c>
      <c r="N28" s="649">
        <f>[68]NPDCL_Inp_Losses!$R29</f>
        <v>3.4875453029550185E-4</v>
      </c>
      <c r="O28" s="145">
        <f>'[68]NPDCL_Cost Alloc_Factors'!$S31</f>
        <v>0.17151479004202652</v>
      </c>
      <c r="P28" s="637">
        <f t="shared" si="14"/>
        <v>2.209573590961619</v>
      </c>
      <c r="Q28" s="649">
        <f t="shared" si="15"/>
        <v>5.2932815192940821E-4</v>
      </c>
      <c r="R28" s="145">
        <f>'[68]NPDCL_Cost Alloc_Factors'!$AB31</f>
        <v>1.837632165107957</v>
      </c>
      <c r="S28" s="649">
        <f t="shared" si="16"/>
        <v>4.9288693508308941E-4</v>
      </c>
      <c r="T28" s="145">
        <f>'[68]NPDCL_Cost Alloc_Factors'!$AD31</f>
        <v>2.4175740766303095E-2</v>
      </c>
      <c r="U28" s="649">
        <f t="shared" si="17"/>
        <v>4.5379625239406199E-4</v>
      </c>
      <c r="V28" s="145">
        <f>'[68]NPDCL_Cost Alloc_Factors'!$AC31</f>
        <v>0.16984286371927432</v>
      </c>
      <c r="W28" s="637">
        <f t="shared" si="18"/>
        <v>2.0316507695935342</v>
      </c>
      <c r="X28" s="649">
        <f t="shared" si="19"/>
        <v>6.0792436387320677E-4</v>
      </c>
      <c r="Y28" s="145">
        <f>'[68]NPDCL_Cost Alloc_Factors'!$AJ31</f>
        <v>1.5505938425621768</v>
      </c>
      <c r="Z28" s="649">
        <f t="shared" si="20"/>
        <v>3.6966063368564861E-4</v>
      </c>
      <c r="AA28" s="145">
        <f>'[68]NPDCL_Cost Alloc_Factors'!$AL31</f>
        <v>2.0399487712170469E-2</v>
      </c>
      <c r="AB28" s="649">
        <f t="shared" si="21"/>
        <v>3.3917015884794317E-4</v>
      </c>
      <c r="AC28" s="145">
        <f>'[68]NPDCL_Cost Alloc_Factors'!$AK31</f>
        <v>0.16251560978952845</v>
      </c>
      <c r="AD28" s="637">
        <f t="shared" si="22"/>
        <v>1.7335089400638757</v>
      </c>
      <c r="AE28" s="649">
        <f t="shared" si="23"/>
        <v>4.434442392565958E-4</v>
      </c>
    </row>
    <row r="29" spans="2:31" x14ac:dyDescent="0.25">
      <c r="B29" s="630" t="s">
        <v>814</v>
      </c>
      <c r="C29" s="635" t="s">
        <v>815</v>
      </c>
      <c r="D29" s="145">
        <f>'[68]NPDCL_Cost Alloc_Factors'!$H32</f>
        <v>1235.0571142844228</v>
      </c>
      <c r="E29" s="145">
        <f>'[68]NPDCL_Cost Alloc_Factors'!$J32/'[68]NPDCL_Cost Alloc_Factors'!$J$66</f>
        <v>4.3239239989994349E-2</v>
      </c>
      <c r="F29" s="145">
        <f>'[68]NPDCL_Cost Alloc_Factors'!$J32</f>
        <v>16.248311927411471</v>
      </c>
      <c r="G29" s="145">
        <f>'[68]NPDCL_Cost Alloc_Factors'!$I32/'[68]NPDCL_Cost Alloc_Factors'!$I$66</f>
        <v>2.1576032584135998E-2</v>
      </c>
      <c r="H29" s="145">
        <f>'[68]NPDCL_Cost Alloc_Factors'!$I32</f>
        <v>42.560238262013769</v>
      </c>
      <c r="I29" s="637">
        <f t="shared" si="12"/>
        <v>1293.8656644738483</v>
      </c>
      <c r="J29" s="649">
        <f t="shared" si="13"/>
        <v>4.9196936362751381E-2</v>
      </c>
      <c r="K29" s="145">
        <f>'[68]NPDCL_Cost Alloc_Factors'!$R32</f>
        <v>179.73535280924219</v>
      </c>
      <c r="L29" s="145">
        <f>[68]NPDCL_Inp_Losses!$S30</f>
        <v>4.0465268973223285E-2</v>
      </c>
      <c r="M29" s="145">
        <f>'[68]NPDCL_Cost Alloc_Factors'!$T32</f>
        <v>2.3645838261657728</v>
      </c>
      <c r="N29" s="145">
        <f>[68]NPDCL_Inp_Losses!$R30</f>
        <v>2.0992446951652016E-2</v>
      </c>
      <c r="O29" s="145">
        <f>'[68]NPDCL_Cost Alloc_Factors'!$S32</f>
        <v>10.323923615645183</v>
      </c>
      <c r="P29" s="637">
        <f t="shared" si="14"/>
        <v>192.42386025105316</v>
      </c>
      <c r="Q29" s="649">
        <f t="shared" si="15"/>
        <v>4.609729531094036E-2</v>
      </c>
      <c r="R29" s="145">
        <f>'[68]NPDCL_Cost Alloc_Factors'!$AB32</f>
        <v>1.837632165107957</v>
      </c>
      <c r="S29" s="145">
        <f t="shared" si="16"/>
        <v>4.0795426366208122E-2</v>
      </c>
      <c r="T29" s="145">
        <f>'[68]NPDCL_Cost Alloc_Factors'!$AD32</f>
        <v>2.0009855852924834</v>
      </c>
      <c r="U29" s="145">
        <f t="shared" si="17"/>
        <v>2.0684336450792914E-2</v>
      </c>
      <c r="V29" s="145">
        <f>'[68]NPDCL_Cost Alloc_Factors'!$AC32</f>
        <v>7.7415512323027915</v>
      </c>
      <c r="W29" s="637">
        <f t="shared" si="18"/>
        <v>11.580168982703231</v>
      </c>
      <c r="X29" s="145">
        <f t="shared" si="19"/>
        <v>3.4650969387630265E-3</v>
      </c>
      <c r="Y29" s="145">
        <f>'[68]NPDCL_Cost Alloc_Factors'!$AJ32</f>
        <v>179.73535280924219</v>
      </c>
      <c r="Z29" s="649">
        <f t="shared" si="20"/>
        <v>4.284879933831795E-2</v>
      </c>
      <c r="AA29" s="145">
        <f>'[68]NPDCL_Cost Alloc_Factors'!$AL32</f>
        <v>2.3645838261657728</v>
      </c>
      <c r="AB29" s="649">
        <f t="shared" si="21"/>
        <v>2.1546033745233676E-2</v>
      </c>
      <c r="AC29" s="145">
        <f>'[68]NPDCL_Cost Alloc_Factors'!$AK32</f>
        <v>10.323923615645183</v>
      </c>
      <c r="AD29" s="637">
        <f t="shared" si="22"/>
        <v>192.42386025105316</v>
      </c>
      <c r="AE29" s="649">
        <f t="shared" si="23"/>
        <v>4.9223427899195947E-2</v>
      </c>
    </row>
    <row r="30" spans="2:31" x14ac:dyDescent="0.25">
      <c r="B30" s="630" t="s">
        <v>816</v>
      </c>
      <c r="C30" s="635" t="s">
        <v>199</v>
      </c>
      <c r="D30" s="145">
        <f>'[68]NPDCL_Cost Alloc_Factors'!$H33</f>
        <v>0.33764713200000002</v>
      </c>
      <c r="E30" s="145">
        <f>'[68]NPDCL_Cost Alloc_Factors'!$J33/'[68]NPDCL_Cost Alloc_Factors'!$J$66</f>
        <v>1.1820996133397553E-5</v>
      </c>
      <c r="F30" s="145">
        <f>'[68]NPDCL_Cost Alloc_Factors'!$J33</f>
        <v>4.4420584754175617E-3</v>
      </c>
      <c r="G30" s="145">
        <f>'[68]NPDCL_Cost Alloc_Factors'!$I33/'[68]NPDCL_Cost Alloc_Factors'!$I$66</f>
        <v>0</v>
      </c>
      <c r="H30" s="145">
        <f>'[68]NPDCL_Cost Alloc_Factors'!$I33</f>
        <v>0</v>
      </c>
      <c r="I30" s="637">
        <f t="shared" si="12"/>
        <v>0.34208919047541758</v>
      </c>
      <c r="J30" s="145">
        <f t="shared" si="13"/>
        <v>1.3007331901838576E-5</v>
      </c>
      <c r="K30" s="145">
        <f>'[68]NPDCL_Cost Alloc_Factors'!$R33</f>
        <v>0</v>
      </c>
      <c r="L30" s="145">
        <f>[68]NPDCL_Inp_Losses!$S31</f>
        <v>0</v>
      </c>
      <c r="M30" s="145">
        <f>'[68]NPDCL_Cost Alloc_Factors'!$T33</f>
        <v>0</v>
      </c>
      <c r="N30" s="649">
        <f>[68]NPDCL_Inp_Losses!$R31</f>
        <v>0</v>
      </c>
      <c r="O30" s="145">
        <f>'[68]NPDCL_Cost Alloc_Factors'!$S33</f>
        <v>0</v>
      </c>
      <c r="P30" s="637">
        <f t="shared" si="14"/>
        <v>0</v>
      </c>
      <c r="Q30" s="649">
        <f t="shared" si="15"/>
        <v>0</v>
      </c>
      <c r="R30" s="145">
        <f>'[68]NPDCL_Cost Alloc_Factors'!$AB33</f>
        <v>0</v>
      </c>
      <c r="S30" s="145">
        <f t="shared" si="16"/>
        <v>0</v>
      </c>
      <c r="T30" s="145">
        <f>'[68]NPDCL_Cost Alloc_Factors'!$AD33</f>
        <v>0</v>
      </c>
      <c r="U30" s="145">
        <f t="shared" si="17"/>
        <v>0</v>
      </c>
      <c r="V30" s="145">
        <f>'[68]NPDCL_Cost Alloc_Factors'!$AC33</f>
        <v>0</v>
      </c>
      <c r="W30" s="637">
        <f t="shared" si="18"/>
        <v>0</v>
      </c>
      <c r="X30" s="145">
        <f t="shared" si="19"/>
        <v>0</v>
      </c>
      <c r="Y30" s="145">
        <f>'[68]NPDCL_Cost Alloc_Factors'!$AJ33</f>
        <v>0</v>
      </c>
      <c r="Z30" s="145">
        <f t="shared" si="20"/>
        <v>0</v>
      </c>
      <c r="AA30" s="145">
        <f>'[68]NPDCL_Cost Alloc_Factors'!$AL33</f>
        <v>0</v>
      </c>
      <c r="AB30" s="145">
        <f t="shared" si="21"/>
        <v>0</v>
      </c>
      <c r="AC30" s="145">
        <f>'[68]NPDCL_Cost Alloc_Factors'!$AK33</f>
        <v>0</v>
      </c>
      <c r="AD30" s="637">
        <f t="shared" si="22"/>
        <v>0</v>
      </c>
      <c r="AE30" s="145">
        <f t="shared" si="23"/>
        <v>0</v>
      </c>
    </row>
    <row r="31" spans="2:31" hidden="1" x14ac:dyDescent="0.25">
      <c r="B31" s="630" t="s">
        <v>817</v>
      </c>
      <c r="C31" s="635" t="s">
        <v>798</v>
      </c>
      <c r="D31" s="145">
        <f>'[68]NPDCL_Cost Alloc_Factors'!$H34</f>
        <v>0</v>
      </c>
      <c r="E31" s="145">
        <f>'[68]NPDCL_Cost Alloc_Factors'!$J34/'[68]NPDCL_Cost Alloc_Factors'!$J$66</f>
        <v>0</v>
      </c>
      <c r="F31" s="145">
        <f>'[68]NPDCL_Cost Alloc_Factors'!$J34</f>
        <v>0</v>
      </c>
      <c r="G31" s="145">
        <f>'[68]NPDCL_Cost Alloc_Factors'!$I34/'[68]NPDCL_Cost Alloc_Factors'!$I$66</f>
        <v>0</v>
      </c>
      <c r="H31" s="145">
        <f>'[68]NPDCL_Cost Alloc_Factors'!$I34</f>
        <v>0</v>
      </c>
      <c r="I31" s="637">
        <f t="shared" si="12"/>
        <v>0</v>
      </c>
      <c r="J31" s="145">
        <f t="shared" si="13"/>
        <v>0</v>
      </c>
      <c r="K31" s="145">
        <f>'[68]NPDCL_Cost Alloc_Factors'!$R34</f>
        <v>0</v>
      </c>
      <c r="L31" s="145">
        <f>[68]NPDCL_Inp_Losses!$S32</f>
        <v>0</v>
      </c>
      <c r="M31" s="145">
        <f>'[68]NPDCL_Cost Alloc_Factors'!$T34</f>
        <v>0</v>
      </c>
      <c r="N31" s="649">
        <f>[68]NPDCL_Inp_Losses!$R32</f>
        <v>0</v>
      </c>
      <c r="O31" s="145">
        <f>'[68]NPDCL_Cost Alloc_Factors'!$S34</f>
        <v>0</v>
      </c>
      <c r="P31" s="637">
        <f t="shared" si="14"/>
        <v>0</v>
      </c>
      <c r="Q31" s="649">
        <f t="shared" si="15"/>
        <v>0</v>
      </c>
      <c r="R31" s="145">
        <f>'[68]NPDCL_Cost Alloc_Factors'!$AB34</f>
        <v>0</v>
      </c>
      <c r="S31" s="145">
        <f t="shared" si="16"/>
        <v>0</v>
      </c>
      <c r="T31" s="145">
        <f>'[68]NPDCL_Cost Alloc_Factors'!$AD34</f>
        <v>0</v>
      </c>
      <c r="U31" s="145">
        <f t="shared" si="17"/>
        <v>0</v>
      </c>
      <c r="V31" s="145">
        <f>'[68]NPDCL_Cost Alloc_Factors'!$AC34</f>
        <v>0</v>
      </c>
      <c r="W31" s="637">
        <f t="shared" si="18"/>
        <v>0</v>
      </c>
      <c r="X31" s="145">
        <f t="shared" si="19"/>
        <v>0</v>
      </c>
      <c r="Y31" s="145">
        <f>'[68]NPDCL_Cost Alloc_Factors'!$AJ34</f>
        <v>0</v>
      </c>
      <c r="Z31" s="145">
        <f t="shared" si="20"/>
        <v>0</v>
      </c>
      <c r="AA31" s="145">
        <f>'[68]NPDCL_Cost Alloc_Factors'!$AL34</f>
        <v>0</v>
      </c>
      <c r="AB31" s="145">
        <f t="shared" si="21"/>
        <v>0</v>
      </c>
      <c r="AC31" s="145">
        <f>'[68]NPDCL_Cost Alloc_Factors'!$AK34</f>
        <v>0</v>
      </c>
      <c r="AD31" s="637">
        <f t="shared" si="22"/>
        <v>0</v>
      </c>
      <c r="AE31" s="145">
        <f t="shared" si="23"/>
        <v>0</v>
      </c>
    </row>
    <row r="32" spans="2:31" x14ac:dyDescent="0.25">
      <c r="B32" s="630"/>
      <c r="C32" s="636" t="s">
        <v>818</v>
      </c>
      <c r="D32" s="579"/>
      <c r="E32" s="579"/>
      <c r="F32" s="579"/>
      <c r="G32" s="579"/>
      <c r="H32" s="579"/>
      <c r="I32" s="637"/>
      <c r="J32" s="649"/>
      <c r="K32" s="579"/>
      <c r="L32" s="579"/>
      <c r="M32" s="579"/>
      <c r="N32" s="579"/>
      <c r="O32" s="579"/>
      <c r="P32" s="579"/>
      <c r="Q32" s="649"/>
      <c r="R32" s="579"/>
      <c r="S32" s="579"/>
      <c r="T32" s="579"/>
      <c r="U32" s="579"/>
      <c r="V32" s="579"/>
      <c r="W32" s="637"/>
      <c r="X32" s="579"/>
      <c r="Y32" s="579"/>
      <c r="Z32" s="579"/>
      <c r="AA32" s="579"/>
      <c r="AB32" s="579"/>
      <c r="AC32" s="579"/>
      <c r="AD32" s="579"/>
      <c r="AE32" s="145"/>
    </row>
    <row r="33" spans="2:31" x14ac:dyDescent="0.25">
      <c r="B33" s="630" t="s">
        <v>819</v>
      </c>
      <c r="C33" s="635" t="s">
        <v>802</v>
      </c>
      <c r="D33" s="145">
        <f>'[68]NPDCL_Cost Alloc_Factors'!$H39</f>
        <v>227.82383538265128</v>
      </c>
      <c r="E33" s="145">
        <f>'[68]NPDCL_Cost Alloc_Factors'!$J39/'[68]NPDCL_Cost Alloc_Factors'!$J$66</f>
        <v>0</v>
      </c>
      <c r="F33" s="145">
        <f>'[68]NPDCL_Cost Alloc_Factors'!$J39</f>
        <v>0</v>
      </c>
      <c r="G33" s="145">
        <f>'[68]NPDCL_Cost Alloc_Factors'!$I39/'[68]NPDCL_Cost Alloc_Factors'!$I$66</f>
        <v>3.0796120054991096E-3</v>
      </c>
      <c r="H33" s="145">
        <f>'[68]NPDCL_Cost Alloc_Factors'!$I39</f>
        <v>6.074750777164196</v>
      </c>
      <c r="I33" s="637">
        <f t="shared" ref="I33:I41" si="24">D33+F33+H33</f>
        <v>233.89858615981547</v>
      </c>
      <c r="J33" s="145">
        <f t="shared" ref="J33:J41" si="25">I33/SUM($D$53,$F$53,$H$53)</f>
        <v>8.8935769567092832E-3</v>
      </c>
      <c r="K33" s="145">
        <f>'[68]NPDCL_Cost Alloc_Factors'!$R39</f>
        <v>30.885929481264355</v>
      </c>
      <c r="L33" s="145">
        <f>[68]NPDCL_Inp_Losses!$S37</f>
        <v>0</v>
      </c>
      <c r="M33" s="145">
        <f>'[68]NPDCL_Cost Alloc_Factors'!$T39</f>
        <v>0</v>
      </c>
      <c r="N33" s="145">
        <f>[68]NPDCL_Inp_Losses!$R37</f>
        <v>2.7638666474251836E-3</v>
      </c>
      <c r="O33" s="145">
        <f>'[68]NPDCL_Cost Alloc_Factors'!$S39</f>
        <v>1.3592483152423274</v>
      </c>
      <c r="P33" s="637">
        <f t="shared" ref="P33:P41" si="26">K33+M33+O33</f>
        <v>32.245177796506681</v>
      </c>
      <c r="Q33" s="649">
        <f t="shared" ref="Q33:Q41" si="27">P33/$P$53</f>
        <v>7.7246942312665214E-3</v>
      </c>
      <c r="R33" s="145">
        <f>'[68]NPDCL_Cost Alloc_Factors'!$AB39</f>
        <v>28.891924336914951</v>
      </c>
      <c r="S33" s="145">
        <f t="shared" ref="S33:S41" si="28">T33/$T$53</f>
        <v>0</v>
      </c>
      <c r="T33" s="145">
        <f>'[68]NPDCL_Cost Alloc_Factors'!$AD39</f>
        <v>0</v>
      </c>
      <c r="U33" s="145">
        <f t="shared" ref="U33:U41" si="29">V33/$V$53</f>
        <v>3.0126563084868054E-3</v>
      </c>
      <c r="V33" s="145">
        <f>'[68]NPDCL_Cost Alloc_Factors'!$AC39</f>
        <v>1.1275504637508811</v>
      </c>
      <c r="W33" s="637">
        <f t="shared" ref="W33:W41" si="30">R33+T33+V33</f>
        <v>30.019474800665833</v>
      </c>
      <c r="X33" s="145">
        <f t="shared" ref="X33:X41" si="31">W33/$W$53</f>
        <v>8.9826314616333752E-3</v>
      </c>
      <c r="Y33" s="145">
        <f>'[68]NPDCL_Cost Alloc_Factors'!$AJ39</f>
        <v>30.537449336066775</v>
      </c>
      <c r="Z33" s="145">
        <f t="shared" ref="Z33:Z41" si="32">AA33/$AA$53</f>
        <v>0</v>
      </c>
      <c r="AA33" s="145">
        <f>'[68]NPDCL_Cost Alloc_Factors'!$AL39</f>
        <v>0</v>
      </c>
      <c r="AB33" s="145">
        <f t="shared" ref="AB33:AB41" si="33">AC33/$AC$53</f>
        <v>2.8198402935944275E-3</v>
      </c>
      <c r="AC33" s="145">
        <f>'[68]NPDCL_Cost Alloc_Factors'!$AK39</f>
        <v>1.3511450016097442</v>
      </c>
      <c r="AD33" s="637">
        <f t="shared" ref="AD33:AD41" si="34">Y33+AA33+AC33</f>
        <v>31.888594337676519</v>
      </c>
      <c r="AE33" s="145">
        <f t="shared" ref="AE33:AE41" si="35">AD33/$AD$53</f>
        <v>8.1573351773496471E-3</v>
      </c>
    </row>
    <row r="34" spans="2:31" x14ac:dyDescent="0.25">
      <c r="B34" s="630" t="s">
        <v>820</v>
      </c>
      <c r="C34" s="635" t="s">
        <v>804</v>
      </c>
      <c r="D34" s="145">
        <f>'[68]NPDCL_Cost Alloc_Factors'!$H40</f>
        <v>35.5944</v>
      </c>
      <c r="E34" s="145">
        <f>'[68]NPDCL_Cost Alloc_Factors'!$J40/'[68]NPDCL_Cost Alloc_Factors'!$J$66</f>
        <v>0</v>
      </c>
      <c r="F34" s="145">
        <f>'[68]NPDCL_Cost Alloc_Factors'!$J40</f>
        <v>0</v>
      </c>
      <c r="G34" s="649">
        <f>'[68]NPDCL_Cost Alloc_Factors'!$I40/'[68]NPDCL_Cost Alloc_Factors'!$I$66</f>
        <v>4.6240630964222929E-4</v>
      </c>
      <c r="H34" s="145">
        <f>'[68]NPDCL_Cost Alloc_Factors'!$I40</f>
        <v>0.91212889281145271</v>
      </c>
      <c r="I34" s="637">
        <f t="shared" si="24"/>
        <v>36.506528892811453</v>
      </c>
      <c r="J34" s="649">
        <f t="shared" si="25"/>
        <v>1.388095710457653E-3</v>
      </c>
      <c r="K34" s="145">
        <f>'[68]NPDCL_Cost Alloc_Factors'!$R40</f>
        <v>4.1496930186553485</v>
      </c>
      <c r="L34" s="145">
        <f>[68]NPDCL_Inp_Losses!$S38</f>
        <v>0</v>
      </c>
      <c r="M34" s="145">
        <f>'[68]NPDCL_Cost Alloc_Factors'!$T40</f>
        <v>0</v>
      </c>
      <c r="N34" s="649">
        <f>[68]NPDCL_Inp_Losses!$R38</f>
        <v>3.7268518199816273E-4</v>
      </c>
      <c r="O34" s="145">
        <f>'[68]NPDCL_Cost Alloc_Factors'!$S40</f>
        <v>0.18328370010857967</v>
      </c>
      <c r="P34" s="637">
        <f t="shared" si="26"/>
        <v>4.3329767187639279</v>
      </c>
      <c r="Q34" s="649">
        <f t="shared" si="27"/>
        <v>1.0380132023112604E-3</v>
      </c>
      <c r="R34" s="145">
        <f>'[68]NPDCL_Cost Alloc_Factors'!$AB40</f>
        <v>4.0071261921425334</v>
      </c>
      <c r="S34" s="145">
        <f t="shared" si="28"/>
        <v>0</v>
      </c>
      <c r="T34" s="145">
        <f>'[68]NPDCL_Cost Alloc_Factors'!$AD40</f>
        <v>0</v>
      </c>
      <c r="U34" s="649">
        <f t="shared" si="29"/>
        <v>4.1783627358585134E-4</v>
      </c>
      <c r="V34" s="145">
        <f>'[68]NPDCL_Cost Alloc_Factors'!$AC40</f>
        <v>0.15638407963313489</v>
      </c>
      <c r="W34" s="637">
        <f t="shared" si="30"/>
        <v>4.1635102717756682</v>
      </c>
      <c r="X34" s="649">
        <f t="shared" si="31"/>
        <v>1.2458338663958346E-3</v>
      </c>
      <c r="Y34" s="145">
        <f>'[68]NPDCL_Cost Alloc_Factors'!$AJ40</f>
        <v>4.1424249059311657</v>
      </c>
      <c r="Z34" s="145">
        <f t="shared" si="32"/>
        <v>0</v>
      </c>
      <c r="AA34" s="145">
        <f>'[68]NPDCL_Cost Alloc_Factors'!$AL40</f>
        <v>0</v>
      </c>
      <c r="AB34" s="649">
        <f t="shared" si="33"/>
        <v>3.8251317372265889E-4</v>
      </c>
      <c r="AC34" s="145">
        <f>'[68]NPDCL_Cost Alloc_Factors'!$AK40</f>
        <v>0.18328370010857967</v>
      </c>
      <c r="AD34" s="637">
        <f t="shared" si="34"/>
        <v>4.3257086060397452</v>
      </c>
      <c r="AE34" s="649">
        <f t="shared" si="35"/>
        <v>1.1065478335406352E-3</v>
      </c>
    </row>
    <row r="35" spans="2:31" x14ac:dyDescent="0.25">
      <c r="B35" s="630" t="s">
        <v>821</v>
      </c>
      <c r="C35" s="635" t="s">
        <v>498</v>
      </c>
      <c r="D35" s="145">
        <f>'[68]NPDCL_Cost Alloc_Factors'!$H41</f>
        <v>16.688775793919998</v>
      </c>
      <c r="E35" s="145">
        <f>'[68]NPDCL_Cost Alloc_Factors'!$J41/'[68]NPDCL_Cost Alloc_Factors'!$J$66</f>
        <v>0</v>
      </c>
      <c r="F35" s="145">
        <f>'[68]NPDCL_Cost Alloc_Factors'!$J41</f>
        <v>0</v>
      </c>
      <c r="G35" s="145">
        <f>'[68]NPDCL_Cost Alloc_Factors'!$I41/'[68]NPDCL_Cost Alloc_Factors'!$I$66</f>
        <v>2.2196912433668521E-4</v>
      </c>
      <c r="H35" s="145">
        <f>'[68]NPDCL_Cost Alloc_Factors'!$I41</f>
        <v>0.43784967332344177</v>
      </c>
      <c r="I35" s="637">
        <f t="shared" si="24"/>
        <v>17.126625467243439</v>
      </c>
      <c r="J35" s="145">
        <f t="shared" si="25"/>
        <v>6.5120941559515576E-4</v>
      </c>
      <c r="K35" s="145">
        <f>'[68]NPDCL_Cost Alloc_Factors'!$R41</f>
        <v>2.4552104612483809</v>
      </c>
      <c r="L35" s="145">
        <f>[68]NPDCL_Inp_Losses!$S39</f>
        <v>0</v>
      </c>
      <c r="M35" s="145">
        <f>'[68]NPDCL_Cost Alloc_Factors'!$T41</f>
        <v>0</v>
      </c>
      <c r="N35" s="145">
        <f>[68]NPDCL_Inp_Losses!$R39</f>
        <v>2.1158820995746753E-4</v>
      </c>
      <c r="O35" s="145">
        <f>'[68]NPDCL_Cost Alloc_Factors'!$S41</f>
        <v>0.10405745088235585</v>
      </c>
      <c r="P35" s="637">
        <f t="shared" si="26"/>
        <v>2.5592679121307369</v>
      </c>
      <c r="Q35" s="649">
        <f t="shared" si="27"/>
        <v>6.13101351211764E-4</v>
      </c>
      <c r="R35" s="145">
        <f>'[68]NPDCL_Cost Alloc_Factors'!$AB41</f>
        <v>1.8572780001339424</v>
      </c>
      <c r="S35" s="145">
        <f t="shared" si="28"/>
        <v>0</v>
      </c>
      <c r="T35" s="145">
        <f>'[68]NPDCL_Cost Alloc_Factors'!$AD41</f>
        <v>0</v>
      </c>
      <c r="U35" s="145">
        <f t="shared" si="29"/>
        <v>1.9366450702517461E-4</v>
      </c>
      <c r="V35" s="145">
        <f>'[68]NPDCL_Cost Alloc_Factors'!$AC41</f>
        <v>7.2483045640875765E-2</v>
      </c>
      <c r="W35" s="637">
        <f t="shared" si="30"/>
        <v>1.9297610457748182</v>
      </c>
      <c r="X35" s="145">
        <f t="shared" si="31"/>
        <v>5.7743622759272686E-4</v>
      </c>
      <c r="Y35" s="145">
        <f>'[68]NPDCL_Cost Alloc_Factors'!$AJ41</f>
        <v>2.3518194794595484</v>
      </c>
      <c r="Z35" s="145">
        <f t="shared" si="32"/>
        <v>0</v>
      </c>
      <c r="AA35" s="145">
        <f>'[68]NPDCL_Cost Alloc_Factors'!$AL41</f>
        <v>0</v>
      </c>
      <c r="AB35" s="145">
        <f t="shared" si="33"/>
        <v>2.1716795199420137E-4</v>
      </c>
      <c r="AC35" s="145">
        <f>'[68]NPDCL_Cost Alloc_Factors'!$AK41</f>
        <v>0.10405745088235585</v>
      </c>
      <c r="AD35" s="637">
        <f t="shared" si="34"/>
        <v>2.4558769303419044</v>
      </c>
      <c r="AE35" s="145">
        <f t="shared" si="35"/>
        <v>6.2823124352803209E-4</v>
      </c>
    </row>
    <row r="36" spans="2:31" x14ac:dyDescent="0.25">
      <c r="B36" s="630" t="s">
        <v>822</v>
      </c>
      <c r="C36" s="635" t="s">
        <v>807</v>
      </c>
      <c r="D36" s="145">
        <f>'[68]NPDCL_Cost Alloc_Factors'!$H42</f>
        <v>0</v>
      </c>
      <c r="E36" s="145">
        <f>'[68]NPDCL_Cost Alloc_Factors'!$J42/'[68]NPDCL_Cost Alloc_Factors'!$J$66</f>
        <v>0</v>
      </c>
      <c r="F36" s="145">
        <f>'[68]NPDCL_Cost Alloc_Factors'!$J42</f>
        <v>0</v>
      </c>
      <c r="G36" s="649">
        <f>'[68]NPDCL_Cost Alloc_Factors'!$I42/'[68]NPDCL_Cost Alloc_Factors'!$I$66</f>
        <v>0</v>
      </c>
      <c r="H36" s="145">
        <f>'[68]NPDCL_Cost Alloc_Factors'!$I42</f>
        <v>0</v>
      </c>
      <c r="I36" s="637">
        <f t="shared" si="24"/>
        <v>0</v>
      </c>
      <c r="J36" s="649">
        <f t="shared" si="25"/>
        <v>0</v>
      </c>
      <c r="K36" s="145">
        <f>'[68]NPDCL_Cost Alloc_Factors'!$R42</f>
        <v>0</v>
      </c>
      <c r="L36" s="145">
        <f>[68]NPDCL_Inp_Losses!$S40</f>
        <v>0</v>
      </c>
      <c r="M36" s="145">
        <f>'[68]NPDCL_Cost Alloc_Factors'!$T42</f>
        <v>0</v>
      </c>
      <c r="N36" s="649">
        <f>[68]NPDCL_Inp_Losses!$R40</f>
        <v>0</v>
      </c>
      <c r="O36" s="145">
        <f>'[68]NPDCL_Cost Alloc_Factors'!$S42</f>
        <v>0</v>
      </c>
      <c r="P36" s="637">
        <f t="shared" si="26"/>
        <v>0</v>
      </c>
      <c r="Q36" s="649">
        <f t="shared" si="27"/>
        <v>0</v>
      </c>
      <c r="R36" s="145">
        <f>'[68]NPDCL_Cost Alloc_Factors'!$AB42</f>
        <v>0</v>
      </c>
      <c r="S36" s="145">
        <f t="shared" si="28"/>
        <v>0</v>
      </c>
      <c r="T36" s="145">
        <f>'[68]NPDCL_Cost Alloc_Factors'!$AD42</f>
        <v>0</v>
      </c>
      <c r="U36" s="649">
        <f t="shared" si="29"/>
        <v>0</v>
      </c>
      <c r="V36" s="145">
        <f>'[68]NPDCL_Cost Alloc_Factors'!$AC42</f>
        <v>0</v>
      </c>
      <c r="W36" s="637">
        <f t="shared" si="30"/>
        <v>0</v>
      </c>
      <c r="X36" s="649">
        <f t="shared" si="31"/>
        <v>0</v>
      </c>
      <c r="Y36" s="145">
        <f>'[68]NPDCL_Cost Alloc_Factors'!$AJ42</f>
        <v>0</v>
      </c>
      <c r="Z36" s="145">
        <f t="shared" si="32"/>
        <v>0</v>
      </c>
      <c r="AA36" s="145">
        <f>'[68]NPDCL_Cost Alloc_Factors'!$AL42</f>
        <v>0</v>
      </c>
      <c r="AB36" s="649">
        <f t="shared" si="33"/>
        <v>0</v>
      </c>
      <c r="AC36" s="145">
        <f>'[68]NPDCL_Cost Alloc_Factors'!$AK42</f>
        <v>0</v>
      </c>
      <c r="AD36" s="637">
        <f t="shared" si="34"/>
        <v>0</v>
      </c>
      <c r="AE36" s="649">
        <f t="shared" si="35"/>
        <v>0</v>
      </c>
    </row>
    <row r="37" spans="2:31" x14ac:dyDescent="0.25">
      <c r="B37" s="630" t="s">
        <v>823</v>
      </c>
      <c r="C37" s="635" t="s">
        <v>809</v>
      </c>
      <c r="D37" s="145">
        <f>'[68]NPDCL_Cost Alloc_Factors'!$H43</f>
        <v>414.7353139065051</v>
      </c>
      <c r="E37" s="145">
        <f>'[68]NPDCL_Cost Alloc_Factors'!$J43/'[68]NPDCL_Cost Alloc_Factors'!$J$66</f>
        <v>0</v>
      </c>
      <c r="F37" s="145">
        <f>'[68]NPDCL_Cost Alloc_Factors'!$J43</f>
        <v>0</v>
      </c>
      <c r="G37" s="649">
        <f>'[68]NPDCL_Cost Alloc_Factors'!$I43/'[68]NPDCL_Cost Alloc_Factors'!$I$66</f>
        <v>5.9425438195091392E-3</v>
      </c>
      <c r="H37" s="145">
        <f>'[68]NPDCL_Cost Alloc_Factors'!$I43</f>
        <v>11.722084672171171</v>
      </c>
      <c r="I37" s="637">
        <f t="shared" si="24"/>
        <v>426.45739857867625</v>
      </c>
      <c r="J37" s="649">
        <f t="shared" si="25"/>
        <v>1.6215282679930561E-2</v>
      </c>
      <c r="K37" s="145">
        <f>'[68]NPDCL_Cost Alloc_Factors'!$R43</f>
        <v>51.745004746996059</v>
      </c>
      <c r="L37" s="145">
        <f>[68]NPDCL_Inp_Losses!$S41</f>
        <v>0</v>
      </c>
      <c r="M37" s="145">
        <f>'[68]NPDCL_Cost Alloc_Factors'!$T43</f>
        <v>0</v>
      </c>
      <c r="N37" s="145">
        <f>[68]NPDCL_Inp_Losses!$R41</f>
        <v>5.0584444142799841E-3</v>
      </c>
      <c r="O37" s="145">
        <f>'[68]NPDCL_Cost Alloc_Factors'!$S43</f>
        <v>2.4877039759723614</v>
      </c>
      <c r="P37" s="637">
        <f t="shared" si="26"/>
        <v>54.232708722968418</v>
      </c>
      <c r="Q37" s="649">
        <f t="shared" si="27"/>
        <v>1.2992054032453097E-2</v>
      </c>
      <c r="R37" s="145">
        <f>'[68]NPDCL_Cost Alloc_Factors'!$AB43</f>
        <v>47.363238903706865</v>
      </c>
      <c r="S37" s="145">
        <f t="shared" si="28"/>
        <v>0</v>
      </c>
      <c r="T37" s="145">
        <f>'[68]NPDCL_Cost Alloc_Factors'!$AD43</f>
        <v>0</v>
      </c>
      <c r="U37" s="145">
        <f t="shared" si="29"/>
        <v>5.4058656292438022E-3</v>
      </c>
      <c r="V37" s="145">
        <f>'[68]NPDCL_Cost Alloc_Factors'!$AC43</f>
        <v>2.0232597658278464</v>
      </c>
      <c r="W37" s="637">
        <f t="shared" si="30"/>
        <v>49.38649866953471</v>
      </c>
      <c r="X37" s="145">
        <f t="shared" si="31"/>
        <v>1.4777764090630852E-2</v>
      </c>
      <c r="Y37" s="145">
        <f>'[68]NPDCL_Cost Alloc_Factors'!$AJ43</f>
        <v>51.745004746996059</v>
      </c>
      <c r="Z37" s="145">
        <f t="shared" si="32"/>
        <v>0</v>
      </c>
      <c r="AA37" s="145">
        <f>'[68]NPDCL_Cost Alloc_Factors'!$AL43</f>
        <v>0</v>
      </c>
      <c r="AB37" s="145">
        <f t="shared" si="33"/>
        <v>5.1918394410847063E-3</v>
      </c>
      <c r="AC37" s="145">
        <f>'[68]NPDCL_Cost Alloc_Factors'!$AK43</f>
        <v>2.4877039759723614</v>
      </c>
      <c r="AD37" s="637">
        <f t="shared" si="34"/>
        <v>54.232708722968418</v>
      </c>
      <c r="AE37" s="145">
        <f t="shared" si="35"/>
        <v>1.3873122720437267E-2</v>
      </c>
    </row>
    <row r="38" spans="2:31" x14ac:dyDescent="0.25">
      <c r="B38" s="630" t="s">
        <v>824</v>
      </c>
      <c r="C38" s="635" t="s">
        <v>825</v>
      </c>
      <c r="D38" s="145">
        <f>'[68]NPDCL_Cost Alloc_Factors'!$H44</f>
        <v>34.61275435448276</v>
      </c>
      <c r="E38" s="649">
        <f>'[68]NPDCL_Cost Alloc_Factors'!$J44/'[68]NPDCL_Cost Alloc_Factors'!$J$66</f>
        <v>0</v>
      </c>
      <c r="F38" s="145">
        <f>'[68]NPDCL_Cost Alloc_Factors'!$J44</f>
        <v>0</v>
      </c>
      <c r="G38" s="649">
        <f>'[68]NPDCL_Cost Alloc_Factors'!$I44/'[68]NPDCL_Cost Alloc_Factors'!$I$66</f>
        <v>4.6886877149951878E-4</v>
      </c>
      <c r="H38" s="145">
        <f>'[68]NPDCL_Cost Alloc_Factors'!$I44</f>
        <v>0.92487655229578469</v>
      </c>
      <c r="I38" s="637">
        <f t="shared" si="24"/>
        <v>35.537630906778546</v>
      </c>
      <c r="J38" s="649">
        <f t="shared" si="25"/>
        <v>1.3512550910103143E-3</v>
      </c>
      <c r="K38" s="145">
        <f>'[68]NPDCL_Cost Alloc_Factors'!$R44</f>
        <v>5.5111259441423073</v>
      </c>
      <c r="L38" s="145">
        <f>[68]NPDCL_Inp_Losses!$S42</f>
        <v>0</v>
      </c>
      <c r="M38" s="145">
        <f>'[68]NPDCL_Cost Alloc_Factors'!$T44</f>
        <v>0</v>
      </c>
      <c r="N38" s="649">
        <f>[68]NPDCL_Inp_Losses!$R42</f>
        <v>4.9582431115809881E-4</v>
      </c>
      <c r="O38" s="145">
        <f>'[68]NPDCL_Cost Alloc_Factors'!$S44</f>
        <v>0.24384257475869292</v>
      </c>
      <c r="P38" s="637">
        <f t="shared" si="26"/>
        <v>5.7549685189010003</v>
      </c>
      <c r="Q38" s="649">
        <f t="shared" si="27"/>
        <v>1.3786672971575649E-3</v>
      </c>
      <c r="R38" s="145">
        <f>'[68]NPDCL_Cost Alloc_Factors'!$AB44</f>
        <v>4.347318097983468</v>
      </c>
      <c r="S38" s="145">
        <f t="shared" si="28"/>
        <v>0</v>
      </c>
      <c r="T38" s="145">
        <f>'[68]NPDCL_Cost Alloc_Factors'!$AD44</f>
        <v>0</v>
      </c>
      <c r="U38" s="649">
        <f t="shared" si="29"/>
        <v>4.5330920641221771E-4</v>
      </c>
      <c r="V38" s="145">
        <f>'[68]NPDCL_Cost Alloc_Factors'!$AC44</f>
        <v>0.16966057643972321</v>
      </c>
      <c r="W38" s="637">
        <f t="shared" si="30"/>
        <v>4.516978674423191</v>
      </c>
      <c r="X38" s="649">
        <f t="shared" si="31"/>
        <v>1.351601086355476E-3</v>
      </c>
      <c r="Y38" s="145">
        <f>'[68]NPDCL_Cost Alloc_Factors'!$AJ44</f>
        <v>5.5111259441423073</v>
      </c>
      <c r="Z38" s="145">
        <f t="shared" si="32"/>
        <v>0</v>
      </c>
      <c r="AA38" s="145">
        <f>'[68]NPDCL_Cost Alloc_Factors'!$AL44</f>
        <v>0</v>
      </c>
      <c r="AB38" s="649">
        <f t="shared" si="33"/>
        <v>5.0889957538175076E-4</v>
      </c>
      <c r="AC38" s="145">
        <f>'[68]NPDCL_Cost Alloc_Factors'!$AK44</f>
        <v>0.24384257475869292</v>
      </c>
      <c r="AD38" s="637">
        <f t="shared" si="34"/>
        <v>5.7549685189010003</v>
      </c>
      <c r="AE38" s="649">
        <f t="shared" si="35"/>
        <v>1.4721629510117649E-3</v>
      </c>
    </row>
    <row r="39" spans="2:31" x14ac:dyDescent="0.25">
      <c r="B39" s="630" t="s">
        <v>826</v>
      </c>
      <c r="C39" s="635" t="s">
        <v>827</v>
      </c>
      <c r="D39" s="145">
        <f>'[68]NPDCL_Cost Alloc_Factors'!$H45</f>
        <v>8.3104927379999989</v>
      </c>
      <c r="E39" s="649">
        <f>'[68]NPDCL_Cost Alloc_Factors'!$J45/'[68]NPDCL_Cost Alloc_Factors'!$J$66</f>
        <v>0</v>
      </c>
      <c r="F39" s="145">
        <f>'[68]NPDCL_Cost Alloc_Factors'!$J45</f>
        <v>0</v>
      </c>
      <c r="G39" s="145">
        <f>'[68]NPDCL_Cost Alloc_Factors'!$I45/'[68]NPDCL_Cost Alloc_Factors'!$I$66</f>
        <v>1.1580654373828894E-4</v>
      </c>
      <c r="H39" s="145">
        <f>'[68]NPDCL_Cost Alloc_Factors'!$I45</f>
        <v>0.2284365336667972</v>
      </c>
      <c r="I39" s="637">
        <f t="shared" si="24"/>
        <v>8.5389292716667953</v>
      </c>
      <c r="J39" s="649">
        <f t="shared" si="25"/>
        <v>3.2467757010543746E-4</v>
      </c>
      <c r="K39" s="145">
        <f>'[68]NPDCL_Cost Alloc_Factors'!$R45</f>
        <v>1.3102357441248764</v>
      </c>
      <c r="L39" s="145">
        <f>[68]NPDCL_Inp_Losses!$S43</f>
        <v>0</v>
      </c>
      <c r="M39" s="145">
        <f>'[68]NPDCL_Cost Alloc_Factors'!$T45</f>
        <v>0</v>
      </c>
      <c r="N39" s="145">
        <f>[68]NPDCL_Inp_Losses!$R43</f>
        <v>1.1046479373140781E-4</v>
      </c>
      <c r="O39" s="145">
        <f>'[68]NPDCL_Cost Alloc_Factors'!$S45</f>
        <v>5.4325734171323373E-2</v>
      </c>
      <c r="P39" s="637">
        <f t="shared" si="26"/>
        <v>1.3645614782961999</v>
      </c>
      <c r="Q39" s="649">
        <f t="shared" si="27"/>
        <v>3.2689601670439923E-4</v>
      </c>
      <c r="R39" s="145">
        <f>'[68]NPDCL_Cost Alloc_Factors'!$AB45</f>
        <v>1.185638260408022</v>
      </c>
      <c r="S39" s="145">
        <f t="shared" si="28"/>
        <v>0</v>
      </c>
      <c r="T39" s="145">
        <f>'[68]NPDCL_Cost Alloc_Factors'!$AD45</f>
        <v>0</v>
      </c>
      <c r="U39" s="145">
        <f t="shared" si="29"/>
        <v>1.2363041461512268E-4</v>
      </c>
      <c r="V39" s="145">
        <f>'[68]NPDCL_Cost Alloc_Factors'!$AC45</f>
        <v>4.6271302484886763E-2</v>
      </c>
      <c r="W39" s="637">
        <f t="shared" si="30"/>
        <v>1.2319095628929089</v>
      </c>
      <c r="X39" s="145">
        <f t="shared" si="31"/>
        <v>3.6862035965011026E-4</v>
      </c>
      <c r="Y39" s="145">
        <f>'[68]NPDCL_Cost Alloc_Factors'!$AJ45</f>
        <v>1.2278248100129412</v>
      </c>
      <c r="Z39" s="145">
        <f t="shared" si="32"/>
        <v>0</v>
      </c>
      <c r="AA39" s="145">
        <f>'[68]NPDCL_Cost Alloc_Factors'!$AL45</f>
        <v>0</v>
      </c>
      <c r="AB39" s="145">
        <f t="shared" si="33"/>
        <v>1.1337783436484465E-4</v>
      </c>
      <c r="AC39" s="145">
        <f>'[68]NPDCL_Cost Alloc_Factors'!$AK45</f>
        <v>5.4325734171323373E-2</v>
      </c>
      <c r="AD39" s="637">
        <f t="shared" si="34"/>
        <v>1.2821505441842647</v>
      </c>
      <c r="AE39" s="145">
        <f t="shared" si="35"/>
        <v>3.2798346725415297E-4</v>
      </c>
    </row>
    <row r="40" spans="2:31" hidden="1" x14ac:dyDescent="0.25">
      <c r="B40" s="630" t="s">
        <v>828</v>
      </c>
      <c r="C40" s="635" t="s">
        <v>794</v>
      </c>
      <c r="D40" s="145">
        <f>'[68]NPDCL_Cost Alloc_Factors'!$H46</f>
        <v>0</v>
      </c>
      <c r="E40" s="649">
        <f>'[68]NPDCL_Cost Alloc_Factors'!$J46/'[68]NPDCL_Cost Alloc_Factors'!$J$66</f>
        <v>0</v>
      </c>
      <c r="F40" s="145">
        <f>'[68]NPDCL_Cost Alloc_Factors'!$J46</f>
        <v>0</v>
      </c>
      <c r="G40" s="649">
        <f>'[68]NPDCL_Cost Alloc_Factors'!$I46/'[68]NPDCL_Cost Alloc_Factors'!$I$66</f>
        <v>0</v>
      </c>
      <c r="H40" s="145">
        <f>'[68]NPDCL_Cost Alloc_Factors'!$I46</f>
        <v>0</v>
      </c>
      <c r="I40" s="637">
        <f t="shared" si="24"/>
        <v>0</v>
      </c>
      <c r="J40" s="649">
        <f t="shared" si="25"/>
        <v>0</v>
      </c>
      <c r="K40" s="145">
        <f>'[68]NPDCL_Cost Alloc_Factors'!$R46</f>
        <v>0</v>
      </c>
      <c r="L40" s="145">
        <f>[68]NPDCL_Inp_Losses!$S44</f>
        <v>0</v>
      </c>
      <c r="M40" s="145">
        <f>'[68]NPDCL_Cost Alloc_Factors'!$T46</f>
        <v>0</v>
      </c>
      <c r="N40" s="649">
        <f>[68]NPDCL_Inp_Losses!$R44</f>
        <v>0</v>
      </c>
      <c r="O40" s="145">
        <f>'[68]NPDCL_Cost Alloc_Factors'!$S46</f>
        <v>0</v>
      </c>
      <c r="P40" s="637">
        <f t="shared" si="26"/>
        <v>0</v>
      </c>
      <c r="Q40" s="649">
        <f t="shared" si="27"/>
        <v>0</v>
      </c>
      <c r="R40" s="145">
        <f>'[68]NPDCL_Cost Alloc_Factors'!$AB46</f>
        <v>0</v>
      </c>
      <c r="S40" s="145">
        <f t="shared" si="28"/>
        <v>0</v>
      </c>
      <c r="T40" s="145">
        <f>'[68]NPDCL_Cost Alloc_Factors'!$AD46</f>
        <v>0</v>
      </c>
      <c r="U40" s="145">
        <f t="shared" si="29"/>
        <v>0</v>
      </c>
      <c r="V40" s="145">
        <f>'[68]NPDCL_Cost Alloc_Factors'!$AC46</f>
        <v>0</v>
      </c>
      <c r="W40" s="637">
        <f t="shared" si="30"/>
        <v>0</v>
      </c>
      <c r="X40" s="145">
        <f t="shared" si="31"/>
        <v>0</v>
      </c>
      <c r="Y40" s="145">
        <f>'[68]NPDCL_Cost Alloc_Factors'!$AJ46</f>
        <v>0</v>
      </c>
      <c r="Z40" s="145">
        <f t="shared" si="32"/>
        <v>0</v>
      </c>
      <c r="AA40" s="145">
        <f>'[68]NPDCL_Cost Alloc_Factors'!$AL46</f>
        <v>0</v>
      </c>
      <c r="AB40" s="649">
        <f t="shared" si="33"/>
        <v>0</v>
      </c>
      <c r="AC40" s="145">
        <f>'[68]NPDCL_Cost Alloc_Factors'!$AK46</f>
        <v>0</v>
      </c>
      <c r="AD40" s="637">
        <f t="shared" si="34"/>
        <v>0</v>
      </c>
      <c r="AE40" s="649">
        <f t="shared" si="35"/>
        <v>0</v>
      </c>
    </row>
    <row r="41" spans="2:31" x14ac:dyDescent="0.25">
      <c r="B41" s="630" t="s">
        <v>828</v>
      </c>
      <c r="C41" s="635" t="s">
        <v>794</v>
      </c>
      <c r="D41" s="145">
        <f>'[68]NPDCL_Cost Alloc_Factors'!$H47</f>
        <v>39.244800000000005</v>
      </c>
      <c r="E41" s="145">
        <f>'[68]NPDCL_Cost Alloc_Factors'!$J47/'[68]NPDCL_Cost Alloc_Factors'!$J$66</f>
        <v>0</v>
      </c>
      <c r="F41" s="145">
        <f>'[68]NPDCL_Cost Alloc_Factors'!$J47</f>
        <v>0</v>
      </c>
      <c r="G41" s="649">
        <f>'[68]NPDCL_Cost Alloc_Factors'!$I47/'[68]NPDCL_Cost Alloc_Factors'!$I$66</f>
        <v>5.1099851933543547E-4</v>
      </c>
      <c r="H41" s="145">
        <f>'[68]NPDCL_Cost Alloc_Factors'!$I47</f>
        <v>1.0079804361457532</v>
      </c>
      <c r="I41" s="637">
        <f t="shared" si="24"/>
        <v>40.252780436145756</v>
      </c>
      <c r="J41" s="649">
        <f t="shared" si="25"/>
        <v>1.5305402499773135E-3</v>
      </c>
      <c r="K41" s="145">
        <f>'[68]NPDCL_Cost Alloc_Factors'!$R47</f>
        <v>4.4799999999999995</v>
      </c>
      <c r="L41" s="145">
        <f>[68]NPDCL_Inp_Losses!$S45</f>
        <v>0</v>
      </c>
      <c r="M41" s="145">
        <f>'[68]NPDCL_Cost Alloc_Factors'!$T47</f>
        <v>0</v>
      </c>
      <c r="N41" s="649">
        <f>[68]NPDCL_Inp_Losses!$R45</f>
        <v>4.0305609715728986E-4</v>
      </c>
      <c r="O41" s="145">
        <f>'[68]NPDCL_Cost Alloc_Factors'!$S47</f>
        <v>0.19821988210595248</v>
      </c>
      <c r="P41" s="637">
        <f t="shared" si="26"/>
        <v>4.6782198821059522</v>
      </c>
      <c r="Q41" s="649">
        <f t="shared" si="27"/>
        <v>1.1207200767804489E-3</v>
      </c>
      <c r="R41" s="145">
        <f>'[68]NPDCL_Cost Alloc_Factors'!$AB47</f>
        <v>0</v>
      </c>
      <c r="S41" s="145">
        <f t="shared" si="28"/>
        <v>0</v>
      </c>
      <c r="T41" s="145">
        <f>'[68]NPDCL_Cost Alloc_Factors'!$AD47</f>
        <v>0</v>
      </c>
      <c r="U41" s="145">
        <f t="shared" si="29"/>
        <v>0</v>
      </c>
      <c r="V41" s="145">
        <f>'[68]NPDCL_Cost Alloc_Factors'!$AC47</f>
        <v>0</v>
      </c>
      <c r="W41" s="637">
        <f t="shared" si="30"/>
        <v>0</v>
      </c>
      <c r="X41" s="145">
        <f t="shared" si="31"/>
        <v>0</v>
      </c>
      <c r="Y41" s="145">
        <f>'[68]NPDCL_Cost Alloc_Factors'!$AJ47</f>
        <v>0</v>
      </c>
      <c r="Z41" s="145">
        <f t="shared" si="32"/>
        <v>0</v>
      </c>
      <c r="AA41" s="145">
        <f>'[68]NPDCL_Cost Alloc_Factors'!$AL47</f>
        <v>0</v>
      </c>
      <c r="AB41" s="145">
        <f t="shared" si="33"/>
        <v>0</v>
      </c>
      <c r="AC41" s="145">
        <f>'[68]NPDCL_Cost Alloc_Factors'!$AK47</f>
        <v>0</v>
      </c>
      <c r="AD41" s="637">
        <f t="shared" si="34"/>
        <v>0</v>
      </c>
      <c r="AE41" s="145">
        <f t="shared" si="35"/>
        <v>0</v>
      </c>
    </row>
    <row r="42" spans="2:31" x14ac:dyDescent="0.25">
      <c r="B42" s="630"/>
      <c r="C42" s="636" t="s">
        <v>829</v>
      </c>
      <c r="D42" s="579"/>
      <c r="E42" s="579"/>
      <c r="F42" s="579"/>
      <c r="G42" s="579"/>
      <c r="H42" s="579"/>
      <c r="I42" s="637"/>
      <c r="J42" s="649"/>
      <c r="K42" s="579"/>
      <c r="L42" s="579"/>
      <c r="M42" s="579"/>
      <c r="N42" s="579"/>
      <c r="O42" s="579"/>
      <c r="P42" s="579"/>
      <c r="Q42" s="649"/>
      <c r="R42" s="579"/>
      <c r="S42" s="579"/>
      <c r="T42" s="579"/>
      <c r="U42" s="579"/>
      <c r="V42" s="579"/>
      <c r="W42" s="637"/>
      <c r="X42" s="579"/>
      <c r="Y42" s="579"/>
      <c r="Z42" s="579"/>
      <c r="AA42" s="579"/>
      <c r="AB42" s="579"/>
      <c r="AC42" s="579"/>
      <c r="AD42" s="579"/>
      <c r="AE42" s="145"/>
    </row>
    <row r="43" spans="2:31" x14ac:dyDescent="0.25">
      <c r="B43" s="630" t="s">
        <v>830</v>
      </c>
      <c r="C43" s="635" t="s">
        <v>802</v>
      </c>
      <c r="D43" s="145">
        <f>'[68]NPDCL_Cost Alloc_Factors'!$H52</f>
        <v>647.89480280865871</v>
      </c>
      <c r="E43" s="145">
        <f>'[68]NPDCL_Cost Alloc_Factors'!$J52/'[68]NPDCL_Cost Alloc_Factors'!$J$66</f>
        <v>0</v>
      </c>
      <c r="F43" s="145">
        <f>'[68]NPDCL_Cost Alloc_Factors'!$J52</f>
        <v>0</v>
      </c>
      <c r="G43" s="649">
        <f>'[68]NPDCL_Cost Alloc_Factors'!$I52/'[68]NPDCL_Cost Alloc_Factors'!$I$66</f>
        <v>5.2869426354600081E-11</v>
      </c>
      <c r="H43" s="651">
        <f>'[68]NPDCL_Cost Alloc_Factors'!$I52</f>
        <v>1.0428865333111357E-7</v>
      </c>
      <c r="I43" s="637">
        <f t="shared" ref="I43:I52" si="36">D43+F43+H43</f>
        <v>647.8948029129474</v>
      </c>
      <c r="J43" s="649">
        <f t="shared" ref="J43:J52" si="37">I43/SUM($D$53,$F$53,$H$53)</f>
        <v>2.4635045402203629E-2</v>
      </c>
      <c r="K43" s="145">
        <f>'[68]NPDCL_Cost Alloc_Factors'!$R52</f>
        <v>95.522385198923516</v>
      </c>
      <c r="L43" s="145">
        <f>[68]NPDCL_Inp_Losses!$S50</f>
        <v>0</v>
      </c>
      <c r="M43" s="145">
        <f>'[68]NPDCL_Cost Alloc_Factors'!$T52</f>
        <v>0</v>
      </c>
      <c r="N43" s="649">
        <f>[68]NPDCL_Inp_Losses!$R50</f>
        <v>4.0748563283698269E-11</v>
      </c>
      <c r="O43" s="145">
        <f>'[68]NPDCL_Cost Alloc_Factors'!$S52</f>
        <v>2.0039829361344591E-8</v>
      </c>
      <c r="P43" s="637">
        <f t="shared" ref="P43:P52" si="38">K43+M43+O43</f>
        <v>95.52238521896335</v>
      </c>
      <c r="Q43" s="649">
        <f t="shared" ref="Q43:Q52" si="39">P43/$P$53</f>
        <v>2.2883459434287375E-2</v>
      </c>
      <c r="R43" s="145">
        <f>'[68]NPDCL_Cost Alloc_Factors'!$AB52</f>
        <v>80.765805494273479</v>
      </c>
      <c r="S43" s="145">
        <f t="shared" ref="S43:S52" si="40">T43/$T$53</f>
        <v>0</v>
      </c>
      <c r="T43" s="145">
        <f>'[68]NPDCL_Cost Alloc_Factors'!$AD52</f>
        <v>0</v>
      </c>
      <c r="U43" s="649">
        <f t="shared" ref="U43:U52" si="41">V43/$V$53</f>
        <v>5.354360650575069E-11</v>
      </c>
      <c r="V43" s="145">
        <f>'[68]NPDCL_Cost Alloc_Factors'!$AC52</f>
        <v>2.0039829361344591E-8</v>
      </c>
      <c r="W43" s="637">
        <f t="shared" ref="W43:W52" si="42">R43+T43+V43</f>
        <v>80.765805514313314</v>
      </c>
      <c r="X43" s="649">
        <f t="shared" ref="X43:X52" si="43">W43/$W$53</f>
        <v>2.4167293746955948E-2</v>
      </c>
      <c r="Y43" s="145">
        <f>'[68]NPDCL_Cost Alloc_Factors'!$AJ52</f>
        <v>63.2533150448469</v>
      </c>
      <c r="Z43" s="145">
        <f t="shared" ref="Z43:Z52" si="44">AA43/$AA$53</f>
        <v>0</v>
      </c>
      <c r="AA43" s="145">
        <f>'[68]NPDCL_Cost Alloc_Factors'!$AL52</f>
        <v>0</v>
      </c>
      <c r="AB43" s="649">
        <f t="shared" ref="AB43:AB52" si="45">AC43/$AC$53</f>
        <v>3.6280235673301466E-11</v>
      </c>
      <c r="AC43" s="145">
        <f>'[68]NPDCL_Cost Alloc_Factors'!$AK52</f>
        <v>1.738391326578272E-8</v>
      </c>
      <c r="AD43" s="637">
        <f t="shared" ref="AD43:AD52" si="46">Y43+AA43+AC43</f>
        <v>63.253315062230811</v>
      </c>
      <c r="AE43" s="649">
        <f t="shared" ref="AE43:AE52" si="47">AD43/$AD$53</f>
        <v>1.618065966085826E-2</v>
      </c>
    </row>
    <row r="44" spans="2:31" x14ac:dyDescent="0.25">
      <c r="B44" s="630" t="s">
        <v>831</v>
      </c>
      <c r="C44" s="635" t="s">
        <v>804</v>
      </c>
      <c r="D44" s="145">
        <f>'[68]NPDCL_Cost Alloc_Factors'!$H53</f>
        <v>0</v>
      </c>
      <c r="E44" s="145">
        <f>'[68]NPDCL_Cost Alloc_Factors'!$J53/'[68]NPDCL_Cost Alloc_Factors'!$J$66</f>
        <v>0</v>
      </c>
      <c r="F44" s="145">
        <f>'[68]NPDCL_Cost Alloc_Factors'!$J53</f>
        <v>0</v>
      </c>
      <c r="G44" s="649">
        <f>'[68]NPDCL_Cost Alloc_Factors'!$I53/'[68]NPDCL_Cost Alloc_Factors'!$I$66</f>
        <v>0</v>
      </c>
      <c r="H44" s="651">
        <f>'[68]NPDCL_Cost Alloc_Factors'!$I53</f>
        <v>0</v>
      </c>
      <c r="I44" s="637">
        <f t="shared" si="36"/>
        <v>0</v>
      </c>
      <c r="J44" s="649">
        <f t="shared" si="37"/>
        <v>0</v>
      </c>
      <c r="K44" s="145">
        <f>'[68]NPDCL_Cost Alloc_Factors'!$R53</f>
        <v>0</v>
      </c>
      <c r="L44" s="145">
        <f>[68]NPDCL_Inp_Losses!$S51</f>
        <v>0</v>
      </c>
      <c r="M44" s="145">
        <f>'[68]NPDCL_Cost Alloc_Factors'!$T53</f>
        <v>0</v>
      </c>
      <c r="N44" s="649">
        <f>[68]NPDCL_Inp_Losses!$R51</f>
        <v>0</v>
      </c>
      <c r="O44" s="145">
        <f>'[68]NPDCL_Cost Alloc_Factors'!$S53</f>
        <v>0</v>
      </c>
      <c r="P44" s="637">
        <f t="shared" si="38"/>
        <v>0</v>
      </c>
      <c r="Q44" s="649">
        <f t="shared" si="39"/>
        <v>0</v>
      </c>
      <c r="R44" s="145">
        <f>'[68]NPDCL_Cost Alloc_Factors'!$AB53</f>
        <v>0</v>
      </c>
      <c r="S44" s="145">
        <f t="shared" si="40"/>
        <v>0</v>
      </c>
      <c r="T44" s="145">
        <f>'[68]NPDCL_Cost Alloc_Factors'!$AD53</f>
        <v>0</v>
      </c>
      <c r="U44" s="649">
        <f t="shared" si="41"/>
        <v>0</v>
      </c>
      <c r="V44" s="145">
        <f>'[68]NPDCL_Cost Alloc_Factors'!$AC53</f>
        <v>0</v>
      </c>
      <c r="W44" s="637">
        <f t="shared" si="42"/>
        <v>0</v>
      </c>
      <c r="X44" s="649">
        <f t="shared" si="43"/>
        <v>0</v>
      </c>
      <c r="Y44" s="145">
        <f>'[68]NPDCL_Cost Alloc_Factors'!$AJ53</f>
        <v>0</v>
      </c>
      <c r="Z44" s="145">
        <f t="shared" si="44"/>
        <v>0</v>
      </c>
      <c r="AA44" s="145">
        <f>'[68]NPDCL_Cost Alloc_Factors'!$AL53</f>
        <v>0</v>
      </c>
      <c r="AB44" s="649">
        <f t="shared" si="45"/>
        <v>0</v>
      </c>
      <c r="AC44" s="145">
        <f>'[68]NPDCL_Cost Alloc_Factors'!$AK53</f>
        <v>0</v>
      </c>
      <c r="AD44" s="637">
        <f t="shared" si="46"/>
        <v>0</v>
      </c>
      <c r="AE44" s="649">
        <f t="shared" si="47"/>
        <v>0</v>
      </c>
    </row>
    <row r="45" spans="2:31" x14ac:dyDescent="0.25">
      <c r="B45" s="630" t="s">
        <v>832</v>
      </c>
      <c r="C45" s="635" t="s">
        <v>498</v>
      </c>
      <c r="D45" s="145">
        <f>'[68]NPDCL_Cost Alloc_Factors'!$H54</f>
        <v>4.6745669736802009</v>
      </c>
      <c r="E45" s="145">
        <f>'[68]NPDCL_Cost Alloc_Factors'!$J54/'[68]NPDCL_Cost Alloc_Factors'!$J$66</f>
        <v>0</v>
      </c>
      <c r="F45" s="145">
        <f>'[68]NPDCL_Cost Alloc_Factors'!$J54</f>
        <v>0</v>
      </c>
      <c r="G45" s="649">
        <f>'[68]NPDCL_Cost Alloc_Factors'!$I54/'[68]NPDCL_Cost Alloc_Factors'!$I$66</f>
        <v>3.9302445503482546E-13</v>
      </c>
      <c r="H45" s="651">
        <f>'[68]NPDCL_Cost Alloc_Factors'!$I54</f>
        <v>7.752683160749E-10</v>
      </c>
      <c r="I45" s="637">
        <f t="shared" si="36"/>
        <v>4.6745669744554696</v>
      </c>
      <c r="J45" s="649">
        <f t="shared" si="37"/>
        <v>1.7774207963020975E-4</v>
      </c>
      <c r="K45" s="145">
        <f>'[68]NPDCL_Cost Alloc_Factors'!$R54</f>
        <v>0.54490006019208181</v>
      </c>
      <c r="L45" s="145">
        <f>[68]NPDCL_Inp_Losses!$S52</f>
        <v>0</v>
      </c>
      <c r="M45" s="145">
        <f>'[68]NPDCL_Cost Alloc_Factors'!$T54</f>
        <v>0</v>
      </c>
      <c r="N45" s="649">
        <f>[68]NPDCL_Inp_Losses!$R52</f>
        <v>2.9875023200695821E-13</v>
      </c>
      <c r="O45" s="145">
        <f>'[68]NPDCL_Cost Alloc_Factors'!$S54</f>
        <v>1.4692306154206546E-10</v>
      </c>
      <c r="P45" s="637">
        <f t="shared" si="38"/>
        <v>0.54490006033900484</v>
      </c>
      <c r="Q45" s="649">
        <f t="shared" si="39"/>
        <v>1.3053692490954405E-4</v>
      </c>
      <c r="R45" s="145">
        <f>'[68]NPDCL_Cost Alloc_Factors'!$AB54</f>
        <v>0.54059343799814985</v>
      </c>
      <c r="S45" s="145">
        <f t="shared" si="40"/>
        <v>0</v>
      </c>
      <c r="T45" s="145">
        <f>'[68]NPDCL_Cost Alloc_Factors'!$AD54</f>
        <v>0</v>
      </c>
      <c r="U45" s="649">
        <f t="shared" si="41"/>
        <v>3.5838585582875376E-13</v>
      </c>
      <c r="V45" s="145">
        <f>'[68]NPDCL_Cost Alloc_Factors'!$AC54</f>
        <v>1.3413350099150137E-10</v>
      </c>
      <c r="W45" s="637">
        <f t="shared" si="42"/>
        <v>0.54059343813228333</v>
      </c>
      <c r="X45" s="649">
        <f t="shared" si="43"/>
        <v>1.6176004602225415E-4</v>
      </c>
      <c r="Y45" s="145">
        <f>'[68]NPDCL_Cost Alloc_Factors'!$AJ54</f>
        <v>0.53459601166821957</v>
      </c>
      <c r="Z45" s="145">
        <f t="shared" si="44"/>
        <v>0</v>
      </c>
      <c r="AA45" s="145">
        <f>'[68]NPDCL_Cost Alloc_Factors'!$AL54</f>
        <v>0</v>
      </c>
      <c r="AB45" s="649">
        <f t="shared" si="45"/>
        <v>3.0662850286310986E-13</v>
      </c>
      <c r="AC45" s="145">
        <f>'[68]NPDCL_Cost Alloc_Factors'!$AK54</f>
        <v>1.4692306154206546E-10</v>
      </c>
      <c r="AD45" s="637">
        <f t="shared" si="46"/>
        <v>0.5345960118151426</v>
      </c>
      <c r="AE45" s="649">
        <f t="shared" si="47"/>
        <v>1.3675356168641438E-4</v>
      </c>
    </row>
    <row r="46" spans="2:31" x14ac:dyDescent="0.25">
      <c r="B46" s="630" t="s">
        <v>833</v>
      </c>
      <c r="C46" s="635" t="s">
        <v>807</v>
      </c>
      <c r="D46" s="145">
        <f>'[68]NPDCL_Cost Alloc_Factors'!$H55</f>
        <v>0</v>
      </c>
      <c r="E46" s="145">
        <f>'[68]NPDCL_Cost Alloc_Factors'!$J55/'[68]NPDCL_Cost Alloc_Factors'!$J$66</f>
        <v>0</v>
      </c>
      <c r="F46" s="145">
        <f>'[68]NPDCL_Cost Alloc_Factors'!$J55</f>
        <v>0</v>
      </c>
      <c r="G46" s="649">
        <f>'[68]NPDCL_Cost Alloc_Factors'!$I55/'[68]NPDCL_Cost Alloc_Factors'!$I$66</f>
        <v>0</v>
      </c>
      <c r="H46" s="651">
        <f>'[68]NPDCL_Cost Alloc_Factors'!$I55</f>
        <v>0</v>
      </c>
      <c r="I46" s="637">
        <f t="shared" si="36"/>
        <v>0</v>
      </c>
      <c r="J46" s="649">
        <f t="shared" si="37"/>
        <v>0</v>
      </c>
      <c r="K46" s="145">
        <f>'[68]NPDCL_Cost Alloc_Factors'!$R55</f>
        <v>0</v>
      </c>
      <c r="L46" s="145">
        <f>[68]NPDCL_Inp_Losses!$S53</f>
        <v>0</v>
      </c>
      <c r="M46" s="145">
        <f>'[68]NPDCL_Cost Alloc_Factors'!$T55</f>
        <v>0</v>
      </c>
      <c r="N46" s="649">
        <f>[68]NPDCL_Inp_Losses!$R53</f>
        <v>0</v>
      </c>
      <c r="O46" s="145">
        <f>'[68]NPDCL_Cost Alloc_Factors'!$S55</f>
        <v>0</v>
      </c>
      <c r="P46" s="637">
        <f t="shared" si="38"/>
        <v>0</v>
      </c>
      <c r="Q46" s="649">
        <f t="shared" si="39"/>
        <v>0</v>
      </c>
      <c r="R46" s="145">
        <f>'[68]NPDCL_Cost Alloc_Factors'!$AB55</f>
        <v>0</v>
      </c>
      <c r="S46" s="145">
        <f t="shared" si="40"/>
        <v>0</v>
      </c>
      <c r="T46" s="145">
        <f>'[68]NPDCL_Cost Alloc_Factors'!$AD55</f>
        <v>0</v>
      </c>
      <c r="U46" s="649">
        <f t="shared" si="41"/>
        <v>0</v>
      </c>
      <c r="V46" s="145">
        <f>'[68]NPDCL_Cost Alloc_Factors'!$AC55</f>
        <v>0</v>
      </c>
      <c r="W46" s="637">
        <f t="shared" si="42"/>
        <v>0</v>
      </c>
      <c r="X46" s="649">
        <f t="shared" si="43"/>
        <v>0</v>
      </c>
      <c r="Y46" s="145">
        <f>'[68]NPDCL_Cost Alloc_Factors'!$AJ55</f>
        <v>0</v>
      </c>
      <c r="Z46" s="145">
        <f t="shared" si="44"/>
        <v>0</v>
      </c>
      <c r="AA46" s="145">
        <f>'[68]NPDCL_Cost Alloc_Factors'!$AL55</f>
        <v>0</v>
      </c>
      <c r="AB46" s="649">
        <f t="shared" si="45"/>
        <v>0</v>
      </c>
      <c r="AC46" s="145">
        <f>'[68]NPDCL_Cost Alloc_Factors'!$AK55</f>
        <v>0</v>
      </c>
      <c r="AD46" s="637">
        <f t="shared" si="46"/>
        <v>0</v>
      </c>
      <c r="AE46" s="649">
        <f t="shared" si="47"/>
        <v>0</v>
      </c>
    </row>
    <row r="47" spans="2:31" x14ac:dyDescent="0.25">
      <c r="B47" s="630" t="s">
        <v>834</v>
      </c>
      <c r="C47" s="635" t="s">
        <v>809</v>
      </c>
      <c r="D47" s="145">
        <f>'[68]NPDCL_Cost Alloc_Factors'!$H56</f>
        <v>1555.2395194385535</v>
      </c>
      <c r="E47" s="145">
        <f>'[68]NPDCL_Cost Alloc_Factors'!$J56/'[68]NPDCL_Cost Alloc_Factors'!$J$66</f>
        <v>0</v>
      </c>
      <c r="F47" s="145">
        <f>'[68]NPDCL_Cost Alloc_Factors'!$J56</f>
        <v>0</v>
      </c>
      <c r="G47" s="649">
        <f>'[68]NPDCL_Cost Alloc_Factors'!$I56/'[68]NPDCL_Cost Alloc_Factors'!$I$66</f>
        <v>1.3093554840902391E-10</v>
      </c>
      <c r="H47" s="651">
        <f>'[68]NPDCL_Cost Alloc_Factors'!$I56</f>
        <v>2.5827955698179857E-7</v>
      </c>
      <c r="I47" s="637">
        <f t="shared" si="36"/>
        <v>1555.2395196968332</v>
      </c>
      <c r="J47" s="649">
        <f t="shared" si="37"/>
        <v>5.9135211467625751E-2</v>
      </c>
      <c r="K47" s="145">
        <f>'[68]NPDCL_Cost Alloc_Factors'!$R56</f>
        <v>211.5987175319427</v>
      </c>
      <c r="L47" s="145">
        <f>[68]NPDCL_Inp_Losses!$S54</f>
        <v>0</v>
      </c>
      <c r="M47" s="145">
        <f>'[68]NPDCL_Cost Alloc_Factors'!$T56</f>
        <v>0</v>
      </c>
      <c r="N47" s="649">
        <f>[68]NPDCL_Inp_Losses!$R54</f>
        <v>9.8689398455007613E-11</v>
      </c>
      <c r="O47" s="145">
        <f>'[68]NPDCL_Cost Alloc_Factors'!$S56</f>
        <v>4.8534685530944755E-8</v>
      </c>
      <c r="P47" s="637">
        <f t="shared" si="38"/>
        <v>211.59871758047737</v>
      </c>
      <c r="Q47" s="649">
        <f t="shared" si="39"/>
        <v>5.0690847585104233E-2</v>
      </c>
      <c r="R47" s="145">
        <f>'[68]NPDCL_Cost Alloc_Factors'!$AB56</f>
        <v>180.45708766362279</v>
      </c>
      <c r="S47" s="145">
        <f t="shared" si="40"/>
        <v>0</v>
      </c>
      <c r="T47" s="145">
        <f>'[68]NPDCL_Cost Alloc_Factors'!$AD56</f>
        <v>0</v>
      </c>
      <c r="U47" s="649">
        <f t="shared" si="41"/>
        <v>1.1963383803210953E-10</v>
      </c>
      <c r="V47" s="145">
        <f>'[68]NPDCL_Cost Alloc_Factors'!$AC56</f>
        <v>4.477549900843384E-8</v>
      </c>
      <c r="W47" s="637">
        <f t="shared" si="42"/>
        <v>180.45708770839829</v>
      </c>
      <c r="X47" s="649">
        <f t="shared" si="43"/>
        <v>5.3997597369299696E-2</v>
      </c>
      <c r="Y47" s="145">
        <f>'[68]NPDCL_Cost Alloc_Factors'!$AJ56</f>
        <v>176.59888815334546</v>
      </c>
      <c r="Z47" s="145">
        <f t="shared" si="44"/>
        <v>0</v>
      </c>
      <c r="AA47" s="145">
        <f>'[68]NPDCL_Cost Alloc_Factors'!$AL56</f>
        <v>0</v>
      </c>
      <c r="AB47" s="649">
        <f t="shared" si="45"/>
        <v>1.0129191295829715E-10</v>
      </c>
      <c r="AC47" s="145">
        <f>'[68]NPDCL_Cost Alloc_Factors'!$AK56</f>
        <v>4.8534685530944755E-8</v>
      </c>
      <c r="AD47" s="637">
        <f t="shared" si="46"/>
        <v>176.59888820188013</v>
      </c>
      <c r="AE47" s="649">
        <f t="shared" si="47"/>
        <v>4.5175284547051567E-2</v>
      </c>
    </row>
    <row r="48" spans="2:31" x14ac:dyDescent="0.25">
      <c r="B48" s="630" t="s">
        <v>835</v>
      </c>
      <c r="C48" s="635" t="s">
        <v>836</v>
      </c>
      <c r="D48" s="145">
        <f>'[68]NPDCL_Cost Alloc_Factors'!$H57</f>
        <v>680.75377750250368</v>
      </c>
      <c r="E48" s="145">
        <f>'[68]NPDCL_Cost Alloc_Factors'!$J57/'[68]NPDCL_Cost Alloc_Factors'!$J$66</f>
        <v>0</v>
      </c>
      <c r="F48" s="145">
        <f>'[68]NPDCL_Cost Alloc_Factors'!$J57</f>
        <v>0</v>
      </c>
      <c r="G48" s="649">
        <f>'[68]NPDCL_Cost Alloc_Factors'!$I57/'[68]NPDCL_Cost Alloc_Factors'!$I$66</f>
        <v>5.7670955981031555E-11</v>
      </c>
      <c r="H48" s="651">
        <f>'[68]NPDCL_Cost Alloc_Factors'!$I57</f>
        <v>1.1376000744249432E-7</v>
      </c>
      <c r="I48" s="637">
        <f t="shared" si="36"/>
        <v>680.75377761626373</v>
      </c>
      <c r="J48" s="649">
        <f t="shared" si="37"/>
        <v>2.5884449364153333E-2</v>
      </c>
      <c r="K48" s="145">
        <f>'[68]NPDCL_Cost Alloc_Factors'!$R57</f>
        <v>84.029839592086248</v>
      </c>
      <c r="L48" s="145">
        <f>[68]NPDCL_Inp_Losses!$S55</f>
        <v>0</v>
      </c>
      <c r="M48" s="145">
        <f>'[68]NPDCL_Cost Alloc_Factors'!$T57</f>
        <v>0</v>
      </c>
      <c r="N48" s="649">
        <f>[68]NPDCL_Inp_Losses!$R55</f>
        <v>4.6762214900784223E-11</v>
      </c>
      <c r="O48" s="145">
        <f>'[68]NPDCL_Cost Alloc_Factors'!$S57</f>
        <v>2.299729687758432E-8</v>
      </c>
      <c r="P48" s="637">
        <f t="shared" si="38"/>
        <v>84.029839615083546</v>
      </c>
      <c r="Q48" s="649">
        <f t="shared" si="39"/>
        <v>2.013029115315371E-2</v>
      </c>
      <c r="R48" s="145">
        <f>'[68]NPDCL_Cost Alloc_Factors'!$AB57</f>
        <v>80.955308606922458</v>
      </c>
      <c r="S48" s="145">
        <f t="shared" si="40"/>
        <v>0</v>
      </c>
      <c r="T48" s="145">
        <f>'[68]NPDCL_Cost Alloc_Factors'!$AD57</f>
        <v>0</v>
      </c>
      <c r="U48" s="649">
        <f t="shared" si="41"/>
        <v>5.3669237396610944E-11</v>
      </c>
      <c r="V48" s="145">
        <f>'[68]NPDCL_Cost Alloc_Factors'!$AC57</f>
        <v>2.0086849384455713E-8</v>
      </c>
      <c r="W48" s="637">
        <f t="shared" si="42"/>
        <v>80.955308627009302</v>
      </c>
      <c r="X48" s="649">
        <f t="shared" si="43"/>
        <v>2.4223998157458917E-2</v>
      </c>
      <c r="Y48" s="145">
        <f>'[68]NPDCL_Cost Alloc_Factors'!$AJ57</f>
        <v>81.333579710760432</v>
      </c>
      <c r="Z48" s="145">
        <f t="shared" si="44"/>
        <v>0</v>
      </c>
      <c r="AA48" s="145">
        <f>'[68]NPDCL_Cost Alloc_Factors'!$AL57</f>
        <v>0</v>
      </c>
      <c r="AB48" s="649">
        <f t="shared" si="45"/>
        <v>4.6650542156842011E-11</v>
      </c>
      <c r="AC48" s="145">
        <f>'[68]NPDCL_Cost Alloc_Factors'!$AK57</f>
        <v>2.235291374507448E-8</v>
      </c>
      <c r="AD48" s="637">
        <f t="shared" si="46"/>
        <v>81.333579733113339</v>
      </c>
      <c r="AE48" s="649">
        <f t="shared" si="47"/>
        <v>2.0805723326374738E-2</v>
      </c>
    </row>
    <row r="49" spans="2:31" x14ac:dyDescent="0.25">
      <c r="B49" s="630" t="s">
        <v>837</v>
      </c>
      <c r="C49" s="635" t="s">
        <v>838</v>
      </c>
      <c r="D49" s="145">
        <f>'[68]NPDCL_Cost Alloc_Factors'!$H58</f>
        <v>0</v>
      </c>
      <c r="E49" s="145">
        <f>'[68]NPDCL_Cost Alloc_Factors'!$J58/'[68]NPDCL_Cost Alloc_Factors'!$J$66</f>
        <v>0</v>
      </c>
      <c r="F49" s="145">
        <f>'[68]NPDCL_Cost Alloc_Factors'!$J58</f>
        <v>0</v>
      </c>
      <c r="G49" s="649">
        <f>'[68]NPDCL_Cost Alloc_Factors'!$I58/'[68]NPDCL_Cost Alloc_Factors'!$I$66</f>
        <v>0</v>
      </c>
      <c r="H49" s="651">
        <f>'[68]NPDCL_Cost Alloc_Factors'!$I58</f>
        <v>0</v>
      </c>
      <c r="I49" s="637">
        <f t="shared" si="36"/>
        <v>0</v>
      </c>
      <c r="J49" s="649">
        <f t="shared" si="37"/>
        <v>0</v>
      </c>
      <c r="K49" s="145">
        <f>'[68]NPDCL_Cost Alloc_Factors'!$R58</f>
        <v>0</v>
      </c>
      <c r="L49" s="145">
        <f>[68]NPDCL_Inp_Losses!$S56</f>
        <v>0</v>
      </c>
      <c r="M49" s="145">
        <f>'[68]NPDCL_Cost Alloc_Factors'!$T58</f>
        <v>0</v>
      </c>
      <c r="N49" s="649">
        <f>[68]NPDCL_Inp_Losses!$R56</f>
        <v>0</v>
      </c>
      <c r="O49" s="145">
        <f>'[68]NPDCL_Cost Alloc_Factors'!$S58</f>
        <v>0</v>
      </c>
      <c r="P49" s="637">
        <f t="shared" si="38"/>
        <v>0</v>
      </c>
      <c r="Q49" s="649">
        <f t="shared" si="39"/>
        <v>0</v>
      </c>
      <c r="R49" s="145">
        <f>'[68]NPDCL_Cost Alloc_Factors'!$AB58</f>
        <v>0</v>
      </c>
      <c r="S49" s="145">
        <f t="shared" si="40"/>
        <v>0</v>
      </c>
      <c r="T49" s="145">
        <f>'[68]NPDCL_Cost Alloc_Factors'!$AD58</f>
        <v>0</v>
      </c>
      <c r="U49" s="649">
        <f t="shared" si="41"/>
        <v>0</v>
      </c>
      <c r="V49" s="145">
        <f>'[68]NPDCL_Cost Alloc_Factors'!$AC58</f>
        <v>0</v>
      </c>
      <c r="W49" s="637">
        <f t="shared" si="42"/>
        <v>0</v>
      </c>
      <c r="X49" s="649">
        <f t="shared" si="43"/>
        <v>0</v>
      </c>
      <c r="Y49" s="145">
        <f>'[68]NPDCL_Cost Alloc_Factors'!$AJ58</f>
        <v>0</v>
      </c>
      <c r="Z49" s="145">
        <f t="shared" si="44"/>
        <v>0</v>
      </c>
      <c r="AA49" s="145">
        <f>'[68]NPDCL_Cost Alloc_Factors'!$AL58</f>
        <v>0</v>
      </c>
      <c r="AB49" s="649">
        <f t="shared" si="45"/>
        <v>0</v>
      </c>
      <c r="AC49" s="145">
        <f>'[68]NPDCL_Cost Alloc_Factors'!$AK58</f>
        <v>0</v>
      </c>
      <c r="AD49" s="637">
        <f t="shared" si="46"/>
        <v>0</v>
      </c>
      <c r="AE49" s="649">
        <f t="shared" si="47"/>
        <v>0</v>
      </c>
    </row>
    <row r="50" spans="2:31" x14ac:dyDescent="0.25">
      <c r="B50" s="630" t="s">
        <v>867</v>
      </c>
      <c r="C50" s="635" t="s">
        <v>825</v>
      </c>
      <c r="D50" s="145">
        <f>'[68]NPDCL_Cost Alloc_Factors'!$H59</f>
        <v>66.945765103448267</v>
      </c>
      <c r="E50" s="145">
        <f>'[68]NPDCL_Cost Alloc_Factors'!$J59/'[68]NPDCL_Cost Alloc_Factors'!$J$66</f>
        <v>0</v>
      </c>
      <c r="F50" s="145">
        <f>'[68]NPDCL_Cost Alloc_Factors'!$J59</f>
        <v>0</v>
      </c>
      <c r="G50" s="145">
        <f>'[68]NPDCL_Cost Alloc_Factors'!$I59/'[68]NPDCL_Cost Alloc_Factors'!$I$66</f>
        <v>5.629713709446411E-12</v>
      </c>
      <c r="H50" s="145">
        <f>'[68]NPDCL_Cost Alloc_Factors'!$I59</f>
        <v>1.110500532878943E-8</v>
      </c>
      <c r="I50" s="637">
        <f t="shared" si="36"/>
        <v>66.945765114553268</v>
      </c>
      <c r="J50" s="145">
        <f t="shared" si="37"/>
        <v>2.5454934283581088E-3</v>
      </c>
      <c r="K50" s="145">
        <f>'[68]NPDCL_Cost Alloc_Factors'!$R59</f>
        <v>7.6422106282475175</v>
      </c>
      <c r="L50" s="145">
        <f>[68]NPDCL_Inp_Losses!$S57</f>
        <v>0</v>
      </c>
      <c r="M50" s="145">
        <f>'[68]NPDCL_Cost Alloc_Factors'!$T59</f>
        <v>0</v>
      </c>
      <c r="N50" s="145">
        <f>[68]NPDCL_Inp_Losses!$R57</f>
        <v>4.2707243383849462E-12</v>
      </c>
      <c r="O50" s="145">
        <f>'[68]NPDCL_Cost Alloc_Factors'!$S59</f>
        <v>2.1003093138455331E-9</v>
      </c>
      <c r="P50" s="637">
        <f t="shared" si="38"/>
        <v>7.6422106303478268</v>
      </c>
      <c r="Q50" s="649">
        <f t="shared" si="39"/>
        <v>1.83077732561819E-3</v>
      </c>
      <c r="R50" s="145">
        <f>'[68]NPDCL_Cost Alloc_Factors'!$AB59</f>
        <v>7.6422106282475175</v>
      </c>
      <c r="S50" s="145">
        <f t="shared" si="40"/>
        <v>0</v>
      </c>
      <c r="T50" s="145">
        <f>'[68]NPDCL_Cost Alloc_Factors'!$AD59</f>
        <v>0</v>
      </c>
      <c r="U50" s="145">
        <f t="shared" si="41"/>
        <v>5.0663955644194457E-12</v>
      </c>
      <c r="V50" s="145">
        <f>'[68]NPDCL_Cost Alloc_Factors'!$AC59</f>
        <v>1.8962059004586162E-9</v>
      </c>
      <c r="W50" s="637">
        <f t="shared" si="42"/>
        <v>7.6422106301437234</v>
      </c>
      <c r="X50" s="145">
        <f t="shared" si="43"/>
        <v>2.2867542519842961E-3</v>
      </c>
      <c r="Y50" s="145">
        <f>'[68]NPDCL_Cost Alloc_Factors'!$AJ59</f>
        <v>7.6422106282475175</v>
      </c>
      <c r="Z50" s="145">
        <f t="shared" si="44"/>
        <v>0</v>
      </c>
      <c r="AA50" s="145">
        <f>'[68]NPDCL_Cost Alloc_Factors'!$AL59</f>
        <v>0</v>
      </c>
      <c r="AB50" s="145">
        <f t="shared" si="45"/>
        <v>4.3833465876254822E-12</v>
      </c>
      <c r="AC50" s="145">
        <f>'[68]NPDCL_Cost Alloc_Factors'!$AK59</f>
        <v>2.1003093138455331E-9</v>
      </c>
      <c r="AD50" s="637">
        <f t="shared" si="46"/>
        <v>7.6422106303478268</v>
      </c>
      <c r="AE50" s="145">
        <f t="shared" si="47"/>
        <v>1.9549332575627726E-3</v>
      </c>
    </row>
    <row r="51" spans="2:31" x14ac:dyDescent="0.25">
      <c r="B51" s="630" t="s">
        <v>840</v>
      </c>
      <c r="C51" s="635" t="s">
        <v>827</v>
      </c>
      <c r="D51" s="145">
        <f>'[68]NPDCL_Cost Alloc_Factors'!$H60</f>
        <v>0</v>
      </c>
      <c r="E51" s="145">
        <f>'[68]NPDCL_Cost Alloc_Factors'!$J60/'[68]NPDCL_Cost Alloc_Factors'!$J$66</f>
        <v>0</v>
      </c>
      <c r="F51" s="145">
        <f>'[68]NPDCL_Cost Alloc_Factors'!$J60</f>
        <v>0</v>
      </c>
      <c r="G51" s="145">
        <f>'[68]NPDCL_Cost Alloc_Factors'!$I60/'[68]NPDCL_Cost Alloc_Factors'!$I$66</f>
        <v>0</v>
      </c>
      <c r="H51" s="145">
        <f>'[68]NPDCL_Cost Alloc_Factors'!$I60</f>
        <v>0</v>
      </c>
      <c r="I51" s="637">
        <f t="shared" si="36"/>
        <v>0</v>
      </c>
      <c r="J51" s="145">
        <f t="shared" si="37"/>
        <v>0</v>
      </c>
      <c r="K51" s="145">
        <f>'[68]NPDCL_Cost Alloc_Factors'!$R60</f>
        <v>0</v>
      </c>
      <c r="L51" s="652">
        <f>[68]NPDCL_Inp_Losses!$S58</f>
        <v>0</v>
      </c>
      <c r="M51" s="145">
        <f>'[68]NPDCL_Cost Alloc_Factors'!$T60</f>
        <v>0</v>
      </c>
      <c r="N51" s="652">
        <f>[68]NPDCL_Inp_Losses!$R58</f>
        <v>0</v>
      </c>
      <c r="O51" s="145">
        <f>'[68]NPDCL_Cost Alloc_Factors'!$S60</f>
        <v>0</v>
      </c>
      <c r="P51" s="637">
        <f t="shared" si="38"/>
        <v>0</v>
      </c>
      <c r="Q51" s="649">
        <f t="shared" si="39"/>
        <v>0</v>
      </c>
      <c r="R51" s="145">
        <f>'[68]NPDCL_Cost Alloc_Factors'!$AB60</f>
        <v>0</v>
      </c>
      <c r="S51" s="145">
        <f t="shared" si="40"/>
        <v>0</v>
      </c>
      <c r="T51" s="145">
        <f>'[68]NPDCL_Cost Alloc_Factors'!$AD60</f>
        <v>0</v>
      </c>
      <c r="U51" s="145">
        <f t="shared" si="41"/>
        <v>0</v>
      </c>
      <c r="V51" s="145">
        <f>'[68]NPDCL_Cost Alloc_Factors'!$AC60</f>
        <v>0</v>
      </c>
      <c r="W51" s="637">
        <f t="shared" si="42"/>
        <v>0</v>
      </c>
      <c r="X51" s="145">
        <f t="shared" si="43"/>
        <v>0</v>
      </c>
      <c r="Y51" s="145">
        <f>'[68]NPDCL_Cost Alloc_Factors'!$AJ60</f>
        <v>0</v>
      </c>
      <c r="Z51" s="145">
        <f t="shared" si="44"/>
        <v>0</v>
      </c>
      <c r="AA51" s="145">
        <f>'[68]NPDCL_Cost Alloc_Factors'!$AL60</f>
        <v>0</v>
      </c>
      <c r="AB51" s="145">
        <f t="shared" si="45"/>
        <v>0</v>
      </c>
      <c r="AC51" s="145">
        <f>'[68]NPDCL_Cost Alloc_Factors'!$AK60</f>
        <v>0</v>
      </c>
      <c r="AD51" s="637">
        <f t="shared" si="46"/>
        <v>0</v>
      </c>
      <c r="AE51" s="145">
        <f t="shared" si="47"/>
        <v>0</v>
      </c>
    </row>
    <row r="52" spans="2:31" hidden="1" x14ac:dyDescent="0.25">
      <c r="B52" s="630" t="s">
        <v>841</v>
      </c>
      <c r="C52" s="635" t="s">
        <v>199</v>
      </c>
      <c r="D52" s="145">
        <f>'[68]NPDCL_Cost Alloc_Factors'!$H61</f>
        <v>0</v>
      </c>
      <c r="E52" s="145">
        <f>'[68]NPDCL_Cost Alloc_Factors'!$J61/'[68]NPDCL_Cost Alloc_Factors'!$J$66</f>
        <v>0</v>
      </c>
      <c r="F52" s="145">
        <f>'[68]NPDCL_Cost Alloc_Factors'!$J61</f>
        <v>0</v>
      </c>
      <c r="G52" s="145">
        <f>'[68]NPDCL_Cost Alloc_Factors'!$I61/'[68]NPDCL_Cost Alloc_Factors'!$I$66</f>
        <v>0</v>
      </c>
      <c r="H52" s="145">
        <f>'[68]NPDCL_Cost Alloc_Factors'!$I61</f>
        <v>0</v>
      </c>
      <c r="I52" s="637">
        <f t="shared" si="36"/>
        <v>0</v>
      </c>
      <c r="J52" s="145">
        <f t="shared" si="37"/>
        <v>0</v>
      </c>
      <c r="K52" s="145">
        <f>'[68]NPDCL_Cost Alloc_Factors'!$R61</f>
        <v>0</v>
      </c>
      <c r="L52" s="145">
        <f>[68]NPDCL_Inp_Losses!$S59</f>
        <v>0</v>
      </c>
      <c r="M52" s="145">
        <f>'[68]NPDCL_Cost Alloc_Factors'!$T61</f>
        <v>0</v>
      </c>
      <c r="N52" s="145">
        <f>[68]NPDCL_Inp_Losses!$R59</f>
        <v>0</v>
      </c>
      <c r="O52" s="145">
        <f>'[68]NPDCL_Cost Alloc_Factors'!$S61</f>
        <v>0</v>
      </c>
      <c r="P52" s="637">
        <f t="shared" si="38"/>
        <v>0</v>
      </c>
      <c r="Q52" s="649">
        <f t="shared" si="39"/>
        <v>0</v>
      </c>
      <c r="R52" s="145">
        <f>'[68]NPDCL_Cost Alloc_Factors'!$AB61</f>
        <v>0</v>
      </c>
      <c r="S52" s="145">
        <f t="shared" si="40"/>
        <v>0</v>
      </c>
      <c r="T52" s="145">
        <f>'[68]NPDCL_Cost Alloc_Factors'!$AD61</f>
        <v>0</v>
      </c>
      <c r="U52" s="145">
        <f t="shared" si="41"/>
        <v>0</v>
      </c>
      <c r="V52" s="145">
        <f>'[68]NPDCL_Cost Alloc_Factors'!$AC61</f>
        <v>0</v>
      </c>
      <c r="W52" s="637">
        <f t="shared" si="42"/>
        <v>0</v>
      </c>
      <c r="X52" s="145">
        <f t="shared" si="43"/>
        <v>0</v>
      </c>
      <c r="Y52" s="145">
        <f>'[68]NPDCL_Cost Alloc_Factors'!$AJ61</f>
        <v>0</v>
      </c>
      <c r="Z52" s="145">
        <f t="shared" si="44"/>
        <v>0</v>
      </c>
      <c r="AA52" s="145">
        <f>'[68]NPDCL_Cost Alloc_Factors'!$AL61</f>
        <v>0</v>
      </c>
      <c r="AB52" s="145">
        <f t="shared" si="45"/>
        <v>0</v>
      </c>
      <c r="AC52" s="145">
        <f>'[68]NPDCL_Cost Alloc_Factors'!$AK61</f>
        <v>0</v>
      </c>
      <c r="AD52" s="637">
        <f t="shared" si="46"/>
        <v>0</v>
      </c>
      <c r="AE52" s="145">
        <f t="shared" si="47"/>
        <v>0</v>
      </c>
    </row>
    <row r="53" spans="2:31" x14ac:dyDescent="0.25">
      <c r="B53" s="786" t="s">
        <v>220</v>
      </c>
      <c r="C53" s="786"/>
      <c r="D53" s="637">
        <f t="shared" ref="D53:AE53" si="48">SUM(D10:D52)</f>
        <v>23951.373098901844</v>
      </c>
      <c r="E53" s="340">
        <f t="shared" si="48"/>
        <v>1</v>
      </c>
      <c r="F53" s="145">
        <f t="shared" si="48"/>
        <v>375.77700096420205</v>
      </c>
      <c r="G53" s="645">
        <f t="shared" si="48"/>
        <v>1.0000000000000002</v>
      </c>
      <c r="H53" s="145">
        <f t="shared" si="48"/>
        <v>1972.5701699814183</v>
      </c>
      <c r="I53" s="145">
        <f t="shared" si="48"/>
        <v>26299.720269847458</v>
      </c>
      <c r="J53" s="649">
        <f t="shared" si="48"/>
        <v>0.99999999999999956</v>
      </c>
      <c r="K53" s="145">
        <f t="shared" si="48"/>
        <v>3624.0710842318813</v>
      </c>
      <c r="L53" s="649">
        <f t="shared" si="48"/>
        <v>1</v>
      </c>
      <c r="M53" s="145">
        <f t="shared" si="48"/>
        <v>58.434897040483463</v>
      </c>
      <c r="N53" s="649">
        <f t="shared" si="48"/>
        <v>1</v>
      </c>
      <c r="O53" s="145">
        <f t="shared" si="48"/>
        <v>491.79229269567031</v>
      </c>
      <c r="P53" s="145">
        <f t="shared" si="48"/>
        <v>4174.2982739680356</v>
      </c>
      <c r="Q53" s="649">
        <f t="shared" si="48"/>
        <v>0.99999999999999967</v>
      </c>
      <c r="R53" s="637">
        <f t="shared" si="48"/>
        <v>2918.6261608816317</v>
      </c>
      <c r="S53" s="649">
        <f t="shared" si="48"/>
        <v>1</v>
      </c>
      <c r="T53" s="637">
        <f t="shared" si="48"/>
        <v>49.049262712203202</v>
      </c>
      <c r="U53" s="649">
        <f t="shared" si="48"/>
        <v>0.99999999999999967</v>
      </c>
      <c r="V53" s="637">
        <f t="shared" si="48"/>
        <v>374.27119070121421</v>
      </c>
      <c r="W53" s="637">
        <f t="shared" si="48"/>
        <v>3341.9466142950478</v>
      </c>
      <c r="X53" s="649">
        <f t="shared" si="48"/>
        <v>1.0000000000000002</v>
      </c>
      <c r="Y53" s="637">
        <f t="shared" si="48"/>
        <v>3374.8516677517177</v>
      </c>
      <c r="Z53" s="649">
        <f t="shared" si="48"/>
        <v>1</v>
      </c>
      <c r="AA53" s="637">
        <f t="shared" si="48"/>
        <v>55.184366019124859</v>
      </c>
      <c r="AB53" s="649">
        <f t="shared" si="48"/>
        <v>1</v>
      </c>
      <c r="AC53" s="637">
        <f t="shared" si="48"/>
        <v>479.15656949757624</v>
      </c>
      <c r="AD53" s="637">
        <f t="shared" si="48"/>
        <v>3909.1926032684196</v>
      </c>
      <c r="AE53" s="649">
        <f t="shared" si="48"/>
        <v>0.99999999999999989</v>
      </c>
    </row>
    <row r="54" spans="2:31" ht="14.4" x14ac:dyDescent="0.25">
      <c r="C54" s="653"/>
      <c r="D54" s="631"/>
      <c r="F54" s="631"/>
      <c r="H54" s="631"/>
      <c r="I54" s="631"/>
      <c r="K54" s="654"/>
      <c r="M54" s="631"/>
      <c r="O54" s="631"/>
      <c r="P54" s="631"/>
      <c r="R54" s="631"/>
      <c r="T54" s="631"/>
      <c r="V54" s="631"/>
      <c r="W54" s="631"/>
      <c r="Y54" s="631"/>
      <c r="AA54" s="631"/>
      <c r="AC54" s="631"/>
      <c r="AD54" s="631"/>
    </row>
    <row r="55" spans="2:31" x14ac:dyDescent="0.25">
      <c r="K55" s="654"/>
      <c r="M55" s="655"/>
      <c r="O55" s="631"/>
    </row>
  </sheetData>
  <mergeCells count="19">
    <mergeCell ref="W7:X7"/>
    <mergeCell ref="Z7:AA7"/>
    <mergeCell ref="AB7:AC7"/>
    <mergeCell ref="I7:J7"/>
    <mergeCell ref="L7:M7"/>
    <mergeCell ref="N7:O7"/>
    <mergeCell ref="B20:C20"/>
    <mergeCell ref="B53:C53"/>
    <mergeCell ref="B9:C9"/>
    <mergeCell ref="B5:C8"/>
    <mergeCell ref="D5:AE5"/>
    <mergeCell ref="D6:J6"/>
    <mergeCell ref="K6:AE6"/>
    <mergeCell ref="E7:F7"/>
    <mergeCell ref="G7:H7"/>
    <mergeCell ref="P7:Q7"/>
    <mergeCell ref="S7:T7"/>
    <mergeCell ref="AD7:AE7"/>
    <mergeCell ref="U7:V7"/>
  </mergeCells>
  <pageMargins left="0.45" right="0.4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  <pageSetUpPr fitToPage="1"/>
  </sheetPr>
  <dimension ref="B2:Q86"/>
  <sheetViews>
    <sheetView showGridLines="0" topLeftCell="C45" zoomScale="80" zoomScaleNormal="80" zoomScaleSheetLayoutView="70" workbookViewId="0">
      <selection activeCell="K17" sqref="K17"/>
    </sheetView>
  </sheetViews>
  <sheetFormatPr defaultColWidth="9.109375" defaultRowHeight="13.8" x14ac:dyDescent="0.25"/>
  <cols>
    <col min="1" max="1" width="3.109375" style="4" customWidth="1"/>
    <col min="2" max="2" width="8.33203125" style="4" customWidth="1"/>
    <col min="3" max="3" width="21.6640625" style="4" bestFit="1" customWidth="1"/>
    <col min="4" max="4" width="44.5546875" style="4" customWidth="1"/>
    <col min="5" max="5" width="13.6640625" style="4" customWidth="1"/>
    <col min="6" max="6" width="12.5546875" style="4" customWidth="1"/>
    <col min="7" max="8" width="13.44140625" style="4" customWidth="1"/>
    <col min="9" max="9" width="12.5546875" style="4" customWidth="1"/>
    <col min="10" max="10" width="13.44140625" style="4" customWidth="1"/>
    <col min="11" max="11" width="11.88671875" style="4" bestFit="1" customWidth="1"/>
    <col min="12" max="12" width="11.44140625" style="4" hidden="1" customWidth="1"/>
    <col min="13" max="13" width="12.44140625" style="4" hidden="1" customWidth="1"/>
    <col min="14" max="14" width="12.6640625" style="4" hidden="1" customWidth="1"/>
    <col min="15" max="16384" width="9.109375" style="4"/>
  </cols>
  <sheetData>
    <row r="2" spans="2:14" x14ac:dyDescent="0.25">
      <c r="F2" s="23" t="s">
        <v>160</v>
      </c>
    </row>
    <row r="3" spans="2:14" x14ac:dyDescent="0.25">
      <c r="F3" s="25" t="s">
        <v>221</v>
      </c>
    </row>
    <row r="4" spans="2:14" x14ac:dyDescent="0.25">
      <c r="B4" s="14"/>
      <c r="C4" s="14"/>
      <c r="D4" s="57"/>
      <c r="E4" s="57"/>
      <c r="F4" s="57"/>
      <c r="G4" s="57"/>
      <c r="H4" s="57"/>
    </row>
    <row r="5" spans="2:14" ht="15" customHeight="1" x14ac:dyDescent="0.25">
      <c r="B5" s="60"/>
      <c r="C5" s="743" t="s">
        <v>163</v>
      </c>
      <c r="D5" s="744"/>
      <c r="E5" s="750" t="s">
        <v>222</v>
      </c>
      <c r="F5" s="750" t="s">
        <v>223</v>
      </c>
      <c r="G5" s="750" t="s">
        <v>224</v>
      </c>
      <c r="H5" s="750" t="s">
        <v>7</v>
      </c>
      <c r="I5" s="731" t="s">
        <v>225</v>
      </c>
      <c r="J5" s="739" t="s">
        <v>9</v>
      </c>
      <c r="K5" s="741"/>
      <c r="L5" s="741"/>
      <c r="M5" s="741"/>
      <c r="N5" s="740"/>
    </row>
    <row r="6" spans="2:14" ht="27.6" x14ac:dyDescent="0.25">
      <c r="B6" s="60"/>
      <c r="C6" s="745"/>
      <c r="D6" s="746"/>
      <c r="E6" s="749"/>
      <c r="F6" s="749"/>
      <c r="G6" s="749"/>
      <c r="H6" s="749"/>
      <c r="I6" s="742"/>
      <c r="J6" s="518" t="s">
        <v>135</v>
      </c>
      <c r="K6" s="518" t="s">
        <v>136</v>
      </c>
      <c r="L6" s="518" t="s">
        <v>137</v>
      </c>
      <c r="M6" s="518" t="s">
        <v>138</v>
      </c>
      <c r="N6" s="518" t="s">
        <v>139</v>
      </c>
    </row>
    <row r="7" spans="2:14" x14ac:dyDescent="0.25">
      <c r="B7" s="60"/>
      <c r="C7" s="747"/>
      <c r="D7" s="748"/>
      <c r="E7" s="518" t="s">
        <v>22</v>
      </c>
      <c r="F7" s="518" t="s">
        <v>22</v>
      </c>
      <c r="G7" s="518" t="s">
        <v>22</v>
      </c>
      <c r="H7" s="518" t="s">
        <v>22</v>
      </c>
      <c r="I7" s="518" t="s">
        <v>25</v>
      </c>
      <c r="J7" s="518" t="s">
        <v>26</v>
      </c>
      <c r="K7" s="518" t="s">
        <v>26</v>
      </c>
      <c r="L7" s="518" t="s">
        <v>26</v>
      </c>
      <c r="M7" s="518" t="s">
        <v>26</v>
      </c>
      <c r="N7" s="518" t="s">
        <v>26</v>
      </c>
    </row>
    <row r="8" spans="2:14" x14ac:dyDescent="0.25">
      <c r="B8" s="60"/>
      <c r="C8" s="739" t="s">
        <v>171</v>
      </c>
      <c r="D8" s="740"/>
      <c r="E8" s="555"/>
      <c r="F8" s="555"/>
      <c r="G8" s="555"/>
      <c r="H8" s="555"/>
      <c r="I8" s="556"/>
      <c r="J8" s="556"/>
      <c r="K8" s="556"/>
      <c r="L8" s="556"/>
      <c r="M8" s="556"/>
      <c r="N8" s="556"/>
    </row>
    <row r="9" spans="2:14" x14ac:dyDescent="0.25">
      <c r="B9" s="60"/>
      <c r="C9" s="556" t="s">
        <v>172</v>
      </c>
      <c r="D9" s="556" t="s">
        <v>173</v>
      </c>
      <c r="E9" s="550">
        <v>2632.7248032452489</v>
      </c>
      <c r="F9" s="550">
        <v>2824.8702177683349</v>
      </c>
      <c r="G9" s="550">
        <v>4132.5960439386763</v>
      </c>
      <c r="H9" s="550">
        <v>4339.067734246818</v>
      </c>
      <c r="I9" s="550">
        <f>'[8]Rev_NP-12me'!$I$10</f>
        <v>4563.9986213445618</v>
      </c>
      <c r="J9" s="557">
        <f>'[9]Rev_NP-12me'!$I$10</f>
        <v>4676.0056213445614</v>
      </c>
      <c r="K9" s="557">
        <f>'[9]Rev_NP-12me'!$AK$10</f>
        <v>4788.0126213445601</v>
      </c>
      <c r="L9" s="550">
        <f>'[10]Rev_NP-12me'!$AK$10</f>
        <v>4783</v>
      </c>
      <c r="M9" s="550">
        <f>'[11]Rev_NP-12me'!$AK$10</f>
        <v>4902</v>
      </c>
      <c r="N9" s="550">
        <f>'[12]Rev_NP-12me'!$AK$10</f>
        <v>5022</v>
      </c>
    </row>
    <row r="10" spans="2:14" x14ac:dyDescent="0.25">
      <c r="C10" s="556" t="s">
        <v>174</v>
      </c>
      <c r="D10" s="556" t="s">
        <v>175</v>
      </c>
      <c r="E10" s="550">
        <v>717.09752946557751</v>
      </c>
      <c r="F10" s="550">
        <v>774.46260446357644</v>
      </c>
      <c r="G10" s="550">
        <v>972.13950317961633</v>
      </c>
      <c r="H10" s="550">
        <v>1058.3777230596379</v>
      </c>
      <c r="I10" s="550">
        <f>'[8]Rev_NP-12me'!$I$23</f>
        <v>1140.8178227833744</v>
      </c>
      <c r="J10" s="557">
        <f>'[9]Rev_NP-12me'!$I$23</f>
        <v>1191.5298227833741</v>
      </c>
      <c r="K10" s="557">
        <f>'[9]Rev_NP-12me'!$AK$23</f>
        <v>1242.2418227833746</v>
      </c>
      <c r="L10" s="550">
        <f>'[10]Rev_NP-12me'!$AK$23</f>
        <v>1254</v>
      </c>
      <c r="M10" s="550">
        <f>'[11]Rev_NP-12me'!$AK$23</f>
        <v>1309</v>
      </c>
      <c r="N10" s="550">
        <f>'[12]Rev_NP-12me'!$AK$23</f>
        <v>1366</v>
      </c>
    </row>
    <row r="11" spans="2:14" x14ac:dyDescent="0.25">
      <c r="C11" s="556" t="s">
        <v>176</v>
      </c>
      <c r="D11" s="556" t="s">
        <v>177</v>
      </c>
      <c r="E11" s="550">
        <v>343.51266854072929</v>
      </c>
      <c r="F11" s="550">
        <v>356.02911523190397</v>
      </c>
      <c r="G11" s="550">
        <v>378.82118496200007</v>
      </c>
      <c r="H11" s="550">
        <v>387.79357743166645</v>
      </c>
      <c r="I11" s="550">
        <f>'[8]Rev_NP-12me'!$I$36</f>
        <v>404.52731610233889</v>
      </c>
      <c r="J11" s="557">
        <f>'[9]Rev_NP-12me'!$I$36</f>
        <v>407.4253161023388</v>
      </c>
      <c r="K11" s="557">
        <f>'[9]Rev_NP-12me'!$AK$36</f>
        <v>410.32331610233894</v>
      </c>
      <c r="L11" s="550">
        <f>'[10]Rev_NP-12me'!$AK$36</f>
        <v>434</v>
      </c>
      <c r="M11" s="550">
        <f>'[11]Rev_NP-12me'!$AK$36</f>
        <v>447</v>
      </c>
      <c r="N11" s="550">
        <f>'[12]Rev_NP-12me'!$AK$36</f>
        <v>459</v>
      </c>
    </row>
    <row r="12" spans="2:14" x14ac:dyDescent="0.25">
      <c r="C12" s="556" t="s">
        <v>178</v>
      </c>
      <c r="D12" s="556" t="s">
        <v>179</v>
      </c>
      <c r="E12" s="550">
        <v>13.65693039046783</v>
      </c>
      <c r="F12" s="550">
        <v>14.471459686303378</v>
      </c>
      <c r="G12" s="550">
        <v>15.513775103916709</v>
      </c>
      <c r="H12" s="550">
        <v>18.784475375366625</v>
      </c>
      <c r="I12" s="550">
        <f>'[8]Rev_NP-12me'!$I$43</f>
        <v>17.526725208681214</v>
      </c>
      <c r="J12" s="557">
        <f>'[9]Rev_NP-12me'!$I$43</f>
        <v>18.303725208681215</v>
      </c>
      <c r="K12" s="557">
        <f>'[9]Rev_NP-12me'!$AK$43</f>
        <v>19.080725208681216</v>
      </c>
      <c r="L12" s="550">
        <f>'[10]Rev_NP-12me'!$AK$43</f>
        <v>28</v>
      </c>
      <c r="M12" s="550">
        <f>'[11]Rev_NP-12me'!$AK$43</f>
        <v>31</v>
      </c>
      <c r="N12" s="550">
        <f>'[12]Rev_NP-12me'!$AK$43</f>
        <v>34</v>
      </c>
    </row>
    <row r="13" spans="2:14" x14ac:dyDescent="0.25">
      <c r="C13" s="556" t="s">
        <v>180</v>
      </c>
      <c r="D13" s="556" t="s">
        <v>181</v>
      </c>
      <c r="E13" s="550">
        <v>4406.8271464616137</v>
      </c>
      <c r="F13" s="550">
        <v>4548.6828938701265</v>
      </c>
      <c r="G13" s="550">
        <v>4731.261917870127</v>
      </c>
      <c r="H13" s="550">
        <v>4865.9445568945384</v>
      </c>
      <c r="I13" s="550">
        <f>'[8]Rev_NP-12me'!$J$46*0.746/10^3</f>
        <v>4992.6142954263241</v>
      </c>
      <c r="J13" s="557">
        <f>'[9]Rev_NP-12me'!$J$46*0.746/10^3</f>
        <v>5162.2621554263242</v>
      </c>
      <c r="K13" s="557">
        <f>'[9]Rev_NP-12me'!$AN$46*0.746/10^3</f>
        <v>5331.9100154263233</v>
      </c>
      <c r="L13" s="550">
        <f>'[10]Rev_NP-12me'!$AN$46*0.746/10^3</f>
        <v>6341.9508124374079</v>
      </c>
      <c r="M13" s="550">
        <f>'[11]Rev_NP-12me'!$AN$46*0.746/10^3</f>
        <v>6507.9495249673046</v>
      </c>
      <c r="N13" s="550">
        <f>'[12]Rev_NP-12me'!$AN$46*0.746/10^3</f>
        <v>6677.9482064738268</v>
      </c>
    </row>
    <row r="14" spans="2:14" x14ac:dyDescent="0.25">
      <c r="C14" s="556" t="s">
        <v>182</v>
      </c>
      <c r="D14" s="556" t="s">
        <v>183</v>
      </c>
      <c r="E14" s="550">
        <v>172.85928565468083</v>
      </c>
      <c r="F14" s="550">
        <v>171.59843961502679</v>
      </c>
      <c r="G14" s="550">
        <v>177.69339121864357</v>
      </c>
      <c r="H14" s="550">
        <v>181.80342425190474</v>
      </c>
      <c r="I14" s="550">
        <f>'[8]Rev_NP-12me'!$I$54+'[8]Rev_NP-12me'!$J$65*0.746/10^3</f>
        <v>189.58978229818882</v>
      </c>
      <c r="J14" s="557">
        <f>'[9]Rev_NP-12me'!$I$54+('[9]Rev_NP-12me'!$J$65*0.746/10^3)</f>
        <v>191.66578229818882</v>
      </c>
      <c r="K14" s="557">
        <f>'[9]Rev_NP-12me'!$AK$54+('[9]Rev_NP-12me'!$AN$65*0.746/10^3)</f>
        <v>193.74178229818884</v>
      </c>
      <c r="L14" s="550">
        <f>'[10]Rev_NP-12me'!$AK$54+'[10]Rev_NP-12me'!$AN$65*0.746/10^3</f>
        <v>120.34911290171661</v>
      </c>
      <c r="M14" s="550">
        <f>'[11]Rev_NP-12me'!$AK$54+'[11]Rev_NP-12me'!$AN$65*0.746/10^3</f>
        <v>131.38111491770727</v>
      </c>
      <c r="N14" s="550">
        <f>'[12]Rev_NP-12me'!$AK$54+'[12]Rev_NP-12me'!$AN$65*0.746/10^3</f>
        <v>143.41602620787893</v>
      </c>
    </row>
    <row r="15" spans="2:14" x14ac:dyDescent="0.25">
      <c r="C15" s="556" t="s">
        <v>184</v>
      </c>
      <c r="D15" s="556" t="s">
        <v>185</v>
      </c>
      <c r="E15" s="550">
        <v>41.794068111383389</v>
      </c>
      <c r="F15" s="550">
        <v>44.096360359785066</v>
      </c>
      <c r="G15" s="550">
        <v>52.654678660204624</v>
      </c>
      <c r="H15" s="550">
        <v>55.958346309652683</v>
      </c>
      <c r="I15" s="550">
        <f>'[8]Rev_NP-12me'!$I$58</f>
        <v>58.612073034183993</v>
      </c>
      <c r="J15" s="557">
        <f>'[9]Rev_NP-12me'!$I$58</f>
        <v>59.872073034183991</v>
      </c>
      <c r="K15" s="557">
        <f>'[9]Rev_NP-12me'!$AK$58</f>
        <v>61.132073034183989</v>
      </c>
      <c r="L15" s="550">
        <f>'[10]Rev_NP-12me'!$AK$58</f>
        <v>73</v>
      </c>
      <c r="M15" s="550">
        <f>'[11]Rev_NP-12me'!$AK$58</f>
        <v>78</v>
      </c>
      <c r="N15" s="550">
        <f>'[12]Rev_NP-12me'!$AK$58</f>
        <v>83</v>
      </c>
    </row>
    <row r="16" spans="2:14" x14ac:dyDescent="0.25">
      <c r="C16" s="556" t="s">
        <v>186</v>
      </c>
      <c r="D16" s="556" t="s">
        <v>187</v>
      </c>
      <c r="E16" s="550">
        <v>1.332357</v>
      </c>
      <c r="F16" s="550">
        <v>2.9937600000000004</v>
      </c>
      <c r="G16" s="550">
        <v>6.5412234462962964</v>
      </c>
      <c r="H16" s="550">
        <v>12.218793004416405</v>
      </c>
      <c r="I16" s="550">
        <f>'[8]Rev_NP-12me'!$I$63</f>
        <v>12.203504367607362</v>
      </c>
      <c r="J16" s="557">
        <f>'[9]Rev_NP-12me'!$I$63</f>
        <v>13.027504367607362</v>
      </c>
      <c r="K16" s="557">
        <f>'[9]Rev_NP-12me'!$AK$63</f>
        <v>13.851504367607362</v>
      </c>
      <c r="L16" s="550">
        <f>'[10]Rev_NP-12me'!$AK$63</f>
        <v>15</v>
      </c>
      <c r="M16" s="550">
        <f>'[11]Rev_NP-12me'!$AK$63</f>
        <v>16</v>
      </c>
      <c r="N16" s="550">
        <f>'[12]Rev_NP-12me'!$AK$63</f>
        <v>16</v>
      </c>
    </row>
    <row r="17" spans="3:17" x14ac:dyDescent="0.25">
      <c r="C17" s="556" t="s">
        <v>188</v>
      </c>
      <c r="D17" s="556" t="s">
        <v>189</v>
      </c>
      <c r="E17" s="550"/>
      <c r="F17" s="550"/>
      <c r="G17" s="550"/>
      <c r="H17" s="550"/>
      <c r="I17" s="550">
        <f>'[8]Rev_NP-12me'!$I$64</f>
        <v>0.97999999999999987</v>
      </c>
      <c r="J17" s="557">
        <f>'[9]Rev_NP-12me'!$I$64</f>
        <v>1.43</v>
      </c>
      <c r="K17" s="557">
        <f>'[9]Rev_NP-12me'!$AK$64</f>
        <v>1.88</v>
      </c>
      <c r="L17" s="550">
        <f>'[10]Rev_NP-12me'!$AK$64</f>
        <v>9.9349031249999999</v>
      </c>
      <c r="M17" s="550">
        <f>'[11]Rev_NP-12me'!$AK$64</f>
        <v>10.431648281250002</v>
      </c>
      <c r="N17" s="550">
        <f>'[12]Rev_NP-12me'!$AK$64</f>
        <v>10.9532306953125</v>
      </c>
    </row>
    <row r="18" spans="3:17" hidden="1" x14ac:dyDescent="0.25">
      <c r="C18" s="556"/>
      <c r="D18" s="556"/>
      <c r="E18" s="550"/>
      <c r="F18" s="550"/>
      <c r="G18" s="550"/>
      <c r="H18" s="550"/>
      <c r="I18" s="550"/>
      <c r="J18" s="550"/>
      <c r="K18" s="553"/>
      <c r="L18" s="553"/>
      <c r="M18" s="553"/>
      <c r="N18" s="553"/>
    </row>
    <row r="19" spans="3:17" hidden="1" x14ac:dyDescent="0.25">
      <c r="C19" s="556"/>
      <c r="D19" s="556"/>
      <c r="E19" s="550"/>
      <c r="F19" s="550"/>
      <c r="G19" s="550"/>
      <c r="H19" s="550"/>
      <c r="I19" s="550"/>
      <c r="J19" s="550"/>
      <c r="K19" s="553"/>
      <c r="L19" s="553"/>
      <c r="M19" s="553"/>
      <c r="N19" s="553"/>
    </row>
    <row r="20" spans="3:17" hidden="1" x14ac:dyDescent="0.25">
      <c r="C20" s="556"/>
      <c r="D20" s="556"/>
      <c r="E20" s="550"/>
      <c r="F20" s="550"/>
      <c r="G20" s="550"/>
      <c r="H20" s="550"/>
      <c r="I20" s="550"/>
      <c r="J20" s="550"/>
      <c r="K20" s="553"/>
      <c r="L20" s="553"/>
      <c r="M20" s="553"/>
      <c r="N20" s="553"/>
    </row>
    <row r="21" spans="3:17" hidden="1" x14ac:dyDescent="0.25">
      <c r="C21" s="556" t="s">
        <v>226</v>
      </c>
      <c r="D21" s="556" t="s">
        <v>226</v>
      </c>
      <c r="E21" s="550"/>
      <c r="F21" s="550"/>
      <c r="G21" s="550"/>
      <c r="H21" s="550"/>
      <c r="I21" s="550"/>
      <c r="J21" s="550"/>
      <c r="K21" s="553"/>
      <c r="L21" s="553"/>
      <c r="M21" s="553"/>
      <c r="N21" s="553"/>
    </row>
    <row r="22" spans="3:17" x14ac:dyDescent="0.25">
      <c r="C22" s="739" t="s">
        <v>190</v>
      </c>
      <c r="D22" s="740"/>
      <c r="E22" s="552">
        <f t="shared" ref="E22:N22" si="0">SUM(E9:E21)</f>
        <v>8329.8047888697001</v>
      </c>
      <c r="F22" s="552">
        <f t="shared" si="0"/>
        <v>8737.2048509950564</v>
      </c>
      <c r="G22" s="552">
        <f t="shared" si="0"/>
        <v>10467.221718379482</v>
      </c>
      <c r="H22" s="552">
        <f t="shared" si="0"/>
        <v>10919.948630574001</v>
      </c>
      <c r="I22" s="558">
        <f t="shared" si="0"/>
        <v>11380.870140565263</v>
      </c>
      <c r="J22" s="552">
        <f t="shared" si="0"/>
        <v>11721.522000565261</v>
      </c>
      <c r="K22" s="552">
        <f t="shared" si="0"/>
        <v>12062.173860565259</v>
      </c>
      <c r="L22" s="552">
        <f t="shared" si="0"/>
        <v>13059.234828464125</v>
      </c>
      <c r="M22" s="552">
        <f t="shared" si="0"/>
        <v>13432.762288166263</v>
      </c>
      <c r="N22" s="552">
        <f t="shared" si="0"/>
        <v>13812.317463377018</v>
      </c>
    </row>
    <row r="23" spans="3:17" x14ac:dyDescent="0.25">
      <c r="C23" s="739" t="s">
        <v>191</v>
      </c>
      <c r="D23" s="740"/>
      <c r="E23" s="552"/>
      <c r="F23" s="552"/>
      <c r="G23" s="552"/>
      <c r="H23" s="552"/>
      <c r="I23" s="550"/>
      <c r="J23" s="550"/>
      <c r="K23" s="550"/>
      <c r="L23" s="550"/>
      <c r="M23" s="550"/>
      <c r="N23" s="550"/>
    </row>
    <row r="24" spans="3:17" x14ac:dyDescent="0.25">
      <c r="C24" s="556" t="s">
        <v>192</v>
      </c>
      <c r="D24" s="556" t="s">
        <v>193</v>
      </c>
      <c r="E24" s="550">
        <v>377.815</v>
      </c>
      <c r="F24" s="550">
        <v>417.12049999999999</v>
      </c>
      <c r="G24" s="550">
        <v>465.58550000000002</v>
      </c>
      <c r="H24" s="554">
        <v>497.93725000000001</v>
      </c>
      <c r="I24" s="550">
        <f>'[8]Rev_NP-12me'!$I$84</f>
        <v>526.0479499999999</v>
      </c>
      <c r="J24" s="557">
        <f>'[9]Rev_NP-12me'!$I$84</f>
        <v>537.59794999999997</v>
      </c>
      <c r="K24" s="557">
        <f>'[9]Rev_NP-12me'!$AK$84</f>
        <v>548.7979499999999</v>
      </c>
      <c r="L24" s="550">
        <f>'[10]Rev_NP-12me'!$AK$84</f>
        <v>688.27496652226887</v>
      </c>
      <c r="M24" s="550">
        <f>'[11]Rev_NP-12me'!$AK$84</f>
        <v>739.03270741624146</v>
      </c>
      <c r="N24" s="550">
        <f>'[12]Rev_NP-12me'!$AK$84</f>
        <v>794.52783746031832</v>
      </c>
    </row>
    <row r="25" spans="3:17" x14ac:dyDescent="0.25">
      <c r="C25" s="556" t="s">
        <v>194</v>
      </c>
      <c r="D25" s="556" t="s">
        <v>195</v>
      </c>
      <c r="E25" s="550">
        <v>0</v>
      </c>
      <c r="F25" s="550">
        <v>0</v>
      </c>
      <c r="G25" s="550">
        <v>0</v>
      </c>
      <c r="H25" s="550">
        <v>0</v>
      </c>
      <c r="I25" s="550">
        <f>'[8]Rev_NP-12me'!$I$99</f>
        <v>0</v>
      </c>
      <c r="J25" s="557">
        <f>'[9]Rev_NP-12me'!$I$99</f>
        <v>0</v>
      </c>
      <c r="K25" s="557">
        <f>'[9]Rev_NP-12me'!$AK$99</f>
        <v>0</v>
      </c>
      <c r="L25" s="550">
        <f>'[10]Rev_NP-12me'!$AK$99</f>
        <v>0</v>
      </c>
      <c r="M25" s="550">
        <f>'[11]Rev_NP-12me'!$AK$99</f>
        <v>0</v>
      </c>
      <c r="N25" s="550">
        <f>'[12]Rev_NP-12me'!$AK$99</f>
        <v>0</v>
      </c>
    </row>
    <row r="26" spans="3:17" x14ac:dyDescent="0.25">
      <c r="C26" s="556" t="s">
        <v>196</v>
      </c>
      <c r="D26" s="556" t="s">
        <v>197</v>
      </c>
      <c r="E26" s="550">
        <v>74.468000000000004</v>
      </c>
      <c r="F26" s="550">
        <v>79.938600000000008</v>
      </c>
      <c r="G26" s="550">
        <v>91.306600000000003</v>
      </c>
      <c r="H26" s="550">
        <v>106.36360000000001</v>
      </c>
      <c r="I26" s="550">
        <f>'[8]Rev_NP-12me'!$I$100</f>
        <v>126.12403</v>
      </c>
      <c r="J26" s="557">
        <f>'[9]Rev_NP-12me'!$I$100</f>
        <v>135.57402999999999</v>
      </c>
      <c r="K26" s="557">
        <f>'[9]Rev_NP-12me'!$AK$100</f>
        <v>145.02402999999998</v>
      </c>
      <c r="L26" s="550">
        <f>'[10]Rev_NP-12me'!$AK$100</f>
        <v>139.40857210837524</v>
      </c>
      <c r="M26" s="550">
        <f>'[11]Rev_NP-12me'!$AK$100</f>
        <v>148.42912677421128</v>
      </c>
      <c r="N26" s="550">
        <f>'[12]Rev_NP-12me'!$AK$100</f>
        <v>158.26973186421424</v>
      </c>
    </row>
    <row r="27" spans="3:17" x14ac:dyDescent="0.25">
      <c r="C27" s="556" t="s">
        <v>198</v>
      </c>
      <c r="D27" s="556" t="s">
        <v>199</v>
      </c>
      <c r="E27" s="550"/>
      <c r="F27" s="550">
        <v>0</v>
      </c>
      <c r="G27" s="550">
        <v>0.152</v>
      </c>
      <c r="H27" s="550">
        <v>0.152</v>
      </c>
      <c r="I27" s="550">
        <f>'[8]Rev_NP-12me'!$I$105</f>
        <v>0.23200000000000001</v>
      </c>
      <c r="J27" s="557">
        <f>'[9]Rev_NP-12me'!$I$105</f>
        <v>0.23200000000000001</v>
      </c>
      <c r="K27" s="557">
        <f>'[9]Rev_NP-12me'!$AK$105</f>
        <v>0.23200000000000001</v>
      </c>
      <c r="L27" s="550">
        <f>'[10]Rev_NP-12me'!$AK$105</f>
        <v>0.23200000000000001</v>
      </c>
      <c r="M27" s="550">
        <f>'[11]Rev_NP-12me'!$AK$105</f>
        <v>0.27994666666666668</v>
      </c>
      <c r="N27" s="550">
        <f>'[12]Rev_NP-12me'!$AK$105</f>
        <v>0.23200000000000001</v>
      </c>
    </row>
    <row r="28" spans="3:17" x14ac:dyDescent="0.25">
      <c r="C28" s="556" t="s">
        <v>200</v>
      </c>
      <c r="D28" s="556" t="s">
        <v>201</v>
      </c>
      <c r="E28" s="550">
        <v>2.5249999999999999</v>
      </c>
      <c r="F28" s="550">
        <v>2.4849999999999999</v>
      </c>
      <c r="G28" s="550">
        <v>2.6549999999999998</v>
      </c>
      <c r="H28" s="550">
        <v>2.823</v>
      </c>
      <c r="I28" s="550">
        <f>'[8]Rev_NP-12me'!$I$110</f>
        <v>2.7829999999999999</v>
      </c>
      <c r="J28" s="557">
        <f>'[9]Rev_NP-12me'!$I$110</f>
        <v>2.7829999999999999</v>
      </c>
      <c r="K28" s="557">
        <f>'[9]Rev_NP-12me'!$AK$110</f>
        <v>2.7829999999999999</v>
      </c>
      <c r="L28" s="550">
        <f>'[10]Rev_NP-12me'!$AK$110</f>
        <v>2.9333256618399619</v>
      </c>
      <c r="M28" s="550">
        <f>'[11]Rev_NP-12me'!$AK$110</f>
        <v>2.9333256618399619</v>
      </c>
      <c r="N28" s="550">
        <f>'[12]Rev_NP-12me'!$AK$110</f>
        <v>2.9333256618399619</v>
      </c>
    </row>
    <row r="29" spans="3:17" x14ac:dyDescent="0.25">
      <c r="C29" s="556" t="s">
        <v>202</v>
      </c>
      <c r="D29" s="556" t="s">
        <v>203</v>
      </c>
      <c r="E29" s="550">
        <v>66.484999999999999</v>
      </c>
      <c r="F29" s="550">
        <v>67.215100000000007</v>
      </c>
      <c r="G29" s="550">
        <v>67.30510000000001</v>
      </c>
      <c r="H29" s="550">
        <v>66.4071</v>
      </c>
      <c r="I29" s="550">
        <f>'[8]Rev_NP-12me'!$I$115</f>
        <v>66.396100000000004</v>
      </c>
      <c r="J29" s="557">
        <f>'[9]Rev_NP-12me'!$I$115</f>
        <v>66.646100000000004</v>
      </c>
      <c r="K29" s="557">
        <f>'[9]Rev_NP-12me'!$AK$115</f>
        <v>66.646100000000004</v>
      </c>
      <c r="L29" s="550">
        <f>'[10]Rev_NP-12me'!$AK$115</f>
        <v>80.856568202947599</v>
      </c>
      <c r="M29" s="550">
        <f>'[11]Rev_NP-12me'!$AK$115</f>
        <v>84.869486661848512</v>
      </c>
      <c r="N29" s="550">
        <f>'[12]Rev_NP-12me'!$AK$115</f>
        <v>89.081804795725873</v>
      </c>
      <c r="P29" s="166"/>
    </row>
    <row r="30" spans="3:17" x14ac:dyDescent="0.25">
      <c r="C30" s="556" t="s">
        <v>204</v>
      </c>
      <c r="D30" s="556" t="s">
        <v>205</v>
      </c>
      <c r="E30" s="550">
        <v>41.935000000000002</v>
      </c>
      <c r="F30" s="550">
        <v>38.677</v>
      </c>
      <c r="G30" s="550">
        <v>37.024000000000001</v>
      </c>
      <c r="H30" s="550">
        <v>36.340000000000003</v>
      </c>
      <c r="I30" s="550">
        <f>'[8]Rev_NP-12me'!$I$127</f>
        <v>34.741</v>
      </c>
      <c r="J30" s="557">
        <f>'[9]Rev_NP-12me'!$I$127</f>
        <v>34.741</v>
      </c>
      <c r="K30" s="557">
        <f>'[9]Rev_NP-12me'!$AK$127</f>
        <v>34.741</v>
      </c>
      <c r="L30" s="550">
        <f>'[10]Rev_NP-12me'!$AK$127</f>
        <v>42.307274613096283</v>
      </c>
      <c r="M30" s="550">
        <f>'[11]Rev_NP-12me'!$AK$127</f>
        <v>44.406988303820235</v>
      </c>
      <c r="N30" s="550">
        <f>'[12]Rev_NP-12me'!$AK$127</f>
        <v>46.611035594083262</v>
      </c>
    </row>
    <row r="31" spans="3:17" x14ac:dyDescent="0.25">
      <c r="C31" s="556" t="s">
        <v>206</v>
      </c>
      <c r="D31" s="556" t="s">
        <v>207</v>
      </c>
      <c r="E31" s="550">
        <v>4.88</v>
      </c>
      <c r="F31" s="550">
        <v>5.0250000000000004</v>
      </c>
      <c r="G31" s="550">
        <v>5.0250000000000004</v>
      </c>
      <c r="H31" s="550">
        <v>5.18</v>
      </c>
      <c r="I31" s="550">
        <f>'[8]Rev_NP-12me'!$I$117</f>
        <v>5.28</v>
      </c>
      <c r="J31" s="557">
        <f>'[9]Rev_NP-12me'!$I$117</f>
        <v>5.53</v>
      </c>
      <c r="K31" s="557">
        <f>'[9]Rev_NP-12me'!$AK$117</f>
        <v>5.53</v>
      </c>
      <c r="L31" s="550">
        <f>'[10]Rev_NP-12me'!$AK$117</f>
        <v>5.8012619108839258</v>
      </c>
      <c r="M31" s="550">
        <f>'[11]Rev_NP-12me'!$AK$117</f>
        <v>5.9067394001727243</v>
      </c>
      <c r="N31" s="550">
        <f>'[12]Rev_NP-12me'!$AK$117</f>
        <v>6.117694378750322</v>
      </c>
    </row>
    <row r="32" spans="3:17" x14ac:dyDescent="0.25">
      <c r="C32" s="556" t="s">
        <v>208</v>
      </c>
      <c r="D32" s="556" t="s">
        <v>187</v>
      </c>
      <c r="E32" s="550">
        <v>13.183999999999999</v>
      </c>
      <c r="F32" s="550">
        <v>14.695</v>
      </c>
      <c r="G32" s="550">
        <v>14.593999999999999</v>
      </c>
      <c r="H32" s="550">
        <v>13.208</v>
      </c>
      <c r="I32" s="550">
        <f>'[8]Rev_NP-12me'!$I$120</f>
        <v>11.557</v>
      </c>
      <c r="J32" s="557">
        <f>'[9]Rev_NP-12me'!$I$120</f>
        <v>9.6270000000000007</v>
      </c>
      <c r="K32" s="557">
        <f>'[9]Rev_NP-12me'!$AK$120</f>
        <v>9.6270000000000007</v>
      </c>
      <c r="L32" s="550">
        <f>'[10]Rev_NP-12me'!$AK$120</f>
        <v>14.2773895</v>
      </c>
      <c r="M32" s="550">
        <f>'[11]Rev_NP-12me'!$AK$120</f>
        <v>14.92636175</v>
      </c>
      <c r="N32" s="550">
        <f>'[12]Rev_NP-12me'!$AK$120</f>
        <v>15.575334</v>
      </c>
      <c r="Q32" s="166"/>
    </row>
    <row r="33" spans="3:14" x14ac:dyDescent="0.25">
      <c r="C33" s="556" t="s">
        <v>209</v>
      </c>
      <c r="D33" s="556" t="s">
        <v>210</v>
      </c>
      <c r="E33" s="550">
        <v>201.405</v>
      </c>
      <c r="F33" s="550">
        <v>211.40524000000022</v>
      </c>
      <c r="G33" s="550">
        <v>232.70524</v>
      </c>
      <c r="H33" s="550">
        <v>517.6</v>
      </c>
      <c r="I33" s="550">
        <f>'[8]Rev_NP-12me'!$I$121</f>
        <v>522.6</v>
      </c>
      <c r="J33" s="557">
        <f>'[9]Rev_NP-12me'!$I$121</f>
        <v>527.6</v>
      </c>
      <c r="K33" s="557">
        <f>'[9]Rev_NP-12me'!$AK$121</f>
        <v>532.6</v>
      </c>
      <c r="L33" s="550">
        <f>'[10]Rev_NP-12me'!$AK$121</f>
        <v>629</v>
      </c>
      <c r="M33" s="550">
        <f>'[11]Rev_NP-12me'!$AK$121</f>
        <v>661</v>
      </c>
      <c r="N33" s="550">
        <f>'[12]Rev_NP-12me'!$AK$121</f>
        <v>694</v>
      </c>
    </row>
    <row r="34" spans="3:14" x14ac:dyDescent="0.25">
      <c r="C34" s="556" t="s">
        <v>211</v>
      </c>
      <c r="D34" s="556" t="s">
        <v>189</v>
      </c>
      <c r="E34" s="550"/>
      <c r="F34" s="550">
        <v>0</v>
      </c>
      <c r="G34" s="550"/>
      <c r="H34" s="550"/>
      <c r="I34" s="550">
        <v>0</v>
      </c>
      <c r="J34" s="557">
        <f>'[9]Rev_NP-12me'!$I$122</f>
        <v>0</v>
      </c>
      <c r="K34" s="557">
        <f>'[9]Rev_NP-12me'!$AK$122</f>
        <v>0</v>
      </c>
      <c r="L34" s="550">
        <v>0</v>
      </c>
      <c r="M34" s="550">
        <v>0</v>
      </c>
      <c r="N34" s="550">
        <v>0</v>
      </c>
    </row>
    <row r="35" spans="3:14" hidden="1" x14ac:dyDescent="0.25">
      <c r="C35" s="556"/>
      <c r="D35" s="556"/>
      <c r="E35" s="550"/>
      <c r="F35" s="550"/>
      <c r="G35" s="550"/>
      <c r="H35" s="550"/>
      <c r="I35" s="550"/>
      <c r="J35" s="550"/>
      <c r="K35" s="550"/>
      <c r="L35" s="550"/>
      <c r="M35" s="550"/>
      <c r="N35" s="550"/>
    </row>
    <row r="36" spans="3:14" hidden="1" x14ac:dyDescent="0.25">
      <c r="C36" s="556"/>
      <c r="D36" s="556"/>
      <c r="E36" s="550"/>
      <c r="F36" s="550"/>
      <c r="G36" s="550"/>
      <c r="H36" s="550"/>
      <c r="I36" s="550"/>
      <c r="J36" s="550"/>
      <c r="K36" s="550"/>
      <c r="L36" s="550"/>
      <c r="M36" s="550"/>
      <c r="N36" s="550"/>
    </row>
    <row r="37" spans="3:14" hidden="1" x14ac:dyDescent="0.25">
      <c r="C37" s="556"/>
      <c r="D37" s="556"/>
      <c r="E37" s="550"/>
      <c r="F37" s="550"/>
      <c r="G37" s="550"/>
      <c r="H37" s="550"/>
      <c r="I37" s="550"/>
      <c r="J37" s="550"/>
      <c r="K37" s="550"/>
      <c r="L37" s="550"/>
      <c r="M37" s="550"/>
      <c r="N37" s="550"/>
    </row>
    <row r="38" spans="3:14" hidden="1" x14ac:dyDescent="0.25">
      <c r="C38" s="556" t="s">
        <v>226</v>
      </c>
      <c r="D38" s="556" t="s">
        <v>226</v>
      </c>
      <c r="E38" s="550"/>
      <c r="F38" s="550"/>
      <c r="G38" s="550"/>
      <c r="H38" s="550"/>
      <c r="I38" s="550"/>
      <c r="J38" s="550"/>
      <c r="K38" s="550"/>
      <c r="L38" s="550"/>
      <c r="M38" s="550"/>
      <c r="N38" s="550"/>
    </row>
    <row r="39" spans="3:14" x14ac:dyDescent="0.25">
      <c r="C39" s="739" t="s">
        <v>212</v>
      </c>
      <c r="D39" s="740"/>
      <c r="E39" s="552">
        <f t="shared" ref="E39:N39" si="1">SUM(E24:E38)</f>
        <v>782.697</v>
      </c>
      <c r="F39" s="552">
        <f t="shared" si="1"/>
        <v>836.56144000000018</v>
      </c>
      <c r="G39" s="552">
        <f t="shared" si="1"/>
        <v>916.35244000000012</v>
      </c>
      <c r="H39" s="552">
        <f t="shared" si="1"/>
        <v>1246.0109499999999</v>
      </c>
      <c r="I39" s="558">
        <f t="shared" si="1"/>
        <v>1295.7610799999998</v>
      </c>
      <c r="J39" s="552">
        <f t="shared" si="1"/>
        <v>1320.3310799999999</v>
      </c>
      <c r="K39" s="552">
        <f t="shared" si="1"/>
        <v>1345.98108</v>
      </c>
      <c r="L39" s="552">
        <f t="shared" si="1"/>
        <v>1603.0913585194119</v>
      </c>
      <c r="M39" s="552">
        <f t="shared" si="1"/>
        <v>1701.7846826348009</v>
      </c>
      <c r="N39" s="552">
        <f t="shared" si="1"/>
        <v>1807.348763754932</v>
      </c>
    </row>
    <row r="40" spans="3:14" x14ac:dyDescent="0.25">
      <c r="C40" s="739" t="s">
        <v>213</v>
      </c>
      <c r="D40" s="740"/>
      <c r="E40" s="552"/>
      <c r="F40" s="552"/>
      <c r="G40" s="552"/>
      <c r="H40" s="552"/>
      <c r="I40" s="550"/>
      <c r="J40" s="550"/>
      <c r="K40" s="550"/>
      <c r="L40" s="550"/>
      <c r="M40" s="550"/>
      <c r="N40" s="550"/>
    </row>
    <row r="41" spans="3:14" x14ac:dyDescent="0.25">
      <c r="C41" s="556" t="s">
        <v>192</v>
      </c>
      <c r="D41" s="556" t="s">
        <v>193</v>
      </c>
      <c r="E41" s="550">
        <v>72.808000000000007</v>
      </c>
      <c r="F41" s="550">
        <v>64.600999999999999</v>
      </c>
      <c r="G41" s="550">
        <v>61.746000000000002</v>
      </c>
      <c r="H41" s="550">
        <v>68.26100000000001</v>
      </c>
      <c r="I41" s="550">
        <f>'[8]Rev_NP-12me'!$I$144</f>
        <v>72.085999999999999</v>
      </c>
      <c r="J41" s="557">
        <f>'[9]Rev_NP-12me'!$I$144</f>
        <v>73.105999999999995</v>
      </c>
      <c r="K41" s="557">
        <f>'[9]Rev_NP-12me'!$AK$144</f>
        <v>73.105999999999995</v>
      </c>
      <c r="L41" s="550">
        <f>'[10]Rev_NP-12me'!$AK$144</f>
        <v>81.010478321395453</v>
      </c>
      <c r="M41" s="550">
        <f>'[11]Rev_NP-12me'!$AK$144</f>
        <v>86.984702386395128</v>
      </c>
      <c r="N41" s="550">
        <f>'[12]Rev_NP-12me'!$AK$144</f>
        <v>93.516520697461431</v>
      </c>
    </row>
    <row r="42" spans="3:14" x14ac:dyDescent="0.25">
      <c r="C42" s="556" t="s">
        <v>194</v>
      </c>
      <c r="D42" s="556" t="s">
        <v>195</v>
      </c>
      <c r="E42" s="550">
        <v>5.85</v>
      </c>
      <c r="F42" s="550">
        <v>5.85</v>
      </c>
      <c r="G42" s="550">
        <v>10.85</v>
      </c>
      <c r="H42" s="550">
        <v>0.2</v>
      </c>
      <c r="I42" s="550">
        <f>'[8]Rev_NP-12me'!$I$161</f>
        <v>0.1</v>
      </c>
      <c r="J42" s="557">
        <f>'[9]Rev_NP-12me'!$I$161</f>
        <v>5.85</v>
      </c>
      <c r="K42" s="557">
        <f>'[9]Rev_NP-12me'!$AK$161</f>
        <v>5.85</v>
      </c>
      <c r="L42" s="550">
        <f>'[10]Rev_NP-12me'!$AK$161</f>
        <v>0.2</v>
      </c>
      <c r="M42" s="550">
        <f>'[11]Rev_NP-12me'!$AK$161</f>
        <v>0.2</v>
      </c>
      <c r="N42" s="550">
        <f>'[12]Rev_NP-12me'!$AK$161</f>
        <v>0.2</v>
      </c>
    </row>
    <row r="43" spans="3:14" x14ac:dyDescent="0.25">
      <c r="C43" s="556" t="s">
        <v>196</v>
      </c>
      <c r="D43" s="556" t="s">
        <v>197</v>
      </c>
      <c r="E43" s="550">
        <v>7.7770000000000001</v>
      </c>
      <c r="F43" s="550">
        <v>8.1769999999999996</v>
      </c>
      <c r="G43" s="550">
        <v>6.75265</v>
      </c>
      <c r="H43" s="550">
        <v>8.7976499999999991</v>
      </c>
      <c r="I43" s="550">
        <f>'[8]Rev_NP-12me'!$I$162</f>
        <v>8.8226499999999994</v>
      </c>
      <c r="J43" s="557">
        <f>'[9]Rev_NP-12me'!$I$162</f>
        <v>8.8226499999999994</v>
      </c>
      <c r="K43" s="557">
        <f>'[9]Rev_NP-12me'!$AK$162</f>
        <v>8.8226499999999994</v>
      </c>
      <c r="L43" s="550">
        <f>'[10]Rev_NP-12me'!$AK$162</f>
        <v>10.604779265912923</v>
      </c>
      <c r="M43" s="550">
        <f>'[11]Rev_NP-12me'!$AK$162</f>
        <v>11.290970865471994</v>
      </c>
      <c r="N43" s="550">
        <f>'[12]Rev_NP-12me'!$AK$162</f>
        <v>12.039543519536437</v>
      </c>
    </row>
    <row r="44" spans="3:14" x14ac:dyDescent="0.25">
      <c r="C44" s="556" t="s">
        <v>198</v>
      </c>
      <c r="D44" s="556" t="s">
        <v>199</v>
      </c>
      <c r="E44" s="550"/>
      <c r="F44" s="550"/>
      <c r="G44" s="550"/>
      <c r="H44" s="550"/>
      <c r="I44" s="550">
        <f>'[8]Rev_NP-12me'!$I$168</f>
        <v>0</v>
      </c>
      <c r="J44" s="557">
        <f>'[9]Rev_NP-12me'!$I$168</f>
        <v>0</v>
      </c>
      <c r="K44" s="557">
        <f>'[9]Rev_NP-12me'!$AK$168</f>
        <v>0</v>
      </c>
      <c r="L44" s="550">
        <f>'[10]Rev_NP-12me'!$AK$168</f>
        <v>0</v>
      </c>
      <c r="M44" s="550">
        <f>'[11]Rev_NP-12me'!$AK$168</f>
        <v>0</v>
      </c>
      <c r="N44" s="550">
        <f>'[12]Rev_NP-12me'!$AK$168</f>
        <v>0</v>
      </c>
    </row>
    <row r="45" spans="3:14" x14ac:dyDescent="0.25">
      <c r="C45" s="556" t="s">
        <v>200</v>
      </c>
      <c r="D45" s="556" t="s">
        <v>201</v>
      </c>
      <c r="E45" s="550">
        <v>0</v>
      </c>
      <c r="F45" s="550">
        <v>0</v>
      </c>
      <c r="G45" s="550">
        <v>0</v>
      </c>
      <c r="H45" s="550">
        <v>0</v>
      </c>
      <c r="I45" s="550">
        <f>'[8]Rev_NP-12me'!$I$173</f>
        <v>0</v>
      </c>
      <c r="J45" s="557">
        <f>'[9]Rev_NP-12me'!$I$173</f>
        <v>0</v>
      </c>
      <c r="K45" s="557">
        <f>'[9]Rev_NP-12me'!$AK$173</f>
        <v>0</v>
      </c>
      <c r="L45" s="550">
        <f>'[10]Rev_NP-12me'!$AK$173</f>
        <v>0</v>
      </c>
      <c r="M45" s="550">
        <f>'[11]Rev_NP-12me'!$AK$173</f>
        <v>0</v>
      </c>
      <c r="N45" s="550">
        <f>'[12]Rev_NP-12me'!$AK$173</f>
        <v>0</v>
      </c>
    </row>
    <row r="46" spans="3:14" x14ac:dyDescent="0.25">
      <c r="C46" s="556" t="s">
        <v>202</v>
      </c>
      <c r="D46" s="556" t="s">
        <v>203</v>
      </c>
      <c r="E46" s="550">
        <v>63.921999999999997</v>
      </c>
      <c r="F46" s="550">
        <v>63.921999999999997</v>
      </c>
      <c r="G46" s="550">
        <v>63.921999999999997</v>
      </c>
      <c r="H46" s="550">
        <v>63.921999999999997</v>
      </c>
      <c r="I46" s="550">
        <f>'[8]Rev_NP-12me'!$I$178</f>
        <v>63.921999999999997</v>
      </c>
      <c r="J46" s="557">
        <f>'[9]Rev_NP-12me'!$I$178</f>
        <v>63.921999999999997</v>
      </c>
      <c r="K46" s="557">
        <f>'[9]Rev_NP-12me'!$AK$178</f>
        <v>63.921999999999997</v>
      </c>
      <c r="L46" s="550">
        <f>'[10]Rev_NP-12me'!$AK$178</f>
        <v>76.823694847442027</v>
      </c>
      <c r="M46" s="550">
        <f>'[11]Rev_NP-12me'!$AK$178</f>
        <v>80.63646145361902</v>
      </c>
      <c r="N46" s="550">
        <f>'[12]Rev_NP-12me'!$AK$178</f>
        <v>84.638682301096736</v>
      </c>
    </row>
    <row r="47" spans="3:14" x14ac:dyDescent="0.25">
      <c r="C47" s="556" t="s">
        <v>204</v>
      </c>
      <c r="D47" s="556" t="s">
        <v>205</v>
      </c>
      <c r="E47" s="550">
        <v>60.633000000000003</v>
      </c>
      <c r="F47" s="550">
        <v>62.28</v>
      </c>
      <c r="G47" s="550">
        <v>63.537999999999997</v>
      </c>
      <c r="H47" s="550">
        <v>63.537999999999997</v>
      </c>
      <c r="I47" s="550">
        <f>'[8]Rev_NP-12me'!$I$184</f>
        <v>64.918000000000006</v>
      </c>
      <c r="J47" s="557">
        <f>'[9]Rev_NP-12me'!$I$184</f>
        <v>64.918000000000006</v>
      </c>
      <c r="K47" s="557">
        <f>'[9]Rev_NP-12me'!$AK$184</f>
        <v>64.918000000000006</v>
      </c>
      <c r="L47" s="550">
        <f>'[10]Rev_NP-12me'!$AK$184</f>
        <v>78.02072247592757</v>
      </c>
      <c r="M47" s="550">
        <f>'[11]Rev_NP-12me'!$AK$184</f>
        <v>81.892897666625572</v>
      </c>
      <c r="N47" s="550">
        <f>'[12]Rev_NP-12me'!$AK$184</f>
        <v>85.957479077979386</v>
      </c>
    </row>
    <row r="48" spans="3:14" x14ac:dyDescent="0.25">
      <c r="C48" s="556" t="s">
        <v>206</v>
      </c>
      <c r="D48" s="556" t="s">
        <v>207</v>
      </c>
      <c r="E48" s="550">
        <v>15.57</v>
      </c>
      <c r="F48" s="550">
        <v>15.17</v>
      </c>
      <c r="G48" s="550">
        <v>16.170000000000002</v>
      </c>
      <c r="H48" s="550">
        <v>14.67</v>
      </c>
      <c r="I48" s="550">
        <f>'[8]Rev_NP-12me'!$I$182</f>
        <v>14.57</v>
      </c>
      <c r="J48" s="557">
        <f>'[9]Rev_NP-12me'!$I$182</f>
        <v>14.57</v>
      </c>
      <c r="K48" s="557">
        <f>'[9]Rev_NP-12me'!$AK$182</f>
        <v>14.57</v>
      </c>
      <c r="L48" s="550">
        <f>'[10]Rev_NP-12me'!$AK$182</f>
        <v>17.690149791475825</v>
      </c>
      <c r="M48" s="550">
        <f>'[11]Rev_NP-12me'!$AK$182</f>
        <v>18.011788878593567</v>
      </c>
      <c r="N48" s="550">
        <f>'[12]Rev_NP-12me'!$AK$182</f>
        <v>18.655067052829054</v>
      </c>
    </row>
    <row r="49" spans="3:14" x14ac:dyDescent="0.25">
      <c r="C49" s="556" t="s">
        <v>214</v>
      </c>
      <c r="D49" s="556" t="s">
        <v>187</v>
      </c>
      <c r="E49" s="550">
        <v>7.65</v>
      </c>
      <c r="F49" s="550">
        <v>8.75</v>
      </c>
      <c r="G49" s="550">
        <v>8.4700000000000006</v>
      </c>
      <c r="H49" s="550">
        <v>4.55</v>
      </c>
      <c r="I49" s="550">
        <f>'[8]Rev_NP-12me'!$I$183</f>
        <v>6.65</v>
      </c>
      <c r="J49" s="557">
        <f>'[9]Rev_NP-12me'!$I$183</f>
        <v>6.65</v>
      </c>
      <c r="K49" s="557">
        <f>'[9]Rev_NP-12me'!$AK$183</f>
        <v>6.65</v>
      </c>
      <c r="L49" s="550">
        <f>'[10]Rev_NP-12me'!$AK$183</f>
        <v>7.3150000000000013</v>
      </c>
      <c r="M49" s="550">
        <f>'[11]Rev_NP-12me'!$AK$183</f>
        <v>7.6475000000000009</v>
      </c>
      <c r="N49" s="550">
        <f>'[12]Rev_NP-12me'!$AK$183</f>
        <v>7.98</v>
      </c>
    </row>
    <row r="50" spans="3:14" x14ac:dyDescent="0.25">
      <c r="C50" s="556" t="s">
        <v>209</v>
      </c>
      <c r="D50" s="556" t="s">
        <v>210</v>
      </c>
      <c r="E50" s="550"/>
      <c r="F50" s="550"/>
      <c r="G50" s="550"/>
      <c r="H50" s="550"/>
      <c r="I50" s="550"/>
      <c r="J50" s="557">
        <v>0</v>
      </c>
      <c r="K50" s="557">
        <v>0</v>
      </c>
      <c r="L50" s="550"/>
      <c r="M50" s="550"/>
      <c r="N50" s="550"/>
    </row>
    <row r="51" spans="3:14" x14ac:dyDescent="0.25">
      <c r="C51" s="556" t="s">
        <v>211</v>
      </c>
      <c r="D51" s="556" t="s">
        <v>189</v>
      </c>
      <c r="E51" s="550"/>
      <c r="F51" s="550"/>
      <c r="G51" s="550"/>
      <c r="H51" s="550"/>
      <c r="I51" s="550">
        <f>'[8]Rev_NP-12me'!$I$191</f>
        <v>0</v>
      </c>
      <c r="J51" s="557">
        <f>'[9]Rev_NP-12me'!$I$191</f>
        <v>8.1999999999999993</v>
      </c>
      <c r="K51" s="557">
        <f>'[9]Rev_NP-12me'!$AK$191</f>
        <v>8.1999999999999993</v>
      </c>
      <c r="L51" s="550">
        <f>'[10]Rev_NP-12me'!$AK$191</f>
        <v>18</v>
      </c>
      <c r="M51" s="550">
        <f>'[11]Rev_NP-12me'!$AK$191</f>
        <v>18</v>
      </c>
      <c r="N51" s="550">
        <f>'[12]Rev_NP-12me'!$AK$191</f>
        <v>18</v>
      </c>
    </row>
    <row r="52" spans="3:14" hidden="1" x14ac:dyDescent="0.25">
      <c r="C52" s="556"/>
      <c r="D52" s="556"/>
      <c r="E52" s="550"/>
      <c r="F52" s="550"/>
      <c r="G52" s="550"/>
      <c r="H52" s="550"/>
      <c r="I52" s="550"/>
      <c r="J52" s="550"/>
      <c r="K52" s="550"/>
      <c r="L52" s="550"/>
      <c r="M52" s="550"/>
      <c r="N52" s="550"/>
    </row>
    <row r="53" spans="3:14" hidden="1" x14ac:dyDescent="0.25">
      <c r="C53" s="556"/>
      <c r="D53" s="556"/>
      <c r="E53" s="550"/>
      <c r="F53" s="550"/>
      <c r="G53" s="550"/>
      <c r="H53" s="550"/>
      <c r="I53" s="550"/>
      <c r="J53" s="550"/>
      <c r="K53" s="550"/>
      <c r="L53" s="550"/>
      <c r="M53" s="550"/>
      <c r="N53" s="550"/>
    </row>
    <row r="54" spans="3:14" hidden="1" x14ac:dyDescent="0.25">
      <c r="C54" s="556"/>
      <c r="D54" s="556"/>
      <c r="E54" s="550"/>
      <c r="F54" s="550"/>
      <c r="G54" s="550"/>
      <c r="H54" s="550"/>
      <c r="I54" s="550"/>
      <c r="J54" s="550"/>
      <c r="K54" s="550"/>
      <c r="L54" s="550"/>
      <c r="M54" s="550"/>
      <c r="N54" s="550"/>
    </row>
    <row r="55" spans="3:14" hidden="1" x14ac:dyDescent="0.25">
      <c r="C55" s="556" t="s">
        <v>226</v>
      </c>
      <c r="D55" s="556" t="s">
        <v>226</v>
      </c>
      <c r="E55" s="550"/>
      <c r="F55" s="550"/>
      <c r="G55" s="550"/>
      <c r="H55" s="550"/>
      <c r="I55" s="550"/>
      <c r="J55" s="550"/>
      <c r="K55" s="550"/>
      <c r="L55" s="550"/>
      <c r="M55" s="550"/>
      <c r="N55" s="550"/>
    </row>
    <row r="56" spans="3:14" x14ac:dyDescent="0.25">
      <c r="C56" s="739" t="s">
        <v>212</v>
      </c>
      <c r="D56" s="740"/>
      <c r="E56" s="552">
        <f t="shared" ref="E56:N56" si="2">SUM(E41:E55)</f>
        <v>234.21</v>
      </c>
      <c r="F56" s="552">
        <f t="shared" si="2"/>
        <v>228.74999999999997</v>
      </c>
      <c r="G56" s="552">
        <f t="shared" si="2"/>
        <v>231.44865000000001</v>
      </c>
      <c r="H56" s="552">
        <f t="shared" si="2"/>
        <v>223.93865000000002</v>
      </c>
      <c r="I56" s="558">
        <f t="shared" si="2"/>
        <v>231.06864999999999</v>
      </c>
      <c r="J56" s="552">
        <f t="shared" si="2"/>
        <v>246.03864999999999</v>
      </c>
      <c r="K56" s="552">
        <f t="shared" si="2"/>
        <v>246.03864999999999</v>
      </c>
      <c r="L56" s="552">
        <f t="shared" si="2"/>
        <v>289.66482470215385</v>
      </c>
      <c r="M56" s="552">
        <f t="shared" si="2"/>
        <v>304.66432125070526</v>
      </c>
      <c r="N56" s="552">
        <f t="shared" si="2"/>
        <v>320.98729264890306</v>
      </c>
    </row>
    <row r="57" spans="3:14" x14ac:dyDescent="0.25">
      <c r="C57" s="739" t="s">
        <v>215</v>
      </c>
      <c r="D57" s="740"/>
      <c r="E57" s="552"/>
      <c r="F57" s="552"/>
      <c r="G57" s="552"/>
      <c r="H57" s="552"/>
      <c r="I57" s="550"/>
      <c r="J57" s="550"/>
      <c r="K57" s="550"/>
      <c r="L57" s="550"/>
      <c r="M57" s="550"/>
      <c r="N57" s="550"/>
    </row>
    <row r="58" spans="3:14" x14ac:dyDescent="0.25">
      <c r="C58" s="556" t="s">
        <v>192</v>
      </c>
      <c r="D58" s="556" t="s">
        <v>193</v>
      </c>
      <c r="E58" s="550">
        <v>190.22</v>
      </c>
      <c r="F58" s="550">
        <v>184.67</v>
      </c>
      <c r="G58" s="550">
        <v>197.22</v>
      </c>
      <c r="H58" s="550">
        <v>208.82</v>
      </c>
      <c r="I58" s="550">
        <f>'[8]Rev_NP-12me'!$I$201+'[8]Rev_NP-12me'!$I$212</f>
        <v>208.82</v>
      </c>
      <c r="J58" s="557">
        <f>'[9]Rev_NP-12me'!$I$201+'[9]Rev_NP-12me'!$I$212</f>
        <v>209.32</v>
      </c>
      <c r="K58" s="557">
        <f>'[9]Rev_NP-12me'!$AK$201+'[9]Rev_NP-12me'!$AK$212</f>
        <v>209.32</v>
      </c>
      <c r="L58" s="550">
        <f>'[10]Rev_NP-12me'!$AK$201+'[10]Rev_NP-12me'!$AK$212</f>
        <v>247.41000481374428</v>
      </c>
      <c r="M58" s="550">
        <f>'[11]Rev_NP-12me'!$AK$201+'[11]Rev_NP-12me'!$AK$212</f>
        <v>265.65558038997915</v>
      </c>
      <c r="N58" s="550">
        <f>'[12]Rev_NP-12me'!$AK$201+'[12]Rev_NP-12me'!$AK$212</f>
        <v>285.60407635332922</v>
      </c>
    </row>
    <row r="59" spans="3:14" x14ac:dyDescent="0.25">
      <c r="C59" s="556" t="s">
        <v>194</v>
      </c>
      <c r="D59" s="556" t="s">
        <v>195</v>
      </c>
      <c r="E59" s="550"/>
      <c r="F59" s="550">
        <v>0</v>
      </c>
      <c r="G59" s="550">
        <v>0</v>
      </c>
      <c r="H59" s="550">
        <v>0</v>
      </c>
      <c r="I59" s="550">
        <f>'[8]Rev_NP-12me'!$I$211</f>
        <v>0</v>
      </c>
      <c r="J59" s="557">
        <f>'[9]Rev_NP-12me'!$I$211</f>
        <v>0</v>
      </c>
      <c r="K59" s="557">
        <f>'[9]Rev_NP-12me'!$AK$211</f>
        <v>0</v>
      </c>
      <c r="L59" s="550">
        <f>'[10]Rev_NP-12me'!$AK$211</f>
        <v>0</v>
      </c>
      <c r="M59" s="550">
        <f>'[11]Rev_NP-12me'!$AK$211</f>
        <v>0</v>
      </c>
      <c r="N59" s="550">
        <f>'[12]Rev_NP-12me'!$AK$211</f>
        <v>0</v>
      </c>
    </row>
    <row r="60" spans="3:14" x14ac:dyDescent="0.25">
      <c r="C60" s="556" t="s">
        <v>196</v>
      </c>
      <c r="D60" s="556" t="s">
        <v>197</v>
      </c>
      <c r="E60" s="550">
        <v>17</v>
      </c>
      <c r="F60" s="550">
        <v>14.15</v>
      </c>
      <c r="G60" s="550">
        <v>17.850000000000001</v>
      </c>
      <c r="H60" s="550">
        <v>17.350000000000001</v>
      </c>
      <c r="I60" s="550">
        <f>'[8]Rev_NP-12me'!$I$217</f>
        <v>17.350000000000001</v>
      </c>
      <c r="J60" s="557">
        <f>'[9]Rev_NP-12me'!$I$217</f>
        <v>17.350000000000001</v>
      </c>
      <c r="K60" s="557">
        <f>'[9]Rev_NP-12me'!$AK$217</f>
        <v>17.350000000000001</v>
      </c>
      <c r="L60" s="550">
        <f>'[10]Rev_NP-12me'!$AK$217</f>
        <v>19.864718738395361</v>
      </c>
      <c r="M60" s="550">
        <f>'[11]Rev_NP-12me'!$AK$217</f>
        <v>21.150082892056236</v>
      </c>
      <c r="N60" s="550">
        <f>'[12]Rev_NP-12me'!$AK$217</f>
        <v>22.552298332413557</v>
      </c>
    </row>
    <row r="61" spans="3:14" x14ac:dyDescent="0.25">
      <c r="C61" s="556" t="s">
        <v>198</v>
      </c>
      <c r="D61" s="556" t="s">
        <v>199</v>
      </c>
      <c r="E61" s="550"/>
      <c r="F61" s="550"/>
      <c r="G61" s="550"/>
      <c r="H61" s="550"/>
      <c r="I61" s="550">
        <f>'[8]Rev_NP-12me'!$I$222</f>
        <v>0</v>
      </c>
      <c r="J61" s="557">
        <f>'[9]Rev_NP-12me'!$I$222</f>
        <v>0</v>
      </c>
      <c r="K61" s="557">
        <f>'[9]Rev_NP-12me'!$AK$222</f>
        <v>0</v>
      </c>
      <c r="L61" s="550">
        <f>'[10]Rev_NP-12me'!$AK$222</f>
        <v>0</v>
      </c>
      <c r="M61" s="550">
        <f>'[11]Rev_NP-12me'!$AK$222</f>
        <v>0</v>
      </c>
      <c r="N61" s="550">
        <f>'[12]Rev_NP-12me'!$AK$222</f>
        <v>0</v>
      </c>
    </row>
    <row r="62" spans="3:14" x14ac:dyDescent="0.25">
      <c r="C62" s="556" t="s">
        <v>200</v>
      </c>
      <c r="D62" s="556" t="s">
        <v>201</v>
      </c>
      <c r="E62" s="550">
        <v>0</v>
      </c>
      <c r="F62" s="550">
        <v>0</v>
      </c>
      <c r="G62" s="550">
        <v>0</v>
      </c>
      <c r="H62" s="550">
        <v>0</v>
      </c>
      <c r="I62" s="550">
        <f>'[8]Rev_NP-12me'!$I$227</f>
        <v>0</v>
      </c>
      <c r="J62" s="557">
        <f>'[9]Rev_NP-12me'!$I$227</f>
        <v>0</v>
      </c>
      <c r="K62" s="557">
        <f>'[9]Rev_NP-12me'!$AK$227</f>
        <v>0</v>
      </c>
      <c r="L62" s="550">
        <f>'[10]Rev_NP-12me'!$AK$227</f>
        <v>0</v>
      </c>
      <c r="M62" s="550">
        <f>'[11]Rev_NP-12me'!$AK$227</f>
        <v>0</v>
      </c>
      <c r="N62" s="550">
        <f>'[12]Rev_NP-12me'!$AK$227</f>
        <v>0</v>
      </c>
    </row>
    <row r="63" spans="3:14" x14ac:dyDescent="0.25">
      <c r="C63" s="556" t="s">
        <v>202</v>
      </c>
      <c r="D63" s="556" t="s">
        <v>203</v>
      </c>
      <c r="E63" s="550">
        <v>1960.81</v>
      </c>
      <c r="F63" s="550">
        <v>2318.81</v>
      </c>
      <c r="G63" s="550">
        <v>2405.125</v>
      </c>
      <c r="H63" s="550">
        <v>2435.7829999999999</v>
      </c>
      <c r="I63" s="550">
        <f>'[8]Rev_NP-12me'!$I$232</f>
        <v>2558.415</v>
      </c>
      <c r="J63" s="557">
        <f>'[9]Rev_NP-12me'!$I$232</f>
        <v>2676.415</v>
      </c>
      <c r="K63" s="557">
        <f>'[9]Rev_NP-12me'!$AK$232</f>
        <v>2676.415</v>
      </c>
      <c r="L63" s="550">
        <f>'[10]Rev_NP-12me'!$AK$232</f>
        <v>2959.7035395414405</v>
      </c>
      <c r="M63" s="550">
        <f>'[11]Rev_NP-12me'!$AK$232</f>
        <v>3106.5938816703465</v>
      </c>
      <c r="N63" s="550">
        <f>'[12]Rev_NP-12me'!$AK$232</f>
        <v>3260.7831227870242</v>
      </c>
    </row>
    <row r="64" spans="3:14" x14ac:dyDescent="0.25">
      <c r="C64" s="556" t="s">
        <v>204</v>
      </c>
      <c r="D64" s="556" t="s">
        <v>216</v>
      </c>
      <c r="E64" s="550">
        <v>5.3079999999999998</v>
      </c>
      <c r="F64" s="550">
        <v>5.3079999999999998</v>
      </c>
      <c r="G64" s="550">
        <v>5.3079999999999998</v>
      </c>
      <c r="H64" s="550">
        <v>5.3079999999999998</v>
      </c>
      <c r="I64" s="550">
        <f>'[8]Rev_NP-12me'!$I$242</f>
        <v>5.3079999999999998</v>
      </c>
      <c r="J64" s="557">
        <f>'[9]Rev_NP-12me'!$I$242</f>
        <v>5.3079999999999998</v>
      </c>
      <c r="K64" s="557">
        <f>'[9]Rev_NP-12me'!$AK$242</f>
        <v>5.3079999999999998</v>
      </c>
      <c r="L64" s="550">
        <f>'[10]Rev_NP-12me'!$AK$242</f>
        <v>5.848896739130435</v>
      </c>
      <c r="M64" s="550">
        <f>'[11]Rev_NP-12me'!$AK$242</f>
        <v>6.1391779891304346</v>
      </c>
      <c r="N64" s="550">
        <f>'[12]Rev_NP-12me'!$AK$242</f>
        <v>6.4438831521739131</v>
      </c>
    </row>
    <row r="65" spans="3:14" x14ac:dyDescent="0.25">
      <c r="C65" s="556" t="s">
        <v>217</v>
      </c>
      <c r="D65" s="556" t="s">
        <v>218</v>
      </c>
      <c r="E65" s="550">
        <v>154</v>
      </c>
      <c r="F65" s="550">
        <v>154</v>
      </c>
      <c r="G65" s="550">
        <v>154</v>
      </c>
      <c r="H65" s="550">
        <v>169.8</v>
      </c>
      <c r="I65" s="550">
        <f>'[8]Rev_NP-12me'!$I$235</f>
        <v>192.5</v>
      </c>
      <c r="J65" s="557">
        <f>'[9]Rev_NP-12me'!$I$235</f>
        <v>203.5</v>
      </c>
      <c r="K65" s="557">
        <f>'[9]Rev_NP-12me'!$AK$235</f>
        <v>203.5</v>
      </c>
      <c r="L65" s="550">
        <f>'[10]Rev_NP-12me'!$AK$235</f>
        <v>188</v>
      </c>
      <c r="M65" s="550">
        <f>'[11]Rev_NP-12me'!$AK$235</f>
        <v>191.99999999999997</v>
      </c>
      <c r="N65" s="550">
        <f>'[12]Rev_NP-12me'!$AK$235</f>
        <v>197</v>
      </c>
    </row>
    <row r="66" spans="3:14" x14ac:dyDescent="0.25">
      <c r="C66" s="556" t="s">
        <v>206</v>
      </c>
      <c r="D66" s="556" t="s">
        <v>207</v>
      </c>
      <c r="E66" s="550">
        <v>30</v>
      </c>
      <c r="F66" s="550">
        <v>30</v>
      </c>
      <c r="G66" s="550">
        <v>30</v>
      </c>
      <c r="H66" s="550">
        <v>30</v>
      </c>
      <c r="I66" s="550">
        <f>'[8]Rev_NP-12me'!$I$240</f>
        <v>30</v>
      </c>
      <c r="J66" s="557">
        <f>'[9]Rev_NP-12me'!$I$240</f>
        <v>30</v>
      </c>
      <c r="K66" s="557">
        <f>'[9]Rev_NP-12me'!$AK$240</f>
        <v>30</v>
      </c>
      <c r="L66" s="550">
        <f>'[10]Rev_NP-12me'!$AK$240</f>
        <v>31.730769230769237</v>
      </c>
      <c r="M66" s="550">
        <f>'[11]Rev_NP-12me'!$AK$240</f>
        <v>32.307692307692314</v>
      </c>
      <c r="N66" s="550">
        <f>'[12]Rev_NP-12me'!$AK$240</f>
        <v>33.461538461538474</v>
      </c>
    </row>
    <row r="67" spans="3:14" x14ac:dyDescent="0.25">
      <c r="C67" s="556" t="s">
        <v>208</v>
      </c>
      <c r="D67" s="556" t="s">
        <v>187</v>
      </c>
      <c r="E67" s="550">
        <v>15</v>
      </c>
      <c r="F67" s="550">
        <v>30</v>
      </c>
      <c r="G67" s="550">
        <v>0</v>
      </c>
      <c r="H67" s="550">
        <v>0.5</v>
      </c>
      <c r="I67" s="550">
        <f>'[8]Rev_NP-12me'!$I$241</f>
        <v>0.5</v>
      </c>
      <c r="J67" s="557">
        <f>'[9]Rev_NP-12me'!$I$241</f>
        <v>0</v>
      </c>
      <c r="K67" s="557">
        <f>'[9]Rev_NP-12me'!$AK$241</f>
        <v>0</v>
      </c>
      <c r="L67" s="550">
        <f>'[10]Rev_NP-12me'!$AK$241</f>
        <v>0.55000000000000004</v>
      </c>
      <c r="M67" s="550">
        <f>'[11]Rev_NP-12me'!$AK$241</f>
        <v>0.57500000000000007</v>
      </c>
      <c r="N67" s="550">
        <f>'[12]Rev_NP-12me'!$AK$241</f>
        <v>0.60000000000000009</v>
      </c>
    </row>
    <row r="68" spans="3:14" x14ac:dyDescent="0.25">
      <c r="C68" s="556" t="s">
        <v>209</v>
      </c>
      <c r="D68" s="556" t="s">
        <v>210</v>
      </c>
      <c r="E68" s="550"/>
      <c r="F68" s="550"/>
      <c r="G68" s="550"/>
      <c r="H68" s="550"/>
      <c r="I68" s="550"/>
      <c r="J68" s="557">
        <v>0</v>
      </c>
      <c r="K68" s="557">
        <v>0</v>
      </c>
      <c r="L68" s="550"/>
      <c r="M68" s="550"/>
      <c r="N68" s="550"/>
    </row>
    <row r="69" spans="3:14" x14ac:dyDescent="0.25">
      <c r="C69" s="556" t="s">
        <v>211</v>
      </c>
      <c r="D69" s="556" t="s">
        <v>189</v>
      </c>
      <c r="E69" s="550"/>
      <c r="F69" s="550"/>
      <c r="G69" s="550"/>
      <c r="H69" s="550"/>
      <c r="I69" s="550"/>
      <c r="J69" s="559"/>
      <c r="K69" s="557"/>
      <c r="L69" s="550"/>
      <c r="M69" s="550"/>
      <c r="N69" s="550"/>
    </row>
    <row r="70" spans="3:14" hidden="1" x14ac:dyDescent="0.25">
      <c r="C70" s="556"/>
      <c r="D70" s="556"/>
      <c r="E70" s="550"/>
      <c r="F70" s="550"/>
      <c r="G70" s="550"/>
      <c r="H70" s="550"/>
      <c r="I70" s="550"/>
      <c r="J70" s="550"/>
      <c r="K70" s="550"/>
      <c r="L70" s="550"/>
      <c r="M70" s="550"/>
      <c r="N70" s="550"/>
    </row>
    <row r="71" spans="3:14" hidden="1" x14ac:dyDescent="0.25">
      <c r="C71" s="556"/>
      <c r="D71" s="556"/>
      <c r="E71" s="550"/>
      <c r="F71" s="550"/>
      <c r="G71" s="550"/>
      <c r="H71" s="550"/>
      <c r="I71" s="550"/>
      <c r="J71" s="550"/>
      <c r="K71" s="550"/>
      <c r="L71" s="550"/>
      <c r="M71" s="550"/>
      <c r="N71" s="550"/>
    </row>
    <row r="72" spans="3:14" hidden="1" x14ac:dyDescent="0.25">
      <c r="C72" s="556"/>
      <c r="D72" s="556"/>
      <c r="E72" s="550"/>
      <c r="F72" s="550"/>
      <c r="G72" s="550"/>
      <c r="H72" s="550"/>
      <c r="I72" s="550"/>
      <c r="J72" s="550"/>
      <c r="K72" s="550"/>
      <c r="L72" s="550"/>
      <c r="M72" s="550"/>
      <c r="N72" s="550"/>
    </row>
    <row r="73" spans="3:14" hidden="1" x14ac:dyDescent="0.25">
      <c r="C73" s="556" t="s">
        <v>226</v>
      </c>
      <c r="D73" s="556" t="s">
        <v>226</v>
      </c>
      <c r="E73" s="550"/>
      <c r="F73" s="550"/>
      <c r="G73" s="550"/>
      <c r="H73" s="550"/>
      <c r="I73" s="550"/>
      <c r="J73" s="550"/>
      <c r="K73" s="550"/>
      <c r="L73" s="550"/>
      <c r="M73" s="550"/>
      <c r="N73" s="550"/>
    </row>
    <row r="74" spans="3:14" x14ac:dyDescent="0.25">
      <c r="C74" s="739" t="s">
        <v>212</v>
      </c>
      <c r="D74" s="740"/>
      <c r="E74" s="552">
        <f t="shared" ref="E74:N74" si="3">SUM(E58:E73)</f>
        <v>2372.3379999999997</v>
      </c>
      <c r="F74" s="552">
        <f t="shared" si="3"/>
        <v>2736.9380000000001</v>
      </c>
      <c r="G74" s="552">
        <f t="shared" si="3"/>
        <v>2809.5030000000002</v>
      </c>
      <c r="H74" s="552">
        <f t="shared" si="3"/>
        <v>2867.5610000000001</v>
      </c>
      <c r="I74" s="552">
        <f t="shared" si="3"/>
        <v>3012.893</v>
      </c>
      <c r="J74" s="552">
        <f t="shared" si="3"/>
        <v>3141.893</v>
      </c>
      <c r="K74" s="552">
        <f t="shared" si="3"/>
        <v>3141.893</v>
      </c>
      <c r="L74" s="552">
        <f t="shared" si="3"/>
        <v>3453.1079290634798</v>
      </c>
      <c r="M74" s="552">
        <f t="shared" si="3"/>
        <v>3624.4214152492045</v>
      </c>
      <c r="N74" s="552">
        <f t="shared" si="3"/>
        <v>3806.4449190864793</v>
      </c>
    </row>
    <row r="75" spans="3:14" x14ac:dyDescent="0.25">
      <c r="C75" s="739" t="s">
        <v>219</v>
      </c>
      <c r="D75" s="740"/>
      <c r="E75" s="552">
        <f t="shared" ref="E75:N75" si="4">E39+E56+E74</f>
        <v>3389.2449999999999</v>
      </c>
      <c r="F75" s="552">
        <f t="shared" si="4"/>
        <v>3802.2494400000005</v>
      </c>
      <c r="G75" s="552">
        <f t="shared" si="4"/>
        <v>3957.3040900000005</v>
      </c>
      <c r="H75" s="552">
        <f t="shared" si="4"/>
        <v>4337.5105999999996</v>
      </c>
      <c r="I75" s="552">
        <f t="shared" si="4"/>
        <v>4539.7227299999995</v>
      </c>
      <c r="J75" s="552">
        <f t="shared" si="4"/>
        <v>4708.2627300000004</v>
      </c>
      <c r="K75" s="552">
        <f t="shared" si="4"/>
        <v>4733.91273</v>
      </c>
      <c r="L75" s="552">
        <f t="shared" si="4"/>
        <v>5345.8641122850458</v>
      </c>
      <c r="M75" s="552">
        <f t="shared" si="4"/>
        <v>5630.8704191347106</v>
      </c>
      <c r="N75" s="552">
        <f t="shared" si="4"/>
        <v>5934.7809754903137</v>
      </c>
    </row>
    <row r="76" spans="3:14" x14ac:dyDescent="0.25">
      <c r="C76" s="739" t="s">
        <v>220</v>
      </c>
      <c r="D76" s="740"/>
      <c r="E76" s="552">
        <f t="shared" ref="E76:N76" si="5">E75+E22</f>
        <v>11719.049788869699</v>
      </c>
      <c r="F76" s="552">
        <f t="shared" si="5"/>
        <v>12539.454290995058</v>
      </c>
      <c r="G76" s="552">
        <f t="shared" si="5"/>
        <v>14424.525808379483</v>
      </c>
      <c r="H76" s="552">
        <f t="shared" si="5"/>
        <v>15257.459230574001</v>
      </c>
      <c r="I76" s="558">
        <f t="shared" si="5"/>
        <v>15920.592870565262</v>
      </c>
      <c r="J76" s="558">
        <f t="shared" si="5"/>
        <v>16429.784730565261</v>
      </c>
      <c r="K76" s="558">
        <f t="shared" si="5"/>
        <v>16796.086590565261</v>
      </c>
      <c r="L76" s="558">
        <f t="shared" si="5"/>
        <v>18405.098940749172</v>
      </c>
      <c r="M76" s="558">
        <f t="shared" si="5"/>
        <v>19063.632707300974</v>
      </c>
      <c r="N76" s="558">
        <f t="shared" si="5"/>
        <v>19747.098438867331</v>
      </c>
    </row>
    <row r="79" spans="3:14" x14ac:dyDescent="0.25">
      <c r="D79" s="22"/>
      <c r="E79" s="22"/>
    </row>
    <row r="80" spans="3:14" x14ac:dyDescent="0.25">
      <c r="D80" s="24"/>
      <c r="E80" s="24"/>
    </row>
    <row r="81" spans="5:9" x14ac:dyDescent="0.25">
      <c r="E81" s="24"/>
    </row>
    <row r="86" spans="5:9" x14ac:dyDescent="0.25">
      <c r="I86" s="164"/>
    </row>
  </sheetData>
  <mergeCells count="17">
    <mergeCell ref="C76:D76"/>
    <mergeCell ref="C8:D8"/>
    <mergeCell ref="C22:D22"/>
    <mergeCell ref="C23:D23"/>
    <mergeCell ref="C39:D39"/>
    <mergeCell ref="C40:D40"/>
    <mergeCell ref="C56:D56"/>
    <mergeCell ref="C57:D57"/>
    <mergeCell ref="C74:D74"/>
    <mergeCell ref="C75:D75"/>
    <mergeCell ref="J5:N5"/>
    <mergeCell ref="C5:D7"/>
    <mergeCell ref="E5:E6"/>
    <mergeCell ref="F5:F6"/>
    <mergeCell ref="G5:G6"/>
    <mergeCell ref="I5:I6"/>
    <mergeCell ref="H5:H6"/>
  </mergeCells>
  <pageMargins left="0.75" right="0.75" top="1" bottom="1" header="0.5" footer="0.5"/>
  <pageSetup paperSize="9" scale="52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52"/>
  <sheetViews>
    <sheetView showGridLines="0" topLeftCell="B4" zoomScale="80" zoomScaleNormal="80" workbookViewId="0">
      <selection activeCell="K17" sqref="K17"/>
    </sheetView>
  </sheetViews>
  <sheetFormatPr defaultColWidth="9.33203125" defaultRowHeight="13.8" x14ac:dyDescent="0.25"/>
  <cols>
    <col min="1" max="1" width="9.33203125" style="571"/>
    <col min="2" max="2" width="21.5546875" style="571" customWidth="1"/>
    <col min="3" max="3" width="46.33203125" style="571" customWidth="1"/>
    <col min="4" max="4" width="20" style="571" customWidth="1"/>
    <col min="5" max="5" width="25.6640625" style="571" customWidth="1"/>
    <col min="6" max="6" width="10.6640625" style="571" bestFit="1" customWidth="1"/>
    <col min="7" max="10" width="9.33203125" style="571"/>
    <col min="11" max="11" width="17.5546875" style="571" customWidth="1"/>
    <col min="12" max="17" width="9.33203125" style="571"/>
    <col min="18" max="18" width="19.6640625" style="571" customWidth="1"/>
    <col min="19" max="24" width="9.33203125" style="571"/>
    <col min="25" max="25" width="19.6640625" style="571" customWidth="1"/>
    <col min="26" max="16384" width="9.33203125" style="571"/>
  </cols>
  <sheetData>
    <row r="2" spans="2:16" x14ac:dyDescent="0.25">
      <c r="C2" s="641"/>
      <c r="D2" s="641" t="s">
        <v>160</v>
      </c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</row>
    <row r="3" spans="2:16" x14ac:dyDescent="0.25">
      <c r="C3" s="898" t="s">
        <v>874</v>
      </c>
      <c r="D3" s="898"/>
      <c r="E3" s="898"/>
    </row>
    <row r="4" spans="2:16" x14ac:dyDescent="0.25">
      <c r="E4" s="642" t="s">
        <v>875</v>
      </c>
    </row>
    <row r="5" spans="2:16" x14ac:dyDescent="0.25">
      <c r="B5" s="799" t="s">
        <v>163</v>
      </c>
      <c r="C5" s="799"/>
      <c r="D5" s="786" t="s">
        <v>549</v>
      </c>
      <c r="E5" s="786"/>
    </row>
    <row r="6" spans="2:16" ht="41.4" x14ac:dyDescent="0.25">
      <c r="B6" s="799"/>
      <c r="C6" s="799"/>
      <c r="D6" s="656" t="s">
        <v>876</v>
      </c>
      <c r="E6" s="656" t="s">
        <v>877</v>
      </c>
    </row>
    <row r="7" spans="2:16" x14ac:dyDescent="0.25">
      <c r="B7" s="881" t="s">
        <v>781</v>
      </c>
      <c r="C7" s="882"/>
      <c r="D7" s="579"/>
      <c r="E7" s="579"/>
    </row>
    <row r="8" spans="2:16" x14ac:dyDescent="0.25">
      <c r="B8" s="630" t="s">
        <v>172</v>
      </c>
      <c r="C8" s="630" t="s">
        <v>173</v>
      </c>
      <c r="D8" s="145">
        <f>'[68]NPDCL_Cost Alloc_Factors'!$U11</f>
        <v>817.36317231315752</v>
      </c>
      <c r="E8" s="145">
        <f>'[68]NPDCL_Cost Alloc_Factors'!$V11</f>
        <v>837.97741676559087</v>
      </c>
    </row>
    <row r="9" spans="2:16" x14ac:dyDescent="0.25">
      <c r="B9" s="630" t="s">
        <v>783</v>
      </c>
      <c r="C9" s="630" t="s">
        <v>175</v>
      </c>
      <c r="D9" s="145">
        <f>'[68]NPDCL_Cost Alloc_Factors'!$U12</f>
        <v>193.62687426579978</v>
      </c>
      <c r="E9" s="145">
        <f>'[68]NPDCL_Cost Alloc_Factors'!$V12</f>
        <v>198.51022582099625</v>
      </c>
    </row>
    <row r="10" spans="2:16" x14ac:dyDescent="0.25">
      <c r="B10" s="630" t="s">
        <v>784</v>
      </c>
      <c r="C10" s="630" t="s">
        <v>785</v>
      </c>
      <c r="D10" s="145">
        <f>'[68]NPDCL_Cost Alloc_Factors'!$U13</f>
        <v>37.614634918706301</v>
      </c>
      <c r="E10" s="145">
        <f>'[68]NPDCL_Cost Alloc_Factors'!$V13</f>
        <v>38.563291899432329</v>
      </c>
    </row>
    <row r="11" spans="2:16" x14ac:dyDescent="0.25">
      <c r="B11" s="630" t="s">
        <v>786</v>
      </c>
      <c r="C11" s="630" t="s">
        <v>787</v>
      </c>
      <c r="D11" s="145">
        <f>'[68]NPDCL_Cost Alloc_Factors'!$U14</f>
        <v>1.8721135322707625</v>
      </c>
      <c r="E11" s="145">
        <f>'[68]NPDCL_Cost Alloc_Factors'!$V14</f>
        <v>1.9193290263181897</v>
      </c>
    </row>
    <row r="12" spans="2:16" x14ac:dyDescent="0.25">
      <c r="B12" s="630" t="s">
        <v>788</v>
      </c>
      <c r="C12" s="630" t="s">
        <v>203</v>
      </c>
      <c r="D12" s="145">
        <f>'[68]NPDCL_Cost Alloc_Factors'!$U15</f>
        <v>2064.9669577473855</v>
      </c>
      <c r="E12" s="145">
        <f>'[68]NPDCL_Cost Alloc_Factors'!$V15</f>
        <v>2117.0462966448486</v>
      </c>
    </row>
    <row r="13" spans="2:16" x14ac:dyDescent="0.25">
      <c r="B13" s="630" t="s">
        <v>789</v>
      </c>
      <c r="C13" s="630" t="s">
        <v>790</v>
      </c>
      <c r="D13" s="145">
        <f>'[68]NPDCL_Cost Alloc_Factors'!$U16</f>
        <v>101.19829768438289</v>
      </c>
      <c r="E13" s="145">
        <f>'[68]NPDCL_Cost Alloc_Factors'!$V16</f>
        <v>103.75056149721435</v>
      </c>
    </row>
    <row r="14" spans="2:16" x14ac:dyDescent="0.25">
      <c r="B14" s="630" t="s">
        <v>791</v>
      </c>
      <c r="C14" s="630" t="s">
        <v>792</v>
      </c>
      <c r="D14" s="145">
        <f>'[68]NPDCL_Cost Alloc_Factors'!$U17</f>
        <v>22.975325641567736</v>
      </c>
      <c r="E14" s="145">
        <f>'[68]NPDCL_Cost Alloc_Factors'!$V17</f>
        <v>23.554773058814572</v>
      </c>
    </row>
    <row r="15" spans="2:16" x14ac:dyDescent="0.25">
      <c r="B15" s="630" t="s">
        <v>793</v>
      </c>
      <c r="C15" s="630" t="s">
        <v>794</v>
      </c>
      <c r="D15" s="145">
        <f>'[68]NPDCL_Cost Alloc_Factors'!$U18</f>
        <v>4.4261164020964291E-2</v>
      </c>
      <c r="E15" s="145">
        <f>'[68]NPDCL_Cost Alloc_Factors'!$V18</f>
        <v>4.5377449273082106E-2</v>
      </c>
    </row>
    <row r="16" spans="2:16" hidden="1" x14ac:dyDescent="0.25">
      <c r="B16" s="630" t="s">
        <v>795</v>
      </c>
      <c r="C16" s="630" t="s">
        <v>796</v>
      </c>
      <c r="D16" s="145">
        <f>'[68]NPDCL_Cost Alloc_Factors'!$U19</f>
        <v>0</v>
      </c>
      <c r="E16" s="145">
        <f>'[68]NPDCL_Cost Alloc_Factors'!$V19</f>
        <v>0</v>
      </c>
    </row>
    <row r="17" spans="2:5" hidden="1" x14ac:dyDescent="0.25">
      <c r="B17" s="630" t="s">
        <v>797</v>
      </c>
      <c r="C17" s="633" t="s">
        <v>798</v>
      </c>
      <c r="D17" s="145">
        <f>'[68]NPDCL_Cost Alloc_Factors'!$U20</f>
        <v>0</v>
      </c>
      <c r="E17" s="145">
        <f>'[68]NPDCL_Cost Alloc_Factors'!$V20</f>
        <v>0</v>
      </c>
    </row>
    <row r="18" spans="2:5" x14ac:dyDescent="0.25">
      <c r="B18" s="881" t="s">
        <v>799</v>
      </c>
      <c r="C18" s="882"/>
      <c r="D18" s="579"/>
      <c r="E18" s="579"/>
    </row>
    <row r="19" spans="2:5" x14ac:dyDescent="0.25">
      <c r="B19" s="630"/>
      <c r="C19" s="634" t="s">
        <v>800</v>
      </c>
      <c r="D19" s="579"/>
      <c r="E19" s="579"/>
    </row>
    <row r="20" spans="2:5" x14ac:dyDescent="0.25">
      <c r="B20" s="630" t="s">
        <v>801</v>
      </c>
      <c r="C20" s="635" t="s">
        <v>802</v>
      </c>
      <c r="D20" s="145">
        <f>'[68]NPDCL_Cost Alloc_Factors'!$U25</f>
        <v>165.29465593300057</v>
      </c>
      <c r="E20" s="145">
        <f>'[68]NPDCL_Cost Alloc_Factors'!$V25</f>
        <v>169.46345697457508</v>
      </c>
    </row>
    <row r="21" spans="2:5" x14ac:dyDescent="0.25">
      <c r="B21" s="630" t="s">
        <v>803</v>
      </c>
      <c r="C21" s="635" t="s">
        <v>804</v>
      </c>
      <c r="D21" s="145">
        <f>'[68]NPDCL_Cost Alloc_Factors'!$U26</f>
        <v>0</v>
      </c>
      <c r="E21" s="145">
        <f>'[68]NPDCL_Cost Alloc_Factors'!$V26</f>
        <v>0</v>
      </c>
    </row>
    <row r="22" spans="2:5" x14ac:dyDescent="0.25">
      <c r="B22" s="630" t="s">
        <v>805</v>
      </c>
      <c r="C22" s="635" t="s">
        <v>498</v>
      </c>
      <c r="D22" s="145">
        <f>'[68]NPDCL_Cost Alloc_Factors'!$U27</f>
        <v>40.02748684237644</v>
      </c>
      <c r="E22" s="145">
        <f>'[68]NPDCL_Cost Alloc_Factors'!$V27</f>
        <v>41.036996967783921</v>
      </c>
    </row>
    <row r="23" spans="2:5" x14ac:dyDescent="0.25">
      <c r="B23" s="630" t="s">
        <v>806</v>
      </c>
      <c r="C23" s="630" t="s">
        <v>807</v>
      </c>
      <c r="D23" s="145">
        <f>'[68]NPDCL_Cost Alloc_Factors'!$U28</f>
        <v>1.4280358412654193</v>
      </c>
      <c r="E23" s="145">
        <f>'[68]NPDCL_Cost Alloc_Factors'!$V28</f>
        <v>1.4640515083713543</v>
      </c>
    </row>
    <row r="24" spans="2:5" x14ac:dyDescent="0.25">
      <c r="B24" s="630" t="s">
        <v>808</v>
      </c>
      <c r="C24" s="635" t="s">
        <v>809</v>
      </c>
      <c r="D24" s="145">
        <f>'[68]NPDCL_Cost Alloc_Factors'!$U29</f>
        <v>26.867538993040977</v>
      </c>
      <c r="E24" s="145">
        <f>'[68]NPDCL_Cost Alloc_Factors'!$V29</f>
        <v>27.545149675047131</v>
      </c>
    </row>
    <row r="25" spans="2:5" x14ac:dyDescent="0.25">
      <c r="B25" s="630" t="s">
        <v>810</v>
      </c>
      <c r="C25" s="635" t="s">
        <v>811</v>
      </c>
      <c r="D25" s="145">
        <f>'[68]NPDCL_Cost Alloc_Factors'!$U30</f>
        <v>1.879551114162334</v>
      </c>
      <c r="E25" s="145">
        <f>'[68]NPDCL_Cost Alloc_Factors'!$V30</f>
        <v>1.9269541871666329</v>
      </c>
    </row>
    <row r="26" spans="2:5" x14ac:dyDescent="0.25">
      <c r="B26" s="630" t="s">
        <v>812</v>
      </c>
      <c r="C26" s="635" t="s">
        <v>813</v>
      </c>
      <c r="D26" s="145">
        <f>'[68]NPDCL_Cost Alloc_Factors'!$U31</f>
        <v>2.209573590961619</v>
      </c>
      <c r="E26" s="145">
        <f>'[68]NPDCL_Cost Alloc_Factors'!$V31</f>
        <v>2.2652999702292584</v>
      </c>
    </row>
    <row r="27" spans="2:5" x14ac:dyDescent="0.25">
      <c r="B27" s="630" t="s">
        <v>814</v>
      </c>
      <c r="C27" s="635" t="s">
        <v>878</v>
      </c>
      <c r="D27" s="145">
        <f>'[68]NPDCL_Cost Alloc_Factors'!$U32</f>
        <v>192.42386025105316</v>
      </c>
      <c r="E27" s="145">
        <f>'[68]NPDCL_Cost Alloc_Factors'!$V32</f>
        <v>197.27687128465564</v>
      </c>
    </row>
    <row r="28" spans="2:5" x14ac:dyDescent="0.25">
      <c r="B28" s="630" t="s">
        <v>816</v>
      </c>
      <c r="C28" s="635" t="s">
        <v>199</v>
      </c>
      <c r="D28" s="145">
        <f>'[68]NPDCL_Cost Alloc_Factors'!$U33</f>
        <v>0</v>
      </c>
      <c r="E28" s="145">
        <f>'[68]NPDCL_Cost Alloc_Factors'!$V33</f>
        <v>0</v>
      </c>
    </row>
    <row r="29" spans="2:5" hidden="1" x14ac:dyDescent="0.25">
      <c r="B29" s="630" t="s">
        <v>817</v>
      </c>
      <c r="C29" s="635" t="s">
        <v>798</v>
      </c>
      <c r="D29" s="145">
        <f>'[68]NPDCL_Cost Alloc_Factors'!$U34</f>
        <v>0</v>
      </c>
      <c r="E29" s="145">
        <f>'[68]NPDCL_Cost Alloc_Factors'!$V34</f>
        <v>0</v>
      </c>
    </row>
    <row r="30" spans="2:5" x14ac:dyDescent="0.25">
      <c r="B30" s="630"/>
      <c r="C30" s="636" t="s">
        <v>818</v>
      </c>
      <c r="D30" s="579"/>
      <c r="E30" s="579"/>
    </row>
    <row r="31" spans="2:5" x14ac:dyDescent="0.25">
      <c r="B31" s="630" t="s">
        <v>819</v>
      </c>
      <c r="C31" s="635" t="s">
        <v>802</v>
      </c>
      <c r="D31" s="145">
        <f>'[68]NPDCL_Cost Alloc_Factors'!$U39</f>
        <v>32.245177796506681</v>
      </c>
      <c r="E31" s="145">
        <f>'[68]NPDCL_Cost Alloc_Factors'!$V39</f>
        <v>33.058414800601469</v>
      </c>
    </row>
    <row r="32" spans="2:5" x14ac:dyDescent="0.25">
      <c r="B32" s="630" t="s">
        <v>820</v>
      </c>
      <c r="C32" s="635" t="s">
        <v>804</v>
      </c>
      <c r="D32" s="145">
        <f>'[68]NPDCL_Cost Alloc_Factors'!$U40</f>
        <v>4.3329767187639279</v>
      </c>
      <c r="E32" s="145">
        <f>'[68]NPDCL_Cost Alloc_Factors'!$V40</f>
        <v>4.4422562218207169</v>
      </c>
    </row>
    <row r="33" spans="2:5" x14ac:dyDescent="0.25">
      <c r="B33" s="630" t="s">
        <v>821</v>
      </c>
      <c r="C33" s="635" t="s">
        <v>498</v>
      </c>
      <c r="D33" s="145">
        <f>'[68]NPDCL_Cost Alloc_Factors'!$U41</f>
        <v>2.5592679121307369</v>
      </c>
      <c r="E33" s="145">
        <f>'[68]NPDCL_Cost Alloc_Factors'!$V41</f>
        <v>2.6238137298859305</v>
      </c>
    </row>
    <row r="34" spans="2:5" x14ac:dyDescent="0.25">
      <c r="B34" s="630" t="s">
        <v>822</v>
      </c>
      <c r="C34" s="635" t="s">
        <v>807</v>
      </c>
      <c r="D34" s="145">
        <f>'[68]NPDCL_Cost Alloc_Factors'!$U42</f>
        <v>0</v>
      </c>
      <c r="E34" s="145">
        <f>'[68]NPDCL_Cost Alloc_Factors'!$V42</f>
        <v>0</v>
      </c>
    </row>
    <row r="35" spans="2:5" x14ac:dyDescent="0.25">
      <c r="B35" s="630" t="s">
        <v>823</v>
      </c>
      <c r="C35" s="635" t="s">
        <v>809</v>
      </c>
      <c r="D35" s="145">
        <f>'[68]NPDCL_Cost Alloc_Factors'!$U43</f>
        <v>54.232708722968418</v>
      </c>
      <c r="E35" s="145">
        <f>'[68]NPDCL_Cost Alloc_Factors'!$V43</f>
        <v>55.600480544359655</v>
      </c>
    </row>
    <row r="36" spans="2:5" x14ac:dyDescent="0.25">
      <c r="B36" s="630" t="s">
        <v>824</v>
      </c>
      <c r="C36" s="635" t="s">
        <v>825</v>
      </c>
      <c r="D36" s="145">
        <f>'[68]NPDCL_Cost Alloc_Factors'!$U44</f>
        <v>5.7549685189010003</v>
      </c>
      <c r="E36" s="145">
        <f>'[68]NPDCL_Cost Alloc_Factors'!$V44</f>
        <v>5.9001112557935196</v>
      </c>
    </row>
    <row r="37" spans="2:5" x14ac:dyDescent="0.25">
      <c r="B37" s="630" t="s">
        <v>826</v>
      </c>
      <c r="C37" s="635" t="s">
        <v>827</v>
      </c>
      <c r="D37" s="145">
        <f>'[68]NPDCL_Cost Alloc_Factors'!$U45</f>
        <v>1.3645614782961999</v>
      </c>
      <c r="E37" s="145">
        <f>'[68]NPDCL_Cost Alloc_Factors'!$V45</f>
        <v>1.3989762951570635</v>
      </c>
    </row>
    <row r="38" spans="2:5" hidden="1" x14ac:dyDescent="0.25">
      <c r="B38" s="630" t="s">
        <v>828</v>
      </c>
      <c r="C38" s="635" t="s">
        <v>794</v>
      </c>
      <c r="D38" s="145">
        <f>'[68]NPDCL_Cost Alloc_Factors'!$U46</f>
        <v>0</v>
      </c>
      <c r="E38" s="145">
        <f>'[68]NPDCL_Cost Alloc_Factors'!$V46</f>
        <v>0</v>
      </c>
    </row>
    <row r="39" spans="2:5" x14ac:dyDescent="0.25">
      <c r="B39" s="630" t="s">
        <v>828</v>
      </c>
      <c r="C39" s="635" t="s">
        <v>794</v>
      </c>
      <c r="D39" s="145">
        <f>'[68]NPDCL_Cost Alloc_Factors'!$U47</f>
        <v>4.6782198821059522</v>
      </c>
      <c r="E39" s="145">
        <f>'[68]NPDCL_Cost Alloc_Factors'!$V47</f>
        <v>4.7962065635697675</v>
      </c>
    </row>
    <row r="40" spans="2:5" x14ac:dyDescent="0.25">
      <c r="B40" s="630"/>
      <c r="C40" s="636" t="s">
        <v>829</v>
      </c>
      <c r="D40" s="579"/>
      <c r="E40" s="579"/>
    </row>
    <row r="41" spans="2:5" x14ac:dyDescent="0.25">
      <c r="B41" s="630" t="s">
        <v>830</v>
      </c>
      <c r="C41" s="635" t="s">
        <v>802</v>
      </c>
      <c r="D41" s="145">
        <f>'[68]NPDCL_Cost Alloc_Factors'!$U52</f>
        <v>95.52238521896335</v>
      </c>
      <c r="E41" s="145">
        <f>'[68]NPDCL_Cost Alloc_Factors'!$V52</f>
        <v>97.931500121963637</v>
      </c>
    </row>
    <row r="42" spans="2:5" x14ac:dyDescent="0.25">
      <c r="B42" s="630" t="s">
        <v>831</v>
      </c>
      <c r="C42" s="635" t="s">
        <v>804</v>
      </c>
      <c r="D42" s="145">
        <f>'[68]NPDCL_Cost Alloc_Factors'!$U53</f>
        <v>0</v>
      </c>
      <c r="E42" s="145">
        <f>'[68]NPDCL_Cost Alloc_Factors'!$V53</f>
        <v>0</v>
      </c>
    </row>
    <row r="43" spans="2:5" x14ac:dyDescent="0.25">
      <c r="B43" s="630" t="s">
        <v>832</v>
      </c>
      <c r="C43" s="635" t="s">
        <v>498</v>
      </c>
      <c r="D43" s="145">
        <f>'[68]NPDCL_Cost Alloc_Factors'!$U54</f>
        <v>0.54490006033900484</v>
      </c>
      <c r="E43" s="145">
        <f>'[68]NPDCL_Cost Alloc_Factors'!$V54</f>
        <v>0.55864267002153456</v>
      </c>
    </row>
    <row r="44" spans="2:5" x14ac:dyDescent="0.25">
      <c r="B44" s="630" t="s">
        <v>833</v>
      </c>
      <c r="C44" s="635" t="s">
        <v>807</v>
      </c>
      <c r="D44" s="145">
        <f>'[68]NPDCL_Cost Alloc_Factors'!$U55</f>
        <v>0</v>
      </c>
      <c r="E44" s="145">
        <f>'[68]NPDCL_Cost Alloc_Factors'!$V55</f>
        <v>0</v>
      </c>
    </row>
    <row r="45" spans="2:5" x14ac:dyDescent="0.25">
      <c r="B45" s="630" t="s">
        <v>834</v>
      </c>
      <c r="C45" s="635" t="s">
        <v>809</v>
      </c>
      <c r="D45" s="145">
        <f>'[68]NPDCL_Cost Alloc_Factors'!$U56</f>
        <v>211.59871758047737</v>
      </c>
      <c r="E45" s="145">
        <f>'[68]NPDCL_Cost Alloc_Factors'!$V56</f>
        <v>216.93532661521155</v>
      </c>
    </row>
    <row r="46" spans="2:5" x14ac:dyDescent="0.25">
      <c r="B46" s="630" t="s">
        <v>835</v>
      </c>
      <c r="C46" s="635" t="s">
        <v>836</v>
      </c>
      <c r="D46" s="145">
        <f>'[68]NPDCL_Cost Alloc_Factors'!$U57</f>
        <v>84.029839615083546</v>
      </c>
      <c r="E46" s="145">
        <f>'[68]NPDCL_Cost Alloc_Factors'!$V57</f>
        <v>86.149107663608291</v>
      </c>
    </row>
    <row r="47" spans="2:5" x14ac:dyDescent="0.25">
      <c r="B47" s="630" t="s">
        <v>837</v>
      </c>
      <c r="C47" s="635" t="s">
        <v>838</v>
      </c>
      <c r="D47" s="145">
        <f>'[68]NPDCL_Cost Alloc_Factors'!$U58</f>
        <v>0</v>
      </c>
      <c r="E47" s="145">
        <f>'[68]NPDCL_Cost Alloc_Factors'!$V58</f>
        <v>0</v>
      </c>
    </row>
    <row r="48" spans="2:5" x14ac:dyDescent="0.25">
      <c r="B48" s="630" t="s">
        <v>867</v>
      </c>
      <c r="C48" s="635" t="s">
        <v>825</v>
      </c>
      <c r="D48" s="145">
        <f>'[68]NPDCL_Cost Alloc_Factors'!$U59</f>
        <v>7.6422106303478268</v>
      </c>
      <c r="E48" s="145">
        <f>'[68]NPDCL_Cost Alloc_Factors'!$V59</f>
        <v>7.8349504104447671</v>
      </c>
    </row>
    <row r="49" spans="2:6" x14ac:dyDescent="0.25">
      <c r="B49" s="630" t="s">
        <v>840</v>
      </c>
      <c r="C49" s="635" t="s">
        <v>827</v>
      </c>
      <c r="D49" s="145">
        <f>'[68]NPDCL_Cost Alloc_Factors'!$U60</f>
        <v>0</v>
      </c>
      <c r="E49" s="145">
        <f>'[68]NPDCL_Cost Alloc_Factors'!$V60</f>
        <v>0</v>
      </c>
    </row>
    <row r="50" spans="2:6" hidden="1" x14ac:dyDescent="0.25">
      <c r="B50" s="630" t="s">
        <v>841</v>
      </c>
      <c r="C50" s="635" t="s">
        <v>199</v>
      </c>
      <c r="D50" s="145">
        <f>'[68]NPDCL_Cost Alloc_Factors'!$U61</f>
        <v>0</v>
      </c>
      <c r="E50" s="145">
        <f>'[68]NPDCL_Cost Alloc_Factors'!$V61</f>
        <v>0</v>
      </c>
    </row>
    <row r="51" spans="2:6" x14ac:dyDescent="0.25">
      <c r="B51" s="786" t="s">
        <v>220</v>
      </c>
      <c r="C51" s="786"/>
      <c r="D51" s="638">
        <f>SUM(D8:D50)</f>
        <v>4174.2982739680365</v>
      </c>
      <c r="E51" s="638">
        <f>SUM(E8:E50)</f>
        <v>4279.5758396227538</v>
      </c>
      <c r="F51" s="631"/>
    </row>
    <row r="52" spans="2:6" ht="14.4" x14ac:dyDescent="0.25">
      <c r="C52" s="653"/>
      <c r="D52" s="631"/>
      <c r="E52" s="631"/>
    </row>
  </sheetData>
  <mergeCells count="6">
    <mergeCell ref="C3:E3"/>
    <mergeCell ref="B51:C51"/>
    <mergeCell ref="B5:C6"/>
    <mergeCell ref="D5:E5"/>
    <mergeCell ref="B7:C7"/>
    <mergeCell ref="B18:C18"/>
  </mergeCells>
  <pageMargins left="0.7" right="0.7" top="0.5" bottom="0.5" header="0.3" footer="0.3"/>
  <pageSetup paperSize="9" scale="7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52"/>
  <sheetViews>
    <sheetView showGridLines="0" view="pageBreakPreview" topLeftCell="A13" zoomScale="60" zoomScaleNormal="80" workbookViewId="0">
      <selection activeCell="K17" sqref="K17"/>
    </sheetView>
  </sheetViews>
  <sheetFormatPr defaultColWidth="9.33203125" defaultRowHeight="13.8" x14ac:dyDescent="0.25"/>
  <cols>
    <col min="1" max="1" width="9.33203125" style="571"/>
    <col min="2" max="2" width="22.6640625" style="571" bestFit="1" customWidth="1"/>
    <col min="3" max="3" width="64.33203125" style="571" customWidth="1"/>
    <col min="4" max="4" width="24.5546875" style="571" customWidth="1"/>
    <col min="5" max="5" width="28.44140625" style="571" customWidth="1"/>
    <col min="6" max="10" width="9.33203125" style="571"/>
    <col min="11" max="11" width="17.5546875" style="571" customWidth="1"/>
    <col min="12" max="17" width="9.33203125" style="571"/>
    <col min="18" max="18" width="19.6640625" style="571" customWidth="1"/>
    <col min="19" max="24" width="9.33203125" style="571"/>
    <col min="25" max="25" width="19.6640625" style="571" customWidth="1"/>
    <col min="26" max="16384" width="9.33203125" style="571"/>
  </cols>
  <sheetData>
    <row r="2" spans="2:16" x14ac:dyDescent="0.25">
      <c r="B2" s="890" t="s">
        <v>160</v>
      </c>
      <c r="C2" s="890"/>
      <c r="D2" s="890"/>
      <c r="E2" s="890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</row>
    <row r="3" spans="2:16" ht="14.25" customHeight="1" x14ac:dyDescent="0.25">
      <c r="C3" s="898" t="s">
        <v>879</v>
      </c>
      <c r="D3" s="898"/>
      <c r="E3" s="898"/>
    </row>
    <row r="4" spans="2:16" x14ac:dyDescent="0.25">
      <c r="E4" s="642" t="s">
        <v>3</v>
      </c>
    </row>
    <row r="5" spans="2:16" x14ac:dyDescent="0.25">
      <c r="B5" s="799" t="s">
        <v>163</v>
      </c>
      <c r="C5" s="799"/>
      <c r="D5" s="786" t="s">
        <v>549</v>
      </c>
      <c r="E5" s="786"/>
    </row>
    <row r="6" spans="2:16" x14ac:dyDescent="0.25">
      <c r="B6" s="799"/>
      <c r="C6" s="799"/>
      <c r="D6" s="656" t="s">
        <v>772</v>
      </c>
      <c r="E6" s="656" t="s">
        <v>773</v>
      </c>
    </row>
    <row r="7" spans="2:16" x14ac:dyDescent="0.25">
      <c r="B7" s="881" t="s">
        <v>781</v>
      </c>
      <c r="C7" s="882"/>
      <c r="D7" s="579"/>
      <c r="E7" s="579"/>
    </row>
    <row r="8" spans="2:16" x14ac:dyDescent="0.25">
      <c r="B8" s="630" t="s">
        <v>172</v>
      </c>
      <c r="C8" s="630" t="s">
        <v>173</v>
      </c>
      <c r="D8" s="145">
        <f>[68]NPDCL_Output!$H9</f>
        <v>1024.1837235439539</v>
      </c>
      <c r="E8" s="145">
        <f>[68]NPDCL_Output!$I9</f>
        <v>1900.8061091042</v>
      </c>
    </row>
    <row r="9" spans="2:16" x14ac:dyDescent="0.25">
      <c r="B9" s="630" t="s">
        <v>783</v>
      </c>
      <c r="C9" s="630" t="s">
        <v>175</v>
      </c>
      <c r="D9" s="145">
        <f>[68]NPDCL_Output!$H10</f>
        <v>223.04542023558992</v>
      </c>
      <c r="E9" s="145">
        <f>[68]NPDCL_Output!$I10</f>
        <v>416.47721265122289</v>
      </c>
    </row>
    <row r="10" spans="2:16" x14ac:dyDescent="0.25">
      <c r="B10" s="630" t="s">
        <v>784</v>
      </c>
      <c r="C10" s="630" t="s">
        <v>785</v>
      </c>
      <c r="D10" s="145">
        <f>[68]NPDCL_Output!$H11</f>
        <v>49.136395106394382</v>
      </c>
      <c r="E10" s="145">
        <f>[68]NPDCL_Output!$I11</f>
        <v>92.816984142316528</v>
      </c>
    </row>
    <row r="11" spans="2:16" x14ac:dyDescent="0.25">
      <c r="B11" s="630" t="s">
        <v>786</v>
      </c>
      <c r="C11" s="630" t="s">
        <v>787</v>
      </c>
      <c r="D11" s="145">
        <f>[68]NPDCL_Output!$H12</f>
        <v>1.7991260066680432</v>
      </c>
      <c r="E11" s="145">
        <f>[68]NPDCL_Output!$I12</f>
        <v>3.2921051383186266</v>
      </c>
    </row>
    <row r="12" spans="2:16" x14ac:dyDescent="0.25">
      <c r="B12" s="630" t="s">
        <v>788</v>
      </c>
      <c r="C12" s="630" t="s">
        <v>203</v>
      </c>
      <c r="D12" s="145">
        <f>[68]NPDCL_Output!$H13</f>
        <v>2665.0631765939929</v>
      </c>
      <c r="E12" s="145">
        <f>[68]NPDCL_Output!$I13</f>
        <v>4002.0754488321672</v>
      </c>
    </row>
    <row r="13" spans="2:16" x14ac:dyDescent="0.25">
      <c r="B13" s="630" t="s">
        <v>789</v>
      </c>
      <c r="C13" s="630" t="s">
        <v>790</v>
      </c>
      <c r="D13" s="145">
        <f>[68]NPDCL_Output!$H14</f>
        <v>67.5192486218792</v>
      </c>
      <c r="E13" s="145">
        <f>[68]NPDCL_Output!$I14</f>
        <v>149.9286616984183</v>
      </c>
    </row>
    <row r="14" spans="2:16" x14ac:dyDescent="0.25">
      <c r="B14" s="630" t="s">
        <v>791</v>
      </c>
      <c r="C14" s="630" t="s">
        <v>792</v>
      </c>
      <c r="D14" s="145">
        <f>[68]NPDCL_Output!$H15</f>
        <v>15.329079240045793</v>
      </c>
      <c r="E14" s="145">
        <f>[68]NPDCL_Output!$I15</f>
        <v>34.038713143859447</v>
      </c>
    </row>
    <row r="15" spans="2:16" x14ac:dyDescent="0.25">
      <c r="B15" s="630" t="s">
        <v>793</v>
      </c>
      <c r="C15" s="630" t="s">
        <v>794</v>
      </c>
      <c r="D15" s="145">
        <f>[68]NPDCL_Output!$H16</f>
        <v>3.0801303052134205E-2</v>
      </c>
      <c r="E15" s="145">
        <f>[68]NPDCL_Output!$I16</f>
        <v>6.6489047552519859E-2</v>
      </c>
    </row>
    <row r="16" spans="2:16" hidden="1" x14ac:dyDescent="0.25">
      <c r="B16" s="630" t="s">
        <v>795</v>
      </c>
      <c r="C16" s="630" t="s">
        <v>796</v>
      </c>
      <c r="D16" s="145">
        <f>[68]NPDCL_Output!$H17</f>
        <v>0</v>
      </c>
      <c r="E16" s="145">
        <f>[68]NPDCL_Output!$I17</f>
        <v>0</v>
      </c>
    </row>
    <row r="17" spans="2:5" hidden="1" x14ac:dyDescent="0.25">
      <c r="B17" s="630" t="s">
        <v>797</v>
      </c>
      <c r="C17" s="633" t="s">
        <v>798</v>
      </c>
      <c r="D17" s="145">
        <f>[68]NPDCL_Output!$H18</f>
        <v>0</v>
      </c>
      <c r="E17" s="145">
        <f>[68]NPDCL_Output!$I18</f>
        <v>0</v>
      </c>
    </row>
    <row r="18" spans="2:5" x14ac:dyDescent="0.25">
      <c r="B18" s="881" t="s">
        <v>799</v>
      </c>
      <c r="C18" s="882"/>
      <c r="D18" s="579"/>
      <c r="E18" s="579"/>
    </row>
    <row r="19" spans="2:5" x14ac:dyDescent="0.25">
      <c r="B19" s="630"/>
      <c r="C19" s="634" t="s">
        <v>800</v>
      </c>
      <c r="D19" s="579"/>
      <c r="E19" s="579"/>
    </row>
    <row r="20" spans="2:5" x14ac:dyDescent="0.25">
      <c r="B20" s="630" t="s">
        <v>801</v>
      </c>
      <c r="C20" s="635" t="s">
        <v>802</v>
      </c>
      <c r="D20" s="145">
        <f>[68]NPDCL_Output!$H23</f>
        <v>222.3996148125577</v>
      </c>
      <c r="E20" s="145">
        <f>[68]NPDCL_Output!$I23</f>
        <v>441.77508634554948</v>
      </c>
    </row>
    <row r="21" spans="2:5" x14ac:dyDescent="0.25">
      <c r="B21" s="630" t="s">
        <v>803</v>
      </c>
      <c r="C21" s="635" t="s">
        <v>804</v>
      </c>
      <c r="D21" s="145">
        <f>[68]NPDCL_Output!$H24</f>
        <v>0</v>
      </c>
      <c r="E21" s="145">
        <f>[68]NPDCL_Output!$I24</f>
        <v>0</v>
      </c>
    </row>
    <row r="22" spans="2:5" x14ac:dyDescent="0.25">
      <c r="B22" s="630" t="s">
        <v>805</v>
      </c>
      <c r="C22" s="635" t="s">
        <v>498</v>
      </c>
      <c r="D22" s="145">
        <f>[68]NPDCL_Output!$H25</f>
        <v>44.04683231659908</v>
      </c>
      <c r="E22" s="145">
        <f>[68]NPDCL_Output!$I25</f>
        <v>92.177117616192504</v>
      </c>
    </row>
    <row r="23" spans="2:5" x14ac:dyDescent="0.25">
      <c r="B23" s="630" t="s">
        <v>806</v>
      </c>
      <c r="C23" s="630" t="s">
        <v>807</v>
      </c>
      <c r="D23" s="145">
        <f>[68]NPDCL_Output!$H26</f>
        <v>1.5424604034324674</v>
      </c>
      <c r="E23" s="145">
        <f>[68]NPDCL_Output!$I26</f>
        <v>3.1350781568988801</v>
      </c>
    </row>
    <row r="24" spans="2:5" x14ac:dyDescent="0.25">
      <c r="B24" s="630" t="s">
        <v>808</v>
      </c>
      <c r="C24" s="635" t="s">
        <v>809</v>
      </c>
      <c r="D24" s="145">
        <f>[68]NPDCL_Output!$H27</f>
        <v>36.469304859731366</v>
      </c>
      <c r="E24" s="145">
        <f>[68]NPDCL_Output!$I27</f>
        <v>69.450215371876283</v>
      </c>
    </row>
    <row r="25" spans="2:5" x14ac:dyDescent="0.25">
      <c r="B25" s="630" t="s">
        <v>810</v>
      </c>
      <c r="C25" s="635" t="s">
        <v>811</v>
      </c>
      <c r="D25" s="145">
        <f>[68]NPDCL_Output!$H28</f>
        <v>1.9771219759110312</v>
      </c>
      <c r="E25" s="145">
        <f>[68]NPDCL_Output!$I28</f>
        <v>3.3724714377231462</v>
      </c>
    </row>
    <row r="26" spans="2:5" x14ac:dyDescent="0.25">
      <c r="B26" s="630" t="s">
        <v>812</v>
      </c>
      <c r="C26" s="635" t="s">
        <v>813</v>
      </c>
      <c r="D26" s="145">
        <f>[68]NPDCL_Output!$H29</f>
        <v>2.655022706541073</v>
      </c>
      <c r="E26" s="145">
        <f>[68]NPDCL_Output!$I29</f>
        <v>5.325942641840272</v>
      </c>
    </row>
    <row r="27" spans="2:5" x14ac:dyDescent="0.25">
      <c r="B27" s="630" t="s">
        <v>814</v>
      </c>
      <c r="C27" s="635" t="s">
        <v>815</v>
      </c>
      <c r="D27" s="145">
        <f>[68]NPDCL_Output!$H30</f>
        <v>143.85454312926743</v>
      </c>
      <c r="E27" s="145">
        <f>[68]NPDCL_Output!$I30</f>
        <v>439.25463035803818</v>
      </c>
    </row>
    <row r="28" spans="2:5" x14ac:dyDescent="0.25">
      <c r="B28" s="630" t="s">
        <v>816</v>
      </c>
      <c r="C28" s="635" t="s">
        <v>199</v>
      </c>
      <c r="D28" s="145">
        <f>[68]NPDCL_Output!$H31</f>
        <v>0</v>
      </c>
      <c r="E28" s="145">
        <f>[68]NPDCL_Output!$I31</f>
        <v>0.11613590578807513</v>
      </c>
    </row>
    <row r="29" spans="2:5" hidden="1" x14ac:dyDescent="0.25">
      <c r="B29" s="630" t="s">
        <v>817</v>
      </c>
      <c r="C29" s="635" t="s">
        <v>798</v>
      </c>
      <c r="D29" s="145">
        <f>[68]NPDCL_Output!$H32</f>
        <v>0</v>
      </c>
      <c r="E29" s="145">
        <f>[68]NPDCL_Output!$I32</f>
        <v>0</v>
      </c>
    </row>
    <row r="30" spans="2:5" x14ac:dyDescent="0.25">
      <c r="B30" s="630"/>
      <c r="C30" s="636" t="s">
        <v>818</v>
      </c>
      <c r="D30" s="579"/>
      <c r="E30" s="579"/>
    </row>
    <row r="31" spans="2:5" x14ac:dyDescent="0.25">
      <c r="B31" s="630" t="s">
        <v>819</v>
      </c>
      <c r="C31" s="635" t="s">
        <v>802</v>
      </c>
      <c r="D31" s="145">
        <f>[68]NPDCL_Output!$H37</f>
        <v>43.654809345489689</v>
      </c>
      <c r="E31" s="145">
        <f>[68]NPDCL_Output!$I37</f>
        <v>79.40626281838712</v>
      </c>
    </row>
    <row r="32" spans="2:5" x14ac:dyDescent="0.25">
      <c r="B32" s="630" t="s">
        <v>820</v>
      </c>
      <c r="C32" s="635" t="s">
        <v>804</v>
      </c>
      <c r="D32" s="145">
        <f>[68]NPDCL_Output!$H38</f>
        <v>5.9862185456796642</v>
      </c>
      <c r="E32" s="145">
        <f>[68]NPDCL_Output!$I38</f>
        <v>12.393606457582173</v>
      </c>
    </row>
    <row r="33" spans="2:5" x14ac:dyDescent="0.25">
      <c r="B33" s="630" t="s">
        <v>821</v>
      </c>
      <c r="C33" s="635" t="s">
        <v>498</v>
      </c>
      <c r="D33" s="145">
        <f>[68]NPDCL_Output!$H39</f>
        <v>3.0925563076096476</v>
      </c>
      <c r="E33" s="145">
        <f>[68]NPDCL_Output!$I39</f>
        <v>5.8143204085671405</v>
      </c>
    </row>
    <row r="34" spans="2:5" x14ac:dyDescent="0.25">
      <c r="B34" s="630" t="s">
        <v>822</v>
      </c>
      <c r="C34" s="635" t="s">
        <v>807</v>
      </c>
      <c r="D34" s="145">
        <f>[68]NPDCL_Output!$H40</f>
        <v>0</v>
      </c>
      <c r="E34" s="145">
        <f>[68]NPDCL_Output!$I40</f>
        <v>0</v>
      </c>
    </row>
    <row r="35" spans="2:5" x14ac:dyDescent="0.25">
      <c r="B35" s="630" t="s">
        <v>823</v>
      </c>
      <c r="C35" s="635" t="s">
        <v>809</v>
      </c>
      <c r="D35" s="145">
        <f>[68]NPDCL_Output!$H41</f>
        <v>73.067643785531914</v>
      </c>
      <c r="E35" s="145">
        <f>[68]NPDCL_Output!$I41</f>
        <v>144.77808022852375</v>
      </c>
    </row>
    <row r="36" spans="2:5" x14ac:dyDescent="0.25">
      <c r="B36" s="630" t="s">
        <v>824</v>
      </c>
      <c r="C36" s="635" t="s">
        <v>825</v>
      </c>
      <c r="D36" s="145">
        <f>[68]NPDCL_Output!$H42</f>
        <v>7.24331904665687</v>
      </c>
      <c r="E36" s="145">
        <f>[68]NPDCL_Output!$I42</f>
        <v>12.064675148563628</v>
      </c>
    </row>
    <row r="37" spans="2:5" x14ac:dyDescent="0.25">
      <c r="B37" s="630" t="s">
        <v>826</v>
      </c>
      <c r="C37" s="635" t="s">
        <v>827</v>
      </c>
      <c r="D37" s="145">
        <f>[68]NPDCL_Output!$H43</f>
        <v>1.7728030640448771</v>
      </c>
      <c r="E37" s="145">
        <f>[68]NPDCL_Output!$I43</f>
        <v>2.8988822594690946</v>
      </c>
    </row>
    <row r="38" spans="2:5" hidden="1" x14ac:dyDescent="0.25">
      <c r="B38" s="630" t="s">
        <v>828</v>
      </c>
      <c r="C38" s="635" t="s">
        <v>199</v>
      </c>
      <c r="D38" s="145">
        <f>[68]NPDCL_Output!$H44</f>
        <v>0</v>
      </c>
      <c r="E38" s="145">
        <f>[68]NPDCL_Output!$I44</f>
        <v>0</v>
      </c>
    </row>
    <row r="39" spans="2:5" x14ac:dyDescent="0.25">
      <c r="B39" s="630" t="s">
        <v>880</v>
      </c>
      <c r="C39" s="635" t="s">
        <v>794</v>
      </c>
      <c r="D39" s="145">
        <f>[68]NPDCL_Output!$H45</f>
        <v>0</v>
      </c>
      <c r="E39" s="145">
        <f>[68]NPDCL_Output!$I45</f>
        <v>13.665421903403363</v>
      </c>
    </row>
    <row r="40" spans="2:5" x14ac:dyDescent="0.25">
      <c r="B40" s="630"/>
      <c r="C40" s="636" t="s">
        <v>829</v>
      </c>
      <c r="D40" s="579"/>
      <c r="E40" s="579"/>
    </row>
    <row r="41" spans="2:5" x14ac:dyDescent="0.25">
      <c r="B41" s="630" t="s">
        <v>830</v>
      </c>
      <c r="C41" s="635" t="s">
        <v>802</v>
      </c>
      <c r="D41" s="145">
        <f>[68]NPDCL_Output!$H50</f>
        <v>101.55586078487843</v>
      </c>
      <c r="E41" s="145">
        <f>[68]NPDCL_Output!$I50</f>
        <v>219.95389473462055</v>
      </c>
    </row>
    <row r="42" spans="2:5" x14ac:dyDescent="0.25">
      <c r="B42" s="630" t="s">
        <v>831</v>
      </c>
      <c r="C42" s="635" t="s">
        <v>804</v>
      </c>
      <c r="D42" s="145">
        <f>[68]NPDCL_Output!$H51</f>
        <v>0</v>
      </c>
      <c r="E42" s="145">
        <f>[68]NPDCL_Output!$I51</f>
        <v>0</v>
      </c>
    </row>
    <row r="43" spans="2:5" x14ac:dyDescent="0.25">
      <c r="B43" s="630" t="s">
        <v>832</v>
      </c>
      <c r="C43" s="635" t="s">
        <v>498</v>
      </c>
      <c r="D43" s="145">
        <f>[68]NPDCL_Output!$H52</f>
        <v>0.75817564819941341</v>
      </c>
      <c r="E43" s="145">
        <f>[68]NPDCL_Output!$I52</f>
        <v>1.5869693777547742</v>
      </c>
    </row>
    <row r="44" spans="2:5" x14ac:dyDescent="0.25">
      <c r="B44" s="630" t="s">
        <v>833</v>
      </c>
      <c r="C44" s="635" t="s">
        <v>807</v>
      </c>
      <c r="D44" s="145">
        <f>[68]NPDCL_Output!$H53</f>
        <v>0</v>
      </c>
      <c r="E44" s="145">
        <f>[68]NPDCL_Output!$I53</f>
        <v>0</v>
      </c>
    </row>
    <row r="45" spans="2:5" x14ac:dyDescent="0.25">
      <c r="B45" s="630" t="s">
        <v>834</v>
      </c>
      <c r="C45" s="635" t="s">
        <v>809</v>
      </c>
      <c r="D45" s="145">
        <f>[68]NPDCL_Output!$H54</f>
        <v>251.77995002879408</v>
      </c>
      <c r="E45" s="145">
        <f>[68]NPDCL_Output!$I54</f>
        <v>527.98847600646968</v>
      </c>
    </row>
    <row r="46" spans="2:5" x14ac:dyDescent="0.25">
      <c r="B46" s="630" t="s">
        <v>835</v>
      </c>
      <c r="C46" s="635" t="s">
        <v>836</v>
      </c>
      <c r="D46" s="145">
        <f>[68]NPDCL_Output!$H55</f>
        <v>114.43888622048397</v>
      </c>
      <c r="E46" s="145">
        <f>[68]NPDCL_Output!$I55</f>
        <v>231.1091925244562</v>
      </c>
    </row>
    <row r="47" spans="2:5" x14ac:dyDescent="0.25">
      <c r="B47" s="630" t="s">
        <v>837</v>
      </c>
      <c r="C47" s="635" t="s">
        <v>838</v>
      </c>
      <c r="D47" s="145">
        <f>[68]NPDCL_Output!$H56</f>
        <v>0</v>
      </c>
      <c r="E47" s="145">
        <f>[68]NPDCL_Output!$I56</f>
        <v>0</v>
      </c>
    </row>
    <row r="48" spans="2:5" x14ac:dyDescent="0.25">
      <c r="B48" s="630" t="s">
        <v>839</v>
      </c>
      <c r="C48" s="635" t="s">
        <v>825</v>
      </c>
      <c r="D48" s="145">
        <f>[68]NPDCL_Output!$H57</f>
        <v>10.77789220968706</v>
      </c>
      <c r="E48" s="145">
        <f>[68]NPDCL_Output!$I57</f>
        <v>22.727426901298301</v>
      </c>
    </row>
    <row r="49" spans="2:5" x14ac:dyDescent="0.25">
      <c r="B49" s="630" t="s">
        <v>840</v>
      </c>
      <c r="C49" s="635" t="s">
        <v>827</v>
      </c>
      <c r="D49" s="145">
        <f>[68]NPDCL_Output!$H58</f>
        <v>0</v>
      </c>
      <c r="E49" s="145">
        <f>[68]NPDCL_Output!$I58</f>
        <v>0</v>
      </c>
    </row>
    <row r="50" spans="2:5" x14ac:dyDescent="0.25">
      <c r="B50" s="630" t="s">
        <v>841</v>
      </c>
      <c r="C50" s="635" t="s">
        <v>199</v>
      </c>
      <c r="D50" s="145">
        <f>[68]NPDCL_Output!$H59</f>
        <v>0</v>
      </c>
      <c r="E50" s="145">
        <f>[68]NPDCL_Output!$I59</f>
        <v>0</v>
      </c>
    </row>
    <row r="51" spans="2:5" x14ac:dyDescent="0.25">
      <c r="B51" s="786" t="s">
        <v>220</v>
      </c>
      <c r="C51" s="786"/>
      <c r="D51" s="638">
        <f>SUM(D8:D50)</f>
        <v>5113.1799858426721</v>
      </c>
      <c r="E51" s="638">
        <f>SUM(E8:E50)</f>
        <v>8928.4956103610584</v>
      </c>
    </row>
    <row r="52" spans="2:5" ht="14.4" x14ac:dyDescent="0.25">
      <c r="C52" s="653"/>
      <c r="D52" s="631"/>
      <c r="E52" s="631"/>
    </row>
  </sheetData>
  <mergeCells count="7">
    <mergeCell ref="B2:E2"/>
    <mergeCell ref="B51:C51"/>
    <mergeCell ref="B5:C6"/>
    <mergeCell ref="D5:E5"/>
    <mergeCell ref="B7:C7"/>
    <mergeCell ref="B18:C18"/>
    <mergeCell ref="C3:E3"/>
  </mergeCells>
  <pageMargins left="0.7" right="0.7" top="0.75" bottom="0.75" header="0.3" footer="0.3"/>
  <pageSetup paperSize="9" scale="7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53"/>
  <sheetViews>
    <sheetView showGridLines="0" view="pageBreakPreview" zoomScale="60" zoomScaleNormal="80" workbookViewId="0">
      <selection activeCell="K17" sqref="K17"/>
    </sheetView>
  </sheetViews>
  <sheetFormatPr defaultColWidth="9.33203125" defaultRowHeight="13.8" x14ac:dyDescent="0.25"/>
  <cols>
    <col min="1" max="1" width="9.33203125" style="571"/>
    <col min="2" max="2" width="21.5546875" style="571" customWidth="1"/>
    <col min="3" max="3" width="46.6640625" style="571" customWidth="1"/>
    <col min="4" max="4" width="18" style="571" customWidth="1"/>
    <col min="5" max="5" width="16.5546875" style="571" customWidth="1"/>
    <col min="6" max="6" width="24.5546875" style="571" customWidth="1"/>
    <col min="7" max="7" width="18.44140625" style="571" customWidth="1"/>
    <col min="8" max="10" width="9.33203125" style="571"/>
    <col min="11" max="11" width="17.5546875" style="571" customWidth="1"/>
    <col min="12" max="17" width="9.33203125" style="571"/>
    <col min="18" max="18" width="19.6640625" style="571" customWidth="1"/>
    <col min="19" max="24" width="9.33203125" style="571"/>
    <col min="25" max="25" width="19.6640625" style="571" customWidth="1"/>
    <col min="26" max="16384" width="9.33203125" style="571"/>
  </cols>
  <sheetData>
    <row r="2" spans="2:16" x14ac:dyDescent="0.25">
      <c r="C2" s="641"/>
      <c r="D2" s="641" t="s">
        <v>160</v>
      </c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</row>
    <row r="3" spans="2:16" ht="14.25" customHeight="1" x14ac:dyDescent="0.25">
      <c r="B3" s="898" t="s">
        <v>881</v>
      </c>
      <c r="C3" s="898"/>
      <c r="D3" s="898"/>
      <c r="E3" s="898"/>
      <c r="F3" s="898"/>
      <c r="G3" s="898"/>
    </row>
    <row r="4" spans="2:16" x14ac:dyDescent="0.25">
      <c r="G4" s="642" t="s">
        <v>3</v>
      </c>
    </row>
    <row r="5" spans="2:16" x14ac:dyDescent="0.25">
      <c r="B5" s="799" t="s">
        <v>163</v>
      </c>
      <c r="C5" s="799"/>
      <c r="D5" s="773" t="s">
        <v>549</v>
      </c>
      <c r="E5" s="892"/>
      <c r="F5" s="892"/>
      <c r="G5" s="774"/>
    </row>
    <row r="6" spans="2:16" ht="30.6" customHeight="1" x14ac:dyDescent="0.25">
      <c r="B6" s="799"/>
      <c r="C6" s="799"/>
      <c r="D6" s="899" t="s">
        <v>142</v>
      </c>
      <c r="E6" s="900"/>
      <c r="F6" s="899" t="s">
        <v>882</v>
      </c>
      <c r="G6" s="900"/>
    </row>
    <row r="7" spans="2:16" x14ac:dyDescent="0.25">
      <c r="B7" s="799"/>
      <c r="C7" s="799"/>
      <c r="D7" s="656" t="s">
        <v>772</v>
      </c>
      <c r="E7" s="656" t="s">
        <v>773</v>
      </c>
      <c r="F7" s="656" t="s">
        <v>772</v>
      </c>
      <c r="G7" s="656" t="s">
        <v>773</v>
      </c>
    </row>
    <row r="8" spans="2:16" x14ac:dyDescent="0.25">
      <c r="B8" s="881" t="s">
        <v>781</v>
      </c>
      <c r="C8" s="882"/>
      <c r="D8" s="579"/>
      <c r="E8" s="579"/>
      <c r="F8" s="579"/>
      <c r="G8" s="579"/>
    </row>
    <row r="9" spans="2:16" x14ac:dyDescent="0.25">
      <c r="B9" s="630" t="s">
        <v>172</v>
      </c>
      <c r="C9" s="630" t="s">
        <v>173</v>
      </c>
      <c r="D9" s="145">
        <f>[68]NPDCL_Output!$K9*[68]NPDCL_Switch_Selection!$I$46</f>
        <v>129.5576052069386</v>
      </c>
      <c r="E9" s="145">
        <f>[68]NPDCL_Output!$L9*[68]NPDCL_Switch_Selection!$I$46</f>
        <v>0</v>
      </c>
      <c r="F9" s="145">
        <f>[68]NPDCL_Output!$K9*[68]NPDCL_Switch_Selection!$I$45</f>
        <v>115.81545889299863</v>
      </c>
      <c r="G9" s="145">
        <f>[68]NPDCL_Output!$L9*[68]NPDCL_Switch_Selection!$I$45</f>
        <v>0</v>
      </c>
    </row>
    <row r="10" spans="2:16" x14ac:dyDescent="0.25">
      <c r="B10" s="630" t="s">
        <v>783</v>
      </c>
      <c r="C10" s="630" t="s">
        <v>175</v>
      </c>
      <c r="D10" s="145">
        <f>[68]NPDCL_Output!$K10*[68]NPDCL_Switch_Selection!$I$46</f>
        <v>30.691172520763942</v>
      </c>
      <c r="E10" s="145">
        <f>[68]NPDCL_Output!$L10*[68]NPDCL_Switch_Selection!$I$46</f>
        <v>0</v>
      </c>
      <c r="F10" s="145">
        <f>[68]NPDCL_Output!$K10*[68]NPDCL_Switch_Selection!$I$45</f>
        <v>27.435766690646581</v>
      </c>
      <c r="G10" s="145">
        <f>[68]NPDCL_Output!$L10*[68]NPDCL_Switch_Selection!$I$45</f>
        <v>0</v>
      </c>
    </row>
    <row r="11" spans="2:16" x14ac:dyDescent="0.25">
      <c r="B11" s="630" t="s">
        <v>784</v>
      </c>
      <c r="C11" s="630" t="s">
        <v>785</v>
      </c>
      <c r="D11" s="145">
        <f>[68]NPDCL_Output!$K11*[68]NPDCL_Switch_Selection!$I$46</f>
        <v>5.9621746928105752</v>
      </c>
      <c r="E11" s="145">
        <f>[68]NPDCL_Output!$L11*[68]NPDCL_Switch_Selection!$I$46</f>
        <v>0</v>
      </c>
      <c r="F11" s="145">
        <f>[68]NPDCL_Output!$K11*[68]NPDCL_Switch_Selection!$I$45</f>
        <v>5.3297681517433517</v>
      </c>
      <c r="G11" s="145">
        <f>[68]NPDCL_Output!$L11*[68]NPDCL_Switch_Selection!$I$45</f>
        <v>0</v>
      </c>
    </row>
    <row r="12" spans="2:16" x14ac:dyDescent="0.25">
      <c r="B12" s="630" t="s">
        <v>786</v>
      </c>
      <c r="C12" s="630" t="s">
        <v>787</v>
      </c>
      <c r="D12" s="145">
        <f>[68]NPDCL_Output!$K12*[68]NPDCL_Switch_Selection!$I$46</f>
        <v>0.29674268933611259</v>
      </c>
      <c r="E12" s="145">
        <f>[68]NPDCL_Output!$L12*[68]NPDCL_Switch_Selection!$I$46</f>
        <v>0</v>
      </c>
      <c r="F12" s="145">
        <f>[68]NPDCL_Output!$K12*[68]NPDCL_Switch_Selection!$I$45</f>
        <v>0.26526725840378401</v>
      </c>
      <c r="G12" s="145">
        <f>[68]NPDCL_Output!$L12*[68]NPDCL_Switch_Selection!$I$45</f>
        <v>0</v>
      </c>
    </row>
    <row r="13" spans="2:16" x14ac:dyDescent="0.25">
      <c r="B13" s="630" t="s">
        <v>788</v>
      </c>
      <c r="C13" s="630" t="s">
        <v>203</v>
      </c>
      <c r="D13" s="145">
        <f>[68]NPDCL_Output!$K13*[68]NPDCL_Switch_Selection!$I$46</f>
        <v>327.31126497917234</v>
      </c>
      <c r="E13" s="145">
        <f>[68]NPDCL_Output!$L13*[68]NPDCL_Switch_Selection!$I$46</f>
        <v>0</v>
      </c>
      <c r="F13" s="145">
        <f>[68]NPDCL_Output!$K13*[68]NPDCL_Switch_Selection!$I$45</f>
        <v>292.59343204022525</v>
      </c>
      <c r="G13" s="145">
        <f>[68]NPDCL_Output!$L13*[68]NPDCL_Switch_Selection!$I$45</f>
        <v>0</v>
      </c>
    </row>
    <row r="14" spans="2:16" x14ac:dyDescent="0.25">
      <c r="B14" s="630" t="s">
        <v>789</v>
      </c>
      <c r="C14" s="630" t="s">
        <v>790</v>
      </c>
      <c r="D14" s="145">
        <f>[68]NPDCL_Output!$K14*[68]NPDCL_Switch_Selection!$I$46</f>
        <v>16.040616390756941</v>
      </c>
      <c r="E14" s="145">
        <f>[68]NPDCL_Output!$L14*[68]NPDCL_Switch_Selection!$I$46</f>
        <v>0</v>
      </c>
      <c r="F14" s="145">
        <f>[68]NPDCL_Output!$K14*[68]NPDCL_Switch_Selection!$I$45</f>
        <v>14.339191784648525</v>
      </c>
      <c r="G14" s="145">
        <f>[68]NPDCL_Output!$L14*[68]NPDCL_Switch_Selection!$I$45</f>
        <v>0</v>
      </c>
    </row>
    <row r="15" spans="2:16" x14ac:dyDescent="0.25">
      <c r="B15" s="630" t="s">
        <v>791</v>
      </c>
      <c r="C15" s="630" t="s">
        <v>792</v>
      </c>
      <c r="D15" s="145">
        <f>[68]NPDCL_Output!$K15*[68]NPDCL_Switch_Selection!$I$46</f>
        <v>3.6417449058136007</v>
      </c>
      <c r="E15" s="145">
        <f>[68]NPDCL_Output!$L15*[68]NPDCL_Switch_Selection!$I$46</f>
        <v>0</v>
      </c>
      <c r="F15" s="145">
        <f>[68]NPDCL_Output!$K15*[68]NPDCL_Switch_Selection!$I$45</f>
        <v>3.2554658351731707</v>
      </c>
      <c r="G15" s="145">
        <f>[68]NPDCL_Output!$L15*[68]NPDCL_Switch_Selection!$I$45</f>
        <v>0</v>
      </c>
    </row>
    <row r="16" spans="2:16" x14ac:dyDescent="0.25">
      <c r="B16" s="630" t="s">
        <v>793</v>
      </c>
      <c r="C16" s="630" t="s">
        <v>794</v>
      </c>
      <c r="D16" s="145">
        <f>[68]NPDCL_Output!$K16*[68]NPDCL_Switch_Selection!$I$46</f>
        <v>7.0156946244583534E-3</v>
      </c>
      <c r="E16" s="145">
        <f>[68]NPDCL_Output!$L16*[68]NPDCL_Switch_Selection!$I$46</f>
        <v>0</v>
      </c>
      <c r="F16" s="145">
        <f>[68]NPDCL_Output!$K16*[68]NPDCL_Switch_Selection!$I$45</f>
        <v>6.2715414590055439E-3</v>
      </c>
      <c r="G16" s="145">
        <f>[68]NPDCL_Output!$L16*[68]NPDCL_Switch_Selection!$I$45</f>
        <v>0</v>
      </c>
    </row>
    <row r="17" spans="2:7" hidden="1" x14ac:dyDescent="0.25">
      <c r="B17" s="630" t="s">
        <v>795</v>
      </c>
      <c r="C17" s="630" t="s">
        <v>796</v>
      </c>
      <c r="D17" s="145">
        <f>[68]NPDCL_Output!$K17*[68]NPDCL_Switch_Selection!$I$46</f>
        <v>0</v>
      </c>
      <c r="E17" s="145">
        <f>[68]NPDCL_Output!$L17*[68]NPDCL_Switch_Selection!$I$46</f>
        <v>0</v>
      </c>
      <c r="F17" s="145">
        <f>[68]NPDCL_Output!$K17*[68]NPDCL_Switch_Selection!$I$45</f>
        <v>0</v>
      </c>
      <c r="G17" s="145">
        <f>[68]NPDCL_Output!$L17*[68]NPDCL_Switch_Selection!$I$45</f>
        <v>0</v>
      </c>
    </row>
    <row r="18" spans="2:7" hidden="1" x14ac:dyDescent="0.25">
      <c r="B18" s="630" t="s">
        <v>797</v>
      </c>
      <c r="C18" s="633" t="s">
        <v>798</v>
      </c>
      <c r="D18" s="145">
        <f>[68]NPDCL_Output!$K18*[68]NPDCL_Switch_Selection!$I$46</f>
        <v>0</v>
      </c>
      <c r="E18" s="145">
        <f>[68]NPDCL_Output!$L18*[68]NPDCL_Switch_Selection!$I$46</f>
        <v>0</v>
      </c>
      <c r="F18" s="145">
        <f>[68]NPDCL_Output!$K18*[68]NPDCL_Switch_Selection!$I$45</f>
        <v>0</v>
      </c>
      <c r="G18" s="145">
        <f>[68]NPDCL_Output!$L18*[68]NPDCL_Switch_Selection!$I$45</f>
        <v>0</v>
      </c>
    </row>
    <row r="19" spans="2:7" x14ac:dyDescent="0.25">
      <c r="B19" s="881" t="s">
        <v>799</v>
      </c>
      <c r="C19" s="882"/>
      <c r="D19" s="579"/>
      <c r="E19" s="579"/>
      <c r="F19" s="579"/>
      <c r="G19" s="579"/>
    </row>
    <row r="20" spans="2:7" x14ac:dyDescent="0.25">
      <c r="B20" s="630"/>
      <c r="C20" s="634" t="s">
        <v>800</v>
      </c>
      <c r="D20" s="579"/>
      <c r="E20" s="579"/>
      <c r="F20" s="579"/>
      <c r="G20" s="579"/>
    </row>
    <row r="21" spans="2:7" x14ac:dyDescent="0.25">
      <c r="B21" s="630" t="s">
        <v>801</v>
      </c>
      <c r="C21" s="635" t="s">
        <v>802</v>
      </c>
      <c r="D21" s="145">
        <f>[68]NPDCL_Output!$K23*[68]NPDCL_Switch_Selection!$I$46</f>
        <v>23.219235332328388</v>
      </c>
      <c r="E21" s="145">
        <f>[68]NPDCL_Output!$L23*[68]NPDCL_Switch_Selection!$I$46</f>
        <v>0</v>
      </c>
      <c r="F21" s="145">
        <f>[68]NPDCL_Output!$K23*[68]NPDCL_Switch_Selection!$I$45</f>
        <v>20.75637621475671</v>
      </c>
      <c r="G21" s="145">
        <f>[68]NPDCL_Output!$L23*[68]NPDCL_Switch_Selection!$I$45</f>
        <v>0</v>
      </c>
    </row>
    <row r="22" spans="2:7" x14ac:dyDescent="0.25">
      <c r="B22" s="630" t="s">
        <v>803</v>
      </c>
      <c r="C22" s="635" t="s">
        <v>804</v>
      </c>
      <c r="D22" s="145">
        <f>[68]NPDCL_Output!$K24*[68]NPDCL_Switch_Selection!$I$46</f>
        <v>0</v>
      </c>
      <c r="E22" s="145">
        <f>[68]NPDCL_Output!$L24*[68]NPDCL_Switch_Selection!$I$46</f>
        <v>0</v>
      </c>
      <c r="F22" s="145">
        <f>[68]NPDCL_Output!$K24*[68]NPDCL_Switch_Selection!$I$45</f>
        <v>0</v>
      </c>
      <c r="G22" s="145">
        <f>[68]NPDCL_Output!$L24*[68]NPDCL_Switch_Selection!$I$45</f>
        <v>0</v>
      </c>
    </row>
    <row r="23" spans="2:7" x14ac:dyDescent="0.25">
      <c r="B23" s="630" t="s">
        <v>805</v>
      </c>
      <c r="C23" s="635" t="s">
        <v>498</v>
      </c>
      <c r="D23" s="145">
        <f>[68]NPDCL_Output!$K25*[68]NPDCL_Switch_Selection!$I$46</f>
        <v>6.1358594386379393</v>
      </c>
      <c r="E23" s="145">
        <f>[68]NPDCL_Output!$L25*[68]NPDCL_Switch_Selection!$I$46</f>
        <v>0</v>
      </c>
      <c r="F23" s="145">
        <f>[68]NPDCL_Output!$K25*[68]NPDCL_Switch_Selection!$I$45</f>
        <v>5.4850301952843719</v>
      </c>
      <c r="G23" s="145">
        <f>[68]NPDCL_Output!$L25*[68]NPDCL_Switch_Selection!$I$45</f>
        <v>0</v>
      </c>
    </row>
    <row r="24" spans="2:7" x14ac:dyDescent="0.25">
      <c r="B24" s="630" t="s">
        <v>806</v>
      </c>
      <c r="C24" s="630" t="s">
        <v>807</v>
      </c>
      <c r="D24" s="145">
        <f>[68]NPDCL_Output!$K26*[68]NPDCL_Switch_Selection!$I$46</f>
        <v>0.11774667148423187</v>
      </c>
      <c r="E24" s="145">
        <f>[68]NPDCL_Output!$L26*[68]NPDCL_Switch_Selection!$I$46</f>
        <v>0</v>
      </c>
      <c r="F24" s="145">
        <f>[68]NPDCL_Output!$K26*[68]NPDCL_Switch_Selection!$I$45</f>
        <v>0.10525730827833435</v>
      </c>
      <c r="G24" s="145">
        <f>[68]NPDCL_Output!$L26*[68]NPDCL_Switch_Selection!$I$45</f>
        <v>0</v>
      </c>
    </row>
    <row r="25" spans="2:7" x14ac:dyDescent="0.25">
      <c r="B25" s="630" t="s">
        <v>808</v>
      </c>
      <c r="C25" s="635" t="s">
        <v>809</v>
      </c>
      <c r="D25" s="145">
        <f>[68]NPDCL_Output!$K27*[68]NPDCL_Switch_Selection!$I$46</f>
        <v>1.4698660129477901</v>
      </c>
      <c r="E25" s="145">
        <f>[68]NPDCL_Output!$L27*[68]NPDCL_Switch_Selection!$I$46</f>
        <v>0</v>
      </c>
      <c r="F25" s="145">
        <f>[68]NPDCL_Output!$K27*[68]NPDCL_Switch_Selection!$I$45</f>
        <v>1.3139576524964476</v>
      </c>
      <c r="G25" s="145">
        <f>[68]NPDCL_Output!$L27*[68]NPDCL_Switch_Selection!$I$45</f>
        <v>0</v>
      </c>
    </row>
    <row r="26" spans="2:7" x14ac:dyDescent="0.25">
      <c r="B26" s="630" t="s">
        <v>810</v>
      </c>
      <c r="C26" s="635" t="s">
        <v>811</v>
      </c>
      <c r="D26" s="145">
        <f>[68]NPDCL_Output!$K28*[68]NPDCL_Switch_Selection!$I$46</f>
        <v>0.23397020959676693</v>
      </c>
      <c r="E26" s="145">
        <f>[68]NPDCL_Output!$L28*[68]NPDCL_Switch_Selection!$I$46</f>
        <v>0</v>
      </c>
      <c r="F26" s="145">
        <f>[68]NPDCL_Output!$K28*[68]NPDCL_Switch_Selection!$I$45</f>
        <v>0.20915304160229573</v>
      </c>
      <c r="G26" s="145">
        <f>[68]NPDCL_Output!$L28*[68]NPDCL_Switch_Selection!$I$45</f>
        <v>0</v>
      </c>
    </row>
    <row r="27" spans="2:7" x14ac:dyDescent="0.25">
      <c r="B27" s="630" t="s">
        <v>812</v>
      </c>
      <c r="C27" s="635" t="s">
        <v>813</v>
      </c>
      <c r="D27" s="145">
        <f>[68]NPDCL_Output!$K29*[68]NPDCL_Switch_Selection!$I$46</f>
        <v>0.40731124914793398</v>
      </c>
      <c r="E27" s="145">
        <f>[68]NPDCL_Output!$L29*[68]NPDCL_Switch_Selection!$I$46</f>
        <v>0</v>
      </c>
      <c r="F27" s="145">
        <f>[68]NPDCL_Output!$K29*[68]NPDCL_Switch_Selection!$I$45</f>
        <v>0.3641078357152443</v>
      </c>
      <c r="G27" s="145">
        <f>[68]NPDCL_Output!$L29*[68]NPDCL_Switch_Selection!$I$45</f>
        <v>0</v>
      </c>
    </row>
    <row r="28" spans="2:7" x14ac:dyDescent="0.25">
      <c r="B28" s="630" t="s">
        <v>814</v>
      </c>
      <c r="C28" s="635" t="s">
        <v>815</v>
      </c>
      <c r="D28" s="145">
        <f>[68]NPDCL_Output!$K30*[68]NPDCL_Switch_Selection!$I$46</f>
        <v>22.533912049048475</v>
      </c>
      <c r="E28" s="145">
        <f>[68]NPDCL_Output!$L30*[68]NPDCL_Switch_Selection!$I$46</f>
        <v>0</v>
      </c>
      <c r="F28" s="145">
        <f>[68]NPDCL_Output!$K30*[68]NPDCL_Switch_Selection!$I$45</f>
        <v>20.143745019418212</v>
      </c>
      <c r="G28" s="145">
        <f>[68]NPDCL_Output!$L30*[68]NPDCL_Switch_Selection!$I$45</f>
        <v>0</v>
      </c>
    </row>
    <row r="29" spans="2:7" x14ac:dyDescent="0.25">
      <c r="B29" s="630" t="s">
        <v>816</v>
      </c>
      <c r="C29" s="635" t="s">
        <v>199</v>
      </c>
      <c r="D29" s="145">
        <f>[68]NPDCL_Output!$K31*[68]NPDCL_Switch_Selection!$I$46</f>
        <v>9.8157483953797316E-3</v>
      </c>
      <c r="E29" s="145">
        <f>[68]NPDCL_Output!$L31*[68]NPDCL_Switch_Selection!$I$46</f>
        <v>0</v>
      </c>
      <c r="F29" s="145">
        <f>[68]NPDCL_Output!$K31*[68]NPDCL_Switch_Selection!$I$45</f>
        <v>8.7745941504037261E-3</v>
      </c>
      <c r="G29" s="145">
        <f>[68]NPDCL_Output!$L31*[68]NPDCL_Switch_Selection!$I$45</f>
        <v>0</v>
      </c>
    </row>
    <row r="30" spans="2:7" hidden="1" x14ac:dyDescent="0.25">
      <c r="B30" s="630" t="s">
        <v>817</v>
      </c>
      <c r="C30" s="635" t="s">
        <v>798</v>
      </c>
      <c r="D30" s="145">
        <f>[68]NPDCL_Output!$K32*[68]NPDCL_Switch_Selection!$I$46</f>
        <v>0</v>
      </c>
      <c r="E30" s="145">
        <f>[68]NPDCL_Output!$L32*[68]NPDCL_Switch_Selection!$I$46</f>
        <v>0</v>
      </c>
      <c r="F30" s="145">
        <f>[68]NPDCL_Output!$K32*[68]NPDCL_Switch_Selection!$I$45</f>
        <v>0</v>
      </c>
      <c r="G30" s="145">
        <f>[68]NPDCL_Output!$L32*[68]NPDCL_Switch_Selection!$I$45</f>
        <v>0</v>
      </c>
    </row>
    <row r="31" spans="2:7" x14ac:dyDescent="0.25">
      <c r="B31" s="630"/>
      <c r="C31" s="636" t="s">
        <v>818</v>
      </c>
      <c r="D31" s="579"/>
      <c r="E31" s="579"/>
      <c r="F31" s="579"/>
      <c r="G31" s="579"/>
    </row>
    <row r="32" spans="2:7" x14ac:dyDescent="0.25">
      <c r="B32" s="630" t="s">
        <v>819</v>
      </c>
      <c r="C32" s="635" t="s">
        <v>802</v>
      </c>
      <c r="D32" s="145">
        <f>[68]NPDCL_Output!$K37*[68]NPDCL_Switch_Selection!$I$46</f>
        <v>3.0930607853130634</v>
      </c>
      <c r="E32" s="145">
        <f>[68]NPDCL_Output!$L37*[68]NPDCL_Switch_Selection!$I$46</f>
        <v>0</v>
      </c>
      <c r="F32" s="145">
        <f>[68]NPDCL_Output!$K37*[68]NPDCL_Switch_Selection!$I$45</f>
        <v>2.764980517066443</v>
      </c>
      <c r="G32" s="145">
        <f>[68]NPDCL_Output!$L37*[68]NPDCL_Switch_Selection!$I$45</f>
        <v>0</v>
      </c>
    </row>
    <row r="33" spans="2:7" x14ac:dyDescent="0.25">
      <c r="B33" s="630" t="s">
        <v>820</v>
      </c>
      <c r="C33" s="635" t="s">
        <v>804</v>
      </c>
      <c r="D33" s="145">
        <f>[68]NPDCL_Output!$K38*[68]NPDCL_Switch_Selection!$I$46</f>
        <v>0.24750917290073896</v>
      </c>
      <c r="E33" s="145">
        <f>[68]NPDCL_Output!$L38*[68]NPDCL_Switch_Selection!$I$46</f>
        <v>0</v>
      </c>
      <c r="F33" s="145">
        <f>[68]NPDCL_Output!$K38*[68]NPDCL_Switch_Selection!$I$45</f>
        <v>0.2212559300856112</v>
      </c>
      <c r="G33" s="145">
        <f>[68]NPDCL_Output!$L38*[68]NPDCL_Switch_Selection!$I$45</f>
        <v>0</v>
      </c>
    </row>
    <row r="34" spans="2:7" x14ac:dyDescent="0.25">
      <c r="B34" s="630" t="s">
        <v>821</v>
      </c>
      <c r="C34" s="635" t="s">
        <v>498</v>
      </c>
      <c r="D34" s="145">
        <f>[68]NPDCL_Output!$K39*[68]NPDCL_Switch_Selection!$I$46</f>
        <v>0.37327979560559049</v>
      </c>
      <c r="E34" s="145">
        <f>[68]NPDCL_Output!$L39*[68]NPDCL_Switch_Selection!$I$46</f>
        <v>0</v>
      </c>
      <c r="F34" s="145">
        <f>[68]NPDCL_Output!$K39*[68]NPDCL_Switch_Selection!$I$45</f>
        <v>0.33368609086663548</v>
      </c>
      <c r="G34" s="145">
        <f>[68]NPDCL_Output!$L39*[68]NPDCL_Switch_Selection!$I$45</f>
        <v>0</v>
      </c>
    </row>
    <row r="35" spans="2:7" x14ac:dyDescent="0.25">
      <c r="B35" s="630" t="s">
        <v>822</v>
      </c>
      <c r="C35" s="635" t="s">
        <v>807</v>
      </c>
      <c r="D35" s="145">
        <f>[68]NPDCL_Output!$K40*[68]NPDCL_Switch_Selection!$I$46</f>
        <v>0</v>
      </c>
      <c r="E35" s="145">
        <f>[68]NPDCL_Output!$L40*[68]NPDCL_Switch_Selection!$I$46</f>
        <v>0</v>
      </c>
      <c r="F35" s="145">
        <f>[68]NPDCL_Output!$K40*[68]NPDCL_Switch_Selection!$I$45</f>
        <v>0</v>
      </c>
      <c r="G35" s="145">
        <f>[68]NPDCL_Output!$L40*[68]NPDCL_Switch_Selection!$I$45</f>
        <v>0</v>
      </c>
    </row>
    <row r="36" spans="2:7" x14ac:dyDescent="0.25">
      <c r="B36" s="630" t="s">
        <v>823</v>
      </c>
      <c r="C36" s="635" t="s">
        <v>809</v>
      </c>
      <c r="D36" s="145">
        <f>[68]NPDCL_Output!$K41*[68]NPDCL_Switch_Selection!$I$46</f>
        <v>5.4511251002617449</v>
      </c>
      <c r="E36" s="145">
        <f>[68]NPDCL_Output!$L41*[68]NPDCL_Switch_Selection!$I$46</f>
        <v>0</v>
      </c>
      <c r="F36" s="145">
        <f>[68]NPDCL_Output!$K41*[68]NPDCL_Switch_Selection!$I$45</f>
        <v>4.8729254755948972</v>
      </c>
      <c r="G36" s="145">
        <f>[68]NPDCL_Output!$L41*[68]NPDCL_Switch_Selection!$I$45</f>
        <v>0</v>
      </c>
    </row>
    <row r="37" spans="2:7" x14ac:dyDescent="0.25">
      <c r="B37" s="630" t="s">
        <v>824</v>
      </c>
      <c r="C37" s="635" t="s">
        <v>825</v>
      </c>
      <c r="D37" s="145">
        <f>[68]NPDCL_Output!$K42*[68]NPDCL_Switch_Selection!$I$46</f>
        <v>0.61644592293397715</v>
      </c>
      <c r="E37" s="145">
        <f>[68]NPDCL_Output!$L42*[68]NPDCL_Switch_Selection!$I$46</f>
        <v>0</v>
      </c>
      <c r="F37" s="145">
        <f>[68]NPDCL_Output!$K42*[68]NPDCL_Switch_Selection!$I$45</f>
        <v>0.55105964125595819</v>
      </c>
      <c r="G37" s="145">
        <f>[68]NPDCL_Output!$L42*[68]NPDCL_Switch_Selection!$I$45</f>
        <v>0</v>
      </c>
    </row>
    <row r="38" spans="2:7" x14ac:dyDescent="0.25">
      <c r="B38" s="630" t="s">
        <v>826</v>
      </c>
      <c r="C38" s="635" t="s">
        <v>827</v>
      </c>
      <c r="D38" s="145">
        <f>[68]NPDCL_Output!$K43*[68]NPDCL_Switch_Selection!$I$46</f>
        <v>0.28135658116066908</v>
      </c>
      <c r="E38" s="145">
        <f>[68]NPDCL_Output!$L43*[68]NPDCL_Switch_Selection!$I$46</f>
        <v>0</v>
      </c>
      <c r="F38" s="145">
        <f>[68]NPDCL_Output!$K43*[68]NPDCL_Switch_Selection!$I$45</f>
        <v>0.25151315129389989</v>
      </c>
      <c r="G38" s="145">
        <f>[68]NPDCL_Output!$L43*[68]NPDCL_Switch_Selection!$I$45</f>
        <v>0</v>
      </c>
    </row>
    <row r="39" spans="2:7" hidden="1" x14ac:dyDescent="0.25">
      <c r="B39" s="630" t="s">
        <v>828</v>
      </c>
      <c r="C39" s="635" t="s">
        <v>199</v>
      </c>
      <c r="D39" s="145">
        <f>[68]NPDCL_Output!$K44*[68]NPDCL_Switch_Selection!$I$46</f>
        <v>0</v>
      </c>
      <c r="E39" s="145">
        <f>[68]NPDCL_Output!$L44*[68]NPDCL_Switch_Selection!$I$46</f>
        <v>0</v>
      </c>
      <c r="F39" s="145">
        <f>[68]NPDCL_Output!$K44*[68]NPDCL_Switch_Selection!$I$45</f>
        <v>0</v>
      </c>
      <c r="G39" s="145">
        <f>[68]NPDCL_Output!$L44*[68]NPDCL_Switch_Selection!$I$45</f>
        <v>0</v>
      </c>
    </row>
    <row r="40" spans="2:7" x14ac:dyDescent="0.25">
      <c r="B40" s="630" t="s">
        <v>880</v>
      </c>
      <c r="C40" s="635" t="s">
        <v>794</v>
      </c>
      <c r="D40" s="145">
        <f>[68]NPDCL_Output!$K45*[68]NPDCL_Switch_Selection!$I$46</f>
        <v>0</v>
      </c>
      <c r="E40" s="145">
        <f>[68]NPDCL_Output!$L45*[68]NPDCL_Switch_Selection!$I$46</f>
        <v>0</v>
      </c>
      <c r="F40" s="145">
        <f>[68]NPDCL_Output!$K45*[68]NPDCL_Switch_Selection!$I$45</f>
        <v>0</v>
      </c>
      <c r="G40" s="145">
        <f>[68]NPDCL_Output!$L45*[68]NPDCL_Switch_Selection!$I$45</f>
        <v>0</v>
      </c>
    </row>
    <row r="41" spans="2:7" x14ac:dyDescent="0.25">
      <c r="B41" s="630"/>
      <c r="C41" s="636" t="s">
        <v>829</v>
      </c>
      <c r="D41" s="579"/>
      <c r="E41" s="579"/>
      <c r="F41" s="579"/>
      <c r="G41" s="579"/>
    </row>
    <row r="42" spans="2:7" x14ac:dyDescent="0.25">
      <c r="B42" s="630" t="s">
        <v>830</v>
      </c>
      <c r="C42" s="635" t="s">
        <v>802</v>
      </c>
      <c r="D42" s="145">
        <f>[68]NPDCL_Output!$K50*[68]NPDCL_Switch_Selection!$I$46</f>
        <v>8.856174371210713</v>
      </c>
      <c r="E42" s="145">
        <f>[68]NPDCL_Output!$L50*[68]NPDCL_Switch_Selection!$I$46</f>
        <v>0</v>
      </c>
      <c r="F42" s="145">
        <f>[68]NPDCL_Output!$K50*[68]NPDCL_Switch_Selection!$I$45</f>
        <v>7.9168019291487415</v>
      </c>
      <c r="G42" s="145">
        <f>[68]NPDCL_Output!$L50*[68]NPDCL_Switch_Selection!$I$45</f>
        <v>0</v>
      </c>
    </row>
    <row r="43" spans="2:7" x14ac:dyDescent="0.25">
      <c r="B43" s="630" t="s">
        <v>831</v>
      </c>
      <c r="C43" s="635" t="s">
        <v>804</v>
      </c>
      <c r="D43" s="145">
        <f>[68]NPDCL_Output!$K51*[68]NPDCL_Switch_Selection!$I$46</f>
        <v>0</v>
      </c>
      <c r="E43" s="145">
        <f>[68]NPDCL_Output!$L51*[68]NPDCL_Switch_Selection!$I$46</f>
        <v>0</v>
      </c>
      <c r="F43" s="145">
        <f>[68]NPDCL_Output!$K51*[68]NPDCL_Switch_Selection!$I$45</f>
        <v>0</v>
      </c>
      <c r="G43" s="145">
        <f>[68]NPDCL_Output!$L51*[68]NPDCL_Switch_Selection!$I$45</f>
        <v>0</v>
      </c>
    </row>
    <row r="44" spans="2:7" x14ac:dyDescent="0.25">
      <c r="B44" s="630" t="s">
        <v>832</v>
      </c>
      <c r="C44" s="635" t="s">
        <v>498</v>
      </c>
      <c r="D44" s="145">
        <f>[68]NPDCL_Output!$K52*[68]NPDCL_Switch_Selection!$I$46</f>
        <v>0.73406566663723427</v>
      </c>
      <c r="E44" s="145">
        <f>[68]NPDCL_Output!$L52*[68]NPDCL_Switch_Selection!$I$46</f>
        <v>0</v>
      </c>
      <c r="F44" s="145">
        <f>[68]NPDCL_Output!$K52*[68]NPDCL_Switch_Selection!$I$45</f>
        <v>0.65620348495476144</v>
      </c>
      <c r="G44" s="145">
        <f>[68]NPDCL_Output!$L52*[68]NPDCL_Switch_Selection!$I$45</f>
        <v>0</v>
      </c>
    </row>
    <row r="45" spans="2:7" x14ac:dyDescent="0.25">
      <c r="B45" s="630" t="s">
        <v>833</v>
      </c>
      <c r="C45" s="635" t="s">
        <v>807</v>
      </c>
      <c r="D45" s="145">
        <f>[68]NPDCL_Output!$K53*[68]NPDCL_Switch_Selection!$I$46</f>
        <v>0</v>
      </c>
      <c r="E45" s="145">
        <f>[68]NPDCL_Output!$L53*[68]NPDCL_Switch_Selection!$I$46</f>
        <v>0</v>
      </c>
      <c r="F45" s="145">
        <f>[68]NPDCL_Output!$K53*[68]NPDCL_Switch_Selection!$I$45</f>
        <v>0</v>
      </c>
      <c r="G45" s="145">
        <f>[68]NPDCL_Output!$L53*[68]NPDCL_Switch_Selection!$I$45</f>
        <v>0</v>
      </c>
    </row>
    <row r="46" spans="2:7" x14ac:dyDescent="0.25">
      <c r="B46" s="630" t="s">
        <v>834</v>
      </c>
      <c r="C46" s="635" t="s">
        <v>809</v>
      </c>
      <c r="D46" s="145">
        <f>[68]NPDCL_Output!$K54*[68]NPDCL_Switch_Selection!$I$46</f>
        <v>113.46171652630568</v>
      </c>
      <c r="E46" s="145">
        <f>[68]NPDCL_Output!$L54*[68]NPDCL_Switch_Selection!$I$46</f>
        <v>0</v>
      </c>
      <c r="F46" s="145">
        <f>[68]NPDCL_Output!$K54*[68]NPDCL_Switch_Selection!$I$45</f>
        <v>101.42685753794451</v>
      </c>
      <c r="G46" s="145">
        <f>[68]NPDCL_Output!$L54*[68]NPDCL_Switch_Selection!$I$45</f>
        <v>0</v>
      </c>
    </row>
    <row r="47" spans="2:7" x14ac:dyDescent="0.25">
      <c r="B47" s="630" t="s">
        <v>835</v>
      </c>
      <c r="C47" s="635" t="s">
        <v>836</v>
      </c>
      <c r="D47" s="145">
        <f>[68]NPDCL_Output!$K55*[68]NPDCL_Switch_Selection!$I$46</f>
        <v>8.6099344761197223</v>
      </c>
      <c r="E47" s="145">
        <f>[68]NPDCL_Output!$L55*[68]NPDCL_Switch_Selection!$I$46</f>
        <v>0</v>
      </c>
      <c r="F47" s="145">
        <f>[68]NPDCL_Output!$K55*[68]NPDCL_Switch_Selection!$I$45</f>
        <v>7.6966806448584411</v>
      </c>
      <c r="G47" s="145">
        <f>[68]NPDCL_Output!$L55*[68]NPDCL_Switch_Selection!$I$45</f>
        <v>0</v>
      </c>
    </row>
    <row r="48" spans="2:7" x14ac:dyDescent="0.25">
      <c r="B48" s="630" t="s">
        <v>837</v>
      </c>
      <c r="C48" s="635" t="s">
        <v>838</v>
      </c>
      <c r="D48" s="145">
        <f>[68]NPDCL_Output!$K56*[68]NPDCL_Switch_Selection!$I$46</f>
        <v>0</v>
      </c>
      <c r="E48" s="145">
        <f>[68]NPDCL_Output!$L56*[68]NPDCL_Switch_Selection!$I$46</f>
        <v>0</v>
      </c>
      <c r="F48" s="145">
        <f>[68]NPDCL_Output!$K56*[68]NPDCL_Switch_Selection!$I$45</f>
        <v>0</v>
      </c>
      <c r="G48" s="145">
        <f>[68]NPDCL_Output!$L56*[68]NPDCL_Switch_Selection!$I$45</f>
        <v>0</v>
      </c>
    </row>
    <row r="49" spans="2:7" x14ac:dyDescent="0.25">
      <c r="B49" s="630" t="s">
        <v>839</v>
      </c>
      <c r="C49" s="635" t="s">
        <v>825</v>
      </c>
      <c r="D49" s="145">
        <f>[68]NPDCL_Output!$K57*[68]NPDCL_Switch_Selection!$I$46</f>
        <v>1.2692778097473791</v>
      </c>
      <c r="E49" s="145">
        <f>[68]NPDCL_Output!$L57*[68]NPDCL_Switch_Selection!$I$46</f>
        <v>0</v>
      </c>
      <c r="F49" s="145">
        <f>[68]NPDCL_Output!$K57*[68]NPDCL_Switch_Selection!$I$45</f>
        <v>1.1346457953108267</v>
      </c>
      <c r="G49" s="145">
        <f>[68]NPDCL_Output!$L57*[68]NPDCL_Switch_Selection!$I$45</f>
        <v>0</v>
      </c>
    </row>
    <row r="50" spans="2:7" x14ac:dyDescent="0.25">
      <c r="B50" s="630" t="s">
        <v>840</v>
      </c>
      <c r="C50" s="635" t="s">
        <v>827</v>
      </c>
      <c r="D50" s="145">
        <f>[68]NPDCL_Output!$K58*[68]NPDCL_Switch_Selection!$I$46</f>
        <v>0</v>
      </c>
      <c r="E50" s="145">
        <f>[68]NPDCL_Output!$L58*[68]NPDCL_Switch_Selection!$I$46</f>
        <v>0</v>
      </c>
      <c r="F50" s="145">
        <f>[68]NPDCL_Output!$K58*[68]NPDCL_Switch_Selection!$I$45</f>
        <v>0</v>
      </c>
      <c r="G50" s="145">
        <f>[68]NPDCL_Output!$L58*[68]NPDCL_Switch_Selection!$I$45</f>
        <v>0</v>
      </c>
    </row>
    <row r="51" spans="2:7" hidden="1" x14ac:dyDescent="0.25">
      <c r="B51" s="630" t="s">
        <v>841</v>
      </c>
      <c r="C51" s="635" t="s">
        <v>199</v>
      </c>
      <c r="D51" s="145">
        <f>[68]NPDCL_Output!$K59*[68]NPDCL_Switch_Selection!$I$46</f>
        <v>0</v>
      </c>
      <c r="E51" s="145">
        <f>[68]NPDCL_Output!$L59*[68]NPDCL_Switch_Selection!$I$46</f>
        <v>0</v>
      </c>
      <c r="F51" s="145">
        <f>[68]NPDCL_Output!$K59*[68]NPDCL_Switch_Selection!$I$45</f>
        <v>0</v>
      </c>
      <c r="G51" s="145">
        <f>[68]NPDCL_Output!$L59*[68]NPDCL_Switch_Selection!$I$45</f>
        <v>0</v>
      </c>
    </row>
    <row r="52" spans="2:7" x14ac:dyDescent="0.25">
      <c r="B52" s="786" t="s">
        <v>220</v>
      </c>
      <c r="C52" s="786"/>
      <c r="D52" s="638">
        <f>SUM(D9:D51)</f>
        <v>710.63</v>
      </c>
      <c r="E52" s="638">
        <f>SUM(E9:E51)</f>
        <v>0</v>
      </c>
      <c r="F52" s="638">
        <f>SUM(F9:F51)</f>
        <v>635.25363425538103</v>
      </c>
      <c r="G52" s="637">
        <f>SUM(G9:G51)</f>
        <v>0</v>
      </c>
    </row>
    <row r="53" spans="2:7" ht="14.4" x14ac:dyDescent="0.25">
      <c r="F53" s="653"/>
      <c r="G53" s="631"/>
    </row>
  </sheetData>
  <mergeCells count="8">
    <mergeCell ref="B3:G3"/>
    <mergeCell ref="B19:C19"/>
    <mergeCell ref="B52:C52"/>
    <mergeCell ref="B5:C7"/>
    <mergeCell ref="D5:G5"/>
    <mergeCell ref="D6:E6"/>
    <mergeCell ref="F6:G6"/>
    <mergeCell ref="B8:C8"/>
  </mergeCells>
  <pageMargins left="1.2" right="0.7" top="0.75" bottom="0.75" header="0.3" footer="0.3"/>
  <pageSetup paperSize="9" scale="72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52"/>
  <sheetViews>
    <sheetView showGridLines="0" topLeftCell="A24" zoomScale="80" zoomScaleNormal="80" workbookViewId="0">
      <selection activeCell="K17" sqref="K17"/>
    </sheetView>
  </sheetViews>
  <sheetFormatPr defaultColWidth="9.33203125" defaultRowHeight="13.8" x14ac:dyDescent="0.25"/>
  <cols>
    <col min="1" max="1" width="9.33203125" style="571"/>
    <col min="2" max="2" width="21.5546875" style="571" customWidth="1"/>
    <col min="3" max="3" width="49.109375" style="571" customWidth="1"/>
    <col min="4" max="4" width="16.6640625" style="571" customWidth="1"/>
    <col min="5" max="5" width="20.5546875" style="571" customWidth="1"/>
    <col min="6" max="10" width="9.33203125" style="571"/>
    <col min="11" max="11" width="17.5546875" style="571" customWidth="1"/>
    <col min="12" max="17" width="9.33203125" style="571"/>
    <col min="18" max="18" width="19.6640625" style="571" customWidth="1"/>
    <col min="19" max="24" width="9.33203125" style="571"/>
    <col min="25" max="25" width="19.6640625" style="571" customWidth="1"/>
    <col min="26" max="16384" width="9.33203125" style="571"/>
  </cols>
  <sheetData>
    <row r="2" spans="2:16" x14ac:dyDescent="0.25">
      <c r="C2" s="572" t="s">
        <v>160</v>
      </c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</row>
    <row r="3" spans="2:16" ht="14.25" customHeight="1" x14ac:dyDescent="0.25">
      <c r="B3" s="898" t="s">
        <v>883</v>
      </c>
      <c r="C3" s="898"/>
      <c r="D3" s="898"/>
      <c r="E3" s="898"/>
    </row>
    <row r="4" spans="2:16" x14ac:dyDescent="0.25">
      <c r="E4" s="642" t="s">
        <v>3</v>
      </c>
    </row>
    <row r="5" spans="2:16" x14ac:dyDescent="0.25">
      <c r="B5" s="799" t="s">
        <v>163</v>
      </c>
      <c r="C5" s="799"/>
      <c r="D5" s="786" t="s">
        <v>549</v>
      </c>
      <c r="E5" s="786"/>
    </row>
    <row r="6" spans="2:16" x14ac:dyDescent="0.25">
      <c r="B6" s="799"/>
      <c r="C6" s="799"/>
      <c r="D6" s="656" t="s">
        <v>772</v>
      </c>
      <c r="E6" s="656" t="s">
        <v>773</v>
      </c>
    </row>
    <row r="7" spans="2:16" x14ac:dyDescent="0.25">
      <c r="B7" s="881" t="s">
        <v>781</v>
      </c>
      <c r="C7" s="882"/>
      <c r="D7" s="579"/>
      <c r="E7" s="579"/>
    </row>
    <row r="8" spans="2:16" x14ac:dyDescent="0.25">
      <c r="B8" s="630" t="s">
        <v>172</v>
      </c>
      <c r="C8" s="630" t="s">
        <v>173</v>
      </c>
      <c r="D8" s="145">
        <f>[68]NPDCL_Output!$N9</f>
        <v>1084.2732557811855</v>
      </c>
      <c r="E8" s="145">
        <f>[68]NPDCL_Output!$L9</f>
        <v>0</v>
      </c>
    </row>
    <row r="9" spans="2:16" x14ac:dyDescent="0.25">
      <c r="B9" s="630" t="s">
        <v>783</v>
      </c>
      <c r="C9" s="630" t="s">
        <v>175</v>
      </c>
      <c r="D9" s="145">
        <f>[68]NPDCL_Output!$N10</f>
        <v>256.85576311539108</v>
      </c>
      <c r="E9" s="145">
        <f>[68]NPDCL_Output!$L10</f>
        <v>0</v>
      </c>
    </row>
    <row r="10" spans="2:16" x14ac:dyDescent="0.25">
      <c r="B10" s="630" t="s">
        <v>784</v>
      </c>
      <c r="C10" s="630" t="s">
        <v>785</v>
      </c>
      <c r="D10" s="145">
        <f>[68]NPDCL_Output!$N11</f>
        <v>49.897700373391075</v>
      </c>
      <c r="E10" s="145">
        <f>[68]NPDCL_Output!$L11</f>
        <v>0</v>
      </c>
    </row>
    <row r="11" spans="2:16" x14ac:dyDescent="0.25">
      <c r="B11" s="630" t="s">
        <v>786</v>
      </c>
      <c r="C11" s="630" t="s">
        <v>787</v>
      </c>
      <c r="D11" s="145">
        <f>[68]NPDCL_Output!$N12</f>
        <v>2.4834525258614457</v>
      </c>
      <c r="E11" s="145">
        <f>[68]NPDCL_Output!$L12</f>
        <v>0</v>
      </c>
    </row>
    <row r="12" spans="2:16" x14ac:dyDescent="0.25">
      <c r="B12" s="630" t="s">
        <v>788</v>
      </c>
      <c r="C12" s="630" t="s">
        <v>203</v>
      </c>
      <c r="D12" s="145">
        <f>[68]NPDCL_Output!$N13</f>
        <v>2739.282270353503</v>
      </c>
      <c r="E12" s="145">
        <f>[68]NPDCL_Output!$L13</f>
        <v>0</v>
      </c>
    </row>
    <row r="13" spans="2:16" x14ac:dyDescent="0.25">
      <c r="B13" s="630" t="s">
        <v>789</v>
      </c>
      <c r="C13" s="630" t="s">
        <v>790</v>
      </c>
      <c r="D13" s="145">
        <f>[68]NPDCL_Output!$N14</f>
        <v>134.24461907089659</v>
      </c>
      <c r="E13" s="145">
        <f>[68]NPDCL_Output!$L14</f>
        <v>0</v>
      </c>
    </row>
    <row r="14" spans="2:16" x14ac:dyDescent="0.25">
      <c r="B14" s="630" t="s">
        <v>791</v>
      </c>
      <c r="C14" s="630" t="s">
        <v>792</v>
      </c>
      <c r="D14" s="145">
        <f>[68]NPDCL_Output!$N15</f>
        <v>30.477922152420167</v>
      </c>
      <c r="E14" s="145">
        <f>[68]NPDCL_Output!$L15</f>
        <v>0</v>
      </c>
    </row>
    <row r="15" spans="2:16" x14ac:dyDescent="0.25">
      <c r="B15" s="630" t="s">
        <v>793</v>
      </c>
      <c r="C15" s="630" t="s">
        <v>794</v>
      </c>
      <c r="D15" s="145">
        <f>[68]NPDCL_Output!$N16</f>
        <v>5.8714654688759436E-2</v>
      </c>
      <c r="E15" s="145">
        <f>[68]NPDCL_Output!$L16</f>
        <v>0</v>
      </c>
    </row>
    <row r="16" spans="2:16" hidden="1" x14ac:dyDescent="0.25">
      <c r="B16" s="630" t="s">
        <v>795</v>
      </c>
      <c r="C16" s="630" t="s">
        <v>796</v>
      </c>
      <c r="D16" s="145">
        <f>[68]NPDCL_Output!$N17</f>
        <v>0</v>
      </c>
      <c r="E16" s="145">
        <f>[68]NPDCL_Output!$L17</f>
        <v>0</v>
      </c>
    </row>
    <row r="17" spans="2:5" hidden="1" x14ac:dyDescent="0.25">
      <c r="B17" s="630" t="s">
        <v>797</v>
      </c>
      <c r="C17" s="633" t="s">
        <v>798</v>
      </c>
      <c r="D17" s="145">
        <f>[68]NPDCL_Output!$N18</f>
        <v>0</v>
      </c>
      <c r="E17" s="145">
        <f>[68]NPDCL_Output!$L18</f>
        <v>0</v>
      </c>
    </row>
    <row r="18" spans="2:5" x14ac:dyDescent="0.25">
      <c r="B18" s="881" t="s">
        <v>799</v>
      </c>
      <c r="C18" s="882"/>
      <c r="D18" s="579"/>
      <c r="E18" s="579"/>
    </row>
    <row r="19" spans="2:5" x14ac:dyDescent="0.25">
      <c r="B19" s="630"/>
      <c r="C19" s="634" t="s">
        <v>800</v>
      </c>
      <c r="D19" s="579"/>
      <c r="E19" s="579"/>
    </row>
    <row r="20" spans="2:5" x14ac:dyDescent="0.25">
      <c r="B20" s="630" t="s">
        <v>801</v>
      </c>
      <c r="C20" s="635" t="s">
        <v>802</v>
      </c>
      <c r="D20" s="145">
        <f>[68]NPDCL_Output!$N23</f>
        <v>27.779363946952426</v>
      </c>
      <c r="E20" s="145">
        <f>[68]NPDCL_Output!$L23</f>
        <v>0</v>
      </c>
    </row>
    <row r="21" spans="2:5" x14ac:dyDescent="0.25">
      <c r="B21" s="630" t="s">
        <v>803</v>
      </c>
      <c r="C21" s="635" t="s">
        <v>804</v>
      </c>
      <c r="D21" s="145">
        <f>[68]NPDCL_Output!$N24</f>
        <v>0</v>
      </c>
      <c r="E21" s="145">
        <f>[68]NPDCL_Output!$L24</f>
        <v>0</v>
      </c>
    </row>
    <row r="22" spans="2:5" x14ac:dyDescent="0.25">
      <c r="B22" s="630" t="s">
        <v>805</v>
      </c>
      <c r="C22" s="635" t="s">
        <v>498</v>
      </c>
      <c r="D22" s="145">
        <f>[68]NPDCL_Output!$N25</f>
        <v>6.7270058950177463</v>
      </c>
      <c r="E22" s="145">
        <f>[68]NPDCL_Output!$L25</f>
        <v>0</v>
      </c>
    </row>
    <row r="23" spans="2:5" x14ac:dyDescent="0.25">
      <c r="B23" s="630" t="s">
        <v>806</v>
      </c>
      <c r="C23" s="630" t="s">
        <v>807</v>
      </c>
      <c r="D23" s="145">
        <f>[68]NPDCL_Output!$N26</f>
        <v>0.2399952202924456</v>
      </c>
      <c r="E23" s="145">
        <f>[68]NPDCL_Output!$L26</f>
        <v>0</v>
      </c>
    </row>
    <row r="24" spans="2:5" x14ac:dyDescent="0.25">
      <c r="B24" s="630" t="s">
        <v>808</v>
      </c>
      <c r="C24" s="635" t="s">
        <v>809</v>
      </c>
      <c r="D24" s="145">
        <f>[68]NPDCL_Output!$N27</f>
        <v>4.5153495122621932</v>
      </c>
      <c r="E24" s="145">
        <f>[68]NPDCL_Output!$L27</f>
        <v>0</v>
      </c>
    </row>
    <row r="25" spans="2:5" x14ac:dyDescent="0.25">
      <c r="B25" s="630" t="s">
        <v>810</v>
      </c>
      <c r="C25" s="635" t="s">
        <v>811</v>
      </c>
      <c r="D25" s="145">
        <f>[68]NPDCL_Output!$N28</f>
        <v>0.31587672428066266</v>
      </c>
      <c r="E25" s="145">
        <f>[68]NPDCL_Output!$L28</f>
        <v>0</v>
      </c>
    </row>
    <row r="26" spans="2:5" x14ac:dyDescent="0.25">
      <c r="B26" s="630" t="s">
        <v>812</v>
      </c>
      <c r="C26" s="635" t="s">
        <v>813</v>
      </c>
      <c r="D26" s="145">
        <f>[68]NPDCL_Output!$N29</f>
        <v>0.37134019006504965</v>
      </c>
      <c r="E26" s="145">
        <f>[68]NPDCL_Output!$L29</f>
        <v>0</v>
      </c>
    </row>
    <row r="27" spans="2:5" x14ac:dyDescent="0.25">
      <c r="B27" s="630" t="s">
        <v>814</v>
      </c>
      <c r="C27" s="635" t="s">
        <v>878</v>
      </c>
      <c r="D27" s="145">
        <f>[68]NPDCL_Output!$N30</f>
        <v>32.338688845198917</v>
      </c>
      <c r="E27" s="145">
        <f>[68]NPDCL_Output!$L30</f>
        <v>0</v>
      </c>
    </row>
    <row r="28" spans="2:5" x14ac:dyDescent="0.25">
      <c r="B28" s="630" t="s">
        <v>816</v>
      </c>
      <c r="C28" s="635" t="s">
        <v>199</v>
      </c>
      <c r="D28" s="145">
        <f>[68]NPDCL_Output!$N31</f>
        <v>0</v>
      </c>
      <c r="E28" s="145">
        <f>[68]NPDCL_Output!$L31</f>
        <v>0</v>
      </c>
    </row>
    <row r="29" spans="2:5" hidden="1" x14ac:dyDescent="0.25">
      <c r="B29" s="630" t="s">
        <v>817</v>
      </c>
      <c r="C29" s="635" t="s">
        <v>798</v>
      </c>
      <c r="D29" s="145">
        <f>[68]NPDCL_Output!$N32</f>
        <v>0</v>
      </c>
      <c r="E29" s="145">
        <f>[68]NPDCL_Output!$L32</f>
        <v>0</v>
      </c>
    </row>
    <row r="30" spans="2:5" x14ac:dyDescent="0.25">
      <c r="B30" s="630"/>
      <c r="C30" s="636" t="s">
        <v>818</v>
      </c>
      <c r="D30" s="579"/>
      <c r="E30" s="579"/>
    </row>
    <row r="31" spans="2:5" x14ac:dyDescent="0.25">
      <c r="B31" s="630" t="s">
        <v>819</v>
      </c>
      <c r="C31" s="635" t="s">
        <v>802</v>
      </c>
      <c r="D31" s="145">
        <f>[68]NPDCL_Output!$N37</f>
        <v>1.0407058605390245</v>
      </c>
      <c r="E31" s="145">
        <f>[68]NPDCL_Output!$L37</f>
        <v>0</v>
      </c>
    </row>
    <row r="32" spans="2:5" x14ac:dyDescent="0.25">
      <c r="B32" s="630" t="s">
        <v>820</v>
      </c>
      <c r="C32" s="635" t="s">
        <v>804</v>
      </c>
      <c r="D32" s="145">
        <f>[68]NPDCL_Output!$N38</f>
        <v>0.13984584899033484</v>
      </c>
      <c r="E32" s="145">
        <f>[68]NPDCL_Output!$L38</f>
        <v>0</v>
      </c>
    </row>
    <row r="33" spans="2:5" x14ac:dyDescent="0.25">
      <c r="B33" s="630" t="s">
        <v>821</v>
      </c>
      <c r="C33" s="635" t="s">
        <v>498</v>
      </c>
      <c r="D33" s="145">
        <f>[68]NPDCL_Output!$N39</f>
        <v>8.2599796213016344E-2</v>
      </c>
      <c r="E33" s="145">
        <f>[68]NPDCL_Output!$L39</f>
        <v>0</v>
      </c>
    </row>
    <row r="34" spans="2:5" x14ac:dyDescent="0.25">
      <c r="B34" s="630" t="s">
        <v>822</v>
      </c>
      <c r="C34" s="635" t="s">
        <v>807</v>
      </c>
      <c r="D34" s="145">
        <f>[68]NPDCL_Output!$N40</f>
        <v>0</v>
      </c>
      <c r="E34" s="145">
        <f>[68]NPDCL_Output!$L40</f>
        <v>0</v>
      </c>
    </row>
    <row r="35" spans="2:5" x14ac:dyDescent="0.25">
      <c r="B35" s="630" t="s">
        <v>823</v>
      </c>
      <c r="C35" s="635" t="s">
        <v>809</v>
      </c>
      <c r="D35" s="145">
        <f>[68]NPDCL_Output!$N41</f>
        <v>1.7503484755793046</v>
      </c>
      <c r="E35" s="145">
        <f>[68]NPDCL_Output!$L41</f>
        <v>0</v>
      </c>
    </row>
    <row r="36" spans="2:5" x14ac:dyDescent="0.25">
      <c r="B36" s="630" t="s">
        <v>824</v>
      </c>
      <c r="C36" s="635" t="s">
        <v>825</v>
      </c>
      <c r="D36" s="145">
        <f>[68]NPDCL_Output!$N42</f>
        <v>0.18574031449399267</v>
      </c>
      <c r="E36" s="145">
        <f>[68]NPDCL_Output!$L42</f>
        <v>0</v>
      </c>
    </row>
    <row r="37" spans="2:5" x14ac:dyDescent="0.25">
      <c r="B37" s="630" t="s">
        <v>826</v>
      </c>
      <c r="C37" s="635" t="s">
        <v>827</v>
      </c>
      <c r="D37" s="145">
        <f>[68]NPDCL_Output!$N43</f>
        <v>4.4040914783930844E-2</v>
      </c>
      <c r="E37" s="145">
        <f>[68]NPDCL_Output!$L43</f>
        <v>0</v>
      </c>
    </row>
    <row r="38" spans="2:5" hidden="1" x14ac:dyDescent="0.25">
      <c r="B38" s="630" t="s">
        <v>828</v>
      </c>
      <c r="C38" s="635" t="s">
        <v>199</v>
      </c>
      <c r="D38" s="145">
        <f>[68]NPDCL_Output!$N44</f>
        <v>0</v>
      </c>
      <c r="E38" s="145">
        <f>[68]NPDCL_Output!$L44</f>
        <v>0</v>
      </c>
    </row>
    <row r="39" spans="2:5" x14ac:dyDescent="0.25">
      <c r="B39" s="630" t="s">
        <v>828</v>
      </c>
      <c r="C39" s="635" t="s">
        <v>794</v>
      </c>
      <c r="D39" s="145">
        <f>[68]NPDCL_Output!$N45</f>
        <v>0.15098849443234577</v>
      </c>
      <c r="E39" s="145">
        <f>[68]NPDCL_Output!$L45</f>
        <v>0</v>
      </c>
    </row>
    <row r="40" spans="2:5" x14ac:dyDescent="0.25">
      <c r="B40" s="630"/>
      <c r="C40" s="636" t="s">
        <v>829</v>
      </c>
      <c r="D40" s="579"/>
      <c r="E40" s="579"/>
    </row>
    <row r="41" spans="2:5" x14ac:dyDescent="0.25">
      <c r="B41" s="630" t="s">
        <v>830</v>
      </c>
      <c r="C41" s="635" t="s">
        <v>802</v>
      </c>
      <c r="D41" s="145">
        <f>[68]NPDCL_Output!$N50</f>
        <v>0</v>
      </c>
      <c r="E41" s="145">
        <f>[68]NPDCL_Output!$L50</f>
        <v>0</v>
      </c>
    </row>
    <row r="42" spans="2:5" x14ac:dyDescent="0.25">
      <c r="B42" s="630" t="s">
        <v>831</v>
      </c>
      <c r="C42" s="635" t="s">
        <v>804</v>
      </c>
      <c r="D42" s="145">
        <f>[68]NPDCL_Output!$N51</f>
        <v>0</v>
      </c>
      <c r="E42" s="145">
        <f>[68]NPDCL_Output!$L51</f>
        <v>0</v>
      </c>
    </row>
    <row r="43" spans="2:5" x14ac:dyDescent="0.25">
      <c r="B43" s="630" t="s">
        <v>832</v>
      </c>
      <c r="C43" s="635" t="s">
        <v>498</v>
      </c>
      <c r="D43" s="145">
        <f>[68]NPDCL_Output!$N52</f>
        <v>0</v>
      </c>
      <c r="E43" s="145">
        <f>[68]NPDCL_Output!$L52</f>
        <v>0</v>
      </c>
    </row>
    <row r="44" spans="2:5" x14ac:dyDescent="0.25">
      <c r="B44" s="630" t="s">
        <v>833</v>
      </c>
      <c r="C44" s="635" t="s">
        <v>807</v>
      </c>
      <c r="D44" s="145">
        <f>[68]NPDCL_Output!$N53</f>
        <v>0</v>
      </c>
      <c r="E44" s="145">
        <f>[68]NPDCL_Output!$L53</f>
        <v>0</v>
      </c>
    </row>
    <row r="45" spans="2:5" x14ac:dyDescent="0.25">
      <c r="B45" s="630" t="s">
        <v>834</v>
      </c>
      <c r="C45" s="635" t="s">
        <v>809</v>
      </c>
      <c r="D45" s="145">
        <f>[68]NPDCL_Output!$N54</f>
        <v>0</v>
      </c>
      <c r="E45" s="145">
        <f>[68]NPDCL_Output!$L54</f>
        <v>0</v>
      </c>
    </row>
    <row r="46" spans="2:5" x14ac:dyDescent="0.25">
      <c r="B46" s="630" t="s">
        <v>835</v>
      </c>
      <c r="C46" s="635" t="s">
        <v>836</v>
      </c>
      <c r="D46" s="145">
        <f>[68]NPDCL_Output!$N55</f>
        <v>0</v>
      </c>
      <c r="E46" s="145">
        <f>[68]NPDCL_Output!$L55</f>
        <v>0</v>
      </c>
    </row>
    <row r="47" spans="2:5" x14ac:dyDescent="0.25">
      <c r="B47" s="630" t="s">
        <v>837</v>
      </c>
      <c r="C47" s="635" t="s">
        <v>838</v>
      </c>
      <c r="D47" s="145">
        <f>[68]NPDCL_Output!$N56</f>
        <v>0</v>
      </c>
      <c r="E47" s="145">
        <f>[68]NPDCL_Output!$L56</f>
        <v>0</v>
      </c>
    </row>
    <row r="48" spans="2:5" x14ac:dyDescent="0.25">
      <c r="B48" s="630" t="s">
        <v>839</v>
      </c>
      <c r="C48" s="635" t="s">
        <v>825</v>
      </c>
      <c r="D48" s="145">
        <f>[68]NPDCL_Output!$N57</f>
        <v>0</v>
      </c>
      <c r="E48" s="145">
        <f>[68]NPDCL_Output!$L57</f>
        <v>0</v>
      </c>
    </row>
    <row r="49" spans="2:5" x14ac:dyDescent="0.25">
      <c r="B49" s="630" t="s">
        <v>840</v>
      </c>
      <c r="C49" s="635" t="s">
        <v>827</v>
      </c>
      <c r="D49" s="145">
        <f>[68]NPDCL_Output!$N58</f>
        <v>0</v>
      </c>
      <c r="E49" s="145">
        <f>[68]NPDCL_Output!$L58</f>
        <v>0</v>
      </c>
    </row>
    <row r="50" spans="2:5" hidden="1" x14ac:dyDescent="0.25">
      <c r="B50" s="630" t="s">
        <v>841</v>
      </c>
      <c r="C50" s="635" t="s">
        <v>199</v>
      </c>
      <c r="D50" s="145">
        <f>[68]NPDCL_Output!$N59</f>
        <v>0</v>
      </c>
      <c r="E50" s="145">
        <f>[68]NPDCL_Output!$L59</f>
        <v>0</v>
      </c>
    </row>
    <row r="51" spans="2:5" x14ac:dyDescent="0.25">
      <c r="B51" s="786" t="s">
        <v>220</v>
      </c>
      <c r="C51" s="786"/>
      <c r="D51" s="638">
        <f>SUM(D8:D50)</f>
        <v>4373.2555880664386</v>
      </c>
      <c r="E51" s="637">
        <f>SUM(E8:E50)</f>
        <v>0</v>
      </c>
    </row>
    <row r="52" spans="2:5" ht="14.4" x14ac:dyDescent="0.25">
      <c r="C52" s="653"/>
      <c r="D52" s="631"/>
      <c r="E52" s="631"/>
    </row>
  </sheetData>
  <mergeCells count="6">
    <mergeCell ref="B3:E3"/>
    <mergeCell ref="B51:C51"/>
    <mergeCell ref="B5:C6"/>
    <mergeCell ref="D5:E5"/>
    <mergeCell ref="B7:C7"/>
    <mergeCell ref="B18:C18"/>
  </mergeCells>
  <pageMargins left="1.95" right="0.7" top="0.75" bottom="0.75" header="0.3" footer="0.3"/>
  <pageSetup paperSize="9" scale="7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52"/>
  <sheetViews>
    <sheetView showGridLines="0" view="pageBreakPreview" topLeftCell="A3" zoomScale="60" zoomScaleNormal="80" workbookViewId="0">
      <selection activeCell="K17" sqref="K17"/>
    </sheetView>
  </sheetViews>
  <sheetFormatPr defaultColWidth="9.33203125" defaultRowHeight="13.8" x14ac:dyDescent="0.25"/>
  <cols>
    <col min="1" max="1" width="9.33203125" style="571"/>
    <col min="2" max="2" width="21.5546875" style="571" customWidth="1"/>
    <col min="3" max="3" width="49.33203125" style="571" customWidth="1"/>
    <col min="4" max="4" width="19.44140625" style="571" customWidth="1"/>
    <col min="5" max="5" width="20.44140625" style="571" customWidth="1"/>
    <col min="6" max="10" width="9.33203125" style="571"/>
    <col min="11" max="11" width="17.5546875" style="571" customWidth="1"/>
    <col min="12" max="17" width="9.33203125" style="571"/>
    <col min="18" max="18" width="19.6640625" style="571" customWidth="1"/>
    <col min="19" max="24" width="9.33203125" style="571"/>
    <col min="25" max="25" width="19.6640625" style="571" customWidth="1"/>
    <col min="26" max="16384" width="9.33203125" style="571"/>
  </cols>
  <sheetData>
    <row r="2" spans="2:16" x14ac:dyDescent="0.25">
      <c r="C2" s="572" t="s">
        <v>160</v>
      </c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</row>
    <row r="3" spans="2:16" ht="14.25" customHeight="1" x14ac:dyDescent="0.25">
      <c r="B3" s="898" t="s">
        <v>884</v>
      </c>
      <c r="C3" s="898"/>
      <c r="D3" s="898"/>
      <c r="E3" s="898"/>
    </row>
    <row r="4" spans="2:16" x14ac:dyDescent="0.25">
      <c r="E4" s="642" t="s">
        <v>3</v>
      </c>
    </row>
    <row r="5" spans="2:16" x14ac:dyDescent="0.25">
      <c r="B5" s="799" t="s">
        <v>163</v>
      </c>
      <c r="C5" s="799"/>
      <c r="D5" s="786" t="s">
        <v>549</v>
      </c>
      <c r="E5" s="786"/>
    </row>
    <row r="6" spans="2:16" x14ac:dyDescent="0.25">
      <c r="B6" s="799"/>
      <c r="C6" s="799"/>
      <c r="D6" s="656" t="s">
        <v>772</v>
      </c>
      <c r="E6" s="656" t="s">
        <v>773</v>
      </c>
    </row>
    <row r="7" spans="2:16" x14ac:dyDescent="0.25">
      <c r="B7" s="881" t="s">
        <v>781</v>
      </c>
      <c r="C7" s="882"/>
      <c r="D7" s="579"/>
      <c r="E7" s="579"/>
    </row>
    <row r="8" spans="2:16" x14ac:dyDescent="0.25">
      <c r="B8" s="630" t="s">
        <v>172</v>
      </c>
      <c r="C8" s="630" t="s">
        <v>173</v>
      </c>
      <c r="D8" s="145">
        <f>[68]NPDCL_Output!$Q9</f>
        <v>0</v>
      </c>
      <c r="E8" s="145">
        <f>[68]NPDCL_Output!$R9</f>
        <v>22.014413836648696</v>
      </c>
    </row>
    <row r="9" spans="2:16" x14ac:dyDescent="0.25">
      <c r="B9" s="630" t="s">
        <v>783</v>
      </c>
      <c r="C9" s="630" t="s">
        <v>175</v>
      </c>
      <c r="D9" s="145">
        <f>[68]NPDCL_Output!$Q10</f>
        <v>0</v>
      </c>
      <c r="E9" s="145">
        <f>[68]NPDCL_Output!$R10</f>
        <v>4.8222235737149406</v>
      </c>
    </row>
    <row r="10" spans="2:16" x14ac:dyDescent="0.25">
      <c r="B10" s="630" t="s">
        <v>784</v>
      </c>
      <c r="C10" s="630" t="s">
        <v>785</v>
      </c>
      <c r="D10" s="145">
        <f>[68]NPDCL_Output!$Q11</f>
        <v>0</v>
      </c>
      <c r="E10" s="145">
        <f>[68]NPDCL_Output!$R11</f>
        <v>1.0738428956314068</v>
      </c>
    </row>
    <row r="11" spans="2:16" x14ac:dyDescent="0.25">
      <c r="B11" s="630" t="s">
        <v>786</v>
      </c>
      <c r="C11" s="630" t="s">
        <v>787</v>
      </c>
      <c r="D11" s="145">
        <f>[68]NPDCL_Output!$Q12</f>
        <v>0</v>
      </c>
      <c r="E11" s="145">
        <f>[68]NPDCL_Output!$R12</f>
        <v>3.8011784616023371E-2</v>
      </c>
    </row>
    <row r="12" spans="2:16" x14ac:dyDescent="0.25">
      <c r="B12" s="630" t="s">
        <v>788</v>
      </c>
      <c r="C12" s="630" t="s">
        <v>203</v>
      </c>
      <c r="D12" s="145">
        <f>[68]NPDCL_Output!$Q13</f>
        <v>0</v>
      </c>
      <c r="E12" s="145">
        <f>[68]NPDCL_Output!$R13</f>
        <v>46.001094454677705</v>
      </c>
    </row>
    <row r="13" spans="2:16" x14ac:dyDescent="0.25">
      <c r="B13" s="630" t="s">
        <v>789</v>
      </c>
      <c r="C13" s="630" t="s">
        <v>790</v>
      </c>
      <c r="D13" s="145">
        <f>[68]NPDCL_Output!$Q14</f>
        <v>0</v>
      </c>
      <c r="E13" s="145">
        <f>[68]NPDCL_Output!$R14</f>
        <v>1.7443656036466311</v>
      </c>
    </row>
    <row r="14" spans="2:16" x14ac:dyDescent="0.25">
      <c r="B14" s="630" t="s">
        <v>791</v>
      </c>
      <c r="C14" s="630" t="s">
        <v>792</v>
      </c>
      <c r="D14" s="145">
        <f>[68]NPDCL_Output!$Q15</f>
        <v>0</v>
      </c>
      <c r="E14" s="145">
        <f>[68]NPDCL_Output!$R15</f>
        <v>0.39602808247550231</v>
      </c>
    </row>
    <row r="15" spans="2:16" x14ac:dyDescent="0.25">
      <c r="B15" s="630" t="s">
        <v>793</v>
      </c>
      <c r="C15" s="630" t="s">
        <v>794</v>
      </c>
      <c r="D15" s="145">
        <f>[68]NPDCL_Output!$Q16</f>
        <v>0</v>
      </c>
      <c r="E15" s="145">
        <f>[68]NPDCL_Output!$R16</f>
        <v>7.7449216665904973E-4</v>
      </c>
    </row>
    <row r="16" spans="2:16" hidden="1" x14ac:dyDescent="0.25">
      <c r="B16" s="630" t="s">
        <v>795</v>
      </c>
      <c r="C16" s="630" t="s">
        <v>796</v>
      </c>
      <c r="D16" s="145">
        <f>[68]NPDCL_Output!$Q17</f>
        <v>0</v>
      </c>
      <c r="E16" s="145">
        <f>[68]NPDCL_Output!$R17</f>
        <v>0</v>
      </c>
    </row>
    <row r="17" spans="2:5" hidden="1" x14ac:dyDescent="0.25">
      <c r="B17" s="630" t="s">
        <v>797</v>
      </c>
      <c r="C17" s="633" t="s">
        <v>798</v>
      </c>
      <c r="D17" s="145">
        <f>[68]NPDCL_Output!$Q18</f>
        <v>0</v>
      </c>
      <c r="E17" s="145">
        <f>[68]NPDCL_Output!$R18</f>
        <v>0</v>
      </c>
    </row>
    <row r="18" spans="2:5" x14ac:dyDescent="0.25">
      <c r="B18" s="881" t="s">
        <v>799</v>
      </c>
      <c r="C18" s="882"/>
      <c r="D18" s="579"/>
      <c r="E18" s="579"/>
    </row>
    <row r="19" spans="2:5" x14ac:dyDescent="0.25">
      <c r="B19" s="630"/>
      <c r="C19" s="634" t="s">
        <v>800</v>
      </c>
      <c r="D19" s="579"/>
      <c r="E19" s="579"/>
    </row>
    <row r="20" spans="2:5" x14ac:dyDescent="0.25">
      <c r="B20" s="630" t="s">
        <v>801</v>
      </c>
      <c r="C20" s="635" t="s">
        <v>802</v>
      </c>
      <c r="D20" s="145">
        <f>[68]NPDCL_Output!$Q23</f>
        <v>0</v>
      </c>
      <c r="E20" s="145">
        <f>[68]NPDCL_Output!$R23</f>
        <v>5.3290885894669433</v>
      </c>
    </row>
    <row r="21" spans="2:5" x14ac:dyDescent="0.25">
      <c r="B21" s="630" t="s">
        <v>803</v>
      </c>
      <c r="C21" s="635" t="s">
        <v>804</v>
      </c>
      <c r="D21" s="145">
        <f>[68]NPDCL_Output!$Q24</f>
        <v>0</v>
      </c>
      <c r="E21" s="145">
        <f>[68]NPDCL_Output!$R24</f>
        <v>0</v>
      </c>
    </row>
    <row r="22" spans="2:5" x14ac:dyDescent="0.25">
      <c r="B22" s="630" t="s">
        <v>805</v>
      </c>
      <c r="C22" s="635" t="s">
        <v>498</v>
      </c>
      <c r="D22" s="145">
        <f>[68]NPDCL_Output!$Q25</f>
        <v>0</v>
      </c>
      <c r="E22" s="145">
        <f>[68]NPDCL_Output!$R25</f>
        <v>1.112956603937953</v>
      </c>
    </row>
    <row r="23" spans="2:5" x14ac:dyDescent="0.25">
      <c r="B23" s="630" t="s">
        <v>806</v>
      </c>
      <c r="C23" s="630" t="s">
        <v>807</v>
      </c>
      <c r="D23" s="145">
        <f>[68]NPDCL_Output!$Q26</f>
        <v>0</v>
      </c>
      <c r="E23" s="145">
        <f>[68]NPDCL_Output!$R26</f>
        <v>3.788281019778271E-2</v>
      </c>
    </row>
    <row r="24" spans="2:5" x14ac:dyDescent="0.25">
      <c r="B24" s="630" t="s">
        <v>808</v>
      </c>
      <c r="C24" s="635" t="s">
        <v>809</v>
      </c>
      <c r="D24" s="145">
        <f>[68]NPDCL_Output!$Q27</f>
        <v>0</v>
      </c>
      <c r="E24" s="145">
        <f>[68]NPDCL_Output!$R27</f>
        <v>0.83705638476535127</v>
      </c>
    </row>
    <row r="25" spans="2:5" x14ac:dyDescent="0.25">
      <c r="B25" s="630" t="s">
        <v>885</v>
      </c>
      <c r="C25" s="635" t="s">
        <v>811</v>
      </c>
      <c r="D25" s="145">
        <f>[68]NPDCL_Output!$Q28</f>
        <v>0</v>
      </c>
      <c r="E25" s="145">
        <f>[68]NPDCL_Output!$R28</f>
        <v>4.0731043498409364E-2</v>
      </c>
    </row>
    <row r="26" spans="2:5" ht="12.75" customHeight="1" x14ac:dyDescent="0.25">
      <c r="B26" s="630" t="s">
        <v>886</v>
      </c>
      <c r="C26" s="635" t="s">
        <v>813</v>
      </c>
      <c r="D26" s="145">
        <f>[68]NPDCL_Output!$Q29</f>
        <v>0</v>
      </c>
      <c r="E26" s="145">
        <f>[68]NPDCL_Output!$R29</f>
        <v>6.4278509731867772E-2</v>
      </c>
    </row>
    <row r="27" spans="2:5" x14ac:dyDescent="0.25">
      <c r="B27" s="630" t="s">
        <v>810</v>
      </c>
      <c r="C27" s="635" t="s">
        <v>878</v>
      </c>
      <c r="D27" s="145">
        <f>[68]NPDCL_Output!$Q30</f>
        <v>0</v>
      </c>
      <c r="E27" s="145">
        <f>[68]NPDCL_Output!$R30</f>
        <v>5.4333096762710102</v>
      </c>
    </row>
    <row r="28" spans="2:5" x14ac:dyDescent="0.25">
      <c r="B28" s="630" t="s">
        <v>887</v>
      </c>
      <c r="C28" s="635" t="s">
        <v>199</v>
      </c>
      <c r="D28" s="145">
        <f>[68]NPDCL_Output!$Q31</f>
        <v>0</v>
      </c>
      <c r="E28" s="145">
        <f>[68]NPDCL_Output!$R31</f>
        <v>1.4853899534222484E-3</v>
      </c>
    </row>
    <row r="29" spans="2:5" x14ac:dyDescent="0.25">
      <c r="B29" s="630" t="s">
        <v>817</v>
      </c>
      <c r="C29" s="635" t="s">
        <v>798</v>
      </c>
      <c r="D29" s="145">
        <f>[68]NPDCL_Output!$Q32</f>
        <v>0</v>
      </c>
      <c r="E29" s="145">
        <f>[68]NPDCL_Output!$R32</f>
        <v>0</v>
      </c>
    </row>
    <row r="30" spans="2:5" x14ac:dyDescent="0.25">
      <c r="B30" s="630"/>
      <c r="C30" s="636" t="s">
        <v>818</v>
      </c>
      <c r="D30" s="579"/>
      <c r="E30" s="579"/>
    </row>
    <row r="31" spans="2:5" x14ac:dyDescent="0.25">
      <c r="B31" s="630" t="s">
        <v>819</v>
      </c>
      <c r="C31" s="635" t="s">
        <v>802</v>
      </c>
      <c r="D31" s="145">
        <f>[68]NPDCL_Output!$Q37</f>
        <v>0</v>
      </c>
      <c r="E31" s="145">
        <f>[68]NPDCL_Output!$R37</f>
        <v>1.0022511792800133</v>
      </c>
    </row>
    <row r="32" spans="2:5" x14ac:dyDescent="0.25">
      <c r="B32" s="630" t="s">
        <v>820</v>
      </c>
      <c r="C32" s="635" t="s">
        <v>804</v>
      </c>
      <c r="D32" s="145">
        <f>[68]NPDCL_Output!$Q38</f>
        <v>0</v>
      </c>
      <c r="E32" s="145">
        <f>[68]NPDCL_Output!$R38</f>
        <v>0.15658822228080668</v>
      </c>
    </row>
    <row r="33" spans="2:5" x14ac:dyDescent="0.25">
      <c r="B33" s="630" t="s">
        <v>821</v>
      </c>
      <c r="C33" s="635" t="s">
        <v>498</v>
      </c>
      <c r="D33" s="145">
        <f>[68]NPDCL_Output!$Q39</f>
        <v>0</v>
      </c>
      <c r="E33" s="145">
        <f>[68]NPDCL_Output!$R39</f>
        <v>7.3417889713350726E-2</v>
      </c>
    </row>
    <row r="34" spans="2:5" x14ac:dyDescent="0.25">
      <c r="B34" s="630" t="s">
        <v>822</v>
      </c>
      <c r="C34" s="635" t="s">
        <v>807</v>
      </c>
      <c r="D34" s="145">
        <f>[68]NPDCL_Output!$Q40</f>
        <v>0</v>
      </c>
      <c r="E34" s="145">
        <f>[68]NPDCL_Output!$R40</f>
        <v>0</v>
      </c>
    </row>
    <row r="35" spans="2:5" x14ac:dyDescent="0.25">
      <c r="B35" s="630" t="s">
        <v>823</v>
      </c>
      <c r="C35" s="635" t="s">
        <v>809</v>
      </c>
      <c r="D35" s="145">
        <f>[68]NPDCL_Output!$Q41</f>
        <v>0</v>
      </c>
      <c r="E35" s="145">
        <f>[68]NPDCL_Output!$R41</f>
        <v>1.8245191805927885</v>
      </c>
    </row>
    <row r="36" spans="2:5" x14ac:dyDescent="0.25">
      <c r="B36" s="630" t="s">
        <v>824</v>
      </c>
      <c r="C36" s="635" t="s">
        <v>825</v>
      </c>
      <c r="D36" s="145">
        <f>[68]NPDCL_Output!$Q42</f>
        <v>0</v>
      </c>
      <c r="E36" s="145">
        <f>[68]NPDCL_Output!$R42</f>
        <v>0.15226972986230153</v>
      </c>
    </row>
    <row r="37" spans="2:5" x14ac:dyDescent="0.25">
      <c r="B37" s="630" t="s">
        <v>826</v>
      </c>
      <c r="C37" s="635" t="s">
        <v>827</v>
      </c>
      <c r="D37" s="145">
        <f>[68]NPDCL_Output!$Q43</f>
        <v>0</v>
      </c>
      <c r="E37" s="145">
        <f>[68]NPDCL_Output!$R43</f>
        <v>3.6559831999442988E-2</v>
      </c>
    </row>
    <row r="38" spans="2:5" x14ac:dyDescent="0.25">
      <c r="B38" s="630" t="s">
        <v>828</v>
      </c>
      <c r="C38" s="635" t="s">
        <v>199</v>
      </c>
      <c r="D38" s="145">
        <f>[68]NPDCL_Output!$Q44</f>
        <v>0</v>
      </c>
      <c r="E38" s="145">
        <f>[68]NPDCL_Output!$R44</f>
        <v>0</v>
      </c>
    </row>
    <row r="39" spans="2:5" x14ac:dyDescent="0.25">
      <c r="B39" s="630" t="s">
        <v>888</v>
      </c>
      <c r="C39" s="635" t="s">
        <v>798</v>
      </c>
      <c r="D39" s="145">
        <f>[68]NPDCL_Output!$Q45</f>
        <v>0</v>
      </c>
      <c r="E39" s="145">
        <f>[68]NPDCL_Output!$R45</f>
        <v>0.17264719915958138</v>
      </c>
    </row>
    <row r="40" spans="2:5" x14ac:dyDescent="0.25">
      <c r="B40" s="630"/>
      <c r="C40" s="636" t="s">
        <v>829</v>
      </c>
      <c r="D40" s="145"/>
      <c r="E40" s="145"/>
    </row>
    <row r="41" spans="2:5" x14ac:dyDescent="0.25">
      <c r="B41" s="630" t="s">
        <v>830</v>
      </c>
      <c r="C41" s="635" t="s">
        <v>802</v>
      </c>
      <c r="D41" s="145">
        <f>[68]NPDCL_Output!$Q50</f>
        <v>0</v>
      </c>
      <c r="E41" s="145">
        <f>[68]NPDCL_Output!$R50</f>
        <v>2.8502431673741282</v>
      </c>
    </row>
    <row r="42" spans="2:5" x14ac:dyDescent="0.25">
      <c r="B42" s="630" t="s">
        <v>831</v>
      </c>
      <c r="C42" s="635" t="s">
        <v>804</v>
      </c>
      <c r="D42" s="145">
        <f>[68]NPDCL_Output!$Q51</f>
        <v>0</v>
      </c>
      <c r="E42" s="145">
        <f>[68]NPDCL_Output!$R51</f>
        <v>0</v>
      </c>
    </row>
    <row r="43" spans="2:5" x14ac:dyDescent="0.25">
      <c r="B43" s="630" t="s">
        <v>832</v>
      </c>
      <c r="C43" s="635" t="s">
        <v>498</v>
      </c>
      <c r="D43" s="145">
        <f>[68]NPDCL_Output!$Q52</f>
        <v>0</v>
      </c>
      <c r="E43" s="145">
        <f>[68]NPDCL_Output!$R52</f>
        <v>2.0564530722280837E-2</v>
      </c>
    </row>
    <row r="44" spans="2:5" x14ac:dyDescent="0.25">
      <c r="B44" s="630" t="s">
        <v>833</v>
      </c>
      <c r="C44" s="635" t="s">
        <v>807</v>
      </c>
      <c r="D44" s="145">
        <f>[68]NPDCL_Output!$Q53</f>
        <v>0</v>
      </c>
      <c r="E44" s="145">
        <f>[68]NPDCL_Output!$R53</f>
        <v>0</v>
      </c>
    </row>
    <row r="45" spans="2:5" x14ac:dyDescent="0.25">
      <c r="B45" s="630" t="s">
        <v>834</v>
      </c>
      <c r="C45" s="635" t="s">
        <v>809</v>
      </c>
      <c r="D45" s="145">
        <f>[68]NPDCL_Output!$Q54</f>
        <v>0</v>
      </c>
      <c r="E45" s="145">
        <f>[68]NPDCL_Output!$R54</f>
        <v>6.8418681469483742</v>
      </c>
    </row>
    <row r="46" spans="2:5" x14ac:dyDescent="0.25">
      <c r="B46" s="630" t="s">
        <v>835</v>
      </c>
      <c r="C46" s="635" t="s">
        <v>836</v>
      </c>
      <c r="D46" s="145">
        <f>[68]NPDCL_Output!$Q55</f>
        <v>0</v>
      </c>
      <c r="E46" s="145">
        <f>[68]NPDCL_Output!$R55</f>
        <v>2.9947976038382684</v>
      </c>
    </row>
    <row r="47" spans="2:5" x14ac:dyDescent="0.25">
      <c r="B47" s="630" t="s">
        <v>837</v>
      </c>
      <c r="C47" s="635" t="s">
        <v>838</v>
      </c>
      <c r="D47" s="145">
        <f>[68]NPDCL_Output!$Q56</f>
        <v>0</v>
      </c>
      <c r="E47" s="145">
        <f>[68]NPDCL_Output!$R56</f>
        <v>0</v>
      </c>
    </row>
    <row r="48" spans="2:5" x14ac:dyDescent="0.25">
      <c r="B48" s="630" t="s">
        <v>839</v>
      </c>
      <c r="C48" s="635" t="s">
        <v>825</v>
      </c>
      <c r="D48" s="145">
        <f>[68]NPDCL_Output!$Q57</f>
        <v>0</v>
      </c>
      <c r="E48" s="145">
        <f>[68]NPDCL_Output!$R57</f>
        <v>0.29451032597199078</v>
      </c>
    </row>
    <row r="49" spans="2:5" x14ac:dyDescent="0.25">
      <c r="B49" s="630" t="s">
        <v>840</v>
      </c>
      <c r="C49" s="635" t="s">
        <v>827</v>
      </c>
      <c r="D49" s="145">
        <f>[68]NPDCL_Output!$Q58</f>
        <v>0</v>
      </c>
      <c r="E49" s="145">
        <f>[68]NPDCL_Output!$R58</f>
        <v>0</v>
      </c>
    </row>
    <row r="50" spans="2:5" hidden="1" x14ac:dyDescent="0.25">
      <c r="B50" s="630" t="s">
        <v>841</v>
      </c>
      <c r="C50" s="635" t="s">
        <v>199</v>
      </c>
      <c r="D50" s="145">
        <f>[68]NPDCL_Output!$Q59</f>
        <v>0</v>
      </c>
      <c r="E50" s="145">
        <f>[68]NPDCL_Output!$R59</f>
        <v>0</v>
      </c>
    </row>
    <row r="51" spans="2:5" x14ac:dyDescent="0.25">
      <c r="B51" s="786" t="s">
        <v>220</v>
      </c>
      <c r="C51" s="786"/>
      <c r="D51" s="637">
        <f>SUM(D8:D50)</f>
        <v>0</v>
      </c>
      <c r="E51" s="638">
        <f>SUM(E8:E50)</f>
        <v>105.36778073914361</v>
      </c>
    </row>
    <row r="52" spans="2:5" ht="14.4" x14ac:dyDescent="0.25">
      <c r="C52" s="653"/>
      <c r="D52" s="631"/>
      <c r="E52" s="631"/>
    </row>
  </sheetData>
  <mergeCells count="6">
    <mergeCell ref="B3:E3"/>
    <mergeCell ref="B51:C51"/>
    <mergeCell ref="B5:C6"/>
    <mergeCell ref="D5:E5"/>
    <mergeCell ref="B7:C7"/>
    <mergeCell ref="B18:C18"/>
  </mergeCells>
  <pageMargins left="1.7" right="0.7" top="0.75" bottom="0.75" header="0.3" footer="0.3"/>
  <pageSetup paperSize="9" scale="72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44"/>
  <sheetViews>
    <sheetView showGridLines="0" topLeftCell="B1" zoomScale="70" zoomScaleNormal="70" workbookViewId="0">
      <pane xSplit="2" ySplit="7" topLeftCell="I8" activePane="bottomRight" state="frozen"/>
      <selection activeCell="H25" sqref="H25"/>
      <selection pane="topRight" activeCell="H25" sqref="H25"/>
      <selection pane="bottomLeft" activeCell="H25" sqref="H25"/>
      <selection pane="bottomRight" activeCell="O17" sqref="O17"/>
    </sheetView>
  </sheetViews>
  <sheetFormatPr defaultColWidth="9.109375" defaultRowHeight="13.8" x14ac:dyDescent="0.25"/>
  <cols>
    <col min="1" max="1" width="9.109375" style="176"/>
    <col min="2" max="2" width="31.6640625" style="176" customWidth="1"/>
    <col min="3" max="3" width="45.33203125" style="176" customWidth="1"/>
    <col min="4" max="4" width="10.6640625" style="176" customWidth="1"/>
    <col min="5" max="5" width="30.6640625" style="176" customWidth="1"/>
    <col min="6" max="6" width="21.109375" style="176" customWidth="1"/>
    <col min="7" max="7" width="9.88671875" style="176" customWidth="1"/>
    <col min="8" max="8" width="28.109375" style="176" customWidth="1"/>
    <col min="9" max="9" width="21.109375" style="176" customWidth="1"/>
    <col min="10" max="10" width="9.88671875" style="176" customWidth="1"/>
    <col min="11" max="11" width="28.6640625" style="176" customWidth="1"/>
    <col min="12" max="12" width="21.109375" style="176" customWidth="1"/>
    <col min="13" max="13" width="25.6640625" style="176" customWidth="1"/>
    <col min="14" max="14" width="28.44140625" style="176" customWidth="1"/>
    <col min="15" max="15" width="21.109375" style="176" customWidth="1"/>
    <col min="16" max="16384" width="9.109375" style="176"/>
  </cols>
  <sheetData>
    <row r="2" spans="2:17" x14ac:dyDescent="0.25">
      <c r="B2" s="825" t="s">
        <v>160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</row>
    <row r="3" spans="2:17" x14ac:dyDescent="0.25">
      <c r="I3" s="25" t="s">
        <v>889</v>
      </c>
    </row>
    <row r="5" spans="2:17" x14ac:dyDescent="0.25">
      <c r="B5" s="903" t="s">
        <v>163</v>
      </c>
      <c r="C5" s="904"/>
      <c r="D5" s="908" t="s">
        <v>890</v>
      </c>
      <c r="E5" s="908"/>
      <c r="F5" s="908"/>
      <c r="G5" s="908" t="s">
        <v>891</v>
      </c>
      <c r="H5" s="908"/>
      <c r="I5" s="908"/>
      <c r="J5" s="908" t="s">
        <v>892</v>
      </c>
      <c r="K5" s="908"/>
      <c r="L5" s="908"/>
      <c r="M5" s="908" t="s">
        <v>893</v>
      </c>
      <c r="N5" s="908"/>
      <c r="O5" s="908"/>
    </row>
    <row r="6" spans="2:17" ht="30" customHeight="1" x14ac:dyDescent="0.25">
      <c r="B6" s="905"/>
      <c r="C6" s="906"/>
      <c r="D6" s="901" t="s">
        <v>894</v>
      </c>
      <c r="E6" s="902"/>
      <c r="F6" s="140" t="s">
        <v>895</v>
      </c>
      <c r="G6" s="901" t="s">
        <v>894</v>
      </c>
      <c r="H6" s="902"/>
      <c r="I6" s="140" t="s">
        <v>895</v>
      </c>
      <c r="J6" s="901" t="s">
        <v>894</v>
      </c>
      <c r="K6" s="902"/>
      <c r="L6" s="140" t="s">
        <v>895</v>
      </c>
      <c r="M6" s="901" t="s">
        <v>894</v>
      </c>
      <c r="N6" s="902"/>
      <c r="O6" s="140" t="s">
        <v>895</v>
      </c>
    </row>
    <row r="7" spans="2:17" x14ac:dyDescent="0.25">
      <c r="B7" s="905"/>
      <c r="C7" s="906"/>
      <c r="D7" s="139" t="s">
        <v>896</v>
      </c>
      <c r="E7" s="139" t="s">
        <v>897</v>
      </c>
      <c r="F7" s="83" t="s">
        <v>898</v>
      </c>
      <c r="G7" s="139" t="s">
        <v>896</v>
      </c>
      <c r="H7" s="139" t="s">
        <v>897</v>
      </c>
      <c r="I7" s="83" t="s">
        <v>898</v>
      </c>
      <c r="J7" s="139" t="s">
        <v>896</v>
      </c>
      <c r="K7" s="139" t="s">
        <v>897</v>
      </c>
      <c r="L7" s="83" t="s">
        <v>898</v>
      </c>
      <c r="M7" s="139" t="s">
        <v>896</v>
      </c>
      <c r="N7" s="139" t="s">
        <v>897</v>
      </c>
      <c r="O7" s="83" t="s">
        <v>898</v>
      </c>
    </row>
    <row r="8" spans="2:17" x14ac:dyDescent="0.25">
      <c r="B8" s="753" t="s">
        <v>781</v>
      </c>
      <c r="C8" s="754"/>
      <c r="D8" s="78"/>
      <c r="E8" s="78"/>
      <c r="F8" s="78"/>
      <c r="G8" s="184"/>
      <c r="H8" s="184"/>
      <c r="I8" s="184"/>
      <c r="J8" s="184"/>
      <c r="K8" s="184"/>
      <c r="L8" s="184"/>
      <c r="M8" s="184"/>
      <c r="N8" s="184"/>
      <c r="O8" s="184"/>
    </row>
    <row r="9" spans="2:17" x14ac:dyDescent="0.25">
      <c r="B9" s="194" t="s">
        <v>899</v>
      </c>
      <c r="C9" s="59"/>
      <c r="D9" s="59"/>
      <c r="E9" s="59"/>
      <c r="F9" s="59"/>
      <c r="G9" s="184"/>
      <c r="H9" s="184"/>
      <c r="I9" s="184"/>
      <c r="J9" s="184"/>
      <c r="K9" s="184"/>
      <c r="L9" s="184"/>
      <c r="M9" s="184"/>
      <c r="N9" s="184"/>
      <c r="O9" s="184"/>
    </row>
    <row r="10" spans="2:17" x14ac:dyDescent="0.25">
      <c r="B10" s="192" t="s">
        <v>900</v>
      </c>
      <c r="C10" s="59"/>
      <c r="D10" s="17"/>
      <c r="E10" s="59"/>
      <c r="F10" s="59"/>
      <c r="G10" s="184"/>
      <c r="H10" s="184"/>
      <c r="I10" s="184"/>
      <c r="J10" s="184"/>
      <c r="K10" s="184"/>
      <c r="L10" s="184"/>
      <c r="M10" s="184"/>
      <c r="N10" s="184"/>
      <c r="O10" s="184"/>
    </row>
    <row r="11" spans="2:17" x14ac:dyDescent="0.25">
      <c r="B11" s="191" t="s">
        <v>901</v>
      </c>
      <c r="C11" s="59"/>
      <c r="D11" s="11" t="s">
        <v>902</v>
      </c>
      <c r="E11" s="11">
        <v>10</v>
      </c>
      <c r="F11" s="129">
        <v>1.95</v>
      </c>
      <c r="G11" s="11" t="s">
        <v>902</v>
      </c>
      <c r="H11" s="11">
        <v>10</v>
      </c>
      <c r="I11" s="129">
        <v>1.95</v>
      </c>
      <c r="J11" s="11" t="s">
        <v>902</v>
      </c>
      <c r="K11" s="11">
        <f>N11</f>
        <v>10</v>
      </c>
      <c r="L11" s="129">
        <f>O11+[69]FCRT_NPDCL!$K$4</f>
        <v>5.7138542423190772</v>
      </c>
      <c r="M11" s="11" t="s">
        <v>902</v>
      </c>
      <c r="N11" s="11">
        <v>10</v>
      </c>
      <c r="O11" s="129">
        <v>1.95</v>
      </c>
    </row>
    <row r="12" spans="2:17" x14ac:dyDescent="0.25">
      <c r="B12" s="191" t="s">
        <v>903</v>
      </c>
      <c r="C12" s="59"/>
      <c r="D12" s="11" t="s">
        <v>902</v>
      </c>
      <c r="E12" s="11">
        <v>10</v>
      </c>
      <c r="F12" s="129">
        <v>3.1</v>
      </c>
      <c r="G12" s="11" t="s">
        <v>902</v>
      </c>
      <c r="H12" s="11">
        <v>10</v>
      </c>
      <c r="I12" s="129">
        <v>3.1</v>
      </c>
      <c r="J12" s="11" t="s">
        <v>902</v>
      </c>
      <c r="K12" s="11">
        <f>N12</f>
        <v>10</v>
      </c>
      <c r="L12" s="129">
        <f>O12+[69]FCRT_NPDCL!$K$4</f>
        <v>6.8638542423190776</v>
      </c>
      <c r="M12" s="11" t="s">
        <v>902</v>
      </c>
      <c r="N12" s="11">
        <v>10</v>
      </c>
      <c r="O12" s="129">
        <v>3.1</v>
      </c>
      <c r="Q12" s="193"/>
    </row>
    <row r="13" spans="2:17" x14ac:dyDescent="0.25">
      <c r="B13" s="192" t="s">
        <v>904</v>
      </c>
      <c r="C13" s="59"/>
      <c r="D13" s="11"/>
      <c r="E13" s="11"/>
      <c r="F13" s="129"/>
      <c r="G13" s="184"/>
      <c r="H13" s="184"/>
      <c r="I13" s="184"/>
      <c r="J13" s="184"/>
      <c r="K13" s="184"/>
      <c r="L13" s="184"/>
      <c r="M13" s="184"/>
      <c r="N13" s="184"/>
      <c r="O13" s="184"/>
    </row>
    <row r="14" spans="2:17" x14ac:dyDescent="0.25">
      <c r="B14" s="191" t="s">
        <v>905</v>
      </c>
      <c r="C14" s="59"/>
      <c r="D14" s="11" t="s">
        <v>902</v>
      </c>
      <c r="E14" s="11">
        <v>10</v>
      </c>
      <c r="F14" s="129">
        <v>3.4</v>
      </c>
      <c r="G14" s="11" t="s">
        <v>902</v>
      </c>
      <c r="H14" s="11">
        <v>10</v>
      </c>
      <c r="I14" s="129">
        <v>3.4</v>
      </c>
      <c r="J14" s="11" t="s">
        <v>902</v>
      </c>
      <c r="K14" s="11">
        <f t="shared" ref="K14:K15" si="0">N14</f>
        <v>10</v>
      </c>
      <c r="L14" s="129">
        <f>O14+[69]FCRT_NPDCL!$K$4</f>
        <v>7.1638542423190774</v>
      </c>
      <c r="M14" s="11" t="s">
        <v>902</v>
      </c>
      <c r="N14" s="11">
        <v>10</v>
      </c>
      <c r="O14" s="129">
        <v>3.4</v>
      </c>
    </row>
    <row r="15" spans="2:17" x14ac:dyDescent="0.25">
      <c r="B15" s="191" t="s">
        <v>906</v>
      </c>
      <c r="C15" s="59"/>
      <c r="D15" s="11" t="s">
        <v>902</v>
      </c>
      <c r="E15" s="11">
        <v>10</v>
      </c>
      <c r="F15" s="129">
        <v>4.8</v>
      </c>
      <c r="G15" s="11" t="s">
        <v>902</v>
      </c>
      <c r="H15" s="11">
        <v>10</v>
      </c>
      <c r="I15" s="129">
        <v>4.8</v>
      </c>
      <c r="J15" s="11" t="s">
        <v>902</v>
      </c>
      <c r="K15" s="11">
        <f t="shared" si="0"/>
        <v>10</v>
      </c>
      <c r="L15" s="129">
        <f>O15+[69]FCRT_NPDCL!$K$4</f>
        <v>8.5638542423190778</v>
      </c>
      <c r="M15" s="11" t="s">
        <v>902</v>
      </c>
      <c r="N15" s="11">
        <v>10</v>
      </c>
      <c r="O15" s="129">
        <v>4.8</v>
      </c>
    </row>
    <row r="16" spans="2:17" x14ac:dyDescent="0.25">
      <c r="B16" s="192" t="s">
        <v>907</v>
      </c>
      <c r="C16" s="59"/>
      <c r="D16" s="11"/>
      <c r="E16" s="11"/>
      <c r="F16" s="129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2:15" x14ac:dyDescent="0.25">
      <c r="B17" s="191" t="s">
        <v>908</v>
      </c>
      <c r="C17" s="59"/>
      <c r="D17" s="11" t="s">
        <v>902</v>
      </c>
      <c r="E17" s="11">
        <v>10</v>
      </c>
      <c r="F17" s="129">
        <v>5.0999999999999996</v>
      </c>
      <c r="G17" s="11" t="s">
        <v>902</v>
      </c>
      <c r="H17" s="11">
        <v>10</v>
      </c>
      <c r="I17" s="129">
        <v>5.0999999999999996</v>
      </c>
      <c r="J17" s="11" t="s">
        <v>902</v>
      </c>
      <c r="K17" s="11">
        <f t="shared" ref="K17:K21" si="1">N17</f>
        <v>10</v>
      </c>
      <c r="L17" s="129">
        <f>O17+[69]FCRT_NPDCL!$K$4</f>
        <v>8.8638542423190767</v>
      </c>
      <c r="M17" s="11" t="s">
        <v>902</v>
      </c>
      <c r="N17" s="11">
        <v>10</v>
      </c>
      <c r="O17" s="129">
        <v>5.0999999999999996</v>
      </c>
    </row>
    <row r="18" spans="2:15" x14ac:dyDescent="0.25">
      <c r="B18" s="191" t="s">
        <v>909</v>
      </c>
      <c r="C18" s="59"/>
      <c r="D18" s="11" t="s">
        <v>902</v>
      </c>
      <c r="E18" s="11">
        <v>10</v>
      </c>
      <c r="F18" s="129">
        <v>7.7</v>
      </c>
      <c r="G18" s="11" t="s">
        <v>902</v>
      </c>
      <c r="H18" s="11">
        <v>10</v>
      </c>
      <c r="I18" s="129">
        <v>7.7</v>
      </c>
      <c r="J18" s="11" t="s">
        <v>902</v>
      </c>
      <c r="K18" s="11">
        <f t="shared" si="1"/>
        <v>10</v>
      </c>
      <c r="L18" s="129">
        <f>O18+[69]FCRT_NPDCL!$K$4</f>
        <v>11.463854242319078</v>
      </c>
      <c r="M18" s="11" t="s">
        <v>902</v>
      </c>
      <c r="N18" s="11">
        <v>10</v>
      </c>
      <c r="O18" s="129">
        <v>7.7</v>
      </c>
    </row>
    <row r="19" spans="2:15" x14ac:dyDescent="0.25">
      <c r="B19" s="191" t="s">
        <v>910</v>
      </c>
      <c r="C19" s="59"/>
      <c r="D19" s="11" t="s">
        <v>902</v>
      </c>
      <c r="E19" s="11">
        <v>10</v>
      </c>
      <c r="F19" s="181">
        <v>9</v>
      </c>
      <c r="G19" s="11" t="s">
        <v>902</v>
      </c>
      <c r="H19" s="11">
        <v>10</v>
      </c>
      <c r="I19" s="181">
        <v>9</v>
      </c>
      <c r="J19" s="11" t="s">
        <v>902</v>
      </c>
      <c r="K19" s="11">
        <f t="shared" si="1"/>
        <v>50</v>
      </c>
      <c r="L19" s="129">
        <f>O19+[69]FCRT_NPDCL!$K$4</f>
        <v>12.763854242319077</v>
      </c>
      <c r="M19" s="11" t="s">
        <v>902</v>
      </c>
      <c r="N19" s="11">
        <v>50</v>
      </c>
      <c r="O19" s="129">
        <v>9</v>
      </c>
    </row>
    <row r="20" spans="2:15" x14ac:dyDescent="0.25">
      <c r="B20" s="191" t="s">
        <v>911</v>
      </c>
      <c r="C20" s="59"/>
      <c r="D20" s="11" t="s">
        <v>902</v>
      </c>
      <c r="E20" s="11">
        <v>10</v>
      </c>
      <c r="F20" s="181">
        <v>9.5</v>
      </c>
      <c r="G20" s="11" t="s">
        <v>902</v>
      </c>
      <c r="H20" s="11">
        <v>10</v>
      </c>
      <c r="I20" s="181">
        <v>9.5</v>
      </c>
      <c r="J20" s="11" t="s">
        <v>902</v>
      </c>
      <c r="K20" s="11">
        <f t="shared" si="1"/>
        <v>50</v>
      </c>
      <c r="L20" s="129">
        <f>O20+[69]FCRT_NPDCL!$K$4</f>
        <v>13.263854242319077</v>
      </c>
      <c r="M20" s="11" t="s">
        <v>902</v>
      </c>
      <c r="N20" s="11">
        <v>50</v>
      </c>
      <c r="O20" s="129">
        <v>9.5</v>
      </c>
    </row>
    <row r="21" spans="2:15" x14ac:dyDescent="0.25">
      <c r="B21" s="191" t="s">
        <v>912</v>
      </c>
      <c r="C21" s="59"/>
      <c r="D21" s="11" t="s">
        <v>902</v>
      </c>
      <c r="E21" s="182">
        <v>10</v>
      </c>
      <c r="F21" s="181">
        <v>10</v>
      </c>
      <c r="G21" s="11" t="s">
        <v>902</v>
      </c>
      <c r="H21" s="182">
        <v>10</v>
      </c>
      <c r="I21" s="181">
        <v>10</v>
      </c>
      <c r="J21" s="11" t="s">
        <v>902</v>
      </c>
      <c r="K21" s="11">
        <f t="shared" si="1"/>
        <v>50</v>
      </c>
      <c r="L21" s="129">
        <f>O21+[69]FCRT_NPDCL!$K$4</f>
        <v>13.763854242319077</v>
      </c>
      <c r="M21" s="11" t="s">
        <v>902</v>
      </c>
      <c r="N21" s="11">
        <v>50</v>
      </c>
      <c r="O21" s="129">
        <v>10</v>
      </c>
    </row>
    <row r="22" spans="2:15" x14ac:dyDescent="0.25">
      <c r="B22" s="28" t="s">
        <v>913</v>
      </c>
      <c r="C22" s="17"/>
      <c r="D22" s="11"/>
      <c r="E22" s="182"/>
      <c r="F22" s="181"/>
      <c r="G22" s="184"/>
      <c r="H22" s="184"/>
      <c r="I22" s="184"/>
      <c r="J22" s="184"/>
      <c r="K22" s="184"/>
      <c r="L22" s="184"/>
      <c r="M22" s="184"/>
      <c r="N22" s="184"/>
      <c r="O22" s="184"/>
    </row>
    <row r="23" spans="2:15" x14ac:dyDescent="0.25">
      <c r="B23" s="187" t="s">
        <v>914</v>
      </c>
      <c r="C23" s="17"/>
      <c r="D23" s="11"/>
      <c r="E23" s="182"/>
      <c r="F23" s="181"/>
      <c r="G23" s="184"/>
      <c r="H23" s="184"/>
      <c r="I23" s="184"/>
      <c r="J23" s="184"/>
      <c r="K23" s="184"/>
      <c r="L23" s="184"/>
      <c r="M23" s="184"/>
      <c r="N23" s="184"/>
      <c r="O23" s="184"/>
    </row>
    <row r="24" spans="2:15" x14ac:dyDescent="0.25">
      <c r="B24" s="190" t="s">
        <v>901</v>
      </c>
      <c r="C24" s="17"/>
      <c r="D24" s="11" t="s">
        <v>902</v>
      </c>
      <c r="E24" s="182">
        <v>60</v>
      </c>
      <c r="F24" s="181">
        <v>7</v>
      </c>
      <c r="G24" s="11" t="s">
        <v>902</v>
      </c>
      <c r="H24" s="182">
        <v>60</v>
      </c>
      <c r="I24" s="181">
        <v>7</v>
      </c>
      <c r="J24" s="11" t="s">
        <v>902</v>
      </c>
      <c r="K24" s="182">
        <f>N24</f>
        <v>125</v>
      </c>
      <c r="L24" s="181">
        <f>O24</f>
        <v>7</v>
      </c>
      <c r="M24" s="11" t="s">
        <v>902</v>
      </c>
      <c r="N24" s="11">
        <v>125</v>
      </c>
      <c r="O24" s="129">
        <v>7</v>
      </c>
    </row>
    <row r="25" spans="2:15" x14ac:dyDescent="0.25">
      <c r="B25" s="187" t="s">
        <v>915</v>
      </c>
      <c r="C25" s="17"/>
      <c r="D25" s="11"/>
      <c r="E25" s="182"/>
      <c r="F25" s="181"/>
      <c r="G25" s="184"/>
      <c r="H25" s="184"/>
      <c r="I25" s="184"/>
      <c r="J25" s="184"/>
      <c r="K25" s="184"/>
      <c r="L25" s="184"/>
      <c r="M25" s="184"/>
      <c r="N25" s="184"/>
      <c r="O25" s="184"/>
    </row>
    <row r="26" spans="2:15" x14ac:dyDescent="0.25">
      <c r="B26" s="189" t="s">
        <v>905</v>
      </c>
      <c r="C26" s="17"/>
      <c r="D26" s="11" t="s">
        <v>902</v>
      </c>
      <c r="E26" s="182">
        <v>70</v>
      </c>
      <c r="F26" s="181">
        <v>8.5</v>
      </c>
      <c r="G26" s="11" t="s">
        <v>902</v>
      </c>
      <c r="H26" s="182">
        <v>70</v>
      </c>
      <c r="I26" s="181">
        <v>8.5</v>
      </c>
      <c r="J26" s="11" t="s">
        <v>902</v>
      </c>
      <c r="K26" s="182">
        <f t="shared" ref="K26:K30" si="2">N26</f>
        <v>150</v>
      </c>
      <c r="L26" s="181">
        <f t="shared" ref="L26:L30" si="3">O26</f>
        <v>8.5</v>
      </c>
      <c r="M26" s="11" t="s">
        <v>902</v>
      </c>
      <c r="N26" s="11">
        <v>150</v>
      </c>
      <c r="O26" s="129">
        <v>8.5</v>
      </c>
    </row>
    <row r="27" spans="2:15" x14ac:dyDescent="0.25">
      <c r="B27" s="189" t="s">
        <v>916</v>
      </c>
      <c r="C27" s="17"/>
      <c r="D27" s="11" t="s">
        <v>902</v>
      </c>
      <c r="E27" s="182">
        <v>70</v>
      </c>
      <c r="F27" s="181">
        <v>9.9</v>
      </c>
      <c r="G27" s="11" t="s">
        <v>902</v>
      </c>
      <c r="H27" s="182">
        <v>70</v>
      </c>
      <c r="I27" s="181">
        <v>9.9</v>
      </c>
      <c r="J27" s="11" t="s">
        <v>902</v>
      </c>
      <c r="K27" s="182">
        <f t="shared" si="2"/>
        <v>150</v>
      </c>
      <c r="L27" s="181">
        <f t="shared" si="3"/>
        <v>9.9</v>
      </c>
      <c r="M27" s="11" t="s">
        <v>902</v>
      </c>
      <c r="N27" s="11">
        <v>150</v>
      </c>
      <c r="O27" s="129">
        <v>9.9</v>
      </c>
    </row>
    <row r="28" spans="2:15" x14ac:dyDescent="0.25">
      <c r="B28" s="189" t="s">
        <v>917</v>
      </c>
      <c r="C28" s="17"/>
      <c r="D28" s="11" t="s">
        <v>902</v>
      </c>
      <c r="E28" s="182">
        <v>70</v>
      </c>
      <c r="F28" s="181">
        <v>10.4</v>
      </c>
      <c r="G28" s="11" t="s">
        <v>902</v>
      </c>
      <c r="H28" s="182">
        <v>70</v>
      </c>
      <c r="I28" s="181">
        <v>10.4</v>
      </c>
      <c r="J28" s="11" t="s">
        <v>902</v>
      </c>
      <c r="K28" s="182">
        <f t="shared" si="2"/>
        <v>150</v>
      </c>
      <c r="L28" s="181">
        <f t="shared" si="3"/>
        <v>10.4</v>
      </c>
      <c r="M28" s="11" t="s">
        <v>902</v>
      </c>
      <c r="N28" s="11">
        <v>150</v>
      </c>
      <c r="O28" s="129">
        <v>10.4</v>
      </c>
    </row>
    <row r="29" spans="2:15" x14ac:dyDescent="0.25">
      <c r="B29" s="189" t="s">
        <v>918</v>
      </c>
      <c r="C29" s="17"/>
      <c r="D29" s="11" t="s">
        <v>902</v>
      </c>
      <c r="E29" s="182">
        <v>70</v>
      </c>
      <c r="F29" s="181">
        <v>11</v>
      </c>
      <c r="G29" s="11" t="s">
        <v>902</v>
      </c>
      <c r="H29" s="182">
        <v>70</v>
      </c>
      <c r="I29" s="181">
        <v>11</v>
      </c>
      <c r="J29" s="11" t="s">
        <v>902</v>
      </c>
      <c r="K29" s="182">
        <f t="shared" si="2"/>
        <v>150</v>
      </c>
      <c r="L29" s="181">
        <f t="shared" si="3"/>
        <v>11</v>
      </c>
      <c r="M29" s="11" t="s">
        <v>902</v>
      </c>
      <c r="N29" s="11">
        <v>150</v>
      </c>
      <c r="O29" s="129">
        <v>11</v>
      </c>
    </row>
    <row r="30" spans="2:15" x14ac:dyDescent="0.25">
      <c r="B30" s="187" t="s">
        <v>919</v>
      </c>
      <c r="C30" s="17"/>
      <c r="D30" s="11" t="s">
        <v>902</v>
      </c>
      <c r="E30" s="182">
        <v>70</v>
      </c>
      <c r="F30" s="181">
        <v>13</v>
      </c>
      <c r="G30" s="11" t="s">
        <v>902</v>
      </c>
      <c r="H30" s="182">
        <v>70</v>
      </c>
      <c r="I30" s="181">
        <v>13</v>
      </c>
      <c r="J30" s="11" t="s">
        <v>902</v>
      </c>
      <c r="K30" s="182">
        <f t="shared" si="2"/>
        <v>150</v>
      </c>
      <c r="L30" s="181">
        <f t="shared" si="3"/>
        <v>13</v>
      </c>
      <c r="M30" s="11" t="s">
        <v>902</v>
      </c>
      <c r="N30" s="11">
        <v>150</v>
      </c>
      <c r="O30" s="129">
        <v>13</v>
      </c>
    </row>
    <row r="31" spans="2:15" x14ac:dyDescent="0.25">
      <c r="B31" s="187" t="s">
        <v>920</v>
      </c>
      <c r="C31" s="17"/>
      <c r="D31" s="11"/>
      <c r="E31" s="182"/>
      <c r="F31" s="181"/>
      <c r="G31" s="184"/>
      <c r="H31" s="184"/>
      <c r="I31" s="184"/>
      <c r="J31" s="184"/>
      <c r="K31" s="184"/>
      <c r="L31" s="184"/>
      <c r="M31" s="184"/>
      <c r="N31" s="184"/>
      <c r="O31" s="184"/>
    </row>
    <row r="32" spans="2:15" x14ac:dyDescent="0.25">
      <c r="B32" s="189" t="s">
        <v>901</v>
      </c>
      <c r="C32" s="17"/>
      <c r="D32" s="182" t="s">
        <v>902</v>
      </c>
      <c r="E32" s="182">
        <v>60</v>
      </c>
      <c r="F32" s="181">
        <v>5.3</v>
      </c>
      <c r="G32" s="182" t="s">
        <v>902</v>
      </c>
      <c r="H32" s="182">
        <v>60</v>
      </c>
      <c r="I32" s="181">
        <v>5.3</v>
      </c>
      <c r="J32" s="182" t="s">
        <v>902</v>
      </c>
      <c r="K32" s="182">
        <f t="shared" ref="K32:K34" si="4">N32</f>
        <v>60</v>
      </c>
      <c r="L32" s="181">
        <f t="shared" ref="L32:L34" si="5">O32</f>
        <v>5.3</v>
      </c>
      <c r="M32" s="182" t="s">
        <v>902</v>
      </c>
      <c r="N32" s="11">
        <v>60</v>
      </c>
      <c r="O32" s="129">
        <v>5.3</v>
      </c>
    </row>
    <row r="33" spans="2:15" x14ac:dyDescent="0.25">
      <c r="B33" s="189" t="s">
        <v>921</v>
      </c>
      <c r="C33" s="17"/>
      <c r="D33" s="182" t="s">
        <v>902</v>
      </c>
      <c r="E33" s="182">
        <v>60</v>
      </c>
      <c r="F33" s="181">
        <v>6.6</v>
      </c>
      <c r="G33" s="182" t="s">
        <v>902</v>
      </c>
      <c r="H33" s="182">
        <v>60</v>
      </c>
      <c r="I33" s="181">
        <v>6.6</v>
      </c>
      <c r="J33" s="182" t="s">
        <v>902</v>
      </c>
      <c r="K33" s="182">
        <f t="shared" si="4"/>
        <v>60</v>
      </c>
      <c r="L33" s="181">
        <f t="shared" si="5"/>
        <v>6.6</v>
      </c>
      <c r="M33" s="182" t="s">
        <v>902</v>
      </c>
      <c r="N33" s="11">
        <v>60</v>
      </c>
      <c r="O33" s="129">
        <v>6.6</v>
      </c>
    </row>
    <row r="34" spans="2:15" x14ac:dyDescent="0.25">
      <c r="B34" s="189" t="s">
        <v>922</v>
      </c>
      <c r="C34" s="17"/>
      <c r="D34" s="182" t="s">
        <v>902</v>
      </c>
      <c r="E34" s="182">
        <v>60</v>
      </c>
      <c r="F34" s="181">
        <v>7.5</v>
      </c>
      <c r="G34" s="182" t="s">
        <v>902</v>
      </c>
      <c r="H34" s="182">
        <v>60</v>
      </c>
      <c r="I34" s="181">
        <v>7.5</v>
      </c>
      <c r="J34" s="182" t="s">
        <v>902</v>
      </c>
      <c r="K34" s="182">
        <f t="shared" si="4"/>
        <v>60</v>
      </c>
      <c r="L34" s="181">
        <f t="shared" si="5"/>
        <v>7.5</v>
      </c>
      <c r="M34" s="182" t="s">
        <v>902</v>
      </c>
      <c r="N34" s="11">
        <v>60</v>
      </c>
      <c r="O34" s="129">
        <v>7.5</v>
      </c>
    </row>
    <row r="35" spans="2:15" x14ac:dyDescent="0.25">
      <c r="B35" s="28" t="s">
        <v>923</v>
      </c>
      <c r="C35" s="17"/>
      <c r="D35" s="182"/>
      <c r="E35" s="182"/>
      <c r="F35" s="181"/>
      <c r="G35" s="184"/>
      <c r="H35" s="184"/>
      <c r="I35" s="184"/>
      <c r="J35" s="184"/>
      <c r="K35" s="184"/>
      <c r="L35" s="184"/>
      <c r="M35" s="184"/>
      <c r="N35" s="184"/>
      <c r="O35" s="184"/>
    </row>
    <row r="36" spans="2:15" x14ac:dyDescent="0.25">
      <c r="B36" s="189" t="s">
        <v>924</v>
      </c>
      <c r="C36" s="17"/>
      <c r="D36" s="182" t="s">
        <v>902</v>
      </c>
      <c r="E36" s="182">
        <v>75</v>
      </c>
      <c r="F36" s="181">
        <v>7.7</v>
      </c>
      <c r="G36" s="182" t="s">
        <v>902</v>
      </c>
      <c r="H36" s="182">
        <v>75</v>
      </c>
      <c r="I36" s="181">
        <v>7.7</v>
      </c>
      <c r="J36" s="182" t="s">
        <v>902</v>
      </c>
      <c r="K36" s="182">
        <f t="shared" ref="K36:K41" si="6">N36</f>
        <v>150</v>
      </c>
      <c r="L36" s="181">
        <f t="shared" ref="L36:L41" si="7">O36</f>
        <v>7.7</v>
      </c>
      <c r="M36" s="182" t="s">
        <v>902</v>
      </c>
      <c r="N36" s="11">
        <v>150</v>
      </c>
      <c r="O36" s="129">
        <v>7.7</v>
      </c>
    </row>
    <row r="37" spans="2:15" x14ac:dyDescent="0.25">
      <c r="B37" s="189" t="s">
        <v>925</v>
      </c>
      <c r="C37" s="17"/>
      <c r="D37" s="182" t="s">
        <v>902</v>
      </c>
      <c r="E37" s="182">
        <v>75</v>
      </c>
      <c r="F37" s="181">
        <v>8.4</v>
      </c>
      <c r="G37" s="182" t="s">
        <v>902</v>
      </c>
      <c r="H37" s="182">
        <v>75</v>
      </c>
      <c r="I37" s="181">
        <v>8.4</v>
      </c>
      <c r="J37" s="182" t="s">
        <v>902</v>
      </c>
      <c r="K37" s="182">
        <f t="shared" si="6"/>
        <v>150</v>
      </c>
      <c r="L37" s="181">
        <f t="shared" si="7"/>
        <v>8.4</v>
      </c>
      <c r="M37" s="182" t="s">
        <v>902</v>
      </c>
      <c r="N37" s="11">
        <v>150</v>
      </c>
      <c r="O37" s="129">
        <v>8.4</v>
      </c>
    </row>
    <row r="38" spans="2:15" x14ac:dyDescent="0.25">
      <c r="B38" s="189" t="s">
        <v>926</v>
      </c>
      <c r="C38" s="17"/>
      <c r="D38" s="182" t="s">
        <v>902</v>
      </c>
      <c r="E38" s="182">
        <v>36</v>
      </c>
      <c r="F38" s="181">
        <v>6.2</v>
      </c>
      <c r="G38" s="182" t="s">
        <v>902</v>
      </c>
      <c r="H38" s="182">
        <v>36</v>
      </c>
      <c r="I38" s="181">
        <v>6.2</v>
      </c>
      <c r="J38" s="182" t="s">
        <v>902</v>
      </c>
      <c r="K38" s="182">
        <f t="shared" si="6"/>
        <v>100</v>
      </c>
      <c r="L38" s="181">
        <f t="shared" si="7"/>
        <v>6.2</v>
      </c>
      <c r="M38" s="182" t="s">
        <v>902</v>
      </c>
      <c r="N38" s="11">
        <v>100</v>
      </c>
      <c r="O38" s="129">
        <v>6.2</v>
      </c>
    </row>
    <row r="39" spans="2:15" x14ac:dyDescent="0.25">
      <c r="B39" s="189" t="s">
        <v>927</v>
      </c>
      <c r="C39" s="17"/>
      <c r="D39" s="182" t="s">
        <v>902</v>
      </c>
      <c r="E39" s="182">
        <v>36</v>
      </c>
      <c r="F39" s="181">
        <v>6.2</v>
      </c>
      <c r="G39" s="182" t="s">
        <v>902</v>
      </c>
      <c r="H39" s="182">
        <v>36</v>
      </c>
      <c r="I39" s="181">
        <v>6.2</v>
      </c>
      <c r="J39" s="182" t="s">
        <v>902</v>
      </c>
      <c r="K39" s="182">
        <f t="shared" si="6"/>
        <v>100</v>
      </c>
      <c r="L39" s="181">
        <f t="shared" si="7"/>
        <v>6.2</v>
      </c>
      <c r="M39" s="182" t="s">
        <v>902</v>
      </c>
      <c r="N39" s="11">
        <v>100</v>
      </c>
      <c r="O39" s="129">
        <v>6.2</v>
      </c>
    </row>
    <row r="40" spans="2:15" x14ac:dyDescent="0.25">
      <c r="B40" s="189" t="s">
        <v>928</v>
      </c>
      <c r="C40" s="17"/>
      <c r="D40" s="182" t="s">
        <v>902</v>
      </c>
      <c r="E40" s="182">
        <v>65</v>
      </c>
      <c r="F40" s="181">
        <v>7</v>
      </c>
      <c r="G40" s="182" t="s">
        <v>902</v>
      </c>
      <c r="H40" s="182">
        <v>65</v>
      </c>
      <c r="I40" s="181">
        <v>7</v>
      </c>
      <c r="J40" s="182" t="s">
        <v>902</v>
      </c>
      <c r="K40" s="182">
        <f t="shared" si="6"/>
        <v>100</v>
      </c>
      <c r="L40" s="181">
        <f t="shared" si="7"/>
        <v>7</v>
      </c>
      <c r="M40" s="182" t="s">
        <v>902</v>
      </c>
      <c r="N40" s="11">
        <v>100</v>
      </c>
      <c r="O40" s="129">
        <v>7</v>
      </c>
    </row>
    <row r="41" spans="2:15" x14ac:dyDescent="0.25">
      <c r="B41" s="189" t="s">
        <v>929</v>
      </c>
      <c r="C41" s="17"/>
      <c r="D41" s="182" t="s">
        <v>902</v>
      </c>
      <c r="E41" s="182">
        <v>75</v>
      </c>
      <c r="F41" s="181">
        <v>7.3</v>
      </c>
      <c r="G41" s="182" t="s">
        <v>902</v>
      </c>
      <c r="H41" s="182">
        <v>75</v>
      </c>
      <c r="I41" s="181">
        <v>7.3</v>
      </c>
      <c r="J41" s="182" t="s">
        <v>902</v>
      </c>
      <c r="K41" s="182">
        <f t="shared" si="6"/>
        <v>150</v>
      </c>
      <c r="L41" s="181">
        <f t="shared" si="7"/>
        <v>7.3</v>
      </c>
      <c r="M41" s="182" t="s">
        <v>902</v>
      </c>
      <c r="N41" s="11">
        <v>150</v>
      </c>
      <c r="O41" s="129">
        <v>7.3</v>
      </c>
    </row>
    <row r="42" spans="2:15" x14ac:dyDescent="0.25">
      <c r="B42" s="28" t="s">
        <v>930</v>
      </c>
      <c r="C42" s="17"/>
      <c r="D42" s="182"/>
      <c r="E42" s="182"/>
      <c r="F42" s="181"/>
      <c r="G42" s="184"/>
      <c r="H42" s="184"/>
      <c r="I42" s="184"/>
      <c r="J42" s="184"/>
      <c r="K42" s="184"/>
      <c r="L42" s="184"/>
      <c r="M42" s="184"/>
      <c r="N42" s="184"/>
      <c r="O42" s="184"/>
    </row>
    <row r="43" spans="2:15" ht="57" customHeight="1" x14ac:dyDescent="0.25">
      <c r="B43" s="189" t="s">
        <v>179</v>
      </c>
      <c r="C43" s="17"/>
      <c r="D43" s="182" t="s">
        <v>902</v>
      </c>
      <c r="E43" s="188" t="s">
        <v>931</v>
      </c>
      <c r="F43" s="181">
        <v>4</v>
      </c>
      <c r="G43" s="182" t="s">
        <v>902</v>
      </c>
      <c r="H43" s="188" t="s">
        <v>931</v>
      </c>
      <c r="I43" s="181">
        <v>4</v>
      </c>
      <c r="J43" s="182" t="s">
        <v>902</v>
      </c>
      <c r="K43" s="188" t="str">
        <f t="shared" ref="K43:K44" si="8">N43</f>
        <v>20/kW subject to a minimum of Rs.30/month</v>
      </c>
      <c r="L43" s="181">
        <f t="shared" ref="L43:L44" si="9">O43</f>
        <v>4</v>
      </c>
      <c r="M43" s="182" t="s">
        <v>902</v>
      </c>
      <c r="N43" s="188" t="s">
        <v>931</v>
      </c>
      <c r="O43" s="181">
        <v>4</v>
      </c>
    </row>
    <row r="44" spans="2:15" ht="52.2" customHeight="1" x14ac:dyDescent="0.25">
      <c r="B44" s="189" t="s">
        <v>932</v>
      </c>
      <c r="C44" s="17"/>
      <c r="D44" s="182" t="s">
        <v>902</v>
      </c>
      <c r="E44" s="188" t="s">
        <v>931</v>
      </c>
      <c r="F44" s="181">
        <v>4</v>
      </c>
      <c r="G44" s="182" t="s">
        <v>902</v>
      </c>
      <c r="H44" s="188" t="s">
        <v>931</v>
      </c>
      <c r="I44" s="181">
        <v>4</v>
      </c>
      <c r="J44" s="182" t="s">
        <v>902</v>
      </c>
      <c r="K44" s="188" t="str">
        <f t="shared" si="8"/>
        <v>20/kW subject to a minimum of Rs.30/month</v>
      </c>
      <c r="L44" s="181">
        <f t="shared" si="9"/>
        <v>4</v>
      </c>
      <c r="M44" s="182" t="s">
        <v>902</v>
      </c>
      <c r="N44" s="188" t="s">
        <v>931</v>
      </c>
      <c r="O44" s="181">
        <v>4</v>
      </c>
    </row>
    <row r="45" spans="2:15" x14ac:dyDescent="0.25">
      <c r="B45" s="28" t="s">
        <v>933</v>
      </c>
      <c r="C45" s="17"/>
      <c r="D45" s="182"/>
      <c r="E45" s="182"/>
      <c r="F45" s="181"/>
      <c r="G45" s="184"/>
      <c r="H45" s="184"/>
      <c r="I45" s="184"/>
      <c r="J45" s="184"/>
      <c r="K45" s="184"/>
      <c r="L45" s="184"/>
      <c r="M45" s="184"/>
      <c r="N45" s="184"/>
      <c r="O45" s="184"/>
    </row>
    <row r="46" spans="2:15" x14ac:dyDescent="0.25">
      <c r="B46" s="187" t="s">
        <v>934</v>
      </c>
      <c r="C46" s="17"/>
      <c r="D46" s="182"/>
      <c r="E46" s="182"/>
      <c r="F46" s="181"/>
      <c r="G46" s="184"/>
      <c r="H46" s="184"/>
      <c r="I46" s="184"/>
      <c r="J46" s="184"/>
      <c r="K46" s="184"/>
      <c r="L46" s="184"/>
      <c r="M46" s="184"/>
      <c r="N46" s="184"/>
      <c r="O46" s="184"/>
    </row>
    <row r="47" spans="2:15" x14ac:dyDescent="0.25">
      <c r="B47" s="189" t="s">
        <v>935</v>
      </c>
      <c r="C47" s="17"/>
      <c r="D47" s="182" t="s">
        <v>936</v>
      </c>
      <c r="E47" s="182"/>
      <c r="F47" s="181">
        <v>2.5</v>
      </c>
      <c r="G47" s="182" t="s">
        <v>936</v>
      </c>
      <c r="H47" s="182"/>
      <c r="I47" s="181">
        <v>2.5</v>
      </c>
      <c r="J47" s="182" t="s">
        <v>936</v>
      </c>
      <c r="K47" s="182"/>
      <c r="L47" s="181">
        <f>O47+[69]FCRT_NPDCL!$K$8</f>
        <v>10.550951433214026</v>
      </c>
      <c r="M47" s="182" t="s">
        <v>936</v>
      </c>
      <c r="N47" s="182"/>
      <c r="O47" s="181">
        <v>2.5</v>
      </c>
    </row>
    <row r="48" spans="2:15" x14ac:dyDescent="0.25">
      <c r="B48" s="187" t="s">
        <v>937</v>
      </c>
      <c r="C48" s="17"/>
      <c r="D48" s="182" t="s">
        <v>936</v>
      </c>
      <c r="E48" s="182"/>
      <c r="F48" s="181">
        <v>0</v>
      </c>
      <c r="G48" s="182" t="s">
        <v>936</v>
      </c>
      <c r="H48" s="182"/>
      <c r="I48" s="181">
        <v>0</v>
      </c>
      <c r="J48" s="182" t="s">
        <v>936</v>
      </c>
      <c r="K48" s="182"/>
      <c r="L48" s="181">
        <f>O48+[69]FCRT_NPDCL!$K$8</f>
        <v>8.050951433214026</v>
      </c>
      <c r="M48" s="182" t="s">
        <v>936</v>
      </c>
      <c r="N48" s="182"/>
      <c r="O48" s="181">
        <v>0</v>
      </c>
    </row>
    <row r="49" spans="2:15" x14ac:dyDescent="0.25">
      <c r="B49" s="187" t="s">
        <v>938</v>
      </c>
      <c r="C49" s="17"/>
      <c r="D49" s="182"/>
      <c r="E49" s="182"/>
      <c r="F49" s="181"/>
      <c r="G49" s="182"/>
      <c r="H49" s="182"/>
      <c r="I49" s="181"/>
      <c r="J49" s="182"/>
      <c r="K49" s="182"/>
      <c r="L49" s="181"/>
      <c r="M49" s="182"/>
      <c r="N49" s="182"/>
      <c r="O49" s="181"/>
    </row>
    <row r="50" spans="2:15" x14ac:dyDescent="0.25">
      <c r="B50" s="189" t="s">
        <v>939</v>
      </c>
      <c r="C50" s="17"/>
      <c r="D50" s="182" t="s">
        <v>936</v>
      </c>
      <c r="E50" s="182">
        <v>20</v>
      </c>
      <c r="F50" s="181">
        <v>4</v>
      </c>
      <c r="G50" s="182" t="s">
        <v>936</v>
      </c>
      <c r="H50" s="182">
        <v>20</v>
      </c>
      <c r="I50" s="181">
        <v>4</v>
      </c>
      <c r="J50" s="182" t="s">
        <v>936</v>
      </c>
      <c r="K50" s="182">
        <f>N50</f>
        <v>20</v>
      </c>
      <c r="L50" s="181">
        <f>O50+[69]FCRT_NPDCL!$K$8</f>
        <v>12.050951433214026</v>
      </c>
      <c r="M50" s="182" t="s">
        <v>936</v>
      </c>
      <c r="N50" s="182">
        <v>20</v>
      </c>
      <c r="O50" s="181">
        <v>4</v>
      </c>
    </row>
    <row r="51" spans="2:15" x14ac:dyDescent="0.25">
      <c r="B51" s="28" t="s">
        <v>940</v>
      </c>
      <c r="C51" s="17"/>
      <c r="D51" s="182"/>
      <c r="E51" s="182"/>
      <c r="F51" s="181"/>
      <c r="G51" s="184"/>
      <c r="H51" s="184"/>
      <c r="I51" s="184"/>
      <c r="J51" s="184"/>
      <c r="K51" s="184"/>
      <c r="L51" s="184"/>
      <c r="M51" s="184"/>
      <c r="N51" s="184"/>
      <c r="O51" s="184"/>
    </row>
    <row r="52" spans="2:15" x14ac:dyDescent="0.25">
      <c r="B52" s="28" t="s">
        <v>941</v>
      </c>
      <c r="C52" s="17"/>
      <c r="D52" s="182"/>
      <c r="E52" s="182"/>
      <c r="F52" s="181"/>
      <c r="G52" s="184"/>
      <c r="H52" s="184"/>
      <c r="I52" s="184"/>
      <c r="J52" s="184"/>
      <c r="K52" s="184"/>
      <c r="L52" s="184"/>
      <c r="M52" s="184"/>
      <c r="N52" s="184"/>
      <c r="O52" s="184"/>
    </row>
    <row r="53" spans="2:15" x14ac:dyDescent="0.25">
      <c r="B53" s="189" t="s">
        <v>942</v>
      </c>
      <c r="C53" s="17"/>
      <c r="D53" s="182" t="s">
        <v>902</v>
      </c>
      <c r="E53" s="182">
        <v>32</v>
      </c>
      <c r="F53" s="181">
        <v>7.1</v>
      </c>
      <c r="G53" s="182" t="s">
        <v>902</v>
      </c>
      <c r="H53" s="182">
        <v>32</v>
      </c>
      <c r="I53" s="181">
        <v>7.1</v>
      </c>
      <c r="J53" s="182" t="s">
        <v>902</v>
      </c>
      <c r="K53" s="182">
        <f>N53</f>
        <v>32</v>
      </c>
      <c r="L53" s="181">
        <f>O53</f>
        <v>7.1</v>
      </c>
      <c r="M53" s="182" t="s">
        <v>902</v>
      </c>
      <c r="N53" s="182">
        <v>32</v>
      </c>
      <c r="O53" s="181">
        <v>7.1</v>
      </c>
    </row>
    <row r="54" spans="2:15" x14ac:dyDescent="0.25">
      <c r="B54" s="189" t="s">
        <v>943</v>
      </c>
      <c r="C54" s="17"/>
      <c r="D54" s="182" t="s">
        <v>902</v>
      </c>
      <c r="E54" s="182">
        <v>32</v>
      </c>
      <c r="F54" s="181">
        <v>7.6</v>
      </c>
      <c r="G54" s="182" t="s">
        <v>902</v>
      </c>
      <c r="H54" s="182">
        <v>32</v>
      </c>
      <c r="I54" s="181">
        <v>7.6</v>
      </c>
      <c r="J54" s="182" t="s">
        <v>902</v>
      </c>
      <c r="K54" s="182">
        <f t="shared" ref="K54:K55" si="10">N54</f>
        <v>32</v>
      </c>
      <c r="L54" s="181">
        <f t="shared" ref="L54:L55" si="11">O54</f>
        <v>7.6</v>
      </c>
      <c r="M54" s="182" t="s">
        <v>902</v>
      </c>
      <c r="N54" s="182">
        <v>32</v>
      </c>
      <c r="O54" s="181">
        <v>7.6</v>
      </c>
    </row>
    <row r="55" spans="2:15" x14ac:dyDescent="0.25">
      <c r="B55" s="189" t="s">
        <v>944</v>
      </c>
      <c r="C55" s="17"/>
      <c r="D55" s="182" t="s">
        <v>902</v>
      </c>
      <c r="E55" s="182">
        <v>32</v>
      </c>
      <c r="F55" s="181">
        <v>8.1</v>
      </c>
      <c r="G55" s="182" t="s">
        <v>902</v>
      </c>
      <c r="H55" s="182">
        <v>32</v>
      </c>
      <c r="I55" s="181">
        <v>8.1</v>
      </c>
      <c r="J55" s="182" t="s">
        <v>902</v>
      </c>
      <c r="K55" s="182">
        <f t="shared" si="10"/>
        <v>32</v>
      </c>
      <c r="L55" s="181">
        <f t="shared" si="11"/>
        <v>8.1</v>
      </c>
      <c r="M55" s="182" t="s">
        <v>902</v>
      </c>
      <c r="N55" s="182">
        <v>32</v>
      </c>
      <c r="O55" s="181">
        <v>8.1</v>
      </c>
    </row>
    <row r="56" spans="2:15" x14ac:dyDescent="0.25">
      <c r="B56" s="28" t="s">
        <v>945</v>
      </c>
      <c r="C56" s="17"/>
      <c r="D56" s="182"/>
      <c r="E56" s="182"/>
      <c r="F56" s="181"/>
      <c r="G56" s="184"/>
      <c r="H56" s="184"/>
      <c r="I56" s="184"/>
      <c r="J56" s="184"/>
      <c r="K56" s="184"/>
      <c r="L56" s="184"/>
      <c r="M56" s="184"/>
      <c r="N56" s="184"/>
      <c r="O56" s="184"/>
    </row>
    <row r="57" spans="2:15" ht="46.2" customHeight="1" x14ac:dyDescent="0.25">
      <c r="B57" s="189" t="s">
        <v>942</v>
      </c>
      <c r="C57" s="17"/>
      <c r="D57" s="182" t="s">
        <v>936</v>
      </c>
      <c r="E57" s="188" t="s">
        <v>946</v>
      </c>
      <c r="F57" s="181">
        <v>6</v>
      </c>
      <c r="G57" s="182" t="s">
        <v>936</v>
      </c>
      <c r="H57" s="188" t="s">
        <v>946</v>
      </c>
      <c r="I57" s="181">
        <v>6</v>
      </c>
      <c r="J57" s="182" t="s">
        <v>936</v>
      </c>
      <c r="K57" s="188" t="str">
        <f t="shared" ref="K57:K59" si="12">N57</f>
        <v>32/HP subject to minimum of Rs.50/month</v>
      </c>
      <c r="L57" s="181">
        <f t="shared" ref="L57:L59" si="13">O57</f>
        <v>6</v>
      </c>
      <c r="M57" s="182" t="s">
        <v>936</v>
      </c>
      <c r="N57" s="188" t="s">
        <v>946</v>
      </c>
      <c r="O57" s="181">
        <v>6</v>
      </c>
    </row>
    <row r="58" spans="2:15" ht="67.95" customHeight="1" x14ac:dyDescent="0.25">
      <c r="B58" s="189" t="s">
        <v>943</v>
      </c>
      <c r="C58" s="17"/>
      <c r="D58" s="182" t="s">
        <v>936</v>
      </c>
      <c r="E58" s="188" t="s">
        <v>947</v>
      </c>
      <c r="F58" s="181">
        <v>7.1</v>
      </c>
      <c r="G58" s="182" t="s">
        <v>936</v>
      </c>
      <c r="H58" s="188" t="s">
        <v>947</v>
      </c>
      <c r="I58" s="181">
        <v>7.1</v>
      </c>
      <c r="J58" s="182" t="s">
        <v>936</v>
      </c>
      <c r="K58" s="188" t="str">
        <f t="shared" si="12"/>
        <v>32/HP subject to minimum of Rs.100/month</v>
      </c>
      <c r="L58" s="181">
        <f t="shared" si="13"/>
        <v>7.1</v>
      </c>
      <c r="M58" s="182" t="s">
        <v>936</v>
      </c>
      <c r="N58" s="188" t="s">
        <v>947</v>
      </c>
      <c r="O58" s="181">
        <v>7.1</v>
      </c>
    </row>
    <row r="59" spans="2:15" ht="45.6" customHeight="1" x14ac:dyDescent="0.25">
      <c r="B59" s="189" t="s">
        <v>944</v>
      </c>
      <c r="C59" s="17"/>
      <c r="D59" s="182" t="s">
        <v>936</v>
      </c>
      <c r="E59" s="188" t="s">
        <v>947</v>
      </c>
      <c r="F59" s="181">
        <v>7.6</v>
      </c>
      <c r="G59" s="182" t="s">
        <v>936</v>
      </c>
      <c r="H59" s="188" t="s">
        <v>947</v>
      </c>
      <c r="I59" s="181">
        <v>7.6</v>
      </c>
      <c r="J59" s="182" t="s">
        <v>936</v>
      </c>
      <c r="K59" s="188" t="str">
        <f t="shared" si="12"/>
        <v>32/HP subject to minimum of Rs.100/month</v>
      </c>
      <c r="L59" s="181">
        <f t="shared" si="13"/>
        <v>7.6</v>
      </c>
      <c r="M59" s="182" t="s">
        <v>936</v>
      </c>
      <c r="N59" s="188" t="s">
        <v>947</v>
      </c>
      <c r="O59" s="181">
        <v>7.6</v>
      </c>
    </row>
    <row r="60" spans="2:15" x14ac:dyDescent="0.25">
      <c r="B60" s="28" t="s">
        <v>948</v>
      </c>
      <c r="C60" s="17"/>
      <c r="D60" s="182"/>
      <c r="E60" s="182"/>
      <c r="F60" s="181"/>
      <c r="G60" s="184"/>
      <c r="H60" s="184"/>
      <c r="I60" s="184"/>
      <c r="J60" s="184"/>
      <c r="K60" s="184"/>
      <c r="L60" s="184"/>
      <c r="M60" s="184"/>
      <c r="N60" s="184"/>
      <c r="O60" s="184"/>
    </row>
    <row r="61" spans="2:15" x14ac:dyDescent="0.25">
      <c r="B61" s="187" t="s">
        <v>949</v>
      </c>
      <c r="C61" s="17"/>
      <c r="D61" s="182" t="s">
        <v>902</v>
      </c>
      <c r="E61" s="182">
        <v>21</v>
      </c>
      <c r="F61" s="181">
        <v>8.3000000000000007</v>
      </c>
      <c r="G61" s="182" t="s">
        <v>902</v>
      </c>
      <c r="H61" s="182">
        <v>21</v>
      </c>
      <c r="I61" s="181">
        <v>8.3000000000000007</v>
      </c>
      <c r="J61" s="182" t="s">
        <v>902</v>
      </c>
      <c r="K61" s="182">
        <f t="shared" ref="K61" si="14">N61</f>
        <v>100</v>
      </c>
      <c r="L61" s="181">
        <f t="shared" ref="L61" si="15">O61</f>
        <v>8.3000000000000007</v>
      </c>
      <c r="M61" s="182" t="s">
        <v>902</v>
      </c>
      <c r="N61" s="11">
        <v>100</v>
      </c>
      <c r="O61" s="129">
        <v>8.3000000000000007</v>
      </c>
    </row>
    <row r="62" spans="2:15" x14ac:dyDescent="0.25">
      <c r="B62" s="187" t="s">
        <v>950</v>
      </c>
      <c r="C62" s="17"/>
      <c r="D62" s="182"/>
      <c r="E62" s="182"/>
      <c r="F62" s="181"/>
      <c r="G62" s="184"/>
      <c r="H62" s="184"/>
      <c r="I62" s="184"/>
      <c r="J62" s="184"/>
      <c r="K62" s="184"/>
      <c r="L62" s="184"/>
      <c r="M62" s="184"/>
      <c r="N62" s="184"/>
      <c r="O62" s="184"/>
    </row>
    <row r="63" spans="2:15" x14ac:dyDescent="0.25">
      <c r="B63" s="187" t="s">
        <v>951</v>
      </c>
      <c r="C63" s="17"/>
      <c r="D63" s="182" t="s">
        <v>902</v>
      </c>
      <c r="E63" s="182">
        <v>21</v>
      </c>
      <c r="F63" s="181">
        <v>6.4</v>
      </c>
      <c r="G63" s="182" t="s">
        <v>902</v>
      </c>
      <c r="H63" s="182">
        <v>30</v>
      </c>
      <c r="I63" s="181">
        <v>5</v>
      </c>
      <c r="J63" s="182" t="s">
        <v>902</v>
      </c>
      <c r="K63" s="182">
        <f t="shared" ref="K63:K66" si="16">N63</f>
        <v>100</v>
      </c>
      <c r="L63" s="181">
        <f t="shared" ref="L63:L66" si="17">O63</f>
        <v>5</v>
      </c>
      <c r="M63" s="182" t="s">
        <v>902</v>
      </c>
      <c r="N63" s="11">
        <v>100</v>
      </c>
      <c r="O63" s="129">
        <v>5</v>
      </c>
    </row>
    <row r="64" spans="2:15" x14ac:dyDescent="0.25">
      <c r="B64" s="187" t="s">
        <v>952</v>
      </c>
      <c r="C64" s="17"/>
      <c r="D64" s="182" t="s">
        <v>902</v>
      </c>
      <c r="E64" s="182">
        <v>21</v>
      </c>
      <c r="F64" s="181">
        <v>7</v>
      </c>
      <c r="G64" s="182" t="s">
        <v>902</v>
      </c>
      <c r="H64" s="182">
        <v>30</v>
      </c>
      <c r="I64" s="181">
        <v>5</v>
      </c>
      <c r="J64" s="182" t="s">
        <v>902</v>
      </c>
      <c r="K64" s="182">
        <f t="shared" si="16"/>
        <v>100</v>
      </c>
      <c r="L64" s="181">
        <f t="shared" si="17"/>
        <v>5</v>
      </c>
      <c r="M64" s="182" t="s">
        <v>902</v>
      </c>
      <c r="N64" s="11">
        <v>100</v>
      </c>
      <c r="O64" s="129">
        <v>5</v>
      </c>
    </row>
    <row r="65" spans="2:15" x14ac:dyDescent="0.25">
      <c r="B65" s="28" t="s">
        <v>953</v>
      </c>
      <c r="C65" s="17"/>
      <c r="D65" s="182" t="s">
        <v>902</v>
      </c>
      <c r="E65" s="182">
        <v>21</v>
      </c>
      <c r="F65" s="181">
        <v>12</v>
      </c>
      <c r="G65" s="182" t="s">
        <v>902</v>
      </c>
      <c r="H65" s="182">
        <v>21</v>
      </c>
      <c r="I65" s="181">
        <v>12</v>
      </c>
      <c r="J65" s="182" t="s">
        <v>902</v>
      </c>
      <c r="K65" s="182">
        <f t="shared" si="16"/>
        <v>100</v>
      </c>
      <c r="L65" s="181">
        <f t="shared" si="17"/>
        <v>12</v>
      </c>
      <c r="M65" s="182" t="s">
        <v>902</v>
      </c>
      <c r="N65" s="11">
        <v>100</v>
      </c>
      <c r="O65" s="129">
        <v>12</v>
      </c>
    </row>
    <row r="66" spans="2:15" x14ac:dyDescent="0.25">
      <c r="B66" s="28" t="s">
        <v>954</v>
      </c>
      <c r="C66" s="17"/>
      <c r="D66" s="182" t="s">
        <v>902</v>
      </c>
      <c r="E66" s="182">
        <v>50</v>
      </c>
      <c r="F66" s="181">
        <v>6</v>
      </c>
      <c r="G66" s="182" t="s">
        <v>902</v>
      </c>
      <c r="H66" s="182">
        <v>50</v>
      </c>
      <c r="I66" s="181">
        <v>6</v>
      </c>
      <c r="J66" s="182" t="s">
        <v>902</v>
      </c>
      <c r="K66" s="182">
        <f t="shared" si="16"/>
        <v>0</v>
      </c>
      <c r="L66" s="181">
        <f t="shared" si="17"/>
        <v>6</v>
      </c>
      <c r="M66" s="182" t="s">
        <v>902</v>
      </c>
      <c r="N66" s="11">
        <v>0</v>
      </c>
      <c r="O66" s="129">
        <v>6</v>
      </c>
    </row>
    <row r="67" spans="2:15" x14ac:dyDescent="0.25">
      <c r="B67" s="28"/>
      <c r="C67" s="17"/>
      <c r="D67" s="184"/>
      <c r="E67" s="184"/>
      <c r="F67" s="185"/>
      <c r="G67" s="184"/>
      <c r="H67" s="184"/>
      <c r="I67" s="184"/>
      <c r="J67" s="184"/>
      <c r="K67" s="184"/>
      <c r="L67" s="184"/>
      <c r="M67" s="184"/>
      <c r="N67" s="184"/>
      <c r="O67" s="184"/>
    </row>
    <row r="68" spans="2:15" x14ac:dyDescent="0.25">
      <c r="B68" s="186"/>
      <c r="C68" s="107"/>
      <c r="D68" s="184"/>
      <c r="E68" s="184"/>
      <c r="F68" s="185"/>
      <c r="G68" s="184"/>
      <c r="H68" s="184"/>
      <c r="I68" s="184"/>
      <c r="J68" s="184"/>
      <c r="K68" s="184"/>
      <c r="L68" s="184"/>
      <c r="M68" s="184"/>
      <c r="N68" s="184"/>
      <c r="O68" s="184"/>
    </row>
    <row r="69" spans="2:15" x14ac:dyDescent="0.25">
      <c r="B69" s="907" t="s">
        <v>799</v>
      </c>
      <c r="C69" s="907"/>
      <c r="D69" s="184"/>
      <c r="E69" s="184"/>
      <c r="F69" s="185"/>
      <c r="G69" s="184"/>
      <c r="H69" s="184"/>
      <c r="I69" s="184"/>
      <c r="J69" s="184"/>
      <c r="K69" s="184"/>
      <c r="L69" s="184"/>
      <c r="M69" s="184"/>
      <c r="N69" s="184"/>
      <c r="O69" s="184"/>
    </row>
    <row r="70" spans="2:15" x14ac:dyDescent="0.25">
      <c r="B70" s="28" t="s">
        <v>955</v>
      </c>
      <c r="C70" s="17"/>
      <c r="D70" s="184"/>
      <c r="E70" s="184"/>
      <c r="F70" s="185"/>
      <c r="G70" s="184"/>
      <c r="H70" s="184"/>
      <c r="I70" s="184"/>
      <c r="J70" s="184"/>
      <c r="K70" s="184"/>
      <c r="L70" s="184"/>
      <c r="M70" s="184"/>
      <c r="N70" s="184"/>
      <c r="O70" s="184"/>
    </row>
    <row r="71" spans="2:15" x14ac:dyDescent="0.25">
      <c r="B71" s="183" t="s">
        <v>956</v>
      </c>
      <c r="C71" s="82"/>
      <c r="D71" s="182" t="s">
        <v>957</v>
      </c>
      <c r="E71" s="182">
        <v>475</v>
      </c>
      <c r="F71" s="181">
        <v>7.65</v>
      </c>
      <c r="G71" s="182" t="s">
        <v>957</v>
      </c>
      <c r="H71" s="182">
        <v>475</v>
      </c>
      <c r="I71" s="181">
        <v>7.65</v>
      </c>
      <c r="J71" s="182" t="s">
        <v>957</v>
      </c>
      <c r="K71" s="182">
        <f t="shared" ref="K71:K73" si="18">N71</f>
        <v>500</v>
      </c>
      <c r="L71" s="181">
        <f t="shared" ref="L71:L73" si="19">O71</f>
        <v>7.65</v>
      </c>
      <c r="M71" s="182" t="s">
        <v>957</v>
      </c>
      <c r="N71" s="11">
        <v>500</v>
      </c>
      <c r="O71" s="129">
        <v>7.65</v>
      </c>
    </row>
    <row r="72" spans="2:15" x14ac:dyDescent="0.25">
      <c r="B72" s="183" t="s">
        <v>958</v>
      </c>
      <c r="C72" s="82"/>
      <c r="D72" s="182" t="s">
        <v>957</v>
      </c>
      <c r="E72" s="182">
        <v>475</v>
      </c>
      <c r="F72" s="181">
        <v>7.15</v>
      </c>
      <c r="G72" s="182" t="s">
        <v>957</v>
      </c>
      <c r="H72" s="182">
        <v>475</v>
      </c>
      <c r="I72" s="181">
        <v>7.15</v>
      </c>
      <c r="J72" s="182" t="s">
        <v>957</v>
      </c>
      <c r="K72" s="182">
        <f t="shared" si="18"/>
        <v>500</v>
      </c>
      <c r="L72" s="181">
        <f t="shared" si="19"/>
        <v>7.65</v>
      </c>
      <c r="M72" s="182" t="s">
        <v>957</v>
      </c>
      <c r="N72" s="11">
        <v>500</v>
      </c>
      <c r="O72" s="129">
        <v>7.65</v>
      </c>
    </row>
    <row r="73" spans="2:15" x14ac:dyDescent="0.25">
      <c r="B73" s="183" t="s">
        <v>959</v>
      </c>
      <c r="C73" s="82"/>
      <c r="D73" s="182" t="s">
        <v>957</v>
      </c>
      <c r="E73" s="182">
        <v>475</v>
      </c>
      <c r="F73" s="181">
        <v>6.65</v>
      </c>
      <c r="G73" s="182" t="s">
        <v>957</v>
      </c>
      <c r="H73" s="182">
        <v>475</v>
      </c>
      <c r="I73" s="181">
        <v>6.65</v>
      </c>
      <c r="J73" s="182" t="s">
        <v>957</v>
      </c>
      <c r="K73" s="182">
        <f t="shared" si="18"/>
        <v>500</v>
      </c>
      <c r="L73" s="181">
        <f t="shared" si="19"/>
        <v>7.65</v>
      </c>
      <c r="M73" s="182" t="s">
        <v>957</v>
      </c>
      <c r="N73" s="11">
        <v>500</v>
      </c>
      <c r="O73" s="129">
        <v>7.65</v>
      </c>
    </row>
    <row r="74" spans="2:15" x14ac:dyDescent="0.25">
      <c r="B74" s="28" t="s">
        <v>960</v>
      </c>
      <c r="C74" s="17"/>
      <c r="D74" s="182"/>
      <c r="E74" s="182"/>
      <c r="F74" s="181"/>
      <c r="G74" s="184"/>
      <c r="H74" s="184"/>
      <c r="I74" s="184"/>
      <c r="J74" s="184"/>
      <c r="K74" s="184"/>
      <c r="L74" s="184"/>
      <c r="M74" s="184"/>
      <c r="N74" s="184"/>
      <c r="O74" s="184"/>
    </row>
    <row r="75" spans="2:15" x14ac:dyDescent="0.25">
      <c r="B75" s="183" t="s">
        <v>956</v>
      </c>
      <c r="C75" s="17"/>
      <c r="D75" s="182"/>
      <c r="E75" s="182"/>
      <c r="F75" s="181">
        <v>7.65</v>
      </c>
      <c r="G75" s="184"/>
      <c r="H75" s="184"/>
      <c r="I75" s="181">
        <v>7.65</v>
      </c>
      <c r="J75" s="184"/>
      <c r="K75" s="182"/>
      <c r="L75" s="181">
        <f t="shared" ref="L75:L77" si="20">O75</f>
        <v>7.65</v>
      </c>
      <c r="M75" s="184"/>
      <c r="N75" s="11"/>
      <c r="O75" s="129">
        <v>7.65</v>
      </c>
    </row>
    <row r="76" spans="2:15" x14ac:dyDescent="0.25">
      <c r="B76" s="183" t="s">
        <v>958</v>
      </c>
      <c r="C76" s="17"/>
      <c r="D76" s="182"/>
      <c r="E76" s="182"/>
      <c r="F76" s="181">
        <v>7.15</v>
      </c>
      <c r="G76" s="184"/>
      <c r="H76" s="184"/>
      <c r="I76" s="181">
        <v>7.15</v>
      </c>
      <c r="J76" s="184"/>
      <c r="K76" s="182"/>
      <c r="L76" s="181">
        <f t="shared" si="20"/>
        <v>7.65</v>
      </c>
      <c r="M76" s="184"/>
      <c r="N76" s="11"/>
      <c r="O76" s="129">
        <v>7.65</v>
      </c>
    </row>
    <row r="77" spans="2:15" x14ac:dyDescent="0.25">
      <c r="B77" s="183" t="s">
        <v>959</v>
      </c>
      <c r="C77" s="17"/>
      <c r="D77" s="182"/>
      <c r="E77" s="182"/>
      <c r="F77" s="181">
        <v>6.65</v>
      </c>
      <c r="G77" s="184"/>
      <c r="H77" s="184"/>
      <c r="I77" s="181">
        <v>6.65</v>
      </c>
      <c r="J77" s="184"/>
      <c r="K77" s="182"/>
      <c r="L77" s="181">
        <f t="shared" si="20"/>
        <v>7.65</v>
      </c>
      <c r="M77" s="184"/>
      <c r="N77" s="11"/>
      <c r="O77" s="129">
        <v>7.65</v>
      </c>
    </row>
    <row r="78" spans="2:15" x14ac:dyDescent="0.25">
      <c r="B78" s="28" t="s">
        <v>961</v>
      </c>
      <c r="C78" s="17"/>
      <c r="D78" s="182"/>
      <c r="E78" s="182"/>
      <c r="F78" s="181"/>
      <c r="G78" s="184"/>
      <c r="H78" s="184"/>
      <c r="I78" s="184"/>
      <c r="J78" s="184"/>
      <c r="K78" s="184"/>
      <c r="L78" s="184"/>
      <c r="M78" s="184"/>
      <c r="N78" s="184"/>
      <c r="O78" s="184"/>
    </row>
    <row r="79" spans="2:15" x14ac:dyDescent="0.25">
      <c r="B79" s="183" t="s">
        <v>956</v>
      </c>
      <c r="C79" s="17"/>
      <c r="D79" s="182" t="s">
        <v>957</v>
      </c>
      <c r="E79" s="182">
        <v>475</v>
      </c>
      <c r="F79" s="181">
        <v>7.65</v>
      </c>
      <c r="G79" s="182" t="s">
        <v>957</v>
      </c>
      <c r="H79" s="182">
        <v>475</v>
      </c>
      <c r="I79" s="181">
        <v>7.65</v>
      </c>
      <c r="J79" s="182" t="s">
        <v>957</v>
      </c>
      <c r="K79" s="182">
        <f t="shared" ref="K79:K80" si="21">N79</f>
        <v>500</v>
      </c>
      <c r="L79" s="181">
        <f t="shared" ref="L79:L84" si="22">O79</f>
        <v>7.65</v>
      </c>
      <c r="M79" s="182" t="s">
        <v>957</v>
      </c>
      <c r="N79" s="11">
        <v>500</v>
      </c>
      <c r="O79" s="129">
        <v>7.65</v>
      </c>
    </row>
    <row r="80" spans="2:15" x14ac:dyDescent="0.25">
      <c r="B80" s="183" t="s">
        <v>958</v>
      </c>
      <c r="C80" s="17"/>
      <c r="D80" s="182" t="s">
        <v>957</v>
      </c>
      <c r="E80" s="182">
        <v>475</v>
      </c>
      <c r="F80" s="181">
        <v>7.15</v>
      </c>
      <c r="G80" s="182" t="s">
        <v>957</v>
      </c>
      <c r="H80" s="182">
        <v>475</v>
      </c>
      <c r="I80" s="181">
        <v>7.15</v>
      </c>
      <c r="J80" s="182" t="s">
        <v>957</v>
      </c>
      <c r="K80" s="182">
        <f t="shared" si="21"/>
        <v>500</v>
      </c>
      <c r="L80" s="181">
        <f t="shared" si="22"/>
        <v>7.65</v>
      </c>
      <c r="M80" s="182" t="s">
        <v>957</v>
      </c>
      <c r="N80" s="11">
        <v>500</v>
      </c>
      <c r="O80" s="129">
        <v>7.65</v>
      </c>
    </row>
    <row r="81" spans="2:15" x14ac:dyDescent="0.25">
      <c r="B81" s="28" t="s">
        <v>962</v>
      </c>
      <c r="C81" s="17"/>
      <c r="D81" s="182"/>
      <c r="F81" s="181"/>
      <c r="G81" s="184"/>
      <c r="H81" s="184"/>
      <c r="I81" s="184"/>
      <c r="J81" s="184"/>
      <c r="K81" s="184"/>
      <c r="L81" s="184"/>
      <c r="M81" s="184"/>
      <c r="N81" s="184"/>
      <c r="O81" s="184"/>
    </row>
    <row r="82" spans="2:15" x14ac:dyDescent="0.25">
      <c r="B82" s="183" t="s">
        <v>956</v>
      </c>
      <c r="C82" s="17"/>
      <c r="D82" s="182"/>
      <c r="E82" s="182"/>
      <c r="F82" s="181">
        <v>7.3</v>
      </c>
      <c r="G82" s="184"/>
      <c r="H82" s="184"/>
      <c r="I82" s="181">
        <v>7.3</v>
      </c>
      <c r="J82" s="184"/>
      <c r="K82" s="184"/>
      <c r="L82" s="181">
        <f t="shared" si="22"/>
        <v>7.3</v>
      </c>
      <c r="M82" s="184"/>
      <c r="N82" s="184"/>
      <c r="O82" s="181">
        <v>7.3</v>
      </c>
    </row>
    <row r="83" spans="2:15" x14ac:dyDescent="0.25">
      <c r="B83" s="183" t="s">
        <v>958</v>
      </c>
      <c r="C83" s="17"/>
      <c r="D83" s="182"/>
      <c r="E83" s="182"/>
      <c r="F83" s="181">
        <v>7.3</v>
      </c>
      <c r="G83" s="184"/>
      <c r="H83" s="184"/>
      <c r="I83" s="181">
        <v>7.3</v>
      </c>
      <c r="J83" s="184"/>
      <c r="K83" s="184"/>
      <c r="L83" s="181">
        <f t="shared" si="22"/>
        <v>7.3</v>
      </c>
      <c r="M83" s="184"/>
      <c r="N83" s="184"/>
      <c r="O83" s="181">
        <v>7.3</v>
      </c>
    </row>
    <row r="84" spans="2:15" x14ac:dyDescent="0.25">
      <c r="B84" s="183" t="s">
        <v>959</v>
      </c>
      <c r="C84" s="17"/>
      <c r="D84" s="182"/>
      <c r="E84" s="182"/>
      <c r="F84" s="181">
        <v>7.3</v>
      </c>
      <c r="G84" s="184"/>
      <c r="H84" s="184"/>
      <c r="I84" s="181">
        <v>7.3</v>
      </c>
      <c r="J84" s="184"/>
      <c r="K84" s="184"/>
      <c r="L84" s="181">
        <f t="shared" si="22"/>
        <v>7.3</v>
      </c>
      <c r="M84" s="184"/>
      <c r="N84" s="184"/>
      <c r="O84" s="181">
        <v>7.3</v>
      </c>
    </row>
    <row r="85" spans="2:15" x14ac:dyDescent="0.25">
      <c r="B85" s="28" t="s">
        <v>963</v>
      </c>
      <c r="C85" s="17"/>
      <c r="D85" s="182"/>
      <c r="E85" s="182"/>
      <c r="F85" s="181"/>
      <c r="G85" s="184"/>
      <c r="H85" s="184"/>
      <c r="I85" s="184"/>
      <c r="J85" s="184"/>
      <c r="K85" s="184"/>
      <c r="L85" s="184"/>
      <c r="M85" s="184"/>
      <c r="N85" s="184"/>
      <c r="O85" s="184"/>
    </row>
    <row r="86" spans="2:15" x14ac:dyDescent="0.25">
      <c r="B86" s="183" t="s">
        <v>956</v>
      </c>
      <c r="C86" s="17"/>
      <c r="D86" s="182" t="s">
        <v>957</v>
      </c>
      <c r="E86" s="182">
        <v>475</v>
      </c>
      <c r="F86" s="181">
        <v>8.6</v>
      </c>
      <c r="G86" s="182" t="s">
        <v>957</v>
      </c>
      <c r="H86" s="182">
        <v>475</v>
      </c>
      <c r="I86" s="181">
        <v>8.6</v>
      </c>
      <c r="J86" s="182" t="s">
        <v>957</v>
      </c>
      <c r="K86" s="182">
        <f t="shared" ref="K86:K88" si="23">N86</f>
        <v>500</v>
      </c>
      <c r="L86" s="181">
        <f t="shared" ref="L86:L88" si="24">O86</f>
        <v>8.6</v>
      </c>
      <c r="M86" s="182" t="s">
        <v>957</v>
      </c>
      <c r="N86" s="11">
        <v>500</v>
      </c>
      <c r="O86" s="129">
        <v>8.6</v>
      </c>
    </row>
    <row r="87" spans="2:15" x14ac:dyDescent="0.25">
      <c r="B87" s="183" t="s">
        <v>958</v>
      </c>
      <c r="C87" s="17"/>
      <c r="D87" s="182" t="s">
        <v>957</v>
      </c>
      <c r="E87" s="182">
        <v>475</v>
      </c>
      <c r="F87" s="181">
        <v>7.9</v>
      </c>
      <c r="G87" s="182" t="s">
        <v>957</v>
      </c>
      <c r="H87" s="182">
        <v>475</v>
      </c>
      <c r="I87" s="181">
        <v>7.9</v>
      </c>
      <c r="J87" s="182" t="s">
        <v>957</v>
      </c>
      <c r="K87" s="182">
        <f t="shared" si="23"/>
        <v>500</v>
      </c>
      <c r="L87" s="181">
        <f t="shared" si="24"/>
        <v>8.6</v>
      </c>
      <c r="M87" s="182" t="s">
        <v>957</v>
      </c>
      <c r="N87" s="11">
        <v>500</v>
      </c>
      <c r="O87" s="129">
        <v>8.6</v>
      </c>
    </row>
    <row r="88" spans="2:15" x14ac:dyDescent="0.25">
      <c r="B88" s="183" t="s">
        <v>959</v>
      </c>
      <c r="C88" s="17"/>
      <c r="D88" s="182" t="s">
        <v>957</v>
      </c>
      <c r="E88" s="182">
        <v>475</v>
      </c>
      <c r="F88" s="181">
        <v>7.7</v>
      </c>
      <c r="G88" s="182" t="s">
        <v>957</v>
      </c>
      <c r="H88" s="182">
        <v>475</v>
      </c>
      <c r="I88" s="181">
        <v>7.7</v>
      </c>
      <c r="J88" s="182" t="s">
        <v>957</v>
      </c>
      <c r="K88" s="182">
        <f t="shared" si="23"/>
        <v>500</v>
      </c>
      <c r="L88" s="181">
        <f t="shared" si="24"/>
        <v>8.6</v>
      </c>
      <c r="M88" s="182" t="s">
        <v>957</v>
      </c>
      <c r="N88" s="11">
        <v>500</v>
      </c>
      <c r="O88" s="129">
        <v>8.6</v>
      </c>
    </row>
    <row r="89" spans="2:15" x14ac:dyDescent="0.25">
      <c r="B89" s="28" t="s">
        <v>964</v>
      </c>
      <c r="C89" s="17"/>
      <c r="D89" s="182"/>
      <c r="E89" s="182"/>
      <c r="F89" s="181"/>
      <c r="G89" s="184"/>
      <c r="H89" s="184"/>
      <c r="I89" s="184"/>
      <c r="J89" s="184"/>
      <c r="K89" s="184"/>
      <c r="L89" s="184"/>
      <c r="M89" s="184"/>
      <c r="N89" s="184"/>
      <c r="O89" s="184"/>
    </row>
    <row r="90" spans="2:15" x14ac:dyDescent="0.25">
      <c r="B90" s="183" t="s">
        <v>956</v>
      </c>
      <c r="C90" s="17"/>
      <c r="D90" s="182" t="s">
        <v>957</v>
      </c>
      <c r="E90" s="182">
        <v>100</v>
      </c>
      <c r="F90" s="181">
        <v>8</v>
      </c>
      <c r="G90" s="182" t="s">
        <v>957</v>
      </c>
      <c r="H90" s="182">
        <v>100</v>
      </c>
      <c r="I90" s="181">
        <v>8</v>
      </c>
      <c r="J90" s="182" t="s">
        <v>957</v>
      </c>
      <c r="K90" s="182">
        <f t="shared" ref="K90" si="25">N90</f>
        <v>100</v>
      </c>
      <c r="L90" s="181">
        <f t="shared" ref="L90" si="26">O90</f>
        <v>8</v>
      </c>
      <c r="M90" s="182" t="s">
        <v>957</v>
      </c>
      <c r="N90" s="182">
        <v>100</v>
      </c>
      <c r="O90" s="181">
        <v>8</v>
      </c>
    </row>
    <row r="91" spans="2:15" x14ac:dyDescent="0.25">
      <c r="B91" s="28" t="s">
        <v>965</v>
      </c>
      <c r="C91" s="17"/>
      <c r="D91" s="182"/>
      <c r="E91" s="182"/>
      <c r="F91" s="181"/>
      <c r="G91" s="184"/>
      <c r="H91" s="184"/>
      <c r="I91" s="184"/>
      <c r="J91" s="184"/>
      <c r="K91" s="184"/>
      <c r="L91" s="184"/>
      <c r="M91" s="184"/>
      <c r="N91" s="184"/>
      <c r="O91" s="184"/>
    </row>
    <row r="92" spans="2:15" x14ac:dyDescent="0.25">
      <c r="B92" s="183" t="s">
        <v>956</v>
      </c>
      <c r="C92" s="17"/>
      <c r="D92" s="182" t="s">
        <v>957</v>
      </c>
      <c r="E92" s="182">
        <v>475</v>
      </c>
      <c r="F92" s="181">
        <v>7.65</v>
      </c>
      <c r="G92" s="182" t="s">
        <v>957</v>
      </c>
      <c r="H92" s="182">
        <v>475</v>
      </c>
      <c r="I92" s="181">
        <v>7.65</v>
      </c>
      <c r="J92" s="182" t="s">
        <v>957</v>
      </c>
      <c r="K92" s="182">
        <f t="shared" ref="K92:K94" si="27">N92</f>
        <v>500</v>
      </c>
      <c r="L92" s="181">
        <f t="shared" ref="L92:L94" si="28">O92</f>
        <v>7.65</v>
      </c>
      <c r="M92" s="182" t="s">
        <v>957</v>
      </c>
      <c r="N92" s="11">
        <v>500</v>
      </c>
      <c r="O92" s="129">
        <v>7.65</v>
      </c>
    </row>
    <row r="93" spans="2:15" x14ac:dyDescent="0.25">
      <c r="B93" s="183" t="s">
        <v>958</v>
      </c>
      <c r="C93" s="17"/>
      <c r="D93" s="182" t="s">
        <v>957</v>
      </c>
      <c r="E93" s="182">
        <v>475</v>
      </c>
      <c r="F93" s="181">
        <v>7.15</v>
      </c>
      <c r="G93" s="182" t="s">
        <v>957</v>
      </c>
      <c r="H93" s="182">
        <v>475</v>
      </c>
      <c r="I93" s="181">
        <v>7.15</v>
      </c>
      <c r="J93" s="182" t="s">
        <v>957</v>
      </c>
      <c r="K93" s="182">
        <f t="shared" si="27"/>
        <v>500</v>
      </c>
      <c r="L93" s="181">
        <f t="shared" si="28"/>
        <v>7.65</v>
      </c>
      <c r="M93" s="182" t="s">
        <v>957</v>
      </c>
      <c r="N93" s="11">
        <v>500</v>
      </c>
      <c r="O93" s="129">
        <v>7.65</v>
      </c>
    </row>
    <row r="94" spans="2:15" x14ac:dyDescent="0.25">
      <c r="B94" s="183" t="s">
        <v>959</v>
      </c>
      <c r="C94" s="17"/>
      <c r="D94" s="182" t="s">
        <v>957</v>
      </c>
      <c r="E94" s="182">
        <v>475</v>
      </c>
      <c r="F94" s="181">
        <v>6.65</v>
      </c>
      <c r="G94" s="182" t="s">
        <v>957</v>
      </c>
      <c r="H94" s="182">
        <v>475</v>
      </c>
      <c r="I94" s="181">
        <v>6.65</v>
      </c>
      <c r="J94" s="182" t="s">
        <v>957</v>
      </c>
      <c r="K94" s="182">
        <f t="shared" si="27"/>
        <v>500</v>
      </c>
      <c r="L94" s="181">
        <f t="shared" si="28"/>
        <v>7.65</v>
      </c>
      <c r="M94" s="182" t="s">
        <v>957</v>
      </c>
      <c r="N94" s="11">
        <v>500</v>
      </c>
      <c r="O94" s="129">
        <v>7.65</v>
      </c>
    </row>
    <row r="95" spans="2:15" x14ac:dyDescent="0.25">
      <c r="B95" s="28" t="s">
        <v>966</v>
      </c>
      <c r="C95" s="17"/>
      <c r="D95" s="182"/>
      <c r="E95" s="182"/>
      <c r="F95" s="181"/>
      <c r="G95" s="184"/>
      <c r="H95" s="184"/>
      <c r="I95" s="184"/>
      <c r="J95" s="184"/>
      <c r="K95" s="184"/>
      <c r="L95" s="184"/>
      <c r="M95" s="184"/>
      <c r="N95" s="184"/>
      <c r="O95" s="184"/>
    </row>
    <row r="96" spans="2:15" x14ac:dyDescent="0.25">
      <c r="B96" s="183" t="s">
        <v>956</v>
      </c>
      <c r="C96" s="17"/>
      <c r="D96" s="182" t="s">
        <v>957</v>
      </c>
      <c r="E96" s="182">
        <v>475</v>
      </c>
      <c r="F96" s="181">
        <v>8.8000000000000007</v>
      </c>
      <c r="G96" s="182" t="s">
        <v>957</v>
      </c>
      <c r="H96" s="182">
        <v>475</v>
      </c>
      <c r="I96" s="181">
        <v>8.8000000000000007</v>
      </c>
      <c r="J96" s="182" t="s">
        <v>957</v>
      </c>
      <c r="K96" s="182">
        <f t="shared" ref="K96:K98" si="29">N96</f>
        <v>500</v>
      </c>
      <c r="L96" s="181">
        <f t="shared" ref="L96:L98" si="30">O96</f>
        <v>8.8000000000000007</v>
      </c>
      <c r="M96" s="182" t="s">
        <v>957</v>
      </c>
      <c r="N96" s="11">
        <v>500</v>
      </c>
      <c r="O96" s="129">
        <v>8.8000000000000007</v>
      </c>
    </row>
    <row r="97" spans="2:15" x14ac:dyDescent="0.25">
      <c r="B97" s="183" t="s">
        <v>958</v>
      </c>
      <c r="C97" s="17"/>
      <c r="D97" s="182" t="s">
        <v>957</v>
      </c>
      <c r="E97" s="182">
        <v>475</v>
      </c>
      <c r="F97" s="181">
        <v>8</v>
      </c>
      <c r="G97" s="182" t="s">
        <v>957</v>
      </c>
      <c r="H97" s="182">
        <v>475</v>
      </c>
      <c r="I97" s="181">
        <v>8</v>
      </c>
      <c r="J97" s="182" t="s">
        <v>957</v>
      </c>
      <c r="K97" s="182">
        <f t="shared" si="29"/>
        <v>500</v>
      </c>
      <c r="L97" s="181">
        <f t="shared" si="30"/>
        <v>8.8000000000000007</v>
      </c>
      <c r="M97" s="182" t="s">
        <v>957</v>
      </c>
      <c r="N97" s="11">
        <v>500</v>
      </c>
      <c r="O97" s="129">
        <v>8.8000000000000007</v>
      </c>
    </row>
    <row r="98" spans="2:15" x14ac:dyDescent="0.25">
      <c r="B98" s="183" t="s">
        <v>959</v>
      </c>
      <c r="C98" s="17"/>
      <c r="D98" s="182" t="s">
        <v>957</v>
      </c>
      <c r="E98" s="182">
        <v>475</v>
      </c>
      <c r="F98" s="181">
        <v>7.8</v>
      </c>
      <c r="G98" s="182" t="s">
        <v>957</v>
      </c>
      <c r="H98" s="182">
        <v>475</v>
      </c>
      <c r="I98" s="181">
        <v>7.8</v>
      </c>
      <c r="J98" s="182" t="s">
        <v>957</v>
      </c>
      <c r="K98" s="182">
        <f t="shared" si="29"/>
        <v>500</v>
      </c>
      <c r="L98" s="181">
        <f t="shared" si="30"/>
        <v>8.8000000000000007</v>
      </c>
      <c r="M98" s="182" t="s">
        <v>957</v>
      </c>
      <c r="N98" s="11">
        <v>500</v>
      </c>
      <c r="O98" s="129">
        <v>8.8000000000000007</v>
      </c>
    </row>
    <row r="99" spans="2:15" x14ac:dyDescent="0.25">
      <c r="B99" s="28" t="s">
        <v>967</v>
      </c>
      <c r="C99" s="17"/>
      <c r="D99" s="182"/>
      <c r="E99" s="182"/>
      <c r="F99" s="181"/>
      <c r="G99" s="184"/>
      <c r="H99" s="184"/>
      <c r="I99" s="184"/>
      <c r="J99" s="184"/>
      <c r="K99" s="184"/>
      <c r="L99" s="184"/>
      <c r="M99" s="184"/>
      <c r="N99" s="184"/>
      <c r="O99" s="184"/>
    </row>
    <row r="100" spans="2:15" x14ac:dyDescent="0.25">
      <c r="B100" s="183" t="s">
        <v>956</v>
      </c>
      <c r="C100" s="17"/>
      <c r="D100" s="182"/>
      <c r="E100" s="182"/>
      <c r="F100" s="181"/>
      <c r="G100" s="182" t="s">
        <v>957</v>
      </c>
      <c r="H100" s="182">
        <v>260</v>
      </c>
      <c r="I100" s="181">
        <v>5</v>
      </c>
      <c r="J100" s="182" t="s">
        <v>957</v>
      </c>
      <c r="K100" s="182">
        <f t="shared" ref="K100:K102" si="31">N100</f>
        <v>300</v>
      </c>
      <c r="L100" s="181">
        <f t="shared" ref="L100:L102" si="32">O100</f>
        <v>5</v>
      </c>
      <c r="M100" s="182" t="s">
        <v>957</v>
      </c>
      <c r="N100" s="11">
        <v>300</v>
      </c>
      <c r="O100" s="129">
        <v>5</v>
      </c>
    </row>
    <row r="101" spans="2:15" x14ac:dyDescent="0.25">
      <c r="B101" s="183" t="s">
        <v>958</v>
      </c>
      <c r="C101" s="17"/>
      <c r="D101" s="182"/>
      <c r="E101" s="182"/>
      <c r="F101" s="181"/>
      <c r="G101" s="182" t="s">
        <v>957</v>
      </c>
      <c r="H101" s="182">
        <v>260</v>
      </c>
      <c r="I101" s="181">
        <v>5</v>
      </c>
      <c r="J101" s="182" t="s">
        <v>957</v>
      </c>
      <c r="K101" s="182">
        <f t="shared" si="31"/>
        <v>300</v>
      </c>
      <c r="L101" s="181">
        <f t="shared" si="32"/>
        <v>5</v>
      </c>
      <c r="M101" s="182" t="s">
        <v>957</v>
      </c>
      <c r="N101" s="11">
        <v>300</v>
      </c>
      <c r="O101" s="129">
        <v>5</v>
      </c>
    </row>
    <row r="102" spans="2:15" x14ac:dyDescent="0.25">
      <c r="B102" s="183" t="s">
        <v>959</v>
      </c>
      <c r="C102" s="17"/>
      <c r="D102" s="182"/>
      <c r="E102" s="182"/>
      <c r="F102" s="181"/>
      <c r="G102" s="182" t="s">
        <v>957</v>
      </c>
      <c r="H102" s="182">
        <v>260</v>
      </c>
      <c r="I102" s="181">
        <v>5</v>
      </c>
      <c r="J102" s="182" t="s">
        <v>957</v>
      </c>
      <c r="K102" s="182">
        <f t="shared" si="31"/>
        <v>300</v>
      </c>
      <c r="L102" s="181">
        <f t="shared" si="32"/>
        <v>5</v>
      </c>
      <c r="M102" s="182" t="s">
        <v>957</v>
      </c>
      <c r="N102" s="11">
        <v>300</v>
      </c>
      <c r="O102" s="129">
        <v>5</v>
      </c>
    </row>
    <row r="103" spans="2:15" x14ac:dyDescent="0.25">
      <c r="B103" s="28" t="s">
        <v>968</v>
      </c>
      <c r="C103" s="17"/>
      <c r="D103" s="182"/>
      <c r="E103" s="182"/>
      <c r="F103" s="181"/>
      <c r="G103" s="184"/>
      <c r="H103" s="184"/>
      <c r="I103" s="184"/>
      <c r="J103" s="184"/>
      <c r="K103" s="184"/>
      <c r="L103" s="184"/>
      <c r="M103" s="184"/>
      <c r="N103" s="184"/>
      <c r="O103" s="184"/>
    </row>
    <row r="104" spans="2:15" x14ac:dyDescent="0.25">
      <c r="B104" s="183" t="s">
        <v>956</v>
      </c>
      <c r="C104" s="17"/>
      <c r="D104" s="182" t="s">
        <v>957</v>
      </c>
      <c r="E104" s="182">
        <v>475</v>
      </c>
      <c r="F104" s="181">
        <v>8.5</v>
      </c>
      <c r="G104" s="182" t="s">
        <v>957</v>
      </c>
      <c r="H104" s="182">
        <v>475</v>
      </c>
      <c r="I104" s="181">
        <v>8.5</v>
      </c>
      <c r="J104" s="182" t="s">
        <v>957</v>
      </c>
      <c r="K104" s="182">
        <f t="shared" ref="K104:K106" si="33">N104</f>
        <v>500</v>
      </c>
      <c r="L104" s="181">
        <f t="shared" ref="L104:L106" si="34">O104</f>
        <v>8.8000000000000007</v>
      </c>
      <c r="M104" s="182" t="s">
        <v>957</v>
      </c>
      <c r="N104" s="11">
        <v>500</v>
      </c>
      <c r="O104" s="129">
        <v>8.8000000000000007</v>
      </c>
    </row>
    <row r="105" spans="2:15" x14ac:dyDescent="0.25">
      <c r="B105" s="183" t="s">
        <v>958</v>
      </c>
      <c r="C105" s="17"/>
      <c r="D105" s="182" t="s">
        <v>957</v>
      </c>
      <c r="E105" s="182">
        <v>475</v>
      </c>
      <c r="F105" s="181">
        <v>7.85</v>
      </c>
      <c r="G105" s="182" t="s">
        <v>957</v>
      </c>
      <c r="H105" s="182">
        <v>475</v>
      </c>
      <c r="I105" s="181">
        <v>7.85</v>
      </c>
      <c r="J105" s="182" t="s">
        <v>957</v>
      </c>
      <c r="K105" s="182">
        <f t="shared" si="33"/>
        <v>500</v>
      </c>
      <c r="L105" s="181">
        <f t="shared" si="34"/>
        <v>8.8000000000000007</v>
      </c>
      <c r="M105" s="182" t="s">
        <v>957</v>
      </c>
      <c r="N105" s="11">
        <v>500</v>
      </c>
      <c r="O105" s="129">
        <v>8.8000000000000007</v>
      </c>
    </row>
    <row r="106" spans="2:15" x14ac:dyDescent="0.25">
      <c r="B106" s="183" t="s">
        <v>959</v>
      </c>
      <c r="C106" s="17"/>
      <c r="D106" s="182" t="s">
        <v>957</v>
      </c>
      <c r="E106" s="182">
        <v>475</v>
      </c>
      <c r="F106" s="181">
        <v>7.45</v>
      </c>
      <c r="G106" s="182" t="s">
        <v>957</v>
      </c>
      <c r="H106" s="182">
        <v>475</v>
      </c>
      <c r="I106" s="181">
        <v>7.45</v>
      </c>
      <c r="J106" s="182" t="s">
        <v>957</v>
      </c>
      <c r="K106" s="182">
        <f t="shared" si="33"/>
        <v>500</v>
      </c>
      <c r="L106" s="181">
        <f t="shared" si="34"/>
        <v>8.8000000000000007</v>
      </c>
      <c r="M106" s="182" t="s">
        <v>957</v>
      </c>
      <c r="N106" s="11">
        <v>500</v>
      </c>
      <c r="O106" s="129">
        <v>8.8000000000000007</v>
      </c>
    </row>
    <row r="107" spans="2:15" x14ac:dyDescent="0.25">
      <c r="B107" s="28" t="s">
        <v>969</v>
      </c>
      <c r="C107" s="17"/>
      <c r="D107" s="182"/>
      <c r="E107" s="182"/>
      <c r="F107" s="181"/>
      <c r="G107" s="184"/>
      <c r="H107" s="184"/>
      <c r="I107" s="184"/>
      <c r="J107" s="184"/>
      <c r="K107" s="184"/>
      <c r="L107" s="184"/>
      <c r="M107" s="184"/>
      <c r="N107" s="184"/>
      <c r="O107" s="184"/>
    </row>
    <row r="108" spans="2:15" x14ac:dyDescent="0.25">
      <c r="B108" s="183" t="s">
        <v>956</v>
      </c>
      <c r="C108" s="17"/>
      <c r="D108" s="182" t="s">
        <v>957</v>
      </c>
      <c r="E108" s="182">
        <v>275</v>
      </c>
      <c r="F108" s="181">
        <v>6.3</v>
      </c>
      <c r="G108" s="182" t="s">
        <v>957</v>
      </c>
      <c r="H108" s="182">
        <v>275</v>
      </c>
      <c r="I108" s="181">
        <v>6.3</v>
      </c>
      <c r="J108" s="182" t="s">
        <v>957</v>
      </c>
      <c r="K108" s="182">
        <f t="shared" ref="K108:K110" si="35">N108</f>
        <v>300</v>
      </c>
      <c r="L108" s="181">
        <f t="shared" ref="L108:L114" si="36">O108</f>
        <v>6.3</v>
      </c>
      <c r="M108" s="182" t="s">
        <v>957</v>
      </c>
      <c r="N108" s="11">
        <v>300</v>
      </c>
      <c r="O108" s="129">
        <v>6.3</v>
      </c>
    </row>
    <row r="109" spans="2:15" x14ac:dyDescent="0.25">
      <c r="B109" s="183" t="s">
        <v>958</v>
      </c>
      <c r="C109" s="17"/>
      <c r="D109" s="182" t="s">
        <v>957</v>
      </c>
      <c r="E109" s="182">
        <v>275</v>
      </c>
      <c r="F109" s="181">
        <v>6.3</v>
      </c>
      <c r="G109" s="182" t="s">
        <v>957</v>
      </c>
      <c r="H109" s="182">
        <v>275</v>
      </c>
      <c r="I109" s="181">
        <v>6.3</v>
      </c>
      <c r="J109" s="182" t="s">
        <v>957</v>
      </c>
      <c r="K109" s="182">
        <f t="shared" si="35"/>
        <v>300</v>
      </c>
      <c r="L109" s="181">
        <f t="shared" si="36"/>
        <v>6.3</v>
      </c>
      <c r="M109" s="182" t="s">
        <v>957</v>
      </c>
      <c r="N109" s="11">
        <v>300</v>
      </c>
      <c r="O109" s="129">
        <v>6.3</v>
      </c>
    </row>
    <row r="110" spans="2:15" x14ac:dyDescent="0.25">
      <c r="B110" s="183" t="s">
        <v>959</v>
      </c>
      <c r="C110" s="17"/>
      <c r="D110" s="182" t="s">
        <v>957</v>
      </c>
      <c r="E110" s="182">
        <v>275</v>
      </c>
      <c r="F110" s="181">
        <v>6.3</v>
      </c>
      <c r="G110" s="182" t="s">
        <v>957</v>
      </c>
      <c r="H110" s="182">
        <v>275</v>
      </c>
      <c r="I110" s="181">
        <v>6.3</v>
      </c>
      <c r="J110" s="182" t="s">
        <v>957</v>
      </c>
      <c r="K110" s="182">
        <f t="shared" si="35"/>
        <v>300</v>
      </c>
      <c r="L110" s="181">
        <f t="shared" si="36"/>
        <v>6.3</v>
      </c>
      <c r="M110" s="182" t="s">
        <v>957</v>
      </c>
      <c r="N110" s="11">
        <v>300</v>
      </c>
      <c r="O110" s="129">
        <v>6.3</v>
      </c>
    </row>
    <row r="111" spans="2:15" x14ac:dyDescent="0.25">
      <c r="B111" s="28" t="s">
        <v>970</v>
      </c>
      <c r="C111" s="17"/>
      <c r="D111" s="182"/>
      <c r="E111" s="182"/>
      <c r="F111" s="181"/>
      <c r="G111" s="184"/>
      <c r="H111" s="184"/>
      <c r="I111" s="184"/>
      <c r="J111" s="184"/>
      <c r="K111" s="184"/>
      <c r="L111" s="184"/>
      <c r="M111" s="184"/>
      <c r="N111" s="184"/>
      <c r="O111" s="184"/>
    </row>
    <row r="112" spans="2:15" x14ac:dyDescent="0.25">
      <c r="B112" s="183" t="s">
        <v>956</v>
      </c>
      <c r="C112" s="17"/>
      <c r="D112" s="182" t="s">
        <v>957</v>
      </c>
      <c r="E112" s="182"/>
      <c r="F112" s="181">
        <v>6.1</v>
      </c>
      <c r="G112" s="182" t="s">
        <v>957</v>
      </c>
      <c r="H112" s="182"/>
      <c r="I112" s="181">
        <v>6.1</v>
      </c>
      <c r="J112" s="182" t="s">
        <v>957</v>
      </c>
      <c r="K112" s="182"/>
      <c r="L112" s="181">
        <f t="shared" si="36"/>
        <v>6.1</v>
      </c>
      <c r="M112" s="182" t="s">
        <v>957</v>
      </c>
      <c r="N112" s="182"/>
      <c r="O112" s="181">
        <v>6.1</v>
      </c>
    </row>
    <row r="113" spans="2:15" x14ac:dyDescent="0.25">
      <c r="B113" s="183" t="s">
        <v>958</v>
      </c>
      <c r="C113" s="17"/>
      <c r="D113" s="182" t="s">
        <v>957</v>
      </c>
      <c r="E113" s="182"/>
      <c r="F113" s="181">
        <v>6.1</v>
      </c>
      <c r="G113" s="182" t="s">
        <v>957</v>
      </c>
      <c r="H113" s="182"/>
      <c r="I113" s="181">
        <v>6.1</v>
      </c>
      <c r="J113" s="182" t="s">
        <v>957</v>
      </c>
      <c r="K113" s="182"/>
      <c r="L113" s="181">
        <f t="shared" si="36"/>
        <v>6.1</v>
      </c>
      <c r="M113" s="182" t="s">
        <v>957</v>
      </c>
      <c r="N113" s="182"/>
      <c r="O113" s="181">
        <v>6.1</v>
      </c>
    </row>
    <row r="114" spans="2:15" x14ac:dyDescent="0.25">
      <c r="B114" s="183" t="s">
        <v>959</v>
      </c>
      <c r="C114" s="17"/>
      <c r="D114" s="182" t="s">
        <v>957</v>
      </c>
      <c r="E114" s="182"/>
      <c r="F114" s="181">
        <v>6.1</v>
      </c>
      <c r="G114" s="182" t="s">
        <v>957</v>
      </c>
      <c r="H114" s="182"/>
      <c r="I114" s="181">
        <v>6.1</v>
      </c>
      <c r="J114" s="182" t="s">
        <v>957</v>
      </c>
      <c r="K114" s="182"/>
      <c r="L114" s="181">
        <f t="shared" si="36"/>
        <v>6.1</v>
      </c>
      <c r="M114" s="182" t="s">
        <v>957</v>
      </c>
      <c r="N114" s="182"/>
      <c r="O114" s="181">
        <v>6.1</v>
      </c>
    </row>
    <row r="115" spans="2:15" x14ac:dyDescent="0.25">
      <c r="B115" s="28" t="s">
        <v>971</v>
      </c>
      <c r="C115" s="17"/>
      <c r="D115" s="182" t="s">
        <v>957</v>
      </c>
      <c r="E115" s="182">
        <v>475</v>
      </c>
      <c r="F115" s="181">
        <v>5.05</v>
      </c>
      <c r="G115" s="182" t="s">
        <v>957</v>
      </c>
      <c r="H115" s="182">
        <v>475</v>
      </c>
      <c r="I115" s="181">
        <v>5.05</v>
      </c>
      <c r="J115" s="182" t="s">
        <v>957</v>
      </c>
      <c r="K115" s="182">
        <f t="shared" ref="K115:K116" si="37">N115</f>
        <v>500</v>
      </c>
      <c r="L115" s="181">
        <f t="shared" ref="L115:L116" si="38">O115</f>
        <v>6.25</v>
      </c>
      <c r="M115" s="182" t="s">
        <v>957</v>
      </c>
      <c r="N115" s="11">
        <v>500</v>
      </c>
      <c r="O115" s="129">
        <v>6.25</v>
      </c>
    </row>
    <row r="116" spans="2:15" x14ac:dyDescent="0.25">
      <c r="B116" s="28" t="s">
        <v>972</v>
      </c>
      <c r="C116" s="17"/>
      <c r="D116" s="182" t="s">
        <v>957</v>
      </c>
      <c r="E116" s="182">
        <v>475</v>
      </c>
      <c r="F116" s="181">
        <v>4.95</v>
      </c>
      <c r="G116" s="182" t="s">
        <v>957</v>
      </c>
      <c r="H116" s="182">
        <v>475</v>
      </c>
      <c r="I116" s="181">
        <v>4.95</v>
      </c>
      <c r="J116" s="182" t="s">
        <v>957</v>
      </c>
      <c r="K116" s="182">
        <f t="shared" si="37"/>
        <v>500</v>
      </c>
      <c r="L116" s="181">
        <f t="shared" si="38"/>
        <v>4.95</v>
      </c>
      <c r="M116" s="182" t="s">
        <v>957</v>
      </c>
      <c r="N116" s="11">
        <v>500</v>
      </c>
      <c r="O116" s="129">
        <v>4.95</v>
      </c>
    </row>
    <row r="117" spans="2:15" x14ac:dyDescent="0.25">
      <c r="B117" s="28" t="s">
        <v>973</v>
      </c>
      <c r="C117" s="17"/>
      <c r="D117" s="182"/>
      <c r="E117" s="182"/>
      <c r="F117" s="181"/>
      <c r="G117" s="184"/>
      <c r="H117" s="184"/>
      <c r="I117" s="184"/>
      <c r="J117" s="184"/>
      <c r="K117" s="184"/>
      <c r="L117" s="184"/>
      <c r="M117" s="184"/>
      <c r="N117" s="184"/>
      <c r="O117" s="184"/>
    </row>
    <row r="118" spans="2:15" x14ac:dyDescent="0.25">
      <c r="B118" s="183" t="s">
        <v>956</v>
      </c>
      <c r="C118" s="17"/>
      <c r="D118" s="182" t="s">
        <v>957</v>
      </c>
      <c r="E118" s="182">
        <v>260</v>
      </c>
      <c r="F118" s="181">
        <v>7.3</v>
      </c>
      <c r="G118" s="182" t="s">
        <v>957</v>
      </c>
      <c r="H118" s="182">
        <v>260</v>
      </c>
      <c r="I118" s="181">
        <v>7.3</v>
      </c>
      <c r="J118" s="182" t="s">
        <v>957</v>
      </c>
      <c r="K118" s="182">
        <f t="shared" ref="K118:K120" si="39">N118</f>
        <v>300</v>
      </c>
      <c r="L118" s="181">
        <f t="shared" ref="L118:L120" si="40">O118</f>
        <v>7.3</v>
      </c>
      <c r="M118" s="182" t="s">
        <v>957</v>
      </c>
      <c r="N118" s="11">
        <v>300</v>
      </c>
      <c r="O118" s="129">
        <v>7.3</v>
      </c>
    </row>
    <row r="119" spans="2:15" x14ac:dyDescent="0.25">
      <c r="B119" s="183" t="s">
        <v>958</v>
      </c>
      <c r="C119" s="17"/>
      <c r="D119" s="182" t="s">
        <v>957</v>
      </c>
      <c r="E119" s="182">
        <v>260</v>
      </c>
      <c r="F119" s="181">
        <v>7.3</v>
      </c>
      <c r="G119" s="182" t="s">
        <v>957</v>
      </c>
      <c r="H119" s="182">
        <v>260</v>
      </c>
      <c r="I119" s="181">
        <v>7.3</v>
      </c>
      <c r="J119" s="182" t="s">
        <v>957</v>
      </c>
      <c r="K119" s="182">
        <f t="shared" si="39"/>
        <v>300</v>
      </c>
      <c r="L119" s="181">
        <f t="shared" si="40"/>
        <v>7.3</v>
      </c>
      <c r="M119" s="182" t="s">
        <v>957</v>
      </c>
      <c r="N119" s="11">
        <v>300</v>
      </c>
      <c r="O119" s="129">
        <v>7.3</v>
      </c>
    </row>
    <row r="120" spans="2:15" x14ac:dyDescent="0.25">
      <c r="B120" s="183" t="s">
        <v>959</v>
      </c>
      <c r="C120" s="17"/>
      <c r="D120" s="182" t="s">
        <v>957</v>
      </c>
      <c r="E120" s="182">
        <v>260</v>
      </c>
      <c r="F120" s="181">
        <v>7.3</v>
      </c>
      <c r="G120" s="182" t="s">
        <v>957</v>
      </c>
      <c r="H120" s="182">
        <v>260</v>
      </c>
      <c r="I120" s="181">
        <v>7.3</v>
      </c>
      <c r="J120" s="182" t="s">
        <v>957</v>
      </c>
      <c r="K120" s="182">
        <f t="shared" si="39"/>
        <v>300</v>
      </c>
      <c r="L120" s="181">
        <f t="shared" si="40"/>
        <v>7.3</v>
      </c>
      <c r="M120" s="182" t="s">
        <v>957</v>
      </c>
      <c r="N120" s="11">
        <v>300</v>
      </c>
      <c r="O120" s="129">
        <v>7.3</v>
      </c>
    </row>
    <row r="121" spans="2:15" x14ac:dyDescent="0.25">
      <c r="B121" s="28" t="s">
        <v>974</v>
      </c>
      <c r="C121" s="17"/>
      <c r="D121" s="182"/>
      <c r="E121" s="182"/>
      <c r="F121" s="181"/>
      <c r="G121" s="184"/>
      <c r="H121" s="184"/>
      <c r="I121" s="184"/>
      <c r="J121" s="184"/>
      <c r="K121" s="184"/>
      <c r="L121" s="184"/>
      <c r="M121" s="184"/>
      <c r="N121" s="184"/>
      <c r="O121" s="184"/>
    </row>
    <row r="122" spans="2:15" x14ac:dyDescent="0.25">
      <c r="B122" s="183" t="s">
        <v>956</v>
      </c>
      <c r="C122" s="17"/>
      <c r="D122" s="182" t="s">
        <v>957</v>
      </c>
      <c r="E122" s="182">
        <v>500</v>
      </c>
      <c r="F122" s="181">
        <v>11.8</v>
      </c>
      <c r="G122" s="182" t="s">
        <v>957</v>
      </c>
      <c r="H122" s="182">
        <v>500</v>
      </c>
      <c r="I122" s="181">
        <v>11.8</v>
      </c>
      <c r="J122" s="182" t="s">
        <v>957</v>
      </c>
      <c r="K122" s="182">
        <f t="shared" ref="K122:K124" si="41">N122</f>
        <v>500</v>
      </c>
      <c r="L122" s="181">
        <f t="shared" ref="L122:L126" si="42">O122</f>
        <v>11.8</v>
      </c>
      <c r="M122" s="182" t="s">
        <v>957</v>
      </c>
      <c r="N122" s="11">
        <v>500</v>
      </c>
      <c r="O122" s="129">
        <v>11.8</v>
      </c>
    </row>
    <row r="123" spans="2:15" x14ac:dyDescent="0.25">
      <c r="B123" s="183" t="s">
        <v>958</v>
      </c>
      <c r="C123" s="17"/>
      <c r="D123" s="182" t="s">
        <v>957</v>
      </c>
      <c r="E123" s="182">
        <v>500</v>
      </c>
      <c r="F123" s="181">
        <v>11</v>
      </c>
      <c r="G123" s="182" t="s">
        <v>957</v>
      </c>
      <c r="H123" s="182">
        <v>500</v>
      </c>
      <c r="I123" s="181">
        <v>11</v>
      </c>
      <c r="J123" s="182" t="s">
        <v>957</v>
      </c>
      <c r="K123" s="182">
        <f t="shared" si="41"/>
        <v>500</v>
      </c>
      <c r="L123" s="181">
        <f t="shared" si="42"/>
        <v>11</v>
      </c>
      <c r="M123" s="182" t="s">
        <v>957</v>
      </c>
      <c r="N123" s="11">
        <v>500</v>
      </c>
      <c r="O123" s="129">
        <v>11</v>
      </c>
    </row>
    <row r="124" spans="2:15" x14ac:dyDescent="0.25">
      <c r="B124" s="183" t="s">
        <v>959</v>
      </c>
      <c r="C124" s="17"/>
      <c r="D124" s="182" t="s">
        <v>957</v>
      </c>
      <c r="E124" s="182">
        <v>500</v>
      </c>
      <c r="F124" s="181">
        <v>10.8</v>
      </c>
      <c r="G124" s="182" t="s">
        <v>957</v>
      </c>
      <c r="H124" s="182">
        <v>500</v>
      </c>
      <c r="I124" s="181">
        <v>10.8</v>
      </c>
      <c r="J124" s="182" t="s">
        <v>957</v>
      </c>
      <c r="K124" s="182">
        <f t="shared" si="41"/>
        <v>500</v>
      </c>
      <c r="L124" s="181">
        <f t="shared" si="42"/>
        <v>10.8</v>
      </c>
      <c r="M124" s="182" t="s">
        <v>957</v>
      </c>
      <c r="N124" s="11">
        <v>500</v>
      </c>
      <c r="O124" s="129">
        <v>10.8</v>
      </c>
    </row>
    <row r="125" spans="2:15" x14ac:dyDescent="0.25">
      <c r="B125" s="28" t="s">
        <v>975</v>
      </c>
      <c r="C125" s="17"/>
      <c r="D125" s="182"/>
      <c r="E125" s="182"/>
      <c r="F125" s="181"/>
      <c r="G125" s="184"/>
      <c r="H125" s="184"/>
      <c r="I125" s="184"/>
      <c r="J125" s="184"/>
      <c r="K125" s="184"/>
      <c r="L125" s="184"/>
      <c r="M125" s="184"/>
      <c r="N125" s="184"/>
      <c r="O125" s="184"/>
    </row>
    <row r="126" spans="2:15" x14ac:dyDescent="0.25">
      <c r="B126" s="183" t="s">
        <v>956</v>
      </c>
      <c r="C126" s="17"/>
      <c r="D126" s="182" t="s">
        <v>957</v>
      </c>
      <c r="E126" s="182"/>
      <c r="F126" s="181">
        <v>4.8</v>
      </c>
      <c r="G126" s="182" t="s">
        <v>957</v>
      </c>
      <c r="H126" s="182"/>
      <c r="I126" s="181">
        <v>4.84</v>
      </c>
      <c r="J126" s="182" t="s">
        <v>957</v>
      </c>
      <c r="K126" s="182"/>
      <c r="L126" s="181">
        <f t="shared" si="42"/>
        <v>4.84</v>
      </c>
      <c r="M126" s="182" t="s">
        <v>957</v>
      </c>
      <c r="N126" s="182"/>
      <c r="O126" s="181">
        <v>4.84</v>
      </c>
    </row>
    <row r="127" spans="2:15" x14ac:dyDescent="0.25">
      <c r="B127" s="28" t="s">
        <v>976</v>
      </c>
      <c r="C127" s="17"/>
      <c r="D127" s="182"/>
      <c r="E127" s="182"/>
      <c r="F127" s="181"/>
      <c r="G127" s="184"/>
      <c r="H127" s="184"/>
      <c r="I127" s="184"/>
      <c r="J127" s="184"/>
      <c r="K127" s="184"/>
      <c r="L127" s="184"/>
      <c r="M127" s="184"/>
      <c r="N127" s="184"/>
      <c r="O127" s="184"/>
    </row>
    <row r="128" spans="2:15" x14ac:dyDescent="0.25">
      <c r="B128" s="183" t="s">
        <v>956</v>
      </c>
      <c r="C128" s="17"/>
      <c r="D128" s="182" t="s">
        <v>957</v>
      </c>
      <c r="E128" s="182">
        <v>100</v>
      </c>
      <c r="F128" s="181">
        <v>6</v>
      </c>
      <c r="G128" s="182" t="s">
        <v>957</v>
      </c>
      <c r="H128" s="182">
        <v>100</v>
      </c>
      <c r="I128" s="181">
        <v>6</v>
      </c>
      <c r="J128" s="182" t="s">
        <v>957</v>
      </c>
      <c r="K128" s="182">
        <f t="shared" ref="K128:K130" si="43">N128</f>
        <v>100</v>
      </c>
      <c r="L128" s="181">
        <f t="shared" ref="L128:L130" si="44">O128</f>
        <v>6</v>
      </c>
      <c r="M128" s="182" t="s">
        <v>957</v>
      </c>
      <c r="N128" s="182">
        <v>100</v>
      </c>
      <c r="O128" s="181">
        <v>6</v>
      </c>
    </row>
    <row r="129" spans="2:15" x14ac:dyDescent="0.25">
      <c r="B129" s="183" t="s">
        <v>958</v>
      </c>
      <c r="C129" s="17"/>
      <c r="D129" s="182" t="s">
        <v>957</v>
      </c>
      <c r="E129" s="182">
        <v>100</v>
      </c>
      <c r="F129" s="181">
        <v>6</v>
      </c>
      <c r="G129" s="182" t="s">
        <v>957</v>
      </c>
      <c r="H129" s="182">
        <v>100</v>
      </c>
      <c r="I129" s="181">
        <v>6</v>
      </c>
      <c r="J129" s="182" t="s">
        <v>957</v>
      </c>
      <c r="K129" s="182">
        <f t="shared" si="43"/>
        <v>100</v>
      </c>
      <c r="L129" s="181">
        <f t="shared" si="44"/>
        <v>6</v>
      </c>
      <c r="M129" s="182" t="s">
        <v>957</v>
      </c>
      <c r="N129" s="182">
        <v>100</v>
      </c>
      <c r="O129" s="181">
        <v>6</v>
      </c>
    </row>
    <row r="130" spans="2:15" x14ac:dyDescent="0.25">
      <c r="B130" s="183" t="s">
        <v>959</v>
      </c>
      <c r="C130" s="17"/>
      <c r="D130" s="182" t="s">
        <v>957</v>
      </c>
      <c r="E130" s="182">
        <v>100</v>
      </c>
      <c r="F130" s="181">
        <v>6</v>
      </c>
      <c r="G130" s="182" t="s">
        <v>957</v>
      </c>
      <c r="H130" s="182">
        <v>100</v>
      </c>
      <c r="I130" s="181">
        <v>6</v>
      </c>
      <c r="J130" s="182" t="s">
        <v>957</v>
      </c>
      <c r="K130" s="182">
        <f t="shared" si="43"/>
        <v>100</v>
      </c>
      <c r="L130" s="181">
        <f t="shared" si="44"/>
        <v>6</v>
      </c>
      <c r="M130" s="182" t="s">
        <v>957</v>
      </c>
      <c r="N130" s="182">
        <v>100</v>
      </c>
      <c r="O130" s="181">
        <v>6</v>
      </c>
    </row>
    <row r="133" spans="2:15" ht="14.4" thickBot="1" x14ac:dyDescent="0.3"/>
    <row r="134" spans="2:15" ht="42" thickBot="1" x14ac:dyDescent="0.3">
      <c r="K134" s="412"/>
      <c r="L134" s="180" t="s">
        <v>977</v>
      </c>
      <c r="M134" s="179" t="s">
        <v>978</v>
      </c>
      <c r="N134" s="179" t="s">
        <v>979</v>
      </c>
    </row>
    <row r="135" spans="2:15" ht="42" customHeight="1" thickBot="1" x14ac:dyDescent="0.3">
      <c r="K135" s="413"/>
      <c r="L135" s="178" t="s">
        <v>980</v>
      </c>
      <c r="M135" s="177" t="s">
        <v>981</v>
      </c>
      <c r="N135" s="177" t="str">
        <f t="shared" ref="N135:N136" si="45">M135</f>
        <v>Plus Rs.1/unit</v>
      </c>
    </row>
    <row r="136" spans="2:15" ht="36" customHeight="1" thickBot="1" x14ac:dyDescent="0.3">
      <c r="K136" s="413"/>
      <c r="L136" s="178" t="s">
        <v>982</v>
      </c>
      <c r="M136" s="177" t="s">
        <v>983</v>
      </c>
      <c r="N136" s="177" t="str">
        <f t="shared" si="45"/>
        <v>Less Rs.1/unit</v>
      </c>
    </row>
    <row r="142" spans="2:15" x14ac:dyDescent="0.25">
      <c r="F142" s="4"/>
    </row>
    <row r="143" spans="2:15" x14ac:dyDescent="0.25">
      <c r="E143" s="24">
        <v>1</v>
      </c>
      <c r="F143" s="4" t="s">
        <v>984</v>
      </c>
    </row>
    <row r="144" spans="2:15" x14ac:dyDescent="0.25">
      <c r="E144" s="24">
        <f>E143+1</f>
        <v>2</v>
      </c>
      <c r="F144" s="4" t="s">
        <v>985</v>
      </c>
    </row>
  </sheetData>
  <mergeCells count="12">
    <mergeCell ref="D6:E6"/>
    <mergeCell ref="B5:C7"/>
    <mergeCell ref="B2:P2"/>
    <mergeCell ref="B69:C69"/>
    <mergeCell ref="B8:C8"/>
    <mergeCell ref="G6:H6"/>
    <mergeCell ref="G5:I5"/>
    <mergeCell ref="J5:L5"/>
    <mergeCell ref="J6:K6"/>
    <mergeCell ref="M5:O5"/>
    <mergeCell ref="M6:N6"/>
    <mergeCell ref="D5:F5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88"/>
  <sheetViews>
    <sheetView showGridLines="0" topLeftCell="B1" zoomScale="80" zoomScaleNormal="80" workbookViewId="0">
      <selection activeCell="H25" sqref="H25"/>
    </sheetView>
  </sheetViews>
  <sheetFormatPr defaultColWidth="9.109375" defaultRowHeight="13.8" x14ac:dyDescent="0.25"/>
  <cols>
    <col min="1" max="1" width="9.109375" style="176"/>
    <col min="2" max="2" width="22.5546875" style="176" customWidth="1"/>
    <col min="3" max="3" width="47.88671875" style="176" customWidth="1"/>
    <col min="4" max="4" width="14" style="176" customWidth="1"/>
    <col min="5" max="5" width="16.88671875" style="176" customWidth="1"/>
    <col min="6" max="6" width="14" style="176" customWidth="1"/>
    <col min="7" max="7" width="25" style="176" bestFit="1" customWidth="1"/>
    <col min="8" max="8" width="20.5546875" style="176" customWidth="1"/>
    <col min="9" max="9" width="17.5546875" style="176" customWidth="1"/>
    <col min="10" max="10" width="16.109375" style="176" customWidth="1"/>
    <col min="11" max="11" width="25" style="176" bestFit="1" customWidth="1"/>
    <col min="12" max="12" width="17.5546875" style="176" bestFit="1" customWidth="1"/>
    <col min="13" max="13" width="20.33203125" style="176" bestFit="1" customWidth="1"/>
    <col min="14" max="14" width="14.5546875" style="176" customWidth="1"/>
    <col min="15" max="15" width="17.44140625" style="176" customWidth="1"/>
    <col min="16" max="16" width="15.6640625" style="176" customWidth="1"/>
    <col min="17" max="16384" width="9.109375" style="176"/>
  </cols>
  <sheetData>
    <row r="2" spans="2:16" x14ac:dyDescent="0.25">
      <c r="B2" s="195"/>
      <c r="C2" s="195"/>
      <c r="D2" s="195"/>
      <c r="E2" s="195"/>
      <c r="F2" s="195"/>
      <c r="G2" s="195"/>
      <c r="H2" s="195"/>
      <c r="I2" s="23" t="s">
        <v>160</v>
      </c>
      <c r="J2" s="195"/>
      <c r="K2" s="195"/>
      <c r="L2" s="195"/>
      <c r="M2" s="195"/>
      <c r="N2" s="195"/>
      <c r="O2" s="195"/>
      <c r="P2" s="195"/>
    </row>
    <row r="3" spans="2:16" x14ac:dyDescent="0.25">
      <c r="B3" s="195"/>
      <c r="C3" s="195"/>
      <c r="D3" s="195"/>
      <c r="E3" s="195"/>
      <c r="F3" s="195"/>
      <c r="G3" s="195"/>
      <c r="H3" s="195"/>
      <c r="I3" s="25" t="s">
        <v>986</v>
      </c>
      <c r="J3" s="195"/>
      <c r="K3" s="195"/>
      <c r="L3" s="195"/>
      <c r="M3" s="195"/>
      <c r="N3" s="195"/>
      <c r="O3" s="195"/>
      <c r="P3" s="195"/>
    </row>
    <row r="5" spans="2:16" x14ac:dyDescent="0.25">
      <c r="B5" s="909" t="s">
        <v>163</v>
      </c>
      <c r="C5" s="910"/>
      <c r="D5" s="918" t="s">
        <v>987</v>
      </c>
      <c r="E5" s="918" t="s">
        <v>988</v>
      </c>
      <c r="F5" s="917" t="s">
        <v>770</v>
      </c>
      <c r="G5" s="917" t="s">
        <v>989</v>
      </c>
      <c r="H5" s="917"/>
      <c r="I5" s="918" t="s">
        <v>990</v>
      </c>
      <c r="J5" s="915" t="s">
        <v>991</v>
      </c>
      <c r="K5" s="917" t="s">
        <v>992</v>
      </c>
      <c r="L5" s="917"/>
      <c r="M5" s="917"/>
      <c r="N5" s="917"/>
      <c r="O5" s="917"/>
      <c r="P5" s="917"/>
    </row>
    <row r="6" spans="2:16" x14ac:dyDescent="0.25">
      <c r="B6" s="911"/>
      <c r="C6" s="912"/>
      <c r="D6" s="918"/>
      <c r="E6" s="918"/>
      <c r="F6" s="917"/>
      <c r="G6" s="139" t="s">
        <v>993</v>
      </c>
      <c r="H6" s="139" t="s">
        <v>994</v>
      </c>
      <c r="I6" s="918"/>
      <c r="J6" s="916"/>
      <c r="K6" s="139" t="s">
        <v>993</v>
      </c>
      <c r="L6" s="139" t="s">
        <v>994</v>
      </c>
      <c r="M6" s="139" t="s">
        <v>990</v>
      </c>
      <c r="N6" s="139" t="s">
        <v>498</v>
      </c>
      <c r="O6" s="139" t="s">
        <v>991</v>
      </c>
      <c r="P6" s="139" t="s">
        <v>251</v>
      </c>
    </row>
    <row r="7" spans="2:16" x14ac:dyDescent="0.25">
      <c r="B7" s="913"/>
      <c r="C7" s="914"/>
      <c r="D7" s="140" t="s">
        <v>298</v>
      </c>
      <c r="E7" s="139" t="s">
        <v>995</v>
      </c>
      <c r="F7" s="139" t="s">
        <v>996</v>
      </c>
      <c r="G7" s="209" t="s">
        <v>997</v>
      </c>
      <c r="H7" s="209" t="s">
        <v>998</v>
      </c>
      <c r="I7" s="209" t="s">
        <v>997</v>
      </c>
      <c r="J7" s="139" t="s">
        <v>298</v>
      </c>
      <c r="K7" s="139" t="s">
        <v>682</v>
      </c>
      <c r="L7" s="139" t="s">
        <v>682</v>
      </c>
      <c r="M7" s="139" t="s">
        <v>682</v>
      </c>
      <c r="N7" s="139" t="s">
        <v>682</v>
      </c>
      <c r="O7" s="139" t="s">
        <v>682</v>
      </c>
      <c r="P7" s="139" t="s">
        <v>682</v>
      </c>
    </row>
    <row r="8" spans="2:16" x14ac:dyDescent="0.25">
      <c r="B8" s="753" t="s">
        <v>781</v>
      </c>
      <c r="C8" s="754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</row>
    <row r="9" spans="2:16" x14ac:dyDescent="0.25">
      <c r="B9" s="194" t="s">
        <v>172</v>
      </c>
      <c r="C9" s="194" t="s">
        <v>173</v>
      </c>
      <c r="D9" s="203">
        <v>3917432</v>
      </c>
      <c r="E9" s="203">
        <v>4339.067734246818</v>
      </c>
      <c r="F9" s="203">
        <v>3891.8542162999993</v>
      </c>
      <c r="G9" s="203"/>
      <c r="H9" s="203"/>
      <c r="I9" s="203"/>
      <c r="J9" s="203"/>
      <c r="K9" s="203">
        <v>52.068812810961816</v>
      </c>
      <c r="L9" s="203">
        <v>1468.2368406369164</v>
      </c>
      <c r="M9" s="203">
        <v>314.349565316</v>
      </c>
      <c r="N9" s="203">
        <v>6.4137465521217125</v>
      </c>
      <c r="O9" s="199">
        <v>0</v>
      </c>
      <c r="P9" s="203">
        <v>1841.068965316</v>
      </c>
    </row>
    <row r="10" spans="2:16" ht="18.600000000000001" customHeight="1" x14ac:dyDescent="0.25">
      <c r="B10" s="59" t="s">
        <v>999</v>
      </c>
      <c r="C10" s="194" t="s">
        <v>1000</v>
      </c>
      <c r="D10" s="203">
        <v>2967999</v>
      </c>
      <c r="E10" s="203">
        <v>2378.7385087744296</v>
      </c>
      <c r="F10" s="203">
        <v>1675.8618155706199</v>
      </c>
      <c r="G10" s="203"/>
      <c r="H10" s="203"/>
      <c r="I10" s="203"/>
      <c r="J10" s="203"/>
      <c r="K10" s="203">
        <v>28.544862105293156</v>
      </c>
      <c r="L10" s="203">
        <v>359.59453957226367</v>
      </c>
      <c r="M10" s="203">
        <v>195.63600789898706</v>
      </c>
      <c r="N10" s="203">
        <v>6.4137465521217125</v>
      </c>
      <c r="O10" s="199"/>
      <c r="P10" s="203">
        <v>590.18915612866556</v>
      </c>
    </row>
    <row r="11" spans="2:16" x14ac:dyDescent="0.25">
      <c r="B11" s="59"/>
      <c r="C11" s="59" t="s">
        <v>1001</v>
      </c>
      <c r="D11" s="199">
        <v>1925449</v>
      </c>
      <c r="E11" s="199">
        <v>1215.0878460835513</v>
      </c>
      <c r="F11" s="199">
        <v>1390.6315065619867</v>
      </c>
      <c r="G11" s="199">
        <v>10</v>
      </c>
      <c r="H11" s="199">
        <v>1.95</v>
      </c>
      <c r="I11" s="199">
        <v>40</v>
      </c>
      <c r="J11" s="199"/>
      <c r="K11" s="199">
        <v>14.581054153002613</v>
      </c>
      <c r="L11" s="199">
        <v>271.17314377958741</v>
      </c>
      <c r="M11" s="199">
        <v>100.45227887994069</v>
      </c>
      <c r="N11" s="199">
        <v>6.4137465521217125</v>
      </c>
      <c r="O11" s="199"/>
      <c r="P11" s="199">
        <v>392.62022336465247</v>
      </c>
    </row>
    <row r="12" spans="2:16" x14ac:dyDescent="0.25">
      <c r="B12" s="59"/>
      <c r="C12" s="59" t="s">
        <v>1002</v>
      </c>
      <c r="D12" s="199">
        <v>1042550</v>
      </c>
      <c r="E12" s="199">
        <v>1163.6506626908786</v>
      </c>
      <c r="F12" s="199">
        <v>285.23030900863313</v>
      </c>
      <c r="G12" s="199">
        <v>10</v>
      </c>
      <c r="H12" s="199">
        <v>3.1</v>
      </c>
      <c r="I12" s="199">
        <v>70</v>
      </c>
      <c r="J12" s="199"/>
      <c r="K12" s="199">
        <v>13.963807952290544</v>
      </c>
      <c r="L12" s="199">
        <v>88.421395792676279</v>
      </c>
      <c r="M12" s="199">
        <v>95.183729019046368</v>
      </c>
      <c r="N12" s="199"/>
      <c r="O12" s="199"/>
      <c r="P12" s="199">
        <v>197.5689327640132</v>
      </c>
    </row>
    <row r="13" spans="2:16" ht="21" customHeight="1" x14ac:dyDescent="0.25">
      <c r="B13" s="59" t="s">
        <v>1003</v>
      </c>
      <c r="C13" s="207" t="s">
        <v>1004</v>
      </c>
      <c r="D13" s="203">
        <v>652100</v>
      </c>
      <c r="E13" s="203">
        <v>1306.1689366850117</v>
      </c>
      <c r="F13" s="203">
        <v>1216.6513180778793</v>
      </c>
      <c r="G13" s="203"/>
      <c r="H13" s="203"/>
      <c r="I13" s="203"/>
      <c r="J13" s="203"/>
      <c r="K13" s="203">
        <v>15.674027240220141</v>
      </c>
      <c r="L13" s="203">
        <v>482.83972309182491</v>
      </c>
      <c r="M13" s="203">
        <v>76.546350944439951</v>
      </c>
      <c r="N13" s="203"/>
      <c r="O13" s="199"/>
      <c r="P13" s="203">
        <v>575.06010127648506</v>
      </c>
    </row>
    <row r="14" spans="2:16" x14ac:dyDescent="0.25">
      <c r="B14" s="59"/>
      <c r="C14" s="59" t="s">
        <v>1005</v>
      </c>
      <c r="D14" s="199">
        <v>0</v>
      </c>
      <c r="E14" s="199">
        <v>0</v>
      </c>
      <c r="F14" s="199">
        <v>722.52078275397969</v>
      </c>
      <c r="G14" s="199">
        <v>10</v>
      </c>
      <c r="H14" s="199">
        <v>3.4</v>
      </c>
      <c r="I14" s="199">
        <v>0</v>
      </c>
      <c r="J14" s="199"/>
      <c r="K14" s="199">
        <v>0</v>
      </c>
      <c r="L14" s="199">
        <v>245.65706613635308</v>
      </c>
      <c r="M14" s="199">
        <v>0</v>
      </c>
      <c r="N14" s="199"/>
      <c r="O14" s="199"/>
      <c r="P14" s="199">
        <v>245.65706613635308</v>
      </c>
    </row>
    <row r="15" spans="2:16" x14ac:dyDescent="0.25">
      <c r="B15" s="59"/>
      <c r="C15" s="59" t="s">
        <v>1006</v>
      </c>
      <c r="D15" s="199">
        <v>652100</v>
      </c>
      <c r="E15" s="199">
        <v>1306.1689366850117</v>
      </c>
      <c r="F15" s="199">
        <v>494.13053532389961</v>
      </c>
      <c r="G15" s="199">
        <v>10</v>
      </c>
      <c r="H15" s="199">
        <v>4.8</v>
      </c>
      <c r="I15" s="199">
        <v>90</v>
      </c>
      <c r="J15" s="199"/>
      <c r="K15" s="199">
        <v>15.674027240220141</v>
      </c>
      <c r="L15" s="199">
        <v>237.1826569554718</v>
      </c>
      <c r="M15" s="199">
        <v>76.546350944439951</v>
      </c>
      <c r="N15" s="199"/>
      <c r="O15" s="199"/>
      <c r="P15" s="199">
        <v>329.40303514013192</v>
      </c>
    </row>
    <row r="16" spans="2:16" ht="19.2" customHeight="1" x14ac:dyDescent="0.25">
      <c r="B16" s="59" t="s">
        <v>1007</v>
      </c>
      <c r="C16" s="194" t="s">
        <v>1008</v>
      </c>
      <c r="D16" s="203">
        <v>297333</v>
      </c>
      <c r="E16" s="203">
        <v>654.16028878737666</v>
      </c>
      <c r="F16" s="203">
        <v>999.3410826515003</v>
      </c>
      <c r="G16" s="203"/>
      <c r="H16" s="203"/>
      <c r="I16" s="203"/>
      <c r="J16" s="203"/>
      <c r="K16" s="203">
        <v>7.8499234654485202</v>
      </c>
      <c r="L16" s="203">
        <v>625.80257797282798</v>
      </c>
      <c r="M16" s="203">
        <v>42.167206472573028</v>
      </c>
      <c r="N16" s="203"/>
      <c r="O16" s="199"/>
      <c r="P16" s="203">
        <v>675.81970791084962</v>
      </c>
    </row>
    <row r="17" spans="2:16" x14ac:dyDescent="0.25">
      <c r="B17" s="59"/>
      <c r="C17" s="59" t="s">
        <v>1009</v>
      </c>
      <c r="D17" s="199">
        <v>0</v>
      </c>
      <c r="E17" s="199">
        <v>0</v>
      </c>
      <c r="F17" s="199">
        <v>653.00070743833908</v>
      </c>
      <c r="G17" s="199">
        <v>10</v>
      </c>
      <c r="H17" s="199">
        <v>5.0999999999999996</v>
      </c>
      <c r="I17" s="199">
        <v>0</v>
      </c>
      <c r="J17" s="199"/>
      <c r="K17" s="199">
        <v>0</v>
      </c>
      <c r="L17" s="199">
        <v>333.03036079355292</v>
      </c>
      <c r="M17" s="199">
        <v>0</v>
      </c>
      <c r="N17" s="199"/>
      <c r="O17" s="199"/>
      <c r="P17" s="199">
        <v>333.03036079355292</v>
      </c>
    </row>
    <row r="18" spans="2:16" x14ac:dyDescent="0.25">
      <c r="B18" s="59"/>
      <c r="C18" s="59" t="s">
        <v>1010</v>
      </c>
      <c r="D18" s="199">
        <v>210267</v>
      </c>
      <c r="E18" s="199">
        <v>384.76669536982899</v>
      </c>
      <c r="F18" s="199">
        <v>190.12020596964319</v>
      </c>
      <c r="G18" s="199">
        <v>10</v>
      </c>
      <c r="H18" s="199">
        <v>7.7</v>
      </c>
      <c r="I18" s="199">
        <v>100</v>
      </c>
      <c r="J18" s="199"/>
      <c r="K18" s="199">
        <v>4.6172003444379479</v>
      </c>
      <c r="L18" s="199">
        <v>146.39255859662526</v>
      </c>
      <c r="M18" s="199">
        <v>27.424511533736403</v>
      </c>
      <c r="N18" s="199"/>
      <c r="O18" s="199"/>
      <c r="P18" s="199">
        <v>178.4342704747996</v>
      </c>
    </row>
    <row r="19" spans="2:16" x14ac:dyDescent="0.25">
      <c r="B19" s="59"/>
      <c r="C19" s="59" t="s">
        <v>1011</v>
      </c>
      <c r="D19" s="199">
        <v>48943</v>
      </c>
      <c r="E19" s="199">
        <v>129.9830825084359</v>
      </c>
      <c r="F19" s="199">
        <v>68.450074156438447</v>
      </c>
      <c r="G19" s="199">
        <v>10</v>
      </c>
      <c r="H19" s="199">
        <v>9</v>
      </c>
      <c r="I19" s="199">
        <v>120</v>
      </c>
      <c r="J19" s="199"/>
      <c r="K19" s="199">
        <v>1.5597969901012307</v>
      </c>
      <c r="L19" s="199">
        <v>61.605066740794598</v>
      </c>
      <c r="M19" s="199">
        <v>7.6601912881945005</v>
      </c>
      <c r="N19" s="199"/>
      <c r="O19" s="199"/>
      <c r="P19" s="199">
        <v>70.825055019090328</v>
      </c>
    </row>
    <row r="20" spans="2:16" x14ac:dyDescent="0.25">
      <c r="B20" s="59"/>
      <c r="C20" s="59" t="s">
        <v>1012</v>
      </c>
      <c r="D20" s="199">
        <v>33472</v>
      </c>
      <c r="E20" s="199">
        <v>115.04961017645041</v>
      </c>
      <c r="F20" s="199">
        <v>59.910064904488337</v>
      </c>
      <c r="G20" s="199">
        <v>10</v>
      </c>
      <c r="H20" s="199">
        <v>9.5</v>
      </c>
      <c r="I20" s="199">
        <v>140</v>
      </c>
      <c r="J20" s="199"/>
      <c r="K20" s="199">
        <v>1.380595322117405</v>
      </c>
      <c r="L20" s="199">
        <v>56.914561659263917</v>
      </c>
      <c r="M20" s="199">
        <v>6.1119174672207945</v>
      </c>
      <c r="N20" s="199"/>
      <c r="O20" s="199"/>
      <c r="P20" s="199">
        <v>64.407074448602117</v>
      </c>
    </row>
    <row r="21" spans="2:16" x14ac:dyDescent="0.25">
      <c r="B21" s="59"/>
      <c r="C21" s="59" t="s">
        <v>1013</v>
      </c>
      <c r="D21" s="199">
        <v>4651</v>
      </c>
      <c r="E21" s="199">
        <v>24.360900732661378</v>
      </c>
      <c r="F21" s="199">
        <v>27.860030182591309</v>
      </c>
      <c r="G21" s="199">
        <v>10</v>
      </c>
      <c r="H21" s="199">
        <v>10</v>
      </c>
      <c r="I21" s="199">
        <v>160</v>
      </c>
      <c r="J21" s="199"/>
      <c r="K21" s="199">
        <v>0.29233080879193651</v>
      </c>
      <c r="L21" s="199">
        <v>27.860030182591309</v>
      </c>
      <c r="M21" s="199">
        <v>0.97058618342133007</v>
      </c>
      <c r="N21" s="199"/>
      <c r="O21" s="199"/>
      <c r="P21" s="199">
        <v>29.122947174804576</v>
      </c>
    </row>
    <row r="22" spans="2:16" ht="24" customHeight="1" x14ac:dyDescent="0.25">
      <c r="B22" s="28" t="s">
        <v>174</v>
      </c>
      <c r="C22" s="28" t="s">
        <v>175</v>
      </c>
      <c r="D22" s="203">
        <v>483201</v>
      </c>
      <c r="E22" s="203">
        <v>1058.3777230596379</v>
      </c>
      <c r="F22" s="203">
        <v>875.136979</v>
      </c>
      <c r="G22" s="203"/>
      <c r="H22" s="203"/>
      <c r="I22" s="203"/>
      <c r="J22" s="203"/>
      <c r="K22" s="203">
        <v>84.450263921880449</v>
      </c>
      <c r="L22" s="203">
        <v>882.12480716693051</v>
      </c>
      <c r="M22" s="203">
        <v>42.873653558000001</v>
      </c>
      <c r="N22" s="203">
        <v>14.611528911189161</v>
      </c>
      <c r="O22" s="203"/>
      <c r="P22" s="203">
        <v>1024.0602535579999</v>
      </c>
    </row>
    <row r="23" spans="2:16" ht="24" customHeight="1" x14ac:dyDescent="0.25">
      <c r="B23" s="59" t="s">
        <v>1014</v>
      </c>
      <c r="C23" s="194" t="s">
        <v>1015</v>
      </c>
      <c r="D23" s="203">
        <v>283920</v>
      </c>
      <c r="E23" s="203">
        <v>359.92444792742776</v>
      </c>
      <c r="F23" s="203">
        <v>59.580321435605583</v>
      </c>
      <c r="G23" s="203"/>
      <c r="H23" s="203"/>
      <c r="I23" s="203"/>
      <c r="J23" s="203"/>
      <c r="K23" s="203">
        <v>25.914560250774802</v>
      </c>
      <c r="L23" s="203">
        <v>41.706225004923908</v>
      </c>
      <c r="M23" s="203">
        <v>20.918939778999999</v>
      </c>
      <c r="N23" s="203">
        <v>14.611528911189161</v>
      </c>
      <c r="O23" s="203"/>
      <c r="P23" s="203">
        <v>103.15125394588787</v>
      </c>
    </row>
    <row r="24" spans="2:16" x14ac:dyDescent="0.25">
      <c r="B24" s="17"/>
      <c r="C24" s="59" t="s">
        <v>1001</v>
      </c>
      <c r="D24" s="199">
        <v>283920</v>
      </c>
      <c r="E24" s="199">
        <v>359.92444792742776</v>
      </c>
      <c r="F24" s="199">
        <v>59.580321435605583</v>
      </c>
      <c r="G24" s="199">
        <v>60</v>
      </c>
      <c r="H24" s="199">
        <v>7</v>
      </c>
      <c r="I24" s="199">
        <v>50</v>
      </c>
      <c r="J24" s="199"/>
      <c r="K24" s="199">
        <v>25.914560250774802</v>
      </c>
      <c r="L24" s="199">
        <v>41.706225004923908</v>
      </c>
      <c r="M24" s="199">
        <v>20.918939778999999</v>
      </c>
      <c r="N24" s="199">
        <v>14.611528911189161</v>
      </c>
      <c r="O24" s="199"/>
      <c r="P24" s="199">
        <v>103.15125394588787</v>
      </c>
    </row>
    <row r="25" spans="2:16" ht="22.2" customHeight="1" x14ac:dyDescent="0.25">
      <c r="B25" s="59" t="s">
        <v>1016</v>
      </c>
      <c r="C25" s="194" t="s">
        <v>1017</v>
      </c>
      <c r="D25" s="203">
        <v>186732</v>
      </c>
      <c r="E25" s="203">
        <v>685.53674513221017</v>
      </c>
      <c r="F25" s="203">
        <v>812.0718018073112</v>
      </c>
      <c r="G25" s="203"/>
      <c r="H25" s="203"/>
      <c r="I25" s="203"/>
      <c r="J25" s="203"/>
      <c r="K25" s="203">
        <v>57.58508659110565</v>
      </c>
      <c r="L25" s="203">
        <v>837.57498146517332</v>
      </c>
      <c r="M25" s="203">
        <v>21.284110118435486</v>
      </c>
      <c r="N25" s="203">
        <v>0</v>
      </c>
      <c r="O25" s="203"/>
      <c r="P25" s="203">
        <v>916.44417817471435</v>
      </c>
    </row>
    <row r="26" spans="2:16" x14ac:dyDescent="0.25">
      <c r="B26" s="17"/>
      <c r="C26" s="59" t="s">
        <v>1005</v>
      </c>
      <c r="D26" s="199">
        <v>79124</v>
      </c>
      <c r="E26" s="199">
        <v>122.36600494825188</v>
      </c>
      <c r="F26" s="199">
        <v>157.29084858352468</v>
      </c>
      <c r="G26" s="199">
        <v>70</v>
      </c>
      <c r="H26" s="199">
        <v>8.5</v>
      </c>
      <c r="I26" s="199">
        <v>90</v>
      </c>
      <c r="J26" s="199"/>
      <c r="K26" s="199">
        <v>10.27874441565316</v>
      </c>
      <c r="L26" s="199">
        <v>133.69722129599597</v>
      </c>
      <c r="M26" s="199">
        <v>7.5075803416985138</v>
      </c>
      <c r="N26" s="199"/>
      <c r="O26" s="199"/>
      <c r="P26" s="199">
        <v>151.48354605334765</v>
      </c>
    </row>
    <row r="27" spans="2:16" x14ac:dyDescent="0.25">
      <c r="B27" s="17"/>
      <c r="C27" s="59" t="s">
        <v>1018</v>
      </c>
      <c r="D27" s="199">
        <v>68612</v>
      </c>
      <c r="E27" s="199">
        <v>166.09189694816556</v>
      </c>
      <c r="F27" s="199">
        <v>94.560510153589519</v>
      </c>
      <c r="G27" s="199">
        <v>70</v>
      </c>
      <c r="H27" s="199">
        <v>9.9</v>
      </c>
      <c r="I27" s="199">
        <v>105</v>
      </c>
      <c r="J27" s="199"/>
      <c r="K27" s="199">
        <v>13.951719343645907</v>
      </c>
      <c r="L27" s="199">
        <v>93.614905052053629</v>
      </c>
      <c r="M27" s="199">
        <v>7.8081158549795679</v>
      </c>
      <c r="N27" s="199"/>
      <c r="O27" s="199"/>
      <c r="P27" s="199">
        <v>115.3747402506791</v>
      </c>
    </row>
    <row r="28" spans="2:16" x14ac:dyDescent="0.25">
      <c r="B28" s="17"/>
      <c r="C28" s="59" t="s">
        <v>1019</v>
      </c>
      <c r="D28" s="199">
        <v>17777</v>
      </c>
      <c r="E28" s="199">
        <v>67.431847183721771</v>
      </c>
      <c r="F28" s="199">
        <v>99.660537668218367</v>
      </c>
      <c r="G28" s="199">
        <v>70</v>
      </c>
      <c r="H28" s="199">
        <v>10.4</v>
      </c>
      <c r="I28" s="199">
        <v>120</v>
      </c>
      <c r="J28" s="199"/>
      <c r="K28" s="199">
        <v>5.6642751634326283</v>
      </c>
      <c r="L28" s="199">
        <v>103.6469591749471</v>
      </c>
      <c r="M28" s="199">
        <v>2.3420423326679685</v>
      </c>
      <c r="N28" s="199"/>
      <c r="O28" s="199"/>
      <c r="P28" s="199">
        <v>111.65327667104771</v>
      </c>
    </row>
    <row r="29" spans="2:16" x14ac:dyDescent="0.25">
      <c r="B29" s="17"/>
      <c r="C29" s="59" t="s">
        <v>1020</v>
      </c>
      <c r="D29" s="199">
        <v>21219</v>
      </c>
      <c r="E29" s="199">
        <v>329.64699605207096</v>
      </c>
      <c r="F29" s="199">
        <v>460.55990540197871</v>
      </c>
      <c r="G29" s="199">
        <v>70</v>
      </c>
      <c r="H29" s="199">
        <v>11</v>
      </c>
      <c r="I29" s="199">
        <v>160</v>
      </c>
      <c r="J29" s="199"/>
      <c r="K29" s="199">
        <v>27.69034766837396</v>
      </c>
      <c r="L29" s="199">
        <v>506.61589594217656</v>
      </c>
      <c r="M29" s="199">
        <v>3.6263715890894357</v>
      </c>
      <c r="N29" s="199"/>
      <c r="O29" s="199"/>
      <c r="P29" s="199">
        <v>537.93261519963994</v>
      </c>
    </row>
    <row r="30" spans="2:16" x14ac:dyDescent="0.25">
      <c r="B30" s="59" t="s">
        <v>1021</v>
      </c>
      <c r="C30" s="28" t="s">
        <v>1022</v>
      </c>
      <c r="D30" s="203">
        <v>384</v>
      </c>
      <c r="E30" s="203">
        <v>1.7189099999999999</v>
      </c>
      <c r="F30" s="203">
        <v>1.0500056647765335</v>
      </c>
      <c r="G30" s="199">
        <v>70</v>
      </c>
      <c r="H30" s="199">
        <v>13</v>
      </c>
      <c r="I30" s="199">
        <v>160</v>
      </c>
      <c r="J30" s="199"/>
      <c r="K30" s="203">
        <v>0.14438843999999998</v>
      </c>
      <c r="L30" s="203">
        <v>1.3650073642094935</v>
      </c>
      <c r="M30" s="199">
        <v>7.7386605645155754E-3</v>
      </c>
      <c r="N30" s="199"/>
      <c r="O30" s="199"/>
      <c r="P30" s="199">
        <v>1.517134464774009</v>
      </c>
    </row>
    <row r="31" spans="2:16" ht="27.6" x14ac:dyDescent="0.25">
      <c r="B31" s="59" t="s">
        <v>1023</v>
      </c>
      <c r="C31" s="56" t="s">
        <v>1024</v>
      </c>
      <c r="D31" s="203">
        <v>12165</v>
      </c>
      <c r="E31" s="203">
        <v>11.197620000000001</v>
      </c>
      <c r="F31" s="203">
        <v>2.4348500923066725</v>
      </c>
      <c r="G31" s="203"/>
      <c r="H31" s="203"/>
      <c r="I31" s="203"/>
      <c r="J31" s="203"/>
      <c r="K31" s="203">
        <v>0.80622864000000005</v>
      </c>
      <c r="L31" s="203">
        <v>1.4785933326237108</v>
      </c>
      <c r="M31" s="203">
        <v>0.66286500000000004</v>
      </c>
      <c r="N31" s="203"/>
      <c r="O31" s="203"/>
      <c r="P31" s="203">
        <v>2.9476869726237105</v>
      </c>
    </row>
    <row r="32" spans="2:16" x14ac:dyDescent="0.25">
      <c r="B32" s="17"/>
      <c r="C32" s="59" t="s">
        <v>1001</v>
      </c>
      <c r="D32" s="199">
        <v>9901</v>
      </c>
      <c r="E32" s="199">
        <v>8.7964800000000007</v>
      </c>
      <c r="F32" s="199">
        <v>1.290321628643464</v>
      </c>
      <c r="G32" s="199">
        <v>60</v>
      </c>
      <c r="H32" s="199">
        <v>5.3</v>
      </c>
      <c r="I32" s="199">
        <v>45</v>
      </c>
      <c r="J32" s="199"/>
      <c r="K32" s="199">
        <v>0.63334656</v>
      </c>
      <c r="L32" s="199">
        <v>0.68387046318103584</v>
      </c>
      <c r="M32" s="199">
        <v>0.51788699999999999</v>
      </c>
      <c r="N32" s="199"/>
      <c r="O32" s="199"/>
      <c r="P32" s="199">
        <v>1.8351040231810358</v>
      </c>
    </row>
    <row r="33" spans="2:16" x14ac:dyDescent="0.25">
      <c r="B33" s="17"/>
      <c r="C33" s="59" t="s">
        <v>1002</v>
      </c>
      <c r="D33" s="199">
        <v>1575</v>
      </c>
      <c r="E33" s="199">
        <v>1.51772</v>
      </c>
      <c r="F33" s="199">
        <v>0.70748309227479211</v>
      </c>
      <c r="G33" s="199">
        <v>60</v>
      </c>
      <c r="H33" s="199">
        <v>6.6</v>
      </c>
      <c r="I33" s="199">
        <v>55</v>
      </c>
      <c r="J33" s="199"/>
      <c r="K33" s="199">
        <v>0.10927583999999999</v>
      </c>
      <c r="L33" s="199">
        <v>0.46693884090136278</v>
      </c>
      <c r="M33" s="199">
        <v>9.8802000000000001E-2</v>
      </c>
      <c r="N33" s="199"/>
      <c r="O33" s="199"/>
      <c r="P33" s="199">
        <v>0.67501668090136269</v>
      </c>
    </row>
    <row r="34" spans="2:16" x14ac:dyDescent="0.25">
      <c r="B34" s="17"/>
      <c r="C34" s="59" t="s">
        <v>1006</v>
      </c>
      <c r="D34" s="199">
        <v>689</v>
      </c>
      <c r="E34" s="199">
        <v>0.88341999999999998</v>
      </c>
      <c r="F34" s="199">
        <v>0.43704537138841648</v>
      </c>
      <c r="G34" s="199">
        <v>60</v>
      </c>
      <c r="H34" s="199">
        <v>7.5</v>
      </c>
      <c r="I34" s="199">
        <v>65</v>
      </c>
      <c r="J34" s="199"/>
      <c r="K34" s="199">
        <v>6.3606240000000008E-2</v>
      </c>
      <c r="L34" s="199">
        <v>0.32778402854131239</v>
      </c>
      <c r="M34" s="199">
        <v>4.6176000000000002E-2</v>
      </c>
      <c r="N34" s="199"/>
      <c r="O34" s="199"/>
      <c r="P34" s="199">
        <v>0.43756626854131242</v>
      </c>
    </row>
    <row r="35" spans="2:16" x14ac:dyDescent="0.25">
      <c r="B35" s="28" t="s">
        <v>784</v>
      </c>
      <c r="C35" s="28" t="s">
        <v>1025</v>
      </c>
      <c r="D35" s="203">
        <v>22113</v>
      </c>
      <c r="E35" s="203">
        <v>387.79357743166645</v>
      </c>
      <c r="F35" s="203">
        <v>237.01522249999999</v>
      </c>
      <c r="G35" s="203"/>
      <c r="H35" s="203"/>
      <c r="I35" s="203"/>
      <c r="J35" s="203"/>
      <c r="K35" s="203">
        <v>34.575744851849983</v>
      </c>
      <c r="L35" s="203">
        <v>181.25673459500001</v>
      </c>
      <c r="M35" s="203">
        <v>7.953381963</v>
      </c>
      <c r="N35" s="203">
        <v>37.34362055315006</v>
      </c>
      <c r="O35" s="203">
        <v>0</v>
      </c>
      <c r="P35" s="203">
        <v>261.12948196300005</v>
      </c>
    </row>
    <row r="36" spans="2:16" x14ac:dyDescent="0.25">
      <c r="B36" s="17"/>
      <c r="C36" s="17" t="s">
        <v>924</v>
      </c>
      <c r="D36" s="199">
        <v>18924</v>
      </c>
      <c r="E36" s="199">
        <v>363.53859595166648</v>
      </c>
      <c r="F36" s="199">
        <v>220.00651049999999</v>
      </c>
      <c r="G36" s="199">
        <v>75</v>
      </c>
      <c r="H36" s="199">
        <v>7.7</v>
      </c>
      <c r="I36" s="199"/>
      <c r="J36" s="199"/>
      <c r="K36" s="199">
        <v>32.718473635649985</v>
      </c>
      <c r="L36" s="199">
        <v>169.40501308500001</v>
      </c>
      <c r="M36" s="199">
        <v>7.8640591698111457</v>
      </c>
      <c r="N36" s="199">
        <v>37.34362055315006</v>
      </c>
      <c r="O36" s="199"/>
      <c r="P36" s="199">
        <v>247.33116644361121</v>
      </c>
    </row>
    <row r="37" spans="2:16" x14ac:dyDescent="0.25">
      <c r="B37" s="17"/>
      <c r="C37" s="17" t="s">
        <v>925</v>
      </c>
      <c r="D37" s="199">
        <v>0</v>
      </c>
      <c r="E37" s="199">
        <v>0</v>
      </c>
      <c r="F37" s="199">
        <v>0</v>
      </c>
      <c r="G37" s="199">
        <v>75</v>
      </c>
      <c r="H37" s="199">
        <v>8.4</v>
      </c>
      <c r="I37" s="199"/>
      <c r="J37" s="199"/>
      <c r="K37" s="199">
        <v>0</v>
      </c>
      <c r="L37" s="199">
        <v>0</v>
      </c>
      <c r="M37" s="199">
        <v>0</v>
      </c>
      <c r="N37" s="199"/>
      <c r="O37" s="199"/>
      <c r="P37" s="199">
        <v>0</v>
      </c>
    </row>
    <row r="38" spans="2:16" x14ac:dyDescent="0.25">
      <c r="B38" s="17"/>
      <c r="C38" s="17" t="s">
        <v>926</v>
      </c>
      <c r="D38" s="199">
        <v>100</v>
      </c>
      <c r="E38" s="199">
        <v>0.99955048000000013</v>
      </c>
      <c r="F38" s="199">
        <v>0.67973499999999987</v>
      </c>
      <c r="G38" s="199">
        <v>36</v>
      </c>
      <c r="H38" s="199">
        <v>6.2</v>
      </c>
      <c r="I38" s="199"/>
      <c r="J38" s="199"/>
      <c r="K38" s="199">
        <v>4.3180580736E-2</v>
      </c>
      <c r="L38" s="199">
        <v>0.42143569999999997</v>
      </c>
      <c r="M38" s="199">
        <v>2.463157894736842E-3</v>
      </c>
      <c r="N38" s="199"/>
      <c r="O38" s="199"/>
      <c r="P38" s="199">
        <v>0.46707943863073681</v>
      </c>
    </row>
    <row r="39" spans="2:16" x14ac:dyDescent="0.25">
      <c r="B39" s="17"/>
      <c r="C39" s="17" t="s">
        <v>1026</v>
      </c>
      <c r="D39" s="199">
        <v>2</v>
      </c>
      <c r="E39" s="199">
        <v>1.2435820000000002E-2</v>
      </c>
      <c r="F39" s="199">
        <v>1.1212999999999999E-2</v>
      </c>
      <c r="G39" s="199">
        <v>36</v>
      </c>
      <c r="H39" s="199">
        <v>6.2</v>
      </c>
      <c r="I39" s="199"/>
      <c r="J39" s="199"/>
      <c r="K39" s="199">
        <v>5.3722742400000019E-4</v>
      </c>
      <c r="L39" s="199">
        <v>6.9520600000000004E-3</v>
      </c>
      <c r="M39" s="199">
        <v>3.8999999999999999E-4</v>
      </c>
      <c r="N39" s="199"/>
      <c r="O39" s="199"/>
      <c r="P39" s="199">
        <v>7.8792874240000005E-3</v>
      </c>
    </row>
    <row r="40" spans="2:16" x14ac:dyDescent="0.25">
      <c r="B40" s="17"/>
      <c r="C40" s="17" t="s">
        <v>1027</v>
      </c>
      <c r="D40" s="199">
        <v>3082</v>
      </c>
      <c r="E40" s="199">
        <v>23.193013180000001</v>
      </c>
      <c r="F40" s="199">
        <v>16.287799</v>
      </c>
      <c r="G40" s="199">
        <v>65</v>
      </c>
      <c r="H40" s="199">
        <v>7</v>
      </c>
      <c r="I40" s="199"/>
      <c r="J40" s="199"/>
      <c r="K40" s="199">
        <v>1.80905502804</v>
      </c>
      <c r="L40" s="199">
        <v>11.401459299999999</v>
      </c>
      <c r="M40" s="199">
        <v>8.5824635294117643E-2</v>
      </c>
      <c r="N40" s="199"/>
      <c r="O40" s="199"/>
      <c r="P40" s="199">
        <v>13.296338963334117</v>
      </c>
    </row>
    <row r="41" spans="2:16" x14ac:dyDescent="0.25">
      <c r="B41" s="17"/>
      <c r="C41" s="17" t="s">
        <v>1028</v>
      </c>
      <c r="D41" s="199">
        <v>5</v>
      </c>
      <c r="E41" s="199">
        <v>4.9981999999999999E-2</v>
      </c>
      <c r="F41" s="199">
        <v>2.9964999999999995E-2</v>
      </c>
      <c r="G41" s="199">
        <v>75</v>
      </c>
      <c r="H41" s="199">
        <v>7.3</v>
      </c>
      <c r="I41" s="199"/>
      <c r="J41" s="199"/>
      <c r="K41" s="199">
        <v>4.4983800000000006E-3</v>
      </c>
      <c r="L41" s="199">
        <v>2.1874449999999997E-2</v>
      </c>
      <c r="M41" s="199">
        <v>6.4499999999999996E-4</v>
      </c>
      <c r="N41" s="199"/>
      <c r="O41" s="199"/>
      <c r="P41" s="199">
        <v>2.7017829999999996E-2</v>
      </c>
    </row>
    <row r="42" spans="2:16" x14ac:dyDescent="0.25">
      <c r="B42" s="28" t="s">
        <v>786</v>
      </c>
      <c r="C42" s="28" t="s">
        <v>787</v>
      </c>
      <c r="D42" s="203">
        <v>6296</v>
      </c>
      <c r="E42" s="203">
        <v>1.4013218630023501E-2</v>
      </c>
      <c r="F42" s="203">
        <v>8.3373779999999993</v>
      </c>
      <c r="G42" s="203"/>
      <c r="H42" s="203"/>
      <c r="I42" s="203"/>
      <c r="J42" s="203"/>
      <c r="K42" s="203">
        <v>3.3631724712056401E-4</v>
      </c>
      <c r="L42" s="203">
        <v>3.3349511999999999</v>
      </c>
      <c r="M42" s="203">
        <v>0.37420180000000003</v>
      </c>
      <c r="N42" s="203">
        <v>0.4722124827528793</v>
      </c>
      <c r="O42" s="203">
        <v>0</v>
      </c>
      <c r="P42" s="203">
        <v>4.1817017999999999</v>
      </c>
    </row>
    <row r="43" spans="2:16" x14ac:dyDescent="0.25">
      <c r="B43" s="59" t="s">
        <v>1029</v>
      </c>
      <c r="C43" s="17" t="s">
        <v>1030</v>
      </c>
      <c r="D43" s="199">
        <v>6123</v>
      </c>
      <c r="E43" s="199">
        <v>1.363811169642128E-2</v>
      </c>
      <c r="F43" s="199">
        <v>7.97350714637692</v>
      </c>
      <c r="G43" s="199">
        <v>20</v>
      </c>
      <c r="H43" s="199">
        <v>4</v>
      </c>
      <c r="I43" s="199">
        <v>50</v>
      </c>
      <c r="J43" s="199"/>
      <c r="K43" s="199">
        <v>3.2731468071411067E-4</v>
      </c>
      <c r="L43" s="199">
        <v>3.1894028585507681</v>
      </c>
      <c r="M43" s="199">
        <v>0.36391957137865316</v>
      </c>
      <c r="N43" s="199">
        <v>0.4722124827528793</v>
      </c>
      <c r="O43" s="199"/>
      <c r="P43" s="199">
        <v>4.0258622273630147</v>
      </c>
    </row>
    <row r="44" spans="2:16" x14ac:dyDescent="0.25">
      <c r="B44" s="59" t="s">
        <v>1031</v>
      </c>
      <c r="C44" s="17" t="s">
        <v>1032</v>
      </c>
      <c r="D44" s="199">
        <v>173</v>
      </c>
      <c r="E44" s="199">
        <v>3.7510693360222217E-4</v>
      </c>
      <c r="F44" s="199">
        <v>0.36387085362307958</v>
      </c>
      <c r="G44" s="199">
        <v>20</v>
      </c>
      <c r="H44" s="199">
        <v>4</v>
      </c>
      <c r="I44" s="199">
        <v>50</v>
      </c>
      <c r="J44" s="199"/>
      <c r="K44" s="199">
        <v>9.0025664064533315E-6</v>
      </c>
      <c r="L44" s="199">
        <v>0.14554834144923184</v>
      </c>
      <c r="M44" s="199">
        <v>1.0282228621346888E-2</v>
      </c>
      <c r="N44" s="199"/>
      <c r="O44" s="199"/>
      <c r="P44" s="199">
        <v>0.1558395726369852</v>
      </c>
    </row>
    <row r="45" spans="2:16" x14ac:dyDescent="0.25">
      <c r="B45" s="28" t="s">
        <v>788</v>
      </c>
      <c r="C45" s="28" t="s">
        <v>1033</v>
      </c>
      <c r="D45" s="203">
        <v>1285533</v>
      </c>
      <c r="E45" s="203">
        <v>6522713.8832366457</v>
      </c>
      <c r="F45" s="203">
        <v>7868.0185999999994</v>
      </c>
      <c r="G45" s="203"/>
      <c r="H45" s="203"/>
      <c r="I45" s="203"/>
      <c r="J45" s="203"/>
      <c r="K45" s="203">
        <v>6.0060000000000002E-2</v>
      </c>
      <c r="L45" s="203">
        <v>1.0399792000000001</v>
      </c>
      <c r="M45" s="203">
        <v>46.825720378000007</v>
      </c>
      <c r="N45" s="203">
        <v>0.43616079999999613</v>
      </c>
      <c r="O45" s="203">
        <v>0</v>
      </c>
      <c r="P45" s="203">
        <v>48.361920378000008</v>
      </c>
    </row>
    <row r="46" spans="2:16" x14ac:dyDescent="0.25">
      <c r="B46" s="59" t="s">
        <v>1034</v>
      </c>
      <c r="C46" s="17" t="s">
        <v>935</v>
      </c>
      <c r="D46" s="199">
        <v>0</v>
      </c>
      <c r="E46" s="199">
        <v>0</v>
      </c>
      <c r="F46" s="199">
        <v>0</v>
      </c>
      <c r="G46" s="199"/>
      <c r="H46" s="199">
        <v>2.5</v>
      </c>
      <c r="I46" s="199">
        <v>30</v>
      </c>
      <c r="J46" s="199"/>
      <c r="K46" s="199">
        <v>0</v>
      </c>
      <c r="L46" s="199">
        <v>0</v>
      </c>
      <c r="M46" s="199">
        <v>0</v>
      </c>
      <c r="N46" s="199">
        <v>0</v>
      </c>
      <c r="O46" s="199"/>
      <c r="P46" s="199">
        <v>0</v>
      </c>
    </row>
    <row r="47" spans="2:16" x14ac:dyDescent="0.25">
      <c r="B47" s="17"/>
      <c r="C47" s="17" t="s">
        <v>1035</v>
      </c>
      <c r="D47" s="199">
        <v>1285213</v>
      </c>
      <c r="E47" s="199">
        <v>6520211.3832366457</v>
      </c>
      <c r="F47" s="199">
        <v>7865.4186519999994</v>
      </c>
      <c r="G47" s="199"/>
      <c r="H47" s="199"/>
      <c r="I47" s="199">
        <v>30</v>
      </c>
      <c r="J47" s="199"/>
      <c r="K47" s="199">
        <v>0</v>
      </c>
      <c r="L47" s="199">
        <v>0</v>
      </c>
      <c r="M47" s="199">
        <v>46.81406433298136</v>
      </c>
      <c r="N47" s="199">
        <v>0.43616079999999613</v>
      </c>
      <c r="O47" s="199"/>
      <c r="P47" s="199">
        <v>47.250225132981356</v>
      </c>
    </row>
    <row r="48" spans="2:16" x14ac:dyDescent="0.25">
      <c r="B48" s="59" t="s">
        <v>1036</v>
      </c>
      <c r="C48" s="28" t="s">
        <v>498</v>
      </c>
      <c r="D48" s="203">
        <v>320</v>
      </c>
      <c r="E48" s="203">
        <v>2502.5</v>
      </c>
      <c r="F48" s="203">
        <v>2.5999480000000004</v>
      </c>
      <c r="G48" s="203"/>
      <c r="H48" s="203"/>
      <c r="I48" s="203"/>
      <c r="J48" s="203"/>
      <c r="K48" s="203">
        <v>6.0060000000000002E-2</v>
      </c>
      <c r="L48" s="203">
        <v>1.0399792000000001</v>
      </c>
      <c r="M48" s="203">
        <v>1.1656045018649853E-2</v>
      </c>
      <c r="N48" s="203">
        <v>0</v>
      </c>
      <c r="O48" s="203">
        <v>0</v>
      </c>
      <c r="P48" s="199">
        <v>1.1116952450186499</v>
      </c>
    </row>
    <row r="49" spans="2:16" x14ac:dyDescent="0.25">
      <c r="B49" s="17"/>
      <c r="C49" s="17" t="s">
        <v>1037</v>
      </c>
      <c r="D49" s="199">
        <v>320</v>
      </c>
      <c r="E49" s="199">
        <v>2502.5</v>
      </c>
      <c r="F49" s="199">
        <v>2.5999480000000004</v>
      </c>
      <c r="G49" s="199">
        <v>20</v>
      </c>
      <c r="H49" s="199">
        <v>4</v>
      </c>
      <c r="I49" s="199">
        <v>30</v>
      </c>
      <c r="J49" s="199"/>
      <c r="K49" s="199">
        <v>6.0060000000000002E-2</v>
      </c>
      <c r="L49" s="199">
        <v>1.0399792000000001</v>
      </c>
      <c r="M49" s="199">
        <v>1.1656045018649853E-2</v>
      </c>
      <c r="N49" s="199"/>
      <c r="O49" s="199"/>
      <c r="P49" s="199">
        <v>1.1116952450186499</v>
      </c>
    </row>
    <row r="50" spans="2:16" x14ac:dyDescent="0.25">
      <c r="B50" s="28" t="s">
        <v>789</v>
      </c>
      <c r="C50" s="28" t="s">
        <v>1038</v>
      </c>
      <c r="D50" s="203">
        <v>77301</v>
      </c>
      <c r="E50" s="203"/>
      <c r="F50" s="203">
        <v>354.78892999999999</v>
      </c>
      <c r="G50" s="203"/>
      <c r="H50" s="203"/>
      <c r="I50" s="203"/>
      <c r="J50" s="203"/>
      <c r="K50" s="203">
        <v>8.260096677111239</v>
      </c>
      <c r="L50" s="203">
        <v>233.78456593857607</v>
      </c>
      <c r="M50" s="203">
        <v>11.454546499999998</v>
      </c>
      <c r="N50" s="203">
        <v>6.4074373843127148</v>
      </c>
      <c r="O50" s="203">
        <v>0</v>
      </c>
      <c r="P50" s="203">
        <v>259.90664650000002</v>
      </c>
    </row>
    <row r="51" spans="2:16" x14ac:dyDescent="0.25">
      <c r="B51" s="59" t="s">
        <v>1039</v>
      </c>
      <c r="C51" s="28" t="s">
        <v>1040</v>
      </c>
      <c r="D51" s="203">
        <v>45462</v>
      </c>
      <c r="E51" s="203">
        <v>83.99148726092487</v>
      </c>
      <c r="F51" s="203">
        <v>126.54691175610527</v>
      </c>
      <c r="G51" s="203">
        <v>96</v>
      </c>
      <c r="H51" s="203">
        <v>22.799999999999997</v>
      </c>
      <c r="I51" s="203">
        <v>360</v>
      </c>
      <c r="J51" s="203">
        <v>0</v>
      </c>
      <c r="K51" s="203">
        <v>3.225273110819515</v>
      </c>
      <c r="L51" s="203">
        <v>93.414344387683343</v>
      </c>
      <c r="M51" s="203">
        <v>7.3559961475337969</v>
      </c>
      <c r="N51" s="203">
        <v>6.4074373843127148</v>
      </c>
      <c r="O51" s="203">
        <v>0</v>
      </c>
      <c r="P51" s="203">
        <v>110.40305103034937</v>
      </c>
    </row>
    <row r="52" spans="2:16" x14ac:dyDescent="0.25">
      <c r="B52" s="17"/>
      <c r="C52" s="17" t="s">
        <v>1041</v>
      </c>
      <c r="D52" s="199">
        <v>33780</v>
      </c>
      <c r="E52" s="199">
        <v>55.480519260924879</v>
      </c>
      <c r="F52" s="199">
        <v>78.16772958546008</v>
      </c>
      <c r="G52" s="199">
        <v>32</v>
      </c>
      <c r="H52" s="199">
        <v>7.1</v>
      </c>
      <c r="I52" s="199">
        <v>120</v>
      </c>
      <c r="J52" s="199"/>
      <c r="K52" s="199">
        <v>2.130451939619515</v>
      </c>
      <c r="L52" s="199">
        <v>55.499088005676654</v>
      </c>
      <c r="M52" s="199">
        <v>5.8522031509726569</v>
      </c>
      <c r="N52" s="199">
        <v>6.4074373843127148</v>
      </c>
      <c r="O52" s="199"/>
      <c r="P52" s="199">
        <v>69.88918048058153</v>
      </c>
    </row>
    <row r="53" spans="2:16" x14ac:dyDescent="0.25">
      <c r="B53" s="17"/>
      <c r="C53" s="17" t="s">
        <v>1042</v>
      </c>
      <c r="D53" s="199">
        <v>6161</v>
      </c>
      <c r="E53" s="199">
        <v>13.894729999999997</v>
      </c>
      <c r="F53" s="199">
        <v>25.437623524318173</v>
      </c>
      <c r="G53" s="199">
        <v>32</v>
      </c>
      <c r="H53" s="199">
        <v>7.6</v>
      </c>
      <c r="I53" s="199">
        <v>120</v>
      </c>
      <c r="J53" s="199"/>
      <c r="K53" s="199">
        <v>0.53355763199999995</v>
      </c>
      <c r="L53" s="199">
        <v>19.332593878481809</v>
      </c>
      <c r="M53" s="199">
        <v>0.7930892528516682</v>
      </c>
      <c r="N53" s="199"/>
      <c r="O53" s="199"/>
      <c r="P53" s="199">
        <v>20.659240763333479</v>
      </c>
    </row>
    <row r="54" spans="2:16" x14ac:dyDescent="0.25">
      <c r="B54" s="17"/>
      <c r="C54" s="17" t="s">
        <v>1043</v>
      </c>
      <c r="D54" s="199">
        <v>5521</v>
      </c>
      <c r="E54" s="199">
        <v>14.616237999999999</v>
      </c>
      <c r="F54" s="199">
        <v>22.941558646327024</v>
      </c>
      <c r="G54" s="199">
        <v>32</v>
      </c>
      <c r="H54" s="199">
        <v>8.1</v>
      </c>
      <c r="I54" s="199">
        <v>120</v>
      </c>
      <c r="J54" s="199"/>
      <c r="K54" s="199">
        <v>0.56126353920000005</v>
      </c>
      <c r="L54" s="199">
        <v>18.58266250352489</v>
      </c>
      <c r="M54" s="199">
        <v>0.71070374370947242</v>
      </c>
      <c r="N54" s="199"/>
      <c r="O54" s="199"/>
      <c r="P54" s="199">
        <v>19.854629786434362</v>
      </c>
    </row>
    <row r="55" spans="2:16" x14ac:dyDescent="0.25">
      <c r="B55" s="59" t="s">
        <v>1044</v>
      </c>
      <c r="C55" s="28" t="s">
        <v>1045</v>
      </c>
      <c r="D55" s="203">
        <v>31839</v>
      </c>
      <c r="E55" s="206">
        <v>131115.19703884702</v>
      </c>
      <c r="F55" s="203">
        <v>228.24201824389473</v>
      </c>
      <c r="G55" s="203"/>
      <c r="H55" s="203"/>
      <c r="I55" s="203"/>
      <c r="J55" s="203"/>
      <c r="K55" s="203">
        <v>5.0348235662917249</v>
      </c>
      <c r="L55" s="203">
        <v>140.37022155089272</v>
      </c>
      <c r="M55" s="203">
        <v>4.0985503524662006</v>
      </c>
      <c r="N55" s="203">
        <v>0</v>
      </c>
      <c r="O55" s="203">
        <v>0</v>
      </c>
      <c r="P55" s="203">
        <v>149.50359546965066</v>
      </c>
    </row>
    <row r="56" spans="2:16" x14ac:dyDescent="0.25">
      <c r="B56" s="17"/>
      <c r="C56" s="17" t="s">
        <v>1041</v>
      </c>
      <c r="D56" s="199">
        <v>27324</v>
      </c>
      <c r="E56" s="199">
        <v>111312.04503884701</v>
      </c>
      <c r="F56" s="199">
        <v>200.48123364886283</v>
      </c>
      <c r="G56" s="199">
        <v>32</v>
      </c>
      <c r="H56" s="199">
        <v>6</v>
      </c>
      <c r="I56" s="199">
        <v>120</v>
      </c>
      <c r="J56" s="199"/>
      <c r="K56" s="199">
        <v>4.2743825294917253</v>
      </c>
      <c r="L56" s="199">
        <v>120.28874018931769</v>
      </c>
      <c r="M56" s="199">
        <v>3.5173463309396173</v>
      </c>
      <c r="N56" s="199"/>
      <c r="O56" s="199"/>
      <c r="P56" s="199">
        <v>128.08046904974904</v>
      </c>
    </row>
    <row r="57" spans="2:16" x14ac:dyDescent="0.25">
      <c r="B57" s="17"/>
      <c r="C57" s="17" t="s">
        <v>1042</v>
      </c>
      <c r="D57" s="199">
        <v>3164</v>
      </c>
      <c r="E57" s="199">
        <v>13230.410000000002</v>
      </c>
      <c r="F57" s="199">
        <v>20.334298612984394</v>
      </c>
      <c r="G57" s="199">
        <v>32</v>
      </c>
      <c r="H57" s="199">
        <v>7.1</v>
      </c>
      <c r="I57" s="199">
        <v>120</v>
      </c>
      <c r="J57" s="199"/>
      <c r="K57" s="199">
        <v>0.50804774400000008</v>
      </c>
      <c r="L57" s="199">
        <v>14.43735201521892</v>
      </c>
      <c r="M57" s="199">
        <v>0.40729336082172996</v>
      </c>
      <c r="N57" s="199"/>
      <c r="O57" s="199"/>
      <c r="P57" s="199">
        <v>15.352693120040652</v>
      </c>
    </row>
    <row r="58" spans="2:16" x14ac:dyDescent="0.25">
      <c r="B58" s="17"/>
      <c r="C58" s="17" t="s">
        <v>1043</v>
      </c>
      <c r="D58" s="199">
        <v>1351</v>
      </c>
      <c r="E58" s="199">
        <v>6572.7420000000002</v>
      </c>
      <c r="F58" s="199">
        <v>7.4264859820475193</v>
      </c>
      <c r="G58" s="199">
        <v>32</v>
      </c>
      <c r="H58" s="199">
        <v>7.6</v>
      </c>
      <c r="I58" s="199">
        <v>120</v>
      </c>
      <c r="J58" s="199"/>
      <c r="K58" s="199">
        <v>0.25239329280000006</v>
      </c>
      <c r="L58" s="199">
        <v>5.6441293463561149</v>
      </c>
      <c r="M58" s="199">
        <v>0.1739106607048537</v>
      </c>
      <c r="N58" s="199"/>
      <c r="O58" s="199"/>
      <c r="P58" s="199">
        <v>6.0704332998609685</v>
      </c>
    </row>
    <row r="59" spans="2:16" x14ac:dyDescent="0.25">
      <c r="B59" s="28" t="s">
        <v>791</v>
      </c>
      <c r="C59" s="28" t="s">
        <v>185</v>
      </c>
      <c r="D59" s="203">
        <v>23766</v>
      </c>
      <c r="E59" s="203">
        <v>55.958346309652683</v>
      </c>
      <c r="F59" s="203">
        <v>58.652121999999991</v>
      </c>
      <c r="G59" s="203"/>
      <c r="H59" s="203"/>
      <c r="I59" s="203"/>
      <c r="J59" s="203"/>
      <c r="K59" s="203">
        <v>1.4101503270032478</v>
      </c>
      <c r="L59" s="203">
        <v>47.323803861674662</v>
      </c>
      <c r="M59" s="203">
        <v>2.8942645000000002</v>
      </c>
      <c r="N59" s="203">
        <v>1.127545811322086</v>
      </c>
      <c r="O59" s="203">
        <v>0</v>
      </c>
      <c r="P59" s="203">
        <v>52.755764499999991</v>
      </c>
    </row>
    <row r="60" spans="2:16" x14ac:dyDescent="0.25">
      <c r="B60" s="59" t="s">
        <v>1046</v>
      </c>
      <c r="C60" s="28" t="s">
        <v>185</v>
      </c>
      <c r="D60" s="203">
        <v>18165</v>
      </c>
      <c r="E60" s="199">
        <v>45.380960309652679</v>
      </c>
      <c r="F60" s="199">
        <v>49.743702241398907</v>
      </c>
      <c r="G60" s="199">
        <v>21</v>
      </c>
      <c r="H60" s="199">
        <v>8.3000000000000007</v>
      </c>
      <c r="I60" s="199">
        <v>100</v>
      </c>
      <c r="J60" s="199"/>
      <c r="K60" s="199">
        <v>1.1436001998032477</v>
      </c>
      <c r="L60" s="199">
        <v>41.287272860361092</v>
      </c>
      <c r="M60" s="199">
        <v>2.2121650527013386</v>
      </c>
      <c r="N60" s="199">
        <v>1.127545811322086</v>
      </c>
      <c r="O60" s="199"/>
      <c r="P60" s="199">
        <v>45.770583924187761</v>
      </c>
    </row>
    <row r="61" spans="2:16" x14ac:dyDescent="0.25">
      <c r="B61" s="59" t="s">
        <v>1047</v>
      </c>
      <c r="C61" s="28" t="s">
        <v>199</v>
      </c>
      <c r="D61" s="203">
        <v>5601</v>
      </c>
      <c r="E61" s="203">
        <v>10.577386000000001</v>
      </c>
      <c r="F61" s="203">
        <v>8.9084197586010827</v>
      </c>
      <c r="G61" s="203"/>
      <c r="H61" s="203"/>
      <c r="I61" s="203"/>
      <c r="J61" s="203"/>
      <c r="K61" s="203">
        <v>0.26655012720000004</v>
      </c>
      <c r="L61" s="203">
        <v>6.0365310013135662</v>
      </c>
      <c r="M61" s="203">
        <v>0.6820994472986619</v>
      </c>
      <c r="N61" s="203">
        <v>0</v>
      </c>
      <c r="O61" s="203">
        <v>0</v>
      </c>
      <c r="P61" s="203">
        <v>6.9851805758122278</v>
      </c>
    </row>
    <row r="62" spans="2:16" x14ac:dyDescent="0.25">
      <c r="B62" s="17"/>
      <c r="C62" s="17" t="s">
        <v>1048</v>
      </c>
      <c r="D62" s="199">
        <v>4064</v>
      </c>
      <c r="E62" s="199">
        <v>4.0228149999999996</v>
      </c>
      <c r="F62" s="199">
        <v>3.3227138284531943</v>
      </c>
      <c r="G62" s="199">
        <v>21</v>
      </c>
      <c r="H62" s="199">
        <v>6.4</v>
      </c>
      <c r="I62" s="199">
        <v>100</v>
      </c>
      <c r="J62" s="199"/>
      <c r="K62" s="199">
        <v>0.101374938</v>
      </c>
      <c r="L62" s="199">
        <v>2.1265368502100443</v>
      </c>
      <c r="M62" s="199">
        <v>0.49492093444416391</v>
      </c>
      <c r="N62" s="199"/>
      <c r="O62" s="199"/>
      <c r="P62" s="199">
        <v>2.7228327226542084</v>
      </c>
    </row>
    <row r="63" spans="2:16" x14ac:dyDescent="0.25">
      <c r="B63" s="17"/>
      <c r="C63" s="17" t="s">
        <v>1049</v>
      </c>
      <c r="D63" s="199">
        <v>1537</v>
      </c>
      <c r="E63" s="199">
        <v>6.5545710000000001</v>
      </c>
      <c r="F63" s="199">
        <v>5.5857059301478884</v>
      </c>
      <c r="G63" s="199">
        <v>21</v>
      </c>
      <c r="H63" s="199">
        <v>7</v>
      </c>
      <c r="I63" s="199">
        <v>100</v>
      </c>
      <c r="J63" s="199"/>
      <c r="K63" s="199">
        <v>0.16517518920000002</v>
      </c>
      <c r="L63" s="199">
        <v>3.9099941511035219</v>
      </c>
      <c r="M63" s="199">
        <v>0.18717851285449799</v>
      </c>
      <c r="N63" s="199"/>
      <c r="O63" s="199"/>
      <c r="P63" s="199">
        <v>4.2623478531580199</v>
      </c>
    </row>
    <row r="64" spans="2:16" x14ac:dyDescent="0.25">
      <c r="B64" s="28" t="s">
        <v>1050</v>
      </c>
      <c r="C64" s="28" t="s">
        <v>187</v>
      </c>
      <c r="D64" s="203">
        <v>3008</v>
      </c>
      <c r="E64" s="199">
        <v>12.218793004416405</v>
      </c>
      <c r="F64" s="199">
        <v>10.290667000000003</v>
      </c>
      <c r="G64" s="199">
        <v>21</v>
      </c>
      <c r="H64" s="199">
        <v>12</v>
      </c>
      <c r="I64" s="199">
        <v>100</v>
      </c>
      <c r="J64" s="199"/>
      <c r="K64" s="199">
        <v>0.30791358371129346</v>
      </c>
      <c r="L64" s="199">
        <v>12.348800400000004</v>
      </c>
      <c r="M64" s="199">
        <v>0.34008861800000001</v>
      </c>
      <c r="N64" s="199">
        <v>4.8941860162887014</v>
      </c>
      <c r="O64" s="199">
        <v>0</v>
      </c>
      <c r="P64" s="199">
        <v>17.890988617999998</v>
      </c>
    </row>
    <row r="65" spans="2:16" x14ac:dyDescent="0.25">
      <c r="B65" s="17" t="s">
        <v>793</v>
      </c>
      <c r="C65" s="28" t="s">
        <v>1051</v>
      </c>
      <c r="D65" s="203">
        <v>29</v>
      </c>
      <c r="E65" s="199">
        <v>0.95</v>
      </c>
      <c r="F65" s="199">
        <v>2.2508E-2</v>
      </c>
      <c r="G65" s="199">
        <v>50</v>
      </c>
      <c r="H65" s="199">
        <v>6</v>
      </c>
      <c r="I65" s="199">
        <v>120</v>
      </c>
      <c r="J65" s="199"/>
      <c r="K65" s="199">
        <v>5.7000000000000002E-2</v>
      </c>
      <c r="L65" s="199">
        <v>1.3504800000000001E-2</v>
      </c>
      <c r="M65" s="199">
        <v>1.902E-3</v>
      </c>
      <c r="N65" s="199">
        <v>-2.6404800000000006E-2</v>
      </c>
      <c r="O65" s="199">
        <v>0</v>
      </c>
      <c r="P65" s="199">
        <v>4.6002000000000001E-2</v>
      </c>
    </row>
    <row r="66" spans="2:16" x14ac:dyDescent="0.25">
      <c r="B66" s="17"/>
      <c r="C66" s="28" t="s">
        <v>1052</v>
      </c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>
        <v>0</v>
      </c>
    </row>
    <row r="67" spans="2:16" x14ac:dyDescent="0.25">
      <c r="B67" s="17"/>
      <c r="C67" s="17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>
        <v>0</v>
      </c>
    </row>
    <row r="68" spans="2:16" x14ac:dyDescent="0.25">
      <c r="B68" s="205" t="s">
        <v>1053</v>
      </c>
      <c r="C68" s="205" t="s">
        <v>1054</v>
      </c>
      <c r="D68" s="200">
        <v>5818679</v>
      </c>
      <c r="E68" s="200">
        <v>6528568.2634239178</v>
      </c>
      <c r="F68" s="200">
        <v>13304.116622799998</v>
      </c>
      <c r="G68" s="200"/>
      <c r="H68" s="200"/>
      <c r="I68" s="200"/>
      <c r="J68" s="200"/>
      <c r="K68" s="200">
        <v>181.19037848976515</v>
      </c>
      <c r="L68" s="200">
        <v>2829.463987799098</v>
      </c>
      <c r="M68" s="200">
        <v>427.067324633</v>
      </c>
      <c r="N68" s="200">
        <v>71.680033711137312</v>
      </c>
      <c r="O68" s="200">
        <v>0</v>
      </c>
      <c r="P68" s="200">
        <v>3509.4017246330004</v>
      </c>
    </row>
    <row r="69" spans="2:16" x14ac:dyDescent="0.25">
      <c r="B69" s="17"/>
      <c r="C69" s="17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</row>
    <row r="70" spans="2:16" x14ac:dyDescent="0.25">
      <c r="B70" s="753" t="s">
        <v>799</v>
      </c>
      <c r="C70" s="754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</row>
    <row r="71" spans="2:16" x14ac:dyDescent="0.25">
      <c r="B71" s="204" t="s">
        <v>1055</v>
      </c>
      <c r="C71" s="204" t="s">
        <v>1055</v>
      </c>
      <c r="D71" s="203">
        <v>3362</v>
      </c>
      <c r="E71" s="203">
        <v>1246.0109499999999</v>
      </c>
      <c r="F71" s="203">
        <v>2455.20255671</v>
      </c>
      <c r="G71" s="203"/>
      <c r="H71" s="203"/>
      <c r="I71" s="203"/>
      <c r="J71" s="203"/>
      <c r="K71" s="203">
        <v>270.81253562249992</v>
      </c>
      <c r="L71" s="203">
        <v>1597.6948613551281</v>
      </c>
      <c r="M71" s="203">
        <v>7.8884110789999999</v>
      </c>
      <c r="N71" s="203">
        <v>48.74713992953501</v>
      </c>
      <c r="O71" s="203">
        <v>0</v>
      </c>
      <c r="P71" s="203">
        <v>1925.1429479861631</v>
      </c>
    </row>
    <row r="72" spans="2:16" x14ac:dyDescent="0.25">
      <c r="B72" s="17" t="s">
        <v>192</v>
      </c>
      <c r="C72" s="17" t="s">
        <v>1056</v>
      </c>
      <c r="D72" s="199">
        <v>1555</v>
      </c>
      <c r="E72" s="199">
        <v>400.78924999999998</v>
      </c>
      <c r="F72" s="199">
        <v>297.42744069290313</v>
      </c>
      <c r="G72" s="199">
        <v>475</v>
      </c>
      <c r="H72" s="199">
        <v>7.65</v>
      </c>
      <c r="I72" s="199">
        <v>2000</v>
      </c>
      <c r="J72" s="199"/>
      <c r="K72" s="199">
        <v>186.18664608749995</v>
      </c>
      <c r="L72" s="199">
        <v>227.53199213007093</v>
      </c>
      <c r="M72" s="199">
        <v>3.6690894630000011</v>
      </c>
      <c r="N72" s="199">
        <v>41.620282338528909</v>
      </c>
      <c r="O72" s="199"/>
      <c r="P72" s="199">
        <v>459.00801001909974</v>
      </c>
    </row>
    <row r="73" spans="2:16" x14ac:dyDescent="0.25">
      <c r="B73" s="17"/>
      <c r="C73" s="17" t="s">
        <v>1057</v>
      </c>
      <c r="D73" s="199"/>
      <c r="E73" s="199"/>
      <c r="F73" s="199"/>
      <c r="G73" s="199"/>
      <c r="H73" s="199">
        <v>7.65</v>
      </c>
      <c r="I73" s="199">
        <v>2000</v>
      </c>
      <c r="J73" s="199"/>
      <c r="K73" s="199" t="s">
        <v>1058</v>
      </c>
      <c r="L73" s="199"/>
      <c r="M73" s="199" t="s">
        <v>1058</v>
      </c>
      <c r="N73" s="199"/>
      <c r="O73" s="199" t="s">
        <v>1058</v>
      </c>
      <c r="P73" s="199">
        <v>0</v>
      </c>
    </row>
    <row r="74" spans="2:16" x14ac:dyDescent="0.25">
      <c r="B74" s="17"/>
      <c r="C74" s="17" t="s">
        <v>928</v>
      </c>
      <c r="D74" s="199">
        <v>15</v>
      </c>
      <c r="E74" s="199">
        <v>4.7190000000000003</v>
      </c>
      <c r="F74" s="199">
        <v>4.9738539999999993</v>
      </c>
      <c r="G74" s="199">
        <v>475</v>
      </c>
      <c r="H74" s="199">
        <v>7.65</v>
      </c>
      <c r="I74" s="199">
        <v>2000</v>
      </c>
      <c r="J74" s="199"/>
      <c r="K74" s="199">
        <v>2.1518640000000002</v>
      </c>
      <c r="L74" s="199">
        <v>3.8049983099999998</v>
      </c>
      <c r="M74" s="199">
        <v>3.8399999999999997E-2</v>
      </c>
      <c r="N74" s="199"/>
      <c r="O74" s="199"/>
      <c r="P74" s="199">
        <v>5.9952623100000002</v>
      </c>
    </row>
    <row r="75" spans="2:16" x14ac:dyDescent="0.25">
      <c r="B75" s="17"/>
      <c r="C75" s="17" t="s">
        <v>1059</v>
      </c>
      <c r="D75" s="199"/>
      <c r="E75" s="199"/>
      <c r="F75" s="199">
        <v>2.3473970000000004</v>
      </c>
      <c r="G75" s="199"/>
      <c r="H75" s="199">
        <v>8.65</v>
      </c>
      <c r="I75" s="199"/>
      <c r="J75" s="199"/>
      <c r="K75" s="199">
        <v>0</v>
      </c>
      <c r="L75" s="199">
        <v>2.0304984050000003</v>
      </c>
      <c r="M75" s="199"/>
      <c r="N75" s="199"/>
      <c r="O75" s="199"/>
      <c r="P75" s="199">
        <v>2.0304984050000003</v>
      </c>
    </row>
    <row r="76" spans="2:16" x14ac:dyDescent="0.25">
      <c r="B76" s="17"/>
      <c r="C76" s="17" t="s">
        <v>1060</v>
      </c>
      <c r="D76" s="199"/>
      <c r="E76" s="199"/>
      <c r="F76" s="199">
        <v>2.1719519999999997</v>
      </c>
      <c r="G76" s="199"/>
      <c r="H76" s="199">
        <v>8.65</v>
      </c>
      <c r="I76" s="199"/>
      <c r="J76" s="199"/>
      <c r="K76" s="199">
        <v>0</v>
      </c>
      <c r="L76" s="199">
        <v>1.8787384799999998</v>
      </c>
      <c r="M76" s="199"/>
      <c r="N76" s="199"/>
      <c r="O76" s="199"/>
      <c r="P76" s="199">
        <v>1.8787384799999998</v>
      </c>
    </row>
    <row r="77" spans="2:16" x14ac:dyDescent="0.25">
      <c r="B77" s="17"/>
      <c r="C77" s="17" t="s">
        <v>1061</v>
      </c>
      <c r="D77" s="199"/>
      <c r="E77" s="199"/>
      <c r="F77" s="199">
        <v>4.0595550000000005</v>
      </c>
      <c r="G77" s="199"/>
      <c r="H77" s="199">
        <v>6.65</v>
      </c>
      <c r="I77" s="199"/>
      <c r="J77" s="199"/>
      <c r="K77" s="199">
        <v>0</v>
      </c>
      <c r="L77" s="199">
        <v>2.6996040750000008</v>
      </c>
      <c r="M77" s="199"/>
      <c r="N77" s="199"/>
      <c r="O77" s="199"/>
      <c r="P77" s="199">
        <v>2.6996040750000008</v>
      </c>
    </row>
    <row r="78" spans="2:16" x14ac:dyDescent="0.25">
      <c r="B78" s="17"/>
      <c r="C78" s="17" t="s">
        <v>1062</v>
      </c>
      <c r="D78" s="199"/>
      <c r="E78" s="199"/>
      <c r="F78" s="199"/>
      <c r="G78" s="199"/>
      <c r="H78" s="199">
        <v>7.3</v>
      </c>
      <c r="I78" s="199">
        <v>2000</v>
      </c>
      <c r="J78" s="199"/>
      <c r="K78" s="199">
        <v>0</v>
      </c>
      <c r="L78" s="199">
        <v>0</v>
      </c>
      <c r="M78" s="199"/>
      <c r="N78" s="199"/>
      <c r="O78" s="199"/>
      <c r="P78" s="199">
        <v>0</v>
      </c>
    </row>
    <row r="79" spans="2:16" x14ac:dyDescent="0.25">
      <c r="B79" s="17"/>
      <c r="C79" s="17" t="s">
        <v>1063</v>
      </c>
      <c r="D79" s="199"/>
      <c r="E79" s="199"/>
      <c r="F79" s="199"/>
      <c r="G79" s="199">
        <v>475</v>
      </c>
      <c r="H79" s="199">
        <v>8.6</v>
      </c>
      <c r="I79" s="199">
        <v>2000</v>
      </c>
      <c r="J79" s="199"/>
      <c r="K79" s="199">
        <v>0</v>
      </c>
      <c r="L79" s="199">
        <v>0</v>
      </c>
      <c r="M79" s="199"/>
      <c r="N79" s="199"/>
      <c r="O79" s="199"/>
      <c r="P79" s="199">
        <v>0</v>
      </c>
    </row>
    <row r="80" spans="2:16" x14ac:dyDescent="0.25">
      <c r="B80" s="17" t="s">
        <v>1064</v>
      </c>
      <c r="C80" s="17" t="s">
        <v>1065</v>
      </c>
      <c r="D80" s="199">
        <v>741</v>
      </c>
      <c r="E80" s="199">
        <v>92.429000000000002</v>
      </c>
      <c r="F80" s="199">
        <v>187.61453700000001</v>
      </c>
      <c r="G80" s="199">
        <v>100</v>
      </c>
      <c r="H80" s="199">
        <v>8</v>
      </c>
      <c r="I80" s="199">
        <v>2000</v>
      </c>
      <c r="J80" s="199"/>
      <c r="K80" s="199">
        <v>8.8731840000000002</v>
      </c>
      <c r="L80" s="199">
        <v>150.0916296</v>
      </c>
      <c r="M80" s="199">
        <v>1.7784</v>
      </c>
      <c r="N80" s="199"/>
      <c r="O80" s="199"/>
      <c r="P80" s="199">
        <v>160.74321360000002</v>
      </c>
    </row>
    <row r="81" spans="2:16" x14ac:dyDescent="0.25">
      <c r="B81" s="17"/>
      <c r="C81" s="17" t="s">
        <v>1066</v>
      </c>
      <c r="D81" s="199"/>
      <c r="E81" s="199"/>
      <c r="F81" s="199">
        <v>133.26652157000001</v>
      </c>
      <c r="G81" s="199"/>
      <c r="H81" s="199">
        <v>8.65</v>
      </c>
      <c r="I81" s="199"/>
      <c r="J81" s="199"/>
      <c r="K81" s="199">
        <v>0</v>
      </c>
      <c r="L81" s="199">
        <v>115.27554115805</v>
      </c>
      <c r="M81" s="199"/>
      <c r="N81" s="199"/>
      <c r="O81" s="199"/>
      <c r="P81" s="199">
        <v>115.27554115805</v>
      </c>
    </row>
    <row r="82" spans="2:16" x14ac:dyDescent="0.25">
      <c r="B82" s="17"/>
      <c r="C82" s="17" t="s">
        <v>1067</v>
      </c>
      <c r="D82" s="199"/>
      <c r="E82" s="199"/>
      <c r="F82" s="199">
        <v>124.80945473000001</v>
      </c>
      <c r="G82" s="199"/>
      <c r="H82" s="199">
        <v>8.65</v>
      </c>
      <c r="I82" s="199"/>
      <c r="J82" s="199"/>
      <c r="K82" s="199">
        <v>0</v>
      </c>
      <c r="L82" s="199">
        <v>107.96017834145002</v>
      </c>
      <c r="M82" s="199"/>
      <c r="N82" s="199"/>
      <c r="O82" s="199"/>
      <c r="P82" s="199">
        <v>107.96017834145002</v>
      </c>
    </row>
    <row r="83" spans="2:16" x14ac:dyDescent="0.25">
      <c r="B83" s="17"/>
      <c r="C83" s="17" t="s">
        <v>1068</v>
      </c>
      <c r="D83" s="199"/>
      <c r="E83" s="199"/>
      <c r="F83" s="199">
        <v>251.43966569</v>
      </c>
      <c r="G83" s="199"/>
      <c r="H83" s="199">
        <v>6.65</v>
      </c>
      <c r="I83" s="199"/>
      <c r="J83" s="199"/>
      <c r="K83" s="199">
        <v>0</v>
      </c>
      <c r="L83" s="199">
        <v>167.20737768385001</v>
      </c>
      <c r="M83" s="199"/>
      <c r="N83" s="199"/>
      <c r="O83" s="199"/>
      <c r="P83" s="199">
        <v>167.20737768385001</v>
      </c>
    </row>
    <row r="84" spans="2:16" x14ac:dyDescent="0.25">
      <c r="B84" s="17" t="s">
        <v>194</v>
      </c>
      <c r="C84" s="17" t="s">
        <v>1069</v>
      </c>
      <c r="D84" s="199"/>
      <c r="E84" s="199"/>
      <c r="F84" s="199"/>
      <c r="G84" s="199">
        <v>475</v>
      </c>
      <c r="H84" s="199">
        <v>7.65</v>
      </c>
      <c r="I84" s="199">
        <v>2000</v>
      </c>
      <c r="J84" s="199"/>
      <c r="K84" s="199">
        <v>0</v>
      </c>
      <c r="L84" s="199">
        <v>0</v>
      </c>
      <c r="M84" s="199"/>
      <c r="N84" s="199"/>
      <c r="O84" s="199"/>
      <c r="P84" s="199">
        <v>0</v>
      </c>
    </row>
    <row r="85" spans="2:16" x14ac:dyDescent="0.25">
      <c r="B85" s="17" t="s">
        <v>196</v>
      </c>
      <c r="C85" s="17" t="s">
        <v>1070</v>
      </c>
      <c r="D85" s="199">
        <v>649</v>
      </c>
      <c r="E85" s="199">
        <v>106.51560000000001</v>
      </c>
      <c r="F85" s="199">
        <v>82.721374460000021</v>
      </c>
      <c r="G85" s="199">
        <v>475</v>
      </c>
      <c r="H85" s="199">
        <v>8.8000000000000007</v>
      </c>
      <c r="I85" s="199">
        <v>2000</v>
      </c>
      <c r="J85" s="199"/>
      <c r="K85" s="199">
        <v>49.178252520000001</v>
      </c>
      <c r="L85" s="199">
        <v>72.79480952480003</v>
      </c>
      <c r="M85" s="199">
        <v>1.4420744159999999</v>
      </c>
      <c r="N85" s="199">
        <v>0.64300204102775638</v>
      </c>
      <c r="O85" s="199">
        <v>0</v>
      </c>
      <c r="P85" s="199">
        <v>124.05813850182778</v>
      </c>
    </row>
    <row r="86" spans="2:16" x14ac:dyDescent="0.25">
      <c r="B86" s="17"/>
      <c r="C86" s="17" t="s">
        <v>1071</v>
      </c>
      <c r="D86" s="199"/>
      <c r="E86" s="199"/>
      <c r="F86" s="199">
        <v>39.525337609999994</v>
      </c>
      <c r="G86" s="199"/>
      <c r="H86" s="199">
        <v>9.8000000000000007</v>
      </c>
      <c r="I86" s="199"/>
      <c r="J86" s="199"/>
      <c r="K86" s="199">
        <v>0</v>
      </c>
      <c r="L86" s="199">
        <v>38.734830857799992</v>
      </c>
      <c r="M86" s="199">
        <v>0</v>
      </c>
      <c r="N86" s="199"/>
      <c r="O86" s="199">
        <v>0</v>
      </c>
      <c r="P86" s="199">
        <v>38.734830857799992</v>
      </c>
    </row>
    <row r="87" spans="2:16" x14ac:dyDescent="0.25">
      <c r="B87" s="17"/>
      <c r="C87" s="17" t="s">
        <v>1072</v>
      </c>
      <c r="D87" s="199"/>
      <c r="E87" s="199"/>
      <c r="F87" s="199">
        <v>22.413828469999999</v>
      </c>
      <c r="G87" s="199"/>
      <c r="H87" s="199">
        <v>9.8000000000000007</v>
      </c>
      <c r="I87" s="199"/>
      <c r="J87" s="199"/>
      <c r="K87" s="199">
        <v>0</v>
      </c>
      <c r="L87" s="199">
        <v>21.965551900599998</v>
      </c>
      <c r="M87" s="199">
        <v>0</v>
      </c>
      <c r="N87" s="199"/>
      <c r="O87" s="199">
        <v>0</v>
      </c>
      <c r="P87" s="199">
        <v>21.965551900599998</v>
      </c>
    </row>
    <row r="88" spans="2:16" x14ac:dyDescent="0.25">
      <c r="B88" s="17"/>
      <c r="C88" s="17" t="s">
        <v>1073</v>
      </c>
      <c r="D88" s="199"/>
      <c r="E88" s="199"/>
      <c r="F88" s="199">
        <v>42.156916650000007</v>
      </c>
      <c r="G88" s="199"/>
      <c r="H88" s="199">
        <v>7.8</v>
      </c>
      <c r="I88" s="199"/>
      <c r="J88" s="199"/>
      <c r="K88" s="199">
        <v>0</v>
      </c>
      <c r="L88" s="199">
        <v>32.882394987000005</v>
      </c>
      <c r="M88" s="199"/>
      <c r="N88" s="199"/>
      <c r="O88" s="199"/>
      <c r="P88" s="199">
        <v>32.882394987000005</v>
      </c>
    </row>
    <row r="89" spans="2:16" x14ac:dyDescent="0.25">
      <c r="B89" s="17" t="s">
        <v>198</v>
      </c>
      <c r="C89" s="17" t="s">
        <v>1074</v>
      </c>
      <c r="D89" s="162"/>
      <c r="E89" s="162"/>
      <c r="F89" s="162"/>
      <c r="G89" s="162"/>
      <c r="H89" s="162"/>
      <c r="I89" s="162"/>
      <c r="J89" s="199"/>
      <c r="K89" s="199"/>
      <c r="L89" s="199"/>
      <c r="M89" s="199"/>
      <c r="N89" s="199"/>
      <c r="O89" s="199"/>
      <c r="P89" s="199"/>
    </row>
    <row r="90" spans="2:16" ht="27.6" x14ac:dyDescent="0.25">
      <c r="B90" s="17"/>
      <c r="C90" s="54" t="s">
        <v>1075</v>
      </c>
      <c r="D90" s="162"/>
      <c r="E90" s="162"/>
      <c r="F90" s="162"/>
      <c r="G90" s="162"/>
      <c r="H90" s="162"/>
      <c r="I90" s="162"/>
      <c r="J90" s="199"/>
      <c r="K90" s="199"/>
      <c r="L90" s="199"/>
      <c r="M90" s="199"/>
      <c r="N90" s="199"/>
      <c r="O90" s="199"/>
      <c r="P90" s="199"/>
    </row>
    <row r="91" spans="2:16" ht="27.6" x14ac:dyDescent="0.25">
      <c r="B91" s="17"/>
      <c r="C91" s="54" t="s">
        <v>1076</v>
      </c>
      <c r="D91" s="162"/>
      <c r="E91" s="162"/>
      <c r="F91" s="162"/>
      <c r="G91" s="162"/>
      <c r="H91" s="162"/>
      <c r="I91" s="162"/>
      <c r="J91" s="199"/>
      <c r="K91" s="199"/>
      <c r="L91" s="199"/>
      <c r="M91" s="199"/>
      <c r="N91" s="199"/>
      <c r="O91" s="199"/>
      <c r="P91" s="199"/>
    </row>
    <row r="92" spans="2:16" ht="27.6" x14ac:dyDescent="0.25">
      <c r="B92" s="17"/>
      <c r="C92" s="54" t="s">
        <v>1077</v>
      </c>
      <c r="D92" s="162"/>
      <c r="E92" s="162"/>
      <c r="F92" s="162"/>
      <c r="G92" s="162"/>
      <c r="H92" s="162"/>
      <c r="I92" s="162"/>
      <c r="J92" s="199"/>
      <c r="K92" s="199"/>
      <c r="L92" s="199"/>
      <c r="M92" s="199"/>
      <c r="N92" s="199"/>
      <c r="O92" s="199"/>
      <c r="P92" s="199"/>
    </row>
    <row r="93" spans="2:16" x14ac:dyDescent="0.25">
      <c r="B93" s="17" t="s">
        <v>1078</v>
      </c>
      <c r="C93" s="17" t="s">
        <v>1079</v>
      </c>
      <c r="D93" s="199">
        <v>21</v>
      </c>
      <c r="E93" s="199">
        <v>2.823</v>
      </c>
      <c r="F93" s="199">
        <v>2.4153174999999996</v>
      </c>
      <c r="G93" s="199">
        <v>475</v>
      </c>
      <c r="H93" s="199">
        <v>8.5</v>
      </c>
      <c r="I93" s="199">
        <v>2000</v>
      </c>
      <c r="J93" s="199"/>
      <c r="K93" s="199">
        <v>1.3114246499999997</v>
      </c>
      <c r="L93" s="199">
        <v>2.0530198749999995</v>
      </c>
      <c r="M93" s="199">
        <v>4.979538E-2</v>
      </c>
      <c r="N93" s="199">
        <v>-4.9738949999998283E-2</v>
      </c>
      <c r="O93" s="199">
        <v>0</v>
      </c>
      <c r="P93" s="199">
        <v>3.3645009550000009</v>
      </c>
    </row>
    <row r="94" spans="2:16" x14ac:dyDescent="0.25">
      <c r="B94" s="17"/>
      <c r="C94" s="17" t="s">
        <v>1080</v>
      </c>
      <c r="D94" s="199"/>
      <c r="E94" s="199"/>
      <c r="F94" s="199">
        <v>1.6740474999999997</v>
      </c>
      <c r="G94" s="199"/>
      <c r="H94" s="199">
        <v>9.5</v>
      </c>
      <c r="I94" s="199"/>
      <c r="J94" s="199"/>
      <c r="K94" s="199">
        <v>0</v>
      </c>
      <c r="L94" s="199">
        <v>1.5903451249999996</v>
      </c>
      <c r="M94" s="199">
        <v>0</v>
      </c>
      <c r="N94" s="199"/>
      <c r="O94" s="199">
        <v>0</v>
      </c>
      <c r="P94" s="199">
        <v>1.5903451249999996</v>
      </c>
    </row>
    <row r="95" spans="2:16" x14ac:dyDescent="0.25">
      <c r="B95" s="17"/>
      <c r="C95" s="17" t="s">
        <v>1081</v>
      </c>
      <c r="D95" s="199"/>
      <c r="E95" s="199"/>
      <c r="F95" s="199">
        <v>1.1730289999999999</v>
      </c>
      <c r="G95" s="199"/>
      <c r="H95" s="199">
        <v>9.5</v>
      </c>
      <c r="I95" s="199"/>
      <c r="J95" s="199"/>
      <c r="K95" s="199">
        <v>0</v>
      </c>
      <c r="L95" s="199">
        <v>1.1143775499999999</v>
      </c>
      <c r="M95" s="199">
        <v>0</v>
      </c>
      <c r="N95" s="199"/>
      <c r="O95" s="199">
        <v>0</v>
      </c>
      <c r="P95" s="199">
        <v>1.1143775499999999</v>
      </c>
    </row>
    <row r="96" spans="2:16" x14ac:dyDescent="0.25">
      <c r="B96" s="17"/>
      <c r="C96" s="17" t="s">
        <v>1082</v>
      </c>
      <c r="D96" s="199"/>
      <c r="E96" s="199"/>
      <c r="F96" s="199">
        <v>2.8638290000000004</v>
      </c>
      <c r="G96" s="199"/>
      <c r="H96" s="199">
        <v>7.5</v>
      </c>
      <c r="I96" s="199"/>
      <c r="J96" s="199"/>
      <c r="K96" s="199">
        <v>0</v>
      </c>
      <c r="L96" s="199">
        <v>2.1478717500000002</v>
      </c>
      <c r="M96" s="199">
        <v>0</v>
      </c>
      <c r="N96" s="199"/>
      <c r="O96" s="199">
        <v>0</v>
      </c>
      <c r="P96" s="199">
        <v>2.1478717500000002</v>
      </c>
    </row>
    <row r="97" spans="2:16" x14ac:dyDescent="0.25">
      <c r="B97" s="17" t="s">
        <v>1083</v>
      </c>
      <c r="C97" s="17" t="s">
        <v>1084</v>
      </c>
      <c r="D97" s="199">
        <v>202</v>
      </c>
      <c r="E97" s="199">
        <v>66.4071</v>
      </c>
      <c r="F97" s="199">
        <v>26.292896543887188</v>
      </c>
      <c r="G97" s="199">
        <v>275</v>
      </c>
      <c r="H97" s="199">
        <v>6.3</v>
      </c>
      <c r="I97" s="199">
        <v>2000</v>
      </c>
      <c r="J97" s="199"/>
      <c r="K97" s="199">
        <v>12.162460365000001</v>
      </c>
      <c r="L97" s="199">
        <v>16.564524822648927</v>
      </c>
      <c r="M97" s="199">
        <v>0.4921724269999998</v>
      </c>
      <c r="N97" s="199">
        <v>5.1086865365340728</v>
      </c>
      <c r="O97" s="199"/>
      <c r="P97" s="199">
        <v>34.327844151183001</v>
      </c>
    </row>
    <row r="98" spans="2:16" x14ac:dyDescent="0.25">
      <c r="B98" s="17" t="s">
        <v>1085</v>
      </c>
      <c r="C98" s="17" t="s">
        <v>1086</v>
      </c>
      <c r="D98" s="199">
        <v>115</v>
      </c>
      <c r="E98" s="199">
        <v>36.340000000000003</v>
      </c>
      <c r="F98" s="199">
        <v>153.9593832932099</v>
      </c>
      <c r="G98" s="199"/>
      <c r="H98" s="199">
        <v>6.1</v>
      </c>
      <c r="I98" s="199">
        <v>2000</v>
      </c>
      <c r="J98" s="199"/>
      <c r="K98" s="199">
        <v>0</v>
      </c>
      <c r="L98" s="199">
        <v>93.91522380885803</v>
      </c>
      <c r="M98" s="199">
        <v>0.27600000000000002</v>
      </c>
      <c r="N98" s="199">
        <v>13.786652431141974</v>
      </c>
      <c r="O98" s="199">
        <v>0</v>
      </c>
      <c r="P98" s="199">
        <v>107.97787624</v>
      </c>
    </row>
    <row r="99" spans="2:16" x14ac:dyDescent="0.25">
      <c r="B99" s="17" t="s">
        <v>1087</v>
      </c>
      <c r="C99" s="17" t="s">
        <v>1088</v>
      </c>
      <c r="D99" s="199">
        <v>18</v>
      </c>
      <c r="E99" s="199">
        <v>5.18</v>
      </c>
      <c r="F99" s="199">
        <v>8.8178330000000003</v>
      </c>
      <c r="G99" s="199">
        <v>260</v>
      </c>
      <c r="H99" s="199">
        <v>7.3</v>
      </c>
      <c r="I99" s="199">
        <v>2000</v>
      </c>
      <c r="J99" s="199"/>
      <c r="K99" s="199">
        <v>0.64646399999999993</v>
      </c>
      <c r="L99" s="199">
        <v>6.4370180899999996</v>
      </c>
      <c r="M99" s="199">
        <v>3.7424912000000012E-2</v>
      </c>
      <c r="N99" s="199">
        <v>0.51721221230230441</v>
      </c>
      <c r="O99" s="199">
        <v>0</v>
      </c>
      <c r="P99" s="199">
        <v>7.6381192143023036</v>
      </c>
    </row>
    <row r="100" spans="2:16" x14ac:dyDescent="0.25">
      <c r="B100" s="17" t="s">
        <v>1089</v>
      </c>
      <c r="C100" s="17" t="s">
        <v>1090</v>
      </c>
      <c r="D100" s="199">
        <v>45</v>
      </c>
      <c r="E100" s="199">
        <v>13.208</v>
      </c>
      <c r="F100" s="199">
        <v>26.766727999999997</v>
      </c>
      <c r="G100" s="199">
        <v>500</v>
      </c>
      <c r="H100" s="199">
        <v>11.8</v>
      </c>
      <c r="I100" s="199">
        <v>2000</v>
      </c>
      <c r="J100" s="199"/>
      <c r="K100" s="199">
        <v>10.302240000000001</v>
      </c>
      <c r="L100" s="199">
        <v>31.584739039999999</v>
      </c>
      <c r="M100" s="199">
        <v>0.10505448100000001</v>
      </c>
      <c r="N100" s="199">
        <v>-16.47706084</v>
      </c>
      <c r="O100" s="199">
        <v>0</v>
      </c>
      <c r="P100" s="199">
        <v>25.514972681000003</v>
      </c>
    </row>
    <row r="101" spans="2:16" x14ac:dyDescent="0.25">
      <c r="B101" s="17" t="s">
        <v>209</v>
      </c>
      <c r="C101" s="17" t="s">
        <v>210</v>
      </c>
      <c r="D101" s="199">
        <v>1</v>
      </c>
      <c r="E101" s="199">
        <v>517.6</v>
      </c>
      <c r="F101" s="199">
        <v>1036.3116580000001</v>
      </c>
      <c r="G101" s="199"/>
      <c r="H101" s="199">
        <v>4.8</v>
      </c>
      <c r="I101" s="199"/>
      <c r="J101" s="199"/>
      <c r="K101" s="199">
        <v>0</v>
      </c>
      <c r="L101" s="199">
        <v>497.42959583999999</v>
      </c>
      <c r="M101" s="199"/>
      <c r="N101" s="199">
        <v>3.5981041599999912</v>
      </c>
      <c r="O101" s="199"/>
      <c r="P101" s="199">
        <v>501.02769999999998</v>
      </c>
    </row>
    <row r="102" spans="2:16" x14ac:dyDescent="0.25">
      <c r="B102" s="17" t="s">
        <v>1091</v>
      </c>
      <c r="C102" s="17" t="s">
        <v>1092</v>
      </c>
      <c r="D102" s="199"/>
      <c r="E102" s="199"/>
      <c r="F102" s="199"/>
      <c r="G102" s="199">
        <v>100</v>
      </c>
      <c r="H102" s="199">
        <v>6</v>
      </c>
      <c r="I102" s="199">
        <v>2000</v>
      </c>
      <c r="J102" s="199"/>
      <c r="K102" s="199">
        <v>0</v>
      </c>
      <c r="L102" s="199">
        <v>0</v>
      </c>
      <c r="M102" s="199">
        <v>0</v>
      </c>
      <c r="N102" s="199"/>
      <c r="O102" s="199">
        <v>0</v>
      </c>
      <c r="P102" s="199">
        <v>0</v>
      </c>
    </row>
    <row r="103" spans="2:16" x14ac:dyDescent="0.25">
      <c r="B103" s="17"/>
      <c r="C103" s="17" t="s">
        <v>1093</v>
      </c>
      <c r="D103" s="199"/>
      <c r="E103" s="199"/>
      <c r="F103" s="199"/>
      <c r="G103" s="199"/>
      <c r="H103" s="199">
        <v>7</v>
      </c>
      <c r="I103" s="199"/>
      <c r="J103" s="199"/>
      <c r="K103" s="199">
        <v>0</v>
      </c>
      <c r="L103" s="199">
        <v>0</v>
      </c>
      <c r="M103" s="199">
        <v>0</v>
      </c>
      <c r="N103" s="199"/>
      <c r="O103" s="199">
        <v>0</v>
      </c>
      <c r="P103" s="199">
        <v>0</v>
      </c>
    </row>
    <row r="104" spans="2:16" x14ac:dyDescent="0.25">
      <c r="B104" s="17"/>
      <c r="C104" s="17" t="s">
        <v>1094</v>
      </c>
      <c r="D104" s="199"/>
      <c r="E104" s="199"/>
      <c r="F104" s="199"/>
      <c r="G104" s="199"/>
      <c r="H104" s="199">
        <v>7</v>
      </c>
      <c r="I104" s="199"/>
      <c r="J104" s="199"/>
      <c r="K104" s="199">
        <v>0</v>
      </c>
      <c r="L104" s="199">
        <v>0</v>
      </c>
      <c r="M104" s="199">
        <v>0</v>
      </c>
      <c r="N104" s="199"/>
      <c r="O104" s="199">
        <v>0</v>
      </c>
      <c r="P104" s="199">
        <v>0</v>
      </c>
    </row>
    <row r="105" spans="2:16" x14ac:dyDescent="0.25">
      <c r="B105" s="17"/>
      <c r="C105" s="17" t="s">
        <v>1095</v>
      </c>
      <c r="D105" s="199"/>
      <c r="E105" s="199"/>
      <c r="F105" s="199"/>
      <c r="G105" s="199"/>
      <c r="H105" s="199">
        <v>5</v>
      </c>
      <c r="I105" s="199"/>
      <c r="J105" s="199"/>
      <c r="K105" s="199"/>
      <c r="L105" s="199"/>
      <c r="M105" s="199"/>
      <c r="N105" s="199"/>
      <c r="O105" s="199"/>
      <c r="P105" s="199"/>
    </row>
    <row r="106" spans="2:16" x14ac:dyDescent="0.25">
      <c r="B106" s="204" t="s">
        <v>1096</v>
      </c>
      <c r="C106" s="204" t="s">
        <v>1096</v>
      </c>
      <c r="D106" s="203">
        <v>134</v>
      </c>
      <c r="E106" s="203">
        <v>223.93865000000002</v>
      </c>
      <c r="F106" s="203">
        <v>577.89358881387091</v>
      </c>
      <c r="G106" s="203"/>
      <c r="H106" s="203"/>
      <c r="I106" s="203"/>
      <c r="J106" s="203"/>
      <c r="K106" s="203">
        <v>48.235588265000004</v>
      </c>
      <c r="L106" s="203">
        <v>376.46278032946122</v>
      </c>
      <c r="M106" s="203">
        <v>0.56279999999999997</v>
      </c>
      <c r="N106" s="203">
        <v>26.263588065705754</v>
      </c>
      <c r="O106" s="203">
        <v>0</v>
      </c>
      <c r="P106" s="203">
        <v>451.52475666016704</v>
      </c>
    </row>
    <row r="107" spans="2:16" x14ac:dyDescent="0.25">
      <c r="B107" s="17" t="s">
        <v>192</v>
      </c>
      <c r="C107" s="17" t="s">
        <v>1056</v>
      </c>
      <c r="D107" s="199">
        <v>48</v>
      </c>
      <c r="E107" s="199">
        <v>68.26100000000001</v>
      </c>
      <c r="F107" s="199">
        <v>25.2614895</v>
      </c>
      <c r="G107" s="199">
        <v>475</v>
      </c>
      <c r="H107" s="199">
        <v>7.15</v>
      </c>
      <c r="I107" s="199">
        <v>3500</v>
      </c>
      <c r="J107" s="199"/>
      <c r="K107" s="199">
        <v>30.154296750000004</v>
      </c>
      <c r="L107" s="199">
        <v>18.061964992500002</v>
      </c>
      <c r="M107" s="199">
        <v>0.2016</v>
      </c>
      <c r="N107" s="199">
        <v>4.7791075227595172</v>
      </c>
      <c r="O107" s="199">
        <v>0</v>
      </c>
      <c r="P107" s="199">
        <v>53.196969265259526</v>
      </c>
    </row>
    <row r="108" spans="2:16" x14ac:dyDescent="0.25">
      <c r="B108" s="17"/>
      <c r="C108" s="17" t="s">
        <v>1057</v>
      </c>
      <c r="D108" s="199"/>
      <c r="E108" s="199"/>
      <c r="F108" s="199"/>
      <c r="G108" s="199"/>
      <c r="H108" s="199">
        <v>7.15</v>
      </c>
      <c r="I108" s="199">
        <v>3500</v>
      </c>
      <c r="J108" s="199"/>
      <c r="K108" s="199">
        <v>0</v>
      </c>
      <c r="L108" s="199">
        <v>0</v>
      </c>
      <c r="M108" s="199">
        <v>0</v>
      </c>
      <c r="N108" s="199"/>
      <c r="O108" s="199">
        <v>0</v>
      </c>
      <c r="P108" s="199">
        <v>0</v>
      </c>
    </row>
    <row r="109" spans="2:16" x14ac:dyDescent="0.25">
      <c r="B109" s="17"/>
      <c r="C109" s="17" t="s">
        <v>928</v>
      </c>
      <c r="D109" s="199"/>
      <c r="E109" s="199"/>
      <c r="F109" s="199"/>
      <c r="G109" s="199">
        <v>475</v>
      </c>
      <c r="H109" s="199">
        <v>7.15</v>
      </c>
      <c r="I109" s="199">
        <v>3500</v>
      </c>
      <c r="J109" s="199"/>
      <c r="K109" s="199">
        <v>0</v>
      </c>
      <c r="L109" s="199">
        <v>0</v>
      </c>
      <c r="M109" s="199"/>
      <c r="N109" s="199"/>
      <c r="O109" s="199"/>
      <c r="P109" s="199">
        <v>0</v>
      </c>
    </row>
    <row r="110" spans="2:16" x14ac:dyDescent="0.25">
      <c r="B110" s="17"/>
      <c r="C110" s="17" t="s">
        <v>1059</v>
      </c>
      <c r="D110" s="199"/>
      <c r="E110" s="199"/>
      <c r="F110" s="199"/>
      <c r="G110" s="199"/>
      <c r="H110" s="199">
        <v>8.15</v>
      </c>
      <c r="I110" s="199"/>
      <c r="J110" s="199"/>
      <c r="K110" s="199">
        <v>0</v>
      </c>
      <c r="L110" s="199">
        <v>0</v>
      </c>
      <c r="M110" s="199">
        <v>0</v>
      </c>
      <c r="N110" s="199"/>
      <c r="O110" s="199">
        <v>0</v>
      </c>
      <c r="P110" s="199">
        <v>0</v>
      </c>
    </row>
    <row r="111" spans="2:16" x14ac:dyDescent="0.25">
      <c r="B111" s="17"/>
      <c r="C111" s="17" t="s">
        <v>1060</v>
      </c>
      <c r="D111" s="199"/>
      <c r="E111" s="199"/>
      <c r="F111" s="199"/>
      <c r="G111" s="199"/>
      <c r="H111" s="199">
        <v>8.15</v>
      </c>
      <c r="I111" s="199"/>
      <c r="J111" s="199"/>
      <c r="K111" s="199">
        <v>0</v>
      </c>
      <c r="L111" s="199">
        <v>0</v>
      </c>
      <c r="M111" s="199">
        <v>0</v>
      </c>
      <c r="N111" s="199"/>
      <c r="O111" s="199">
        <v>0</v>
      </c>
      <c r="P111" s="199">
        <v>0</v>
      </c>
    </row>
    <row r="112" spans="2:16" x14ac:dyDescent="0.25">
      <c r="B112" s="17"/>
      <c r="C112" s="17" t="s">
        <v>1061</v>
      </c>
      <c r="D112" s="199"/>
      <c r="E112" s="199"/>
      <c r="F112" s="199"/>
      <c r="G112" s="199"/>
      <c r="H112" s="199">
        <v>6.15</v>
      </c>
      <c r="I112" s="199"/>
      <c r="J112" s="199"/>
      <c r="K112" s="199">
        <v>0</v>
      </c>
      <c r="L112" s="199">
        <v>0</v>
      </c>
      <c r="M112" s="199">
        <v>0</v>
      </c>
      <c r="N112" s="199"/>
      <c r="O112" s="199">
        <v>0</v>
      </c>
      <c r="P112" s="199">
        <v>0</v>
      </c>
    </row>
    <row r="113" spans="2:16" x14ac:dyDescent="0.25">
      <c r="B113" s="17"/>
      <c r="C113" s="17" t="s">
        <v>1062</v>
      </c>
      <c r="D113" s="199"/>
      <c r="E113" s="199"/>
      <c r="F113" s="199"/>
      <c r="G113" s="199"/>
      <c r="H113" s="199">
        <v>7.3</v>
      </c>
      <c r="I113" s="199">
        <v>3500</v>
      </c>
      <c r="J113" s="199"/>
      <c r="K113" s="199">
        <v>0</v>
      </c>
      <c r="L113" s="199">
        <v>0</v>
      </c>
      <c r="M113" s="199"/>
      <c r="N113" s="199"/>
      <c r="O113" s="199"/>
      <c r="P113" s="199">
        <v>0</v>
      </c>
    </row>
    <row r="114" spans="2:16" x14ac:dyDescent="0.25">
      <c r="B114" s="17"/>
      <c r="C114" s="17" t="s">
        <v>1063</v>
      </c>
      <c r="D114" s="199"/>
      <c r="E114" s="199"/>
      <c r="F114" s="199"/>
      <c r="G114" s="199">
        <v>475</v>
      </c>
      <c r="H114" s="199">
        <v>7.9</v>
      </c>
      <c r="I114" s="199">
        <v>3500</v>
      </c>
      <c r="J114" s="199"/>
      <c r="K114" s="199">
        <v>0</v>
      </c>
      <c r="L114" s="199">
        <v>0</v>
      </c>
      <c r="M114" s="199"/>
      <c r="N114" s="199"/>
      <c r="O114" s="199"/>
      <c r="P114" s="199">
        <v>0</v>
      </c>
    </row>
    <row r="115" spans="2:16" x14ac:dyDescent="0.25">
      <c r="B115" s="17"/>
      <c r="C115" s="17" t="s">
        <v>1066</v>
      </c>
      <c r="D115" s="199"/>
      <c r="E115" s="199"/>
      <c r="F115" s="199">
        <v>33.985299249999997</v>
      </c>
      <c r="G115" s="199"/>
      <c r="H115" s="199">
        <v>8.15</v>
      </c>
      <c r="I115" s="199"/>
      <c r="J115" s="199"/>
      <c r="K115" s="199">
        <v>0</v>
      </c>
      <c r="L115" s="199">
        <v>27.698018888749999</v>
      </c>
      <c r="M115" s="199"/>
      <c r="N115" s="199"/>
      <c r="O115" s="199"/>
      <c r="P115" s="199">
        <v>27.698018888749999</v>
      </c>
    </row>
    <row r="116" spans="2:16" x14ac:dyDescent="0.25">
      <c r="B116" s="17"/>
      <c r="C116" s="17" t="s">
        <v>1067</v>
      </c>
      <c r="D116" s="199"/>
      <c r="E116" s="199"/>
      <c r="F116" s="199">
        <v>26.199262000000001</v>
      </c>
      <c r="G116" s="199"/>
      <c r="H116" s="199">
        <v>8.15</v>
      </c>
      <c r="I116" s="199"/>
      <c r="J116" s="199"/>
      <c r="K116" s="199">
        <v>0</v>
      </c>
      <c r="L116" s="199">
        <v>21.352398530000002</v>
      </c>
      <c r="M116" s="199"/>
      <c r="N116" s="199"/>
      <c r="O116" s="199"/>
      <c r="P116" s="199">
        <v>21.352398530000002</v>
      </c>
    </row>
    <row r="117" spans="2:16" x14ac:dyDescent="0.25">
      <c r="B117" s="17"/>
      <c r="C117" s="17" t="s">
        <v>1068</v>
      </c>
      <c r="D117" s="199"/>
      <c r="E117" s="199"/>
      <c r="F117" s="199">
        <v>64.426751249999995</v>
      </c>
      <c r="G117" s="199"/>
      <c r="H117" s="199">
        <v>6.15</v>
      </c>
      <c r="I117" s="199"/>
      <c r="J117" s="199"/>
      <c r="K117" s="199">
        <v>0</v>
      </c>
      <c r="L117" s="199">
        <v>39.622452018749996</v>
      </c>
      <c r="M117" s="199"/>
      <c r="N117" s="199"/>
      <c r="O117" s="199"/>
      <c r="P117" s="199">
        <v>39.622452018749996</v>
      </c>
    </row>
    <row r="118" spans="2:16" x14ac:dyDescent="0.25">
      <c r="B118" s="17" t="s">
        <v>194</v>
      </c>
      <c r="C118" s="17" t="s">
        <v>1069</v>
      </c>
      <c r="D118" s="199">
        <v>2</v>
      </c>
      <c r="E118" s="199">
        <v>0.2</v>
      </c>
      <c r="F118" s="199">
        <v>20.874023000000001</v>
      </c>
      <c r="G118" s="199">
        <v>475</v>
      </c>
      <c r="H118" s="199">
        <v>7.15</v>
      </c>
      <c r="I118" s="199">
        <v>3500</v>
      </c>
      <c r="J118" s="199"/>
      <c r="K118" s="199">
        <v>9.1200000000000003E-2</v>
      </c>
      <c r="L118" s="199">
        <v>14.924926445000002</v>
      </c>
      <c r="M118" s="199">
        <v>8.3999999999999995E-3</v>
      </c>
      <c r="N118" s="199"/>
      <c r="O118" s="199"/>
      <c r="P118" s="199">
        <v>15.024526445000003</v>
      </c>
    </row>
    <row r="119" spans="2:16" x14ac:dyDescent="0.25">
      <c r="B119" s="17" t="s">
        <v>196</v>
      </c>
      <c r="C119" s="17" t="s">
        <v>1070</v>
      </c>
      <c r="D119" s="199">
        <v>21</v>
      </c>
      <c r="E119" s="199">
        <v>8.7976499999999991</v>
      </c>
      <c r="F119" s="199">
        <v>2.5067962400000003</v>
      </c>
      <c r="G119" s="199">
        <v>475</v>
      </c>
      <c r="H119" s="199">
        <v>8</v>
      </c>
      <c r="I119" s="199">
        <v>3500</v>
      </c>
      <c r="J119" s="199"/>
      <c r="K119" s="199">
        <v>2.1563040149999995</v>
      </c>
      <c r="L119" s="199">
        <v>2.0054369920000004</v>
      </c>
      <c r="M119" s="199">
        <v>8.8200000000000001E-2</v>
      </c>
      <c r="N119" s="199">
        <v>7.6122213265116478E-2</v>
      </c>
      <c r="O119" s="199"/>
      <c r="P119" s="199">
        <v>4.3260632202651159</v>
      </c>
    </row>
    <row r="120" spans="2:16" x14ac:dyDescent="0.25">
      <c r="B120" s="17"/>
      <c r="C120" s="17" t="s">
        <v>1071</v>
      </c>
      <c r="D120" s="199"/>
      <c r="E120" s="199"/>
      <c r="F120" s="199">
        <v>1.12948706</v>
      </c>
      <c r="G120" s="199"/>
      <c r="H120" s="199">
        <v>9</v>
      </c>
      <c r="I120" s="199"/>
      <c r="J120" s="199"/>
      <c r="K120" s="199">
        <v>0</v>
      </c>
      <c r="L120" s="199">
        <v>1.0165383540000001</v>
      </c>
      <c r="M120" s="199"/>
      <c r="N120" s="199"/>
      <c r="O120" s="199"/>
      <c r="P120" s="199">
        <v>1.0165383540000001</v>
      </c>
    </row>
    <row r="121" spans="2:16" x14ac:dyDescent="0.25">
      <c r="B121" s="17"/>
      <c r="C121" s="17" t="s">
        <v>1072</v>
      </c>
      <c r="D121" s="199"/>
      <c r="E121" s="199"/>
      <c r="F121" s="199">
        <v>0.91575204999999993</v>
      </c>
      <c r="G121" s="199"/>
      <c r="H121" s="199">
        <v>9</v>
      </c>
      <c r="I121" s="199"/>
      <c r="J121" s="199"/>
      <c r="K121" s="199">
        <v>0</v>
      </c>
      <c r="L121" s="199">
        <v>0.82417684499999988</v>
      </c>
      <c r="M121" s="199"/>
      <c r="N121" s="199"/>
      <c r="O121" s="199"/>
      <c r="P121" s="199">
        <v>0.82417684499999988</v>
      </c>
    </row>
    <row r="122" spans="2:16" x14ac:dyDescent="0.25">
      <c r="B122" s="17"/>
      <c r="C122" s="17" t="s">
        <v>1073</v>
      </c>
      <c r="D122" s="199"/>
      <c r="E122" s="199"/>
      <c r="F122" s="199">
        <v>1.7411934500000001</v>
      </c>
      <c r="G122" s="199"/>
      <c r="H122" s="199">
        <v>7</v>
      </c>
      <c r="I122" s="199"/>
      <c r="J122" s="199"/>
      <c r="K122" s="199">
        <v>0</v>
      </c>
      <c r="L122" s="199">
        <v>1.218835415</v>
      </c>
      <c r="M122" s="199"/>
      <c r="N122" s="199"/>
      <c r="O122" s="199"/>
      <c r="P122" s="199">
        <v>1.218835415</v>
      </c>
    </row>
    <row r="123" spans="2:16" x14ac:dyDescent="0.25">
      <c r="B123" s="17" t="s">
        <v>198</v>
      </c>
      <c r="C123" s="17" t="s">
        <v>1074</v>
      </c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</row>
    <row r="124" spans="2:16" ht="27.6" x14ac:dyDescent="0.25">
      <c r="B124" s="17"/>
      <c r="C124" s="54" t="s">
        <v>1075</v>
      </c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</row>
    <row r="125" spans="2:16" ht="27.6" x14ac:dyDescent="0.25">
      <c r="B125" s="17"/>
      <c r="C125" s="54" t="s">
        <v>1076</v>
      </c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</row>
    <row r="126" spans="2:16" ht="27.6" x14ac:dyDescent="0.25">
      <c r="B126" s="17"/>
      <c r="C126" s="54" t="s">
        <v>1077</v>
      </c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</row>
    <row r="127" spans="2:16" x14ac:dyDescent="0.25">
      <c r="B127" s="17" t="s">
        <v>1078</v>
      </c>
      <c r="C127" s="17" t="s">
        <v>1079</v>
      </c>
      <c r="D127" s="199"/>
      <c r="E127" s="199"/>
      <c r="F127" s="199"/>
      <c r="G127" s="199">
        <v>475</v>
      </c>
      <c r="H127" s="199">
        <v>7.85</v>
      </c>
      <c r="I127" s="199">
        <v>3500</v>
      </c>
      <c r="J127" s="199"/>
      <c r="K127" s="199">
        <v>0</v>
      </c>
      <c r="L127" s="199">
        <v>0</v>
      </c>
      <c r="M127" s="199"/>
      <c r="N127" s="199"/>
      <c r="O127" s="199"/>
      <c r="P127" s="199">
        <v>0</v>
      </c>
    </row>
    <row r="128" spans="2:16" x14ac:dyDescent="0.25">
      <c r="B128" s="17"/>
      <c r="C128" s="17" t="s">
        <v>1080</v>
      </c>
      <c r="D128" s="199"/>
      <c r="E128" s="199"/>
      <c r="F128" s="199"/>
      <c r="G128" s="199"/>
      <c r="H128" s="199">
        <v>8.85</v>
      </c>
      <c r="I128" s="199"/>
      <c r="J128" s="199"/>
      <c r="K128" s="199">
        <v>0</v>
      </c>
      <c r="L128" s="199">
        <v>0</v>
      </c>
      <c r="M128" s="199"/>
      <c r="N128" s="199"/>
      <c r="O128" s="199"/>
      <c r="P128" s="199">
        <v>0</v>
      </c>
    </row>
    <row r="129" spans="2:16" x14ac:dyDescent="0.25">
      <c r="B129" s="17"/>
      <c r="C129" s="17" t="s">
        <v>1081</v>
      </c>
      <c r="D129" s="199"/>
      <c r="E129" s="199"/>
      <c r="F129" s="199"/>
      <c r="G129" s="199"/>
      <c r="H129" s="199">
        <v>8.85</v>
      </c>
      <c r="I129" s="199"/>
      <c r="J129" s="199"/>
      <c r="K129" s="199">
        <v>0</v>
      </c>
      <c r="L129" s="199">
        <v>0</v>
      </c>
      <c r="M129" s="199"/>
      <c r="N129" s="199"/>
      <c r="O129" s="199"/>
      <c r="P129" s="199">
        <v>0</v>
      </c>
    </row>
    <row r="130" spans="2:16" x14ac:dyDescent="0.25">
      <c r="B130" s="17"/>
      <c r="C130" s="17" t="s">
        <v>1082</v>
      </c>
      <c r="D130" s="199"/>
      <c r="E130" s="199"/>
      <c r="F130" s="199"/>
      <c r="G130" s="199"/>
      <c r="H130" s="199">
        <v>6.85</v>
      </c>
      <c r="I130" s="199"/>
      <c r="J130" s="199"/>
      <c r="K130" s="199">
        <v>0</v>
      </c>
      <c r="L130" s="199">
        <v>0</v>
      </c>
      <c r="M130" s="199"/>
      <c r="N130" s="199"/>
      <c r="O130" s="199"/>
      <c r="P130" s="199">
        <v>0</v>
      </c>
    </row>
    <row r="131" spans="2:16" x14ac:dyDescent="0.25">
      <c r="B131" s="17" t="s">
        <v>1083</v>
      </c>
      <c r="C131" s="17" t="s">
        <v>1084</v>
      </c>
      <c r="D131" s="199">
        <v>22</v>
      </c>
      <c r="E131" s="199">
        <v>63.921999999999997</v>
      </c>
      <c r="F131" s="199">
        <v>17.657430000000002</v>
      </c>
      <c r="G131" s="199">
        <v>275</v>
      </c>
      <c r="H131" s="199">
        <v>6.3</v>
      </c>
      <c r="I131" s="199">
        <v>3500</v>
      </c>
      <c r="J131" s="199"/>
      <c r="K131" s="199">
        <v>10.722915499999999</v>
      </c>
      <c r="L131" s="199">
        <v>11.124180900000001</v>
      </c>
      <c r="M131" s="199">
        <v>9.2399999999999996E-2</v>
      </c>
      <c r="N131" s="199">
        <v>3.5401514243025822</v>
      </c>
      <c r="O131" s="199"/>
      <c r="P131" s="199">
        <v>25.479647824302582</v>
      </c>
    </row>
    <row r="132" spans="2:16" x14ac:dyDescent="0.25">
      <c r="B132" s="17" t="s">
        <v>1085</v>
      </c>
      <c r="C132" s="17" t="s">
        <v>1086</v>
      </c>
      <c r="D132" s="199">
        <v>27</v>
      </c>
      <c r="E132" s="199">
        <v>63.537999999999997</v>
      </c>
      <c r="F132" s="199">
        <v>353.91273201387082</v>
      </c>
      <c r="G132" s="199"/>
      <c r="H132" s="199">
        <v>6.1</v>
      </c>
      <c r="I132" s="199">
        <v>3500</v>
      </c>
      <c r="J132" s="199"/>
      <c r="K132" s="199">
        <v>0</v>
      </c>
      <c r="L132" s="199">
        <v>215.88676652846121</v>
      </c>
      <c r="M132" s="199">
        <v>0.1134</v>
      </c>
      <c r="N132" s="199">
        <v>16.102706181538764</v>
      </c>
      <c r="O132" s="199"/>
      <c r="P132" s="199">
        <v>232.10287270999999</v>
      </c>
    </row>
    <row r="133" spans="2:16" x14ac:dyDescent="0.25">
      <c r="B133" s="17" t="s">
        <v>1087</v>
      </c>
      <c r="C133" s="17" t="s">
        <v>1088</v>
      </c>
      <c r="D133" s="199">
        <v>8</v>
      </c>
      <c r="E133" s="199">
        <v>14.67</v>
      </c>
      <c r="F133" s="199">
        <v>25.634124</v>
      </c>
      <c r="G133" s="199">
        <v>260</v>
      </c>
      <c r="H133" s="199">
        <v>7.3</v>
      </c>
      <c r="I133" s="199">
        <v>3500</v>
      </c>
      <c r="J133" s="199"/>
      <c r="K133" s="199">
        <v>2.5173719999999999</v>
      </c>
      <c r="L133" s="199">
        <v>18.712910520000001</v>
      </c>
      <c r="M133" s="199">
        <v>3.3599999999999998E-2</v>
      </c>
      <c r="N133" s="199">
        <v>1.402526823839775</v>
      </c>
      <c r="O133" s="199"/>
      <c r="P133" s="199">
        <v>22.666409343839778</v>
      </c>
    </row>
    <row r="134" spans="2:16" x14ac:dyDescent="0.25">
      <c r="B134" s="17" t="s">
        <v>1089</v>
      </c>
      <c r="C134" s="17" t="s">
        <v>1090</v>
      </c>
      <c r="D134" s="199">
        <v>6</v>
      </c>
      <c r="E134" s="199">
        <v>4.55</v>
      </c>
      <c r="F134" s="199">
        <v>3.6492490000000002</v>
      </c>
      <c r="G134" s="199">
        <v>500</v>
      </c>
      <c r="H134" s="199">
        <v>11</v>
      </c>
      <c r="I134" s="199">
        <v>3500</v>
      </c>
      <c r="J134" s="199"/>
      <c r="K134" s="199">
        <v>2.5934999999999997</v>
      </c>
      <c r="L134" s="199">
        <v>4.0141739000000003</v>
      </c>
      <c r="M134" s="199">
        <v>2.52E-2</v>
      </c>
      <c r="N134" s="199">
        <v>0.36297390000000007</v>
      </c>
      <c r="O134" s="199"/>
      <c r="P134" s="199">
        <v>6.9958477999999999</v>
      </c>
    </row>
    <row r="135" spans="2:16" x14ac:dyDescent="0.25">
      <c r="B135" s="17" t="s">
        <v>1091</v>
      </c>
      <c r="C135" s="17" t="s">
        <v>1092</v>
      </c>
      <c r="D135" s="199"/>
      <c r="E135" s="199"/>
      <c r="F135" s="199"/>
      <c r="G135" s="199">
        <v>100</v>
      </c>
      <c r="H135" s="199">
        <v>6</v>
      </c>
      <c r="I135" s="199">
        <v>3500</v>
      </c>
      <c r="J135" s="199"/>
      <c r="K135" s="199"/>
      <c r="L135" s="199"/>
      <c r="M135" s="199"/>
      <c r="N135" s="199"/>
      <c r="O135" s="199"/>
      <c r="P135" s="199">
        <v>0</v>
      </c>
    </row>
    <row r="136" spans="2:16" x14ac:dyDescent="0.25">
      <c r="B136" s="17"/>
      <c r="C136" s="17" t="s">
        <v>1093</v>
      </c>
      <c r="D136" s="199"/>
      <c r="E136" s="199"/>
      <c r="F136" s="199"/>
      <c r="G136" s="199"/>
      <c r="H136" s="199">
        <v>7</v>
      </c>
      <c r="I136" s="199"/>
      <c r="J136" s="199"/>
      <c r="K136" s="199"/>
      <c r="L136" s="199"/>
      <c r="M136" s="199"/>
      <c r="N136" s="199"/>
      <c r="O136" s="199"/>
      <c r="P136" s="199">
        <v>0</v>
      </c>
    </row>
    <row r="137" spans="2:16" x14ac:dyDescent="0.25">
      <c r="B137" s="17"/>
      <c r="C137" s="17" t="s">
        <v>1094</v>
      </c>
      <c r="D137" s="199"/>
      <c r="E137" s="199"/>
      <c r="F137" s="199"/>
      <c r="G137" s="199"/>
      <c r="H137" s="199">
        <v>7</v>
      </c>
      <c r="I137" s="199"/>
      <c r="J137" s="199"/>
      <c r="K137" s="199"/>
      <c r="L137" s="199"/>
      <c r="M137" s="199"/>
      <c r="N137" s="199"/>
      <c r="O137" s="199"/>
      <c r="P137" s="199">
        <v>0</v>
      </c>
    </row>
    <row r="138" spans="2:16" x14ac:dyDescent="0.25">
      <c r="B138" s="17"/>
      <c r="C138" s="17" t="s">
        <v>1095</v>
      </c>
      <c r="D138" s="199"/>
      <c r="E138" s="199"/>
      <c r="F138" s="199"/>
      <c r="G138" s="199"/>
      <c r="H138" s="199">
        <v>5</v>
      </c>
      <c r="I138" s="199"/>
      <c r="J138" s="199"/>
      <c r="K138" s="199"/>
      <c r="L138" s="199"/>
      <c r="M138" s="199"/>
      <c r="N138" s="199"/>
      <c r="O138" s="199"/>
      <c r="P138" s="199">
        <v>0</v>
      </c>
    </row>
    <row r="139" spans="2:16" ht="15" customHeight="1" x14ac:dyDescent="0.25">
      <c r="B139" s="204" t="s">
        <v>1097</v>
      </c>
      <c r="C139" s="204" t="s">
        <v>1097</v>
      </c>
      <c r="D139" s="203">
        <v>70</v>
      </c>
      <c r="E139" s="203">
        <v>2867.5610000000001</v>
      </c>
      <c r="F139" s="203">
        <v>2912.7386265029199</v>
      </c>
      <c r="G139" s="203"/>
      <c r="H139" s="203"/>
      <c r="I139" s="203"/>
      <c r="J139" s="203"/>
      <c r="K139" s="203">
        <v>851.00019035000003</v>
      </c>
      <c r="L139" s="203">
        <v>1798.1660900395809</v>
      </c>
      <c r="M139" s="203">
        <v>0.41379179500000002</v>
      </c>
      <c r="N139" s="203">
        <v>86.849221903088733</v>
      </c>
      <c r="O139" s="203">
        <v>0</v>
      </c>
      <c r="P139" s="203">
        <v>2736.4292940876689</v>
      </c>
    </row>
    <row r="140" spans="2:16" x14ac:dyDescent="0.25">
      <c r="B140" s="17" t="s">
        <v>192</v>
      </c>
      <c r="C140" s="17" t="s">
        <v>1056</v>
      </c>
      <c r="D140" s="199">
        <v>14</v>
      </c>
      <c r="E140" s="199">
        <v>173.82</v>
      </c>
      <c r="F140" s="199">
        <v>50.097205400000064</v>
      </c>
      <c r="G140" s="199">
        <v>475</v>
      </c>
      <c r="H140" s="199">
        <v>6.65</v>
      </c>
      <c r="I140" s="199">
        <v>5000</v>
      </c>
      <c r="J140" s="199"/>
      <c r="K140" s="199">
        <v>97.194929399999992</v>
      </c>
      <c r="L140" s="199">
        <v>33.31464159100004</v>
      </c>
      <c r="M140" s="199">
        <v>7.2000000000000008E-2</v>
      </c>
      <c r="N140" s="199">
        <v>24.892600266390218</v>
      </c>
      <c r="O140" s="199"/>
      <c r="P140" s="199">
        <v>155.47417125739025</v>
      </c>
    </row>
    <row r="141" spans="2:16" x14ac:dyDescent="0.25">
      <c r="B141" s="17"/>
      <c r="C141" s="17" t="s">
        <v>1057</v>
      </c>
      <c r="D141" s="199"/>
      <c r="E141" s="199"/>
      <c r="F141" s="199">
        <v>0</v>
      </c>
      <c r="G141" s="199"/>
      <c r="H141" s="199">
        <v>6.65</v>
      </c>
      <c r="I141" s="199">
        <v>5000</v>
      </c>
      <c r="J141" s="199"/>
      <c r="K141" s="199">
        <v>0</v>
      </c>
      <c r="L141" s="199">
        <v>0</v>
      </c>
      <c r="M141" s="199"/>
      <c r="N141" s="199"/>
      <c r="O141" s="199"/>
      <c r="P141" s="199">
        <v>0</v>
      </c>
    </row>
    <row r="142" spans="2:16" x14ac:dyDescent="0.25">
      <c r="B142" s="17"/>
      <c r="C142" s="17" t="s">
        <v>1062</v>
      </c>
      <c r="D142" s="199"/>
      <c r="E142" s="199"/>
      <c r="F142" s="199">
        <v>0</v>
      </c>
      <c r="G142" s="199"/>
      <c r="H142" s="199">
        <v>7.3</v>
      </c>
      <c r="I142" s="199">
        <v>5000</v>
      </c>
      <c r="J142" s="199"/>
      <c r="K142" s="199">
        <v>0</v>
      </c>
      <c r="L142" s="199">
        <v>0</v>
      </c>
      <c r="M142" s="199"/>
      <c r="N142" s="199"/>
      <c r="O142" s="199"/>
      <c r="P142" s="199">
        <v>0</v>
      </c>
    </row>
    <row r="143" spans="2:16" x14ac:dyDescent="0.25">
      <c r="B143" s="17"/>
      <c r="C143" s="17" t="s">
        <v>1063</v>
      </c>
      <c r="D143" s="199"/>
      <c r="E143" s="199"/>
      <c r="F143" s="199">
        <v>0</v>
      </c>
      <c r="G143" s="199">
        <v>475</v>
      </c>
      <c r="H143" s="199">
        <v>7.7</v>
      </c>
      <c r="I143" s="199">
        <v>5000</v>
      </c>
      <c r="J143" s="199"/>
      <c r="K143" s="199">
        <v>0</v>
      </c>
      <c r="L143" s="199">
        <v>0</v>
      </c>
      <c r="M143" s="199"/>
      <c r="N143" s="199"/>
      <c r="O143" s="199"/>
      <c r="P143" s="199">
        <v>0</v>
      </c>
    </row>
    <row r="144" spans="2:16" x14ac:dyDescent="0.25">
      <c r="B144" s="17"/>
      <c r="C144" s="17" t="s">
        <v>1066</v>
      </c>
      <c r="D144" s="199"/>
      <c r="E144" s="199"/>
      <c r="F144" s="199">
        <v>130.67057421999999</v>
      </c>
      <c r="G144" s="199"/>
      <c r="H144" s="199">
        <v>7.65</v>
      </c>
      <c r="I144" s="199"/>
      <c r="J144" s="199"/>
      <c r="K144" s="199">
        <v>0</v>
      </c>
      <c r="L144" s="199">
        <v>99.9629892783</v>
      </c>
      <c r="M144" s="199"/>
      <c r="N144" s="199"/>
      <c r="O144" s="199"/>
      <c r="P144" s="199">
        <v>99.9629892783</v>
      </c>
    </row>
    <row r="145" spans="2:16" x14ac:dyDescent="0.25">
      <c r="B145" s="17"/>
      <c r="C145" s="17" t="s">
        <v>1067</v>
      </c>
      <c r="D145" s="199"/>
      <c r="E145" s="199"/>
      <c r="F145" s="199">
        <v>61.782697899999988</v>
      </c>
      <c r="G145" s="199"/>
      <c r="H145" s="199">
        <v>7.65</v>
      </c>
      <c r="I145" s="199"/>
      <c r="J145" s="199"/>
      <c r="K145" s="199">
        <v>0</v>
      </c>
      <c r="L145" s="199">
        <v>47.263763893499991</v>
      </c>
      <c r="M145" s="199"/>
      <c r="N145" s="199"/>
      <c r="O145" s="199"/>
      <c r="P145" s="199">
        <v>47.263763893499991</v>
      </c>
    </row>
    <row r="146" spans="2:16" x14ac:dyDescent="0.25">
      <c r="B146" s="17"/>
      <c r="C146" s="17" t="s">
        <v>1068</v>
      </c>
      <c r="D146" s="199"/>
      <c r="E146" s="199"/>
      <c r="F146" s="199">
        <v>203.58017343999998</v>
      </c>
      <c r="G146" s="199"/>
      <c r="H146" s="199">
        <v>5.65</v>
      </c>
      <c r="I146" s="199"/>
      <c r="J146" s="199"/>
      <c r="K146" s="199">
        <v>0</v>
      </c>
      <c r="L146" s="199">
        <v>115.02279799359999</v>
      </c>
      <c r="M146" s="199"/>
      <c r="N146" s="199"/>
      <c r="O146" s="199"/>
      <c r="P146" s="199">
        <v>115.02279799359999</v>
      </c>
    </row>
    <row r="147" spans="2:16" x14ac:dyDescent="0.25">
      <c r="B147" s="17" t="s">
        <v>1098</v>
      </c>
      <c r="C147" s="17" t="s">
        <v>1099</v>
      </c>
      <c r="D147" s="199">
        <v>2</v>
      </c>
      <c r="E147" s="199">
        <v>35</v>
      </c>
      <c r="F147" s="199">
        <v>73.571348</v>
      </c>
      <c r="G147" s="199">
        <v>475</v>
      </c>
      <c r="H147" s="199">
        <v>6.65</v>
      </c>
      <c r="I147" s="199">
        <v>5000</v>
      </c>
      <c r="J147" s="199"/>
      <c r="K147" s="199">
        <v>19.57095</v>
      </c>
      <c r="L147" s="199">
        <v>48.924946420000005</v>
      </c>
      <c r="M147" s="199">
        <v>1.2E-2</v>
      </c>
      <c r="N147" s="199"/>
      <c r="O147" s="199"/>
      <c r="P147" s="199">
        <v>68.507896420000009</v>
      </c>
    </row>
    <row r="148" spans="2:16" x14ac:dyDescent="0.25">
      <c r="B148" s="17"/>
      <c r="C148" s="17" t="s">
        <v>1100</v>
      </c>
      <c r="D148" s="199"/>
      <c r="E148" s="199"/>
      <c r="F148" s="199">
        <v>51.661462000000007</v>
      </c>
      <c r="G148" s="199"/>
      <c r="H148" s="199">
        <v>7.65</v>
      </c>
      <c r="I148" s="199"/>
      <c r="J148" s="199"/>
      <c r="K148" s="199">
        <v>0</v>
      </c>
      <c r="L148" s="199">
        <v>39.521018430000012</v>
      </c>
      <c r="M148" s="199"/>
      <c r="N148" s="199"/>
      <c r="O148" s="199"/>
      <c r="P148" s="199">
        <v>39.521018430000012</v>
      </c>
    </row>
    <row r="149" spans="2:16" x14ac:dyDescent="0.25">
      <c r="B149" s="17"/>
      <c r="C149" s="17" t="s">
        <v>1101</v>
      </c>
      <c r="D149" s="199"/>
      <c r="E149" s="199"/>
      <c r="F149" s="199">
        <v>52.322795999999997</v>
      </c>
      <c r="G149" s="199"/>
      <c r="H149" s="199">
        <v>7.65</v>
      </c>
      <c r="I149" s="199"/>
      <c r="J149" s="199"/>
      <c r="K149" s="199">
        <v>0</v>
      </c>
      <c r="L149" s="199">
        <v>40.026938939999994</v>
      </c>
      <c r="M149" s="199"/>
      <c r="N149" s="199"/>
      <c r="O149" s="199"/>
      <c r="P149" s="199">
        <v>40.026938939999994</v>
      </c>
    </row>
    <row r="150" spans="2:16" x14ac:dyDescent="0.25">
      <c r="B150" s="17"/>
      <c r="C150" s="17" t="s">
        <v>1102</v>
      </c>
      <c r="D150" s="199"/>
      <c r="E150" s="199"/>
      <c r="F150" s="199">
        <v>102.17066200000001</v>
      </c>
      <c r="G150" s="199"/>
      <c r="H150" s="199">
        <v>5.65</v>
      </c>
      <c r="I150" s="199"/>
      <c r="J150" s="199"/>
      <c r="K150" s="199">
        <v>0</v>
      </c>
      <c r="L150" s="199">
        <v>57.726424030000011</v>
      </c>
      <c r="M150" s="199"/>
      <c r="N150" s="199"/>
      <c r="O150" s="199"/>
      <c r="P150" s="199">
        <v>57.726424030000011</v>
      </c>
    </row>
    <row r="151" spans="2:16" x14ac:dyDescent="0.25">
      <c r="B151" s="17" t="s">
        <v>194</v>
      </c>
      <c r="C151" s="17" t="s">
        <v>1069</v>
      </c>
      <c r="D151" s="199"/>
      <c r="E151" s="199"/>
      <c r="F151" s="199">
        <v>0</v>
      </c>
      <c r="G151" s="199">
        <v>475</v>
      </c>
      <c r="H151" s="199">
        <v>6.65</v>
      </c>
      <c r="I151" s="199"/>
      <c r="J151" s="199"/>
      <c r="K151" s="199">
        <v>0</v>
      </c>
      <c r="L151" s="199">
        <v>0</v>
      </c>
      <c r="M151" s="199"/>
      <c r="N151" s="199"/>
      <c r="O151" s="199"/>
      <c r="P151" s="199">
        <v>0</v>
      </c>
    </row>
    <row r="152" spans="2:16" x14ac:dyDescent="0.25">
      <c r="B152" s="17" t="s">
        <v>196</v>
      </c>
      <c r="C152" s="17" t="s">
        <v>1070</v>
      </c>
      <c r="D152" s="199">
        <v>7</v>
      </c>
      <c r="E152" s="199">
        <v>17.350000000000001</v>
      </c>
      <c r="F152" s="199">
        <v>2.0630329999999999</v>
      </c>
      <c r="G152" s="199">
        <v>475</v>
      </c>
      <c r="H152" s="199">
        <v>7.8</v>
      </c>
      <c r="I152" s="199">
        <v>5000</v>
      </c>
      <c r="J152" s="199"/>
      <c r="K152" s="199">
        <v>8.1093899999999994</v>
      </c>
      <c r="L152" s="199">
        <v>1.6091657399999999</v>
      </c>
      <c r="M152" s="199">
        <v>4.2000000000000003E-2</v>
      </c>
      <c r="N152" s="199">
        <v>0.57207697450715855</v>
      </c>
      <c r="O152" s="199"/>
      <c r="P152" s="199">
        <v>10.332632714507158</v>
      </c>
    </row>
    <row r="153" spans="2:16" x14ac:dyDescent="0.25">
      <c r="B153" s="17"/>
      <c r="C153" s="17" t="s">
        <v>1071</v>
      </c>
      <c r="D153" s="199"/>
      <c r="E153" s="199"/>
      <c r="F153" s="199">
        <v>1.2284999999999999</v>
      </c>
      <c r="G153" s="199"/>
      <c r="H153" s="199">
        <v>8.8000000000000007</v>
      </c>
      <c r="I153" s="199"/>
      <c r="J153" s="199"/>
      <c r="K153" s="199">
        <v>0</v>
      </c>
      <c r="L153" s="199">
        <v>1.08108</v>
      </c>
      <c r="M153" s="199"/>
      <c r="N153" s="199"/>
      <c r="O153" s="199"/>
      <c r="P153" s="199">
        <v>1.08108</v>
      </c>
    </row>
    <row r="154" spans="2:16" x14ac:dyDescent="0.25">
      <c r="B154" s="17"/>
      <c r="C154" s="17" t="s">
        <v>1072</v>
      </c>
      <c r="D154" s="199"/>
      <c r="E154" s="199"/>
      <c r="F154" s="199">
        <v>0.82289999999999985</v>
      </c>
      <c r="G154" s="199"/>
      <c r="H154" s="199">
        <v>8.8000000000000007</v>
      </c>
      <c r="I154" s="199"/>
      <c r="J154" s="199"/>
      <c r="K154" s="199">
        <v>0</v>
      </c>
      <c r="L154" s="199">
        <v>0.72415199999999991</v>
      </c>
      <c r="M154" s="199"/>
      <c r="N154" s="199"/>
      <c r="O154" s="199"/>
      <c r="P154" s="199">
        <v>0.72415199999999991</v>
      </c>
    </row>
    <row r="155" spans="2:16" x14ac:dyDescent="0.25">
      <c r="B155" s="17"/>
      <c r="C155" s="17" t="s">
        <v>1073</v>
      </c>
      <c r="D155" s="199"/>
      <c r="E155" s="199"/>
      <c r="F155" s="199">
        <v>2.8172999999999999</v>
      </c>
      <c r="G155" s="199"/>
      <c r="H155" s="199">
        <v>6.8</v>
      </c>
      <c r="I155" s="199"/>
      <c r="J155" s="199"/>
      <c r="K155" s="199">
        <v>0</v>
      </c>
      <c r="L155" s="199">
        <v>1.915764</v>
      </c>
      <c r="M155" s="199"/>
      <c r="N155" s="199"/>
      <c r="O155" s="199"/>
      <c r="P155" s="199">
        <v>1.915764</v>
      </c>
    </row>
    <row r="156" spans="2:16" x14ac:dyDescent="0.25">
      <c r="B156" s="17" t="s">
        <v>198</v>
      </c>
      <c r="C156" s="17" t="s">
        <v>1074</v>
      </c>
      <c r="D156" s="199"/>
      <c r="E156" s="199"/>
      <c r="F156" s="199"/>
      <c r="G156" s="199"/>
      <c r="H156" s="199"/>
      <c r="I156" s="199"/>
      <c r="J156" s="199"/>
      <c r="K156" s="199">
        <v>0</v>
      </c>
      <c r="L156" s="199">
        <v>0</v>
      </c>
      <c r="M156" s="199"/>
      <c r="N156" s="199"/>
      <c r="O156" s="199"/>
      <c r="P156" s="199">
        <v>0</v>
      </c>
    </row>
    <row r="157" spans="2:16" ht="27.6" x14ac:dyDescent="0.25">
      <c r="B157" s="17"/>
      <c r="C157" s="54" t="s">
        <v>1075</v>
      </c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  <c r="P157" s="199">
        <v>0</v>
      </c>
    </row>
    <row r="158" spans="2:16" ht="27.6" x14ac:dyDescent="0.25">
      <c r="B158" s="17"/>
      <c r="C158" s="54" t="s">
        <v>1076</v>
      </c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  <c r="P158" s="199">
        <v>0</v>
      </c>
    </row>
    <row r="159" spans="2:16" ht="27.6" x14ac:dyDescent="0.25">
      <c r="B159" s="17"/>
      <c r="C159" s="54" t="s">
        <v>1077</v>
      </c>
      <c r="D159" s="199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  <c r="P159" s="199">
        <v>0</v>
      </c>
    </row>
    <row r="160" spans="2:16" x14ac:dyDescent="0.25">
      <c r="B160" s="17" t="s">
        <v>1078</v>
      </c>
      <c r="C160" s="17" t="s">
        <v>1079</v>
      </c>
      <c r="D160" s="199"/>
      <c r="E160" s="199"/>
      <c r="F160" s="199"/>
      <c r="G160" s="199">
        <v>475</v>
      </c>
      <c r="H160" s="199">
        <v>7.45</v>
      </c>
      <c r="I160" s="199">
        <v>5000</v>
      </c>
      <c r="J160" s="199"/>
      <c r="K160" s="199">
        <v>0</v>
      </c>
      <c r="L160" s="199">
        <v>0</v>
      </c>
      <c r="M160" s="199"/>
      <c r="N160" s="199"/>
      <c r="O160" s="199"/>
      <c r="P160" s="199">
        <v>0</v>
      </c>
    </row>
    <row r="161" spans="2:16" x14ac:dyDescent="0.25">
      <c r="B161" s="17"/>
      <c r="C161" s="17" t="s">
        <v>1080</v>
      </c>
      <c r="D161" s="199"/>
      <c r="E161" s="199"/>
      <c r="F161" s="199"/>
      <c r="G161" s="199"/>
      <c r="H161" s="199">
        <v>8.4499999999999993</v>
      </c>
      <c r="I161" s="199"/>
      <c r="J161" s="199"/>
      <c r="K161" s="199">
        <v>0</v>
      </c>
      <c r="L161" s="199">
        <v>0</v>
      </c>
      <c r="M161" s="199"/>
      <c r="N161" s="199"/>
      <c r="O161" s="199"/>
      <c r="P161" s="199">
        <v>0</v>
      </c>
    </row>
    <row r="162" spans="2:16" x14ac:dyDescent="0.25">
      <c r="B162" s="17"/>
      <c r="C162" s="17" t="s">
        <v>1081</v>
      </c>
      <c r="D162" s="199"/>
      <c r="E162" s="199"/>
      <c r="F162" s="199"/>
      <c r="G162" s="199"/>
      <c r="H162" s="199">
        <v>8.4499999999999993</v>
      </c>
      <c r="I162" s="199"/>
      <c r="J162" s="199"/>
      <c r="K162" s="199">
        <v>0</v>
      </c>
      <c r="L162" s="199">
        <v>0</v>
      </c>
      <c r="M162" s="199"/>
      <c r="N162" s="199"/>
      <c r="O162" s="199"/>
      <c r="P162" s="199">
        <v>0</v>
      </c>
    </row>
    <row r="163" spans="2:16" x14ac:dyDescent="0.25">
      <c r="B163" s="17"/>
      <c r="C163" s="17" t="s">
        <v>1082</v>
      </c>
      <c r="D163" s="199"/>
      <c r="E163" s="199"/>
      <c r="F163" s="199"/>
      <c r="G163" s="199"/>
      <c r="H163" s="199">
        <v>6.45</v>
      </c>
      <c r="I163" s="199"/>
      <c r="J163" s="199"/>
      <c r="K163" s="199">
        <v>0</v>
      </c>
      <c r="L163" s="199">
        <v>0</v>
      </c>
      <c r="M163" s="199"/>
      <c r="N163" s="199"/>
      <c r="O163" s="199"/>
      <c r="P163" s="199">
        <v>0</v>
      </c>
    </row>
    <row r="164" spans="2:16" x14ac:dyDescent="0.25">
      <c r="B164" s="17" t="s">
        <v>1083</v>
      </c>
      <c r="C164" s="17" t="s">
        <v>1084</v>
      </c>
      <c r="D164" s="199">
        <v>31</v>
      </c>
      <c r="E164" s="199">
        <v>2435.7829999999999</v>
      </c>
      <c r="F164" s="199">
        <v>1489.6604848500001</v>
      </c>
      <c r="G164" s="199">
        <v>275</v>
      </c>
      <c r="H164" s="199">
        <v>6.3</v>
      </c>
      <c r="I164" s="199">
        <v>5000</v>
      </c>
      <c r="J164" s="199"/>
      <c r="K164" s="199">
        <v>620.27214095000011</v>
      </c>
      <c r="L164" s="199">
        <v>938.48610545550002</v>
      </c>
      <c r="M164" s="199">
        <v>0.186</v>
      </c>
      <c r="N164" s="199">
        <v>60.765333186014232</v>
      </c>
      <c r="O164" s="199"/>
      <c r="P164" s="199">
        <v>1619.7095795915143</v>
      </c>
    </row>
    <row r="165" spans="2:16" x14ac:dyDescent="0.25">
      <c r="B165" s="17" t="s">
        <v>1085</v>
      </c>
      <c r="C165" s="17" t="s">
        <v>1086</v>
      </c>
      <c r="D165" s="199">
        <v>1</v>
      </c>
      <c r="E165" s="199">
        <v>5.3079999999999998</v>
      </c>
      <c r="F165" s="199">
        <v>27.193080692919366</v>
      </c>
      <c r="G165" s="199"/>
      <c r="H165" s="199">
        <v>6.1</v>
      </c>
      <c r="I165" s="199">
        <v>5000</v>
      </c>
      <c r="J165" s="199"/>
      <c r="K165" s="199">
        <v>0</v>
      </c>
      <c r="L165" s="199">
        <v>16.587779222680815</v>
      </c>
      <c r="M165" s="199">
        <v>6.0000000000000001E-3</v>
      </c>
      <c r="N165" s="199">
        <v>2.6548726873191839</v>
      </c>
      <c r="O165" s="199"/>
      <c r="P165" s="199">
        <v>19.24865191</v>
      </c>
    </row>
    <row r="166" spans="2:16" x14ac:dyDescent="0.25">
      <c r="B166" s="17" t="s">
        <v>1103</v>
      </c>
      <c r="C166" s="17" t="s">
        <v>1104</v>
      </c>
      <c r="D166" s="199">
        <v>12</v>
      </c>
      <c r="E166" s="199">
        <v>169.8</v>
      </c>
      <c r="F166" s="199">
        <v>570.660169</v>
      </c>
      <c r="G166" s="199">
        <v>475</v>
      </c>
      <c r="H166" s="199">
        <v>5.05</v>
      </c>
      <c r="I166" s="199">
        <v>5000</v>
      </c>
      <c r="J166" s="199"/>
      <c r="K166" s="199">
        <v>99.689580000000007</v>
      </c>
      <c r="L166" s="199">
        <v>288.18338534499998</v>
      </c>
      <c r="M166" s="199">
        <v>7.1791794999999992E-2</v>
      </c>
      <c r="N166" s="199">
        <v>-4.8368653449999783</v>
      </c>
      <c r="O166" s="199"/>
      <c r="P166" s="199">
        <v>383.10789179500006</v>
      </c>
    </row>
    <row r="167" spans="2:16" x14ac:dyDescent="0.25">
      <c r="B167" s="17" t="s">
        <v>1105</v>
      </c>
      <c r="C167" s="17" t="s">
        <v>1106</v>
      </c>
      <c r="D167" s="199"/>
      <c r="E167" s="199"/>
      <c r="F167" s="199"/>
      <c r="G167" s="199">
        <v>475</v>
      </c>
      <c r="H167" s="199">
        <v>4.95</v>
      </c>
      <c r="I167" s="199">
        <v>5000</v>
      </c>
      <c r="J167" s="199"/>
      <c r="K167" s="199">
        <v>0</v>
      </c>
      <c r="L167" s="199">
        <v>0</v>
      </c>
      <c r="M167" s="199"/>
      <c r="N167" s="199"/>
      <c r="O167" s="199"/>
      <c r="P167" s="199">
        <v>0</v>
      </c>
    </row>
    <row r="168" spans="2:16" x14ac:dyDescent="0.25">
      <c r="B168" s="17" t="s">
        <v>1087</v>
      </c>
      <c r="C168" s="17" t="s">
        <v>1088</v>
      </c>
      <c r="D168" s="199">
        <v>2</v>
      </c>
      <c r="E168" s="199">
        <v>30</v>
      </c>
      <c r="F168" s="199">
        <v>91.474289999999996</v>
      </c>
      <c r="G168" s="199">
        <v>260</v>
      </c>
      <c r="H168" s="199">
        <v>7.3</v>
      </c>
      <c r="I168" s="199">
        <v>5000</v>
      </c>
      <c r="J168" s="199"/>
      <c r="K168" s="199">
        <v>5.8031999999999995</v>
      </c>
      <c r="L168" s="199">
        <v>66.776231699999997</v>
      </c>
      <c r="M168" s="199">
        <v>1.2E-2</v>
      </c>
      <c r="N168" s="199">
        <v>2.8084761338579201</v>
      </c>
      <c r="O168" s="199"/>
      <c r="P168" s="199">
        <v>75.399907833857924</v>
      </c>
    </row>
    <row r="169" spans="2:16" x14ac:dyDescent="0.25">
      <c r="B169" s="17" t="s">
        <v>1089</v>
      </c>
      <c r="C169" s="17" t="s">
        <v>1090</v>
      </c>
      <c r="D169" s="199">
        <v>1</v>
      </c>
      <c r="E169" s="199">
        <v>0.5</v>
      </c>
      <c r="F169" s="199">
        <v>0.96194999999999986</v>
      </c>
      <c r="G169" s="199">
        <v>500</v>
      </c>
      <c r="H169" s="199">
        <v>10.8</v>
      </c>
      <c r="I169" s="199">
        <v>5000</v>
      </c>
      <c r="J169" s="199"/>
      <c r="K169" s="199">
        <v>0.36</v>
      </c>
      <c r="L169" s="199">
        <v>1.0389059999999999</v>
      </c>
      <c r="M169" s="199">
        <v>1.2E-2</v>
      </c>
      <c r="N169" s="199">
        <v>-7.2719999999997231E-3</v>
      </c>
      <c r="O169" s="199"/>
      <c r="P169" s="199">
        <v>1.403634</v>
      </c>
    </row>
    <row r="170" spans="2:16" x14ac:dyDescent="0.25">
      <c r="B170" s="17" t="s">
        <v>1091</v>
      </c>
      <c r="C170" s="17" t="s">
        <v>1092</v>
      </c>
      <c r="D170" s="199"/>
      <c r="E170" s="199"/>
      <c r="F170" s="199"/>
      <c r="G170" s="199">
        <v>100</v>
      </c>
      <c r="H170" s="199">
        <v>6</v>
      </c>
      <c r="I170" s="199">
        <v>5000</v>
      </c>
      <c r="J170" s="199"/>
      <c r="K170" s="199"/>
      <c r="L170" s="199"/>
      <c r="M170" s="199"/>
      <c r="N170" s="199"/>
      <c r="O170" s="199"/>
      <c r="P170" s="199">
        <v>0</v>
      </c>
    </row>
    <row r="171" spans="2:16" x14ac:dyDescent="0.25">
      <c r="B171" s="17"/>
      <c r="C171" s="17" t="s">
        <v>1093</v>
      </c>
      <c r="D171" s="199"/>
      <c r="E171" s="199"/>
      <c r="F171" s="199"/>
      <c r="G171" s="199"/>
      <c r="H171" s="199">
        <v>7</v>
      </c>
      <c r="I171" s="199"/>
      <c r="J171" s="199"/>
      <c r="K171" s="199"/>
      <c r="L171" s="199"/>
      <c r="M171" s="199"/>
      <c r="N171" s="199"/>
      <c r="O171" s="199"/>
      <c r="P171" s="199">
        <v>0</v>
      </c>
    </row>
    <row r="172" spans="2:16" x14ac:dyDescent="0.25">
      <c r="B172" s="17"/>
      <c r="C172" s="17" t="s">
        <v>1094</v>
      </c>
      <c r="D172" s="199"/>
      <c r="E172" s="199"/>
      <c r="F172" s="199"/>
      <c r="G172" s="199"/>
      <c r="H172" s="199">
        <v>7</v>
      </c>
      <c r="I172" s="199"/>
      <c r="J172" s="199"/>
      <c r="K172" s="199"/>
      <c r="L172" s="199"/>
      <c r="M172" s="199"/>
      <c r="N172" s="199"/>
      <c r="O172" s="199"/>
      <c r="P172" s="199">
        <v>0</v>
      </c>
    </row>
    <row r="173" spans="2:16" ht="14.4" thickBot="1" x14ac:dyDescent="0.3">
      <c r="B173" s="17"/>
      <c r="C173" s="17" t="s">
        <v>1095</v>
      </c>
      <c r="D173" s="199"/>
      <c r="E173" s="199"/>
      <c r="F173" s="199"/>
      <c r="G173" s="199"/>
      <c r="H173" s="199">
        <v>5</v>
      </c>
      <c r="I173" s="199"/>
      <c r="J173" s="199"/>
      <c r="K173" s="199"/>
      <c r="L173" s="199"/>
      <c r="M173" s="199"/>
      <c r="N173" s="199"/>
      <c r="O173" s="199"/>
      <c r="P173" s="199"/>
    </row>
    <row r="174" spans="2:16" ht="14.4" thickBot="1" x14ac:dyDescent="0.3">
      <c r="B174" s="28"/>
      <c r="C174" s="202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</row>
    <row r="175" spans="2:16" x14ac:dyDescent="0.25">
      <c r="B175" s="17"/>
      <c r="C175" s="82"/>
      <c r="D175" s="19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</row>
    <row r="176" spans="2:16" x14ac:dyDescent="0.25">
      <c r="B176" s="17"/>
      <c r="C176" s="201" t="s">
        <v>1107</v>
      </c>
      <c r="D176" s="200">
        <v>3566</v>
      </c>
      <c r="E176" s="200">
        <v>4337.5105999999996</v>
      </c>
      <c r="F176" s="200">
        <v>5945.8347720267902</v>
      </c>
      <c r="G176" s="200"/>
      <c r="H176" s="200"/>
      <c r="I176" s="200"/>
      <c r="J176" s="200"/>
      <c r="K176" s="200">
        <v>1170.0483142374999</v>
      </c>
      <c r="L176" s="200">
        <v>3772.3237317241701</v>
      </c>
      <c r="M176" s="200">
        <v>8.865002874</v>
      </c>
      <c r="N176" s="200">
        <v>161.85994989832949</v>
      </c>
      <c r="O176" s="200">
        <v>0</v>
      </c>
      <c r="P176" s="200">
        <v>5113.0969987339995</v>
      </c>
    </row>
    <row r="177" spans="2:16" x14ac:dyDescent="0.25">
      <c r="B177" s="17"/>
      <c r="C177" s="201" t="s">
        <v>1108</v>
      </c>
      <c r="D177" s="200">
        <v>5822245</v>
      </c>
      <c r="E177" s="200">
        <v>6532905.7740239175</v>
      </c>
      <c r="F177" s="200">
        <v>19249.951394826789</v>
      </c>
      <c r="G177" s="200"/>
      <c r="H177" s="200"/>
      <c r="I177" s="200"/>
      <c r="J177" s="200"/>
      <c r="K177" s="200">
        <v>1351.2386927272651</v>
      </c>
      <c r="L177" s="200">
        <v>6601.7877195232686</v>
      </c>
      <c r="M177" s="200">
        <v>435.93232750700002</v>
      </c>
      <c r="N177" s="200">
        <v>233.53998360946679</v>
      </c>
      <c r="O177" s="200">
        <v>0</v>
      </c>
      <c r="P177" s="200">
        <v>8622.4987233669999</v>
      </c>
    </row>
    <row r="178" spans="2:16" x14ac:dyDescent="0.25">
      <c r="B178" s="17"/>
      <c r="C178" s="82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</row>
    <row r="179" spans="2:16" x14ac:dyDescent="0.25">
      <c r="B179" s="17"/>
      <c r="C179" s="82"/>
      <c r="D179" s="19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</row>
    <row r="180" spans="2:16" x14ac:dyDescent="0.25">
      <c r="B180" s="17"/>
      <c r="C180" s="82"/>
      <c r="D180" s="199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</row>
    <row r="181" spans="2:16" x14ac:dyDescent="0.25">
      <c r="B181" s="17"/>
      <c r="C181" s="82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</row>
    <row r="182" spans="2:16" x14ac:dyDescent="0.25">
      <c r="B182" s="17"/>
      <c r="C182" s="82"/>
      <c r="D182" s="199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</row>
    <row r="183" spans="2:16" x14ac:dyDescent="0.25">
      <c r="B183" s="17" t="s">
        <v>226</v>
      </c>
      <c r="C183" s="17" t="s">
        <v>226</v>
      </c>
      <c r="D183" s="19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</row>
    <row r="184" spans="2:16" x14ac:dyDescent="0.25"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8"/>
      <c r="O184" s="198"/>
      <c r="P184" s="198"/>
    </row>
    <row r="185" spans="2:16" x14ac:dyDescent="0.25">
      <c r="B185" s="195"/>
      <c r="C185" s="195"/>
      <c r="D185" s="175" t="s">
        <v>36</v>
      </c>
      <c r="E185" s="166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</row>
    <row r="186" spans="2:16" x14ac:dyDescent="0.25">
      <c r="B186" s="195"/>
      <c r="C186" s="195"/>
      <c r="D186" s="24">
        <v>1</v>
      </c>
      <c r="E186" s="4" t="s">
        <v>984</v>
      </c>
      <c r="F186" s="195"/>
      <c r="G186" s="195"/>
      <c r="H186" s="195"/>
      <c r="I186" s="195"/>
      <c r="J186" s="195"/>
      <c r="K186" s="195"/>
      <c r="L186" s="195"/>
      <c r="M186" s="195"/>
      <c r="N186" s="195"/>
      <c r="O186" s="195"/>
      <c r="P186" s="195"/>
    </row>
    <row r="187" spans="2:16" x14ac:dyDescent="0.25">
      <c r="B187" s="195"/>
      <c r="C187" s="195"/>
      <c r="D187" s="24">
        <v>2</v>
      </c>
      <c r="E187" s="4" t="s">
        <v>985</v>
      </c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</row>
    <row r="188" spans="2:16" x14ac:dyDescent="0.25">
      <c r="B188" s="195"/>
      <c r="C188" s="195"/>
      <c r="D188" s="196">
        <v>3</v>
      </c>
      <c r="E188" s="4" t="s">
        <v>1109</v>
      </c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</row>
  </sheetData>
  <mergeCells count="10">
    <mergeCell ref="B70:C70"/>
    <mergeCell ref="B5:C7"/>
    <mergeCell ref="J5:J6"/>
    <mergeCell ref="G5:H5"/>
    <mergeCell ref="K5:P5"/>
    <mergeCell ref="D5:D6"/>
    <mergeCell ref="E5:E6"/>
    <mergeCell ref="F5:F6"/>
    <mergeCell ref="I5:I6"/>
    <mergeCell ref="B8:C8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224"/>
  <sheetViews>
    <sheetView showGridLines="0" view="pageBreakPreview" zoomScale="60" zoomScaleNormal="80" workbookViewId="0">
      <pane xSplit="3" ySplit="7" topLeftCell="D200" activePane="bottomRight" state="frozen"/>
      <selection activeCell="K17" sqref="K17"/>
      <selection pane="topRight" activeCell="K17" sqref="K17"/>
      <selection pane="bottomLeft" activeCell="K17" sqref="K17"/>
      <selection pane="bottomRight" activeCell="K17" sqref="K17"/>
    </sheetView>
  </sheetViews>
  <sheetFormatPr defaultColWidth="9.109375" defaultRowHeight="13.8" x14ac:dyDescent="0.25"/>
  <cols>
    <col min="1" max="1" width="9.109375" style="657"/>
    <col min="2" max="2" width="33" style="657" customWidth="1"/>
    <col min="3" max="3" width="38.6640625" style="657" hidden="1" customWidth="1"/>
    <col min="4" max="4" width="11.88671875" style="657" customWidth="1"/>
    <col min="5" max="5" width="16.88671875" style="657" customWidth="1"/>
    <col min="6" max="6" width="14" style="657" customWidth="1"/>
    <col min="7" max="7" width="10.88671875" style="657" customWidth="1"/>
    <col min="8" max="8" width="10.33203125" style="657" customWidth="1"/>
    <col min="9" max="9" width="12.88671875" style="657" customWidth="1"/>
    <col min="10" max="10" width="10.33203125" style="657" customWidth="1"/>
    <col min="11" max="11" width="10.5546875" style="657" customWidth="1"/>
    <col min="12" max="12" width="10.88671875" style="657" customWidth="1"/>
    <col min="13" max="13" width="13.6640625" style="657" customWidth="1"/>
    <col min="14" max="14" width="9.109375" style="657"/>
    <col min="15" max="15" width="13.5546875" style="657" customWidth="1"/>
    <col min="16" max="16" width="33.88671875" style="657" customWidth="1"/>
    <col min="17" max="16384" width="9.109375" style="657"/>
  </cols>
  <sheetData>
    <row r="2" spans="2:14" x14ac:dyDescent="0.25">
      <c r="B2" s="890" t="s">
        <v>160</v>
      </c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</row>
    <row r="3" spans="2:14" ht="14.25" customHeight="1" x14ac:dyDescent="0.25">
      <c r="B3" s="928" t="s">
        <v>1110</v>
      </c>
      <c r="C3" s="928"/>
      <c r="D3" s="928"/>
      <c r="E3" s="928"/>
      <c r="F3" s="928"/>
      <c r="G3" s="928"/>
      <c r="H3" s="928"/>
      <c r="I3" s="928"/>
      <c r="J3" s="928"/>
      <c r="K3" s="928"/>
      <c r="L3" s="928"/>
      <c r="M3" s="928"/>
    </row>
    <row r="5" spans="2:14" x14ac:dyDescent="0.25">
      <c r="B5" s="922" t="s">
        <v>163</v>
      </c>
      <c r="C5" s="923"/>
      <c r="D5" s="919" t="s">
        <v>987</v>
      </c>
      <c r="E5" s="919" t="s">
        <v>988</v>
      </c>
      <c r="F5" s="921" t="s">
        <v>770</v>
      </c>
      <c r="G5" s="921" t="s">
        <v>989</v>
      </c>
      <c r="H5" s="921"/>
      <c r="I5" s="919" t="s">
        <v>990</v>
      </c>
      <c r="J5" s="921" t="s">
        <v>992</v>
      </c>
      <c r="K5" s="921"/>
      <c r="L5" s="921"/>
      <c r="M5" s="921"/>
    </row>
    <row r="6" spans="2:14" ht="54.75" customHeight="1" x14ac:dyDescent="0.25">
      <c r="B6" s="924"/>
      <c r="C6" s="925"/>
      <c r="D6" s="919"/>
      <c r="E6" s="919"/>
      <c r="F6" s="921"/>
      <c r="G6" s="658" t="s">
        <v>993</v>
      </c>
      <c r="H6" s="658" t="s">
        <v>994</v>
      </c>
      <c r="I6" s="919"/>
      <c r="J6" s="658" t="s">
        <v>993</v>
      </c>
      <c r="K6" s="658" t="s">
        <v>994</v>
      </c>
      <c r="L6" s="658" t="s">
        <v>990</v>
      </c>
      <c r="M6" s="659" t="s">
        <v>251</v>
      </c>
    </row>
    <row r="7" spans="2:14" ht="54" customHeight="1" x14ac:dyDescent="0.25">
      <c r="B7" s="926"/>
      <c r="C7" s="927"/>
      <c r="D7" s="660" t="s">
        <v>1111</v>
      </c>
      <c r="E7" s="660" t="s">
        <v>995</v>
      </c>
      <c r="F7" s="660" t="s">
        <v>996</v>
      </c>
      <c r="G7" s="661" t="s">
        <v>997</v>
      </c>
      <c r="H7" s="661" t="s">
        <v>998</v>
      </c>
      <c r="I7" s="661" t="s">
        <v>997</v>
      </c>
      <c r="J7" s="658" t="s">
        <v>682</v>
      </c>
      <c r="K7" s="658" t="s">
        <v>682</v>
      </c>
      <c r="L7" s="658" t="s">
        <v>682</v>
      </c>
      <c r="M7" s="659" t="s">
        <v>682</v>
      </c>
    </row>
    <row r="8" spans="2:14" x14ac:dyDescent="0.25">
      <c r="B8" s="773" t="s">
        <v>781</v>
      </c>
      <c r="C8" s="774"/>
      <c r="J8" s="662"/>
      <c r="K8" s="662"/>
      <c r="L8" s="662"/>
      <c r="M8" s="662"/>
    </row>
    <row r="9" spans="2:14" ht="14.4" x14ac:dyDescent="0.25">
      <c r="B9" s="663" t="s">
        <v>899</v>
      </c>
      <c r="C9" s="579"/>
      <c r="D9" s="666">
        <f>'[9]Rev_NP-12me'!H10</f>
        <v>4141446</v>
      </c>
      <c r="E9" s="666">
        <f>'[9]Rev_NP-12me'!I10</f>
        <v>4676.0056213445614</v>
      </c>
      <c r="F9" s="666">
        <f>'[9]Rev_NP-12me'!K10</f>
        <v>4518.5095000650799</v>
      </c>
      <c r="G9" s="664"/>
      <c r="H9" s="665"/>
      <c r="I9" s="664"/>
      <c r="J9" s="674">
        <f>'[9]Rev_NP-12me'!CZ10</f>
        <v>56.637118991366016</v>
      </c>
      <c r="K9" s="674">
        <f>'[9]Rev_NP-12me'!DA10</f>
        <v>1712.3771956627511</v>
      </c>
      <c r="L9" s="674">
        <f>'[9]Rev_NP-12me'!DC10</f>
        <v>301.62265199999996</v>
      </c>
      <c r="M9" s="666">
        <f t="shared" ref="M9:M40" si="0">SUM(J9:L9)</f>
        <v>2070.6369666541168</v>
      </c>
    </row>
    <row r="10" spans="2:14" ht="14.4" x14ac:dyDescent="0.25">
      <c r="B10" s="667" t="s">
        <v>900</v>
      </c>
      <c r="C10" s="579"/>
      <c r="D10" s="664">
        <f>'[9]Rev_NP-12me'!H11</f>
        <v>3137721</v>
      </c>
      <c r="E10" s="664">
        <f>'[9]Rev_NP-12me'!I11</f>
        <v>2563.4526400562763</v>
      </c>
      <c r="F10" s="664">
        <f>'[9]Rev_NP-12me'!K11</f>
        <v>1929.8524947783014</v>
      </c>
      <c r="G10" s="664"/>
      <c r="H10" s="665"/>
      <c r="I10" s="664"/>
      <c r="J10" s="669">
        <f>'[9]Rev_NP-12me'!CZ11</f>
        <v>30.761431680675319</v>
      </c>
      <c r="K10" s="669">
        <f>'[9]Rev_NP-12me'!DA11</f>
        <v>416.10967265341782</v>
      </c>
      <c r="L10" s="669">
        <f>'[9]Rev_NP-12me'!DC11</f>
        <v>187.71543</v>
      </c>
      <c r="M10" s="664">
        <f t="shared" si="0"/>
        <v>634.58653433409313</v>
      </c>
    </row>
    <row r="11" spans="2:14" ht="14.4" x14ac:dyDescent="0.25">
      <c r="B11" s="668" t="s">
        <v>901</v>
      </c>
      <c r="C11" s="579"/>
      <c r="D11" s="665">
        <f>'[9]Rev_NP-12me'!H12</f>
        <v>2035553</v>
      </c>
      <c r="E11" s="665">
        <f>'[9]Rev_NP-12me'!I12</f>
        <v>1309.44201535964</v>
      </c>
      <c r="F11" s="665">
        <f>'[9]Rev_NP-12me'!K12</f>
        <v>1583.8660932857013</v>
      </c>
      <c r="G11" s="669">
        <f>'[9]Rev_NP-12me'!O12</f>
        <v>10</v>
      </c>
      <c r="H11" s="670">
        <f>'[9]Rev_NP-12me'!P12</f>
        <v>1.95</v>
      </c>
      <c r="I11" s="669">
        <f>'[9]Rev_NP-12me'!AA12</f>
        <v>40</v>
      </c>
      <c r="J11" s="681">
        <f>'[9]Rev_NP-12me'!CZ12</f>
        <v>15.713304184315678</v>
      </c>
      <c r="K11" s="681">
        <f>'[9]Rev_NP-12me'!DA12</f>
        <v>308.85388819071176</v>
      </c>
      <c r="L11" s="681">
        <f>'[9]Rev_NP-12me'!DC12</f>
        <v>96.385295999999997</v>
      </c>
      <c r="M11" s="664">
        <f t="shared" si="0"/>
        <v>420.95248837502743</v>
      </c>
    </row>
    <row r="12" spans="2:14" ht="14.4" x14ac:dyDescent="0.25">
      <c r="B12" s="668" t="s">
        <v>903</v>
      </c>
      <c r="C12" s="579"/>
      <c r="D12" s="665">
        <f>'[9]Rev_NP-12me'!H13</f>
        <v>1102168</v>
      </c>
      <c r="E12" s="665">
        <f>'[9]Rev_NP-12me'!I13</f>
        <v>1254.0106246966366</v>
      </c>
      <c r="F12" s="665">
        <f>'[9]Rev_NP-12me'!K13</f>
        <v>345.98640149260012</v>
      </c>
      <c r="G12" s="669">
        <f>'[9]Rev_NP-12me'!O13</f>
        <v>10</v>
      </c>
      <c r="H12" s="670">
        <f>'[9]Rev_NP-12me'!P13</f>
        <v>3.1</v>
      </c>
      <c r="I12" s="669">
        <f>'[9]Rev_NP-12me'!AA13</f>
        <v>70</v>
      </c>
      <c r="J12" s="681">
        <f>'[9]Rev_NP-12me'!CZ13</f>
        <v>15.048127496359641</v>
      </c>
      <c r="K12" s="681">
        <f>'[9]Rev_NP-12me'!DA13</f>
        <v>107.25578446270606</v>
      </c>
      <c r="L12" s="681">
        <f>'[9]Rev_NP-12me'!DC13</f>
        <v>91.330134000000001</v>
      </c>
      <c r="M12" s="664">
        <f t="shared" si="0"/>
        <v>213.6340459590657</v>
      </c>
    </row>
    <row r="13" spans="2:14" x14ac:dyDescent="0.25">
      <c r="B13" s="667" t="s">
        <v>904</v>
      </c>
      <c r="C13" s="579"/>
      <c r="D13" s="664">
        <f>'[9]Rev_NP-12me'!H14</f>
        <v>689390</v>
      </c>
      <c r="E13" s="664">
        <f>'[9]Rev_NP-12me'!I14</f>
        <v>1407.59574739041</v>
      </c>
      <c r="F13" s="664">
        <f>'[9]Rev_NP-12me'!K14</f>
        <v>1420.2232835244331</v>
      </c>
      <c r="G13" s="671">
        <f>'[9]Rev_NP-12me'!O14</f>
        <v>0</v>
      </c>
      <c r="H13" s="672">
        <f>'[9]Rev_NP-12me'!P14</f>
        <v>0</v>
      </c>
      <c r="I13" s="671">
        <f>'[9]Rev_NP-12me'!AA14</f>
        <v>0</v>
      </c>
      <c r="J13" s="671">
        <f>'[9]Rev_NP-12me'!CZ14</f>
        <v>16.891148968684917</v>
      </c>
      <c r="K13" s="669">
        <f>'[9]Rev_NP-12me'!DA14</f>
        <v>563.55102447239881</v>
      </c>
      <c r="L13" s="669">
        <f>'[9]Rev_NP-12me'!DC14</f>
        <v>73.447289999999995</v>
      </c>
      <c r="M13" s="664">
        <f t="shared" si="0"/>
        <v>653.88946344108365</v>
      </c>
    </row>
    <row r="14" spans="2:14" ht="14.4" x14ac:dyDescent="0.25">
      <c r="B14" s="668" t="s">
        <v>905</v>
      </c>
      <c r="C14" s="579"/>
      <c r="D14" s="665">
        <f>'[9]Rev_NP-12me'!H15</f>
        <v>0</v>
      </c>
      <c r="E14" s="665">
        <f>'[9]Rev_NP-12me'!I15</f>
        <v>0</v>
      </c>
      <c r="F14" s="665">
        <f>'[9]Rev_NP-12me'!K15</f>
        <v>843.97251156663583</v>
      </c>
      <c r="G14" s="669">
        <f>'[9]Rev_NP-12me'!O15</f>
        <v>10</v>
      </c>
      <c r="H14" s="670">
        <f>'[9]Rev_NP-12me'!P15</f>
        <v>3.4</v>
      </c>
      <c r="I14" s="671">
        <f>'[9]Rev_NP-12me'!AA15</f>
        <v>0</v>
      </c>
      <c r="J14" s="681">
        <f>'[9]Rev_NP-12me'!CZ15</f>
        <v>0</v>
      </c>
      <c r="K14" s="681">
        <f>'[9]Rev_NP-12me'!DA15</f>
        <v>286.95065393265622</v>
      </c>
      <c r="L14" s="681">
        <f>'[9]Rev_NP-12me'!DC15</f>
        <v>0</v>
      </c>
      <c r="M14" s="664">
        <f t="shared" si="0"/>
        <v>286.95065393265622</v>
      </c>
    </row>
    <row r="15" spans="2:14" ht="14.4" x14ac:dyDescent="0.25">
      <c r="B15" s="668" t="s">
        <v>906</v>
      </c>
      <c r="C15" s="579"/>
      <c r="D15" s="665">
        <f>'[9]Rev_NP-12me'!H16</f>
        <v>689390</v>
      </c>
      <c r="E15" s="665">
        <f>'[9]Rev_NP-12me'!I16</f>
        <v>1407.59574739041</v>
      </c>
      <c r="F15" s="665">
        <f>'[9]Rev_NP-12me'!K16</f>
        <v>576.25077195779716</v>
      </c>
      <c r="G15" s="669">
        <f>'[9]Rev_NP-12me'!O16</f>
        <v>10</v>
      </c>
      <c r="H15" s="670">
        <f>'[9]Rev_NP-12me'!P16</f>
        <v>4.8</v>
      </c>
      <c r="I15" s="669">
        <f>'[9]Rev_NP-12me'!AA16</f>
        <v>90</v>
      </c>
      <c r="J15" s="681">
        <f>'[9]Rev_NP-12me'!CZ16</f>
        <v>16.891148968684917</v>
      </c>
      <c r="K15" s="681">
        <f>'[9]Rev_NP-12me'!DA16</f>
        <v>276.60037053974258</v>
      </c>
      <c r="L15" s="681">
        <f>'[9]Rev_NP-12me'!DC16</f>
        <v>73.447289999999995</v>
      </c>
      <c r="M15" s="664">
        <f t="shared" si="0"/>
        <v>366.93880950842748</v>
      </c>
    </row>
    <row r="16" spans="2:14" x14ac:dyDescent="0.25">
      <c r="B16" s="667" t="s">
        <v>907</v>
      </c>
      <c r="C16" s="579"/>
      <c r="D16" s="664">
        <f>'[9]Rev_NP-12me'!H17</f>
        <v>314335</v>
      </c>
      <c r="E16" s="664">
        <f>'[9]Rev_NP-12me'!I17</f>
        <v>704.95723389787474</v>
      </c>
      <c r="F16" s="664">
        <f>'[9]Rev_NP-12me'!K17</f>
        <v>1168.4337217623447</v>
      </c>
      <c r="G16" s="671">
        <f>'[9]Rev_NP-12me'!O17</f>
        <v>0</v>
      </c>
      <c r="H16" s="672">
        <f>'[9]Rev_NP-12me'!P17</f>
        <v>0</v>
      </c>
      <c r="I16" s="671">
        <f>'[9]Rev_NP-12me'!AA17</f>
        <v>0</v>
      </c>
      <c r="J16" s="669">
        <f>'[9]Rev_NP-12me'!CZ17</f>
        <v>8.9845383420057825</v>
      </c>
      <c r="K16" s="669">
        <f>'[9]Rev_NP-12me'!DA17</f>
        <v>732.71649853693464</v>
      </c>
      <c r="L16" s="669">
        <f>'[9]Rev_NP-12me'!DC17</f>
        <v>40.459932000000002</v>
      </c>
      <c r="M16" s="664">
        <f t="shared" si="0"/>
        <v>782.16096887894037</v>
      </c>
    </row>
    <row r="17" spans="2:13" ht="14.4" x14ac:dyDescent="0.25">
      <c r="B17" s="668" t="s">
        <v>908</v>
      </c>
      <c r="C17" s="579"/>
      <c r="D17" s="665">
        <f>'[9]Rev_NP-12me'!H18</f>
        <v>0</v>
      </c>
      <c r="E17" s="665">
        <f>'[9]Rev_NP-12me'!I18</f>
        <v>0</v>
      </c>
      <c r="F17" s="665">
        <f>'[9]Rev_NP-12me'!K18</f>
        <v>760.70176679966903</v>
      </c>
      <c r="G17" s="669">
        <f>'[9]Rev_NP-12me'!O18</f>
        <v>10</v>
      </c>
      <c r="H17" s="670">
        <f>'[9]Rev_NP-12me'!P18</f>
        <v>5.0999999999999996</v>
      </c>
      <c r="I17" s="671">
        <f>'[9]Rev_NP-12me'!AA18</f>
        <v>0</v>
      </c>
      <c r="J17" s="681">
        <f>'[9]Rev_NP-12me'!CZ18</f>
        <v>0</v>
      </c>
      <c r="K17" s="681">
        <f>'[9]Rev_NP-12me'!DA18</f>
        <v>387.95790106783113</v>
      </c>
      <c r="L17" s="681">
        <f>'[9]Rev_NP-12me'!DC18</f>
        <v>0</v>
      </c>
      <c r="M17" s="664">
        <f t="shared" si="0"/>
        <v>387.95790106783113</v>
      </c>
    </row>
    <row r="18" spans="2:13" ht="14.4" x14ac:dyDescent="0.25">
      <c r="B18" s="668" t="s">
        <v>909</v>
      </c>
      <c r="C18" s="579"/>
      <c r="D18" s="665">
        <f>'[9]Rev_NP-12me'!H19</f>
        <v>222291</v>
      </c>
      <c r="E18" s="665">
        <f>'[9]Rev_NP-12me'!I19</f>
        <v>414.64465195028669</v>
      </c>
      <c r="F18" s="665">
        <f>'[9]Rev_NP-12me'!K19</f>
        <v>223.28956504725727</v>
      </c>
      <c r="G18" s="669">
        <f>'[9]Rev_NP-12me'!O19</f>
        <v>10</v>
      </c>
      <c r="H18" s="670">
        <f>'[9]Rev_NP-12me'!P19</f>
        <v>7.7</v>
      </c>
      <c r="I18" s="669">
        <f>'[9]Rev_NP-12me'!AA19</f>
        <v>100</v>
      </c>
      <c r="J18" s="681">
        <f>'[9]Rev_NP-12me'!CZ19</f>
        <v>4.9757358234034408</v>
      </c>
      <c r="K18" s="681">
        <f>'[9]Rev_NP-12me'!DA19</f>
        <v>171.93296508638812</v>
      </c>
      <c r="L18" s="681">
        <f>'[9]Rev_NP-12me'!DC19</f>
        <v>26.3142</v>
      </c>
      <c r="M18" s="664">
        <f t="shared" si="0"/>
        <v>203.22290090979158</v>
      </c>
    </row>
    <row r="19" spans="2:13" ht="14.4" x14ac:dyDescent="0.25">
      <c r="B19" s="668" t="s">
        <v>910</v>
      </c>
      <c r="C19" s="579"/>
      <c r="D19" s="665">
        <f>'[9]Rev_NP-12me'!H20</f>
        <v>51741</v>
      </c>
      <c r="E19" s="665">
        <f>'[9]Rev_NP-12me'!I20</f>
        <v>140.0765467872198</v>
      </c>
      <c r="F19" s="665">
        <f>'[9]Rev_NP-12me'!K20</f>
        <v>80.750082625962577</v>
      </c>
      <c r="G19" s="669">
        <f>'[9]Rev_NP-12me'!O20</f>
        <v>10</v>
      </c>
      <c r="H19" s="670">
        <f>'[9]Rev_NP-12me'!P20</f>
        <v>9</v>
      </c>
      <c r="I19" s="669">
        <f>'[9]Rev_NP-12me'!AA20</f>
        <v>120</v>
      </c>
      <c r="J19" s="681">
        <f>'[9]Rev_NP-12me'!CZ20</f>
        <v>1.6809185614466378</v>
      </c>
      <c r="K19" s="681">
        <f>'[9]Rev_NP-12me'!DA20</f>
        <v>72.675074363366321</v>
      </c>
      <c r="L19" s="681">
        <f>'[9]Rev_NP-12me'!DC20</f>
        <v>7.3499759999999998</v>
      </c>
      <c r="M19" s="664">
        <f t="shared" si="0"/>
        <v>81.70596892481295</v>
      </c>
    </row>
    <row r="20" spans="2:13" ht="14.4" x14ac:dyDescent="0.25">
      <c r="B20" s="668" t="s">
        <v>911</v>
      </c>
      <c r="C20" s="579"/>
      <c r="D20" s="665">
        <f>'[9]Rev_NP-12me'!H21</f>
        <v>35386</v>
      </c>
      <c r="E20" s="665">
        <f>'[9]Rev_NP-12me'!I21</f>
        <v>123.98345839880392</v>
      </c>
      <c r="F20" s="665">
        <f>'[9]Rev_NP-12me'!K21</f>
        <v>70.83498540213435</v>
      </c>
      <c r="G20" s="669">
        <f>'[9]Rev_NP-12me'!O21</f>
        <v>10</v>
      </c>
      <c r="H20" s="670">
        <f>'[9]Rev_NP-12me'!P21</f>
        <v>9.5</v>
      </c>
      <c r="I20" s="669">
        <f>'[9]Rev_NP-12me'!AA21</f>
        <v>140</v>
      </c>
      <c r="J20" s="681">
        <f>'[9]Rev_NP-12me'!CZ21</f>
        <v>1.4878015007856471</v>
      </c>
      <c r="K20" s="681">
        <f>'[9]Rev_NP-12me'!DA21</f>
        <v>67.29323613202763</v>
      </c>
      <c r="L20" s="681">
        <f>'[9]Rev_NP-12me'!DC21</f>
        <v>5.8644600000000002</v>
      </c>
      <c r="M20" s="664">
        <f t="shared" si="0"/>
        <v>74.645497632813274</v>
      </c>
    </row>
    <row r="21" spans="2:13" ht="14.4" x14ac:dyDescent="0.25">
      <c r="B21" s="668" t="s">
        <v>912</v>
      </c>
      <c r="C21" s="579"/>
      <c r="D21" s="665">
        <f>'[9]Rev_NP-12me'!H22</f>
        <v>4917</v>
      </c>
      <c r="E21" s="665">
        <f>'[9]Rev_NP-12me'!I22</f>
        <v>26.252576761564292</v>
      </c>
      <c r="F21" s="665">
        <f>'[9]Rev_NP-12me'!K22</f>
        <v>32.857321887321497</v>
      </c>
      <c r="G21" s="669">
        <f>'[9]Rev_NP-12me'!O22</f>
        <v>50</v>
      </c>
      <c r="H21" s="670">
        <f>'[9]Rev_NP-12me'!P22</f>
        <v>10</v>
      </c>
      <c r="I21" s="669">
        <f>'[9]Rev_NP-12me'!AA22</f>
        <v>160</v>
      </c>
      <c r="J21" s="681">
        <f>'[9]Rev_NP-12me'!CZ22</f>
        <v>0.84008245637005741</v>
      </c>
      <c r="K21" s="681">
        <f>'[9]Rev_NP-12me'!DA22</f>
        <v>32.857321887321504</v>
      </c>
      <c r="L21" s="681">
        <f>'[9]Rev_NP-12me'!DC22</f>
        <v>0.93129600000000001</v>
      </c>
      <c r="M21" s="664">
        <f t="shared" si="0"/>
        <v>34.628700343691563</v>
      </c>
    </row>
    <row r="22" spans="2:13" x14ac:dyDescent="0.25">
      <c r="B22" s="663" t="s">
        <v>913</v>
      </c>
      <c r="C22" s="579"/>
      <c r="D22" s="666">
        <f>'[9]Rev_NP-12me'!H23</f>
        <v>533913</v>
      </c>
      <c r="E22" s="666">
        <f>'[9]Rev_NP-12me'!I23</f>
        <v>1191.5298227833741</v>
      </c>
      <c r="F22" s="666">
        <f>'[9]Rev_NP-12me'!K23</f>
        <v>1030.7841392053078</v>
      </c>
      <c r="G22" s="671">
        <f>'[9]Rev_NP-12me'!O23</f>
        <v>0</v>
      </c>
      <c r="H22" s="672">
        <f>'[9]Rev_NP-12me'!P23</f>
        <v>0</v>
      </c>
      <c r="I22" s="671">
        <f>'[9]Rev_NP-12me'!AA23</f>
        <v>0</v>
      </c>
      <c r="J22" s="674">
        <f>'[9]Rev_NP-12me'!CZ23</f>
        <v>95.783711265419583</v>
      </c>
      <c r="K22" s="674">
        <f>'[9]Rev_NP-12me'!DA23</f>
        <v>1039.1355274276104</v>
      </c>
      <c r="L22" s="674">
        <f>'[9]Rev_NP-12me'!DC23</f>
        <v>44.920704000000001</v>
      </c>
      <c r="M22" s="666">
        <f t="shared" si="0"/>
        <v>1179.83994269303</v>
      </c>
    </row>
    <row r="23" spans="2:13" x14ac:dyDescent="0.25">
      <c r="B23" s="667" t="s">
        <v>914</v>
      </c>
      <c r="C23" s="579"/>
      <c r="D23" s="664">
        <f>'[9]Rev_NP-12me'!H24</f>
        <v>313825</v>
      </c>
      <c r="E23" s="664">
        <f>'[9]Rev_NP-12me'!I24</f>
        <v>405.24701474450387</v>
      </c>
      <c r="F23" s="664">
        <f>'[9]Rev_NP-12me'!K24</f>
        <v>69.628127731745138</v>
      </c>
      <c r="G23" s="671">
        <f>'[9]Rev_NP-12me'!O24</f>
        <v>0</v>
      </c>
      <c r="H23" s="672">
        <f>'[9]Rev_NP-12me'!P24</f>
        <v>0</v>
      </c>
      <c r="I23" s="671">
        <f>'[9]Rev_NP-12me'!AA24</f>
        <v>0</v>
      </c>
      <c r="J23" s="669">
        <f>'[9]Rev_NP-12me'!CZ24</f>
        <v>23.099079840436723</v>
      </c>
      <c r="K23" s="669">
        <f>'[9]Rev_NP-12me'!DA24</f>
        <v>48.739689412221601</v>
      </c>
      <c r="L23" s="669">
        <f>'[9]Rev_NP-12me'!DC24</f>
        <v>18.382380000000001</v>
      </c>
      <c r="M23" s="664">
        <f t="shared" si="0"/>
        <v>90.221149252658321</v>
      </c>
    </row>
    <row r="24" spans="2:13" ht="14.4" x14ac:dyDescent="0.25">
      <c r="B24" s="673" t="s">
        <v>901</v>
      </c>
      <c r="C24" s="579"/>
      <c r="D24" s="665">
        <f>'[9]Rev_NP-12me'!H25</f>
        <v>313825</v>
      </c>
      <c r="E24" s="665">
        <f>'[9]Rev_NP-12me'!I25</f>
        <v>405.24701474450387</v>
      </c>
      <c r="F24" s="665">
        <f>'[9]Rev_NP-12me'!K25</f>
        <v>69.628127731745138</v>
      </c>
      <c r="G24" s="669">
        <f>'[9]Rev_NP-12me'!O25</f>
        <v>30</v>
      </c>
      <c r="H24" s="670">
        <f>'[9]Rev_NP-12me'!P25</f>
        <v>7</v>
      </c>
      <c r="I24" s="669">
        <f>'[9]Rev_NP-12me'!AA25</f>
        <v>50</v>
      </c>
      <c r="J24" s="681">
        <f>'[9]Rev_NP-12me'!CZ25</f>
        <v>23.099079840436723</v>
      </c>
      <c r="K24" s="681">
        <f>'[9]Rev_NP-12me'!DA25</f>
        <v>48.739689412221601</v>
      </c>
      <c r="L24" s="681">
        <f>'[9]Rev_NP-12me'!DC25</f>
        <v>18.382380000000001</v>
      </c>
      <c r="M24" s="664">
        <f t="shared" si="0"/>
        <v>90.221149252658321</v>
      </c>
    </row>
    <row r="25" spans="2:13" x14ac:dyDescent="0.25">
      <c r="B25" s="667" t="s">
        <v>915</v>
      </c>
      <c r="C25" s="579"/>
      <c r="D25" s="664">
        <f>'[9]Rev_NP-12me'!H26</f>
        <v>206400</v>
      </c>
      <c r="E25" s="664">
        <f>'[9]Rev_NP-12me'!I26</f>
        <v>771.86120882376872</v>
      </c>
      <c r="F25" s="664">
        <f>'[9]Rev_NP-12me'!K26</f>
        <v>957.0513579987155</v>
      </c>
      <c r="G25" s="671">
        <f>'[9]Rev_NP-12me'!O26</f>
        <v>0</v>
      </c>
      <c r="H25" s="672">
        <f>'[9]Rev_NP-12me'!P26</f>
        <v>0</v>
      </c>
      <c r="I25" s="671">
        <f>'[9]Rev_NP-12me'!AA26</f>
        <v>0</v>
      </c>
      <c r="J25" s="669">
        <f>'[9]Rev_NP-12me'!CZ26</f>
        <v>71.542541276979108</v>
      </c>
      <c r="K25" s="669">
        <f>'[9]Rev_NP-12me'!DA26</f>
        <v>987.04648977978081</v>
      </c>
      <c r="L25" s="669">
        <f>'[9]Rev_NP-12me'!DC26</f>
        <v>25.708494000000002</v>
      </c>
      <c r="M25" s="664">
        <f t="shared" si="0"/>
        <v>1084.2975250567599</v>
      </c>
    </row>
    <row r="26" spans="2:13" ht="14.4" x14ac:dyDescent="0.25">
      <c r="B26" s="668" t="s">
        <v>905</v>
      </c>
      <c r="C26" s="579"/>
      <c r="D26" s="665">
        <f>'[9]Rev_NP-12me'!H27</f>
        <v>87458</v>
      </c>
      <c r="E26" s="665">
        <f>'[9]Rev_NP-12me'!I27</f>
        <v>137.77463158459545</v>
      </c>
      <c r="F26" s="665">
        <f>'[9]Rev_NP-12me'!K27</f>
        <v>185.54016839921036</v>
      </c>
      <c r="G26" s="669">
        <f>'[9]Rev_NP-12me'!O27</f>
        <v>70</v>
      </c>
      <c r="H26" s="670">
        <f>'[9]Rev_NP-12me'!P27</f>
        <v>8.5</v>
      </c>
      <c r="I26" s="669">
        <f>'[9]Rev_NP-12me'!AA27</f>
        <v>90</v>
      </c>
      <c r="J26" s="681">
        <f>'[9]Rev_NP-12me'!CZ27</f>
        <v>11.573069053106019</v>
      </c>
      <c r="K26" s="681">
        <f>'[9]Rev_NP-12me'!DA27</f>
        <v>157.7091431393288</v>
      </c>
      <c r="L26" s="681">
        <f>'[9]Rev_NP-12me'!DC27</f>
        <v>9.2212019999999999</v>
      </c>
      <c r="M26" s="664">
        <f t="shared" si="0"/>
        <v>178.50341419243483</v>
      </c>
    </row>
    <row r="27" spans="2:13" ht="14.4" x14ac:dyDescent="0.25">
      <c r="B27" s="668" t="s">
        <v>916</v>
      </c>
      <c r="C27" s="579"/>
      <c r="D27" s="665">
        <f>'[9]Rev_NP-12me'!H28</f>
        <v>75839</v>
      </c>
      <c r="E27" s="665">
        <f>'[9]Rev_NP-12me'!I28</f>
        <v>187.00659485367149</v>
      </c>
      <c r="F27" s="665">
        <f>'[9]Rev_NP-12me'!K28</f>
        <v>111.65294908133218</v>
      </c>
      <c r="G27" s="669">
        <f>'[9]Rev_NP-12me'!O28</f>
        <v>70</v>
      </c>
      <c r="H27" s="670">
        <f>'[9]Rev_NP-12me'!P28</f>
        <v>9.9</v>
      </c>
      <c r="I27" s="669">
        <f>'[9]Rev_NP-12me'!AA28</f>
        <v>105</v>
      </c>
      <c r="J27" s="681">
        <f>'[9]Rev_NP-12me'!CZ28</f>
        <v>15.708553967708406</v>
      </c>
      <c r="K27" s="681">
        <f>'[9]Rev_NP-12me'!DA28</f>
        <v>110.53641959051888</v>
      </c>
      <c r="L27" s="681">
        <f>'[9]Rev_NP-12me'!DC28</f>
        <v>9.3287879999999994</v>
      </c>
      <c r="M27" s="664">
        <f t="shared" si="0"/>
        <v>135.57376155822729</v>
      </c>
    </row>
    <row r="28" spans="2:13" ht="14.4" x14ac:dyDescent="0.25">
      <c r="B28" s="668" t="s">
        <v>917</v>
      </c>
      <c r="C28" s="579"/>
      <c r="D28" s="665">
        <f>'[9]Rev_NP-12me'!H29</f>
        <v>19649</v>
      </c>
      <c r="E28" s="665">
        <f>'[9]Rev_NP-12me'!I29</f>
        <v>75.923030311685665</v>
      </c>
      <c r="F28" s="665">
        <f>'[9]Rev_NP-12me'!K29</f>
        <v>117.38562533428569</v>
      </c>
      <c r="G28" s="669">
        <f>'[9]Rev_NP-12me'!O29</f>
        <v>100</v>
      </c>
      <c r="H28" s="670">
        <f>'[9]Rev_NP-12me'!P29</f>
        <v>10.4</v>
      </c>
      <c r="I28" s="669">
        <f>'[9]Rev_NP-12me'!AA29</f>
        <v>120</v>
      </c>
      <c r="J28" s="681">
        <f>'[9]Rev_NP-12me'!CZ29</f>
        <v>7.5163800008568806</v>
      </c>
      <c r="K28" s="681">
        <f>'[9]Rev_NP-12me'!DA29</f>
        <v>122.08105034765713</v>
      </c>
      <c r="L28" s="681">
        <f>'[9]Rev_NP-12me'!DC29</f>
        <v>2.7622800000000001</v>
      </c>
      <c r="M28" s="664">
        <f t="shared" si="0"/>
        <v>132.359710348514</v>
      </c>
    </row>
    <row r="29" spans="2:13" ht="14.4" x14ac:dyDescent="0.25">
      <c r="B29" s="668" t="s">
        <v>918</v>
      </c>
      <c r="C29" s="579"/>
      <c r="D29" s="665">
        <f>'[9]Rev_NP-12me'!H30</f>
        <v>23454</v>
      </c>
      <c r="E29" s="665">
        <f>'[9]Rev_NP-12me'!I30</f>
        <v>371.15695207381606</v>
      </c>
      <c r="F29" s="665">
        <f>'[9]Rev_NP-12me'!K30</f>
        <v>542.47261518388723</v>
      </c>
      <c r="G29" s="669">
        <f>'[9]Rev_NP-12me'!O30</f>
        <v>100</v>
      </c>
      <c r="H29" s="670">
        <f>'[9]Rev_NP-12me'!P30</f>
        <v>11</v>
      </c>
      <c r="I29" s="669">
        <f>'[9]Rev_NP-12me'!AA30</f>
        <v>160</v>
      </c>
      <c r="J29" s="681">
        <f>'[9]Rev_NP-12me'!CZ30</f>
        <v>36.744538255307795</v>
      </c>
      <c r="K29" s="681">
        <f>'[9]Rev_NP-12me'!DA30</f>
        <v>596.719876702276</v>
      </c>
      <c r="L29" s="681">
        <f>'[9]Rev_NP-12me'!DC30</f>
        <v>4.3962240000000001</v>
      </c>
      <c r="M29" s="664">
        <f t="shared" si="0"/>
        <v>637.86063895758377</v>
      </c>
    </row>
    <row r="30" spans="2:13" x14ac:dyDescent="0.25">
      <c r="B30" s="667" t="s">
        <v>919</v>
      </c>
      <c r="C30" s="579"/>
      <c r="D30" s="664">
        <f>'[9]Rev_NP-12me'!H31</f>
        <v>513</v>
      </c>
      <c r="E30" s="664">
        <f>'[9]Rev_NP-12me'!I31</f>
        <v>1.9949039330080593</v>
      </c>
      <c r="F30" s="664">
        <f>'[9]Rev_NP-12me'!K31</f>
        <v>1.2367540297110171</v>
      </c>
      <c r="G30" s="669">
        <f>'[9]Rev_NP-12me'!O31</f>
        <v>150</v>
      </c>
      <c r="H30" s="670">
        <f>'[9]Rev_NP-12me'!P31</f>
        <v>13</v>
      </c>
      <c r="I30" s="669">
        <f>'[9]Rev_NP-12me'!AA31</f>
        <v>160</v>
      </c>
      <c r="J30" s="669">
        <f>'[9]Rev_NP-12me'!CZ31</f>
        <v>0.24736808769299937</v>
      </c>
      <c r="K30" s="669">
        <f>'[9]Rev_NP-12me'!DA31</f>
        <v>1.6077802386243225</v>
      </c>
      <c r="L30" s="669">
        <f>'[9]Rev_NP-12me'!DC31</f>
        <v>9.6192E-2</v>
      </c>
      <c r="M30" s="664">
        <f t="shared" si="0"/>
        <v>1.9513403263173219</v>
      </c>
    </row>
    <row r="31" spans="2:13" x14ac:dyDescent="0.25">
      <c r="B31" s="667" t="s">
        <v>920</v>
      </c>
      <c r="C31" s="579"/>
      <c r="D31" s="664">
        <f>'[9]Rev_NP-12me'!H32</f>
        <v>13175</v>
      </c>
      <c r="E31" s="664">
        <f>'[9]Rev_NP-12me'!I32</f>
        <v>12.426695282093579</v>
      </c>
      <c r="F31" s="664">
        <f>'[9]Rev_NP-12me'!K32</f>
        <v>2.8678994451362314</v>
      </c>
      <c r="G31" s="671">
        <f>'[9]Rev_NP-12me'!O32</f>
        <v>0</v>
      </c>
      <c r="H31" s="672">
        <f>'[9]Rev_NP-12me'!P32</f>
        <v>0</v>
      </c>
      <c r="I31" s="671">
        <f>'[9]Rev_NP-12me'!AA32</f>
        <v>0</v>
      </c>
      <c r="J31" s="669">
        <f>'[9]Rev_NP-12me'!CZ32</f>
        <v>0.89472206031073753</v>
      </c>
      <c r="K31" s="669">
        <f>'[9]Rev_NP-12me'!DA32</f>
        <v>1.7415679969835205</v>
      </c>
      <c r="L31" s="669">
        <f>'[9]Rev_NP-12me'!DC32</f>
        <v>0.73363800000000001</v>
      </c>
      <c r="M31" s="664">
        <f t="shared" si="0"/>
        <v>3.369928057294258</v>
      </c>
    </row>
    <row r="32" spans="2:13" ht="14.4" x14ac:dyDescent="0.25">
      <c r="B32" s="668" t="s">
        <v>901</v>
      </c>
      <c r="C32" s="579"/>
      <c r="D32" s="665">
        <f>'[9]Rev_NP-12me'!H33</f>
        <v>10635</v>
      </c>
      <c r="E32" s="665">
        <f>'[9]Rev_NP-12me'!I33</f>
        <v>9.6933426691298337</v>
      </c>
      <c r="F32" s="665">
        <f>'[9]Rev_NP-12me'!K33</f>
        <v>1.5198112994825741</v>
      </c>
      <c r="G32" s="669">
        <f>'[9]Rev_NP-12me'!O33</f>
        <v>60</v>
      </c>
      <c r="H32" s="670">
        <f>'[9]Rev_NP-12me'!P33</f>
        <v>5.3</v>
      </c>
      <c r="I32" s="669">
        <f>'[9]Rev_NP-12me'!AA33</f>
        <v>45</v>
      </c>
      <c r="J32" s="681">
        <f>'[9]Rev_NP-12me'!CZ33</f>
        <v>0.69792067217734799</v>
      </c>
      <c r="K32" s="681">
        <f>'[9]Rev_NP-12me'!DA33</f>
        <v>0.80549998872576412</v>
      </c>
      <c r="L32" s="681">
        <f>'[9]Rev_NP-12me'!DC33</f>
        <v>0.56065500000000001</v>
      </c>
      <c r="M32" s="664">
        <f t="shared" si="0"/>
        <v>2.0640756609031121</v>
      </c>
    </row>
    <row r="33" spans="2:13" ht="14.4" x14ac:dyDescent="0.25">
      <c r="B33" s="668" t="s">
        <v>921</v>
      </c>
      <c r="C33" s="579"/>
      <c r="D33" s="665">
        <f>'[9]Rev_NP-12me'!H34</f>
        <v>1743</v>
      </c>
      <c r="E33" s="665">
        <f>'[9]Rev_NP-12me'!I34</f>
        <v>1.6857147124382295</v>
      </c>
      <c r="F33" s="665">
        <f>'[9]Rev_NP-12me'!K34</f>
        <v>0.83331223313874025</v>
      </c>
      <c r="G33" s="669">
        <f>'[9]Rev_NP-12me'!O34</f>
        <v>60</v>
      </c>
      <c r="H33" s="670">
        <f>'[9]Rev_NP-12me'!P34</f>
        <v>6.6</v>
      </c>
      <c r="I33" s="669">
        <f>'[9]Rev_NP-12me'!AA34</f>
        <v>55</v>
      </c>
      <c r="J33" s="681">
        <f>'[9]Rev_NP-12me'!CZ34</f>
        <v>0.12137145929555253</v>
      </c>
      <c r="K33" s="681">
        <f>'[9]Rev_NP-12me'!DA34</f>
        <v>0.5499860738715685</v>
      </c>
      <c r="L33" s="681">
        <f>'[9]Rev_NP-12me'!DC34</f>
        <v>0.112299</v>
      </c>
      <c r="M33" s="664">
        <f t="shared" si="0"/>
        <v>0.78365653316712103</v>
      </c>
    </row>
    <row r="34" spans="2:13" ht="14.4" x14ac:dyDescent="0.25">
      <c r="B34" s="668" t="s">
        <v>922</v>
      </c>
      <c r="C34" s="579"/>
      <c r="D34" s="665">
        <f>'[9]Rev_NP-12me'!H35</f>
        <v>797</v>
      </c>
      <c r="E34" s="665">
        <f>'[9]Rev_NP-12me'!I35</f>
        <v>1.0476379005255152</v>
      </c>
      <c r="F34" s="665">
        <f>'[9]Rev_NP-12me'!K35</f>
        <v>0.51477591251491717</v>
      </c>
      <c r="G34" s="669">
        <f>'[9]Rev_NP-12me'!O35</f>
        <v>60</v>
      </c>
      <c r="H34" s="670">
        <f>'[9]Rev_NP-12me'!P35</f>
        <v>7.5</v>
      </c>
      <c r="I34" s="669">
        <f>'[9]Rev_NP-12me'!AA35</f>
        <v>65</v>
      </c>
      <c r="J34" s="681">
        <f>'[9]Rev_NP-12me'!CZ35</f>
        <v>7.5429928837837099E-2</v>
      </c>
      <c r="K34" s="681">
        <f>'[9]Rev_NP-12me'!DA35</f>
        <v>0.38608193438618787</v>
      </c>
      <c r="L34" s="681">
        <f>'[9]Rev_NP-12me'!DC35</f>
        <v>6.0684000000000002E-2</v>
      </c>
      <c r="M34" s="664">
        <f t="shared" si="0"/>
        <v>0.522195863224025</v>
      </c>
    </row>
    <row r="35" spans="2:13" x14ac:dyDescent="0.25">
      <c r="B35" s="663" t="s">
        <v>923</v>
      </c>
      <c r="C35" s="579"/>
      <c r="D35" s="666">
        <f>'[9]Rev_NP-12me'!H36</f>
        <v>22435</v>
      </c>
      <c r="E35" s="666">
        <f>'[9]Rev_NP-12me'!I36</f>
        <v>407.4253161023388</v>
      </c>
      <c r="F35" s="666">
        <f>'[9]Rev_NP-12me'!K36</f>
        <v>239.31127436</v>
      </c>
      <c r="G35" s="671">
        <f>'[9]Rev_NP-12me'!O36</f>
        <v>0</v>
      </c>
      <c r="H35" s="672">
        <f>'[9]Rev_NP-12me'!P36</f>
        <v>0</v>
      </c>
      <c r="I35" s="671">
        <f>'[9]Rev_NP-12me'!AA36</f>
        <v>0</v>
      </c>
      <c r="J35" s="674">
        <f>'[9]Rev_NP-12me'!CZ36</f>
        <v>40.865912591195205</v>
      </c>
      <c r="K35" s="674">
        <f>'[9]Rev_NP-12me'!DA36</f>
        <v>183.00504189741952</v>
      </c>
      <c r="L35" s="674">
        <f>'[9]Rev_NP-12me'!DC36</f>
        <v>7.911929999999999</v>
      </c>
      <c r="M35" s="666">
        <f t="shared" si="0"/>
        <v>231.78288448861474</v>
      </c>
    </row>
    <row r="36" spans="2:13" ht="14.4" x14ac:dyDescent="0.25">
      <c r="B36" s="668" t="s">
        <v>924</v>
      </c>
      <c r="C36" s="579"/>
      <c r="D36" s="665">
        <f>'[9]Rev_NP-12me'!H37</f>
        <v>18996</v>
      </c>
      <c r="E36" s="665">
        <f>'[9]Rev_NP-12me'!I37</f>
        <v>371.98344158451749</v>
      </c>
      <c r="F36" s="665">
        <f>'[9]Rev_NP-12me'!K37</f>
        <v>222.06303319555695</v>
      </c>
      <c r="G36" s="669">
        <f>'[9]Rev_NP-12me'!O37</f>
        <v>100</v>
      </c>
      <c r="H36" s="670">
        <f>'[9]Rev_NP-12me'!P37</f>
        <v>7.7</v>
      </c>
      <c r="I36" s="669">
        <f>'[9]Rev_NP-12me'!AA37</f>
        <v>287.37189355619091</v>
      </c>
      <c r="J36" s="681">
        <f>'[9]Rev_NP-12me'!CZ37</f>
        <v>38.128302762413036</v>
      </c>
      <c r="K36" s="681">
        <f>'[9]Rev_NP-12me'!DA37</f>
        <v>170.98853556057884</v>
      </c>
      <c r="L36" s="681">
        <f>'[9]Rev_NP-12me'!DC37</f>
        <v>7.8178317499900425</v>
      </c>
      <c r="M36" s="664">
        <f t="shared" si="0"/>
        <v>216.9346700729819</v>
      </c>
    </row>
    <row r="37" spans="2:13" ht="14.4" x14ac:dyDescent="0.25">
      <c r="B37" s="668" t="s">
        <v>925</v>
      </c>
      <c r="C37" s="579"/>
      <c r="D37" s="665">
        <f>'[9]Rev_NP-12me'!H38</f>
        <v>0</v>
      </c>
      <c r="E37" s="665">
        <f>'[9]Rev_NP-12me'!I38</f>
        <v>0</v>
      </c>
      <c r="F37" s="665">
        <f>'[9]Rev_NP-12me'!K38</f>
        <v>0</v>
      </c>
      <c r="G37" s="669">
        <f>'[9]Rev_NP-12me'!O38</f>
        <v>100</v>
      </c>
      <c r="H37" s="670">
        <f>'[9]Rev_NP-12me'!P38</f>
        <v>8.4</v>
      </c>
      <c r="I37" s="669">
        <f>'[9]Rev_NP-12me'!AA38</f>
        <v>287.37189355619091</v>
      </c>
      <c r="J37" s="681">
        <f>'[9]Rev_NP-12me'!CZ38</f>
        <v>0</v>
      </c>
      <c r="K37" s="681">
        <f>'[9]Rev_NP-12me'!DA38</f>
        <v>0</v>
      </c>
      <c r="L37" s="681">
        <f>'[9]Rev_NP-12me'!DC38</f>
        <v>0</v>
      </c>
      <c r="M37" s="664">
        <f t="shared" si="0"/>
        <v>0</v>
      </c>
    </row>
    <row r="38" spans="2:13" ht="14.4" x14ac:dyDescent="0.25">
      <c r="B38" s="668" t="s">
        <v>926</v>
      </c>
      <c r="C38" s="579"/>
      <c r="D38" s="665">
        <f>'[9]Rev_NP-12me'!H39</f>
        <v>105</v>
      </c>
      <c r="E38" s="665">
        <f>'[9]Rev_NP-12me'!I39</f>
        <v>1.0032775330193224</v>
      </c>
      <c r="F38" s="665">
        <f>'[9]Rev_NP-12me'!K39</f>
        <v>0.71944546634193229</v>
      </c>
      <c r="G38" s="669">
        <f>'[9]Rev_NP-12me'!O39</f>
        <v>50</v>
      </c>
      <c r="H38" s="670">
        <f>'[9]Rev_NP-12me'!P39</f>
        <v>6.2</v>
      </c>
      <c r="I38" s="669">
        <f>'[9]Rev_NP-12me'!AA39</f>
        <v>287.37189355619091</v>
      </c>
      <c r="J38" s="681">
        <f>'[9]Rev_NP-12me'!CZ39</f>
        <v>5.0364532157569981E-2</v>
      </c>
      <c r="K38" s="681">
        <f>'[9]Rev_NP-12me'!DA39</f>
        <v>0.44605618913199796</v>
      </c>
      <c r="L38" s="681">
        <f>'[9]Rev_NP-12me'!DC39</f>
        <v>2.4562454399700002E-3</v>
      </c>
      <c r="M38" s="664">
        <f t="shared" si="0"/>
        <v>0.49887696672953791</v>
      </c>
    </row>
    <row r="39" spans="2:13" ht="14.4" x14ac:dyDescent="0.25">
      <c r="B39" s="668" t="s">
        <v>927</v>
      </c>
      <c r="C39" s="579"/>
      <c r="D39" s="665">
        <f>'[9]Rev_NP-12me'!H40</f>
        <v>3</v>
      </c>
      <c r="E39" s="665">
        <f>'[9]Rev_NP-12me'!I40</f>
        <v>1.6281630588049753E-2</v>
      </c>
      <c r="F39" s="665">
        <f>'[9]Rev_NP-12me'!K40</f>
        <v>1.0439627747474119E-2</v>
      </c>
      <c r="G39" s="669">
        <f>'[9]Rev_NP-12me'!O40</f>
        <v>50</v>
      </c>
      <c r="H39" s="670">
        <f>'[9]Rev_NP-12me'!P40</f>
        <v>6.2</v>
      </c>
      <c r="I39" s="669">
        <f>'[9]Rev_NP-12me'!AA40</f>
        <v>287.37189355619091</v>
      </c>
      <c r="J39" s="681">
        <f>'[9]Rev_NP-12me'!CZ40</f>
        <v>8.1733785552009759E-4</v>
      </c>
      <c r="K39" s="681">
        <f>'[9]Rev_NP-12me'!DA40</f>
        <v>6.4725692034339529E-3</v>
      </c>
      <c r="L39" s="681">
        <f>'[9]Rev_NP-12me'!DC40</f>
        <v>3.8505497821311881E-4</v>
      </c>
      <c r="M39" s="664">
        <f t="shared" si="0"/>
        <v>7.67496203716717E-3</v>
      </c>
    </row>
    <row r="40" spans="2:13" ht="14.4" x14ac:dyDescent="0.25">
      <c r="B40" s="668" t="s">
        <v>928</v>
      </c>
      <c r="C40" s="579"/>
      <c r="D40" s="665">
        <f>'[9]Rev_NP-12me'!H41</f>
        <v>3324</v>
      </c>
      <c r="E40" s="665">
        <f>'[9]Rev_NP-12me'!I41</f>
        <v>34.36160673623916</v>
      </c>
      <c r="F40" s="665">
        <f>'[9]Rev_NP-12me'!K41</f>
        <v>16.480745095097838</v>
      </c>
      <c r="G40" s="669">
        <f>'[9]Rev_NP-12me'!O41</f>
        <v>65</v>
      </c>
      <c r="H40" s="670">
        <f>'[9]Rev_NP-12me'!P41</f>
        <v>7</v>
      </c>
      <c r="I40" s="669">
        <f>'[9]Rev_NP-12me'!AA41</f>
        <v>287.37189355619091</v>
      </c>
      <c r="J40" s="681">
        <f>'[9]Rev_NP-12me'!CZ41</f>
        <v>2.6802053254266545</v>
      </c>
      <c r="K40" s="681">
        <f>'[9]Rev_NP-12me'!DA41</f>
        <v>11.536521566568489</v>
      </c>
      <c r="L40" s="681">
        <f>'[9]Rev_NP-12me'!DC41</f>
        <v>9.0620127897036815E-2</v>
      </c>
      <c r="M40" s="664">
        <f t="shared" si="0"/>
        <v>14.30734701989218</v>
      </c>
    </row>
    <row r="41" spans="2:13" ht="14.4" x14ac:dyDescent="0.25">
      <c r="B41" s="668" t="s">
        <v>929</v>
      </c>
      <c r="C41" s="579"/>
      <c r="D41" s="665">
        <f>'[9]Rev_NP-12me'!H42</f>
        <v>7</v>
      </c>
      <c r="E41" s="665">
        <f>'[9]Rev_NP-12me'!I42</f>
        <v>6.0708617974823256E-2</v>
      </c>
      <c r="F41" s="665">
        <f>'[9]Rev_NP-12me'!K42</f>
        <v>3.7610975255808643E-2</v>
      </c>
      <c r="G41" s="669">
        <f>'[9]Rev_NP-12me'!O42</f>
        <v>100</v>
      </c>
      <c r="H41" s="670">
        <f>'[9]Rev_NP-12me'!P42</f>
        <v>7.3</v>
      </c>
      <c r="I41" s="669">
        <f>'[9]Rev_NP-12me'!AA42</f>
        <v>287.37189355619091</v>
      </c>
      <c r="J41" s="681">
        <f>'[9]Rev_NP-12me'!CZ42</f>
        <v>6.2226333424193836E-3</v>
      </c>
      <c r="K41" s="681">
        <f>'[9]Rev_NP-12me'!DA42</f>
        <v>2.7456011936740313E-2</v>
      </c>
      <c r="L41" s="681">
        <f>'[9]Rev_NP-12me'!DC42</f>
        <v>6.368216947370811E-4</v>
      </c>
      <c r="M41" s="664">
        <f t="shared" ref="M41:M68" si="1">SUM(J41:L41)</f>
        <v>3.4315466973896779E-2</v>
      </c>
    </row>
    <row r="42" spans="2:13" x14ac:dyDescent="0.25">
      <c r="B42" s="663" t="s">
        <v>930</v>
      </c>
      <c r="C42" s="579"/>
      <c r="D42" s="666">
        <f>'[9]Rev_NP-12me'!H43</f>
        <v>6814</v>
      </c>
      <c r="E42" s="666">
        <f>'[9]Rev_NP-12me'!I43</f>
        <v>18.303725208681215</v>
      </c>
      <c r="F42" s="666">
        <f>'[9]Rev_NP-12me'!K43</f>
        <v>8.2290849126100252</v>
      </c>
      <c r="G42" s="671">
        <f>'[9]Rev_NP-12me'!O43</f>
        <v>0</v>
      </c>
      <c r="H42" s="672">
        <f>'[9]Rev_NP-12me'!P43</f>
        <v>0</v>
      </c>
      <c r="I42" s="671">
        <f>'[9]Rev_NP-12me'!AA43</f>
        <v>0</v>
      </c>
      <c r="J42" s="674">
        <f>'[9]Rev_NP-12me'!CZ43</f>
        <v>0.43928940500834918</v>
      </c>
      <c r="K42" s="674">
        <f>'[9]Rev_NP-12me'!DA43</f>
        <v>3.291633965044011</v>
      </c>
      <c r="L42" s="674">
        <f>'[9]Rev_NP-12me'!DC43</f>
        <v>0.40107000000000004</v>
      </c>
      <c r="M42" s="666">
        <f t="shared" si="1"/>
        <v>4.1319933700523599</v>
      </c>
    </row>
    <row r="43" spans="2:13" ht="14.4" x14ac:dyDescent="0.25">
      <c r="B43" s="668" t="s">
        <v>179</v>
      </c>
      <c r="C43" s="579"/>
      <c r="D43" s="665">
        <f>'[9]Rev_NP-12me'!H44</f>
        <v>6516</v>
      </c>
      <c r="E43" s="665">
        <f>'[9]Rev_NP-12me'!I44</f>
        <v>17.258750555283616</v>
      </c>
      <c r="F43" s="665">
        <f>'[9]Rev_NP-12me'!K44</f>
        <v>7.7564127143029911</v>
      </c>
      <c r="G43" s="669">
        <f>'[9]Rev_NP-12me'!O44</f>
        <v>20</v>
      </c>
      <c r="H43" s="670">
        <f>'[9]Rev_NP-12me'!P44</f>
        <v>4</v>
      </c>
      <c r="I43" s="669">
        <f>'[9]Rev_NP-12me'!AA44</f>
        <v>50</v>
      </c>
      <c r="J43" s="681">
        <f>'[9]Rev_NP-12me'!CZ44</f>
        <v>0.41421001332680679</v>
      </c>
      <c r="K43" s="681">
        <f>'[9]Rev_NP-12me'!DA44</f>
        <v>3.102565085721197</v>
      </c>
      <c r="L43" s="681">
        <f>'[9]Rev_NP-12me'!DC44</f>
        <v>0.38352000000000003</v>
      </c>
      <c r="M43" s="664">
        <f t="shared" si="1"/>
        <v>3.9002950990480039</v>
      </c>
    </row>
    <row r="44" spans="2:13" ht="14.4" x14ac:dyDescent="0.25">
      <c r="B44" s="668" t="s">
        <v>932</v>
      </c>
      <c r="C44" s="579"/>
      <c r="D44" s="665">
        <f>'[9]Rev_NP-12me'!H45</f>
        <v>298</v>
      </c>
      <c r="E44" s="665">
        <f>'[9]Rev_NP-12me'!I45</f>
        <v>1.0449746533975983</v>
      </c>
      <c r="F44" s="665">
        <f>'[9]Rev_NP-12me'!K45</f>
        <v>0.47267219830703422</v>
      </c>
      <c r="G44" s="669">
        <f>'[9]Rev_NP-12me'!O45</f>
        <v>20</v>
      </c>
      <c r="H44" s="670">
        <f>'[9]Rev_NP-12me'!P45</f>
        <v>4</v>
      </c>
      <c r="I44" s="669">
        <f>'[9]Rev_NP-12me'!AA45</f>
        <v>50</v>
      </c>
      <c r="J44" s="681">
        <f>'[9]Rev_NP-12me'!CZ45</f>
        <v>2.507939168154236E-2</v>
      </c>
      <c r="K44" s="681">
        <f>'[9]Rev_NP-12me'!DA45</f>
        <v>0.18906887932281369</v>
      </c>
      <c r="L44" s="681">
        <f>'[9]Rev_NP-12me'!DC45</f>
        <v>1.755E-2</v>
      </c>
      <c r="M44" s="664">
        <f t="shared" si="1"/>
        <v>0.23169827100435605</v>
      </c>
    </row>
    <row r="45" spans="2:13" x14ac:dyDescent="0.25">
      <c r="B45" s="663" t="s">
        <v>933</v>
      </c>
      <c r="C45" s="579"/>
      <c r="D45" s="666">
        <f>'[9]Rev_NP-12me'!H46</f>
        <v>1363883</v>
      </c>
      <c r="E45" s="666">
        <f>'[9]Rev_NP-12me'!J46*0.746/10^3</f>
        <v>5162.2621554263242</v>
      </c>
      <c r="F45" s="666">
        <f>'[9]Rev_NP-12me'!K46</f>
        <v>9812.4646639356743</v>
      </c>
      <c r="G45" s="671">
        <f>'[9]Rev_NP-12me'!O46</f>
        <v>0</v>
      </c>
      <c r="H45" s="672">
        <f>'[9]Rev_NP-12me'!P46</f>
        <v>0</v>
      </c>
      <c r="I45" s="671">
        <f>'[9]Rev_NP-12me'!AA46</f>
        <v>0</v>
      </c>
      <c r="J45" s="674">
        <f>'[9]Rev_NP-12me'!CZ46</f>
        <v>6.4619999999999997E-2</v>
      </c>
      <c r="K45" s="674">
        <f>'[9]Rev_NP-12me'!DA46</f>
        <v>1.3090046012121985</v>
      </c>
      <c r="L45" s="674">
        <f>'[9]Rev_NP-12me'!DC46</f>
        <v>48.281112</v>
      </c>
      <c r="M45" s="666">
        <f t="shared" si="1"/>
        <v>49.6547366012122</v>
      </c>
    </row>
    <row r="46" spans="2:13" x14ac:dyDescent="0.25">
      <c r="B46" s="667" t="s">
        <v>934</v>
      </c>
      <c r="C46" s="579"/>
      <c r="D46" s="664">
        <f>'[9]Rev_NP-12me'!H47</f>
        <v>1363535</v>
      </c>
      <c r="E46" s="664">
        <f>'[9]Rev_NP-12me'!J47*0.746/10^3</f>
        <v>5160.2535504263242</v>
      </c>
      <c r="F46" s="664">
        <f>'[9]Rev_NP-12me'!K47</f>
        <v>9809.1921524326444</v>
      </c>
      <c r="G46" s="671">
        <f>'[9]Rev_NP-12me'!O47</f>
        <v>0</v>
      </c>
      <c r="H46" s="672">
        <f>'[9]Rev_NP-12me'!P47</f>
        <v>0</v>
      </c>
      <c r="I46" s="671">
        <f>'[9]Rev_NP-12me'!AA47</f>
        <v>0</v>
      </c>
      <c r="J46" s="669">
        <f>'[9]Rev_NP-12me'!CZ47</f>
        <v>0</v>
      </c>
      <c r="K46" s="669">
        <f>'[9]Rev_NP-12me'!DA47</f>
        <v>0</v>
      </c>
      <c r="L46" s="669">
        <f>'[9]Rev_NP-12me'!DC47</f>
        <v>48.268763999999997</v>
      </c>
      <c r="M46" s="664">
        <f t="shared" si="1"/>
        <v>48.268763999999997</v>
      </c>
    </row>
    <row r="47" spans="2:13" ht="14.4" x14ac:dyDescent="0.25">
      <c r="B47" s="668" t="s">
        <v>935</v>
      </c>
      <c r="C47" s="579"/>
      <c r="D47" s="665">
        <f>'[9]Rev_NP-12me'!H48</f>
        <v>0</v>
      </c>
      <c r="E47" s="665">
        <f>'[9]Rev_NP-12me'!J48*0.746/10^3</f>
        <v>0</v>
      </c>
      <c r="F47" s="665">
        <f>'[9]Rev_NP-12me'!K48</f>
        <v>0</v>
      </c>
      <c r="G47" s="671">
        <f>'[9]Rev_NP-12me'!O48</f>
        <v>0</v>
      </c>
      <c r="H47" s="670">
        <f>'[9]Rev_NP-12me'!P48</f>
        <v>2.5</v>
      </c>
      <c r="I47" s="669">
        <f>'[9]Rev_NP-12me'!AA48</f>
        <v>30</v>
      </c>
      <c r="J47" s="681">
        <f>'[9]Rev_NP-12me'!CZ48</f>
        <v>0</v>
      </c>
      <c r="K47" s="681">
        <f>'[9]Rev_NP-12me'!DA48</f>
        <v>0</v>
      </c>
      <c r="L47" s="681">
        <f>'[9]Rev_NP-12me'!DC48</f>
        <v>0</v>
      </c>
      <c r="M47" s="664">
        <f t="shared" si="1"/>
        <v>0</v>
      </c>
    </row>
    <row r="48" spans="2:13" ht="14.4" x14ac:dyDescent="0.25">
      <c r="B48" s="667" t="s">
        <v>937</v>
      </c>
      <c r="C48" s="579"/>
      <c r="D48" s="665">
        <f>'[9]Rev_NP-12me'!H49</f>
        <v>1363535</v>
      </c>
      <c r="E48" s="665">
        <f>'[9]Rev_NP-12me'!J49*0.746/10^3</f>
        <v>5160.2535504263242</v>
      </c>
      <c r="F48" s="665">
        <f>'[9]Rev_NP-12me'!K49</f>
        <v>0</v>
      </c>
      <c r="G48" s="671">
        <f>'[9]Rev_NP-12me'!O49</f>
        <v>0</v>
      </c>
      <c r="H48" s="672">
        <f>'[9]Rev_NP-12me'!P49</f>
        <v>0</v>
      </c>
      <c r="I48" s="671">
        <f>'[9]Rev_NP-12me'!AA49</f>
        <v>0</v>
      </c>
      <c r="J48" s="681">
        <f>'[9]Rev_NP-12me'!CZ49</f>
        <v>0</v>
      </c>
      <c r="K48" s="681">
        <f>'[9]Rev_NP-12me'!DA49</f>
        <v>0</v>
      </c>
      <c r="L48" s="681">
        <f>'[9]Rev_NP-12me'!DC49</f>
        <v>0</v>
      </c>
      <c r="M48" s="664">
        <f t="shared" si="1"/>
        <v>0</v>
      </c>
    </row>
    <row r="49" spans="2:13" ht="14.4" x14ac:dyDescent="0.25">
      <c r="B49" s="668" t="s">
        <v>1112</v>
      </c>
      <c r="C49" s="579"/>
      <c r="D49" s="665">
        <f>'[9]Rev_NP-12me'!H50</f>
        <v>1363535</v>
      </c>
      <c r="E49" s="665">
        <f>'[9]Rev_NP-12me'!J50*0.746/10^3</f>
        <v>5160.2535504263242</v>
      </c>
      <c r="F49" s="665">
        <f>'[9]Rev_NP-12me'!K50</f>
        <v>9809.1921524326444</v>
      </c>
      <c r="G49" s="671">
        <f>'[9]Rev_NP-12me'!O50</f>
        <v>0</v>
      </c>
      <c r="H49" s="672">
        <f>'[9]Rev_NP-12me'!P50</f>
        <v>0</v>
      </c>
      <c r="I49" s="669">
        <f>'[9]Rev_NP-12me'!AA50</f>
        <v>30</v>
      </c>
      <c r="J49" s="681">
        <f>'[9]Rev_NP-12me'!CZ50</f>
        <v>0</v>
      </c>
      <c r="K49" s="681">
        <f>'[9]Rev_NP-12me'!DA50</f>
        <v>0</v>
      </c>
      <c r="L49" s="681">
        <f>'[9]Rev_NP-12me'!DC50</f>
        <v>48.268763999999997</v>
      </c>
      <c r="M49" s="664">
        <f t="shared" si="1"/>
        <v>48.268763999999997</v>
      </c>
    </row>
    <row r="50" spans="2:13" ht="14.4" x14ac:dyDescent="0.25">
      <c r="B50" s="668" t="s">
        <v>1113</v>
      </c>
      <c r="C50" s="579"/>
      <c r="D50" s="665">
        <f>'[9]Rev_NP-12me'!H51</f>
        <v>0</v>
      </c>
      <c r="E50" s="665">
        <f>'[9]Rev_NP-12me'!J51*0.746/10^3</f>
        <v>0</v>
      </c>
      <c r="F50" s="665">
        <f>'[9]Rev_NP-12me'!K51</f>
        <v>0</v>
      </c>
      <c r="G50" s="671">
        <f>'[9]Rev_NP-12me'!O51</f>
        <v>0</v>
      </c>
      <c r="H50" s="672">
        <f>'[9]Rev_NP-12me'!P51</f>
        <v>0</v>
      </c>
      <c r="I50" s="669">
        <f>'[9]Rev_NP-12me'!AA51</f>
        <v>30</v>
      </c>
      <c r="J50" s="681">
        <f>'[9]Rev_NP-12me'!CZ51</f>
        <v>0</v>
      </c>
      <c r="K50" s="681">
        <f>'[9]Rev_NP-12me'!DA51</f>
        <v>0</v>
      </c>
      <c r="L50" s="681">
        <f>'[9]Rev_NP-12me'!DC51</f>
        <v>0</v>
      </c>
      <c r="M50" s="664">
        <f t="shared" si="1"/>
        <v>0</v>
      </c>
    </row>
    <row r="51" spans="2:13" x14ac:dyDescent="0.25">
      <c r="B51" s="667" t="s">
        <v>938</v>
      </c>
      <c r="C51" s="579"/>
      <c r="D51" s="664">
        <f>'[9]Rev_NP-12me'!H52</f>
        <v>348</v>
      </c>
      <c r="E51" s="664">
        <f>'[9]Rev_NP-12me'!J52*0.746/10^3</f>
        <v>2.0086050000000002</v>
      </c>
      <c r="F51" s="664">
        <f>'[9]Rev_NP-12me'!K52</f>
        <v>3.2725115030304956</v>
      </c>
      <c r="G51" s="671">
        <f>'[9]Rev_NP-12me'!O52</f>
        <v>0</v>
      </c>
      <c r="H51" s="672">
        <f>'[9]Rev_NP-12me'!P52</f>
        <v>0</v>
      </c>
      <c r="I51" s="671">
        <f>'[9]Rev_NP-12me'!AA52</f>
        <v>0</v>
      </c>
      <c r="J51" s="669">
        <f>'[9]Rev_NP-12me'!CZ52</f>
        <v>6.4619999999999997E-2</v>
      </c>
      <c r="K51" s="669">
        <f>'[9]Rev_NP-12me'!DA52</f>
        <v>1.3090046012121985</v>
      </c>
      <c r="L51" s="669">
        <f>'[9]Rev_NP-12me'!DC52</f>
        <v>1.2348E-2</v>
      </c>
      <c r="M51" s="664">
        <f t="shared" si="1"/>
        <v>1.3859726012121985</v>
      </c>
    </row>
    <row r="52" spans="2:13" ht="14.4" x14ac:dyDescent="0.25">
      <c r="B52" s="668" t="s">
        <v>939</v>
      </c>
      <c r="C52" s="579"/>
      <c r="D52" s="665">
        <f>'[9]Rev_NP-12me'!H53</f>
        <v>348</v>
      </c>
      <c r="E52" s="665">
        <f>'[9]Rev_NP-12me'!J53*0.746/10^3</f>
        <v>2.0086050000000002</v>
      </c>
      <c r="F52" s="665">
        <f>'[9]Rev_NP-12me'!K53</f>
        <v>3.2725115030304956</v>
      </c>
      <c r="G52" s="669">
        <f>'[9]Rev_NP-12me'!O53</f>
        <v>20</v>
      </c>
      <c r="H52" s="670">
        <f>'[9]Rev_NP-12me'!P53</f>
        <v>4</v>
      </c>
      <c r="I52" s="669">
        <f>'[9]Rev_NP-12me'!AA53</f>
        <v>30</v>
      </c>
      <c r="J52" s="681">
        <f>'[9]Rev_NP-12me'!CZ53</f>
        <v>6.4619999999999997E-2</v>
      </c>
      <c r="K52" s="681">
        <f>'[9]Rev_NP-12me'!DA53</f>
        <v>1.3090046012121985</v>
      </c>
      <c r="L52" s="681">
        <f>'[9]Rev_NP-12me'!DC53</f>
        <v>1.2348E-2</v>
      </c>
      <c r="M52" s="664">
        <f t="shared" si="1"/>
        <v>1.3859726012121985</v>
      </c>
    </row>
    <row r="53" spans="2:13" x14ac:dyDescent="0.25">
      <c r="B53" s="663" t="s">
        <v>941</v>
      </c>
      <c r="C53" s="579"/>
      <c r="D53" s="666">
        <f>'[9]Rev_NP-12me'!H54</f>
        <v>46724</v>
      </c>
      <c r="E53" s="666">
        <f>'[9]Rev_NP-12me'!I54</f>
        <v>88.0724605515896</v>
      </c>
      <c r="F53" s="666">
        <f>'[9]Rev_NP-12me'!K54</f>
        <v>135.09367549360377</v>
      </c>
      <c r="G53" s="671">
        <f>'[9]Rev_NP-12me'!O54</f>
        <v>0</v>
      </c>
      <c r="H53" s="672">
        <f>'[9]Rev_NP-12me'!P54</f>
        <v>0</v>
      </c>
      <c r="I53" s="671">
        <f>'[9]Rev_NP-12me'!AA54</f>
        <v>0</v>
      </c>
      <c r="J53" s="674">
        <f>'[9]Rev_NP-12me'!CZ54</f>
        <v>3.3819824851810405</v>
      </c>
      <c r="K53" s="674">
        <f>'[9]Rev_NP-12me'!DA54</f>
        <v>99.777372204444234</v>
      </c>
      <c r="L53" s="674">
        <f>'[9]Rev_NP-12me'!DC54</f>
        <v>6.6843360000000001</v>
      </c>
      <c r="M53" s="666">
        <f t="shared" si="1"/>
        <v>109.84369068962528</v>
      </c>
    </row>
    <row r="54" spans="2:13" ht="14.4" x14ac:dyDescent="0.25">
      <c r="B54" s="668" t="s">
        <v>942</v>
      </c>
      <c r="C54" s="579"/>
      <c r="D54" s="665">
        <f>'[9]Rev_NP-12me'!H55</f>
        <v>34517</v>
      </c>
      <c r="E54" s="665">
        <f>'[9]Rev_NP-12me'!I55</f>
        <v>57.624500060454764</v>
      </c>
      <c r="F54" s="665">
        <f>'[9]Rev_NP-12me'!K55</f>
        <v>82.783873311245742</v>
      </c>
      <c r="G54" s="669">
        <f>'[9]Rev_NP-12me'!O55</f>
        <v>32</v>
      </c>
      <c r="H54" s="670">
        <f>'[9]Rev_NP-12me'!P55</f>
        <v>7.1</v>
      </c>
      <c r="I54" s="669">
        <f>'[9]Rev_NP-12me'!AA55</f>
        <v>120</v>
      </c>
      <c r="J54" s="681">
        <f>'[9]Rev_NP-12me'!CZ55</f>
        <v>2.212780802321463</v>
      </c>
      <c r="K54" s="681">
        <f>'[9]Rev_NP-12me'!DA55</f>
        <v>58.776550050984483</v>
      </c>
      <c r="L54" s="681">
        <f>'[9]Rev_NP-12me'!DC55</f>
        <v>4.9379759999999999</v>
      </c>
      <c r="M54" s="664">
        <f t="shared" si="1"/>
        <v>65.92730685330595</v>
      </c>
    </row>
    <row r="55" spans="2:13" ht="14.4" x14ac:dyDescent="0.25">
      <c r="B55" s="668" t="s">
        <v>943</v>
      </c>
      <c r="C55" s="579"/>
      <c r="D55" s="665">
        <f>'[9]Rev_NP-12me'!H56</f>
        <v>6446</v>
      </c>
      <c r="E55" s="665">
        <f>'[9]Rev_NP-12me'!I56</f>
        <v>14.674919256446778</v>
      </c>
      <c r="F55" s="665">
        <f>'[9]Rev_NP-12me'!K56</f>
        <v>27.402352285005129</v>
      </c>
      <c r="G55" s="669">
        <f>'[9]Rev_NP-12me'!O56</f>
        <v>32</v>
      </c>
      <c r="H55" s="670">
        <f>'[9]Rev_NP-12me'!P56</f>
        <v>7.6</v>
      </c>
      <c r="I55" s="669">
        <f>'[9]Rev_NP-12me'!AA56</f>
        <v>120</v>
      </c>
      <c r="J55" s="681">
        <f>'[9]Rev_NP-12me'!CZ56</f>
        <v>0.56351689944755623</v>
      </c>
      <c r="K55" s="681">
        <f>'[9]Rev_NP-12me'!DA56</f>
        <v>20.8257877366039</v>
      </c>
      <c r="L55" s="681">
        <f>'[9]Rev_NP-12me'!DC56</f>
        <v>0.922176</v>
      </c>
      <c r="M55" s="664">
        <f t="shared" si="1"/>
        <v>22.311480636051456</v>
      </c>
    </row>
    <row r="56" spans="2:13" ht="14.4" x14ac:dyDescent="0.25">
      <c r="B56" s="668" t="s">
        <v>944</v>
      </c>
      <c r="C56" s="579"/>
      <c r="D56" s="665">
        <f>'[9]Rev_NP-12me'!H57</f>
        <v>5761</v>
      </c>
      <c r="E56" s="665">
        <f>'[9]Rev_NP-12me'!I57</f>
        <v>15.773041234688053</v>
      </c>
      <c r="F56" s="665">
        <f>'[9]Rev_NP-12me'!K57</f>
        <v>24.907449897352901</v>
      </c>
      <c r="G56" s="669">
        <f>'[9]Rev_NP-12me'!O57</f>
        <v>32</v>
      </c>
      <c r="H56" s="670">
        <f>'[9]Rev_NP-12me'!P57</f>
        <v>8.1</v>
      </c>
      <c r="I56" s="669">
        <f>'[9]Rev_NP-12me'!AA57</f>
        <v>120</v>
      </c>
      <c r="J56" s="681">
        <f>'[9]Rev_NP-12me'!CZ57</f>
        <v>0.60568478341202125</v>
      </c>
      <c r="K56" s="681">
        <f>'[9]Rev_NP-12me'!DA57</f>
        <v>20.175034416855848</v>
      </c>
      <c r="L56" s="681">
        <f>'[9]Rev_NP-12me'!DC57</f>
        <v>0.82418400000000003</v>
      </c>
      <c r="M56" s="664">
        <f t="shared" si="1"/>
        <v>21.604903200267866</v>
      </c>
    </row>
    <row r="57" spans="2:13" x14ac:dyDescent="0.25">
      <c r="B57" s="663" t="s">
        <v>945</v>
      </c>
      <c r="C57" s="579"/>
      <c r="D57" s="666">
        <f>'[9]Rev_NP-12me'!H65</f>
        <v>32653</v>
      </c>
      <c r="E57" s="666">
        <f>'[9]Rev_NP-12me'!J65*0.746/10^3</f>
        <v>103.59332174659922</v>
      </c>
      <c r="F57" s="666">
        <f>'[9]Rev_NP-12me'!K65</f>
        <v>245.03768782099792</v>
      </c>
      <c r="G57" s="669"/>
      <c r="H57" s="670"/>
      <c r="I57" s="669"/>
      <c r="J57" s="674">
        <f>'[9]Rev_NP-12me'!CZ65</f>
        <v>5.3324176341413008</v>
      </c>
      <c r="K57" s="674">
        <f>'[9]Rev_NP-12me'!DA65</f>
        <v>150.63046382018723</v>
      </c>
      <c r="L57" s="674">
        <f>'[9]Rev_NP-12me'!DC65</f>
        <v>4.6712159999999994</v>
      </c>
      <c r="M57" s="666">
        <f t="shared" si="1"/>
        <v>160.63409745432853</v>
      </c>
    </row>
    <row r="58" spans="2:13" ht="14.4" x14ac:dyDescent="0.25">
      <c r="B58" s="668" t="s">
        <v>942</v>
      </c>
      <c r="C58" s="579"/>
      <c r="D58" s="665">
        <f>'[9]Rev_NP-12me'!H66</f>
        <v>27944</v>
      </c>
      <c r="E58" s="665">
        <f>'[9]Rev_NP-12me'!J66*0.746/10^3</f>
        <v>87.912117504692361</v>
      </c>
      <c r="F58" s="665">
        <f>'[9]Rev_NP-12me'!K66</f>
        <v>215.80166260162935</v>
      </c>
      <c r="G58" s="669">
        <v>32</v>
      </c>
      <c r="H58" s="670">
        <v>6</v>
      </c>
      <c r="I58" s="669">
        <f>'[9]Rev_NP-12me'!AA66</f>
        <v>120</v>
      </c>
      <c r="J58" s="681">
        <f>'[9]Rev_NP-12me'!CZ66</f>
        <v>4.5252350029225026</v>
      </c>
      <c r="K58" s="681">
        <f>'[9]Rev_NP-12me'!DA66</f>
        <v>129.48099756097761</v>
      </c>
      <c r="L58" s="681">
        <f>'[9]Rev_NP-12me'!DC66</f>
        <v>3.997512</v>
      </c>
      <c r="M58" s="664">
        <f t="shared" si="1"/>
        <v>138.00374456390011</v>
      </c>
    </row>
    <row r="59" spans="2:13" ht="14.4" x14ac:dyDescent="0.25">
      <c r="B59" s="668" t="s">
        <v>943</v>
      </c>
      <c r="C59" s="579"/>
      <c r="D59" s="665">
        <f>'[9]Rev_NP-12me'!H67</f>
        <v>3323</v>
      </c>
      <c r="E59" s="665">
        <f>'[9]Rev_NP-12me'!J67*0.746/10^3</f>
        <v>10.552295968074151</v>
      </c>
      <c r="F59" s="665">
        <f>'[9]Rev_NP-12me'!K67</f>
        <v>21.398258150210143</v>
      </c>
      <c r="G59" s="669">
        <v>32</v>
      </c>
      <c r="H59" s="670">
        <v>7.1</v>
      </c>
      <c r="I59" s="669">
        <f>'[9]Rev_NP-12me'!AA67</f>
        <v>120</v>
      </c>
      <c r="J59" s="681">
        <f>'[9]Rev_NP-12me'!CZ67</f>
        <v>0.54317448414751668</v>
      </c>
      <c r="K59" s="681">
        <f>'[9]Rev_NP-12me'!DA67</f>
        <v>15.1927632866492</v>
      </c>
      <c r="L59" s="681">
        <f>'[9]Rev_NP-12me'!DC67</f>
        <v>0.47541600000000001</v>
      </c>
      <c r="M59" s="664">
        <f t="shared" si="1"/>
        <v>16.211353770796716</v>
      </c>
    </row>
    <row r="60" spans="2:13" ht="14.4" x14ac:dyDescent="0.25">
      <c r="B60" s="668" t="s">
        <v>944</v>
      </c>
      <c r="C60" s="579"/>
      <c r="D60" s="665">
        <f>'[9]Rev_NP-12me'!H68</f>
        <v>1386</v>
      </c>
      <c r="E60" s="665">
        <f>'[9]Rev_NP-12me'!J68*0.746/10^3</f>
        <v>5.1289082738327192</v>
      </c>
      <c r="F60" s="665">
        <f>'[9]Rev_NP-12me'!K68</f>
        <v>7.8377670691584136</v>
      </c>
      <c r="G60" s="669">
        <v>32</v>
      </c>
      <c r="H60" s="670">
        <v>7.6</v>
      </c>
      <c r="I60" s="669">
        <f>'[9]Rev_NP-12me'!AA68</f>
        <v>120</v>
      </c>
      <c r="J60" s="681">
        <f>'[9]Rev_NP-12me'!CZ68</f>
        <v>0.26400814707128206</v>
      </c>
      <c r="K60" s="681">
        <f>'[9]Rev_NP-12me'!DA68</f>
        <v>5.9567029725603948</v>
      </c>
      <c r="L60" s="681">
        <f>'[9]Rev_NP-12me'!DC68</f>
        <v>0.19828799999999999</v>
      </c>
      <c r="M60" s="664">
        <f t="shared" si="1"/>
        <v>6.4189991196316765</v>
      </c>
    </row>
    <row r="61" spans="2:13" x14ac:dyDescent="0.25">
      <c r="B61" s="663" t="s">
        <v>1114</v>
      </c>
      <c r="C61" s="579"/>
      <c r="D61" s="666">
        <f>'[9]Rev_NP-12me'!H69</f>
        <v>0</v>
      </c>
      <c r="E61" s="666">
        <f>'[9]Rev_NP-12me'!I69</f>
        <v>0</v>
      </c>
      <c r="F61" s="666">
        <f>'[9]Rev_NP-12me'!K69</f>
        <v>0</v>
      </c>
      <c r="G61" s="671">
        <f>'[9]Rev_NP-12me'!O69</f>
        <v>0</v>
      </c>
      <c r="H61" s="671">
        <f>'[9]Rev_NP-12me'!P69</f>
        <v>0</v>
      </c>
      <c r="I61" s="671">
        <f>'[9]Rev_NP-12me'!AA69</f>
        <v>0</v>
      </c>
      <c r="J61" s="674">
        <f>'[9]Rev_NP-12me'!CZ69</f>
        <v>0</v>
      </c>
      <c r="K61" s="674">
        <f>'[9]Rev_NP-12me'!DA69</f>
        <v>0</v>
      </c>
      <c r="L61" s="674">
        <f>'[9]Rev_NP-12me'!DC69</f>
        <v>0</v>
      </c>
      <c r="M61" s="664">
        <f t="shared" si="1"/>
        <v>0</v>
      </c>
    </row>
    <row r="62" spans="2:13" x14ac:dyDescent="0.25">
      <c r="B62" s="663" t="s">
        <v>948</v>
      </c>
      <c r="C62" s="579"/>
      <c r="D62" s="666">
        <f>'[9]Rev_NP-12me'!H58</f>
        <v>25026</v>
      </c>
      <c r="E62" s="666">
        <f>'[9]Rev_NP-12me'!I58</f>
        <v>59.872073034183991</v>
      </c>
      <c r="F62" s="666">
        <f>'[9]Rev_NP-12me'!K58</f>
        <v>68.265599859011161</v>
      </c>
      <c r="G62" s="669"/>
      <c r="H62" s="670"/>
      <c r="I62" s="669"/>
      <c r="J62" s="674">
        <f>'[9]Rev_NP-12me'!CZ58</f>
        <v>1.6435530438636294</v>
      </c>
      <c r="K62" s="674">
        <f>'[9]Rev_NP-12me'!DA58</f>
        <v>53.045720713867397</v>
      </c>
      <c r="L62" s="674">
        <f>'[9]Rev_NP-12me'!DC58</f>
        <v>2.9653199999999997</v>
      </c>
      <c r="M62" s="666">
        <f t="shared" si="1"/>
        <v>57.654593757731021</v>
      </c>
    </row>
    <row r="63" spans="2:13" ht="14.4" x14ac:dyDescent="0.25">
      <c r="B63" s="667" t="s">
        <v>949</v>
      </c>
      <c r="C63" s="579"/>
      <c r="D63" s="665">
        <f>'[9]Rev_NP-12me'!H59</f>
        <v>18493</v>
      </c>
      <c r="E63" s="665">
        <f>'[9]Rev_NP-12me'!I59</f>
        <v>47.392739385832783</v>
      </c>
      <c r="F63" s="665">
        <f>'[9]Rev_NP-12me'!K59</f>
        <v>57.311881164732775</v>
      </c>
      <c r="G63" s="669">
        <f>'[9]Rev_NP-12me'!O59</f>
        <v>21</v>
      </c>
      <c r="H63" s="670">
        <f>'[9]Rev_NP-12me'!P59</f>
        <v>8.3000000000000007</v>
      </c>
      <c r="I63" s="669">
        <f>'[9]Rev_NP-12me'!AA59</f>
        <v>100</v>
      </c>
      <c r="J63" s="681">
        <f>'[9]Rev_NP-12me'!CZ59</f>
        <v>1.194297032522986</v>
      </c>
      <c r="K63" s="681">
        <f>'[9]Rev_NP-12me'!DA59</f>
        <v>47.5688613667282</v>
      </c>
      <c r="L63" s="681">
        <f>'[9]Rev_NP-12me'!DC59</f>
        <v>2.1911999999999998</v>
      </c>
      <c r="M63" s="664">
        <f t="shared" si="1"/>
        <v>50.954358399251191</v>
      </c>
    </row>
    <row r="64" spans="2:13" ht="14.4" x14ac:dyDescent="0.25">
      <c r="B64" s="667" t="s">
        <v>950</v>
      </c>
      <c r="C64" s="579"/>
      <c r="D64" s="665">
        <f>'[9]Rev_NP-12me'!H60</f>
        <v>6533</v>
      </c>
      <c r="E64" s="665">
        <f>'[9]Rev_NP-12me'!I60</f>
        <v>12.479333648351208</v>
      </c>
      <c r="F64" s="665">
        <f>'[9]Rev_NP-12me'!K60</f>
        <v>10.953718694278392</v>
      </c>
      <c r="G64" s="669">
        <f>'[9]Rev_NP-12me'!O60</f>
        <v>30</v>
      </c>
      <c r="H64" s="670">
        <f>'[9]Rev_NP-12me'!P60</f>
        <v>5</v>
      </c>
      <c r="I64" s="669">
        <f>'[9]Rev_NP-12me'!AA60</f>
        <v>100</v>
      </c>
      <c r="J64" s="681">
        <f>'[9]Rev_NP-12me'!CZ60</f>
        <v>0.44925601134064347</v>
      </c>
      <c r="K64" s="681">
        <f>'[9]Rev_NP-12me'!DA60</f>
        <v>5.4768593471391958</v>
      </c>
      <c r="L64" s="681">
        <f>'[9]Rev_NP-12me'!DC60</f>
        <v>0.77412000000000003</v>
      </c>
      <c r="M64" s="664">
        <f t="shared" si="1"/>
        <v>6.7002353584798389</v>
      </c>
    </row>
    <row r="65" spans="2:16" x14ac:dyDescent="0.25">
      <c r="B65" s="667" t="s">
        <v>951</v>
      </c>
      <c r="C65" s="579"/>
      <c r="D65" s="664">
        <f>'[9]Rev_NP-12me'!H61</f>
        <v>4761</v>
      </c>
      <c r="E65" s="664">
        <f>'[9]Rev_NP-12me'!I61</f>
        <v>4.8040881028112743</v>
      </c>
      <c r="F65" s="664">
        <f>'[9]Rev_NP-12me'!K61</f>
        <v>4.0765233702200998</v>
      </c>
      <c r="G65" s="669">
        <f>'[9]Rev_NP-12me'!O61</f>
        <v>30</v>
      </c>
      <c r="H65" s="670">
        <f>'[9]Rev_NP-12me'!P61</f>
        <v>5</v>
      </c>
      <c r="I65" s="669">
        <f>'[9]Rev_NP-12me'!AA61</f>
        <v>100</v>
      </c>
      <c r="J65" s="669">
        <f>'[9]Rev_NP-12me'!CZ61</f>
        <v>0.17294717170120588</v>
      </c>
      <c r="K65" s="669">
        <f>'[9]Rev_NP-12me'!DA61</f>
        <v>2.0382616851100499</v>
      </c>
      <c r="L65" s="669">
        <f>'[9]Rev_NP-12me'!DC61</f>
        <v>0.56418000000000001</v>
      </c>
      <c r="M65" s="664">
        <f t="shared" si="1"/>
        <v>2.7753888568112557</v>
      </c>
    </row>
    <row r="66" spans="2:16" x14ac:dyDescent="0.25">
      <c r="B66" s="667" t="s">
        <v>952</v>
      </c>
      <c r="C66" s="579"/>
      <c r="D66" s="664">
        <f>'[9]Rev_NP-12me'!H62</f>
        <v>1772</v>
      </c>
      <c r="E66" s="664">
        <f>'[9]Rev_NP-12me'!I62</f>
        <v>7.6752455455399335</v>
      </c>
      <c r="F66" s="664">
        <f>'[9]Rev_NP-12me'!K62</f>
        <v>6.8771953240582917</v>
      </c>
      <c r="G66" s="669">
        <f>'[9]Rev_NP-12me'!O62</f>
        <v>30</v>
      </c>
      <c r="H66" s="670">
        <f>'[9]Rev_NP-12me'!P62</f>
        <v>5</v>
      </c>
      <c r="I66" s="669">
        <f>'[9]Rev_NP-12me'!AA62</f>
        <v>100</v>
      </c>
      <c r="J66" s="669">
        <f>'[9]Rev_NP-12me'!CZ62</f>
        <v>0.27630883963943759</v>
      </c>
      <c r="K66" s="669">
        <f>'[9]Rev_NP-12me'!DA62</f>
        <v>3.4385976620291459</v>
      </c>
      <c r="L66" s="669">
        <f>'[9]Rev_NP-12me'!DC62</f>
        <v>0.20993999999999999</v>
      </c>
      <c r="M66" s="664">
        <f t="shared" si="1"/>
        <v>3.9248465016685836</v>
      </c>
    </row>
    <row r="67" spans="2:16" x14ac:dyDescent="0.25">
      <c r="B67" s="663" t="s">
        <v>953</v>
      </c>
      <c r="C67" s="579"/>
      <c r="D67" s="666">
        <f>'[9]Rev_NP-12me'!H63</f>
        <v>3420</v>
      </c>
      <c r="E67" s="666">
        <f>'[9]Rev_NP-12me'!I63</f>
        <v>13.027504367607362</v>
      </c>
      <c r="F67" s="666">
        <f>'[9]Rev_NP-12me'!K63</f>
        <v>15.224471550000001</v>
      </c>
      <c r="G67" s="669">
        <f>'[9]Rev_NP-12me'!O63</f>
        <v>21</v>
      </c>
      <c r="H67" s="670">
        <f>'[9]Rev_NP-12me'!P63</f>
        <v>12</v>
      </c>
      <c r="I67" s="669">
        <f>'[9]Rev_NP-12me'!$AC$63</f>
        <v>100</v>
      </c>
      <c r="J67" s="674">
        <f>'[9]Rev_NP-12me'!CZ63</f>
        <v>0.32829311006370554</v>
      </c>
      <c r="K67" s="674">
        <f>'[9]Rev_NP-12me'!DA63</f>
        <v>18.269365860000001</v>
      </c>
      <c r="L67" s="674">
        <f>'[9]Rev_NP-12me'!DC63</f>
        <v>0.39804</v>
      </c>
      <c r="M67" s="666">
        <f t="shared" si="1"/>
        <v>18.995698970063707</v>
      </c>
    </row>
    <row r="68" spans="2:16" x14ac:dyDescent="0.25">
      <c r="B68" s="663" t="s">
        <v>1115</v>
      </c>
      <c r="C68" s="579"/>
      <c r="D68" s="666">
        <f>'[9]Rev_NP-12me'!H64</f>
        <v>45</v>
      </c>
      <c r="E68" s="666">
        <f>'[9]Rev_NP-12me'!I64</f>
        <v>1.43</v>
      </c>
      <c r="F68" s="666">
        <f>'[9]Rev_NP-12me'!K64</f>
        <v>0.16766805000000001</v>
      </c>
      <c r="G68" s="669">
        <f>'[9]Rev_NP-12me'!O64</f>
        <v>0</v>
      </c>
      <c r="H68" s="670">
        <f>'[9]Rev_NP-12me'!P64</f>
        <v>6</v>
      </c>
      <c r="I68" s="669">
        <f>'[9]Rev_NP-12me'!$AC$64</f>
        <v>120</v>
      </c>
      <c r="J68" s="674">
        <f>'[9]Rev_NP-12me'!CZ64</f>
        <v>5.0049999999999997E-2</v>
      </c>
      <c r="K68" s="674">
        <f>'[9]Rev_NP-12me'!DA64</f>
        <v>0.10060083</v>
      </c>
      <c r="L68" s="674">
        <f>'[9]Rev_NP-12me'!DC64</f>
        <v>5.4000000000000003E-3</v>
      </c>
      <c r="M68" s="666">
        <f t="shared" si="1"/>
        <v>0.15605083</v>
      </c>
    </row>
    <row r="69" spans="2:16" x14ac:dyDescent="0.25">
      <c r="B69" s="663"/>
      <c r="C69" s="579"/>
      <c r="D69" s="664"/>
      <c r="E69" s="664"/>
      <c r="F69" s="664"/>
      <c r="G69" s="669"/>
      <c r="H69" s="669"/>
      <c r="I69" s="669"/>
      <c r="J69" s="669"/>
      <c r="K69" s="669"/>
      <c r="L69" s="669"/>
      <c r="M69" s="664"/>
    </row>
    <row r="70" spans="2:16" x14ac:dyDescent="0.25">
      <c r="B70" s="663" t="s">
        <v>1116</v>
      </c>
      <c r="C70" s="579"/>
      <c r="D70" s="666">
        <f>SUM(D9,D22,D35,D42,D45,D53,D57,D61,D62,D67,D68)</f>
        <v>6176359</v>
      </c>
      <c r="E70" s="666">
        <f>SUM(E9,E22,E35,E42,E45,E53,E57,E61,E62,E67,E68)</f>
        <v>11721.522000565261</v>
      </c>
      <c r="F70" s="666">
        <f>SUM(F9,F22,F35,F42,F45,F53,F57,F61,F62,F67,F68)</f>
        <v>16073.087765252285</v>
      </c>
      <c r="G70" s="674"/>
      <c r="H70" s="674"/>
      <c r="I70" s="674"/>
      <c r="J70" s="674">
        <f>SUM(J9,J22,J35,J42,J45,J53,J57,J61,J62,J67,J68)</f>
        <v>204.52694852623878</v>
      </c>
      <c r="K70" s="674">
        <f>SUM(K9,K22,K35,K42,K45,K53,K57,K61,K62,K67,K68)</f>
        <v>3260.9419269825371</v>
      </c>
      <c r="L70" s="674">
        <f>SUM(L9,L22,L35,L42,L45,L53,L57,L61,L62,L67,L68)</f>
        <v>417.86177999999995</v>
      </c>
      <c r="M70" s="666">
        <f>SUM(M9,M22,M35,M42,M45,M53,M57,M61,M62,M67,M68)</f>
        <v>3883.3306555087752</v>
      </c>
    </row>
    <row r="71" spans="2:16" x14ac:dyDescent="0.25">
      <c r="B71" s="675"/>
      <c r="C71" s="676"/>
      <c r="D71" s="666"/>
      <c r="E71" s="666"/>
      <c r="F71" s="666"/>
      <c r="G71" s="674"/>
      <c r="H71" s="674"/>
      <c r="I71" s="674"/>
      <c r="J71" s="674"/>
      <c r="K71" s="674"/>
      <c r="L71" s="674"/>
      <c r="M71" s="666"/>
    </row>
    <row r="72" spans="2:16" x14ac:dyDescent="0.25">
      <c r="B72" s="786" t="s">
        <v>799</v>
      </c>
      <c r="C72" s="786"/>
      <c r="D72" s="664"/>
      <c r="E72" s="664"/>
      <c r="F72" s="664"/>
      <c r="G72" s="669"/>
      <c r="H72" s="669"/>
      <c r="I72" s="669"/>
      <c r="J72" s="669"/>
      <c r="K72" s="669"/>
      <c r="L72" s="669"/>
      <c r="M72" s="664"/>
    </row>
    <row r="73" spans="2:16" x14ac:dyDescent="0.25">
      <c r="B73" s="677" t="s">
        <v>191</v>
      </c>
      <c r="C73" s="579"/>
      <c r="D73" s="664"/>
      <c r="E73" s="664"/>
      <c r="F73" s="664"/>
      <c r="G73" s="669"/>
      <c r="H73" s="669"/>
      <c r="I73" s="669"/>
      <c r="J73" s="669"/>
      <c r="K73" s="669"/>
      <c r="L73" s="669"/>
      <c r="M73" s="664"/>
    </row>
    <row r="74" spans="2:16" x14ac:dyDescent="0.25">
      <c r="B74" s="677" t="s">
        <v>1117</v>
      </c>
      <c r="C74" s="678"/>
      <c r="D74" s="666">
        <f>'[9]Rev_NP-12me'!H84</f>
        <v>2449</v>
      </c>
      <c r="E74" s="666">
        <f>'[9]Rev_NP-12me'!I$84</f>
        <v>537.59794999999997</v>
      </c>
      <c r="F74" s="666">
        <f>'[9]Rev_NP-12me'!K$84</f>
        <v>1132.1996103125311</v>
      </c>
      <c r="G74" s="674"/>
      <c r="H74" s="674"/>
      <c r="I74" s="674"/>
      <c r="J74" s="674">
        <f>'[9]Rev_NP-12me'!CZ$84</f>
        <v>216.84509469999992</v>
      </c>
      <c r="K74" s="674">
        <f>'[9]Rev_NP-12me'!DA$84</f>
        <v>866.11688830536434</v>
      </c>
      <c r="L74" s="674">
        <f>'[9]Rev_NP-12me'!DC$84</f>
        <v>5.7936000000000005</v>
      </c>
      <c r="M74" s="666">
        <f t="shared" ref="M74:M119" si="2">SUM(J74:L74)</f>
        <v>1088.7555830053643</v>
      </c>
    </row>
    <row r="75" spans="2:16" x14ac:dyDescent="0.25">
      <c r="B75" s="679" t="s">
        <v>1118</v>
      </c>
      <c r="C75" s="678"/>
      <c r="D75" s="664">
        <f>'[9]Rev_NP-12me'!H85</f>
        <v>2432</v>
      </c>
      <c r="E75" s="664">
        <f>'[9]Rev_NP-12me'!I85</f>
        <v>532.39694999999995</v>
      </c>
      <c r="F75" s="664">
        <f>'[9]Rev_NP-12me'!K85</f>
        <v>1115.4683680001197</v>
      </c>
      <c r="G75" s="669"/>
      <c r="H75" s="669"/>
      <c r="I75" s="669"/>
      <c r="J75" s="669">
        <f>'[9]Rev_NP-12me'!$CZ$85</f>
        <v>214.42142869999992</v>
      </c>
      <c r="K75" s="669">
        <f>'[9]Rev_NP-12me'!$DA$85</f>
        <v>853.3483994341309</v>
      </c>
      <c r="L75" s="669">
        <f>'[9]Rev_NP-12me'!$DC$85</f>
        <v>5.7552000000000003</v>
      </c>
      <c r="M75" s="664">
        <f t="shared" si="2"/>
        <v>1073.5250281341309</v>
      </c>
    </row>
    <row r="76" spans="2:16" ht="14.4" x14ac:dyDescent="0.25">
      <c r="B76" s="680" t="s">
        <v>1119</v>
      </c>
      <c r="C76" s="678"/>
      <c r="D76" s="665">
        <f>'[9]Rev_NP-12me'!H86</f>
        <v>1706</v>
      </c>
      <c r="E76" s="665">
        <f>'[9]Rev_NP-12me'!I86</f>
        <v>441.3819499999999</v>
      </c>
      <c r="F76" s="665">
        <f>'[9]Rev_NP-12me'!K86</f>
        <v>319.30866030907532</v>
      </c>
      <c r="G76" s="681">
        <f>'[9]Rev_NP-12me'!O86</f>
        <v>500</v>
      </c>
      <c r="H76" s="682">
        <f>'[9]Rev_NP-12me'!P86</f>
        <v>7.65</v>
      </c>
      <c r="I76" s="681">
        <f>'[9]Rev_NP-12me'!AA86</f>
        <v>2000</v>
      </c>
      <c r="J76" s="681">
        <f>'[9]Rev_NP-12me'!$CZ$86</f>
        <v>205.68398869999993</v>
      </c>
      <c r="K76" s="681">
        <f>'[9]Rev_NP-12me'!$DA$86</f>
        <v>244.27112513644263</v>
      </c>
      <c r="L76" s="681">
        <f>'[9]Rev_NP-12me'!$DC$86</f>
        <v>4.0488</v>
      </c>
      <c r="M76" s="664">
        <f t="shared" si="2"/>
        <v>454.00391383644262</v>
      </c>
      <c r="O76" s="920"/>
      <c r="P76" s="920"/>
    </row>
    <row r="77" spans="2:16" ht="25.95" customHeight="1" x14ac:dyDescent="0.25">
      <c r="B77" s="683" t="s">
        <v>1120</v>
      </c>
      <c r="C77" s="579"/>
      <c r="D77" s="665">
        <f>'[9]Rev_NP-12me'!H87</f>
        <v>726</v>
      </c>
      <c r="E77" s="665">
        <f>'[9]Rev_NP-12me'!I87</f>
        <v>91.015000000000001</v>
      </c>
      <c r="F77" s="665">
        <f>'[9]Rev_NP-12me'!K87</f>
        <v>174.70951216498472</v>
      </c>
      <c r="G77" s="681">
        <f>'[9]Rev_NP-12me'!O87</f>
        <v>100</v>
      </c>
      <c r="H77" s="682">
        <f>'[9]Rev_NP-12me'!P87</f>
        <v>8</v>
      </c>
      <c r="I77" s="681">
        <f>'[9]Rev_NP-12me'!AA87</f>
        <v>2000</v>
      </c>
      <c r="J77" s="681">
        <f>'[9]Rev_NP-12me'!$CZ$87</f>
        <v>8.7374399999999994</v>
      </c>
      <c r="K77" s="681">
        <f>'[9]Rev_NP-12me'!$DA$87</f>
        <v>139.76760973198773</v>
      </c>
      <c r="L77" s="681">
        <f>'[9]Rev_NP-12me'!$DC$87</f>
        <v>1.7063999999999999</v>
      </c>
      <c r="M77" s="664">
        <f t="shared" si="2"/>
        <v>150.21144973198773</v>
      </c>
      <c r="O77" s="684"/>
      <c r="P77" s="684"/>
    </row>
    <row r="78" spans="2:16" ht="14.4" x14ac:dyDescent="0.25">
      <c r="B78" s="680" t="s">
        <v>1121</v>
      </c>
      <c r="C78" s="579"/>
      <c r="D78" s="665">
        <f>'[9]Rev_NP-12me'!H88</f>
        <v>0</v>
      </c>
      <c r="E78" s="665">
        <f>'[9]Rev_NP-12me'!I88</f>
        <v>0</v>
      </c>
      <c r="F78" s="665">
        <f>'[9]Rev_NP-12me'!K88</f>
        <v>0</v>
      </c>
      <c r="G78" s="681">
        <f>'[9]Rev_NP-12me'!O88</f>
        <v>0</v>
      </c>
      <c r="H78" s="682">
        <f>'[9]Rev_NP-12me'!P88</f>
        <v>7.65</v>
      </c>
      <c r="I78" s="681">
        <f>'[9]Rev_NP-12me'!AA88</f>
        <v>2000</v>
      </c>
      <c r="J78" s="681">
        <f>'[9]Rev_NP-12me'!$CZ$88</f>
        <v>0</v>
      </c>
      <c r="K78" s="681">
        <f>'[9]Rev_NP-12me'!$DA$88</f>
        <v>0</v>
      </c>
      <c r="L78" s="681">
        <f>'[9]Rev_NP-12me'!$DC$88</f>
        <v>0</v>
      </c>
      <c r="M78" s="664">
        <f t="shared" si="2"/>
        <v>0</v>
      </c>
      <c r="O78" s="685"/>
      <c r="P78" s="686"/>
    </row>
    <row r="79" spans="2:16" ht="14.4" x14ac:dyDescent="0.25">
      <c r="B79" s="680" t="s">
        <v>1122</v>
      </c>
      <c r="C79" s="579"/>
      <c r="D79" s="665">
        <f>'[9]Rev_NP-12me'!H89</f>
        <v>0</v>
      </c>
      <c r="E79" s="665">
        <f>'[9]Rev_NP-12me'!I89</f>
        <v>0</v>
      </c>
      <c r="F79" s="665">
        <f>'[9]Rev_NP-12me'!K89</f>
        <v>0</v>
      </c>
      <c r="G79" s="681">
        <f>'[9]Rev_NP-12me'!O89</f>
        <v>0</v>
      </c>
      <c r="H79" s="682">
        <f>'[9]Rev_NP-12me'!P89</f>
        <v>7.3</v>
      </c>
      <c r="I79" s="681">
        <f>'[9]Rev_NP-12me'!AA89</f>
        <v>2000</v>
      </c>
      <c r="J79" s="681">
        <f>'[9]Rev_NP-12me'!$CZ$89</f>
        <v>0</v>
      </c>
      <c r="K79" s="681">
        <f>'[9]Rev_NP-12me'!$DA$89</f>
        <v>0</v>
      </c>
      <c r="L79" s="681">
        <f>'[9]Rev_NP-12me'!$DC$89</f>
        <v>0</v>
      </c>
      <c r="M79" s="664">
        <f t="shared" si="2"/>
        <v>0</v>
      </c>
      <c r="O79" s="685"/>
      <c r="P79" s="686"/>
    </row>
    <row r="80" spans="2:16" ht="14.4" x14ac:dyDescent="0.25">
      <c r="B80" s="680" t="s">
        <v>1123</v>
      </c>
      <c r="C80" s="579"/>
      <c r="D80" s="665">
        <f>'[9]Rev_NP-12me'!H90</f>
        <v>0</v>
      </c>
      <c r="E80" s="665">
        <f>'[9]Rev_NP-12me'!I90</f>
        <v>0</v>
      </c>
      <c r="F80" s="665">
        <f>'[9]Rev_NP-12me'!K90</f>
        <v>0</v>
      </c>
      <c r="G80" s="681">
        <f>'[9]Rev_NP-12me'!O90</f>
        <v>500</v>
      </c>
      <c r="H80" s="682">
        <f>'[9]Rev_NP-12me'!P90</f>
        <v>8.6</v>
      </c>
      <c r="I80" s="681">
        <f>'[9]Rev_NP-12me'!AA90</f>
        <v>2000</v>
      </c>
      <c r="J80" s="681">
        <f>'[9]Rev_NP-12me'!$CZ$90</f>
        <v>0</v>
      </c>
      <c r="K80" s="681">
        <f>'[9]Rev_NP-12me'!$DA$90</f>
        <v>0</v>
      </c>
      <c r="L80" s="681">
        <f>'[9]Rev_NP-12me'!$DC$90</f>
        <v>0</v>
      </c>
      <c r="M80" s="664">
        <f t="shared" si="2"/>
        <v>0</v>
      </c>
      <c r="O80" s="685"/>
      <c r="P80" s="686"/>
    </row>
    <row r="81" spans="2:16" ht="17.399999999999999" customHeight="1" x14ac:dyDescent="0.25">
      <c r="B81" s="687" t="s">
        <v>1124</v>
      </c>
      <c r="C81" s="579"/>
      <c r="D81" s="665">
        <f>'[9]Rev_NP-12me'!H91</f>
        <v>0</v>
      </c>
      <c r="E81" s="665">
        <f>'[9]Rev_NP-12me'!I91</f>
        <v>0</v>
      </c>
      <c r="F81" s="665">
        <f>'[9]Rev_NP-12me'!K91</f>
        <v>162.2632128913794</v>
      </c>
      <c r="G81" s="681">
        <f>'[9]Rev_NP-12me'!O91</f>
        <v>0</v>
      </c>
      <c r="H81" s="682">
        <f>'[9]Rev_NP-12me'!P91</f>
        <v>8.65</v>
      </c>
      <c r="I81" s="681">
        <f>'[9]Rev_NP-12me'!AA91</f>
        <v>2000</v>
      </c>
      <c r="J81" s="681">
        <f>'[9]Rev_NP-12me'!$CZ$91</f>
        <v>0</v>
      </c>
      <c r="K81" s="681">
        <f>'[9]Rev_NP-12me'!$DA$91</f>
        <v>140.35767915104319</v>
      </c>
      <c r="L81" s="681">
        <f>'[9]Rev_NP-12me'!$DC$91</f>
        <v>0</v>
      </c>
      <c r="M81" s="664">
        <f t="shared" si="2"/>
        <v>140.35767915104319</v>
      </c>
      <c r="O81" s="685"/>
      <c r="P81" s="686"/>
    </row>
    <row r="82" spans="2:16" ht="14.4" x14ac:dyDescent="0.25">
      <c r="B82" s="687" t="s">
        <v>1125</v>
      </c>
      <c r="C82" s="579"/>
      <c r="D82" s="665">
        <f>'[9]Rev_NP-12me'!H92</f>
        <v>0</v>
      </c>
      <c r="E82" s="665">
        <f>'[9]Rev_NP-12me'!I92</f>
        <v>0</v>
      </c>
      <c r="F82" s="665">
        <f>'[9]Rev_NP-12me'!K92</f>
        <v>152.76850512311557</v>
      </c>
      <c r="G82" s="681">
        <f>'[9]Rev_NP-12me'!O92</f>
        <v>0</v>
      </c>
      <c r="H82" s="682">
        <f>'[9]Rev_NP-12me'!P92</f>
        <v>8.65</v>
      </c>
      <c r="I82" s="681">
        <f>'[9]Rev_NP-12me'!AA92</f>
        <v>2000</v>
      </c>
      <c r="J82" s="681">
        <f>'[9]Rev_NP-12me'!$CZ$92</f>
        <v>0</v>
      </c>
      <c r="K82" s="681">
        <f>'[9]Rev_NP-12me'!$DA$92</f>
        <v>132.14475693149498</v>
      </c>
      <c r="L82" s="681">
        <f>'[9]Rev_NP-12me'!$DC$92</f>
        <v>0</v>
      </c>
      <c r="M82" s="664">
        <f t="shared" si="2"/>
        <v>132.14475693149498</v>
      </c>
      <c r="O82" s="685"/>
      <c r="P82" s="686"/>
    </row>
    <row r="83" spans="2:16" ht="15" customHeight="1" x14ac:dyDescent="0.25">
      <c r="B83" s="687" t="s">
        <v>1126</v>
      </c>
      <c r="C83" s="579"/>
      <c r="D83" s="665">
        <f>'[9]Rev_NP-12me'!H93</f>
        <v>0</v>
      </c>
      <c r="E83" s="665">
        <f>'[9]Rev_NP-12me'!I93</f>
        <v>0</v>
      </c>
      <c r="F83" s="665">
        <f>'[9]Rev_NP-12me'!K93</f>
        <v>306.4184775115645</v>
      </c>
      <c r="G83" s="681">
        <f>'[9]Rev_NP-12me'!O93</f>
        <v>0</v>
      </c>
      <c r="H83" s="682">
        <f>'[9]Rev_NP-12me'!P93</f>
        <v>6.15</v>
      </c>
      <c r="I83" s="681">
        <f>'[9]Rev_NP-12me'!AA93</f>
        <v>2000</v>
      </c>
      <c r="J83" s="681">
        <f>'[9]Rev_NP-12me'!$CZ$93</f>
        <v>0</v>
      </c>
      <c r="K83" s="681">
        <f>'[9]Rev_NP-12me'!$DA$93</f>
        <v>196.80722848316242</v>
      </c>
      <c r="L83" s="681">
        <f>'[9]Rev_NP-12me'!$DC$93</f>
        <v>0</v>
      </c>
      <c r="M83" s="664">
        <f t="shared" si="2"/>
        <v>196.80722848316242</v>
      </c>
      <c r="O83" s="685"/>
      <c r="P83" s="686"/>
    </row>
    <row r="84" spans="2:16" ht="14.4" x14ac:dyDescent="0.25">
      <c r="B84" s="677" t="s">
        <v>1127</v>
      </c>
      <c r="C84" s="579"/>
      <c r="D84" s="664">
        <f>'[9]Rev_NP-12me'!H94</f>
        <v>17</v>
      </c>
      <c r="E84" s="664">
        <f>'[9]Rev_NP-12me'!I94</f>
        <v>5.2009999999999996</v>
      </c>
      <c r="F84" s="664">
        <f>'[9]Rev_NP-12me'!K94</f>
        <v>16.73124231241151</v>
      </c>
      <c r="G84" s="681">
        <f>'[9]Rev_NP-12me'!O94</f>
        <v>0</v>
      </c>
      <c r="H84" s="682">
        <f>'[9]Rev_NP-12me'!P94</f>
        <v>0</v>
      </c>
      <c r="I84" s="669">
        <f>'[9]Rev_NP-12me'!AA94</f>
        <v>0</v>
      </c>
      <c r="J84" s="669">
        <f>'[9]Rev_NP-12me'!$CZ$94</f>
        <v>2.4236660000000003</v>
      </c>
      <c r="K84" s="669">
        <f>'[9]Rev_NP-12me'!$DA$94</f>
        <v>12.768488871233433</v>
      </c>
      <c r="L84" s="669">
        <f>'[9]Rev_NP-12me'!$DC$94</f>
        <v>3.8399999999999997E-2</v>
      </c>
      <c r="M84" s="666">
        <f t="shared" si="2"/>
        <v>15.230554871233434</v>
      </c>
      <c r="O84" s="685"/>
      <c r="P84" s="686"/>
    </row>
    <row r="85" spans="2:16" ht="13.2" customHeight="1" x14ac:dyDescent="0.25">
      <c r="B85" s="687" t="s">
        <v>1128</v>
      </c>
      <c r="C85" s="579"/>
      <c r="D85" s="665">
        <f>'[9]Rev_NP-12me'!H95</f>
        <v>17</v>
      </c>
      <c r="E85" s="665">
        <f>'[9]Rev_NP-12me'!I95</f>
        <v>5.2009999999999996</v>
      </c>
      <c r="F85" s="665">
        <f>'[9]Rev_NP-12me'!K95</f>
        <v>5.9539932079829416</v>
      </c>
      <c r="G85" s="681">
        <f>'[9]Rev_NP-12me'!O95</f>
        <v>500</v>
      </c>
      <c r="H85" s="682">
        <f>'[9]Rev_NP-12me'!P95</f>
        <v>7.65</v>
      </c>
      <c r="I85" s="681">
        <f>'[9]Rev_NP-12me'!AA95</f>
        <v>2000</v>
      </c>
      <c r="J85" s="681">
        <f>'[9]Rev_NP-12me'!$CZ$95</f>
        <v>2.4236660000000003</v>
      </c>
      <c r="K85" s="681">
        <f>'[9]Rev_NP-12me'!$DA$95</f>
        <v>4.5548048041069507</v>
      </c>
      <c r="L85" s="681">
        <f>'[9]Rev_NP-12me'!$DC$95</f>
        <v>3.8399999999999997E-2</v>
      </c>
      <c r="M85" s="664">
        <f t="shared" si="2"/>
        <v>7.0168708041069516</v>
      </c>
      <c r="O85" s="685"/>
      <c r="P85" s="686"/>
    </row>
    <row r="86" spans="2:16" ht="14.4" x14ac:dyDescent="0.25">
      <c r="B86" s="687" t="s">
        <v>1129</v>
      </c>
      <c r="C86" s="579"/>
      <c r="D86" s="665">
        <f>'[9]Rev_NP-12me'!H96</f>
        <v>0</v>
      </c>
      <c r="E86" s="665">
        <f>'[9]Rev_NP-12me'!I96</f>
        <v>0</v>
      </c>
      <c r="F86" s="665">
        <f>'[9]Rev_NP-12me'!K96</f>
        <v>3.0933937970004868</v>
      </c>
      <c r="G86" s="681">
        <f>'[9]Rev_NP-12me'!O96</f>
        <v>0</v>
      </c>
      <c r="H86" s="682">
        <f>'[9]Rev_NP-12me'!P96</f>
        <v>8.65</v>
      </c>
      <c r="I86" s="681">
        <f>'[9]Rev_NP-12me'!AA96</f>
        <v>2000</v>
      </c>
      <c r="J86" s="681">
        <f>'[9]Rev_NP-12me'!$CZ$96</f>
        <v>0</v>
      </c>
      <c r="K86" s="681">
        <f>'[9]Rev_NP-12me'!$DA$96</f>
        <v>2.6757856344054209</v>
      </c>
      <c r="L86" s="681">
        <f>'[9]Rev_NP-12me'!$DC$96</f>
        <v>0</v>
      </c>
      <c r="M86" s="664">
        <f t="shared" si="2"/>
        <v>2.6757856344054209</v>
      </c>
      <c r="O86" s="685"/>
    </row>
    <row r="87" spans="2:16" ht="14.4" x14ac:dyDescent="0.25">
      <c r="B87" s="687" t="s">
        <v>1130</v>
      </c>
      <c r="C87" s="579"/>
      <c r="D87" s="665">
        <f>'[9]Rev_NP-12me'!H97</f>
        <v>0</v>
      </c>
      <c r="E87" s="665">
        <f>'[9]Rev_NP-12me'!I97</f>
        <v>0</v>
      </c>
      <c r="F87" s="665">
        <f>'[9]Rev_NP-12me'!K97</f>
        <v>2.6619772154063002</v>
      </c>
      <c r="G87" s="681">
        <f>'[9]Rev_NP-12me'!O97</f>
        <v>0</v>
      </c>
      <c r="H87" s="682">
        <f>'[9]Rev_NP-12me'!P97</f>
        <v>8.65</v>
      </c>
      <c r="I87" s="681">
        <f>'[9]Rev_NP-12me'!AA97</f>
        <v>2000</v>
      </c>
      <c r="J87" s="681">
        <f>'[9]Rev_NP-12me'!$CZ$97</f>
        <v>0</v>
      </c>
      <c r="K87" s="681">
        <f>'[9]Rev_NP-12me'!$DA$97</f>
        <v>2.3026102913264497</v>
      </c>
      <c r="L87" s="681">
        <f>'[9]Rev_NP-12me'!$DC$97</f>
        <v>0</v>
      </c>
      <c r="M87" s="664">
        <f t="shared" si="2"/>
        <v>2.3026102913264497</v>
      </c>
      <c r="O87" s="685"/>
      <c r="P87" s="686"/>
    </row>
    <row r="88" spans="2:16" ht="17.399999999999999" customHeight="1" x14ac:dyDescent="0.25">
      <c r="B88" s="687" t="s">
        <v>1131</v>
      </c>
      <c r="C88" s="579"/>
      <c r="D88" s="665">
        <f>'[9]Rev_NP-12me'!H98</f>
        <v>0</v>
      </c>
      <c r="E88" s="665">
        <f>'[9]Rev_NP-12me'!I98</f>
        <v>0</v>
      </c>
      <c r="F88" s="665">
        <f>'[9]Rev_NP-12me'!K98</f>
        <v>5.0218780920217814</v>
      </c>
      <c r="G88" s="681">
        <f>'[9]Rev_NP-12me'!O98</f>
        <v>0</v>
      </c>
      <c r="H88" s="682">
        <f>'[9]Rev_NP-12me'!P98</f>
        <v>6.15</v>
      </c>
      <c r="I88" s="681">
        <f>'[9]Rev_NP-12me'!AA98</f>
        <v>2000</v>
      </c>
      <c r="J88" s="681">
        <f>'[9]Rev_NP-12me'!$CZ$98</f>
        <v>0</v>
      </c>
      <c r="K88" s="681">
        <f>'[9]Rev_NP-12me'!$DA$98</f>
        <v>3.2352881413946113</v>
      </c>
      <c r="L88" s="681">
        <f>'[9]Rev_NP-12me'!$DC$98</f>
        <v>0</v>
      </c>
      <c r="M88" s="664">
        <f t="shared" si="2"/>
        <v>3.2352881413946113</v>
      </c>
      <c r="O88" s="685"/>
      <c r="P88" s="686"/>
    </row>
    <row r="89" spans="2:16" ht="14.4" x14ac:dyDescent="0.25">
      <c r="B89" s="677" t="s">
        <v>1132</v>
      </c>
      <c r="C89" s="579"/>
      <c r="D89" s="666">
        <f>'[9]Rev_NP-12me'!H99</f>
        <v>0</v>
      </c>
      <c r="E89" s="666">
        <f>'[9]Rev_NP-12me'!I99</f>
        <v>0</v>
      </c>
      <c r="F89" s="666">
        <f>'[9]Rev_NP-12me'!K99</f>
        <v>0</v>
      </c>
      <c r="G89" s="681">
        <f>'[9]Rev_NP-12me'!O99</f>
        <v>500</v>
      </c>
      <c r="H89" s="682">
        <f>'[9]Rev_NP-12me'!P99</f>
        <v>7.65</v>
      </c>
      <c r="I89" s="674">
        <f>'[9]Rev_NP-12me'!AA99</f>
        <v>2000</v>
      </c>
      <c r="J89" s="674">
        <f>'[9]Rev_NP-12me'!$CZ$99</f>
        <v>0</v>
      </c>
      <c r="K89" s="674">
        <f>'[9]Rev_NP-12me'!$DA$99</f>
        <v>0</v>
      </c>
      <c r="L89" s="674">
        <f>'[9]Rev_NP-12me'!$DC$99</f>
        <v>0</v>
      </c>
      <c r="M89" s="666">
        <f t="shared" si="2"/>
        <v>0</v>
      </c>
    </row>
    <row r="90" spans="2:16" ht="14.4" x14ac:dyDescent="0.25">
      <c r="B90" s="677" t="s">
        <v>1133</v>
      </c>
      <c r="C90" s="579"/>
      <c r="D90" s="666">
        <f>'[9]Rev_NP-12me'!H100</f>
        <v>819</v>
      </c>
      <c r="E90" s="666">
        <f>'[9]Rev_NP-12me'!I100</f>
        <v>135.57402999999999</v>
      </c>
      <c r="F90" s="666">
        <f>'[9]Rev_NP-12me'!K100</f>
        <v>228.52878712903717</v>
      </c>
      <c r="G90" s="681">
        <f>'[9]Rev_NP-12me'!O100</f>
        <v>0</v>
      </c>
      <c r="H90" s="682">
        <f>'[9]Rev_NP-12me'!P100</f>
        <v>0</v>
      </c>
      <c r="I90" s="674">
        <f>'[9]Rev_NP-12me'!AA100</f>
        <v>0</v>
      </c>
      <c r="J90" s="674">
        <f>'[9]Rev_NP-12me'!$CZ$100</f>
        <v>63.177497979999998</v>
      </c>
      <c r="K90" s="674">
        <f>'[9]Rev_NP-12me'!$DA$100</f>
        <v>203.06762217487531</v>
      </c>
      <c r="L90" s="674">
        <f>'[9]Rev_NP-12me'!$DC$100</f>
        <v>1.89</v>
      </c>
      <c r="M90" s="666">
        <f t="shared" si="2"/>
        <v>268.13512015487527</v>
      </c>
    </row>
    <row r="91" spans="2:16" ht="14.4" x14ac:dyDescent="0.25">
      <c r="B91" s="680" t="s">
        <v>1134</v>
      </c>
      <c r="C91" s="579"/>
      <c r="D91" s="665">
        <f>'[9]Rev_NP-12me'!H101</f>
        <v>819</v>
      </c>
      <c r="E91" s="665">
        <f>'[9]Rev_NP-12me'!I101</f>
        <v>135.57402999999999</v>
      </c>
      <c r="F91" s="665">
        <f>'[9]Rev_NP-12me'!K101</f>
        <v>101.37231547501712</v>
      </c>
      <c r="G91" s="681">
        <f>'[9]Rev_NP-12me'!O101</f>
        <v>500</v>
      </c>
      <c r="H91" s="682">
        <f>'[9]Rev_NP-12me'!P101</f>
        <v>8.8000000000000007</v>
      </c>
      <c r="I91" s="681">
        <f>'[9]Rev_NP-12me'!AA101</f>
        <v>2000</v>
      </c>
      <c r="J91" s="681">
        <f>'[9]Rev_NP-12me'!CZ101</f>
        <v>63.177497979999998</v>
      </c>
      <c r="K91" s="681">
        <f>'[9]Rev_NP-12me'!DA101</f>
        <v>89.207637618015042</v>
      </c>
      <c r="L91" s="681">
        <f>'[9]Rev_NP-12me'!DC101</f>
        <v>1.89</v>
      </c>
      <c r="M91" s="664">
        <f t="shared" si="2"/>
        <v>154.27513559801503</v>
      </c>
    </row>
    <row r="92" spans="2:16" ht="14.4" x14ac:dyDescent="0.25">
      <c r="B92" s="680" t="s">
        <v>1100</v>
      </c>
      <c r="C92" s="579"/>
      <c r="D92" s="665">
        <f>'[9]Rev_NP-12me'!H102</f>
        <v>0</v>
      </c>
      <c r="E92" s="665">
        <f>'[9]Rev_NP-12me'!I102</f>
        <v>0</v>
      </c>
      <c r="F92" s="665">
        <f>'[9]Rev_NP-12me'!K102</f>
        <v>51.398390074841288</v>
      </c>
      <c r="G92" s="681">
        <f>'[9]Rev_NP-12me'!O102</f>
        <v>0</v>
      </c>
      <c r="H92" s="682">
        <f>'[9]Rev_NP-12me'!P102</f>
        <v>9.8000000000000007</v>
      </c>
      <c r="I92" s="681">
        <f>'[9]Rev_NP-12me'!AA102</f>
        <v>2000</v>
      </c>
      <c r="J92" s="681">
        <f>'[9]Rev_NP-12me'!CZ102</f>
        <v>0</v>
      </c>
      <c r="K92" s="681">
        <f>'[9]Rev_NP-12me'!DA102</f>
        <v>50.370422273344474</v>
      </c>
      <c r="L92" s="681">
        <f>'[9]Rev_NP-12me'!DC102</f>
        <v>0</v>
      </c>
      <c r="M92" s="664">
        <f t="shared" si="2"/>
        <v>50.370422273344474</v>
      </c>
    </row>
    <row r="93" spans="2:16" ht="14.4" x14ac:dyDescent="0.25">
      <c r="B93" s="680" t="s">
        <v>1101</v>
      </c>
      <c r="C93" s="579"/>
      <c r="D93" s="665">
        <f>'[9]Rev_NP-12me'!H103</f>
        <v>0</v>
      </c>
      <c r="E93" s="665">
        <f>'[9]Rev_NP-12me'!I103</f>
        <v>0</v>
      </c>
      <c r="F93" s="665">
        <f>'[9]Rev_NP-12me'!K103</f>
        <v>26.596826622005175</v>
      </c>
      <c r="G93" s="681">
        <f>'[9]Rev_NP-12me'!O103</f>
        <v>0</v>
      </c>
      <c r="H93" s="682">
        <f>'[9]Rev_NP-12me'!P103</f>
        <v>9.8000000000000007</v>
      </c>
      <c r="I93" s="681">
        <f>'[9]Rev_NP-12me'!AA103</f>
        <v>2000</v>
      </c>
      <c r="J93" s="681">
        <f>'[9]Rev_NP-12me'!CZ103</f>
        <v>0</v>
      </c>
      <c r="K93" s="681">
        <f>'[9]Rev_NP-12me'!DA103</f>
        <v>26.064890089565072</v>
      </c>
      <c r="L93" s="681">
        <f>'[9]Rev_NP-12me'!DC103</f>
        <v>0</v>
      </c>
      <c r="M93" s="664">
        <f t="shared" si="2"/>
        <v>26.064890089565072</v>
      </c>
    </row>
    <row r="94" spans="2:16" ht="14.4" x14ac:dyDescent="0.25">
      <c r="B94" s="680" t="s">
        <v>1102</v>
      </c>
      <c r="C94" s="579"/>
      <c r="D94" s="665">
        <f>'[9]Rev_NP-12me'!H104</f>
        <v>0</v>
      </c>
      <c r="E94" s="665">
        <f>'[9]Rev_NP-12me'!I104</f>
        <v>0</v>
      </c>
      <c r="F94" s="665">
        <f>'[9]Rev_NP-12me'!K104</f>
        <v>49.16125495717359</v>
      </c>
      <c r="G94" s="681">
        <f>'[9]Rev_NP-12me'!O104</f>
        <v>0</v>
      </c>
      <c r="H94" s="682">
        <f>'[9]Rev_NP-12me'!P104</f>
        <v>7.3000000000000007</v>
      </c>
      <c r="I94" s="681">
        <f>'[9]Rev_NP-12me'!AA104</f>
        <v>2000</v>
      </c>
      <c r="J94" s="681">
        <f>'[9]Rev_NP-12me'!CZ104</f>
        <v>0</v>
      </c>
      <c r="K94" s="681">
        <f>'[9]Rev_NP-12me'!DA104</f>
        <v>37.424672193950727</v>
      </c>
      <c r="L94" s="681">
        <f>'[9]Rev_NP-12me'!DC104</f>
        <v>0</v>
      </c>
      <c r="M94" s="664">
        <f t="shared" si="2"/>
        <v>37.424672193950727</v>
      </c>
    </row>
    <row r="95" spans="2:16" ht="14.4" x14ac:dyDescent="0.25">
      <c r="B95" s="677" t="s">
        <v>1135</v>
      </c>
      <c r="C95" s="579"/>
      <c r="D95" s="666">
        <f>'[9]Rev_NP-12me'!H105</f>
        <v>2</v>
      </c>
      <c r="E95" s="666">
        <f>'[9]Rev_NP-12me'!I105</f>
        <v>0.23200000000000001</v>
      </c>
      <c r="F95" s="666">
        <f>'[9]Rev_NP-12me'!K105</f>
        <v>0.3310266</v>
      </c>
      <c r="G95" s="681">
        <f>'[9]Rev_NP-12me'!O105</f>
        <v>0</v>
      </c>
      <c r="H95" s="682">
        <f>'[9]Rev_NP-12me'!P105</f>
        <v>0</v>
      </c>
      <c r="I95" s="674">
        <f>'[9]Rev_NP-12me'!AA105</f>
        <v>2000</v>
      </c>
      <c r="J95" s="674">
        <f>'[9]Rev_NP-12me'!$CZ$105</f>
        <v>6.0227200000000009E-2</v>
      </c>
      <c r="K95" s="674">
        <f>'[9]Rev_NP-12me'!$DA$105</f>
        <v>0.16179054900000001</v>
      </c>
      <c r="L95" s="674">
        <f>'[9]Rev_NP-12me'!$DC$105</f>
        <v>4.7999999999999996E-3</v>
      </c>
      <c r="M95" s="666">
        <f t="shared" si="2"/>
        <v>0.22681774900000001</v>
      </c>
    </row>
    <row r="96" spans="2:16" ht="14.4" x14ac:dyDescent="0.25">
      <c r="B96" s="680" t="s">
        <v>1134</v>
      </c>
      <c r="C96" s="579"/>
      <c r="D96" s="665">
        <f>'[9]Rev_NP-12me'!H106</f>
        <v>2</v>
      </c>
      <c r="E96" s="665">
        <f>'[9]Rev_NP-12me'!I106</f>
        <v>0.23200000000000001</v>
      </c>
      <c r="F96" s="665">
        <f>'[9]Rev_NP-12me'!K106</f>
        <v>7.8320360000000019E-2</v>
      </c>
      <c r="G96" s="681">
        <f>'[9]Rev_NP-12me'!O106</f>
        <v>285</v>
      </c>
      <c r="H96" s="682">
        <f>'[9]Rev_NP-12me'!P106</f>
        <v>5</v>
      </c>
      <c r="I96" s="681">
        <f>'[9]Rev_NP-12me'!AA106</f>
        <v>2000</v>
      </c>
      <c r="J96" s="681">
        <f>'[9]Rev_NP-12me'!CZ106</f>
        <v>6.0227200000000009E-2</v>
      </c>
      <c r="K96" s="681">
        <f>'[9]Rev_NP-12me'!DA106</f>
        <v>3.9160180000000003E-2</v>
      </c>
      <c r="L96" s="681">
        <f>'[9]Rev_NP-12me'!DC106</f>
        <v>4.7999999999999996E-3</v>
      </c>
      <c r="M96" s="664">
        <f t="shared" si="2"/>
        <v>0.10418738000000001</v>
      </c>
    </row>
    <row r="97" spans="2:13" ht="14.4" x14ac:dyDescent="0.25">
      <c r="B97" s="680" t="s">
        <v>1100</v>
      </c>
      <c r="C97" s="579"/>
      <c r="D97" s="665">
        <f>'[9]Rev_NP-12me'!H107</f>
        <v>0</v>
      </c>
      <c r="E97" s="665">
        <f>'[9]Rev_NP-12me'!I107</f>
        <v>0</v>
      </c>
      <c r="F97" s="665">
        <f>'[9]Rev_NP-12me'!K107</f>
        <v>8.161388E-2</v>
      </c>
      <c r="G97" s="681">
        <f>'[9]Rev_NP-12me'!O107</f>
        <v>0</v>
      </c>
      <c r="H97" s="682">
        <f>'[9]Rev_NP-12me'!P107</f>
        <v>6</v>
      </c>
      <c r="I97" s="681">
        <f>'[9]Rev_NP-12me'!AA107</f>
        <v>2000</v>
      </c>
      <c r="J97" s="681">
        <f>'[9]Rev_NP-12me'!CZ107</f>
        <v>0</v>
      </c>
      <c r="K97" s="681">
        <f>'[9]Rev_NP-12me'!DA107</f>
        <v>4.8968328000000005E-2</v>
      </c>
      <c r="L97" s="681">
        <f>'[9]Rev_NP-12me'!DC107</f>
        <v>0</v>
      </c>
      <c r="M97" s="664">
        <f t="shared" si="2"/>
        <v>4.8968328000000005E-2</v>
      </c>
    </row>
    <row r="98" spans="2:13" ht="14.4" x14ac:dyDescent="0.25">
      <c r="B98" s="680" t="s">
        <v>1101</v>
      </c>
      <c r="C98" s="579"/>
      <c r="D98" s="665">
        <f>'[9]Rev_NP-12me'!H108</f>
        <v>0</v>
      </c>
      <c r="E98" s="665">
        <f>'[9]Rev_NP-12me'!I108</f>
        <v>0</v>
      </c>
      <c r="F98" s="665">
        <f>'[9]Rev_NP-12me'!K108</f>
        <v>3.7976100000000006E-2</v>
      </c>
      <c r="G98" s="681">
        <f>'[9]Rev_NP-12me'!O108</f>
        <v>0</v>
      </c>
      <c r="H98" s="682">
        <f>'[9]Rev_NP-12me'!P108</f>
        <v>6</v>
      </c>
      <c r="I98" s="681">
        <f>'[9]Rev_NP-12me'!AA108</f>
        <v>2000</v>
      </c>
      <c r="J98" s="681">
        <f>'[9]Rev_NP-12me'!CZ108</f>
        <v>0</v>
      </c>
      <c r="K98" s="681">
        <f>'[9]Rev_NP-12me'!DA108</f>
        <v>2.2785660000000003E-2</v>
      </c>
      <c r="L98" s="681">
        <f>'[9]Rev_NP-12me'!DC108</f>
        <v>0</v>
      </c>
      <c r="M98" s="664">
        <f t="shared" si="2"/>
        <v>2.2785660000000003E-2</v>
      </c>
    </row>
    <row r="99" spans="2:13" ht="14.4" x14ac:dyDescent="0.25">
      <c r="B99" s="680" t="s">
        <v>1102</v>
      </c>
      <c r="C99" s="579"/>
      <c r="D99" s="665">
        <f>'[9]Rev_NP-12me'!H109</f>
        <v>0</v>
      </c>
      <c r="E99" s="665">
        <f>'[9]Rev_NP-12me'!I109</f>
        <v>0</v>
      </c>
      <c r="F99" s="665">
        <f>'[9]Rev_NP-12me'!K109</f>
        <v>0.13311625999999999</v>
      </c>
      <c r="G99" s="681">
        <f>'[9]Rev_NP-12me'!O109</f>
        <v>0</v>
      </c>
      <c r="H99" s="682">
        <f>'[9]Rev_NP-12me'!P109</f>
        <v>3.5</v>
      </c>
      <c r="I99" s="681">
        <f>'[9]Rev_NP-12me'!AA109</f>
        <v>2000</v>
      </c>
      <c r="J99" s="681">
        <f>'[9]Rev_NP-12me'!CZ109</f>
        <v>0</v>
      </c>
      <c r="K99" s="681">
        <f>'[9]Rev_NP-12me'!DA109</f>
        <v>5.0876380999999998E-2</v>
      </c>
      <c r="L99" s="681">
        <f>'[9]Rev_NP-12me'!DC109</f>
        <v>0</v>
      </c>
      <c r="M99" s="664">
        <f t="shared" si="2"/>
        <v>5.0876380999999998E-2</v>
      </c>
    </row>
    <row r="100" spans="2:13" ht="14.4" x14ac:dyDescent="0.25">
      <c r="B100" s="677" t="s">
        <v>1079</v>
      </c>
      <c r="C100" s="579"/>
      <c r="D100" s="666">
        <f>'[9]Rev_NP-12me'!H110</f>
        <v>21</v>
      </c>
      <c r="E100" s="666">
        <f>'[9]Rev_NP-12me'!I110</f>
        <v>2.7829999999999999</v>
      </c>
      <c r="F100" s="666">
        <f>'[9]Rev_NP-12me'!K110</f>
        <v>8.427113748004512</v>
      </c>
      <c r="G100" s="681">
        <f>'[9]Rev_NP-12me'!O110</f>
        <v>0</v>
      </c>
      <c r="H100" s="682">
        <f>'[9]Rev_NP-12me'!P110</f>
        <v>0</v>
      </c>
      <c r="I100" s="674">
        <f>'[9]Rev_NP-12me'!AA110</f>
        <v>0</v>
      </c>
      <c r="J100" s="674">
        <f>'[9]Rev_NP-12me'!$CZ$110</f>
        <v>1.2968780000000002</v>
      </c>
      <c r="K100" s="674">
        <f>'[9]Rev_NP-12me'!$DA$110</f>
        <v>7.103579391402377</v>
      </c>
      <c r="L100" s="674">
        <f>'[9]Rev_NP-12me'!$DC$110</f>
        <v>5.04E-2</v>
      </c>
      <c r="M100" s="666">
        <f t="shared" si="2"/>
        <v>8.4508573914023764</v>
      </c>
    </row>
    <row r="101" spans="2:13" ht="14.4" x14ac:dyDescent="0.25">
      <c r="B101" s="680" t="s">
        <v>1134</v>
      </c>
      <c r="C101" s="579"/>
      <c r="D101" s="665">
        <f>'[9]Rev_NP-12me'!H111</f>
        <v>21</v>
      </c>
      <c r="E101" s="665">
        <f>'[9]Rev_NP-12me'!I111</f>
        <v>2.7829999999999999</v>
      </c>
      <c r="F101" s="665">
        <f>'[9]Rev_NP-12me'!K111</f>
        <v>2.2593255898572573</v>
      </c>
      <c r="G101" s="681">
        <f>'[9]Rev_NP-12me'!O111</f>
        <v>500</v>
      </c>
      <c r="H101" s="682">
        <f>'[9]Rev_NP-12me'!P111</f>
        <v>8.5</v>
      </c>
      <c r="I101" s="681">
        <f>'[9]Rev_NP-12me'!AA111</f>
        <v>2000</v>
      </c>
      <c r="J101" s="681">
        <f>'[9]Rev_NP-12me'!CZ111</f>
        <v>1.2968780000000002</v>
      </c>
      <c r="K101" s="681">
        <f>'[9]Rev_NP-12me'!DA111</f>
        <v>1.920426751378669</v>
      </c>
      <c r="L101" s="681">
        <f>'[9]Rev_NP-12me'!DC111</f>
        <v>5.04E-2</v>
      </c>
      <c r="M101" s="664">
        <f t="shared" si="2"/>
        <v>3.2677047513786688</v>
      </c>
    </row>
    <row r="102" spans="2:13" ht="14.4" x14ac:dyDescent="0.25">
      <c r="B102" s="680" t="s">
        <v>1100</v>
      </c>
      <c r="C102" s="579"/>
      <c r="D102" s="665">
        <f>'[9]Rev_NP-12me'!H112</f>
        <v>0</v>
      </c>
      <c r="E102" s="665">
        <f>'[9]Rev_NP-12me'!I112</f>
        <v>0</v>
      </c>
      <c r="F102" s="665">
        <f>'[9]Rev_NP-12me'!K112</f>
        <v>1.8081724714929406</v>
      </c>
      <c r="G102" s="681">
        <f>'[9]Rev_NP-12me'!O112</f>
        <v>0</v>
      </c>
      <c r="H102" s="682">
        <f>'[9]Rev_NP-12me'!P112</f>
        <v>9.5</v>
      </c>
      <c r="I102" s="681">
        <f>'[9]Rev_NP-12me'!AA112</f>
        <v>2000</v>
      </c>
      <c r="J102" s="681">
        <f>'[9]Rev_NP-12me'!CZ112</f>
        <v>0</v>
      </c>
      <c r="K102" s="681">
        <f>'[9]Rev_NP-12me'!DA112</f>
        <v>1.7177638479182935</v>
      </c>
      <c r="L102" s="681">
        <f>'[9]Rev_NP-12me'!DC112</f>
        <v>0</v>
      </c>
      <c r="M102" s="664">
        <f t="shared" si="2"/>
        <v>1.7177638479182935</v>
      </c>
    </row>
    <row r="103" spans="2:13" ht="14.4" x14ac:dyDescent="0.25">
      <c r="B103" s="680" t="s">
        <v>1101</v>
      </c>
      <c r="C103" s="579"/>
      <c r="D103" s="665">
        <f>'[9]Rev_NP-12me'!H113</f>
        <v>0</v>
      </c>
      <c r="E103" s="665">
        <f>'[9]Rev_NP-12me'!I113</f>
        <v>0</v>
      </c>
      <c r="F103" s="665">
        <f>'[9]Rev_NP-12me'!K113</f>
        <v>1.2612283806124283</v>
      </c>
      <c r="G103" s="681">
        <f>'[9]Rev_NP-12me'!O113</f>
        <v>0</v>
      </c>
      <c r="H103" s="682">
        <f>'[9]Rev_NP-12me'!P113</f>
        <v>9.5</v>
      </c>
      <c r="I103" s="681">
        <f>'[9]Rev_NP-12me'!AA113</f>
        <v>2000</v>
      </c>
      <c r="J103" s="681">
        <f>'[9]Rev_NP-12me'!CZ113</f>
        <v>0</v>
      </c>
      <c r="K103" s="681">
        <f>'[9]Rev_NP-12me'!DA113</f>
        <v>1.1981669615818067</v>
      </c>
      <c r="L103" s="681">
        <f>'[9]Rev_NP-12me'!DC113</f>
        <v>0</v>
      </c>
      <c r="M103" s="664">
        <f t="shared" si="2"/>
        <v>1.1981669615818067</v>
      </c>
    </row>
    <row r="104" spans="2:13" ht="14.4" x14ac:dyDescent="0.25">
      <c r="B104" s="680" t="s">
        <v>1102</v>
      </c>
      <c r="C104" s="579"/>
      <c r="D104" s="665">
        <f>'[9]Rev_NP-12me'!H114</f>
        <v>0</v>
      </c>
      <c r="E104" s="665">
        <f>'[9]Rev_NP-12me'!I114</f>
        <v>0</v>
      </c>
      <c r="F104" s="665">
        <f>'[9]Rev_NP-12me'!K114</f>
        <v>3.0983873060418858</v>
      </c>
      <c r="G104" s="681">
        <f>'[9]Rev_NP-12me'!O114</f>
        <v>0</v>
      </c>
      <c r="H104" s="682">
        <f>'[9]Rev_NP-12me'!P114</f>
        <v>7</v>
      </c>
      <c r="I104" s="681">
        <f>'[9]Rev_NP-12me'!AA114</f>
        <v>2000</v>
      </c>
      <c r="J104" s="681">
        <f>'[9]Rev_NP-12me'!CZ114</f>
        <v>0</v>
      </c>
      <c r="K104" s="681">
        <f>'[9]Rev_NP-12me'!DA114</f>
        <v>2.2672218305236087</v>
      </c>
      <c r="L104" s="681">
        <f>'[9]Rev_NP-12me'!DC114</f>
        <v>0</v>
      </c>
      <c r="M104" s="664">
        <f t="shared" si="2"/>
        <v>2.2672218305236087</v>
      </c>
    </row>
    <row r="105" spans="2:13" ht="14.4" x14ac:dyDescent="0.25">
      <c r="B105" s="677" t="s">
        <v>1136</v>
      </c>
      <c r="C105" s="579"/>
      <c r="D105" s="666">
        <f>'[9]Rev_NP-12me'!H115</f>
        <v>201</v>
      </c>
      <c r="E105" s="666">
        <f>'[9]Rev_NP-12me'!I115</f>
        <v>66.646100000000004</v>
      </c>
      <c r="F105" s="666">
        <f>'[9]Rev_NP-12me'!K115</f>
        <v>24.5627101</v>
      </c>
      <c r="G105" s="681">
        <f>'[9]Rev_NP-12me'!O115</f>
        <v>0</v>
      </c>
      <c r="H105" s="682">
        <f>'[9]Rev_NP-12me'!P115</f>
        <v>0</v>
      </c>
      <c r="I105" s="674">
        <f>'[9]Rev_NP-12me'!AA115</f>
        <v>0</v>
      </c>
      <c r="J105" s="674">
        <f>'[9]Rev_NP-12me'!$CZ$115</f>
        <v>10.937596932291667</v>
      </c>
      <c r="K105" s="674">
        <f>'[9]Rev_NP-12me'!$DA$115</f>
        <v>15.474507363000001</v>
      </c>
      <c r="L105" s="674">
        <f>'[9]Rev_NP-12me'!$DC$115</f>
        <v>0.4824</v>
      </c>
      <c r="M105" s="666">
        <f t="shared" si="2"/>
        <v>26.894504295291668</v>
      </c>
    </row>
    <row r="106" spans="2:13" ht="14.4" x14ac:dyDescent="0.25">
      <c r="B106" s="680" t="s">
        <v>1137</v>
      </c>
      <c r="C106" s="579"/>
      <c r="D106" s="665">
        <f>'[9]Rev_NP-12me'!H116</f>
        <v>201</v>
      </c>
      <c r="E106" s="665">
        <f>'[9]Rev_NP-12me'!I116</f>
        <v>66.646100000000004</v>
      </c>
      <c r="F106" s="665">
        <f>'[9]Rev_NP-12me'!K116</f>
        <v>24.5627101</v>
      </c>
      <c r="G106" s="681">
        <f>'[9]Rev_NP-12me'!O116</f>
        <v>300</v>
      </c>
      <c r="H106" s="682">
        <f>'[9]Rev_NP-12me'!P116</f>
        <v>6.3</v>
      </c>
      <c r="I106" s="681">
        <f>'[9]Rev_NP-12me'!AA116</f>
        <v>2000</v>
      </c>
      <c r="J106" s="681">
        <f>'[9]Rev_NP-12me'!$CZ$116</f>
        <v>10.937596932291667</v>
      </c>
      <c r="K106" s="681">
        <f>'[9]Rev_NP-12me'!$DA$116</f>
        <v>15.474507363000001</v>
      </c>
      <c r="L106" s="681">
        <f>'[9]Rev_NP-12me'!$DC$116</f>
        <v>0.4824</v>
      </c>
      <c r="M106" s="664">
        <f t="shared" si="2"/>
        <v>26.894504295291668</v>
      </c>
    </row>
    <row r="107" spans="2:13" x14ac:dyDescent="0.25">
      <c r="B107" s="677" t="s">
        <v>1138</v>
      </c>
      <c r="C107" s="579"/>
      <c r="D107" s="666">
        <f>'[9]Rev_NP-12me'!H127</f>
        <v>112</v>
      </c>
      <c r="E107" s="666">
        <f>'[9]Rev_NP-12me'!I127</f>
        <v>34.741</v>
      </c>
      <c r="F107" s="666">
        <f>'[9]Rev_NP-12me'!K127</f>
        <v>159.13727846161282</v>
      </c>
      <c r="G107" s="674">
        <f>'[9]Rev_NP-12me'!O127</f>
        <v>0</v>
      </c>
      <c r="H107" s="688">
        <f>'[9]Rev_NP-12me'!P127</f>
        <v>0</v>
      </c>
      <c r="I107" s="674">
        <f>'[9]Rev_NP-12me'!AA127</f>
        <v>0</v>
      </c>
      <c r="J107" s="674">
        <f>'[9]Rev_NP-12me'!$CZ$127</f>
        <v>0</v>
      </c>
      <c r="K107" s="674">
        <f>'[9]Rev_NP-12me'!$DA$127</f>
        <v>97.073739861583832</v>
      </c>
      <c r="L107" s="674">
        <f>'[9]Rev_NP-12me'!$DC$127</f>
        <v>0.2676</v>
      </c>
      <c r="M107" s="666">
        <f t="shared" si="2"/>
        <v>97.341339861583833</v>
      </c>
    </row>
    <row r="108" spans="2:13" ht="14.4" x14ac:dyDescent="0.25">
      <c r="B108" s="680" t="s">
        <v>216</v>
      </c>
      <c r="C108" s="579"/>
      <c r="D108" s="665">
        <f>'[9]Rev_NP-12me'!H128</f>
        <v>112</v>
      </c>
      <c r="E108" s="665">
        <f>'[9]Rev_NP-12me'!I128</f>
        <v>34.741</v>
      </c>
      <c r="F108" s="665">
        <f>'[9]Rev_NP-12me'!K128</f>
        <v>159.13727846161282</v>
      </c>
      <c r="G108" s="669">
        <f>'[9]Rev_NP-12me'!O128</f>
        <v>0</v>
      </c>
      <c r="H108" s="670">
        <f>'[9]Rev_NP-12me'!P128</f>
        <v>6.1</v>
      </c>
      <c r="I108" s="669">
        <f>'[9]Rev_NP-12me'!AA128</f>
        <v>2000</v>
      </c>
      <c r="J108" s="681">
        <f>'[9]Rev_NP-12me'!$CZ$128</f>
        <v>0</v>
      </c>
      <c r="K108" s="681">
        <f>'[9]Rev_NP-12me'!$DA$128</f>
        <v>97.073739861583832</v>
      </c>
      <c r="L108" s="681">
        <f>'[9]Rev_NP-12me'!$DC$128</f>
        <v>0.2676</v>
      </c>
      <c r="M108" s="664">
        <f t="shared" si="2"/>
        <v>97.341339861583833</v>
      </c>
    </row>
    <row r="109" spans="2:13" ht="14.4" x14ac:dyDescent="0.25">
      <c r="B109" s="680" t="s">
        <v>1139</v>
      </c>
      <c r="C109" s="579"/>
      <c r="D109" s="665">
        <f>'[9]Rev_NP-12me'!H129</f>
        <v>0</v>
      </c>
      <c r="E109" s="665">
        <f>'[9]Rev_NP-12me'!I129</f>
        <v>0</v>
      </c>
      <c r="F109" s="665">
        <f>'[9]Rev_NP-12me'!K129</f>
        <v>0</v>
      </c>
      <c r="G109" s="669">
        <f>'[9]Rev_NP-12me'!O129</f>
        <v>0</v>
      </c>
      <c r="H109" s="670">
        <f>'[9]Rev_NP-12me'!P129</f>
        <v>0</v>
      </c>
      <c r="I109" s="669">
        <f>'[9]Rev_NP-12me'!AA129</f>
        <v>2000</v>
      </c>
      <c r="J109" s="681">
        <f>'[9]Rev_NP-12me'!CZ129</f>
        <v>0</v>
      </c>
      <c r="K109" s="681">
        <f>'[9]Rev_NP-12me'!DA129</f>
        <v>0</v>
      </c>
      <c r="L109" s="681">
        <f>'[9]Rev_NP-12me'!DC129</f>
        <v>0</v>
      </c>
      <c r="M109" s="664">
        <f t="shared" si="2"/>
        <v>0</v>
      </c>
    </row>
    <row r="110" spans="2:13" x14ac:dyDescent="0.25">
      <c r="B110" s="677" t="s">
        <v>1140</v>
      </c>
      <c r="C110" s="579"/>
      <c r="D110" s="666">
        <f>'[9]Rev_NP-12me'!H118</f>
        <v>0</v>
      </c>
      <c r="E110" s="666">
        <f>'[9]Rev_NP-12me'!I118</f>
        <v>0</v>
      </c>
      <c r="F110" s="666">
        <f>'[9]Rev_NP-12me'!K118</f>
        <v>0</v>
      </c>
      <c r="G110" s="674">
        <f>'[9]Rev_NP-12me'!O118</f>
        <v>500</v>
      </c>
      <c r="H110" s="688">
        <f>'[9]Rev_NP-12me'!P118</f>
        <v>5.05</v>
      </c>
      <c r="I110" s="674">
        <f>'[9]Rev_NP-12me'!AA118</f>
        <v>2000</v>
      </c>
      <c r="J110" s="674">
        <f>'[9]Rev_NP-12me'!$CZ$118</f>
        <v>0</v>
      </c>
      <c r="K110" s="674">
        <f>'[9]Rev_NP-12me'!$DA$118</f>
        <v>0</v>
      </c>
      <c r="L110" s="674">
        <f>'[9]Rev_NP-12me'!$DC$118</f>
        <v>0</v>
      </c>
      <c r="M110" s="666">
        <f t="shared" si="2"/>
        <v>0</v>
      </c>
    </row>
    <row r="111" spans="2:13" x14ac:dyDescent="0.25">
      <c r="B111" s="677" t="s">
        <v>1141</v>
      </c>
      <c r="C111" s="579"/>
      <c r="D111" s="666">
        <f>'[9]Rev_NP-12me'!H119</f>
        <v>0</v>
      </c>
      <c r="E111" s="666">
        <f>'[9]Rev_NP-12me'!I119</f>
        <v>0</v>
      </c>
      <c r="F111" s="666">
        <f>'[9]Rev_NP-12me'!K119</f>
        <v>0</v>
      </c>
      <c r="G111" s="674">
        <f>'[9]Rev_NP-12me'!O119</f>
        <v>500</v>
      </c>
      <c r="H111" s="688">
        <f>'[9]Rev_NP-12me'!P119</f>
        <v>4.95</v>
      </c>
      <c r="I111" s="674">
        <f>'[9]Rev_NP-12me'!AA119</f>
        <v>2000</v>
      </c>
      <c r="J111" s="674">
        <f>'[9]Rev_NP-12me'!$CZ$119</f>
        <v>0</v>
      </c>
      <c r="K111" s="674">
        <f>'[9]Rev_NP-12me'!$DA$119</f>
        <v>0</v>
      </c>
      <c r="L111" s="674">
        <f>'[9]Rev_NP-12me'!$DC$119</f>
        <v>0</v>
      </c>
      <c r="M111" s="666">
        <f t="shared" si="2"/>
        <v>0</v>
      </c>
    </row>
    <row r="112" spans="2:13" x14ac:dyDescent="0.25">
      <c r="B112" s="677" t="s">
        <v>811</v>
      </c>
      <c r="C112" s="579"/>
      <c r="D112" s="666">
        <f>'[9]Rev_NP-12me'!H117</f>
        <v>19</v>
      </c>
      <c r="E112" s="666">
        <f>'[9]Rev_NP-12me'!I117</f>
        <v>5.53</v>
      </c>
      <c r="F112" s="666">
        <f>'[9]Rev_NP-12me'!K117</f>
        <v>9.1093216263484411</v>
      </c>
      <c r="G112" s="674">
        <f>'[9]Rev_NP-12me'!O117</f>
        <v>285</v>
      </c>
      <c r="H112" s="688">
        <f>'[9]Rev_NP-12me'!P117</f>
        <v>7.3</v>
      </c>
      <c r="I112" s="674">
        <f>'[9]Rev_NP-12me'!AA117</f>
        <v>2000</v>
      </c>
      <c r="J112" s="674">
        <f>'[9]Rev_NP-12me'!$CZ$117</f>
        <v>1.4355880000000001</v>
      </c>
      <c r="K112" s="674">
        <f>'[9]Rev_NP-12me'!$DA$117</f>
        <v>6.6498047872343609</v>
      </c>
      <c r="L112" s="674">
        <f>'[9]Rev_NP-12me'!$DC$117</f>
        <v>4.5600000000000002E-2</v>
      </c>
      <c r="M112" s="666">
        <f t="shared" si="2"/>
        <v>8.1309927872343621</v>
      </c>
    </row>
    <row r="113" spans="2:13" x14ac:dyDescent="0.25">
      <c r="B113" s="677" t="s">
        <v>813</v>
      </c>
      <c r="C113" s="579"/>
      <c r="D113" s="666">
        <f>'[9]Rev_NP-12me'!H120</f>
        <v>41</v>
      </c>
      <c r="E113" s="666">
        <f>'[9]Rev_NP-12me'!I120</f>
        <v>9.6270000000000007</v>
      </c>
      <c r="F113" s="666">
        <f>'[9]Rev_NP-12me'!K120</f>
        <v>14.611284000000001</v>
      </c>
      <c r="G113" s="674">
        <f>'[9]Rev_NP-12me'!O120</f>
        <v>500</v>
      </c>
      <c r="H113" s="688">
        <f>'[9]Rev_NP-12me'!P120</f>
        <v>11.8</v>
      </c>
      <c r="I113" s="674">
        <f>'[9]Rev_NP-12me'!AA120</f>
        <v>2000</v>
      </c>
      <c r="J113" s="674">
        <f>'[9]Rev_NP-12me'!$CZ$120</f>
        <v>4.6209600000000002</v>
      </c>
      <c r="K113" s="674">
        <f>'[9]Rev_NP-12me'!$DA$120</f>
        <v>17.241315120000003</v>
      </c>
      <c r="L113" s="674">
        <f>'[9]Rev_NP-12me'!$DC$120</f>
        <v>0.1032</v>
      </c>
      <c r="M113" s="666">
        <f t="shared" si="2"/>
        <v>21.965475120000004</v>
      </c>
    </row>
    <row r="114" spans="2:13" x14ac:dyDescent="0.25">
      <c r="B114" s="677" t="s">
        <v>1142</v>
      </c>
      <c r="C114" s="579"/>
      <c r="D114" s="666">
        <f>'[9]Rev_NP-12me'!H121</f>
        <v>1</v>
      </c>
      <c r="E114" s="666">
        <f>'[9]Rev_NP-12me'!I121</f>
        <v>527.6</v>
      </c>
      <c r="F114" s="666">
        <f>'[9]Rev_NP-12me'!K121</f>
        <v>1164.8637975155186</v>
      </c>
      <c r="G114" s="674">
        <f>'[9]Rev_NP-12me'!O121</f>
        <v>0</v>
      </c>
      <c r="H114" s="688">
        <f>'[9]Rev_NP-12me'!P121</f>
        <v>4.7699999999999996</v>
      </c>
      <c r="I114" s="674">
        <f>'[9]Rev_NP-12me'!AA121</f>
        <v>2000</v>
      </c>
      <c r="J114" s="674">
        <f>'[9]Rev_NP-12me'!$CZ$121</f>
        <v>0</v>
      </c>
      <c r="K114" s="674">
        <f>'[9]Rev_NP-12me'!$DA$121</f>
        <v>559.69891699213565</v>
      </c>
      <c r="L114" s="674">
        <f>'[9]Rev_NP-12me'!$DC$121</f>
        <v>0</v>
      </c>
      <c r="M114" s="666">
        <f t="shared" si="2"/>
        <v>559.69891699213565</v>
      </c>
    </row>
    <row r="115" spans="2:13" x14ac:dyDescent="0.25">
      <c r="B115" s="677" t="s">
        <v>1143</v>
      </c>
      <c r="C115" s="579"/>
      <c r="D115" s="666">
        <f>'[9]Rev_NP-12me'!H122</f>
        <v>0</v>
      </c>
      <c r="E115" s="666">
        <f>'[9]Rev_NP-12me'!I122</f>
        <v>0</v>
      </c>
      <c r="F115" s="666">
        <f>'[9]Rev_NP-12me'!K122</f>
        <v>0</v>
      </c>
      <c r="G115" s="674"/>
      <c r="H115" s="688"/>
      <c r="I115" s="674">
        <f>'[9]Rev_NP-12me'!$AC$122</f>
        <v>2000</v>
      </c>
      <c r="J115" s="674">
        <f>'[9]Rev_NP-12me'!$CZ$122</f>
        <v>0</v>
      </c>
      <c r="K115" s="674">
        <f>'[9]Rev_NP-12me'!$DA$122</f>
        <v>0</v>
      </c>
      <c r="L115" s="674">
        <f>'[9]Rev_NP-12me'!$DC$122</f>
        <v>0</v>
      </c>
      <c r="M115" s="666">
        <f t="shared" si="2"/>
        <v>0</v>
      </c>
    </row>
    <row r="116" spans="2:13" ht="14.4" x14ac:dyDescent="0.25">
      <c r="B116" s="687" t="s">
        <v>1134</v>
      </c>
      <c r="C116" s="579"/>
      <c r="D116" s="665">
        <f>'[9]Rev_NP-12me'!H123</f>
        <v>0</v>
      </c>
      <c r="E116" s="665">
        <f>'[9]Rev_NP-12me'!I123</f>
        <v>0</v>
      </c>
      <c r="F116" s="665">
        <f>'[9]Rev_NP-12me'!K123</f>
        <v>0</v>
      </c>
      <c r="G116" s="681">
        <f>'[9]Rev_NP-12me'!O123</f>
        <v>100</v>
      </c>
      <c r="H116" s="682">
        <f>'[9]Rev_NP-12me'!P123</f>
        <v>6</v>
      </c>
      <c r="I116" s="681">
        <f>'[9]Rev_NP-12me'!AA123</f>
        <v>2000</v>
      </c>
      <c r="J116" s="681">
        <f>'[9]Rev_NP-12me'!CZ123</f>
        <v>0</v>
      </c>
      <c r="K116" s="681">
        <f>'[9]Rev_NP-12me'!DA123</f>
        <v>0</v>
      </c>
      <c r="L116" s="681">
        <f>'[9]Rev_NP-12me'!DC123</f>
        <v>0</v>
      </c>
      <c r="M116" s="664">
        <f t="shared" si="2"/>
        <v>0</v>
      </c>
    </row>
    <row r="117" spans="2:13" ht="14.4" x14ac:dyDescent="0.25">
      <c r="B117" s="687" t="s">
        <v>1100</v>
      </c>
      <c r="C117" s="579"/>
      <c r="D117" s="665">
        <f>'[9]Rev_NP-12me'!H124</f>
        <v>0</v>
      </c>
      <c r="E117" s="665">
        <f>'[9]Rev_NP-12me'!I124</f>
        <v>0</v>
      </c>
      <c r="F117" s="665">
        <f>'[9]Rev_NP-12me'!K124</f>
        <v>0</v>
      </c>
      <c r="G117" s="681">
        <f>'[9]Rev_NP-12me'!O124</f>
        <v>0</v>
      </c>
      <c r="H117" s="682">
        <f>'[9]Rev_NP-12me'!P124</f>
        <v>7</v>
      </c>
      <c r="I117" s="681">
        <f>'[9]Rev_NP-12me'!AA124</f>
        <v>2000</v>
      </c>
      <c r="J117" s="681">
        <f>'[9]Rev_NP-12me'!CZ124</f>
        <v>0</v>
      </c>
      <c r="K117" s="681">
        <f>'[9]Rev_NP-12me'!DA124</f>
        <v>0</v>
      </c>
      <c r="L117" s="681">
        <f>'[9]Rev_NP-12me'!DC124</f>
        <v>0</v>
      </c>
      <c r="M117" s="664">
        <f t="shared" si="2"/>
        <v>0</v>
      </c>
    </row>
    <row r="118" spans="2:13" ht="14.4" x14ac:dyDescent="0.25">
      <c r="B118" s="687" t="s">
        <v>1101</v>
      </c>
      <c r="C118" s="579"/>
      <c r="D118" s="665">
        <f>'[9]Rev_NP-12me'!H125</f>
        <v>0</v>
      </c>
      <c r="E118" s="665">
        <f>'[9]Rev_NP-12me'!I125</f>
        <v>0</v>
      </c>
      <c r="F118" s="665">
        <f>'[9]Rev_NP-12me'!K125</f>
        <v>0</v>
      </c>
      <c r="G118" s="681">
        <f>'[9]Rev_NP-12me'!O125</f>
        <v>0</v>
      </c>
      <c r="H118" s="682">
        <f>'[9]Rev_NP-12me'!P125</f>
        <v>7</v>
      </c>
      <c r="I118" s="681">
        <f>'[9]Rev_NP-12me'!AA125</f>
        <v>2000</v>
      </c>
      <c r="J118" s="681">
        <f>'[9]Rev_NP-12me'!CZ125</f>
        <v>0</v>
      </c>
      <c r="K118" s="681">
        <f>'[9]Rev_NP-12me'!DA125</f>
        <v>0</v>
      </c>
      <c r="L118" s="681">
        <f>'[9]Rev_NP-12me'!DC125</f>
        <v>0</v>
      </c>
      <c r="M118" s="664">
        <f t="shared" si="2"/>
        <v>0</v>
      </c>
    </row>
    <row r="119" spans="2:13" ht="14.4" x14ac:dyDescent="0.25">
      <c r="B119" s="687" t="s">
        <v>1102</v>
      </c>
      <c r="C119" s="579"/>
      <c r="D119" s="665">
        <f>'[9]Rev_NP-12me'!H126</f>
        <v>0</v>
      </c>
      <c r="E119" s="665">
        <f>'[9]Rev_NP-12me'!I126</f>
        <v>0</v>
      </c>
      <c r="F119" s="665">
        <f>'[9]Rev_NP-12me'!K126</f>
        <v>0</v>
      </c>
      <c r="G119" s="681">
        <f>'[9]Rev_NP-12me'!O126</f>
        <v>0</v>
      </c>
      <c r="H119" s="682">
        <f>'[9]Rev_NP-12me'!P126</f>
        <v>4.5</v>
      </c>
      <c r="I119" s="681">
        <f>'[9]Rev_NP-12me'!AA126</f>
        <v>2000</v>
      </c>
      <c r="J119" s="681">
        <f>'[9]Rev_NP-12me'!CZ126</f>
        <v>0</v>
      </c>
      <c r="K119" s="681">
        <f>'[9]Rev_NP-12me'!DA126</f>
        <v>0</v>
      </c>
      <c r="L119" s="681">
        <f>'[9]Rev_NP-12me'!DC126</f>
        <v>0</v>
      </c>
      <c r="M119" s="664">
        <f t="shared" si="2"/>
        <v>0</v>
      </c>
    </row>
    <row r="120" spans="2:13" x14ac:dyDescent="0.25">
      <c r="B120" s="689" t="s">
        <v>1144</v>
      </c>
      <c r="C120" s="579"/>
      <c r="D120" s="666">
        <f>SUM(D74,D89,D90,D95,D100,D105,D107,D110,D111,D112,D113,D114,D115)</f>
        <v>3665</v>
      </c>
      <c r="E120" s="666">
        <f>SUM(E74,E89,E90,E95,E100,E105,E107,E110,E111,E112,E113,E114,E115)</f>
        <v>1320.3310799999999</v>
      </c>
      <c r="F120" s="666">
        <f>SUM(F74,F89,F90,F95,F100,F105,F107,F110,F111,F112,F113,F114,F115)</f>
        <v>2741.7709294930528</v>
      </c>
      <c r="G120" s="669"/>
      <c r="H120" s="669"/>
      <c r="I120" s="669"/>
      <c r="J120" s="674">
        <f t="shared" ref="J120:L120" si="3">SUM(J74,J89,J90,J95,J100,J105,J107,J110,J111,J112,J113,J114,J115)</f>
        <v>298.37384281229157</v>
      </c>
      <c r="K120" s="674">
        <f t="shared" si="3"/>
        <v>1772.5881645445957</v>
      </c>
      <c r="L120" s="674">
        <f t="shared" si="3"/>
        <v>8.6375999999999991</v>
      </c>
      <c r="M120" s="666">
        <f>SUM(M74,M89,M90,M95,M100,M105,M107,M110,M111,M112,M113,M114,M115)</f>
        <v>2079.5996073568876</v>
      </c>
    </row>
    <row r="121" spans="2:13" x14ac:dyDescent="0.25">
      <c r="B121" s="579"/>
      <c r="C121" s="579"/>
      <c r="D121" s="696"/>
      <c r="E121" s="696"/>
      <c r="F121" s="696"/>
      <c r="G121" s="697"/>
      <c r="H121" s="697"/>
      <c r="I121" s="697"/>
      <c r="J121" s="697"/>
      <c r="K121" s="697"/>
      <c r="L121" s="697"/>
      <c r="M121" s="696"/>
    </row>
    <row r="122" spans="2:13" x14ac:dyDescent="0.25">
      <c r="B122" s="677" t="s">
        <v>213</v>
      </c>
      <c r="C122" s="579"/>
      <c r="D122" s="664"/>
      <c r="E122" s="664"/>
      <c r="F122" s="664"/>
      <c r="G122" s="669"/>
      <c r="H122" s="669"/>
      <c r="I122" s="669"/>
      <c r="J122" s="669"/>
      <c r="K122" s="669"/>
      <c r="L122" s="669"/>
      <c r="M122" s="664"/>
    </row>
    <row r="123" spans="2:13" x14ac:dyDescent="0.25">
      <c r="B123" s="677" t="s">
        <v>1145</v>
      </c>
      <c r="C123" s="579"/>
      <c r="D123" s="666">
        <f>'[9]Rev_NP-12me'!H144</f>
        <v>52</v>
      </c>
      <c r="E123" s="666">
        <f>'[9]Rev_NP-12me'!I144</f>
        <v>73.105999999999995</v>
      </c>
      <c r="F123" s="666">
        <f>'[9]Rev_NP-12me'!K144</f>
        <v>218.06524917190757</v>
      </c>
      <c r="G123" s="674">
        <f>'[9]Rev_NP-12me'!O144</f>
        <v>0</v>
      </c>
      <c r="H123" s="688">
        <f>'[9]Rev_NP-12me'!P144</f>
        <v>0</v>
      </c>
      <c r="I123" s="674">
        <f>'[9]Rev_NP-12me'!AA144</f>
        <v>0</v>
      </c>
      <c r="J123" s="674">
        <f>'[9]Rev_NP-12me'!CZ144</f>
        <v>34.067396000000002</v>
      </c>
      <c r="K123" s="674">
        <f>'[9]Rev_NP-12me'!DA144</f>
        <v>153.45784142357203</v>
      </c>
      <c r="L123" s="674">
        <f>'[9]Rev_NP-12me'!DC144</f>
        <v>0.2142</v>
      </c>
      <c r="M123" s="666">
        <f t="shared" ref="M123:M163" si="4">SUM(J123:L123)</f>
        <v>187.73943742357204</v>
      </c>
    </row>
    <row r="124" spans="2:13" x14ac:dyDescent="0.25">
      <c r="B124" s="691" t="s">
        <v>1146</v>
      </c>
      <c r="C124" s="579"/>
      <c r="D124" s="664">
        <f>'[9]Rev_NP-12me'!H145</f>
        <v>52</v>
      </c>
      <c r="E124" s="664">
        <f>'[9]Rev_NP-12me'!I145</f>
        <v>73.105999999999995</v>
      </c>
      <c r="F124" s="664">
        <f>'[9]Rev_NP-12me'!K145</f>
        <v>218.06524917190757</v>
      </c>
      <c r="G124" s="669">
        <f>'[9]Rev_NP-12me'!O145</f>
        <v>0</v>
      </c>
      <c r="H124" s="670">
        <f>'[9]Rev_NP-12me'!P145</f>
        <v>0</v>
      </c>
      <c r="I124" s="669">
        <f>'[9]Rev_NP-12me'!AA145</f>
        <v>0</v>
      </c>
      <c r="J124" s="669">
        <f>'[9]Rev_NP-12me'!CZ145</f>
        <v>34.067396000000002</v>
      </c>
      <c r="K124" s="669">
        <f>'[9]Rev_NP-12me'!DA145</f>
        <v>153.45784142357203</v>
      </c>
      <c r="L124" s="669">
        <f>'[9]Rev_NP-12me'!DC145</f>
        <v>0.2142</v>
      </c>
      <c r="M124" s="664">
        <f t="shared" si="4"/>
        <v>187.73943742357204</v>
      </c>
    </row>
    <row r="125" spans="2:13" ht="14.4" x14ac:dyDescent="0.25">
      <c r="B125" s="680" t="s">
        <v>1119</v>
      </c>
      <c r="C125" s="579"/>
      <c r="D125" s="665">
        <f>'[9]Rev_NP-12me'!H146</f>
        <v>52</v>
      </c>
      <c r="E125" s="665">
        <f>'[9]Rev_NP-12me'!I146</f>
        <v>73.105999999999995</v>
      </c>
      <c r="F125" s="665">
        <f>'[9]Rev_NP-12me'!K146</f>
        <v>40.115152696372505</v>
      </c>
      <c r="G125" s="669">
        <f>'[9]Rev_NP-12me'!O146</f>
        <v>500</v>
      </c>
      <c r="H125" s="670">
        <f>'[9]Rev_NP-12me'!P146</f>
        <v>7.15</v>
      </c>
      <c r="I125" s="669">
        <f>'[9]Rev_NP-12me'!AA146</f>
        <v>3500</v>
      </c>
      <c r="J125" s="681">
        <f>'[9]Rev_NP-12me'!CZ146</f>
        <v>34.067396000000002</v>
      </c>
      <c r="K125" s="681">
        <f>'[9]Rev_NP-12me'!DA146</f>
        <v>28.682334177906345</v>
      </c>
      <c r="L125" s="681">
        <f>'[9]Rev_NP-12me'!DC146</f>
        <v>0.2142</v>
      </c>
      <c r="M125" s="664">
        <f t="shared" si="4"/>
        <v>62.963930177906342</v>
      </c>
    </row>
    <row r="126" spans="2:13" ht="14.4" x14ac:dyDescent="0.25">
      <c r="B126" s="680" t="s">
        <v>1147</v>
      </c>
      <c r="C126" s="579"/>
      <c r="D126" s="665">
        <f>'[9]Rev_NP-12me'!H148</f>
        <v>0</v>
      </c>
      <c r="E126" s="665">
        <f>'[9]Rev_NP-12me'!I148</f>
        <v>0</v>
      </c>
      <c r="F126" s="665">
        <f>'[9]Rev_NP-12me'!K148</f>
        <v>0</v>
      </c>
      <c r="G126" s="669">
        <f>'[9]Rev_NP-12me'!O148</f>
        <v>0</v>
      </c>
      <c r="H126" s="670">
        <f>'[9]Rev_NP-12me'!P148</f>
        <v>7.15</v>
      </c>
      <c r="I126" s="669">
        <f>'[9]Rev_NP-12me'!AA148</f>
        <v>3500</v>
      </c>
      <c r="J126" s="681">
        <f>'[9]Rev_NP-12me'!CZ148</f>
        <v>0</v>
      </c>
      <c r="K126" s="681">
        <f>'[9]Rev_NP-12me'!DA148</f>
        <v>0</v>
      </c>
      <c r="L126" s="681">
        <f>'[9]Rev_NP-12me'!DC148</f>
        <v>0</v>
      </c>
      <c r="M126" s="664">
        <f t="shared" si="4"/>
        <v>0</v>
      </c>
    </row>
    <row r="127" spans="2:13" ht="14.4" x14ac:dyDescent="0.25">
      <c r="B127" s="680" t="s">
        <v>1148</v>
      </c>
      <c r="C127" s="579"/>
      <c r="D127" s="665">
        <f>'[9]Rev_NP-12me'!H149</f>
        <v>0</v>
      </c>
      <c r="E127" s="665">
        <f>'[9]Rev_NP-12me'!I149</f>
        <v>0</v>
      </c>
      <c r="F127" s="665">
        <f>'[9]Rev_NP-12me'!K149</f>
        <v>0</v>
      </c>
      <c r="G127" s="669">
        <f>'[9]Rev_NP-12me'!O149</f>
        <v>0</v>
      </c>
      <c r="H127" s="670">
        <f>'[9]Rev_NP-12me'!P149</f>
        <v>7.3</v>
      </c>
      <c r="I127" s="669">
        <f>'[9]Rev_NP-12me'!AA149</f>
        <v>3500</v>
      </c>
      <c r="J127" s="681">
        <f>'[9]Rev_NP-12me'!CZ149</f>
        <v>0</v>
      </c>
      <c r="K127" s="681">
        <f>'[9]Rev_NP-12me'!DA149</f>
        <v>0</v>
      </c>
      <c r="L127" s="681">
        <f>'[9]Rev_NP-12me'!DC149</f>
        <v>0</v>
      </c>
      <c r="M127" s="664">
        <f t="shared" si="4"/>
        <v>0</v>
      </c>
    </row>
    <row r="128" spans="2:13" ht="14.4" x14ac:dyDescent="0.25">
      <c r="B128" s="680" t="s">
        <v>1149</v>
      </c>
      <c r="C128" s="579"/>
      <c r="D128" s="665">
        <f>'[9]Rev_NP-12me'!H150</f>
        <v>0</v>
      </c>
      <c r="E128" s="665">
        <f>'[9]Rev_NP-12me'!I150</f>
        <v>0</v>
      </c>
      <c r="F128" s="665">
        <f>'[9]Rev_NP-12me'!K150</f>
        <v>0</v>
      </c>
      <c r="G128" s="669">
        <f>'[9]Rev_NP-12me'!O150</f>
        <v>500</v>
      </c>
      <c r="H128" s="670">
        <f>'[9]Rev_NP-12me'!P150</f>
        <v>7.9</v>
      </c>
      <c r="I128" s="669">
        <f>'[9]Rev_NP-12me'!AA150</f>
        <v>3500</v>
      </c>
      <c r="J128" s="681">
        <f>'[9]Rev_NP-12me'!CZ150</f>
        <v>0</v>
      </c>
      <c r="K128" s="681">
        <f>'[9]Rev_NP-12me'!DA150</f>
        <v>0</v>
      </c>
      <c r="L128" s="681">
        <f>'[9]Rev_NP-12me'!DC150</f>
        <v>0</v>
      </c>
      <c r="M128" s="664">
        <f t="shared" si="4"/>
        <v>0</v>
      </c>
    </row>
    <row r="129" spans="2:13" ht="14.4" x14ac:dyDescent="0.25">
      <c r="B129" s="687" t="s">
        <v>1100</v>
      </c>
      <c r="C129" s="579"/>
      <c r="D129" s="665">
        <f>'[9]Rev_NP-12me'!H151</f>
        <v>0</v>
      </c>
      <c r="E129" s="665">
        <f>'[9]Rev_NP-12me'!I151</f>
        <v>0</v>
      </c>
      <c r="F129" s="665">
        <f>'[9]Rev_NP-12me'!K151</f>
        <v>47.309675292154125</v>
      </c>
      <c r="G129" s="669">
        <f>'[9]Rev_NP-12me'!O151</f>
        <v>0</v>
      </c>
      <c r="H129" s="670">
        <f>'[9]Rev_NP-12me'!P151</f>
        <v>8.15</v>
      </c>
      <c r="I129" s="669">
        <f>'[9]Rev_NP-12me'!AA151</f>
        <v>3500</v>
      </c>
      <c r="J129" s="681">
        <f>'[9]Rev_NP-12me'!CZ151</f>
        <v>0</v>
      </c>
      <c r="K129" s="681">
        <f>'[9]Rev_NP-12me'!DA151</f>
        <v>38.55738536310561</v>
      </c>
      <c r="L129" s="681">
        <f>'[9]Rev_NP-12me'!DC151</f>
        <v>0</v>
      </c>
      <c r="M129" s="664">
        <f t="shared" si="4"/>
        <v>38.55738536310561</v>
      </c>
    </row>
    <row r="130" spans="2:13" ht="14.4" x14ac:dyDescent="0.25">
      <c r="B130" s="687" t="s">
        <v>1101</v>
      </c>
      <c r="C130" s="579"/>
      <c r="D130" s="665">
        <f>'[9]Rev_NP-12me'!H152</f>
        <v>0</v>
      </c>
      <c r="E130" s="665">
        <f>'[9]Rev_NP-12me'!I152</f>
        <v>0</v>
      </c>
      <c r="F130" s="665">
        <f>'[9]Rev_NP-12me'!K152</f>
        <v>38.895901688527886</v>
      </c>
      <c r="G130" s="669">
        <f>'[9]Rev_NP-12me'!O152</f>
        <v>0</v>
      </c>
      <c r="H130" s="670">
        <f>'[9]Rev_NP-12me'!P152</f>
        <v>8.15</v>
      </c>
      <c r="I130" s="669">
        <f>'[9]Rev_NP-12me'!AA152</f>
        <v>3500</v>
      </c>
      <c r="J130" s="681">
        <f>'[9]Rev_NP-12me'!CZ152</f>
        <v>0</v>
      </c>
      <c r="K130" s="681">
        <f>'[9]Rev_NP-12me'!DA152</f>
        <v>31.700159876150227</v>
      </c>
      <c r="L130" s="681">
        <f>'[9]Rev_NP-12me'!DC152</f>
        <v>0</v>
      </c>
      <c r="M130" s="664">
        <f t="shared" si="4"/>
        <v>31.700159876150227</v>
      </c>
    </row>
    <row r="131" spans="2:13" ht="14.4" x14ac:dyDescent="0.25">
      <c r="B131" s="687" t="s">
        <v>1102</v>
      </c>
      <c r="C131" s="579"/>
      <c r="D131" s="665">
        <f>'[9]Rev_NP-12me'!H154</f>
        <v>0</v>
      </c>
      <c r="E131" s="665">
        <f>'[9]Rev_NP-12me'!I154</f>
        <v>0</v>
      </c>
      <c r="F131" s="665">
        <f>'[9]Rev_NP-12me'!K154</f>
        <v>91.744519494852995</v>
      </c>
      <c r="G131" s="669">
        <f>'[9]Rev_NP-12me'!O154</f>
        <v>0</v>
      </c>
      <c r="H131" s="670">
        <f>'[9]Rev_NP-12me'!P154</f>
        <v>5.65</v>
      </c>
      <c r="I131" s="669">
        <f>'[9]Rev_NP-12me'!AA154</f>
        <v>3500</v>
      </c>
      <c r="J131" s="681">
        <f>'[9]Rev_NP-12me'!CZ154</f>
        <v>0</v>
      </c>
      <c r="K131" s="681">
        <f>'[9]Rev_NP-12me'!DA154</f>
        <v>54.517962006409853</v>
      </c>
      <c r="L131" s="681">
        <f>'[9]Rev_NP-12me'!DC154</f>
        <v>0</v>
      </c>
      <c r="M131" s="664">
        <f t="shared" si="4"/>
        <v>54.517962006409853</v>
      </c>
    </row>
    <row r="132" spans="2:13" x14ac:dyDescent="0.25">
      <c r="B132" s="677" t="s">
        <v>1127</v>
      </c>
      <c r="C132" s="579"/>
      <c r="D132" s="664">
        <f>'[9]Rev_NP-12me'!H156</f>
        <v>0</v>
      </c>
      <c r="E132" s="664">
        <f>'[9]Rev_NP-12me'!I156</f>
        <v>0</v>
      </c>
      <c r="F132" s="664">
        <f>'[9]Rev_NP-12me'!K156</f>
        <v>0</v>
      </c>
      <c r="G132" s="669">
        <f>'[9]Rev_NP-12me'!O156</f>
        <v>0</v>
      </c>
      <c r="H132" s="670">
        <f>'[9]Rev_NP-12me'!P156</f>
        <v>0</v>
      </c>
      <c r="I132" s="669">
        <f>'[9]Rev_NP-12me'!AA156</f>
        <v>0</v>
      </c>
      <c r="J132" s="669">
        <f>'[9]Rev_NP-12me'!CZ156</f>
        <v>0</v>
      </c>
      <c r="K132" s="669">
        <f>'[9]Rev_NP-12me'!DA156</f>
        <v>0</v>
      </c>
      <c r="L132" s="669">
        <f>'[9]Rev_NP-12me'!DC156</f>
        <v>0</v>
      </c>
      <c r="M132" s="666">
        <f t="shared" si="4"/>
        <v>0</v>
      </c>
    </row>
    <row r="133" spans="2:13" ht="14.4" x14ac:dyDescent="0.25">
      <c r="B133" s="687" t="s">
        <v>1150</v>
      </c>
      <c r="C133" s="579"/>
      <c r="D133" s="665">
        <f>'[9]Rev_NP-12me'!H157</f>
        <v>0</v>
      </c>
      <c r="E133" s="665">
        <f>'[9]Rev_NP-12me'!I157</f>
        <v>0</v>
      </c>
      <c r="F133" s="665">
        <f>'[9]Rev_NP-12me'!K157</f>
        <v>0</v>
      </c>
      <c r="G133" s="669">
        <f>'[9]Rev_NP-12me'!O157</f>
        <v>500</v>
      </c>
      <c r="H133" s="670">
        <f>'[9]Rev_NP-12me'!P157</f>
        <v>7.15</v>
      </c>
      <c r="I133" s="669">
        <f>'[9]Rev_NP-12me'!AA157</f>
        <v>3500</v>
      </c>
      <c r="J133" s="681">
        <f>'[9]Rev_NP-12me'!CZ157</f>
        <v>0</v>
      </c>
      <c r="K133" s="681">
        <f>'[9]Rev_NP-12me'!DA157</f>
        <v>0</v>
      </c>
      <c r="L133" s="681">
        <f>'[9]Rev_NP-12me'!DC157</f>
        <v>0</v>
      </c>
      <c r="M133" s="664">
        <f t="shared" si="4"/>
        <v>0</v>
      </c>
    </row>
    <row r="134" spans="2:13" ht="14.4" x14ac:dyDescent="0.25">
      <c r="B134" s="687" t="s">
        <v>1129</v>
      </c>
      <c r="C134" s="579"/>
      <c r="D134" s="665">
        <f>'[9]Rev_NP-12me'!H158</f>
        <v>0</v>
      </c>
      <c r="E134" s="665">
        <f>'[9]Rev_NP-12me'!I158</f>
        <v>0</v>
      </c>
      <c r="F134" s="665">
        <f>'[9]Rev_NP-12me'!K158</f>
        <v>0</v>
      </c>
      <c r="G134" s="669">
        <f>'[9]Rev_NP-12me'!O158</f>
        <v>0</v>
      </c>
      <c r="H134" s="670">
        <f>'[9]Rev_NP-12me'!P158</f>
        <v>8.15</v>
      </c>
      <c r="I134" s="669">
        <f>'[9]Rev_NP-12me'!AA158</f>
        <v>3500</v>
      </c>
      <c r="J134" s="681">
        <f>'[9]Rev_NP-12me'!CZ158</f>
        <v>0</v>
      </c>
      <c r="K134" s="681">
        <f>'[9]Rev_NP-12me'!DA158</f>
        <v>0</v>
      </c>
      <c r="L134" s="681">
        <f>'[9]Rev_NP-12me'!DC158</f>
        <v>0</v>
      </c>
      <c r="M134" s="664">
        <f t="shared" si="4"/>
        <v>0</v>
      </c>
    </row>
    <row r="135" spans="2:13" ht="14.4" x14ac:dyDescent="0.25">
      <c r="B135" s="687" t="s">
        <v>1130</v>
      </c>
      <c r="C135" s="579"/>
      <c r="D135" s="665">
        <f>'[9]Rev_NP-12me'!H159</f>
        <v>0</v>
      </c>
      <c r="E135" s="665">
        <f>'[9]Rev_NP-12me'!I159</f>
        <v>0</v>
      </c>
      <c r="F135" s="665">
        <f>'[9]Rev_NP-12me'!K159</f>
        <v>0</v>
      </c>
      <c r="G135" s="669">
        <f>'[9]Rev_NP-12me'!O159</f>
        <v>0</v>
      </c>
      <c r="H135" s="670">
        <f>'[9]Rev_NP-12me'!P159</f>
        <v>8.15</v>
      </c>
      <c r="I135" s="669">
        <f>'[9]Rev_NP-12me'!AA159</f>
        <v>3500</v>
      </c>
      <c r="J135" s="681">
        <f>'[9]Rev_NP-12me'!CZ159</f>
        <v>0</v>
      </c>
      <c r="K135" s="681">
        <f>'[9]Rev_NP-12me'!DA159</f>
        <v>0</v>
      </c>
      <c r="L135" s="681">
        <f>'[9]Rev_NP-12me'!DC159</f>
        <v>0</v>
      </c>
      <c r="M135" s="664">
        <f t="shared" si="4"/>
        <v>0</v>
      </c>
    </row>
    <row r="136" spans="2:13" ht="14.4" x14ac:dyDescent="0.25">
      <c r="B136" s="687" t="s">
        <v>1151</v>
      </c>
      <c r="C136" s="579"/>
      <c r="D136" s="665">
        <f>'[9]Rev_NP-12me'!H160</f>
        <v>0</v>
      </c>
      <c r="E136" s="665">
        <f>'[9]Rev_NP-12me'!I160</f>
        <v>0</v>
      </c>
      <c r="F136" s="665">
        <f>'[9]Rev_NP-12me'!K160</f>
        <v>0</v>
      </c>
      <c r="G136" s="669">
        <f>'[9]Rev_NP-12me'!O160</f>
        <v>0</v>
      </c>
      <c r="H136" s="670">
        <f>'[9]Rev_NP-12me'!P160</f>
        <v>5.65</v>
      </c>
      <c r="I136" s="669">
        <f>'[9]Rev_NP-12me'!AA160</f>
        <v>3500</v>
      </c>
      <c r="J136" s="681">
        <f>'[9]Rev_NP-12me'!CZ160</f>
        <v>0</v>
      </c>
      <c r="K136" s="681">
        <f>'[9]Rev_NP-12me'!DA160</f>
        <v>0</v>
      </c>
      <c r="L136" s="681">
        <f>'[9]Rev_NP-12me'!DC160</f>
        <v>0</v>
      </c>
      <c r="M136" s="664">
        <f t="shared" si="4"/>
        <v>0</v>
      </c>
    </row>
    <row r="137" spans="2:13" x14ac:dyDescent="0.25">
      <c r="B137" s="677" t="s">
        <v>1132</v>
      </c>
      <c r="C137" s="579"/>
      <c r="D137" s="666">
        <f>'[9]Rev_NP-12me'!H161</f>
        <v>1</v>
      </c>
      <c r="E137" s="666">
        <f>'[9]Rev_NP-12me'!I161</f>
        <v>5.85</v>
      </c>
      <c r="F137" s="666">
        <f>'[9]Rev_NP-12me'!K161</f>
        <v>21.496200000000002</v>
      </c>
      <c r="G137" s="674">
        <f>'[9]Rev_NP-12me'!O161</f>
        <v>500</v>
      </c>
      <c r="H137" s="688">
        <f>'[9]Rev_NP-12me'!P161</f>
        <v>7.15</v>
      </c>
      <c r="I137" s="674">
        <f>'[9]Rev_NP-12me'!AA161</f>
        <v>3500</v>
      </c>
      <c r="J137" s="674">
        <f>'[9]Rev_NP-12me'!CZ161</f>
        <v>2.7261000000000002</v>
      </c>
      <c r="K137" s="674">
        <f>'[9]Rev_NP-12me'!DA161</f>
        <v>15.369783000000002</v>
      </c>
      <c r="L137" s="674">
        <f>'[9]Rev_NP-12me'!DC161</f>
        <v>4.1999999999999997E-3</v>
      </c>
      <c r="M137" s="666">
        <f t="shared" si="4"/>
        <v>18.100083000000001</v>
      </c>
    </row>
    <row r="138" spans="2:13" x14ac:dyDescent="0.25">
      <c r="B138" s="677" t="s">
        <v>1133</v>
      </c>
      <c r="C138" s="579"/>
      <c r="D138" s="666">
        <f>'[9]Rev_NP-12me'!H162</f>
        <v>22</v>
      </c>
      <c r="E138" s="666">
        <f>'[9]Rev_NP-12me'!I162</f>
        <v>8.8226499999999994</v>
      </c>
      <c r="F138" s="666">
        <f>'[9]Rev_NP-12me'!K162</f>
        <v>16.361544896000002</v>
      </c>
      <c r="G138" s="674">
        <f>'[9]Rev_NP-12me'!O162</f>
        <v>0</v>
      </c>
      <c r="H138" s="688">
        <f>'[9]Rev_NP-12me'!P162</f>
        <v>0</v>
      </c>
      <c r="I138" s="674">
        <f>'[9]Rev_NP-12me'!AA162</f>
        <v>0</v>
      </c>
      <c r="J138" s="674">
        <f>'[9]Rev_NP-12me'!CZ162</f>
        <v>4.1113549000000003</v>
      </c>
      <c r="K138" s="674">
        <f>'[9]Rev_NP-12me'!DA162</f>
        <v>13.0383955666</v>
      </c>
      <c r="L138" s="674">
        <f>'[9]Rev_NP-12me'!DC162</f>
        <v>9.2399999999999996E-2</v>
      </c>
      <c r="M138" s="666">
        <f t="shared" si="4"/>
        <v>17.242150466600002</v>
      </c>
    </row>
    <row r="139" spans="2:13" ht="14.4" x14ac:dyDescent="0.25">
      <c r="B139" s="687" t="s">
        <v>1152</v>
      </c>
      <c r="C139" s="579"/>
      <c r="D139" s="665">
        <f>'[9]Rev_NP-12me'!H163</f>
        <v>22</v>
      </c>
      <c r="E139" s="665">
        <f>'[9]Rev_NP-12me'!I163</f>
        <v>8.8226499999999994</v>
      </c>
      <c r="F139" s="665">
        <f>'[9]Rev_NP-12me'!K163</f>
        <v>5.9181452535999997</v>
      </c>
      <c r="G139" s="669">
        <f>'[9]Rev_NP-12me'!O163</f>
        <v>500</v>
      </c>
      <c r="H139" s="670">
        <f>'[9]Rev_NP-12me'!P163</f>
        <v>8</v>
      </c>
      <c r="I139" s="669">
        <f>'[9]Rev_NP-12me'!AA163</f>
        <v>3500</v>
      </c>
      <c r="J139" s="681">
        <f>'[9]Rev_NP-12me'!CZ163</f>
        <v>4.1113549000000003</v>
      </c>
      <c r="K139" s="681">
        <f>'[9]Rev_NP-12me'!DA163</f>
        <v>4.7345162028800001</v>
      </c>
      <c r="L139" s="681">
        <f>'[9]Rev_NP-12me'!DC163</f>
        <v>9.2399999999999996E-2</v>
      </c>
      <c r="M139" s="664">
        <f t="shared" si="4"/>
        <v>8.9382711028799999</v>
      </c>
    </row>
    <row r="140" spans="2:13" ht="14.4" x14ac:dyDescent="0.25">
      <c r="B140" s="687" t="s">
        <v>1100</v>
      </c>
      <c r="C140" s="579"/>
      <c r="D140" s="665">
        <f>'[9]Rev_NP-12me'!H164</f>
        <v>0</v>
      </c>
      <c r="E140" s="665">
        <f>'[9]Rev_NP-12me'!I164</f>
        <v>0</v>
      </c>
      <c r="F140" s="665">
        <f>'[9]Rev_NP-12me'!K164</f>
        <v>3.0015094973999998</v>
      </c>
      <c r="G140" s="669">
        <f>'[9]Rev_NP-12me'!O164</f>
        <v>0</v>
      </c>
      <c r="H140" s="670">
        <f>'[9]Rev_NP-12me'!P164</f>
        <v>9</v>
      </c>
      <c r="I140" s="669">
        <f>'[9]Rev_NP-12me'!AA164</f>
        <v>3500</v>
      </c>
      <c r="J140" s="681">
        <f>'[9]Rev_NP-12me'!CZ164</f>
        <v>0</v>
      </c>
      <c r="K140" s="681">
        <f>'[9]Rev_NP-12me'!DA164</f>
        <v>2.7013585476599999</v>
      </c>
      <c r="L140" s="681">
        <f>'[9]Rev_NP-12me'!DC164</f>
        <v>0</v>
      </c>
      <c r="M140" s="664">
        <f t="shared" si="4"/>
        <v>2.7013585476599999</v>
      </c>
    </row>
    <row r="141" spans="2:13" ht="14.4" x14ac:dyDescent="0.25">
      <c r="B141" s="687" t="s">
        <v>1101</v>
      </c>
      <c r="C141" s="579"/>
      <c r="D141" s="665">
        <f>'[9]Rev_NP-12me'!H165</f>
        <v>0</v>
      </c>
      <c r="E141" s="665">
        <f>'[9]Rev_NP-12me'!I165</f>
        <v>0</v>
      </c>
      <c r="F141" s="665">
        <f>'[9]Rev_NP-12me'!K165</f>
        <v>2.4355526006000003</v>
      </c>
      <c r="G141" s="669">
        <f>'[9]Rev_NP-12me'!O165</f>
        <v>0</v>
      </c>
      <c r="H141" s="670">
        <f>'[9]Rev_NP-12me'!P165</f>
        <v>9</v>
      </c>
      <c r="I141" s="669">
        <f>'[9]Rev_NP-12me'!AA165</f>
        <v>3500</v>
      </c>
      <c r="J141" s="681">
        <f>'[9]Rev_NP-12me'!CZ165</f>
        <v>0</v>
      </c>
      <c r="K141" s="681">
        <f>'[9]Rev_NP-12me'!DA165</f>
        <v>2.1919973405399995</v>
      </c>
      <c r="L141" s="681">
        <f>'[9]Rev_NP-12me'!DC165</f>
        <v>0</v>
      </c>
      <c r="M141" s="664">
        <f t="shared" si="4"/>
        <v>2.1919973405399995</v>
      </c>
    </row>
    <row r="142" spans="2:13" ht="14.4" x14ac:dyDescent="0.25">
      <c r="B142" s="687" t="s">
        <v>1102</v>
      </c>
      <c r="C142" s="579"/>
      <c r="D142" s="665">
        <f>'[9]Rev_NP-12me'!H166</f>
        <v>0</v>
      </c>
      <c r="E142" s="665">
        <f>'[9]Rev_NP-12me'!I166</f>
        <v>0</v>
      </c>
      <c r="F142" s="665">
        <f>'[9]Rev_NP-12me'!K166</f>
        <v>5.0063375444000009</v>
      </c>
      <c r="G142" s="669">
        <f>'[9]Rev_NP-12me'!O166</f>
        <v>0</v>
      </c>
      <c r="H142" s="670">
        <f>'[9]Rev_NP-12me'!P166</f>
        <v>6.5</v>
      </c>
      <c r="I142" s="669">
        <f>'[9]Rev_NP-12me'!AA166</f>
        <v>3500</v>
      </c>
      <c r="J142" s="681">
        <f>'[9]Rev_NP-12me'!CZ166</f>
        <v>0</v>
      </c>
      <c r="K142" s="681">
        <f>'[9]Rev_NP-12me'!DA166</f>
        <v>3.4105234755200002</v>
      </c>
      <c r="L142" s="681">
        <f>'[9]Rev_NP-12me'!DC166</f>
        <v>0</v>
      </c>
      <c r="M142" s="664">
        <f t="shared" si="4"/>
        <v>3.4105234755200002</v>
      </c>
    </row>
    <row r="143" spans="2:13" ht="14.4" x14ac:dyDescent="0.25">
      <c r="B143" s="687" t="s">
        <v>1153</v>
      </c>
      <c r="C143" s="579"/>
      <c r="D143" s="665">
        <f>'[9]Rev_NP-12me'!H167</f>
        <v>0</v>
      </c>
      <c r="E143" s="665">
        <f>'[9]Rev_NP-12me'!I167</f>
        <v>0</v>
      </c>
      <c r="F143" s="665">
        <f>'[9]Rev_NP-12me'!K167</f>
        <v>0</v>
      </c>
      <c r="G143" s="669">
        <f>'[9]Rev_NP-12me'!O167</f>
        <v>500</v>
      </c>
      <c r="H143" s="670">
        <f>'[9]Rev_NP-12me'!P167</f>
        <v>8</v>
      </c>
      <c r="I143" s="669">
        <f>'[9]Rev_NP-12me'!AA167</f>
        <v>3500</v>
      </c>
      <c r="J143" s="681">
        <f>'[9]Rev_NP-12me'!CZ167</f>
        <v>0</v>
      </c>
      <c r="K143" s="681">
        <f>'[9]Rev_NP-12me'!DA167</f>
        <v>0</v>
      </c>
      <c r="L143" s="681">
        <f>'[9]Rev_NP-12me'!DC167</f>
        <v>0</v>
      </c>
      <c r="M143" s="664">
        <f t="shared" si="4"/>
        <v>0</v>
      </c>
    </row>
    <row r="144" spans="2:13" x14ac:dyDescent="0.25">
      <c r="B144" s="677" t="s">
        <v>1135</v>
      </c>
      <c r="C144" s="579"/>
      <c r="D144" s="666">
        <f>'[9]Rev_NP-12me'!H168</f>
        <v>0</v>
      </c>
      <c r="E144" s="666">
        <f>'[9]Rev_NP-12me'!I168</f>
        <v>0</v>
      </c>
      <c r="F144" s="666">
        <f>'[9]Rev_NP-12me'!K168</f>
        <v>0</v>
      </c>
      <c r="G144" s="674">
        <f>'[9]Rev_NP-12me'!O168</f>
        <v>0</v>
      </c>
      <c r="H144" s="688">
        <f>'[9]Rev_NP-12me'!P168</f>
        <v>0</v>
      </c>
      <c r="I144" s="674">
        <f>'[9]Rev_NP-12me'!AA168</f>
        <v>0</v>
      </c>
      <c r="J144" s="674">
        <f>'[9]Rev_NP-12me'!CZ168</f>
        <v>0</v>
      </c>
      <c r="K144" s="674">
        <f>'[9]Rev_NP-12me'!DA168</f>
        <v>0</v>
      </c>
      <c r="L144" s="674">
        <f>'[9]Rev_NP-12me'!DC168</f>
        <v>0</v>
      </c>
      <c r="M144" s="666">
        <f t="shared" si="4"/>
        <v>0</v>
      </c>
    </row>
    <row r="145" spans="2:13" ht="14.4" x14ac:dyDescent="0.25">
      <c r="B145" s="680" t="s">
        <v>1134</v>
      </c>
      <c r="C145" s="579"/>
      <c r="D145" s="665">
        <f>'[9]Rev_NP-12me'!H169</f>
        <v>0</v>
      </c>
      <c r="E145" s="665">
        <f>'[9]Rev_NP-12me'!I169</f>
        <v>0</v>
      </c>
      <c r="F145" s="665">
        <f>'[9]Rev_NP-12me'!K169</f>
        <v>0</v>
      </c>
      <c r="G145" s="669">
        <f>'[9]Rev_NP-12me'!O169</f>
        <v>285</v>
      </c>
      <c r="H145" s="670">
        <f>'[9]Rev_NP-12me'!P169</f>
        <v>5</v>
      </c>
      <c r="I145" s="669">
        <f>'[9]Rev_NP-12me'!AA169</f>
        <v>3500</v>
      </c>
      <c r="J145" s="681">
        <f>'[9]Rev_NP-12me'!CZ169</f>
        <v>0</v>
      </c>
      <c r="K145" s="681">
        <f>'[9]Rev_NP-12me'!DA169</f>
        <v>0</v>
      </c>
      <c r="L145" s="681">
        <f>'[9]Rev_NP-12me'!DC169</f>
        <v>0</v>
      </c>
      <c r="M145" s="664">
        <f t="shared" si="4"/>
        <v>0</v>
      </c>
    </row>
    <row r="146" spans="2:13" ht="14.4" x14ac:dyDescent="0.25">
      <c r="B146" s="680" t="s">
        <v>1100</v>
      </c>
      <c r="C146" s="579"/>
      <c r="D146" s="665">
        <f>'[9]Rev_NP-12me'!H170</f>
        <v>0</v>
      </c>
      <c r="E146" s="665">
        <f>'[9]Rev_NP-12me'!I170</f>
        <v>0</v>
      </c>
      <c r="F146" s="665">
        <f>'[9]Rev_NP-12me'!K170</f>
        <v>0</v>
      </c>
      <c r="G146" s="669">
        <f>'[9]Rev_NP-12me'!O170</f>
        <v>0</v>
      </c>
      <c r="H146" s="670">
        <f>'[9]Rev_NP-12me'!P170</f>
        <v>6</v>
      </c>
      <c r="I146" s="669">
        <f>'[9]Rev_NP-12me'!AA170</f>
        <v>3500</v>
      </c>
      <c r="J146" s="681">
        <f>'[9]Rev_NP-12me'!CZ170</f>
        <v>0</v>
      </c>
      <c r="K146" s="681">
        <f>'[9]Rev_NP-12me'!DA170</f>
        <v>0</v>
      </c>
      <c r="L146" s="681">
        <f>'[9]Rev_NP-12me'!DC170</f>
        <v>0</v>
      </c>
      <c r="M146" s="664">
        <f t="shared" si="4"/>
        <v>0</v>
      </c>
    </row>
    <row r="147" spans="2:13" ht="14.4" x14ac:dyDescent="0.25">
      <c r="B147" s="680" t="s">
        <v>1101</v>
      </c>
      <c r="C147" s="579"/>
      <c r="D147" s="665">
        <f>'[9]Rev_NP-12me'!H171</f>
        <v>0</v>
      </c>
      <c r="E147" s="665">
        <f>'[9]Rev_NP-12me'!I171</f>
        <v>0</v>
      </c>
      <c r="F147" s="665">
        <f>'[9]Rev_NP-12me'!K171</f>
        <v>0</v>
      </c>
      <c r="G147" s="669">
        <f>'[9]Rev_NP-12me'!O171</f>
        <v>0</v>
      </c>
      <c r="H147" s="670">
        <f>'[9]Rev_NP-12me'!P171</f>
        <v>6</v>
      </c>
      <c r="I147" s="669">
        <f>'[9]Rev_NP-12me'!AA171</f>
        <v>3500</v>
      </c>
      <c r="J147" s="681">
        <f>'[9]Rev_NP-12me'!CZ171</f>
        <v>0</v>
      </c>
      <c r="K147" s="681">
        <f>'[9]Rev_NP-12me'!DA171</f>
        <v>0</v>
      </c>
      <c r="L147" s="681">
        <f>'[9]Rev_NP-12me'!DC171</f>
        <v>0</v>
      </c>
      <c r="M147" s="664">
        <f t="shared" si="4"/>
        <v>0</v>
      </c>
    </row>
    <row r="148" spans="2:13" ht="14.4" x14ac:dyDescent="0.25">
      <c r="B148" s="680" t="s">
        <v>1102</v>
      </c>
      <c r="C148" s="579"/>
      <c r="D148" s="665">
        <f>'[9]Rev_NP-12me'!H172</f>
        <v>0</v>
      </c>
      <c r="E148" s="665">
        <f>'[9]Rev_NP-12me'!I172</f>
        <v>0</v>
      </c>
      <c r="F148" s="665">
        <f>'[9]Rev_NP-12me'!K172</f>
        <v>0</v>
      </c>
      <c r="G148" s="669">
        <f>'[9]Rev_NP-12me'!O172</f>
        <v>0</v>
      </c>
      <c r="H148" s="670">
        <f>'[9]Rev_NP-12me'!P172</f>
        <v>3.5</v>
      </c>
      <c r="I148" s="669">
        <f>'[9]Rev_NP-12me'!AA172</f>
        <v>3500</v>
      </c>
      <c r="J148" s="681">
        <f>'[9]Rev_NP-12me'!CZ172</f>
        <v>0</v>
      </c>
      <c r="K148" s="681">
        <f>'[9]Rev_NP-12me'!DA172</f>
        <v>0</v>
      </c>
      <c r="L148" s="681">
        <f>'[9]Rev_NP-12me'!DC172</f>
        <v>0</v>
      </c>
      <c r="M148" s="664">
        <f t="shared" si="4"/>
        <v>0</v>
      </c>
    </row>
    <row r="149" spans="2:13" x14ac:dyDescent="0.25">
      <c r="B149" s="677" t="s">
        <v>1079</v>
      </c>
      <c r="C149" s="579"/>
      <c r="D149" s="666">
        <f>'[9]Rev_NP-12me'!H173</f>
        <v>0</v>
      </c>
      <c r="E149" s="666">
        <f>'[9]Rev_NP-12me'!I173</f>
        <v>0</v>
      </c>
      <c r="F149" s="666">
        <f>'[9]Rev_NP-12me'!K173</f>
        <v>0</v>
      </c>
      <c r="G149" s="674">
        <f>'[9]Rev_NP-12me'!O173</f>
        <v>0</v>
      </c>
      <c r="H149" s="688">
        <f>'[9]Rev_NP-12me'!P173</f>
        <v>0</v>
      </c>
      <c r="I149" s="674">
        <f>'[9]Rev_NP-12me'!AA173</f>
        <v>0</v>
      </c>
      <c r="J149" s="674">
        <f>'[9]Rev_NP-12me'!CZ173</f>
        <v>0</v>
      </c>
      <c r="K149" s="674">
        <f>'[9]Rev_NP-12me'!DA173</f>
        <v>0</v>
      </c>
      <c r="L149" s="674">
        <f>'[9]Rev_NP-12me'!DC173</f>
        <v>0</v>
      </c>
      <c r="M149" s="666">
        <f t="shared" si="4"/>
        <v>0</v>
      </c>
    </row>
    <row r="150" spans="2:13" ht="14.4" x14ac:dyDescent="0.25">
      <c r="B150" s="687" t="s">
        <v>1134</v>
      </c>
      <c r="C150" s="579"/>
      <c r="D150" s="665">
        <f>'[9]Rev_NP-12me'!H174</f>
        <v>0</v>
      </c>
      <c r="E150" s="665">
        <f>'[9]Rev_NP-12me'!I174</f>
        <v>0</v>
      </c>
      <c r="F150" s="665">
        <f>'[9]Rev_NP-12me'!K174</f>
        <v>0</v>
      </c>
      <c r="G150" s="669">
        <f>'[9]Rev_NP-12me'!O174</f>
        <v>500</v>
      </c>
      <c r="H150" s="670">
        <f>'[9]Rev_NP-12me'!P174</f>
        <v>7.85</v>
      </c>
      <c r="I150" s="669">
        <f>'[9]Rev_NP-12me'!AA174</f>
        <v>3500</v>
      </c>
      <c r="J150" s="681">
        <f>'[9]Rev_NP-12me'!CZ174</f>
        <v>0</v>
      </c>
      <c r="K150" s="681">
        <f>'[9]Rev_NP-12me'!DA174</f>
        <v>0</v>
      </c>
      <c r="L150" s="681">
        <f>'[9]Rev_NP-12me'!DC174</f>
        <v>0</v>
      </c>
      <c r="M150" s="664">
        <f t="shared" si="4"/>
        <v>0</v>
      </c>
    </row>
    <row r="151" spans="2:13" ht="14.4" x14ac:dyDescent="0.25">
      <c r="B151" s="687" t="s">
        <v>1100</v>
      </c>
      <c r="C151" s="579"/>
      <c r="D151" s="665">
        <f>'[9]Rev_NP-12me'!H175</f>
        <v>0</v>
      </c>
      <c r="E151" s="665">
        <f>'[9]Rev_NP-12me'!I175</f>
        <v>0</v>
      </c>
      <c r="F151" s="665">
        <f>'[9]Rev_NP-12me'!K175</f>
        <v>0</v>
      </c>
      <c r="G151" s="669">
        <f>'[9]Rev_NP-12me'!O175</f>
        <v>0</v>
      </c>
      <c r="H151" s="670">
        <f>'[9]Rev_NP-12me'!P175</f>
        <v>8.85</v>
      </c>
      <c r="I151" s="669">
        <f>'[9]Rev_NP-12me'!AA175</f>
        <v>3500</v>
      </c>
      <c r="J151" s="681">
        <f>'[9]Rev_NP-12me'!CZ175</f>
        <v>0</v>
      </c>
      <c r="K151" s="681">
        <f>'[9]Rev_NP-12me'!DA175</f>
        <v>0</v>
      </c>
      <c r="L151" s="681">
        <f>'[9]Rev_NP-12me'!DC175</f>
        <v>0</v>
      </c>
      <c r="M151" s="664">
        <f t="shared" si="4"/>
        <v>0</v>
      </c>
    </row>
    <row r="152" spans="2:13" ht="14.4" x14ac:dyDescent="0.25">
      <c r="B152" s="687" t="s">
        <v>1101</v>
      </c>
      <c r="C152" s="579"/>
      <c r="D152" s="665">
        <f>'[9]Rev_NP-12me'!H176</f>
        <v>0</v>
      </c>
      <c r="E152" s="665">
        <f>'[9]Rev_NP-12me'!I176</f>
        <v>0</v>
      </c>
      <c r="F152" s="665">
        <f>'[9]Rev_NP-12me'!K176</f>
        <v>0</v>
      </c>
      <c r="G152" s="669">
        <f>'[9]Rev_NP-12me'!O176</f>
        <v>0</v>
      </c>
      <c r="H152" s="670">
        <f>'[9]Rev_NP-12me'!P176</f>
        <v>8.85</v>
      </c>
      <c r="I152" s="669">
        <f>'[9]Rev_NP-12me'!AA176</f>
        <v>3500</v>
      </c>
      <c r="J152" s="681">
        <f>'[9]Rev_NP-12me'!CZ176</f>
        <v>0</v>
      </c>
      <c r="K152" s="681">
        <f>'[9]Rev_NP-12me'!DA176</f>
        <v>0</v>
      </c>
      <c r="L152" s="681">
        <f>'[9]Rev_NP-12me'!DC176</f>
        <v>0</v>
      </c>
      <c r="M152" s="664">
        <f t="shared" si="4"/>
        <v>0</v>
      </c>
    </row>
    <row r="153" spans="2:13" ht="14.4" x14ac:dyDescent="0.25">
      <c r="B153" s="687" t="s">
        <v>1102</v>
      </c>
      <c r="C153" s="579"/>
      <c r="D153" s="665">
        <f>'[9]Rev_NP-12me'!H177</f>
        <v>0</v>
      </c>
      <c r="E153" s="665">
        <f>'[9]Rev_NP-12me'!I177</f>
        <v>0</v>
      </c>
      <c r="F153" s="665">
        <f>'[9]Rev_NP-12me'!K177</f>
        <v>0</v>
      </c>
      <c r="G153" s="669">
        <f>'[9]Rev_NP-12me'!O177</f>
        <v>0</v>
      </c>
      <c r="H153" s="670">
        <f>'[9]Rev_NP-12me'!P177</f>
        <v>6.35</v>
      </c>
      <c r="I153" s="669">
        <f>'[9]Rev_NP-12me'!AA177</f>
        <v>3500</v>
      </c>
      <c r="J153" s="681">
        <f>'[9]Rev_NP-12me'!CZ177</f>
        <v>0</v>
      </c>
      <c r="K153" s="681">
        <f>'[9]Rev_NP-12me'!DA177</f>
        <v>0</v>
      </c>
      <c r="L153" s="681">
        <f>'[9]Rev_NP-12me'!DC177</f>
        <v>0</v>
      </c>
      <c r="M153" s="664">
        <f t="shared" si="4"/>
        <v>0</v>
      </c>
    </row>
    <row r="154" spans="2:13" x14ac:dyDescent="0.25">
      <c r="B154" s="677" t="s">
        <v>1154</v>
      </c>
      <c r="C154" s="579"/>
      <c r="D154" s="666">
        <f>'[9]Rev_NP-12me'!H178</f>
        <v>22</v>
      </c>
      <c r="E154" s="666">
        <f>'[9]Rev_NP-12me'!I178</f>
        <v>63.921999999999997</v>
      </c>
      <c r="F154" s="666">
        <f>'[9]Rev_NP-12me'!K178</f>
        <v>30.280639999999998</v>
      </c>
      <c r="G154" s="674">
        <f>'[9]Rev_NP-12me'!O178</f>
        <v>0</v>
      </c>
      <c r="H154" s="688">
        <f>'[9]Rev_NP-12me'!P178</f>
        <v>0</v>
      </c>
      <c r="I154" s="674">
        <f>'[9]Rev_NP-12me'!AA178</f>
        <v>0</v>
      </c>
      <c r="J154" s="674">
        <f>'[9]Rev_NP-12me'!CZ178</f>
        <v>10.490532395833332</v>
      </c>
      <c r="K154" s="674">
        <f>'[9]Rev_NP-12me'!DA178</f>
        <v>19.076803199999997</v>
      </c>
      <c r="L154" s="674">
        <f>'[9]Rev_NP-12me'!DC178</f>
        <v>9.2399999999999996E-2</v>
      </c>
      <c r="M154" s="666">
        <f t="shared" si="4"/>
        <v>29.659735595833329</v>
      </c>
    </row>
    <row r="155" spans="2:13" x14ac:dyDescent="0.25">
      <c r="B155" s="692" t="s">
        <v>1137</v>
      </c>
      <c r="C155" s="579"/>
      <c r="D155" s="664">
        <f>'[9]Rev_NP-12me'!H179</f>
        <v>22</v>
      </c>
      <c r="E155" s="664">
        <f>'[9]Rev_NP-12me'!I179</f>
        <v>63.921999999999997</v>
      </c>
      <c r="F155" s="664">
        <f>'[9]Rev_NP-12me'!K179</f>
        <v>30.280639999999998</v>
      </c>
      <c r="G155" s="669">
        <f>'[9]Rev_NP-12me'!O179</f>
        <v>300</v>
      </c>
      <c r="H155" s="670">
        <f>'[9]Rev_NP-12me'!P179</f>
        <v>6.3</v>
      </c>
      <c r="I155" s="669">
        <f>'[9]Rev_NP-12me'!AA179</f>
        <v>3500</v>
      </c>
      <c r="J155" s="669">
        <f>'[9]Rev_NP-12me'!CZ179</f>
        <v>10.490532395833332</v>
      </c>
      <c r="K155" s="669">
        <f>'[9]Rev_NP-12me'!DA179</f>
        <v>19.076803199999997</v>
      </c>
      <c r="L155" s="669">
        <f>'[9]Rev_NP-12me'!DC179</f>
        <v>9.2399999999999996E-2</v>
      </c>
      <c r="M155" s="664">
        <f t="shared" si="4"/>
        <v>29.659735595833329</v>
      </c>
    </row>
    <row r="156" spans="2:13" x14ac:dyDescent="0.25">
      <c r="B156" s="693" t="s">
        <v>1155</v>
      </c>
      <c r="C156" s="579"/>
      <c r="D156" s="666">
        <f>'[9]Rev_NP-12me'!H184</f>
        <v>28</v>
      </c>
      <c r="E156" s="666">
        <f>'[9]Rev_NP-12me'!I184</f>
        <v>64.918000000000006</v>
      </c>
      <c r="F156" s="666">
        <f>'[9]Rev_NP-12me'!K184</f>
        <v>373.59901052227264</v>
      </c>
      <c r="G156" s="674">
        <f>'[9]Rev_NP-12me'!O184</f>
        <v>0</v>
      </c>
      <c r="H156" s="688">
        <f>'[9]Rev_NP-12me'!P184</f>
        <v>0</v>
      </c>
      <c r="I156" s="674">
        <f>'[9]Rev_NP-12me'!AA184</f>
        <v>0</v>
      </c>
      <c r="J156" s="674">
        <f>'[9]Rev_NP-12me'!CZ184</f>
        <v>0</v>
      </c>
      <c r="K156" s="674">
        <f>'[9]Rev_NP-12me'!DA184</f>
        <v>227.8953964185863</v>
      </c>
      <c r="L156" s="674">
        <f>'[9]Rev_NP-12me'!DC184</f>
        <v>0.1176</v>
      </c>
      <c r="M156" s="666">
        <f t="shared" si="4"/>
        <v>228.01299641858631</v>
      </c>
    </row>
    <row r="157" spans="2:13" x14ac:dyDescent="0.25">
      <c r="B157" s="680" t="s">
        <v>1156</v>
      </c>
      <c r="C157" s="579"/>
      <c r="D157" s="664">
        <f>'[9]Rev_NP-12me'!H185</f>
        <v>28</v>
      </c>
      <c r="E157" s="664">
        <f>'[9]Rev_NP-12me'!I185</f>
        <v>64.918000000000006</v>
      </c>
      <c r="F157" s="664">
        <f>'[9]Rev_NP-12me'!K185</f>
        <v>373.59901052227264</v>
      </c>
      <c r="G157" s="669">
        <f>'[9]Rev_NP-12me'!O185</f>
        <v>0</v>
      </c>
      <c r="H157" s="670">
        <f>'[9]Rev_NP-12me'!P185</f>
        <v>6.1</v>
      </c>
      <c r="I157" s="669">
        <f>'[9]Rev_NP-12me'!AA185</f>
        <v>3500</v>
      </c>
      <c r="J157" s="669">
        <f>'[9]Rev_NP-12me'!CZ185</f>
        <v>0</v>
      </c>
      <c r="K157" s="669">
        <f>'[9]Rev_NP-12me'!DA185</f>
        <v>227.8953964185863</v>
      </c>
      <c r="L157" s="669">
        <f>'[9]Rev_NP-12me'!DC185</f>
        <v>0.1176</v>
      </c>
      <c r="M157" s="664">
        <f t="shared" si="4"/>
        <v>228.01299641858631</v>
      </c>
    </row>
    <row r="158" spans="2:13" x14ac:dyDescent="0.25">
      <c r="B158" s="689" t="s">
        <v>1157</v>
      </c>
      <c r="C158" s="579"/>
      <c r="D158" s="666">
        <f>'[9]Rev_NP-12me'!H186</f>
        <v>0</v>
      </c>
      <c r="E158" s="666">
        <f>'[9]Rev_NP-12me'!I186</f>
        <v>0</v>
      </c>
      <c r="F158" s="666">
        <f>'[9]Rev_NP-12me'!K186</f>
        <v>0</v>
      </c>
      <c r="G158" s="674">
        <f>'[9]Rev_NP-12me'!O186</f>
        <v>0</v>
      </c>
      <c r="H158" s="688">
        <f>'[9]Rev_NP-12me'!P186</f>
        <v>0</v>
      </c>
      <c r="I158" s="674">
        <f>'[9]Rev_NP-12me'!AA186</f>
        <v>0</v>
      </c>
      <c r="J158" s="674">
        <f>'[9]Rev_NP-12me'!CZ186</f>
        <v>0</v>
      </c>
      <c r="K158" s="674">
        <f>'[9]Rev_NP-12me'!DA186</f>
        <v>0</v>
      </c>
      <c r="L158" s="674">
        <f>'[9]Rev_NP-12me'!DC186</f>
        <v>0</v>
      </c>
      <c r="M158" s="664">
        <f t="shared" si="4"/>
        <v>0</v>
      </c>
    </row>
    <row r="159" spans="2:13" x14ac:dyDescent="0.25">
      <c r="B159" s="677" t="s">
        <v>1140</v>
      </c>
      <c r="C159" s="579"/>
      <c r="D159" s="666">
        <f>'[9]Rev_NP-12me'!H180</f>
        <v>0</v>
      </c>
      <c r="E159" s="666">
        <f>'[9]Rev_NP-12me'!I180</f>
        <v>0</v>
      </c>
      <c r="F159" s="666">
        <f>'[9]Rev_NP-12me'!K180</f>
        <v>0</v>
      </c>
      <c r="G159" s="674">
        <f>'[9]Rev_NP-12me'!O180</f>
        <v>500</v>
      </c>
      <c r="H159" s="688">
        <f>'[9]Rev_NP-12me'!P180</f>
        <v>5.05</v>
      </c>
      <c r="I159" s="674">
        <f>'[9]Rev_NP-12me'!AA180</f>
        <v>3500</v>
      </c>
      <c r="J159" s="674">
        <f>'[9]Rev_NP-12me'!CZ180</f>
        <v>0</v>
      </c>
      <c r="K159" s="674">
        <f>'[9]Rev_NP-12me'!DA180</f>
        <v>0</v>
      </c>
      <c r="L159" s="674">
        <f>'[9]Rev_NP-12me'!DC180</f>
        <v>0</v>
      </c>
      <c r="M159" s="666">
        <f t="shared" si="4"/>
        <v>0</v>
      </c>
    </row>
    <row r="160" spans="2:13" x14ac:dyDescent="0.25">
      <c r="B160" s="677" t="s">
        <v>1141</v>
      </c>
      <c r="C160" s="579"/>
      <c r="D160" s="666">
        <f>'[9]Rev_NP-12me'!H181</f>
        <v>0</v>
      </c>
      <c r="E160" s="666">
        <f>'[9]Rev_NP-12me'!I181</f>
        <v>0</v>
      </c>
      <c r="F160" s="666">
        <f>'[9]Rev_NP-12me'!K181</f>
        <v>0</v>
      </c>
      <c r="G160" s="674">
        <f>'[9]Rev_NP-12me'!O181</f>
        <v>500</v>
      </c>
      <c r="H160" s="688">
        <f>'[9]Rev_NP-12me'!P181</f>
        <v>4.95</v>
      </c>
      <c r="I160" s="674">
        <f>'[9]Rev_NP-12me'!AA181</f>
        <v>3500</v>
      </c>
      <c r="J160" s="674">
        <f>'[9]Rev_NP-12me'!CZ181</f>
        <v>0</v>
      </c>
      <c r="K160" s="674">
        <f>'[9]Rev_NP-12me'!DA181</f>
        <v>0</v>
      </c>
      <c r="L160" s="674">
        <f>'[9]Rev_NP-12me'!DC181</f>
        <v>0</v>
      </c>
      <c r="M160" s="666">
        <f t="shared" si="4"/>
        <v>0</v>
      </c>
    </row>
    <row r="161" spans="2:13" x14ac:dyDescent="0.25">
      <c r="B161" s="677" t="s">
        <v>811</v>
      </c>
      <c r="C161" s="579"/>
      <c r="D161" s="666">
        <f>'[9]Rev_NP-12me'!H182</f>
        <v>7</v>
      </c>
      <c r="E161" s="666">
        <f>'[9]Rev_NP-12me'!I182</f>
        <v>14.57</v>
      </c>
      <c r="F161" s="666">
        <f>'[9]Rev_NP-12me'!K182</f>
        <v>33.934072896551719</v>
      </c>
      <c r="G161" s="674">
        <f>'[9]Rev_NP-12me'!O182</f>
        <v>285</v>
      </c>
      <c r="H161" s="688">
        <f>'[9]Rev_NP-12me'!P182</f>
        <v>7.3</v>
      </c>
      <c r="I161" s="674">
        <f>'[9]Rev_NP-12me'!AA182</f>
        <v>3500</v>
      </c>
      <c r="J161" s="674">
        <f>'[9]Rev_NP-12me'!CZ182</f>
        <v>3.7823720000000005</v>
      </c>
      <c r="K161" s="674">
        <f>'[9]Rev_NP-12me'!DA182</f>
        <v>24.77187321448276</v>
      </c>
      <c r="L161" s="674">
        <f>'[9]Rev_NP-12me'!DC182</f>
        <v>2.9399999999999999E-2</v>
      </c>
      <c r="M161" s="666">
        <f t="shared" si="4"/>
        <v>28.583645214482761</v>
      </c>
    </row>
    <row r="162" spans="2:13" x14ac:dyDescent="0.25">
      <c r="B162" s="677" t="s">
        <v>813</v>
      </c>
      <c r="C162" s="579"/>
      <c r="D162" s="666">
        <f>'[9]Rev_NP-12me'!H183</f>
        <v>9</v>
      </c>
      <c r="E162" s="666">
        <f>'[9]Rev_NP-12me'!I183</f>
        <v>6.65</v>
      </c>
      <c r="F162" s="666">
        <f>'[9]Rev_NP-12me'!K183</f>
        <v>8.1475419000000002</v>
      </c>
      <c r="G162" s="674">
        <f>'[9]Rev_NP-12me'!O183</f>
        <v>500</v>
      </c>
      <c r="H162" s="688">
        <f>'[9]Rev_NP-12me'!P183</f>
        <v>11</v>
      </c>
      <c r="I162" s="674">
        <f>'[9]Rev_NP-12me'!AA183</f>
        <v>3500</v>
      </c>
      <c r="J162" s="674">
        <f>'[9]Rev_NP-12me'!CZ183</f>
        <v>3.1920000000000002</v>
      </c>
      <c r="K162" s="674">
        <f>'[9]Rev_NP-12me'!DA183</f>
        <v>8.9622960899999988</v>
      </c>
      <c r="L162" s="674">
        <f>'[9]Rev_NP-12me'!DC183</f>
        <v>3.3599999999999998E-2</v>
      </c>
      <c r="M162" s="666">
        <f t="shared" si="4"/>
        <v>12.187896089999999</v>
      </c>
    </row>
    <row r="163" spans="2:13" x14ac:dyDescent="0.25">
      <c r="B163" s="677" t="s">
        <v>1158</v>
      </c>
      <c r="C163" s="579"/>
      <c r="D163" s="666">
        <f>'[9]Rev_NP-12me'!H191</f>
        <v>3</v>
      </c>
      <c r="E163" s="666">
        <f>'[9]Rev_NP-12me'!I191</f>
        <v>8.1999999999999993</v>
      </c>
      <c r="F163" s="666">
        <f>'[9]Rev_NP-12me'!K191</f>
        <v>8.9069599999999998</v>
      </c>
      <c r="G163" s="674">
        <f>'[9]Rev_NP-12me'!O191</f>
        <v>100</v>
      </c>
      <c r="H163" s="688">
        <f>'[9]Rev_NP-12me'!P191</f>
        <v>6</v>
      </c>
      <c r="I163" s="674">
        <f>'[9]Rev_NP-12me'!AA191</f>
        <v>3500</v>
      </c>
      <c r="J163" s="674">
        <f>'[9]Rev_NP-12me'!CZ191</f>
        <v>0.4592</v>
      </c>
      <c r="K163" s="674">
        <f>'[9]Rev_NP-12me'!DA191</f>
        <v>5.344176</v>
      </c>
      <c r="L163" s="674">
        <f>'[9]Rev_NP-12me'!DC191</f>
        <v>6.3E-3</v>
      </c>
      <c r="M163" s="666">
        <f t="shared" si="4"/>
        <v>5.8096760000000005</v>
      </c>
    </row>
    <row r="164" spans="2:13" x14ac:dyDescent="0.25">
      <c r="B164" s="689" t="s">
        <v>1159</v>
      </c>
      <c r="C164" s="579"/>
      <c r="D164" s="666">
        <f>SUM(D123,D137,D138,D144,D149,D154,D156,D158,D159,D160,D161,D162,D163)</f>
        <v>144</v>
      </c>
      <c r="E164" s="666">
        <f>SUM(E123,E137,E138,E144,E149,E154,E156,E158,E159,E160,E161,E162,E163)</f>
        <v>246.03864999999999</v>
      </c>
      <c r="F164" s="666">
        <f>SUM(F123,F137,F138,F144,F149,F154,F156,F158,F159,F160,F161,F162,F163)</f>
        <v>710.79121938673188</v>
      </c>
      <c r="G164" s="674"/>
      <c r="H164" s="669"/>
      <c r="I164" s="669"/>
      <c r="J164" s="674">
        <f t="shared" ref="J164:L164" si="5">SUM(J123,J137,J138,J144,J149,J154,J156,J158,J159,J160,J161,J162,J163)</f>
        <v>58.828955295833346</v>
      </c>
      <c r="K164" s="674">
        <f t="shared" si="5"/>
        <v>467.91656491324107</v>
      </c>
      <c r="L164" s="674">
        <f t="shared" si="5"/>
        <v>0.59009999999999996</v>
      </c>
      <c r="M164" s="666">
        <f>SUM(M123,M137,M138,M144,M149,M154,M156,M158,M159,M160,M161,M162,M163)</f>
        <v>527.33562020907448</v>
      </c>
    </row>
    <row r="165" spans="2:13" x14ac:dyDescent="0.25">
      <c r="B165" s="579"/>
      <c r="C165" s="579"/>
      <c r="D165" s="664"/>
      <c r="E165" s="664"/>
      <c r="F165" s="664"/>
      <c r="G165" s="669"/>
      <c r="H165" s="669"/>
      <c r="I165" s="669"/>
      <c r="J165" s="669"/>
      <c r="K165" s="669"/>
      <c r="L165" s="669"/>
      <c r="M165" s="664"/>
    </row>
    <row r="166" spans="2:13" x14ac:dyDescent="0.25">
      <c r="B166" s="677" t="s">
        <v>1160</v>
      </c>
      <c r="C166" s="579"/>
      <c r="D166" s="664"/>
      <c r="E166" s="664"/>
      <c r="F166" s="664"/>
      <c r="G166" s="669"/>
      <c r="H166" s="669"/>
      <c r="I166" s="669"/>
      <c r="J166" s="669"/>
      <c r="K166" s="669"/>
      <c r="L166" s="669"/>
      <c r="M166" s="664"/>
    </row>
    <row r="167" spans="2:13" x14ac:dyDescent="0.25">
      <c r="B167" s="677" t="s">
        <v>1145</v>
      </c>
      <c r="C167" s="579"/>
      <c r="D167" s="666">
        <f>'[9]Rev_NP-12me'!H201</f>
        <v>13</v>
      </c>
      <c r="E167" s="666">
        <f>'[9]Rev_NP-12me'!I201</f>
        <v>174.32</v>
      </c>
      <c r="F167" s="666">
        <f>'[9]Rev_NP-12me'!K201</f>
        <v>357.08006497034489</v>
      </c>
      <c r="G167" s="674">
        <f>'[9]Rev_NP-12me'!O201</f>
        <v>0</v>
      </c>
      <c r="H167" s="688">
        <f>'[9]Rev_NP-12me'!P201</f>
        <v>0</v>
      </c>
      <c r="I167" s="674">
        <f>'[9]Rev_NP-12me'!AA201</f>
        <v>0</v>
      </c>
      <c r="J167" s="674">
        <f>'[9]Rev_NP-12me'!CZ201</f>
        <v>81.23312</v>
      </c>
      <c r="K167" s="674">
        <f>'[9]Rev_NP-12me'!DA201</f>
        <v>233.45816666027935</v>
      </c>
      <c r="L167" s="674">
        <f>'[9]Rev_NP-12me'!DC201</f>
        <v>8.1000000000000003E-2</v>
      </c>
      <c r="M167" s="666">
        <f t="shared" ref="M167:M208" si="6">SUM(J167:L167)</f>
        <v>314.77228666027935</v>
      </c>
    </row>
    <row r="168" spans="2:13" x14ac:dyDescent="0.25">
      <c r="B168" s="680" t="s">
        <v>1119</v>
      </c>
      <c r="C168" s="579"/>
      <c r="D168" s="664">
        <f>'[9]Rev_NP-12me'!H202</f>
        <v>13</v>
      </c>
      <c r="E168" s="664">
        <f>'[9]Rev_NP-12me'!I202</f>
        <v>174.32</v>
      </c>
      <c r="F168" s="664">
        <f>'[9]Rev_NP-12me'!K202</f>
        <v>50.111864810344876</v>
      </c>
      <c r="G168" s="669">
        <f>'[9]Rev_NP-12me'!O202</f>
        <v>500</v>
      </c>
      <c r="H168" s="670">
        <f>'[9]Rev_NP-12me'!P202</f>
        <v>6.65</v>
      </c>
      <c r="I168" s="669">
        <f>'[9]Rev_NP-12me'!AA202</f>
        <v>5000</v>
      </c>
      <c r="J168" s="669">
        <f>'[9]Rev_NP-12me'!CZ202</f>
        <v>81.23312</v>
      </c>
      <c r="K168" s="669">
        <f>'[9]Rev_NP-12me'!DA202</f>
        <v>33.324390098879334</v>
      </c>
      <c r="L168" s="669">
        <f>'[9]Rev_NP-12me'!DC202</f>
        <v>8.1000000000000003E-2</v>
      </c>
      <c r="M168" s="664">
        <f t="shared" si="6"/>
        <v>114.63851009887934</v>
      </c>
    </row>
    <row r="169" spans="2:13" ht="14.4" x14ac:dyDescent="0.25">
      <c r="B169" s="680" t="s">
        <v>1147</v>
      </c>
      <c r="C169" s="579"/>
      <c r="D169" s="665">
        <f>'[9]Rev_NP-12me'!H204</f>
        <v>0</v>
      </c>
      <c r="E169" s="665">
        <f>'[9]Rev_NP-12me'!I204</f>
        <v>0</v>
      </c>
      <c r="F169" s="665">
        <f>'[9]Rev_NP-12me'!K204</f>
        <v>0</v>
      </c>
      <c r="G169" s="681">
        <f>'[9]Rev_NP-12me'!O204</f>
        <v>0</v>
      </c>
      <c r="H169" s="682">
        <f>'[9]Rev_NP-12me'!P204</f>
        <v>6.65</v>
      </c>
      <c r="I169" s="681">
        <f>'[9]Rev_NP-12me'!AA204</f>
        <v>5000</v>
      </c>
      <c r="J169" s="681">
        <f>'[9]Rev_NP-12me'!CZ204</f>
        <v>0</v>
      </c>
      <c r="K169" s="681">
        <f>'[9]Rev_NP-12me'!DA204</f>
        <v>0</v>
      </c>
      <c r="L169" s="681">
        <f>'[9]Rev_NP-12me'!DC204</f>
        <v>0</v>
      </c>
      <c r="M169" s="664">
        <f t="shared" si="6"/>
        <v>0</v>
      </c>
    </row>
    <row r="170" spans="2:13" ht="14.4" x14ac:dyDescent="0.25">
      <c r="B170" s="680" t="s">
        <v>1148</v>
      </c>
      <c r="C170" s="579"/>
      <c r="D170" s="665">
        <f>'[9]Rev_NP-12me'!H205</f>
        <v>0</v>
      </c>
      <c r="E170" s="665">
        <f>'[9]Rev_NP-12me'!I205</f>
        <v>0</v>
      </c>
      <c r="F170" s="665">
        <f>'[9]Rev_NP-12me'!K205</f>
        <v>0</v>
      </c>
      <c r="G170" s="681">
        <f>'[9]Rev_NP-12me'!O205</f>
        <v>0</v>
      </c>
      <c r="H170" s="682">
        <f>'[9]Rev_NP-12me'!P205</f>
        <v>7.3</v>
      </c>
      <c r="I170" s="681">
        <f>'[9]Rev_NP-12me'!AA205</f>
        <v>5000</v>
      </c>
      <c r="J170" s="681">
        <f>'[9]Rev_NP-12me'!CZ205</f>
        <v>0</v>
      </c>
      <c r="K170" s="681">
        <f>'[9]Rev_NP-12me'!DA205</f>
        <v>0</v>
      </c>
      <c r="L170" s="681">
        <f>'[9]Rev_NP-12me'!DC205</f>
        <v>0</v>
      </c>
      <c r="M170" s="664">
        <f t="shared" si="6"/>
        <v>0</v>
      </c>
    </row>
    <row r="171" spans="2:13" ht="14.4" x14ac:dyDescent="0.25">
      <c r="B171" s="680" t="s">
        <v>1149</v>
      </c>
      <c r="C171" s="579"/>
      <c r="D171" s="665">
        <f>'[9]Rev_NP-12me'!H206</f>
        <v>0</v>
      </c>
      <c r="E171" s="665">
        <f>'[9]Rev_NP-12me'!I206</f>
        <v>0</v>
      </c>
      <c r="F171" s="665">
        <f>'[9]Rev_NP-12me'!K206</f>
        <v>0</v>
      </c>
      <c r="G171" s="681">
        <f>'[9]Rev_NP-12me'!O206</f>
        <v>500</v>
      </c>
      <c r="H171" s="682">
        <f>'[9]Rev_NP-12me'!P206</f>
        <v>7.7</v>
      </c>
      <c r="I171" s="681">
        <f>'[9]Rev_NP-12me'!AA206</f>
        <v>5000</v>
      </c>
      <c r="J171" s="681">
        <f>'[9]Rev_NP-12me'!CZ206</f>
        <v>0</v>
      </c>
      <c r="K171" s="681">
        <f>'[9]Rev_NP-12me'!DA206</f>
        <v>0</v>
      </c>
      <c r="L171" s="681">
        <f>'[9]Rev_NP-12me'!DC206</f>
        <v>0</v>
      </c>
      <c r="M171" s="664">
        <f t="shared" si="6"/>
        <v>0</v>
      </c>
    </row>
    <row r="172" spans="2:13" ht="14.4" x14ac:dyDescent="0.25">
      <c r="B172" s="687" t="s">
        <v>1100</v>
      </c>
      <c r="C172" s="579"/>
      <c r="D172" s="665">
        <f>'[9]Rev_NP-12me'!H207</f>
        <v>0</v>
      </c>
      <c r="E172" s="665">
        <f>'[9]Rev_NP-12me'!I207</f>
        <v>0</v>
      </c>
      <c r="F172" s="665">
        <f>'[9]Rev_NP-12me'!K207</f>
        <v>115.15954045000002</v>
      </c>
      <c r="G172" s="681">
        <f>'[9]Rev_NP-12me'!O207</f>
        <v>0</v>
      </c>
      <c r="H172" s="682">
        <f>'[9]Rev_NP-12me'!P207</f>
        <v>7.65</v>
      </c>
      <c r="I172" s="681">
        <f>'[9]Rev_NP-12me'!AA207</f>
        <v>5000</v>
      </c>
      <c r="J172" s="681">
        <f>'[9]Rev_NP-12me'!CZ207</f>
        <v>0</v>
      </c>
      <c r="K172" s="681">
        <f>'[9]Rev_NP-12me'!DA207</f>
        <v>88.097048444250007</v>
      </c>
      <c r="L172" s="681">
        <f>'[9]Rev_NP-12me'!DC207</f>
        <v>0</v>
      </c>
      <c r="M172" s="664">
        <f t="shared" si="6"/>
        <v>88.097048444250007</v>
      </c>
    </row>
    <row r="173" spans="2:13" ht="14.4" x14ac:dyDescent="0.25">
      <c r="B173" s="687" t="s">
        <v>1101</v>
      </c>
      <c r="C173" s="579"/>
      <c r="D173" s="665">
        <f>'[9]Rev_NP-12me'!H208</f>
        <v>0</v>
      </c>
      <c r="E173" s="665">
        <f>'[9]Rev_NP-12me'!I208</f>
        <v>0</v>
      </c>
      <c r="F173" s="665">
        <f>'[9]Rev_NP-12me'!K208</f>
        <v>33.218660789999994</v>
      </c>
      <c r="G173" s="681">
        <f>'[9]Rev_NP-12me'!O208</f>
        <v>0</v>
      </c>
      <c r="H173" s="682">
        <f>'[9]Rev_NP-12me'!P208</f>
        <v>7.65</v>
      </c>
      <c r="I173" s="681">
        <f>'[9]Rev_NP-12me'!AA208</f>
        <v>5000</v>
      </c>
      <c r="J173" s="681">
        <f>'[9]Rev_NP-12me'!CZ208</f>
        <v>0</v>
      </c>
      <c r="K173" s="681">
        <f>'[9]Rev_NP-12me'!DA208</f>
        <v>25.412275504349992</v>
      </c>
      <c r="L173" s="681">
        <f>'[9]Rev_NP-12me'!DC208</f>
        <v>0</v>
      </c>
      <c r="M173" s="664">
        <f t="shared" si="6"/>
        <v>25.412275504349992</v>
      </c>
    </row>
    <row r="174" spans="2:13" ht="14.4" x14ac:dyDescent="0.25">
      <c r="B174" s="687" t="s">
        <v>1102</v>
      </c>
      <c r="C174" s="579"/>
      <c r="D174" s="665">
        <f>'[9]Rev_NP-12me'!H210</f>
        <v>0</v>
      </c>
      <c r="E174" s="665">
        <f>'[9]Rev_NP-12me'!I210</f>
        <v>0</v>
      </c>
      <c r="F174" s="665">
        <f>'[9]Rev_NP-12me'!K210</f>
        <v>158.58999892</v>
      </c>
      <c r="G174" s="681">
        <f>'[9]Rev_NP-12me'!O210</f>
        <v>0</v>
      </c>
      <c r="H174" s="682">
        <f>'[9]Rev_NP-12me'!P210</f>
        <v>5.15</v>
      </c>
      <c r="I174" s="681">
        <f>'[9]Rev_NP-12me'!AA210</f>
        <v>5000</v>
      </c>
      <c r="J174" s="681">
        <f>'[9]Rev_NP-12me'!CZ210</f>
        <v>0</v>
      </c>
      <c r="K174" s="681">
        <f>'[9]Rev_NP-12me'!DA210</f>
        <v>86.624452612799999</v>
      </c>
      <c r="L174" s="681">
        <f>'[9]Rev_NP-12me'!DC210</f>
        <v>0</v>
      </c>
      <c r="M174" s="664">
        <f t="shared" si="6"/>
        <v>86.624452612799999</v>
      </c>
    </row>
    <row r="175" spans="2:13" x14ac:dyDescent="0.25">
      <c r="B175" s="677" t="s">
        <v>1161</v>
      </c>
      <c r="C175" s="579"/>
      <c r="D175" s="666">
        <f>'[9]Rev_NP-12me'!H212</f>
        <v>2</v>
      </c>
      <c r="E175" s="666">
        <f>'[9]Rev_NP-12me'!I212</f>
        <v>35</v>
      </c>
      <c r="F175" s="666">
        <f>'[9]Rev_NP-12me'!K212</f>
        <v>279.09027070536354</v>
      </c>
      <c r="G175" s="674">
        <f>'[9]Rev_NP-12me'!O212</f>
        <v>0</v>
      </c>
      <c r="H175" s="688">
        <f>'[9]Rev_NP-12me'!P212</f>
        <v>0</v>
      </c>
      <c r="I175" s="674">
        <f>'[9]Rev_NP-12me'!AA212</f>
        <v>0</v>
      </c>
      <c r="J175" s="674">
        <f>'[9]Rev_NP-12me'!CZ212</f>
        <v>16.309999999999999</v>
      </c>
      <c r="K175" s="674">
        <f>'[9]Rev_NP-12me'!DA212</f>
        <v>183.64338160334421</v>
      </c>
      <c r="L175" s="674">
        <f>'[9]Rev_NP-12me'!DC212</f>
        <v>1.2E-2</v>
      </c>
      <c r="M175" s="666">
        <f t="shared" si="6"/>
        <v>199.96538160334421</v>
      </c>
    </row>
    <row r="176" spans="2:13" ht="14.4" x14ac:dyDescent="0.25">
      <c r="B176" s="680" t="s">
        <v>1134</v>
      </c>
      <c r="C176" s="579"/>
      <c r="D176" s="665">
        <f>'[9]Rev_NP-12me'!H213</f>
        <v>2</v>
      </c>
      <c r="E176" s="665">
        <f>'[9]Rev_NP-12me'!I213</f>
        <v>35</v>
      </c>
      <c r="F176" s="665">
        <f>'[9]Rev_NP-12me'!K213</f>
        <v>73.969636181492788</v>
      </c>
      <c r="G176" s="681">
        <f>'[9]Rev_NP-12me'!O213</f>
        <v>500</v>
      </c>
      <c r="H176" s="682">
        <f>'[9]Rev_NP-12me'!P213</f>
        <v>6.65</v>
      </c>
      <c r="I176" s="681">
        <f>'[9]Rev_NP-12me'!AA213</f>
        <v>5000</v>
      </c>
      <c r="J176" s="681">
        <f>'[9]Rev_NP-12me'!CZ213</f>
        <v>16.309999999999999</v>
      </c>
      <c r="K176" s="681">
        <f>'[9]Rev_NP-12me'!DA213</f>
        <v>49.189808060692698</v>
      </c>
      <c r="L176" s="681">
        <f>'[9]Rev_NP-12me'!DC213</f>
        <v>1.2E-2</v>
      </c>
      <c r="M176" s="664">
        <f t="shared" si="6"/>
        <v>65.511808060692701</v>
      </c>
    </row>
    <row r="177" spans="2:13" ht="14.4" x14ac:dyDescent="0.25">
      <c r="B177" s="680" t="s">
        <v>1100</v>
      </c>
      <c r="C177" s="579"/>
      <c r="D177" s="665">
        <f>'[9]Rev_NP-12me'!H214</f>
        <v>0</v>
      </c>
      <c r="E177" s="665">
        <f>'[9]Rev_NP-12me'!I214</f>
        <v>0</v>
      </c>
      <c r="F177" s="665">
        <f>'[9]Rev_NP-12me'!K214</f>
        <v>51.569895040830019</v>
      </c>
      <c r="G177" s="681">
        <f>'[9]Rev_NP-12me'!O214</f>
        <v>0</v>
      </c>
      <c r="H177" s="682">
        <f>'[9]Rev_NP-12me'!P214</f>
        <v>7.65</v>
      </c>
      <c r="I177" s="681">
        <f>'[9]Rev_NP-12me'!AA214</f>
        <v>5000</v>
      </c>
      <c r="J177" s="681">
        <f>'[9]Rev_NP-12me'!CZ214</f>
        <v>0</v>
      </c>
      <c r="K177" s="681">
        <f>'[9]Rev_NP-12me'!DA214</f>
        <v>39.450969706234964</v>
      </c>
      <c r="L177" s="681">
        <f>'[9]Rev_NP-12me'!DC214</f>
        <v>0</v>
      </c>
      <c r="M177" s="664">
        <f t="shared" si="6"/>
        <v>39.450969706234964</v>
      </c>
    </row>
    <row r="178" spans="2:13" ht="14.4" x14ac:dyDescent="0.25">
      <c r="B178" s="680" t="s">
        <v>1101</v>
      </c>
      <c r="C178" s="579"/>
      <c r="D178" s="665">
        <f>'[9]Rev_NP-12me'!H215</f>
        <v>0</v>
      </c>
      <c r="E178" s="665">
        <f>'[9]Rev_NP-12me'!I215</f>
        <v>0</v>
      </c>
      <c r="F178" s="665">
        <f>'[9]Rev_NP-12me'!K215</f>
        <v>51.863517599372834</v>
      </c>
      <c r="G178" s="681">
        <f>'[9]Rev_NP-12me'!O215</f>
        <v>0</v>
      </c>
      <c r="H178" s="682">
        <f>'[9]Rev_NP-12me'!P215</f>
        <v>7.65</v>
      </c>
      <c r="I178" s="681">
        <f>'[9]Rev_NP-12me'!AA215</f>
        <v>5000</v>
      </c>
      <c r="J178" s="681">
        <f>'[9]Rev_NP-12me'!CZ215</f>
        <v>0</v>
      </c>
      <c r="K178" s="681">
        <f>'[9]Rev_NP-12me'!DA215</f>
        <v>39.675590963520222</v>
      </c>
      <c r="L178" s="681">
        <f>'[9]Rev_NP-12me'!DC215</f>
        <v>0</v>
      </c>
      <c r="M178" s="664">
        <f t="shared" si="6"/>
        <v>39.675590963520222</v>
      </c>
    </row>
    <row r="179" spans="2:13" ht="14.4" x14ac:dyDescent="0.25">
      <c r="B179" s="680" t="s">
        <v>1102</v>
      </c>
      <c r="C179" s="579"/>
      <c r="D179" s="665">
        <f>'[9]Rev_NP-12me'!H216</f>
        <v>0</v>
      </c>
      <c r="E179" s="665">
        <f>'[9]Rev_NP-12me'!I216</f>
        <v>0</v>
      </c>
      <c r="F179" s="665">
        <f>'[9]Rev_NP-12me'!K216</f>
        <v>101.68722188366792</v>
      </c>
      <c r="G179" s="681">
        <f>'[9]Rev_NP-12me'!O216</f>
        <v>0</v>
      </c>
      <c r="H179" s="682">
        <f>'[9]Rev_NP-12me'!P216</f>
        <v>5.15</v>
      </c>
      <c r="I179" s="681">
        <f>'[9]Rev_NP-12me'!AA216</f>
        <v>5000</v>
      </c>
      <c r="J179" s="681">
        <f>'[9]Rev_NP-12me'!CZ216</f>
        <v>0</v>
      </c>
      <c r="K179" s="681">
        <f>'[9]Rev_NP-12me'!DA216</f>
        <v>55.327012872896312</v>
      </c>
      <c r="L179" s="681">
        <f>'[9]Rev_NP-12me'!DC216</f>
        <v>0</v>
      </c>
      <c r="M179" s="664">
        <f t="shared" si="6"/>
        <v>55.327012872896312</v>
      </c>
    </row>
    <row r="180" spans="2:13" x14ac:dyDescent="0.25">
      <c r="B180" s="677" t="s">
        <v>1162</v>
      </c>
      <c r="C180" s="579"/>
      <c r="D180" s="666">
        <f>'[9]Rev_NP-12me'!H211</f>
        <v>0</v>
      </c>
      <c r="E180" s="666">
        <f>'[9]Rev_NP-12me'!I211</f>
        <v>0</v>
      </c>
      <c r="F180" s="666">
        <f>'[9]Rev_NP-12me'!K211</f>
        <v>0</v>
      </c>
      <c r="G180" s="674">
        <f>'[9]Rev_NP-12me'!O211</f>
        <v>500</v>
      </c>
      <c r="H180" s="688">
        <f>'[9]Rev_NP-12me'!P211</f>
        <v>6.65</v>
      </c>
      <c r="I180" s="674">
        <f>'[9]Rev_NP-12me'!AA211</f>
        <v>5000</v>
      </c>
      <c r="J180" s="674">
        <f>'[9]Rev_NP-12me'!CZ211</f>
        <v>0</v>
      </c>
      <c r="K180" s="674">
        <f>'[9]Rev_NP-12me'!DA211</f>
        <v>0</v>
      </c>
      <c r="L180" s="674">
        <f>'[9]Rev_NP-12me'!DC211</f>
        <v>0</v>
      </c>
      <c r="M180" s="666">
        <f t="shared" si="6"/>
        <v>0</v>
      </c>
    </row>
    <row r="181" spans="2:13" x14ac:dyDescent="0.25">
      <c r="B181" s="677" t="s">
        <v>1163</v>
      </c>
      <c r="C181" s="579"/>
      <c r="D181" s="666">
        <f>'[9]Rev_NP-12me'!H217</f>
        <v>7</v>
      </c>
      <c r="E181" s="666">
        <f>'[9]Rev_NP-12me'!I217</f>
        <v>17.350000000000001</v>
      </c>
      <c r="F181" s="666">
        <f>'[9]Rev_NP-12me'!K217</f>
        <v>4.5793999999999997</v>
      </c>
      <c r="G181" s="674">
        <f>'[9]Rev_NP-12me'!O217</f>
        <v>0</v>
      </c>
      <c r="H181" s="688">
        <f>'[9]Rev_NP-12me'!P217</f>
        <v>0</v>
      </c>
      <c r="I181" s="674">
        <f>'[9]Rev_NP-12me'!AA217</f>
        <v>0</v>
      </c>
      <c r="J181" s="674">
        <f>'[9]Rev_NP-12me'!CZ217</f>
        <v>8.0851000000000006</v>
      </c>
      <c r="K181" s="674">
        <f>'[9]Rev_NP-12me'!DA217</f>
        <v>3.4467060000000003</v>
      </c>
      <c r="L181" s="674">
        <f>'[9]Rev_NP-12me'!DC217</f>
        <v>4.2000000000000003E-2</v>
      </c>
      <c r="M181" s="666">
        <f t="shared" si="6"/>
        <v>11.573806000000001</v>
      </c>
    </row>
    <row r="182" spans="2:13" ht="14.4" x14ac:dyDescent="0.25">
      <c r="B182" s="687" t="s">
        <v>1134</v>
      </c>
      <c r="C182" s="579"/>
      <c r="D182" s="665">
        <f>'[9]Rev_NP-12me'!H218</f>
        <v>7</v>
      </c>
      <c r="E182" s="665">
        <f>'[9]Rev_NP-12me'!I218</f>
        <v>17.350000000000001</v>
      </c>
      <c r="F182" s="665">
        <f>'[9]Rev_NP-12me'!K218</f>
        <v>0.86096000000000006</v>
      </c>
      <c r="G182" s="681">
        <f>'[9]Rev_NP-12me'!O218</f>
        <v>500</v>
      </c>
      <c r="H182" s="682">
        <f>'[9]Rev_NP-12me'!P218</f>
        <v>7.8</v>
      </c>
      <c r="I182" s="681">
        <f>'[9]Rev_NP-12me'!AA218</f>
        <v>5000</v>
      </c>
      <c r="J182" s="681">
        <f>'[9]Rev_NP-12me'!CZ218</f>
        <v>8.0851000000000006</v>
      </c>
      <c r="K182" s="681">
        <f>'[9]Rev_NP-12me'!DA218</f>
        <v>0.67154879999999995</v>
      </c>
      <c r="L182" s="681">
        <f>'[9]Rev_NP-12me'!DC218</f>
        <v>4.2000000000000003E-2</v>
      </c>
      <c r="M182" s="664">
        <f t="shared" si="6"/>
        <v>8.7986488000000005</v>
      </c>
    </row>
    <row r="183" spans="2:13" ht="14.4" x14ac:dyDescent="0.25">
      <c r="B183" s="687" t="s">
        <v>1100</v>
      </c>
      <c r="C183" s="579"/>
      <c r="D183" s="665">
        <f>'[9]Rev_NP-12me'!H219</f>
        <v>0</v>
      </c>
      <c r="E183" s="665">
        <f>'[9]Rev_NP-12me'!I219</f>
        <v>0</v>
      </c>
      <c r="F183" s="665">
        <f>'[9]Rev_NP-12me'!K219</f>
        <v>0.93971100000000007</v>
      </c>
      <c r="G183" s="681">
        <f>'[9]Rev_NP-12me'!O219</f>
        <v>0</v>
      </c>
      <c r="H183" s="682">
        <f>'[9]Rev_NP-12me'!P219</f>
        <v>8.8000000000000007</v>
      </c>
      <c r="I183" s="681">
        <f>'[9]Rev_NP-12me'!AA219</f>
        <v>5000</v>
      </c>
      <c r="J183" s="681">
        <f>'[9]Rev_NP-12me'!CZ219</f>
        <v>0</v>
      </c>
      <c r="K183" s="681">
        <f>'[9]Rev_NP-12me'!DA219</f>
        <v>0.82694568000000013</v>
      </c>
      <c r="L183" s="681">
        <f>'[9]Rev_NP-12me'!DC219</f>
        <v>0</v>
      </c>
      <c r="M183" s="664">
        <f t="shared" si="6"/>
        <v>0.82694568000000013</v>
      </c>
    </row>
    <row r="184" spans="2:13" ht="14.4" x14ac:dyDescent="0.25">
      <c r="B184" s="687" t="s">
        <v>1101</v>
      </c>
      <c r="C184" s="579"/>
      <c r="D184" s="665">
        <f>'[9]Rev_NP-12me'!H220</f>
        <v>0</v>
      </c>
      <c r="E184" s="665">
        <f>'[9]Rev_NP-12me'!I220</f>
        <v>0</v>
      </c>
      <c r="F184" s="665">
        <f>'[9]Rev_NP-12me'!K220</f>
        <v>0.53130900000000003</v>
      </c>
      <c r="G184" s="681">
        <f>'[9]Rev_NP-12me'!O220</f>
        <v>0</v>
      </c>
      <c r="H184" s="682">
        <f>'[9]Rev_NP-12me'!P220</f>
        <v>8.8000000000000007</v>
      </c>
      <c r="I184" s="681">
        <f>'[9]Rev_NP-12me'!AA220</f>
        <v>5000</v>
      </c>
      <c r="J184" s="681">
        <f>'[9]Rev_NP-12me'!CZ220</f>
        <v>0</v>
      </c>
      <c r="K184" s="681">
        <f>'[9]Rev_NP-12me'!DA220</f>
        <v>0.46755192000000001</v>
      </c>
      <c r="L184" s="681">
        <f>'[9]Rev_NP-12me'!DC220</f>
        <v>0</v>
      </c>
      <c r="M184" s="664">
        <f t="shared" si="6"/>
        <v>0.46755192000000001</v>
      </c>
    </row>
    <row r="185" spans="2:13" ht="14.4" x14ac:dyDescent="0.25">
      <c r="B185" s="687" t="s">
        <v>1102</v>
      </c>
      <c r="C185" s="579"/>
      <c r="D185" s="665">
        <f>'[9]Rev_NP-12me'!H221</f>
        <v>0</v>
      </c>
      <c r="E185" s="665">
        <f>'[9]Rev_NP-12me'!I221</f>
        <v>0</v>
      </c>
      <c r="F185" s="665">
        <f>'[9]Rev_NP-12me'!K221</f>
        <v>2.2474200000000004</v>
      </c>
      <c r="G185" s="681">
        <f>'[9]Rev_NP-12me'!O221</f>
        <v>0</v>
      </c>
      <c r="H185" s="682">
        <f>'[9]Rev_NP-12me'!P221</f>
        <v>6.3</v>
      </c>
      <c r="I185" s="681">
        <f>'[9]Rev_NP-12me'!AA221</f>
        <v>5000</v>
      </c>
      <c r="J185" s="681">
        <f>'[9]Rev_NP-12me'!CZ221</f>
        <v>0</v>
      </c>
      <c r="K185" s="681">
        <f>'[9]Rev_NP-12me'!DA221</f>
        <v>1.4806596000000001</v>
      </c>
      <c r="L185" s="681">
        <f>'[9]Rev_NP-12me'!DC221</f>
        <v>0</v>
      </c>
      <c r="M185" s="664">
        <f t="shared" si="6"/>
        <v>1.4806596000000001</v>
      </c>
    </row>
    <row r="186" spans="2:13" x14ac:dyDescent="0.25">
      <c r="B186" s="677" t="s">
        <v>1135</v>
      </c>
      <c r="C186" s="579"/>
      <c r="D186" s="666">
        <f>'[9]Rev_NP-12me'!H222</f>
        <v>0</v>
      </c>
      <c r="E186" s="666">
        <f>'[9]Rev_NP-12me'!I222</f>
        <v>0</v>
      </c>
      <c r="F186" s="666">
        <f>'[9]Rev_NP-12me'!K222</f>
        <v>0</v>
      </c>
      <c r="G186" s="674">
        <f>'[9]Rev_NP-12me'!O222</f>
        <v>0</v>
      </c>
      <c r="H186" s="688">
        <f>'[9]Rev_NP-12me'!P222</f>
        <v>0</v>
      </c>
      <c r="I186" s="674">
        <f>'[9]Rev_NP-12me'!AA222</f>
        <v>0</v>
      </c>
      <c r="J186" s="674">
        <f>'[9]Rev_NP-12me'!CZ222</f>
        <v>0</v>
      </c>
      <c r="K186" s="674">
        <f>'[9]Rev_NP-12me'!DA222</f>
        <v>0</v>
      </c>
      <c r="L186" s="674">
        <f>'[9]Rev_NP-12me'!DC222</f>
        <v>0</v>
      </c>
      <c r="M186" s="666">
        <f t="shared" si="6"/>
        <v>0</v>
      </c>
    </row>
    <row r="187" spans="2:13" ht="14.4" x14ac:dyDescent="0.25">
      <c r="B187" s="680" t="s">
        <v>1134</v>
      </c>
      <c r="C187" s="579"/>
      <c r="D187" s="665">
        <f>'[9]Rev_NP-12me'!H223</f>
        <v>0</v>
      </c>
      <c r="E187" s="665">
        <f>'[9]Rev_NP-12me'!I223</f>
        <v>0</v>
      </c>
      <c r="F187" s="665">
        <f>'[9]Rev_NP-12me'!K223</f>
        <v>0</v>
      </c>
      <c r="G187" s="681">
        <f>'[9]Rev_NP-12me'!O223</f>
        <v>285</v>
      </c>
      <c r="H187" s="682">
        <f>'[9]Rev_NP-12me'!P223</f>
        <v>5</v>
      </c>
      <c r="I187" s="681">
        <f>'[9]Rev_NP-12me'!AA223</f>
        <v>5000</v>
      </c>
      <c r="J187" s="681">
        <f>'[9]Rev_NP-12me'!CZ223</f>
        <v>0</v>
      </c>
      <c r="K187" s="681">
        <f>'[9]Rev_NP-12me'!DA223</f>
        <v>0</v>
      </c>
      <c r="L187" s="681">
        <f>'[9]Rev_NP-12me'!DC223</f>
        <v>0</v>
      </c>
      <c r="M187" s="664">
        <f t="shared" si="6"/>
        <v>0</v>
      </c>
    </row>
    <row r="188" spans="2:13" ht="14.4" x14ac:dyDescent="0.25">
      <c r="B188" s="680" t="s">
        <v>1100</v>
      </c>
      <c r="C188" s="579"/>
      <c r="D188" s="665">
        <f>'[9]Rev_NP-12me'!H224</f>
        <v>0</v>
      </c>
      <c r="E188" s="665">
        <f>'[9]Rev_NP-12me'!I224</f>
        <v>0</v>
      </c>
      <c r="F188" s="665">
        <f>'[9]Rev_NP-12me'!K224</f>
        <v>0</v>
      </c>
      <c r="G188" s="681">
        <f>'[9]Rev_NP-12me'!O224</f>
        <v>0</v>
      </c>
      <c r="H188" s="682">
        <f>'[9]Rev_NP-12me'!P224</f>
        <v>6</v>
      </c>
      <c r="I188" s="681">
        <f>'[9]Rev_NP-12me'!AA224</f>
        <v>5000</v>
      </c>
      <c r="J188" s="681">
        <f>'[9]Rev_NP-12me'!CZ224</f>
        <v>0</v>
      </c>
      <c r="K188" s="681">
        <f>'[9]Rev_NP-12me'!DA224</f>
        <v>0</v>
      </c>
      <c r="L188" s="681">
        <f>'[9]Rev_NP-12me'!DC224</f>
        <v>0</v>
      </c>
      <c r="M188" s="664">
        <f t="shared" si="6"/>
        <v>0</v>
      </c>
    </row>
    <row r="189" spans="2:13" ht="14.4" x14ac:dyDescent="0.25">
      <c r="B189" s="680" t="s">
        <v>1101</v>
      </c>
      <c r="C189" s="579"/>
      <c r="D189" s="665">
        <f>'[9]Rev_NP-12me'!H225</f>
        <v>0</v>
      </c>
      <c r="E189" s="665">
        <f>'[9]Rev_NP-12me'!I225</f>
        <v>0</v>
      </c>
      <c r="F189" s="665">
        <f>'[9]Rev_NP-12me'!K225</f>
        <v>0</v>
      </c>
      <c r="G189" s="681">
        <f>'[9]Rev_NP-12me'!O225</f>
        <v>0</v>
      </c>
      <c r="H189" s="682">
        <f>'[9]Rev_NP-12me'!P225</f>
        <v>6</v>
      </c>
      <c r="I189" s="681">
        <f>'[9]Rev_NP-12me'!AA225</f>
        <v>5000</v>
      </c>
      <c r="J189" s="681">
        <f>'[9]Rev_NP-12me'!CZ225</f>
        <v>0</v>
      </c>
      <c r="K189" s="681">
        <f>'[9]Rev_NP-12me'!DA225</f>
        <v>0</v>
      </c>
      <c r="L189" s="681">
        <f>'[9]Rev_NP-12me'!DC225</f>
        <v>0</v>
      </c>
      <c r="M189" s="664">
        <f t="shared" si="6"/>
        <v>0</v>
      </c>
    </row>
    <row r="190" spans="2:13" ht="14.4" x14ac:dyDescent="0.25">
      <c r="B190" s="680" t="s">
        <v>1102</v>
      </c>
      <c r="C190" s="579"/>
      <c r="D190" s="665">
        <f>'[9]Rev_NP-12me'!H226</f>
        <v>0</v>
      </c>
      <c r="E190" s="665">
        <f>'[9]Rev_NP-12me'!I226</f>
        <v>0</v>
      </c>
      <c r="F190" s="665">
        <f>'[9]Rev_NP-12me'!K226</f>
        <v>0</v>
      </c>
      <c r="G190" s="681">
        <f>'[9]Rev_NP-12me'!O226</f>
        <v>0</v>
      </c>
      <c r="H190" s="682">
        <f>'[9]Rev_NP-12me'!P226</f>
        <v>3.5</v>
      </c>
      <c r="I190" s="681">
        <f>'[9]Rev_NP-12me'!AA226</f>
        <v>5000</v>
      </c>
      <c r="J190" s="681">
        <f>'[9]Rev_NP-12me'!CZ226</f>
        <v>0</v>
      </c>
      <c r="K190" s="681">
        <f>'[9]Rev_NP-12me'!DA226</f>
        <v>0</v>
      </c>
      <c r="L190" s="681">
        <f>'[9]Rev_NP-12me'!DC226</f>
        <v>0</v>
      </c>
      <c r="M190" s="664">
        <f t="shared" si="6"/>
        <v>0</v>
      </c>
    </row>
    <row r="191" spans="2:13" x14ac:dyDescent="0.25">
      <c r="B191" s="677" t="s">
        <v>1079</v>
      </c>
      <c r="C191" s="579"/>
      <c r="D191" s="666">
        <f>'[9]Rev_NP-12me'!H227</f>
        <v>0</v>
      </c>
      <c r="E191" s="666">
        <f>'[9]Rev_NP-12me'!I227</f>
        <v>0</v>
      </c>
      <c r="F191" s="666">
        <f>'[9]Rev_NP-12me'!K227</f>
        <v>0</v>
      </c>
      <c r="G191" s="674">
        <f>'[9]Rev_NP-12me'!O227</f>
        <v>0</v>
      </c>
      <c r="H191" s="688">
        <f>'[9]Rev_NP-12me'!P227</f>
        <v>0</v>
      </c>
      <c r="I191" s="674">
        <f>'[9]Rev_NP-12me'!AA227</f>
        <v>0</v>
      </c>
      <c r="J191" s="674">
        <f>'[9]Rev_NP-12me'!CZ227</f>
        <v>0</v>
      </c>
      <c r="K191" s="674">
        <f>'[9]Rev_NP-12me'!DA227</f>
        <v>0</v>
      </c>
      <c r="L191" s="674">
        <f>'[9]Rev_NP-12me'!DC227</f>
        <v>0</v>
      </c>
      <c r="M191" s="666">
        <f t="shared" si="6"/>
        <v>0</v>
      </c>
    </row>
    <row r="192" spans="2:13" ht="14.4" x14ac:dyDescent="0.25">
      <c r="B192" s="687" t="s">
        <v>1134</v>
      </c>
      <c r="C192" s="579"/>
      <c r="D192" s="665">
        <f>'[9]Rev_NP-12me'!H228</f>
        <v>0</v>
      </c>
      <c r="E192" s="665">
        <f>'[9]Rev_NP-12me'!I228</f>
        <v>0</v>
      </c>
      <c r="F192" s="665">
        <f>'[9]Rev_NP-12me'!K228</f>
        <v>0</v>
      </c>
      <c r="G192" s="681">
        <f>'[9]Rev_NP-12me'!O228</f>
        <v>500</v>
      </c>
      <c r="H192" s="682">
        <f>'[9]Rev_NP-12me'!P228</f>
        <v>7.45</v>
      </c>
      <c r="I192" s="681">
        <f>'[9]Rev_NP-12me'!AA228</f>
        <v>5000</v>
      </c>
      <c r="J192" s="681">
        <f>'[9]Rev_NP-12me'!CZ228</f>
        <v>0</v>
      </c>
      <c r="K192" s="681">
        <f>'[9]Rev_NP-12me'!DA228</f>
        <v>0</v>
      </c>
      <c r="L192" s="681">
        <f>'[9]Rev_NP-12me'!DC228</f>
        <v>0</v>
      </c>
      <c r="M192" s="664">
        <f t="shared" si="6"/>
        <v>0</v>
      </c>
    </row>
    <row r="193" spans="2:13" ht="14.4" x14ac:dyDescent="0.25">
      <c r="B193" s="687" t="s">
        <v>1100</v>
      </c>
      <c r="C193" s="579"/>
      <c r="D193" s="665">
        <f>'[9]Rev_NP-12me'!H229</f>
        <v>0</v>
      </c>
      <c r="E193" s="665">
        <f>'[9]Rev_NP-12me'!I229</f>
        <v>0</v>
      </c>
      <c r="F193" s="665">
        <f>'[9]Rev_NP-12me'!K229</f>
        <v>0</v>
      </c>
      <c r="G193" s="681">
        <f>'[9]Rev_NP-12me'!O229</f>
        <v>0</v>
      </c>
      <c r="H193" s="682">
        <f>'[9]Rev_NP-12me'!P229</f>
        <v>8.4499999999999993</v>
      </c>
      <c r="I193" s="681">
        <f>'[9]Rev_NP-12me'!AA229</f>
        <v>5000</v>
      </c>
      <c r="J193" s="681">
        <f>'[9]Rev_NP-12me'!CZ229</f>
        <v>0</v>
      </c>
      <c r="K193" s="681">
        <f>'[9]Rev_NP-12me'!DA229</f>
        <v>0</v>
      </c>
      <c r="L193" s="681">
        <f>'[9]Rev_NP-12me'!DC229</f>
        <v>0</v>
      </c>
      <c r="M193" s="664">
        <f t="shared" si="6"/>
        <v>0</v>
      </c>
    </row>
    <row r="194" spans="2:13" ht="14.4" x14ac:dyDescent="0.25">
      <c r="B194" s="687" t="s">
        <v>1101</v>
      </c>
      <c r="C194" s="579"/>
      <c r="D194" s="665">
        <f>'[9]Rev_NP-12me'!H230</f>
        <v>0</v>
      </c>
      <c r="E194" s="665">
        <f>'[9]Rev_NP-12me'!I230</f>
        <v>0</v>
      </c>
      <c r="F194" s="665">
        <f>'[9]Rev_NP-12me'!K230</f>
        <v>0</v>
      </c>
      <c r="G194" s="681">
        <f>'[9]Rev_NP-12me'!O230</f>
        <v>0</v>
      </c>
      <c r="H194" s="682">
        <f>'[9]Rev_NP-12me'!P230</f>
        <v>8.4499999999999993</v>
      </c>
      <c r="I194" s="681">
        <f>'[9]Rev_NP-12me'!AA230</f>
        <v>5000</v>
      </c>
      <c r="J194" s="681">
        <f>'[9]Rev_NP-12me'!CZ230</f>
        <v>0</v>
      </c>
      <c r="K194" s="681">
        <f>'[9]Rev_NP-12me'!DA230</f>
        <v>0</v>
      </c>
      <c r="L194" s="681">
        <f>'[9]Rev_NP-12me'!DC230</f>
        <v>0</v>
      </c>
      <c r="M194" s="664">
        <f t="shared" si="6"/>
        <v>0</v>
      </c>
    </row>
    <row r="195" spans="2:13" ht="14.4" x14ac:dyDescent="0.25">
      <c r="B195" s="687" t="s">
        <v>1102</v>
      </c>
      <c r="C195" s="579"/>
      <c r="D195" s="665">
        <f>'[9]Rev_NP-12me'!H231</f>
        <v>0</v>
      </c>
      <c r="E195" s="665">
        <f>'[9]Rev_NP-12me'!I231</f>
        <v>0</v>
      </c>
      <c r="F195" s="665">
        <f>'[9]Rev_NP-12me'!K231</f>
        <v>0</v>
      </c>
      <c r="G195" s="681">
        <f>'[9]Rev_NP-12me'!O231</f>
        <v>0</v>
      </c>
      <c r="H195" s="682">
        <f>'[9]Rev_NP-12me'!P231</f>
        <v>5.95</v>
      </c>
      <c r="I195" s="681">
        <f>'[9]Rev_NP-12me'!AA231</f>
        <v>5000</v>
      </c>
      <c r="J195" s="681">
        <f>'[9]Rev_NP-12me'!CZ231</f>
        <v>0</v>
      </c>
      <c r="K195" s="681">
        <f>'[9]Rev_NP-12me'!DA231</f>
        <v>0</v>
      </c>
      <c r="L195" s="681">
        <f>'[9]Rev_NP-12me'!DC231</f>
        <v>0</v>
      </c>
      <c r="M195" s="664">
        <f t="shared" si="6"/>
        <v>0</v>
      </c>
    </row>
    <row r="196" spans="2:13" x14ac:dyDescent="0.25">
      <c r="B196" s="677" t="s">
        <v>1164</v>
      </c>
      <c r="C196" s="579"/>
      <c r="D196" s="666">
        <f>'[9]Rev_NP-12me'!H232</f>
        <v>35</v>
      </c>
      <c r="E196" s="666">
        <f>'[9]Rev_NP-12me'!I232</f>
        <v>2676.415</v>
      </c>
      <c r="F196" s="666">
        <f>'[9]Rev_NP-12me'!K232</f>
        <v>1495.4519178</v>
      </c>
      <c r="G196" s="674">
        <f>'[9]Rev_NP-12me'!O232</f>
        <v>0</v>
      </c>
      <c r="H196" s="688">
        <f>'[9]Rev_NP-12me'!P232</f>
        <v>0</v>
      </c>
      <c r="I196" s="674">
        <f>'[9]Rev_NP-12me'!AA232</f>
        <v>0</v>
      </c>
      <c r="J196" s="674">
        <f>'[9]Rev_NP-12me'!CZ232</f>
        <v>439.23873255208332</v>
      </c>
      <c r="K196" s="674">
        <f>'[9]Rev_NP-12me'!DA232</f>
        <v>942.13470821399983</v>
      </c>
      <c r="L196" s="674">
        <f>'[9]Rev_NP-12me'!DC232</f>
        <v>0.20100000000000001</v>
      </c>
      <c r="M196" s="666">
        <f t="shared" si="6"/>
        <v>1381.5744407660832</v>
      </c>
    </row>
    <row r="197" spans="2:13" ht="14.4" x14ac:dyDescent="0.25">
      <c r="B197" s="680" t="s">
        <v>1137</v>
      </c>
      <c r="C197" s="579"/>
      <c r="D197" s="665">
        <f>'[9]Rev_NP-12me'!H233</f>
        <v>35</v>
      </c>
      <c r="E197" s="665">
        <f>'[9]Rev_NP-12me'!I233</f>
        <v>2676.415</v>
      </c>
      <c r="F197" s="665">
        <f>'[9]Rev_NP-12me'!K233</f>
        <v>1495.4519178</v>
      </c>
      <c r="G197" s="681">
        <f>'[9]Rev_NP-12me'!O233</f>
        <v>300</v>
      </c>
      <c r="H197" s="682">
        <f>'[9]Rev_NP-12me'!P233</f>
        <v>6.3</v>
      </c>
      <c r="I197" s="681">
        <f>'[9]Rev_NP-12me'!AA233</f>
        <v>5000</v>
      </c>
      <c r="J197" s="681">
        <f>'[9]Rev_NP-12me'!CZ233</f>
        <v>439.23873255208332</v>
      </c>
      <c r="K197" s="681">
        <f>'[9]Rev_NP-12me'!DA233</f>
        <v>942.13470821399983</v>
      </c>
      <c r="L197" s="681">
        <f>'[9]Rev_NP-12me'!DC233</f>
        <v>0.20100000000000001</v>
      </c>
      <c r="M197" s="664">
        <f t="shared" si="6"/>
        <v>1381.5744407660832</v>
      </c>
    </row>
    <row r="198" spans="2:13" ht="14.4" x14ac:dyDescent="0.25">
      <c r="B198" s="680" t="s">
        <v>1165</v>
      </c>
      <c r="C198" s="579"/>
      <c r="D198" s="665">
        <f>'[9]Rev_NP-12me'!H234</f>
        <v>0</v>
      </c>
      <c r="E198" s="665">
        <f>'[9]Rev_NP-12me'!I234</f>
        <v>0</v>
      </c>
      <c r="F198" s="665">
        <f>'[9]Rev_NP-12me'!K234</f>
        <v>0</v>
      </c>
      <c r="G198" s="681">
        <f>'[9]Rev_NP-12me'!O234</f>
        <v>300</v>
      </c>
      <c r="H198" s="682">
        <f>'[9]Rev_NP-12me'!P234</f>
        <v>6.3</v>
      </c>
      <c r="I198" s="681">
        <f>'[9]Rev_NP-12me'!AA234</f>
        <v>5000</v>
      </c>
      <c r="J198" s="681">
        <f>'[9]Rev_NP-12me'!CZ234</f>
        <v>0</v>
      </c>
      <c r="K198" s="681">
        <f>'[9]Rev_NP-12me'!DA234</f>
        <v>0</v>
      </c>
      <c r="L198" s="681">
        <f>'[9]Rev_NP-12me'!DC234</f>
        <v>0</v>
      </c>
      <c r="M198" s="664">
        <f t="shared" si="6"/>
        <v>0</v>
      </c>
    </row>
    <row r="199" spans="2:13" x14ac:dyDescent="0.25">
      <c r="B199" s="677" t="s">
        <v>1166</v>
      </c>
      <c r="C199" s="579"/>
      <c r="D199" s="666">
        <f>'[9]Rev_NP-12me'!H242</f>
        <v>1</v>
      </c>
      <c r="E199" s="666">
        <f>'[9]Rev_NP-12me'!I242</f>
        <v>5.3079999999999998</v>
      </c>
      <c r="F199" s="666">
        <f>'[9]Rev_NP-12me'!K242</f>
        <v>28.955158336102667</v>
      </c>
      <c r="G199" s="674">
        <f>'[9]Rev_NP-12me'!O242</f>
        <v>0</v>
      </c>
      <c r="H199" s="688">
        <f>'[9]Rev_NP-12me'!P242</f>
        <v>0</v>
      </c>
      <c r="I199" s="674">
        <f>'[9]Rev_NP-12me'!AA242</f>
        <v>0</v>
      </c>
      <c r="J199" s="674">
        <f>'[9]Rev_NP-12me'!CZ242</f>
        <v>0</v>
      </c>
      <c r="K199" s="674">
        <f>'[9]Rev_NP-12me'!DA242</f>
        <v>17.662646585022628</v>
      </c>
      <c r="L199" s="674">
        <f>'[9]Rev_NP-12me'!DC242</f>
        <v>6.0000000000000001E-3</v>
      </c>
      <c r="M199" s="666">
        <f t="shared" si="6"/>
        <v>17.668646585022628</v>
      </c>
    </row>
    <row r="200" spans="2:13" ht="14.4" x14ac:dyDescent="0.25">
      <c r="B200" s="680" t="s">
        <v>216</v>
      </c>
      <c r="C200" s="579"/>
      <c r="D200" s="665">
        <f>'[9]Rev_NP-12me'!H243</f>
        <v>1</v>
      </c>
      <c r="E200" s="665">
        <f>'[9]Rev_NP-12me'!I243</f>
        <v>5.3079999999999998</v>
      </c>
      <c r="F200" s="665">
        <f>'[9]Rev_NP-12me'!K243</f>
        <v>28.955158336102667</v>
      </c>
      <c r="G200" s="681">
        <f>'[9]Rev_NP-12me'!O243</f>
        <v>0</v>
      </c>
      <c r="H200" s="682">
        <f>'[9]Rev_NP-12me'!P243</f>
        <v>6.1</v>
      </c>
      <c r="I200" s="681">
        <f>'[9]Rev_NP-12me'!AA243</f>
        <v>5000</v>
      </c>
      <c r="J200" s="681">
        <f>'[9]Rev_NP-12me'!CZ243</f>
        <v>0</v>
      </c>
      <c r="K200" s="681">
        <f>'[9]Rev_NP-12me'!DA243</f>
        <v>17.662646585022628</v>
      </c>
      <c r="L200" s="681">
        <f>'[9]Rev_NP-12me'!DC243</f>
        <v>6.0000000000000001E-3</v>
      </c>
      <c r="M200" s="664">
        <f t="shared" si="6"/>
        <v>17.668646585022628</v>
      </c>
    </row>
    <row r="201" spans="2:13" x14ac:dyDescent="0.25">
      <c r="B201" s="677" t="s">
        <v>1167</v>
      </c>
      <c r="C201" s="579"/>
      <c r="D201" s="666">
        <f>'[9]Rev_NP-12me'!H244</f>
        <v>0</v>
      </c>
      <c r="E201" s="666">
        <f>'[9]Rev_NP-12me'!I244</f>
        <v>0</v>
      </c>
      <c r="F201" s="666">
        <f>'[9]Rev_NP-12me'!K244</f>
        <v>0</v>
      </c>
      <c r="G201" s="674">
        <f>'[9]Rev_NP-12me'!O244</f>
        <v>0</v>
      </c>
      <c r="H201" s="688">
        <f>'[9]Rev_NP-12me'!P244</f>
        <v>0</v>
      </c>
      <c r="I201" s="674">
        <f>'[9]Rev_NP-12me'!AA244</f>
        <v>5000</v>
      </c>
      <c r="J201" s="674">
        <f>'[9]Rev_NP-12me'!CZ244</f>
        <v>0</v>
      </c>
      <c r="K201" s="674">
        <f>'[9]Rev_NP-12me'!DA244</f>
        <v>0</v>
      </c>
      <c r="L201" s="674">
        <f>'[9]Rev_NP-12me'!DC244</f>
        <v>0</v>
      </c>
      <c r="M201" s="664">
        <f t="shared" si="6"/>
        <v>0</v>
      </c>
    </row>
    <row r="202" spans="2:13" x14ac:dyDescent="0.25">
      <c r="B202" s="694" t="s">
        <v>1168</v>
      </c>
      <c r="C202" s="579"/>
      <c r="D202" s="666">
        <f>'[9]Rev_NP-12me'!H235</f>
        <v>14</v>
      </c>
      <c r="E202" s="666">
        <f>'[9]Rev_NP-12me'!I235</f>
        <v>203.5</v>
      </c>
      <c r="F202" s="666">
        <f>'[9]Rev_NP-12me'!K235</f>
        <v>641.87810260874801</v>
      </c>
      <c r="G202" s="674">
        <f>'[9]Rev_NP-12me'!O235</f>
        <v>0</v>
      </c>
      <c r="H202" s="688">
        <f>'[9]Rev_NP-12me'!P235</f>
        <v>0</v>
      </c>
      <c r="I202" s="674">
        <f>'[9]Rev_NP-12me'!AA235</f>
        <v>0</v>
      </c>
      <c r="J202" s="674">
        <f>'[9]Rev_NP-12me'!CZ235</f>
        <v>94.831000000000003</v>
      </c>
      <c r="K202" s="674">
        <f>'[9]Rev_NP-12me'!DA235</f>
        <v>324.14844181741773</v>
      </c>
      <c r="L202" s="674">
        <f>'[9]Rev_NP-12me'!DC235</f>
        <v>8.1000000000000003E-2</v>
      </c>
      <c r="M202" s="666">
        <f t="shared" si="6"/>
        <v>419.06044181741777</v>
      </c>
    </row>
    <row r="203" spans="2:13" ht="14.4" x14ac:dyDescent="0.25">
      <c r="B203" s="680" t="s">
        <v>1169</v>
      </c>
      <c r="C203" s="579"/>
      <c r="D203" s="665">
        <f>'[9]Rev_NP-12me'!H236</f>
        <v>14</v>
      </c>
      <c r="E203" s="665">
        <f>'[9]Rev_NP-12me'!I236</f>
        <v>203.5</v>
      </c>
      <c r="F203" s="665">
        <f>'[9]Rev_NP-12me'!K236</f>
        <v>641.87810260874801</v>
      </c>
      <c r="G203" s="681">
        <f>'[9]Rev_NP-12me'!O236</f>
        <v>500</v>
      </c>
      <c r="H203" s="682">
        <f>'[9]Rev_NP-12me'!P236</f>
        <v>5.05</v>
      </c>
      <c r="I203" s="681">
        <f>'[9]Rev_NP-12me'!AA236</f>
        <v>5000</v>
      </c>
      <c r="J203" s="681">
        <f>'[9]Rev_NP-12me'!CZ236</f>
        <v>94.831000000000003</v>
      </c>
      <c r="K203" s="681">
        <f>'[9]Rev_NP-12me'!DA236</f>
        <v>324.14844181741773</v>
      </c>
      <c r="L203" s="681">
        <f>'[9]Rev_NP-12me'!DC236</f>
        <v>8.1000000000000003E-2</v>
      </c>
      <c r="M203" s="664">
        <f t="shared" si="6"/>
        <v>419.06044181741777</v>
      </c>
    </row>
    <row r="204" spans="2:13" ht="14.4" x14ac:dyDescent="0.25">
      <c r="B204" s="680" t="s">
        <v>1170</v>
      </c>
      <c r="C204" s="579"/>
      <c r="D204" s="665">
        <f>'[9]Rev_NP-12me'!H237</f>
        <v>0</v>
      </c>
      <c r="E204" s="665">
        <f>'[9]Rev_NP-12me'!I237</f>
        <v>0</v>
      </c>
      <c r="F204" s="665">
        <f>'[9]Rev_NP-12me'!K237</f>
        <v>0</v>
      </c>
      <c r="G204" s="681">
        <f>'[9]Rev_NP-12me'!O237</f>
        <v>0</v>
      </c>
      <c r="H204" s="682">
        <f>'[9]Rev_NP-12me'!P237</f>
        <v>0</v>
      </c>
      <c r="I204" s="681">
        <f>'[9]Rev_NP-12me'!AA237</f>
        <v>5000</v>
      </c>
      <c r="J204" s="681">
        <f>'[9]Rev_NP-12me'!CZ237</f>
        <v>0</v>
      </c>
      <c r="K204" s="681">
        <f>'[9]Rev_NP-12me'!DA237</f>
        <v>0</v>
      </c>
      <c r="L204" s="681">
        <f>'[9]Rev_NP-12me'!DC237</f>
        <v>0</v>
      </c>
      <c r="M204" s="664">
        <f t="shared" si="6"/>
        <v>0</v>
      </c>
    </row>
    <row r="205" spans="2:13" ht="14.4" x14ac:dyDescent="0.25">
      <c r="B205" s="680" t="s">
        <v>1171</v>
      </c>
      <c r="C205" s="579"/>
      <c r="D205" s="665">
        <f>'[9]Rev_NP-12me'!H238</f>
        <v>0</v>
      </c>
      <c r="E205" s="665">
        <f>'[9]Rev_NP-12me'!I238</f>
        <v>0</v>
      </c>
      <c r="F205" s="665">
        <f>'[9]Rev_NP-12me'!K238</f>
        <v>0</v>
      </c>
      <c r="G205" s="681">
        <f>'[9]Rev_NP-12me'!O238</f>
        <v>500</v>
      </c>
      <c r="H205" s="682">
        <f>'[9]Rev_NP-12me'!P238</f>
        <v>4.95</v>
      </c>
      <c r="I205" s="681">
        <f>'[9]Rev_NP-12me'!AA238</f>
        <v>5000</v>
      </c>
      <c r="J205" s="681">
        <f>'[9]Rev_NP-12me'!CZ238</f>
        <v>0</v>
      </c>
      <c r="K205" s="681">
        <f>'[9]Rev_NP-12me'!DA238</f>
        <v>0</v>
      </c>
      <c r="L205" s="681">
        <f>'[9]Rev_NP-12me'!DC238</f>
        <v>0</v>
      </c>
      <c r="M205" s="664">
        <f t="shared" si="6"/>
        <v>0</v>
      </c>
    </row>
    <row r="206" spans="2:13" ht="14.4" x14ac:dyDescent="0.25">
      <c r="B206" s="680" t="s">
        <v>1172</v>
      </c>
      <c r="C206" s="579"/>
      <c r="D206" s="665">
        <f>'[9]Rev_NP-12me'!H239</f>
        <v>0</v>
      </c>
      <c r="E206" s="665">
        <f>'[9]Rev_NP-12me'!I239</f>
        <v>0</v>
      </c>
      <c r="F206" s="665">
        <f>'[9]Rev_NP-12me'!K239</f>
        <v>0</v>
      </c>
      <c r="G206" s="681">
        <f>'[9]Rev_NP-12me'!O239</f>
        <v>500</v>
      </c>
      <c r="H206" s="682">
        <f>'[9]Rev_NP-12me'!P239</f>
        <v>4.95</v>
      </c>
      <c r="I206" s="681">
        <f>'[9]Rev_NP-12me'!AA239</f>
        <v>5000</v>
      </c>
      <c r="J206" s="681">
        <f>'[9]Rev_NP-12me'!CZ239</f>
        <v>0</v>
      </c>
      <c r="K206" s="681">
        <f>'[9]Rev_NP-12me'!DA239</f>
        <v>0</v>
      </c>
      <c r="L206" s="681">
        <f>'[9]Rev_NP-12me'!DC239</f>
        <v>0</v>
      </c>
      <c r="M206" s="664">
        <f t="shared" si="6"/>
        <v>0</v>
      </c>
    </row>
    <row r="207" spans="2:13" x14ac:dyDescent="0.25">
      <c r="B207" s="677" t="s">
        <v>811</v>
      </c>
      <c r="C207" s="579"/>
      <c r="D207" s="666">
        <f>'[9]Rev_NP-12me'!H240</f>
        <v>2</v>
      </c>
      <c r="E207" s="666">
        <f>'[9]Rev_NP-12me'!I240</f>
        <v>30</v>
      </c>
      <c r="F207" s="666">
        <f>'[9]Rev_NP-12me'!K240</f>
        <v>66.945765103448267</v>
      </c>
      <c r="G207" s="674">
        <f>'[9]Rev_NP-12me'!O240</f>
        <v>285</v>
      </c>
      <c r="H207" s="688">
        <f>'[9]Rev_NP-12me'!P240</f>
        <v>7.3</v>
      </c>
      <c r="I207" s="674">
        <f>'[9]Rev_NP-12me'!AA240</f>
        <v>5000</v>
      </c>
      <c r="J207" s="674">
        <f>'[9]Rev_NP-12me'!CZ240</f>
        <v>7.7880000000000003</v>
      </c>
      <c r="K207" s="674">
        <f>'[9]Rev_NP-12me'!DA240</f>
        <v>48.870408525517234</v>
      </c>
      <c r="L207" s="674">
        <f>'[9]Rev_NP-12me'!DC240</f>
        <v>1.2E-2</v>
      </c>
      <c r="M207" s="666">
        <f t="shared" si="6"/>
        <v>56.670408525517232</v>
      </c>
    </row>
    <row r="208" spans="2:13" x14ac:dyDescent="0.25">
      <c r="B208" s="677" t="s">
        <v>813</v>
      </c>
      <c r="C208" s="579"/>
      <c r="D208" s="666">
        <f>'[9]Rev_NP-12me'!H241</f>
        <v>0</v>
      </c>
      <c r="E208" s="666">
        <f>'[9]Rev_NP-12me'!I241</f>
        <v>0</v>
      </c>
      <c r="F208" s="666">
        <f>'[9]Rev_NP-12me'!K241</f>
        <v>0</v>
      </c>
      <c r="G208" s="674">
        <f>'[9]Rev_NP-12me'!O241</f>
        <v>500</v>
      </c>
      <c r="H208" s="688">
        <f>'[9]Rev_NP-12me'!P241</f>
        <v>10.8</v>
      </c>
      <c r="I208" s="674">
        <f>'[9]Rev_NP-12me'!AA241</f>
        <v>5000</v>
      </c>
      <c r="J208" s="674">
        <f>'[9]Rev_NP-12me'!CZ241</f>
        <v>0</v>
      </c>
      <c r="K208" s="674">
        <f>'[9]Rev_NP-12me'!DA241</f>
        <v>0</v>
      </c>
      <c r="L208" s="674">
        <f>'[9]Rev_NP-12me'!DC241</f>
        <v>6.0000000000000001E-3</v>
      </c>
      <c r="M208" s="666">
        <f t="shared" si="6"/>
        <v>6.0000000000000001E-3</v>
      </c>
    </row>
    <row r="209" spans="2:13" x14ac:dyDescent="0.25">
      <c r="B209" s="689" t="s">
        <v>1173</v>
      </c>
      <c r="C209" s="579"/>
      <c r="D209" s="666">
        <f>SUM(D167,D175,D180,D181,D186,D191,D196,D199,D201,D202,D207,D208)</f>
        <v>74</v>
      </c>
      <c r="E209" s="666">
        <f>SUM(E167,E175,E180,E181,E186,E191,E196,E199,E201,E202,E207,E208)</f>
        <v>3141.893</v>
      </c>
      <c r="F209" s="666">
        <f>SUM(F167,F175,F180,F181,F186,F191,F196,F199,F201,F202,F207,F208)</f>
        <v>2873.9806795240074</v>
      </c>
      <c r="G209" s="664"/>
      <c r="H209" s="664"/>
      <c r="I209" s="664"/>
      <c r="J209" s="688">
        <f t="shared" ref="J209:L209" si="7">SUM(J167,J175,J180,J181,J186,J191,J196,J199,J201,J202,J207,J208)</f>
        <v>647.4859525520834</v>
      </c>
      <c r="K209" s="688">
        <f t="shared" si="7"/>
        <v>1753.3644594055809</v>
      </c>
      <c r="L209" s="674">
        <f t="shared" si="7"/>
        <v>0.44100000000000006</v>
      </c>
      <c r="M209" s="666">
        <f>SUM(M167,M175,M180,M181,M186,M191,M196,M199,M201,M202,M207,M208)</f>
        <v>2401.2914119576644</v>
      </c>
    </row>
    <row r="210" spans="2:13" x14ac:dyDescent="0.25">
      <c r="B210" s="689"/>
      <c r="C210" s="579"/>
      <c r="D210" s="664"/>
      <c r="E210" s="664"/>
      <c r="F210" s="664"/>
      <c r="G210" s="664"/>
      <c r="H210" s="664"/>
      <c r="I210" s="664"/>
      <c r="J210" s="664"/>
      <c r="K210" s="664"/>
      <c r="L210" s="664"/>
      <c r="M210" s="664"/>
    </row>
    <row r="211" spans="2:13" x14ac:dyDescent="0.25">
      <c r="B211" s="663" t="s">
        <v>1174</v>
      </c>
      <c r="C211" s="579"/>
      <c r="D211" s="666">
        <f>D120+D164+D209</f>
        <v>3883</v>
      </c>
      <c r="E211" s="666">
        <f>E120+E164+E209</f>
        <v>4708.2627300000004</v>
      </c>
      <c r="F211" s="666">
        <f>F120+F164+F209</f>
        <v>6326.5428284037916</v>
      </c>
      <c r="G211" s="666"/>
      <c r="H211" s="666"/>
      <c r="I211" s="666"/>
      <c r="J211" s="666">
        <f>J120+J164+J209</f>
        <v>1004.6887506602084</v>
      </c>
      <c r="K211" s="666">
        <f>K120+K164+K209</f>
        <v>3993.8691888634175</v>
      </c>
      <c r="L211" s="666">
        <f>L120+L164+L209</f>
        <v>9.6686999999999994</v>
      </c>
      <c r="M211" s="666">
        <f>M120+M164+M209</f>
        <v>5008.2266395236265</v>
      </c>
    </row>
    <row r="212" spans="2:13" x14ac:dyDescent="0.25">
      <c r="B212" s="663" t="s">
        <v>1175</v>
      </c>
      <c r="C212" s="579"/>
      <c r="D212" s="666">
        <f>D211+D70</f>
        <v>6180242</v>
      </c>
      <c r="E212" s="695">
        <f>E211+E70</f>
        <v>16429.784730565261</v>
      </c>
      <c r="F212" s="666">
        <f>F211+F70</f>
        <v>22399.630593656075</v>
      </c>
      <c r="G212" s="666"/>
      <c r="H212" s="666"/>
      <c r="I212" s="666"/>
      <c r="J212" s="695">
        <f>J211+J70</f>
        <v>1209.2156991864472</v>
      </c>
      <c r="K212" s="695">
        <f>K211+K70</f>
        <v>7254.8111158459542</v>
      </c>
      <c r="L212" s="695">
        <f>L211+L70</f>
        <v>427.53047999999995</v>
      </c>
      <c r="M212" s="695">
        <f>M211+M70</f>
        <v>8891.5572950324022</v>
      </c>
    </row>
    <row r="213" spans="2:13" hidden="1" x14ac:dyDescent="0.25"/>
    <row r="214" spans="2:13" hidden="1" x14ac:dyDescent="0.25">
      <c r="D214" s="589" t="s">
        <v>36</v>
      </c>
      <c r="E214" s="571"/>
    </row>
    <row r="215" spans="2:13" hidden="1" x14ac:dyDescent="0.25">
      <c r="D215" s="591">
        <v>1</v>
      </c>
      <c r="E215" s="571" t="s">
        <v>984</v>
      </c>
    </row>
    <row r="216" spans="2:13" hidden="1" x14ac:dyDescent="0.25">
      <c r="D216" s="591">
        <f>D215+1</f>
        <v>2</v>
      </c>
      <c r="E216" s="571" t="s">
        <v>985</v>
      </c>
    </row>
    <row r="217" spans="2:13" hidden="1" x14ac:dyDescent="0.25"/>
    <row r="218" spans="2:13" hidden="1" x14ac:dyDescent="0.25"/>
    <row r="219" spans="2:13" hidden="1" x14ac:dyDescent="0.25"/>
    <row r="220" spans="2:13" hidden="1" x14ac:dyDescent="0.25"/>
    <row r="221" spans="2:13" hidden="1" x14ac:dyDescent="0.25"/>
    <row r="222" spans="2:13" hidden="1" x14ac:dyDescent="0.25"/>
    <row r="223" spans="2:13" hidden="1" x14ac:dyDescent="0.25"/>
    <row r="224" spans="2:13" hidden="1" x14ac:dyDescent="0.25"/>
  </sheetData>
  <mergeCells count="12">
    <mergeCell ref="I5:I6"/>
    <mergeCell ref="B2:N2"/>
    <mergeCell ref="B72:C72"/>
    <mergeCell ref="O76:P76"/>
    <mergeCell ref="J5:M5"/>
    <mergeCell ref="B8:C8"/>
    <mergeCell ref="B5:C7"/>
    <mergeCell ref="D5:D6"/>
    <mergeCell ref="E5:E6"/>
    <mergeCell ref="F5:F6"/>
    <mergeCell ref="G5:H5"/>
    <mergeCell ref="B3:M3"/>
  </mergeCells>
  <pageMargins left="1.2" right="0.7" top="0.75" bottom="0.75" header="0.3" footer="0.3"/>
  <pageSetup paperSize="9" scale="7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16"/>
  <sheetViews>
    <sheetView showGridLines="0" topLeftCell="C1" zoomScale="80" zoomScaleNormal="80" workbookViewId="0">
      <selection activeCell="J10" sqref="J10"/>
    </sheetView>
  </sheetViews>
  <sheetFormatPr defaultColWidth="9.109375" defaultRowHeight="13.8" x14ac:dyDescent="0.25"/>
  <cols>
    <col min="1" max="1" width="9.109375" style="176"/>
    <col min="2" max="2" width="33" style="176" customWidth="1"/>
    <col min="3" max="3" width="38.6640625" style="176" customWidth="1"/>
    <col min="4" max="4" width="21" style="176" customWidth="1"/>
    <col min="5" max="5" width="16.88671875" style="176" customWidth="1"/>
    <col min="6" max="6" width="14" style="176" customWidth="1"/>
    <col min="7" max="7" width="25" style="176" bestFit="1" customWidth="1"/>
    <col min="8" max="8" width="21.44140625" style="176" customWidth="1"/>
    <col min="9" max="9" width="17.5546875" style="176" customWidth="1"/>
    <col min="10" max="10" width="25" style="176" bestFit="1" customWidth="1"/>
    <col min="11" max="11" width="17.5546875" style="176" bestFit="1" customWidth="1"/>
    <col min="12" max="12" width="20.33203125" style="176" bestFit="1" customWidth="1"/>
    <col min="13" max="13" width="17.44140625" style="176" customWidth="1"/>
    <col min="14" max="14" width="9.109375" style="176"/>
    <col min="15" max="15" width="13.5546875" style="176" customWidth="1"/>
    <col min="16" max="16" width="33.88671875" style="176" customWidth="1"/>
    <col min="17" max="16384" width="9.109375" style="176"/>
  </cols>
  <sheetData>
    <row r="2" spans="2:14" x14ac:dyDescent="0.25">
      <c r="B2" s="825" t="s">
        <v>160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</row>
    <row r="3" spans="2:14" x14ac:dyDescent="0.25">
      <c r="I3" s="25" t="s">
        <v>1177</v>
      </c>
    </row>
    <row r="5" spans="2:14" x14ac:dyDescent="0.25">
      <c r="B5" s="909" t="s">
        <v>163</v>
      </c>
      <c r="C5" s="910"/>
      <c r="D5" s="918" t="s">
        <v>987</v>
      </c>
      <c r="E5" s="918" t="s">
        <v>988</v>
      </c>
      <c r="F5" s="917" t="s">
        <v>770</v>
      </c>
      <c r="G5" s="917" t="s">
        <v>989</v>
      </c>
      <c r="H5" s="917"/>
      <c r="I5" s="918" t="s">
        <v>990</v>
      </c>
      <c r="J5" s="917" t="s">
        <v>992</v>
      </c>
      <c r="K5" s="917"/>
      <c r="L5" s="917"/>
      <c r="M5" s="917"/>
    </row>
    <row r="6" spans="2:14" x14ac:dyDescent="0.25">
      <c r="B6" s="911"/>
      <c r="C6" s="912"/>
      <c r="D6" s="918"/>
      <c r="E6" s="918"/>
      <c r="F6" s="917"/>
      <c r="G6" s="139" t="s">
        <v>993</v>
      </c>
      <c r="H6" s="139" t="s">
        <v>994</v>
      </c>
      <c r="I6" s="918"/>
      <c r="J6" s="139" t="s">
        <v>993</v>
      </c>
      <c r="K6" s="139" t="s">
        <v>994</v>
      </c>
      <c r="L6" s="139" t="s">
        <v>990</v>
      </c>
      <c r="M6" s="139" t="s">
        <v>251</v>
      </c>
    </row>
    <row r="7" spans="2:14" x14ac:dyDescent="0.25">
      <c r="B7" s="913"/>
      <c r="C7" s="914"/>
      <c r="D7" s="209" t="s">
        <v>1111</v>
      </c>
      <c r="E7" s="209" t="s">
        <v>995</v>
      </c>
      <c r="F7" s="209" t="s">
        <v>996</v>
      </c>
      <c r="G7" s="209" t="s">
        <v>997</v>
      </c>
      <c r="H7" s="209" t="s">
        <v>998</v>
      </c>
      <c r="I7" s="209" t="s">
        <v>997</v>
      </c>
      <c r="J7" s="139" t="s">
        <v>682</v>
      </c>
      <c r="K7" s="139" t="s">
        <v>682</v>
      </c>
      <c r="L7" s="139" t="s">
        <v>682</v>
      </c>
      <c r="M7" s="139" t="s">
        <v>682</v>
      </c>
    </row>
    <row r="8" spans="2:14" x14ac:dyDescent="0.25">
      <c r="B8" s="753" t="s">
        <v>781</v>
      </c>
      <c r="C8" s="754"/>
      <c r="J8" s="184"/>
      <c r="K8" s="184"/>
      <c r="L8" s="184"/>
      <c r="M8" s="184"/>
    </row>
    <row r="9" spans="2:14" ht="14.4" x14ac:dyDescent="0.25">
      <c r="B9" s="194" t="s">
        <v>899</v>
      </c>
      <c r="C9" s="59"/>
      <c r="D9" s="216">
        <f>'[70]Rev_NP-12me'!AJ10</f>
        <v>4236623</v>
      </c>
      <c r="E9" s="216">
        <f>'[70]Rev_NP-12me'!AK10</f>
        <v>4555.8551095252424</v>
      </c>
      <c r="F9" s="216">
        <f>'[70]Rev_NP-12me'!AQ10</f>
        <v>4284.0799010317169</v>
      </c>
      <c r="G9" s="218"/>
      <c r="H9" s="220"/>
      <c r="I9" s="218"/>
      <c r="J9" s="216">
        <f>'[70]Rev_NP-12me'!AT10</f>
        <v>54.670261314302905</v>
      </c>
      <c r="K9" s="216">
        <f>'[70]Rev_NP-12me'!AU10</f>
        <v>1616.2074911703376</v>
      </c>
      <c r="L9" s="216">
        <f>'[70]Rev_NP-12me'!AW10</f>
        <v>305.13602400000002</v>
      </c>
      <c r="M9" s="215">
        <f t="shared" ref="M9:M40" si="0">SUM(J9:L9)</f>
        <v>1976.0137764846404</v>
      </c>
    </row>
    <row r="10" spans="2:14" ht="14.4" x14ac:dyDescent="0.25">
      <c r="B10" s="192" t="s">
        <v>900</v>
      </c>
      <c r="C10" s="59"/>
      <c r="D10" s="224">
        <f>'[70]Rev_NP-12me'!AJ11</f>
        <v>3209831</v>
      </c>
      <c r="E10" s="224">
        <f>'[70]Rev_NP-12me'!AK11</f>
        <v>2497.5844243891656</v>
      </c>
      <c r="F10" s="224">
        <f>'[70]Rev_NP-12me'!AQ11</f>
        <v>1844.7571573783707</v>
      </c>
      <c r="G10" s="218"/>
      <c r="H10" s="220"/>
      <c r="I10" s="218"/>
      <c r="J10" s="224">
        <f>'[70]Rev_NP-12me'!AT11</f>
        <v>29.971013092669985</v>
      </c>
      <c r="K10" s="224">
        <f>'[70]Rev_NP-12me'!AU11</f>
        <v>395.83490384870544</v>
      </c>
      <c r="L10" s="224">
        <f>'[70]Rev_NP-12me'!AW11</f>
        <v>189.90199200000001</v>
      </c>
      <c r="M10" s="218">
        <f t="shared" si="0"/>
        <v>615.70790894137542</v>
      </c>
    </row>
    <row r="11" spans="2:14" ht="14.4" x14ac:dyDescent="0.25">
      <c r="B11" s="191" t="s">
        <v>901</v>
      </c>
      <c r="C11" s="59"/>
      <c r="D11" s="219">
        <f>'[70]Rev_NP-12me'!AJ12</f>
        <v>2082334</v>
      </c>
      <c r="E11" s="219">
        <f>'[70]Rev_NP-12me'!AK12</f>
        <v>1275.7957494901088</v>
      </c>
      <c r="F11" s="219">
        <f>'[70]Rev_NP-12me'!AQ12</f>
        <v>1530.7809994659958</v>
      </c>
      <c r="G11" s="218">
        <v>10</v>
      </c>
      <c r="H11" s="218">
        <v>1.95</v>
      </c>
      <c r="I11" s="218">
        <v>40</v>
      </c>
      <c r="J11" s="219">
        <f>'[70]Rev_NP-12me'!AT12</f>
        <v>15.309548993881304</v>
      </c>
      <c r="K11" s="219">
        <f>'[70]Rev_NP-12me'!AU12</f>
        <v>298.50229489586917</v>
      </c>
      <c r="L11" s="219">
        <f>'[70]Rev_NP-12me'!AW12</f>
        <v>97.508039999999994</v>
      </c>
      <c r="M11" s="218">
        <f t="shared" si="0"/>
        <v>411.31988388975049</v>
      </c>
    </row>
    <row r="12" spans="2:14" ht="14.4" x14ac:dyDescent="0.25">
      <c r="B12" s="191" t="s">
        <v>903</v>
      </c>
      <c r="C12" s="59"/>
      <c r="D12" s="219">
        <f>'[70]Rev_NP-12me'!AJ13</f>
        <v>1127497</v>
      </c>
      <c r="E12" s="219">
        <f>'[70]Rev_NP-12me'!AK13</f>
        <v>1221.7886748990568</v>
      </c>
      <c r="F12" s="219">
        <f>'[70]Rev_NP-12me'!AQ13</f>
        <v>313.97615791237502</v>
      </c>
      <c r="G12" s="218">
        <v>10</v>
      </c>
      <c r="H12" s="218">
        <v>3.1</v>
      </c>
      <c r="I12" s="218">
        <v>70</v>
      </c>
      <c r="J12" s="219">
        <f>'[70]Rev_NP-12me'!AT13</f>
        <v>14.661464098788681</v>
      </c>
      <c r="K12" s="219">
        <f>'[70]Rev_NP-12me'!AU13</f>
        <v>97.332608952836253</v>
      </c>
      <c r="L12" s="219">
        <f>'[70]Rev_NP-12me'!AW13</f>
        <v>92.393951999999999</v>
      </c>
      <c r="M12" s="218">
        <f t="shared" si="0"/>
        <v>204.38802505162494</v>
      </c>
    </row>
    <row r="13" spans="2:14" x14ac:dyDescent="0.25">
      <c r="B13" s="192" t="s">
        <v>904</v>
      </c>
      <c r="C13" s="59"/>
      <c r="D13" s="224">
        <f>'[70]Rev_NP-12me'!AJ14</f>
        <v>705233</v>
      </c>
      <c r="E13" s="224">
        <f>'[70]Rev_NP-12me'!AK14</f>
        <v>1371.4274098863536</v>
      </c>
      <c r="F13" s="224">
        <f>'[70]Rev_NP-12me'!AQ14</f>
        <v>1339.266881197949</v>
      </c>
      <c r="G13" s="218"/>
      <c r="H13" s="218"/>
      <c r="I13" s="218"/>
      <c r="J13" s="224">
        <f>'[70]Rev_NP-12me'!AT14</f>
        <v>16.457128918636243</v>
      </c>
      <c r="K13" s="224">
        <f>'[70]Rev_NP-12me'!AU14</f>
        <v>531.50088316616348</v>
      </c>
      <c r="L13" s="224">
        <f>'[70]Rev_NP-12me'!AW14</f>
        <v>74.302812000000003</v>
      </c>
      <c r="M13" s="218">
        <f t="shared" si="0"/>
        <v>622.26082408479976</v>
      </c>
    </row>
    <row r="14" spans="2:14" ht="14.4" x14ac:dyDescent="0.25">
      <c r="B14" s="191" t="s">
        <v>905</v>
      </c>
      <c r="C14" s="59"/>
      <c r="D14" s="219">
        <f>'[70]Rev_NP-12me'!AJ15</f>
        <v>0</v>
      </c>
      <c r="E14" s="219">
        <f>'[70]Rev_NP-12me'!AK15</f>
        <v>0</v>
      </c>
      <c r="F14" s="219">
        <f>'[70]Rev_NP-12me'!AQ15</f>
        <v>795.33728434894351</v>
      </c>
      <c r="G14" s="218">
        <v>10</v>
      </c>
      <c r="H14" s="218">
        <v>3.4</v>
      </c>
      <c r="I14" s="218"/>
      <c r="J14" s="219">
        <f>'[70]Rev_NP-12me'!AT15</f>
        <v>0</v>
      </c>
      <c r="K14" s="219">
        <f>'[70]Rev_NP-12me'!AU15</f>
        <v>270.41467667864083</v>
      </c>
      <c r="L14" s="219">
        <f>'[70]Rev_NP-12me'!AW15</f>
        <v>0</v>
      </c>
      <c r="M14" s="218">
        <f t="shared" si="0"/>
        <v>270.41467667864083</v>
      </c>
    </row>
    <row r="15" spans="2:14" ht="14.4" x14ac:dyDescent="0.25">
      <c r="B15" s="191" t="s">
        <v>906</v>
      </c>
      <c r="C15" s="59"/>
      <c r="D15" s="219">
        <f>'[70]Rev_NP-12me'!AJ16</f>
        <v>705233</v>
      </c>
      <c r="E15" s="219">
        <f>'[70]Rev_NP-12me'!AK16</f>
        <v>1371.4274098863536</v>
      </c>
      <c r="F15" s="219">
        <f>'[70]Rev_NP-12me'!AQ16</f>
        <v>543.92959684900552</v>
      </c>
      <c r="G15" s="218">
        <v>10</v>
      </c>
      <c r="H15" s="218">
        <v>4.8</v>
      </c>
      <c r="I15" s="218">
        <v>90</v>
      </c>
      <c r="J15" s="219">
        <f>'[70]Rev_NP-12me'!AT16</f>
        <v>16.457128918636243</v>
      </c>
      <c r="K15" s="219">
        <f>'[70]Rev_NP-12me'!AU16</f>
        <v>261.08620648752265</v>
      </c>
      <c r="L15" s="219">
        <f>'[70]Rev_NP-12me'!AW16</f>
        <v>74.302812000000003</v>
      </c>
      <c r="M15" s="218">
        <f t="shared" si="0"/>
        <v>351.84614740615893</v>
      </c>
    </row>
    <row r="16" spans="2:14" x14ac:dyDescent="0.25">
      <c r="B16" s="192" t="s">
        <v>907</v>
      </c>
      <c r="C16" s="59"/>
      <c r="D16" s="224">
        <f>'[70]Rev_NP-12me'!AJ17</f>
        <v>321559</v>
      </c>
      <c r="E16" s="224">
        <f>'[70]Rev_NP-12me'!AK17</f>
        <v>686.84327524972286</v>
      </c>
      <c r="F16" s="224">
        <f>'[70]Rev_NP-12me'!AQ17</f>
        <v>1100.0558624553967</v>
      </c>
      <c r="G16" s="218"/>
      <c r="H16" s="218"/>
      <c r="I16" s="218"/>
      <c r="J16" s="224">
        <f>'[70]Rev_NP-12me'!AT17</f>
        <v>8.2421193029966755</v>
      </c>
      <c r="K16" s="224">
        <f>'[70]Rev_NP-12me'!AU17</f>
        <v>688.87170415546859</v>
      </c>
      <c r="L16" s="224">
        <f>'[70]Rev_NP-12me'!AW17</f>
        <v>40.931220000000003</v>
      </c>
      <c r="M16" s="218">
        <f t="shared" si="0"/>
        <v>738.04504345846533</v>
      </c>
    </row>
    <row r="17" spans="2:13" ht="14.4" x14ac:dyDescent="0.25">
      <c r="B17" s="191" t="s">
        <v>908</v>
      </c>
      <c r="C17" s="59"/>
      <c r="D17" s="219">
        <f>'[70]Rev_NP-12me'!AJ18</f>
        <v>0</v>
      </c>
      <c r="E17" s="219">
        <f>'[70]Rev_NP-12me'!AK18</f>
        <v>0</v>
      </c>
      <c r="F17" s="219">
        <f>'[70]Rev_NP-12me'!AQ18</f>
        <v>718.81089337300034</v>
      </c>
      <c r="G17" s="218">
        <v>10</v>
      </c>
      <c r="H17" s="218">
        <v>5.0999999999999996</v>
      </c>
      <c r="I17" s="218"/>
      <c r="J17" s="219">
        <f>'[70]Rev_NP-12me'!AT18</f>
        <v>0</v>
      </c>
      <c r="K17" s="219">
        <f>'[70]Rev_NP-12me'!AU18</f>
        <v>366.59355562023018</v>
      </c>
      <c r="L17" s="219">
        <f>'[70]Rev_NP-12me'!AW18</f>
        <v>0</v>
      </c>
      <c r="M17" s="218">
        <f t="shared" si="0"/>
        <v>366.59355562023018</v>
      </c>
    </row>
    <row r="18" spans="2:13" ht="14.4" x14ac:dyDescent="0.25">
      <c r="B18" s="191" t="s">
        <v>909</v>
      </c>
      <c r="C18" s="59"/>
      <c r="D18" s="219">
        <f>'[70]Rev_NP-12me'!AJ19</f>
        <v>227400</v>
      </c>
      <c r="E18" s="219">
        <f>'[70]Rev_NP-12me'!AK19</f>
        <v>403.99030907961992</v>
      </c>
      <c r="F18" s="219">
        <f>'[70]Rev_NP-12me'!AQ19</f>
        <v>209.28074586228914</v>
      </c>
      <c r="G18" s="218">
        <v>10</v>
      </c>
      <c r="H18" s="218">
        <v>7.7</v>
      </c>
      <c r="I18" s="218">
        <v>100</v>
      </c>
      <c r="J18" s="219">
        <f>'[70]Rev_NP-12me'!AT19</f>
        <v>4.8478837089554396</v>
      </c>
      <c r="K18" s="219">
        <f>'[70]Rev_NP-12me'!AU19</f>
        <v>161.14617431396263</v>
      </c>
      <c r="L18" s="219">
        <f>'[70]Rev_NP-12me'!AW19</f>
        <v>26.620740000000001</v>
      </c>
      <c r="M18" s="218">
        <f t="shared" si="0"/>
        <v>192.61479802291808</v>
      </c>
    </row>
    <row r="19" spans="2:13" ht="14.4" x14ac:dyDescent="0.25">
      <c r="B19" s="191" t="s">
        <v>910</v>
      </c>
      <c r="C19" s="59"/>
      <c r="D19" s="219">
        <f>'[70]Rev_NP-12me'!AJ20</f>
        <v>52930</v>
      </c>
      <c r="E19" s="219">
        <f>'[70]Rev_NP-12me'!AK20</f>
        <v>136.47726351999231</v>
      </c>
      <c r="F19" s="219">
        <f>'[70]Rev_NP-12me'!AQ20</f>
        <v>75.34855383060011</v>
      </c>
      <c r="G19" s="218">
        <v>10</v>
      </c>
      <c r="H19" s="218">
        <v>9</v>
      </c>
      <c r="I19" s="218">
        <v>120</v>
      </c>
      <c r="J19" s="219">
        <f>'[70]Rev_NP-12me'!AT20</f>
        <v>1.6377271622399077</v>
      </c>
      <c r="K19" s="219">
        <f>'[70]Rev_NP-12me'!AU20</f>
        <v>67.813698447540105</v>
      </c>
      <c r="L19" s="219">
        <f>'[70]Rev_NP-12me'!AW20</f>
        <v>7.4355840000000004</v>
      </c>
      <c r="M19" s="218">
        <f t="shared" si="0"/>
        <v>76.887009609780023</v>
      </c>
    </row>
    <row r="20" spans="2:13" ht="14.4" x14ac:dyDescent="0.25">
      <c r="B20" s="191" t="s">
        <v>911</v>
      </c>
      <c r="C20" s="59"/>
      <c r="D20" s="219">
        <f>'[70]Rev_NP-12me'!AJ21</f>
        <v>36199</v>
      </c>
      <c r="E20" s="219">
        <f>'[70]Rev_NP-12me'!AK21</f>
        <v>120.79768892159314</v>
      </c>
      <c r="F20" s="219">
        <f>'[70]Rev_NP-12me'!AQ21</f>
        <v>65.947872315430999</v>
      </c>
      <c r="G20" s="218">
        <v>10</v>
      </c>
      <c r="H20" s="218">
        <v>9.5</v>
      </c>
      <c r="I20" s="218">
        <v>140</v>
      </c>
      <c r="J20" s="219">
        <f>'[70]Rev_NP-12me'!AT21</f>
        <v>1.4495722670591176</v>
      </c>
      <c r="K20" s="219">
        <f>'[70]Rev_NP-12me'!AU21</f>
        <v>62.650478699659445</v>
      </c>
      <c r="L20" s="219">
        <f>'[70]Rev_NP-12me'!AW21</f>
        <v>5.9327519999999998</v>
      </c>
      <c r="M20" s="218">
        <f t="shared" si="0"/>
        <v>70.032802966718549</v>
      </c>
    </row>
    <row r="21" spans="2:13" ht="14.4" x14ac:dyDescent="0.25">
      <c r="B21" s="191" t="s">
        <v>912</v>
      </c>
      <c r="C21" s="59"/>
      <c r="D21" s="219">
        <f>'[70]Rev_NP-12me'!AJ22</f>
        <v>5030</v>
      </c>
      <c r="E21" s="219">
        <f>'[70]Rev_NP-12me'!AK22</f>
        <v>25.578013728517526</v>
      </c>
      <c r="F21" s="219">
        <f>'[70]Rev_NP-12me'!AQ22</f>
        <v>30.667797074076244</v>
      </c>
      <c r="G21" s="218">
        <v>10</v>
      </c>
      <c r="H21" s="218">
        <v>10</v>
      </c>
      <c r="I21" s="218">
        <v>160</v>
      </c>
      <c r="J21" s="219">
        <f>'[70]Rev_NP-12me'!AT22</f>
        <v>0.3069361647422103</v>
      </c>
      <c r="K21" s="219">
        <f>'[70]Rev_NP-12me'!AU22</f>
        <v>30.66779707407624</v>
      </c>
      <c r="L21" s="219">
        <f>'[70]Rev_NP-12me'!AW22</f>
        <v>0.94214399999999998</v>
      </c>
      <c r="M21" s="218">
        <f t="shared" si="0"/>
        <v>31.916877238818451</v>
      </c>
    </row>
    <row r="22" spans="2:13" x14ac:dyDescent="0.25">
      <c r="B22" s="28" t="s">
        <v>913</v>
      </c>
      <c r="C22" s="17"/>
      <c r="D22" s="216">
        <f>'[70]Rev_NP-12me'!AJ23</f>
        <v>567411</v>
      </c>
      <c r="E22" s="216">
        <f>'[70]Rev_NP-12me'!AK23</f>
        <v>1152.2661109903875</v>
      </c>
      <c r="F22" s="216">
        <f>'[70]Rev_NP-12me'!AQ23</f>
        <v>1023.4617399733908</v>
      </c>
      <c r="G22" s="218"/>
      <c r="H22" s="218"/>
      <c r="I22" s="218"/>
      <c r="J22" s="216">
        <f>'[70]Rev_NP-12me'!AT23</f>
        <v>91.943428783198655</v>
      </c>
      <c r="K22" s="216">
        <f>'[70]Rev_NP-12me'!AU23</f>
        <v>1031.6339175249939</v>
      </c>
      <c r="L22" s="216">
        <f>'[70]Rev_NP-12me'!AW23</f>
        <v>46.364196</v>
      </c>
      <c r="M22" s="215">
        <f t="shared" si="0"/>
        <v>1169.9415423081925</v>
      </c>
    </row>
    <row r="23" spans="2:13" x14ac:dyDescent="0.25">
      <c r="B23" s="187" t="s">
        <v>914</v>
      </c>
      <c r="C23" s="17"/>
      <c r="D23" s="224">
        <f>'[70]Rev_NP-12me'!AJ24</f>
        <v>333514</v>
      </c>
      <c r="E23" s="224">
        <f>'[70]Rev_NP-12me'!AK24</f>
        <v>391.89317190511298</v>
      </c>
      <c r="F23" s="224">
        <f>'[70]Rev_NP-12me'!AQ24</f>
        <v>69.678439956150896</v>
      </c>
      <c r="G23" s="218"/>
      <c r="H23" s="218"/>
      <c r="I23" s="218"/>
      <c r="J23" s="224">
        <f>'[70]Rev_NP-12me'!AT24</f>
        <v>28.216308377168129</v>
      </c>
      <c r="K23" s="224">
        <f>'[70]Rev_NP-12me'!AU24</f>
        <v>48.77490796930563</v>
      </c>
      <c r="L23" s="224">
        <f>'[70]Rev_NP-12me'!AW24</f>
        <v>18.973050000000001</v>
      </c>
      <c r="M23" s="218">
        <f t="shared" si="0"/>
        <v>95.964266346473764</v>
      </c>
    </row>
    <row r="24" spans="2:13" ht="14.4" x14ac:dyDescent="0.25">
      <c r="B24" s="190" t="s">
        <v>901</v>
      </c>
      <c r="C24" s="17"/>
      <c r="D24" s="219">
        <f>'[70]Rev_NP-12me'!AJ25</f>
        <v>333514</v>
      </c>
      <c r="E24" s="219">
        <f>'[70]Rev_NP-12me'!AK25</f>
        <v>391.89317190511298</v>
      </c>
      <c r="F24" s="219">
        <f>'[70]Rev_NP-12me'!AQ25</f>
        <v>69.678439956150896</v>
      </c>
      <c r="G24" s="218">
        <v>60</v>
      </c>
      <c r="H24" s="218">
        <v>7</v>
      </c>
      <c r="I24" s="218">
        <v>50</v>
      </c>
      <c r="J24" s="219">
        <f>'[70]Rev_NP-12me'!AT25</f>
        <v>28.216308377168129</v>
      </c>
      <c r="K24" s="219">
        <f>'[70]Rev_NP-12me'!AU25</f>
        <v>48.77490796930563</v>
      </c>
      <c r="L24" s="219">
        <f>'[70]Rev_NP-12me'!AW25</f>
        <v>18.973050000000001</v>
      </c>
      <c r="M24" s="218">
        <f t="shared" si="0"/>
        <v>95.964266346473764</v>
      </c>
    </row>
    <row r="25" spans="2:13" x14ac:dyDescent="0.25">
      <c r="B25" s="187" t="s">
        <v>915</v>
      </c>
      <c r="C25" s="17"/>
      <c r="D25" s="224">
        <f>'[70]Rev_NP-12me'!AJ26</f>
        <v>219350</v>
      </c>
      <c r="E25" s="224">
        <f>'[70]Rev_NP-12me'!AK26</f>
        <v>746.42656550393235</v>
      </c>
      <c r="F25" s="224">
        <f>'[70]Rev_NP-12me'!AQ26</f>
        <v>949.70780484072918</v>
      </c>
      <c r="G25" s="218"/>
      <c r="H25" s="218"/>
      <c r="I25" s="218"/>
      <c r="J25" s="224">
        <f>'[70]Rev_NP-12me'!AT26</f>
        <v>62.699831502330312</v>
      </c>
      <c r="K25" s="224">
        <f>'[70]Rev_NP-12me'!AU26</f>
        <v>979.53345414344199</v>
      </c>
      <c r="L25" s="224">
        <f>'[70]Rev_NP-12me'!AW26</f>
        <v>26.534592</v>
      </c>
      <c r="M25" s="218">
        <f t="shared" si="0"/>
        <v>1068.7678776457724</v>
      </c>
    </row>
    <row r="26" spans="2:13" ht="14.4" x14ac:dyDescent="0.25">
      <c r="B26" s="189" t="s">
        <v>905</v>
      </c>
      <c r="C26" s="17"/>
      <c r="D26" s="219">
        <f>'[70]Rev_NP-12me'!AJ27</f>
        <v>92946</v>
      </c>
      <c r="E26" s="219">
        <f>'[70]Rev_NP-12me'!AK27</f>
        <v>133.23463323668503</v>
      </c>
      <c r="F26" s="219">
        <f>'[70]Rev_NP-12me'!AQ27</f>
        <v>183.94967809169142</v>
      </c>
      <c r="G26" s="218">
        <v>70</v>
      </c>
      <c r="H26" s="218">
        <v>8.5</v>
      </c>
      <c r="I26" s="218">
        <v>90</v>
      </c>
      <c r="J26" s="219">
        <f>'[70]Rev_NP-12me'!AT27</f>
        <v>11.191709191881543</v>
      </c>
      <c r="K26" s="219">
        <f>'[70]Rev_NP-12me'!AU27</f>
        <v>156.35722637793771</v>
      </c>
      <c r="L26" s="219">
        <f>'[70]Rev_NP-12me'!AW27</f>
        <v>9.5175540000000005</v>
      </c>
      <c r="M26" s="218">
        <f t="shared" si="0"/>
        <v>177.06648956981925</v>
      </c>
    </row>
    <row r="27" spans="2:13" ht="14.4" x14ac:dyDescent="0.25">
      <c r="B27" s="189" t="s">
        <v>916</v>
      </c>
      <c r="C27" s="17"/>
      <c r="D27" s="219">
        <f>'[70]Rev_NP-12me'!AJ28</f>
        <v>80597</v>
      </c>
      <c r="E27" s="219">
        <f>'[70]Rev_NP-12me'!AK28</f>
        <v>180.84428745412157</v>
      </c>
      <c r="F27" s="219">
        <f>'[70]Rev_NP-12me'!AQ28</f>
        <v>110.5873326997924</v>
      </c>
      <c r="G27" s="218">
        <v>70</v>
      </c>
      <c r="H27" s="218">
        <v>9.9</v>
      </c>
      <c r="I27" s="218">
        <v>105</v>
      </c>
      <c r="J27" s="219">
        <f>'[70]Rev_NP-12me'!AT28</f>
        <v>15.190920146146212</v>
      </c>
      <c r="K27" s="219">
        <f>'[70]Rev_NP-12me'!AU28</f>
        <v>109.48145937279449</v>
      </c>
      <c r="L27" s="219">
        <f>'[70]Rev_NP-12me'!AW28</f>
        <v>9.6285419999999995</v>
      </c>
      <c r="M27" s="218">
        <f t="shared" si="0"/>
        <v>134.3009215189407</v>
      </c>
    </row>
    <row r="28" spans="2:13" ht="14.4" x14ac:dyDescent="0.25">
      <c r="B28" s="189" t="s">
        <v>917</v>
      </c>
      <c r="C28" s="17"/>
      <c r="D28" s="219">
        <f>'[70]Rev_NP-12me'!AJ29</f>
        <v>20882</v>
      </c>
      <c r="E28" s="219">
        <f>'[70]Rev_NP-12me'!AK29</f>
        <v>73.421187786548813</v>
      </c>
      <c r="F28" s="219">
        <f>'[70]Rev_NP-12me'!AQ29</f>
        <v>116.55175102433702</v>
      </c>
      <c r="G28" s="218">
        <v>70</v>
      </c>
      <c r="H28" s="218">
        <v>10.4</v>
      </c>
      <c r="I28" s="218">
        <v>120</v>
      </c>
      <c r="J28" s="219">
        <f>'[70]Rev_NP-12me'!AT29</f>
        <v>6.1673797740701009</v>
      </c>
      <c r="K28" s="219">
        <f>'[70]Rev_NP-12me'!AU29</f>
        <v>121.2138210653105</v>
      </c>
      <c r="L28" s="219">
        <f>'[70]Rev_NP-12me'!AW29</f>
        <v>2.8510559999999998</v>
      </c>
      <c r="M28" s="218">
        <f t="shared" si="0"/>
        <v>130.2322568393806</v>
      </c>
    </row>
    <row r="29" spans="2:13" ht="14.4" x14ac:dyDescent="0.25">
      <c r="B29" s="189" t="s">
        <v>918</v>
      </c>
      <c r="C29" s="17"/>
      <c r="D29" s="219">
        <f>'[70]Rev_NP-12me'!AJ30</f>
        <v>24925</v>
      </c>
      <c r="E29" s="219">
        <f>'[70]Rev_NP-12me'!AK30</f>
        <v>358.92645702657694</v>
      </c>
      <c r="F29" s="219">
        <f>'[70]Rev_NP-12me'!AQ30</f>
        <v>538.61904302490836</v>
      </c>
      <c r="G29" s="218">
        <v>70</v>
      </c>
      <c r="H29" s="218">
        <v>11</v>
      </c>
      <c r="I29" s="218">
        <v>160</v>
      </c>
      <c r="J29" s="219">
        <f>'[70]Rev_NP-12me'!AT30</f>
        <v>30.149822390232455</v>
      </c>
      <c r="K29" s="219">
        <f>'[70]Rev_NP-12me'!AU30</f>
        <v>592.48094732739924</v>
      </c>
      <c r="L29" s="219">
        <f>'[70]Rev_NP-12me'!AW30</f>
        <v>4.5374400000000001</v>
      </c>
      <c r="M29" s="218">
        <f t="shared" si="0"/>
        <v>627.16820971763161</v>
      </c>
    </row>
    <row r="30" spans="2:13" x14ac:dyDescent="0.25">
      <c r="B30" s="187" t="s">
        <v>919</v>
      </c>
      <c r="C30" s="17"/>
      <c r="D30" s="224">
        <f>'[70]Rev_NP-12me'!AJ31</f>
        <v>546</v>
      </c>
      <c r="E30" s="224">
        <f>'[70]Rev_NP-12me'!AK31</f>
        <v>1.9291671536319845</v>
      </c>
      <c r="F30" s="224">
        <f>'[70]Rev_NP-12me'!AQ31</f>
        <v>1.2279684785827203</v>
      </c>
      <c r="G30" s="218">
        <v>70</v>
      </c>
      <c r="H30" s="218">
        <v>13</v>
      </c>
      <c r="I30" s="218">
        <v>160</v>
      </c>
      <c r="J30" s="224">
        <f>'[70]Rev_NP-12me'!AT31</f>
        <v>0.16205004090508671</v>
      </c>
      <c r="K30" s="224">
        <f>'[70]Rev_NP-12me'!AU31</f>
        <v>1.5963590221575363</v>
      </c>
      <c r="L30" s="224">
        <f>'[70]Rev_NP-12me'!AW31</f>
        <v>9.9360000000000004E-2</v>
      </c>
      <c r="M30" s="218">
        <f t="shared" si="0"/>
        <v>1.8577690630626229</v>
      </c>
    </row>
    <row r="31" spans="2:13" x14ac:dyDescent="0.25">
      <c r="B31" s="187" t="s">
        <v>920</v>
      </c>
      <c r="C31" s="17"/>
      <c r="D31" s="224">
        <f>'[70]Rev_NP-12me'!AJ32</f>
        <v>14001</v>
      </c>
      <c r="E31" s="224">
        <f>'[70]Rev_NP-12me'!AK32</f>
        <v>12.017206427710033</v>
      </c>
      <c r="F31" s="224">
        <f>'[70]Rev_NP-12me'!AQ32</f>
        <v>2.8475266979280032</v>
      </c>
      <c r="G31" s="218"/>
      <c r="H31" s="218"/>
      <c r="I31" s="218"/>
      <c r="J31" s="224">
        <f>'[70]Rev_NP-12me'!AT32</f>
        <v>0.8652388627951223</v>
      </c>
      <c r="K31" s="224">
        <f>'[70]Rev_NP-12me'!AU32</f>
        <v>1.729196390088914</v>
      </c>
      <c r="L31" s="224">
        <f>'[70]Rev_NP-12me'!AW32</f>
        <v>0.75719399999999992</v>
      </c>
      <c r="M31" s="218">
        <f t="shared" si="0"/>
        <v>3.3516292528840363</v>
      </c>
    </row>
    <row r="32" spans="2:13" ht="14.4" x14ac:dyDescent="0.25">
      <c r="B32" s="189" t="s">
        <v>901</v>
      </c>
      <c r="C32" s="17"/>
      <c r="D32" s="219">
        <f>'[70]Rev_NP-12me'!AJ33</f>
        <v>11302</v>
      </c>
      <c r="E32" s="219">
        <f>'[70]Rev_NP-12me'!AK33</f>
        <v>9.3739242159833438</v>
      </c>
      <c r="F32" s="219">
        <f>'[70]Rev_NP-12me'!AQ33</f>
        <v>1.5090149894999914</v>
      </c>
      <c r="G32" s="218">
        <v>60</v>
      </c>
      <c r="H32" s="218">
        <v>5.3</v>
      </c>
      <c r="I32" s="218">
        <v>45</v>
      </c>
      <c r="J32" s="219">
        <f>'[70]Rev_NP-12me'!AT33</f>
        <v>0.67492254355080072</v>
      </c>
      <c r="K32" s="219">
        <f>'[70]Rev_NP-12me'!AU33</f>
        <v>0.79977794443499539</v>
      </c>
      <c r="L32" s="219">
        <f>'[70]Rev_NP-12me'!AW33</f>
        <v>0.57866399999999996</v>
      </c>
      <c r="M32" s="218">
        <f t="shared" si="0"/>
        <v>2.053364487985796</v>
      </c>
    </row>
    <row r="33" spans="2:13" ht="14.4" x14ac:dyDescent="0.25">
      <c r="B33" s="189" t="s">
        <v>921</v>
      </c>
      <c r="C33" s="17"/>
      <c r="D33" s="219">
        <f>'[70]Rev_NP-12me'!AJ34</f>
        <v>1852</v>
      </c>
      <c r="E33" s="219">
        <f>'[70]Rev_NP-12me'!AK34</f>
        <v>1.6301664455222062</v>
      </c>
      <c r="F33" s="219">
        <f>'[70]Rev_NP-12me'!AQ34</f>
        <v>0.82739261852322399</v>
      </c>
      <c r="G33" s="218">
        <v>60</v>
      </c>
      <c r="H33" s="218">
        <v>6.6</v>
      </c>
      <c r="I33" s="218">
        <v>55</v>
      </c>
      <c r="J33" s="219">
        <f>'[70]Rev_NP-12me'!AT34</f>
        <v>0.11737198407759886</v>
      </c>
      <c r="K33" s="219">
        <f>'[70]Rev_NP-12me'!AU34</f>
        <v>0.54607912822532778</v>
      </c>
      <c r="L33" s="219">
        <f>'[70]Rev_NP-12me'!AW34</f>
        <v>0.115896</v>
      </c>
      <c r="M33" s="218">
        <f t="shared" si="0"/>
        <v>0.77934711230292664</v>
      </c>
    </row>
    <row r="34" spans="2:13" ht="14.4" x14ac:dyDescent="0.25">
      <c r="B34" s="189" t="s">
        <v>922</v>
      </c>
      <c r="C34" s="17"/>
      <c r="D34" s="219">
        <f>'[70]Rev_NP-12me'!AJ35</f>
        <v>847</v>
      </c>
      <c r="E34" s="219">
        <f>'[70]Rev_NP-12me'!AK35</f>
        <v>1.0131157662044827</v>
      </c>
      <c r="F34" s="219">
        <f>'[70]Rev_NP-12me'!AQ35</f>
        <v>0.51111908990478794</v>
      </c>
      <c r="G34" s="218">
        <v>60</v>
      </c>
      <c r="H34" s="218">
        <v>7.5</v>
      </c>
      <c r="I34" s="218">
        <v>65</v>
      </c>
      <c r="J34" s="219">
        <f>'[70]Rev_NP-12me'!AT35</f>
        <v>7.294433516672276E-2</v>
      </c>
      <c r="K34" s="219">
        <f>'[70]Rev_NP-12me'!AU35</f>
        <v>0.38333931742859095</v>
      </c>
      <c r="L34" s="219">
        <f>'[70]Rev_NP-12me'!AW35</f>
        <v>6.2633999999999995E-2</v>
      </c>
      <c r="M34" s="218">
        <f t="shared" si="0"/>
        <v>0.51891765259531375</v>
      </c>
    </row>
    <row r="35" spans="2:13" x14ac:dyDescent="0.25">
      <c r="B35" s="28" t="s">
        <v>923</v>
      </c>
      <c r="C35" s="17"/>
      <c r="D35" s="216">
        <f>'[70]Rev_NP-12me'!AJ36</f>
        <v>24380</v>
      </c>
      <c r="E35" s="216">
        <f>'[70]Rev_NP-12me'!$AK$36</f>
        <v>410.26609144371065</v>
      </c>
      <c r="F35" s="216">
        <f>'[70]Rev_NP-12me'!AQ36</f>
        <v>243.56444720543399</v>
      </c>
      <c r="G35" s="218"/>
      <c r="H35" s="218"/>
      <c r="I35" s="218"/>
      <c r="J35" s="216">
        <f>'[70]Rev_NP-12me'!AT36</f>
        <v>36.460685846572126</v>
      </c>
      <c r="K35" s="216">
        <f>'[70]Rev_NP-12me'!AU36</f>
        <v>186.26523603939924</v>
      </c>
      <c r="L35" s="216">
        <f>'[70]Rev_NP-12me'!AW36</f>
        <v>8.2560299999999973</v>
      </c>
      <c r="M35" s="215">
        <f t="shared" si="0"/>
        <v>230.98195188597137</v>
      </c>
    </row>
    <row r="36" spans="2:13" ht="14.4" x14ac:dyDescent="0.25">
      <c r="B36" s="189" t="s">
        <v>924</v>
      </c>
      <c r="C36" s="17"/>
      <c r="D36" s="219">
        <f>'[70]Rev_NP-12me'!AJ37</f>
        <v>20650</v>
      </c>
      <c r="E36" s="219">
        <f>'[70]Rev_NP-12me'!AK37</f>
        <v>374.57709825357557</v>
      </c>
      <c r="F36" s="219">
        <f>'[70]Rev_NP-12me'!AQ37</f>
        <v>226.08574903465961</v>
      </c>
      <c r="G36" s="218">
        <v>75</v>
      </c>
      <c r="H36" s="218">
        <v>7.7</v>
      </c>
      <c r="I36" s="218">
        <v>360.25</v>
      </c>
      <c r="J36" s="219">
        <f>'[70]Rev_NP-12me'!AT37</f>
        <v>33.711938842821802</v>
      </c>
      <c r="K36" s="219">
        <f>'[70]Rev_NP-12me'!AU37</f>
        <v>174.08602675668789</v>
      </c>
      <c r="L36" s="219">
        <f>'[70]Rev_NP-12me'!AW37</f>
        <v>8.1578392962109465</v>
      </c>
      <c r="M36" s="218">
        <f t="shared" si="0"/>
        <v>215.95580489572063</v>
      </c>
    </row>
    <row r="37" spans="2:13" ht="14.4" x14ac:dyDescent="0.25">
      <c r="B37" s="189" t="s">
        <v>925</v>
      </c>
      <c r="C37" s="17"/>
      <c r="D37" s="219">
        <f>'[70]Rev_NP-12me'!AJ38</f>
        <v>0</v>
      </c>
      <c r="E37" s="219">
        <f>'[70]Rev_NP-12me'!AK38</f>
        <v>0</v>
      </c>
      <c r="F37" s="219">
        <f>'[70]Rev_NP-12me'!AQ38</f>
        <v>0</v>
      </c>
      <c r="G37" s="218">
        <v>75</v>
      </c>
      <c r="H37" s="218">
        <v>8.4</v>
      </c>
      <c r="I37" s="218">
        <v>360.25</v>
      </c>
      <c r="J37" s="219">
        <f>'[70]Rev_NP-12me'!AT38</f>
        <v>0</v>
      </c>
      <c r="K37" s="219">
        <f>'[70]Rev_NP-12me'!AU38</f>
        <v>0</v>
      </c>
      <c r="L37" s="219">
        <f>'[70]Rev_NP-12me'!AW38</f>
        <v>0</v>
      </c>
      <c r="M37" s="218">
        <f t="shared" si="0"/>
        <v>0</v>
      </c>
    </row>
    <row r="38" spans="2:13" ht="14.4" x14ac:dyDescent="0.25">
      <c r="B38" s="189" t="s">
        <v>926</v>
      </c>
      <c r="C38" s="17"/>
      <c r="D38" s="219">
        <f>'[70]Rev_NP-12me'!AJ39</f>
        <v>111</v>
      </c>
      <c r="E38" s="219">
        <f>'[70]Rev_NP-12me'!AK39</f>
        <v>1.0102728913431966</v>
      </c>
      <c r="F38" s="219">
        <f>'[70]Rev_NP-12me'!AQ39</f>
        <v>0.69851749509964756</v>
      </c>
      <c r="G38" s="218">
        <v>36</v>
      </c>
      <c r="H38" s="218">
        <v>6.2</v>
      </c>
      <c r="I38" s="218">
        <v>360.25</v>
      </c>
      <c r="J38" s="219">
        <f>'[70]Rev_NP-12me'!AT39</f>
        <v>4.3643788906026097E-2</v>
      </c>
      <c r="K38" s="219">
        <f>'[70]Rev_NP-12me'!AU39</f>
        <v>0.43308084696178151</v>
      </c>
      <c r="L38" s="219">
        <f>'[70]Rev_NP-12me'!AW39</f>
        <v>2.5630707096442359E-3</v>
      </c>
      <c r="M38" s="218">
        <f t="shared" si="0"/>
        <v>0.47928770657745184</v>
      </c>
    </row>
    <row r="39" spans="2:13" ht="14.4" x14ac:dyDescent="0.25">
      <c r="B39" s="189" t="s">
        <v>927</v>
      </c>
      <c r="C39" s="17"/>
      <c r="D39" s="219">
        <f>'[70]Rev_NP-12me'!AJ40</f>
        <v>3</v>
      </c>
      <c r="E39" s="219">
        <f>'[70]Rev_NP-12me'!AK40</f>
        <v>1.6395154350231089E-2</v>
      </c>
      <c r="F39" s="219">
        <f>'[70]Rev_NP-12me'!AQ40</f>
        <v>1.1522838565841614E-2</v>
      </c>
      <c r="G39" s="218">
        <v>36</v>
      </c>
      <c r="H39" s="218">
        <v>6.2</v>
      </c>
      <c r="I39" s="218">
        <v>360.25</v>
      </c>
      <c r="J39" s="219">
        <f>'[70]Rev_NP-12me'!AT40</f>
        <v>7.0827066792998302E-4</v>
      </c>
      <c r="K39" s="219">
        <f>'[70]Rev_NP-12me'!AU40</f>
        <v>7.1441599108218014E-3</v>
      </c>
      <c r="L39" s="219">
        <f>'[70]Rev_NP-12me'!AW40</f>
        <v>4.0180151388812273E-4</v>
      </c>
      <c r="M39" s="218">
        <f t="shared" si="0"/>
        <v>8.2542320926399081E-3</v>
      </c>
    </row>
    <row r="40" spans="2:13" ht="14.4" x14ac:dyDescent="0.25">
      <c r="B40" s="189" t="s">
        <v>928</v>
      </c>
      <c r="C40" s="17"/>
      <c r="D40" s="219">
        <f>'[70]Rev_NP-12me'!AJ41</f>
        <v>3608</v>
      </c>
      <c r="E40" s="219">
        <f>'[70]Rev_NP-12me'!AK41</f>
        <v>34.601193235281606</v>
      </c>
      <c r="F40" s="219">
        <f>'[70]Rev_NP-12me'!AQ41</f>
        <v>16.73786484169058</v>
      </c>
      <c r="G40" s="218">
        <v>65</v>
      </c>
      <c r="H40" s="218">
        <v>7</v>
      </c>
      <c r="I40" s="218">
        <v>360.25</v>
      </c>
      <c r="J40" s="219">
        <f>'[70]Rev_NP-12me'!AT41</f>
        <v>2.6988930723519653</v>
      </c>
      <c r="K40" s="219">
        <f>'[70]Rev_NP-12me'!AU41</f>
        <v>11.716505389183407</v>
      </c>
      <c r="L40" s="219">
        <f>'[70]Rev_NP-12me'!AW41</f>
        <v>9.4561313677165096E-2</v>
      </c>
      <c r="M40" s="218">
        <f t="shared" si="0"/>
        <v>14.509959775212536</v>
      </c>
    </row>
    <row r="41" spans="2:13" ht="14.4" x14ac:dyDescent="0.25">
      <c r="B41" s="189" t="s">
        <v>929</v>
      </c>
      <c r="C41" s="17"/>
      <c r="D41" s="219">
        <f>'[70]Rev_NP-12me'!AJ42</f>
        <v>8</v>
      </c>
      <c r="E41" s="219">
        <f>'[70]Rev_NP-12me'!AK42</f>
        <v>6.1131909160067915E-2</v>
      </c>
      <c r="F41" s="219">
        <f>'[70]Rev_NP-12me'!AQ42</f>
        <v>3.07929954183041E-2</v>
      </c>
      <c r="G41" s="218">
        <v>75</v>
      </c>
      <c r="H41" s="218">
        <v>7.3</v>
      </c>
      <c r="I41" s="218">
        <v>360.25</v>
      </c>
      <c r="J41" s="219">
        <f>'[70]Rev_NP-12me'!AT42</f>
        <v>5.5018718244061121E-3</v>
      </c>
      <c r="K41" s="219">
        <f>'[70]Rev_NP-12me'!AU42</f>
        <v>2.2478886655361994E-2</v>
      </c>
      <c r="L41" s="219">
        <f>'[70]Rev_NP-12me'!AW42</f>
        <v>6.6451788835343378E-4</v>
      </c>
      <c r="M41" s="218">
        <f t="shared" ref="M41:M68" si="1">SUM(J41:L41)</f>
        <v>2.8645276368121537E-2</v>
      </c>
    </row>
    <row r="42" spans="2:13" x14ac:dyDescent="0.25">
      <c r="B42" s="28" t="s">
        <v>930</v>
      </c>
      <c r="C42" s="17"/>
      <c r="D42" s="216">
        <f>'[70]Rev_NP-12me'!AJ43</f>
        <v>6876</v>
      </c>
      <c r="E42" s="216">
        <f>'[70]Rev_NP-12me'!$AK$43</f>
        <v>23.340955043070291</v>
      </c>
      <c r="F42" s="216">
        <f>'[70]Rev_NP-12me'!AQ43</f>
        <v>8.6217888213980398</v>
      </c>
      <c r="G42" s="218"/>
      <c r="H42" s="218"/>
      <c r="I42" s="218"/>
      <c r="J42" s="216">
        <f>'[70]Rev_NP-12me'!AT43</f>
        <v>0.56018292103368694</v>
      </c>
      <c r="K42" s="216">
        <f>'[70]Rev_NP-12me'!AU43</f>
        <v>3.4487155285592159</v>
      </c>
      <c r="L42" s="216">
        <f>'[70]Rev_NP-12me'!AW43</f>
        <v>0.40293000000000001</v>
      </c>
      <c r="M42" s="215">
        <f t="shared" si="1"/>
        <v>4.4118284495929032</v>
      </c>
    </row>
    <row r="43" spans="2:13" ht="14.4" x14ac:dyDescent="0.25">
      <c r="B43" s="189" t="s">
        <v>179</v>
      </c>
      <c r="C43" s="17"/>
      <c r="D43" s="219">
        <f>'[70]Rev_NP-12me'!AJ44</f>
        <v>6575</v>
      </c>
      <c r="E43" s="219">
        <f>'[70]Rev_NP-12me'!$AK$44</f>
        <v>22.008400815555277</v>
      </c>
      <c r="F43" s="219">
        <f>'[70]Rev_NP-12me'!AQ44</f>
        <v>8.2455053353668166</v>
      </c>
      <c r="G43" s="218">
        <v>20</v>
      </c>
      <c r="H43" s="218">
        <v>4</v>
      </c>
      <c r="I43" s="218">
        <v>50</v>
      </c>
      <c r="J43" s="219">
        <f>'[70]Rev_NP-12me'!AT44</f>
        <v>0.52820161957332656</v>
      </c>
      <c r="K43" s="219">
        <f>'[70]Rev_NP-12me'!AU44</f>
        <v>3.2982021341467265</v>
      </c>
      <c r="L43" s="219">
        <f>'[70]Rev_NP-12me'!AW44</f>
        <v>0.38529000000000002</v>
      </c>
      <c r="M43" s="218">
        <f t="shared" si="1"/>
        <v>4.2116937537200529</v>
      </c>
    </row>
    <row r="44" spans="2:13" ht="14.4" x14ac:dyDescent="0.25">
      <c r="B44" s="189" t="s">
        <v>932</v>
      </c>
      <c r="C44" s="17"/>
      <c r="D44" s="219">
        <f>'[70]Rev_NP-12me'!AJ45</f>
        <v>301</v>
      </c>
      <c r="E44" s="219">
        <f>'[70]Rev_NP-12me'!$AK$45</f>
        <v>1.3325542275150148</v>
      </c>
      <c r="F44" s="219">
        <f>'[70]Rev_NP-12me'!AQ45</f>
        <v>0.37628348603122352</v>
      </c>
      <c r="G44" s="218">
        <v>20</v>
      </c>
      <c r="H44" s="218">
        <v>4</v>
      </c>
      <c r="I44" s="218">
        <v>50</v>
      </c>
      <c r="J44" s="219">
        <f>'[70]Rev_NP-12me'!AT45</f>
        <v>3.1981301460360358E-2</v>
      </c>
      <c r="K44" s="219">
        <f>'[70]Rev_NP-12me'!AU45</f>
        <v>0.1505133944124894</v>
      </c>
      <c r="L44" s="219">
        <f>'[70]Rev_NP-12me'!AW45</f>
        <v>1.7639999999999999E-2</v>
      </c>
      <c r="M44" s="218">
        <f t="shared" si="1"/>
        <v>0.20013469587284974</v>
      </c>
    </row>
    <row r="45" spans="2:13" x14ac:dyDescent="0.25">
      <c r="B45" s="28" t="s">
        <v>933</v>
      </c>
      <c r="C45" s="17"/>
      <c r="D45" s="216">
        <f>'[70]Rev_NP-12me'!AJ46</f>
        <v>1370372</v>
      </c>
      <c r="E45" s="216">
        <f>'[70]Rev_NP-12me'!AN46*0.746/10^3</f>
        <v>6023.953278795796</v>
      </c>
      <c r="F45" s="216">
        <f>'[70]Rev_NP-12me'!AQ46</f>
        <v>8281.4532016721751</v>
      </c>
      <c r="G45" s="218"/>
      <c r="H45" s="218"/>
      <c r="I45" s="218"/>
      <c r="J45" s="216">
        <f>'[70]Rev_NP-12me'!AT46</f>
        <v>7.6520855474698113E-2</v>
      </c>
      <c r="K45" s="216">
        <f>'[70]Rev_NP-12me'!AU46</f>
        <v>1.0946261712589835</v>
      </c>
      <c r="L45" s="216">
        <f>'[70]Rev_NP-12me'!AW46</f>
        <v>48.397914</v>
      </c>
      <c r="M45" s="215">
        <f t="shared" si="1"/>
        <v>49.569061026733685</v>
      </c>
    </row>
    <row r="46" spans="2:13" x14ac:dyDescent="0.25">
      <c r="B46" s="187" t="s">
        <v>934</v>
      </c>
      <c r="C46" s="17"/>
      <c r="D46" s="224">
        <f>'[70]Rev_NP-12me'!AJ47</f>
        <v>1370021</v>
      </c>
      <c r="E46" s="224">
        <f>'[70]Rev_NP-12me'!AN47*0.746/10^3</f>
        <v>6021.5747555381258</v>
      </c>
      <c r="F46" s="224">
        <f>'[70]Rev_NP-12me'!AQ47</f>
        <v>8278.7166362440275</v>
      </c>
      <c r="G46" s="218"/>
      <c r="H46" s="218"/>
      <c r="I46" s="218"/>
      <c r="J46" s="224">
        <f>'[70]Rev_NP-12me'!AT47</f>
        <v>0</v>
      </c>
      <c r="K46" s="224">
        <f>'[70]Rev_NP-12me'!AU47</f>
        <v>0</v>
      </c>
      <c r="L46" s="224">
        <f>'[70]Rev_NP-12me'!AW47</f>
        <v>48.385511999999999</v>
      </c>
      <c r="M46" s="218">
        <f t="shared" si="1"/>
        <v>48.385511999999999</v>
      </c>
    </row>
    <row r="47" spans="2:13" ht="14.4" x14ac:dyDescent="0.25">
      <c r="B47" s="189" t="s">
        <v>935</v>
      </c>
      <c r="C47" s="17"/>
      <c r="D47" s="219">
        <f>'[70]Rev_NP-12me'!AJ48</f>
        <v>0</v>
      </c>
      <c r="E47" s="219">
        <f>'[70]Rev_NP-12me'!AN48*0.746/10^3</f>
        <v>0</v>
      </c>
      <c r="F47" s="219">
        <f>'[70]Rev_NP-12me'!AQ48</f>
        <v>0</v>
      </c>
      <c r="G47" s="218"/>
      <c r="H47" s="218">
        <v>2.5</v>
      </c>
      <c r="I47" s="218">
        <v>30</v>
      </c>
      <c r="J47" s="219">
        <f>'[70]Rev_NP-12me'!AT48</f>
        <v>0</v>
      </c>
      <c r="K47" s="219">
        <f>'[70]Rev_NP-12me'!AU48</f>
        <v>0</v>
      </c>
      <c r="L47" s="219">
        <f>'[70]Rev_NP-12me'!AW48</f>
        <v>0</v>
      </c>
      <c r="M47" s="218">
        <f t="shared" si="1"/>
        <v>0</v>
      </c>
    </row>
    <row r="48" spans="2:13" ht="14.4" x14ac:dyDescent="0.25">
      <c r="B48" s="187" t="s">
        <v>937</v>
      </c>
      <c r="C48" s="17"/>
      <c r="D48" s="219">
        <f>'[70]Rev_NP-12me'!AJ49</f>
        <v>1370021</v>
      </c>
      <c r="E48" s="219">
        <f>'[70]Rev_NP-12me'!AN49*0.746/10^3</f>
        <v>6021.5747555381258</v>
      </c>
      <c r="F48" s="219">
        <f>'[70]Rev_NP-12me'!AQ49</f>
        <v>8278.7166362440275</v>
      </c>
      <c r="G48" s="218"/>
      <c r="H48" s="218"/>
      <c r="I48" s="218"/>
      <c r="J48" s="219">
        <f>'[70]Rev_NP-12me'!AT49</f>
        <v>0</v>
      </c>
      <c r="K48" s="219">
        <f>'[70]Rev_NP-12me'!AU49</f>
        <v>0</v>
      </c>
      <c r="L48" s="219">
        <f>'[70]Rev_NP-12me'!AW49</f>
        <v>0</v>
      </c>
      <c r="M48" s="218">
        <f t="shared" si="1"/>
        <v>0</v>
      </c>
    </row>
    <row r="49" spans="2:13" ht="14.4" x14ac:dyDescent="0.25">
      <c r="B49" s="189" t="s">
        <v>1112</v>
      </c>
      <c r="C49" s="17"/>
      <c r="D49" s="219">
        <f>'[70]Rev_NP-12me'!AJ50</f>
        <v>1370021</v>
      </c>
      <c r="E49" s="219">
        <f>'[70]Rev_NP-12me'!AN50*0.746/10^3</f>
        <v>6021.5747555381258</v>
      </c>
      <c r="F49" s="219">
        <f>'[70]Rev_NP-12me'!AQ50</f>
        <v>8278.7166362440275</v>
      </c>
      <c r="G49" s="218"/>
      <c r="H49" s="218"/>
      <c r="I49" s="218">
        <v>30</v>
      </c>
      <c r="J49" s="219">
        <f>'[70]Rev_NP-12me'!AT50</f>
        <v>0</v>
      </c>
      <c r="K49" s="219">
        <f>'[70]Rev_NP-12me'!AU50</f>
        <v>0</v>
      </c>
      <c r="L49" s="219">
        <f>'[70]Rev_NP-12me'!AW50</f>
        <v>48.385511999999999</v>
      </c>
      <c r="M49" s="218">
        <f t="shared" si="1"/>
        <v>48.385511999999999</v>
      </c>
    </row>
    <row r="50" spans="2:13" ht="14.4" x14ac:dyDescent="0.25">
      <c r="B50" s="189" t="s">
        <v>1113</v>
      </c>
      <c r="C50" s="17"/>
      <c r="D50" s="219">
        <f>'[70]Rev_NP-12me'!AJ51</f>
        <v>0</v>
      </c>
      <c r="E50" s="219">
        <f>'[70]Rev_NP-12me'!AN51*0.746/10^3</f>
        <v>0</v>
      </c>
      <c r="F50" s="219">
        <f>'[70]Rev_NP-12me'!AQ51</f>
        <v>0</v>
      </c>
      <c r="G50" s="218"/>
      <c r="H50" s="218"/>
      <c r="I50" s="218">
        <v>30</v>
      </c>
      <c r="J50" s="219">
        <f>'[70]Rev_NP-12me'!AT51</f>
        <v>0</v>
      </c>
      <c r="K50" s="219">
        <f>'[70]Rev_NP-12me'!AU51</f>
        <v>0</v>
      </c>
      <c r="L50" s="219">
        <f>'[70]Rev_NP-12me'!AW51</f>
        <v>0</v>
      </c>
      <c r="M50" s="218">
        <f t="shared" si="1"/>
        <v>0</v>
      </c>
    </row>
    <row r="51" spans="2:13" x14ac:dyDescent="0.25">
      <c r="B51" s="187" t="s">
        <v>938</v>
      </c>
      <c r="C51" s="17"/>
      <c r="D51" s="224">
        <f>'[70]Rev_NP-12me'!AJ52</f>
        <v>351</v>
      </c>
      <c r="E51" s="224">
        <f>'[70]Rev_NP-12me'!AN52*0.746/10^3</f>
        <v>2.3785232576718665</v>
      </c>
      <c r="F51" s="224">
        <f>'[70]Rev_NP-12me'!AQ52</f>
        <v>2.736565428147459</v>
      </c>
      <c r="G51" s="218"/>
      <c r="H51" s="218"/>
      <c r="I51" s="218"/>
      <c r="J51" s="224">
        <f>'[70]Rev_NP-12me'!AT52</f>
        <v>7.6520855474698113E-2</v>
      </c>
      <c r="K51" s="224">
        <f>'[70]Rev_NP-12me'!AU52</f>
        <v>1.0946261712589835</v>
      </c>
      <c r="L51" s="224">
        <f>'[70]Rev_NP-12me'!AW52</f>
        <v>1.2402E-2</v>
      </c>
      <c r="M51" s="218">
        <f t="shared" si="1"/>
        <v>1.1835490267336817</v>
      </c>
    </row>
    <row r="52" spans="2:13" ht="14.4" x14ac:dyDescent="0.25">
      <c r="B52" s="189" t="s">
        <v>939</v>
      </c>
      <c r="C52" s="17"/>
      <c r="D52" s="219">
        <f>'[70]Rev_NP-12me'!AJ53</f>
        <v>351</v>
      </c>
      <c r="E52" s="219">
        <f>'[70]Rev_NP-12me'!AN53*0.746/10^3</f>
        <v>2.3785232576718665</v>
      </c>
      <c r="F52" s="219">
        <f>'[70]Rev_NP-12me'!AQ53</f>
        <v>2.736565428147459</v>
      </c>
      <c r="G52" s="218">
        <v>20</v>
      </c>
      <c r="H52" s="218">
        <v>4</v>
      </c>
      <c r="I52" s="218">
        <v>30</v>
      </c>
      <c r="J52" s="219">
        <f>'[70]Rev_NP-12me'!AT53</f>
        <v>7.6520855474698113E-2</v>
      </c>
      <c r="K52" s="219">
        <f>'[70]Rev_NP-12me'!AU53</f>
        <v>1.0946261712589835</v>
      </c>
      <c r="L52" s="219">
        <f>'[70]Rev_NP-12me'!AW53</f>
        <v>1.2402E-2</v>
      </c>
      <c r="M52" s="218">
        <f t="shared" si="1"/>
        <v>1.1835490267336817</v>
      </c>
    </row>
    <row r="53" spans="2:13" x14ac:dyDescent="0.25">
      <c r="B53" s="28" t="s">
        <v>941</v>
      </c>
      <c r="C53" s="17"/>
      <c r="D53" s="216">
        <f>'[70]Rev_NP-12me'!AJ54</f>
        <v>53983</v>
      </c>
      <c r="E53" s="216">
        <f>'[70]Rev_NP-12me'!AK54</f>
        <v>46.084745241436693</v>
      </c>
      <c r="F53" s="216">
        <f>'[70]Rev_NP-12me'!AQ54</f>
        <v>135.67555133153809</v>
      </c>
      <c r="G53" s="218"/>
      <c r="H53" s="218"/>
      <c r="I53" s="218"/>
      <c r="J53" s="216">
        <f>'[70]Rev_NP-12me'!AT54</f>
        <v>1.7696542172711687</v>
      </c>
      <c r="K53" s="216">
        <f>'[70]Rev_NP-12me'!AU54</f>
        <v>100.1529195868476</v>
      </c>
      <c r="L53" s="216">
        <f>'[70]Rev_NP-12me'!AW54</f>
        <v>7.2069840000000003</v>
      </c>
      <c r="M53" s="215">
        <f t="shared" si="1"/>
        <v>109.12955780411878</v>
      </c>
    </row>
    <row r="54" spans="2:13" ht="14.4" x14ac:dyDescent="0.25">
      <c r="B54" s="189" t="s">
        <v>942</v>
      </c>
      <c r="C54" s="17"/>
      <c r="D54" s="219">
        <f>'[70]Rev_NP-12me'!AJ55</f>
        <v>39879</v>
      </c>
      <c r="E54" s="219">
        <f>'[70]Rev_NP-12me'!AK55</f>
        <v>30.15256288196527</v>
      </c>
      <c r="F54" s="219">
        <f>'[70]Rev_NP-12me'!AQ55</f>
        <v>83.806468768529356</v>
      </c>
      <c r="G54" s="218">
        <v>32</v>
      </c>
      <c r="H54" s="218">
        <v>7.1</v>
      </c>
      <c r="I54" s="218">
        <v>120</v>
      </c>
      <c r="J54" s="219">
        <f>'[70]Rev_NP-12me'!AT55</f>
        <v>1.1578584146674662</v>
      </c>
      <c r="K54" s="219">
        <f>'[70]Rev_NP-12me'!AU55</f>
        <v>59.502592825655839</v>
      </c>
      <c r="L54" s="219">
        <f>'[70]Rev_NP-12me'!AW55</f>
        <v>5.3240400000000001</v>
      </c>
      <c r="M54" s="218">
        <f t="shared" si="1"/>
        <v>65.984491240323308</v>
      </c>
    </row>
    <row r="55" spans="2:13" ht="14.4" x14ac:dyDescent="0.25">
      <c r="B55" s="189" t="s">
        <v>943</v>
      </c>
      <c r="C55" s="17"/>
      <c r="D55" s="219">
        <f>'[70]Rev_NP-12me'!AJ56</f>
        <v>7448</v>
      </c>
      <c r="E55" s="219">
        <f>'[70]Rev_NP-12me'!AK56</f>
        <v>7.6787898411882978</v>
      </c>
      <c r="F55" s="219">
        <f>'[70]Rev_NP-12me'!AQ56</f>
        <v>27.27260229690642</v>
      </c>
      <c r="G55" s="218">
        <v>32</v>
      </c>
      <c r="H55" s="218">
        <v>7.6</v>
      </c>
      <c r="I55" s="218">
        <v>120</v>
      </c>
      <c r="J55" s="219">
        <f>'[70]Rev_NP-12me'!AT56</f>
        <v>0.29486552990163062</v>
      </c>
      <c r="K55" s="219">
        <f>'[70]Rev_NP-12me'!AU56</f>
        <v>20.727177745648881</v>
      </c>
      <c r="L55" s="219">
        <f>'[70]Rev_NP-12me'!AW56</f>
        <v>0.99431999999999998</v>
      </c>
      <c r="M55" s="218">
        <f t="shared" si="1"/>
        <v>22.016363275550511</v>
      </c>
    </row>
    <row r="56" spans="2:13" ht="14.4" x14ac:dyDescent="0.25">
      <c r="B56" s="189" t="s">
        <v>944</v>
      </c>
      <c r="C56" s="17"/>
      <c r="D56" s="219">
        <f>'[70]Rev_NP-12me'!AJ57</f>
        <v>6656</v>
      </c>
      <c r="E56" s="219">
        <f>'[70]Rev_NP-12me'!AK57</f>
        <v>8.2533925182831211</v>
      </c>
      <c r="F56" s="219">
        <f>'[70]Rev_NP-12me'!AQ57</f>
        <v>24.596480266102319</v>
      </c>
      <c r="G56" s="218">
        <v>32</v>
      </c>
      <c r="H56" s="218">
        <v>8.1</v>
      </c>
      <c r="I56" s="218">
        <v>120</v>
      </c>
      <c r="J56" s="219">
        <f>'[70]Rev_NP-12me'!AT57</f>
        <v>0.3169302727020718</v>
      </c>
      <c r="K56" s="219">
        <f>'[70]Rev_NP-12me'!AU57</f>
        <v>19.923149015542876</v>
      </c>
      <c r="L56" s="219">
        <f>'[70]Rev_NP-12me'!AW57</f>
        <v>0.88862399999999997</v>
      </c>
      <c r="M56" s="218">
        <f t="shared" si="1"/>
        <v>21.128703288244949</v>
      </c>
    </row>
    <row r="57" spans="2:13" x14ac:dyDescent="0.25">
      <c r="B57" s="28" t="s">
        <v>945</v>
      </c>
      <c r="C57" s="17"/>
      <c r="D57" s="216">
        <f>'[70]Rev_NP-12me'!AJ65</f>
        <v>37724</v>
      </c>
      <c r="E57" s="216">
        <f>'[70]Rev_NP-12me'!AN65*0.746/10^3</f>
        <v>54.206182176660469</v>
      </c>
      <c r="F57" s="216">
        <f>'[70]Rev_NP-12me'!AQ65</f>
        <v>244.70657744652064</v>
      </c>
      <c r="G57" s="218"/>
      <c r="H57" s="218"/>
      <c r="I57" s="218">
        <v>120</v>
      </c>
      <c r="J57" s="216">
        <f>'[70]Rev_NP-12me'!AT65</f>
        <v>2.7902377956886895</v>
      </c>
      <c r="K57" s="216">
        <f>'[70]Rev_NP-12me'!AU65</f>
        <v>150.49602503261957</v>
      </c>
      <c r="L57" s="216">
        <f>'[70]Rev_NP-12me'!AW65</f>
        <v>5.0363280000000001</v>
      </c>
      <c r="M57" s="215">
        <f t="shared" si="1"/>
        <v>158.32259082830825</v>
      </c>
    </row>
    <row r="58" spans="2:13" ht="14.4" x14ac:dyDescent="0.25">
      <c r="B58" s="189" t="s">
        <v>942</v>
      </c>
      <c r="C58" s="17"/>
      <c r="D58" s="219">
        <f>'[70]Rev_NP-12me'!AJ66</f>
        <v>32283</v>
      </c>
      <c r="E58" s="219">
        <f>'[70]Rev_NP-12me'!AN66*0.746/10^3</f>
        <v>46.000844230596115</v>
      </c>
      <c r="F58" s="219">
        <f>'[70]Rev_NP-12me'!AQ66</f>
        <v>214.9432295855618</v>
      </c>
      <c r="G58" s="218">
        <v>32</v>
      </c>
      <c r="H58" s="218">
        <v>6</v>
      </c>
      <c r="I58" s="218">
        <v>120</v>
      </c>
      <c r="J58" s="219">
        <f>'[70]Rev_NP-12me'!AT66</f>
        <v>2.3678718746044116</v>
      </c>
      <c r="K58" s="219">
        <f>'[70]Rev_NP-12me'!AU66</f>
        <v>128.96593775133709</v>
      </c>
      <c r="L58" s="219">
        <f>'[70]Rev_NP-12me'!AW66</f>
        <v>4.30992</v>
      </c>
      <c r="M58" s="218">
        <f t="shared" si="1"/>
        <v>135.64372962594152</v>
      </c>
    </row>
    <row r="59" spans="2:13" ht="14.4" x14ac:dyDescent="0.25">
      <c r="B59" s="189" t="s">
        <v>943</v>
      </c>
      <c r="C59" s="17"/>
      <c r="D59" s="219">
        <f>'[70]Rev_NP-12me'!AJ67</f>
        <v>3840</v>
      </c>
      <c r="E59" s="219">
        <f>'[70]Rev_NP-12me'!AN67*0.746/10^3</f>
        <v>5.5215883416369431</v>
      </c>
      <c r="F59" s="219">
        <f>'[70]Rev_NP-12me'!AQ67</f>
        <v>21.80114186092483</v>
      </c>
      <c r="G59" s="218">
        <v>32</v>
      </c>
      <c r="H59" s="218">
        <v>7.1</v>
      </c>
      <c r="I59" s="218">
        <v>120</v>
      </c>
      <c r="J59" s="219">
        <f>'[70]Rev_NP-12me'!AT67</f>
        <v>0.28422116932822872</v>
      </c>
      <c r="K59" s="219">
        <f>'[70]Rev_NP-12me'!AU67</f>
        <v>15.478810721256627</v>
      </c>
      <c r="L59" s="219">
        <f>'[70]Rev_NP-12me'!AW67</f>
        <v>0.51263999999999998</v>
      </c>
      <c r="M59" s="218">
        <f t="shared" si="1"/>
        <v>16.275671890584857</v>
      </c>
    </row>
    <row r="60" spans="2:13" ht="14.4" x14ac:dyDescent="0.25">
      <c r="B60" s="189" t="s">
        <v>944</v>
      </c>
      <c r="C60" s="17"/>
      <c r="D60" s="219">
        <f>'[70]Rev_NP-12me'!AJ68</f>
        <v>1601</v>
      </c>
      <c r="E60" s="219">
        <f>'[70]Rev_NP-12me'!AN68*0.746/10^3</f>
        <v>2.6837496044274149</v>
      </c>
      <c r="F60" s="219">
        <f>'[70]Rev_NP-12me'!AQ68</f>
        <v>7.9622060000340147</v>
      </c>
      <c r="G60" s="218">
        <v>32</v>
      </c>
      <c r="H60" s="218">
        <v>7.6</v>
      </c>
      <c r="I60" s="218">
        <v>120</v>
      </c>
      <c r="J60" s="219">
        <f>'[70]Rev_NP-12me'!AT68</f>
        <v>0.13814475175604923</v>
      </c>
      <c r="K60" s="219">
        <f>'[70]Rev_NP-12me'!AU68</f>
        <v>6.0512765600258511</v>
      </c>
      <c r="L60" s="219">
        <f>'[70]Rev_NP-12me'!AW68</f>
        <v>0.21376800000000001</v>
      </c>
      <c r="M60" s="218">
        <f t="shared" si="1"/>
        <v>6.4031893117819001</v>
      </c>
    </row>
    <row r="61" spans="2:13" x14ac:dyDescent="0.25">
      <c r="B61" s="28" t="s">
        <v>1114</v>
      </c>
      <c r="C61" s="17"/>
      <c r="D61" s="216">
        <f>'[70]Rev_NP-12me'!AJ69</f>
        <v>0</v>
      </c>
      <c r="E61" s="216">
        <f>'[70]Rev_NP-12me'!AK69</f>
        <v>0</v>
      </c>
      <c r="F61" s="216">
        <f>'[70]Rev_NP-12me'!AQ69</f>
        <v>0</v>
      </c>
      <c r="G61" s="218"/>
      <c r="H61" s="218"/>
      <c r="I61" s="218"/>
      <c r="J61" s="216">
        <f>'[70]Rev_NP-12me'!AT69</f>
        <v>0</v>
      </c>
      <c r="K61" s="216">
        <f>'[70]Rev_NP-12me'!AU69</f>
        <v>0</v>
      </c>
      <c r="L61" s="216">
        <f>'[70]Rev_NP-12me'!AW69</f>
        <v>0</v>
      </c>
      <c r="M61" s="218">
        <f t="shared" si="1"/>
        <v>0</v>
      </c>
    </row>
    <row r="62" spans="2:13" x14ac:dyDescent="0.25">
      <c r="B62" s="28" t="s">
        <v>948</v>
      </c>
      <c r="C62" s="17"/>
      <c r="D62" s="216">
        <f>'[70]Rev_NP-12me'!AJ58</f>
        <v>25008</v>
      </c>
      <c r="E62" s="216">
        <f>'[70]Rev_NP-12me'!AK58</f>
        <v>63.813738706967655</v>
      </c>
      <c r="F62" s="216">
        <f>'[70]Rev_NP-12me'!AQ58</f>
        <v>64.938547990304301</v>
      </c>
      <c r="G62" s="218"/>
      <c r="H62" s="218"/>
      <c r="I62" s="218"/>
      <c r="J62" s="216">
        <f>'[70]Rev_NP-12me'!AT58</f>
        <v>1.7517560220818311</v>
      </c>
      <c r="K62" s="216">
        <f>'[70]Rev_NP-12me'!AU58</f>
        <v>50.644126260891184</v>
      </c>
      <c r="L62" s="216">
        <f>'[70]Rev_NP-12me'!AW58</f>
        <v>2.9642400000000002</v>
      </c>
      <c r="M62" s="215">
        <f t="shared" si="1"/>
        <v>55.360122282973009</v>
      </c>
    </row>
    <row r="63" spans="2:13" ht="14.4" x14ac:dyDescent="0.25">
      <c r="B63" s="187" t="s">
        <v>949</v>
      </c>
      <c r="C63" s="17"/>
      <c r="D63" s="230">
        <f>'[70]Rev_NP-12me'!AJ59</f>
        <v>18480</v>
      </c>
      <c r="E63" s="230">
        <f>'[70]Rev_NP-12me'!AK59</f>
        <v>50.51283068231524</v>
      </c>
      <c r="F63" s="230">
        <f>'[70]Rev_NP-12me'!AQ59</f>
        <v>55.075309896178879</v>
      </c>
      <c r="G63" s="218">
        <v>21</v>
      </c>
      <c r="H63" s="218">
        <v>8.3000000000000007</v>
      </c>
      <c r="I63" s="218">
        <v>100</v>
      </c>
      <c r="J63" s="230">
        <f>'[70]Rev_NP-12me'!AT59</f>
        <v>1.2729233331943441</v>
      </c>
      <c r="K63" s="230">
        <f>'[70]Rev_NP-12me'!AU59</f>
        <v>45.712507213828474</v>
      </c>
      <c r="L63" s="230">
        <f>'[70]Rev_NP-12me'!AW59</f>
        <v>2.19042</v>
      </c>
      <c r="M63" s="218">
        <f t="shared" si="1"/>
        <v>49.175850547022819</v>
      </c>
    </row>
    <row r="64" spans="2:13" ht="14.4" x14ac:dyDescent="0.25">
      <c r="B64" s="187" t="s">
        <v>950</v>
      </c>
      <c r="C64" s="17"/>
      <c r="D64" s="230">
        <f>'[70]Rev_NP-12me'!AJ60</f>
        <v>6528</v>
      </c>
      <c r="E64" s="230">
        <f>'[70]Rev_NP-12me'!AK60</f>
        <v>13.300908024652415</v>
      </c>
      <c r="F64" s="230">
        <f>'[70]Rev_NP-12me'!AQ60</f>
        <v>9.8632380941254176</v>
      </c>
      <c r="G64" s="218">
        <v>30</v>
      </c>
      <c r="H64" s="218">
        <v>5</v>
      </c>
      <c r="I64" s="218">
        <v>100</v>
      </c>
      <c r="J64" s="230">
        <f>'[70]Rev_NP-12me'!AT60</f>
        <v>0.47883268888748698</v>
      </c>
      <c r="K64" s="230">
        <f>'[70]Rev_NP-12me'!AU60</f>
        <v>4.9316190470627079</v>
      </c>
      <c r="L64" s="230">
        <f>'[70]Rev_NP-12me'!AW60</f>
        <v>0.77381999999999995</v>
      </c>
      <c r="M64" s="218">
        <f t="shared" si="1"/>
        <v>6.1842717359501949</v>
      </c>
    </row>
    <row r="65" spans="2:16" x14ac:dyDescent="0.25">
      <c r="B65" s="187" t="s">
        <v>951</v>
      </c>
      <c r="C65" s="17"/>
      <c r="D65" s="212">
        <f>'[70]Rev_NP-12me'!AJ61</f>
        <v>4758</v>
      </c>
      <c r="E65" s="212">
        <f>'[70]Rev_NP-12me'!AK61</f>
        <v>5.1203642596944334</v>
      </c>
      <c r="F65" s="212">
        <f>'[70]Rev_NP-12me'!AQ61</f>
        <v>3.678847483251424</v>
      </c>
      <c r="G65" s="218">
        <v>30</v>
      </c>
      <c r="H65" s="218">
        <v>5</v>
      </c>
      <c r="I65" s="218">
        <v>100</v>
      </c>
      <c r="J65" s="212">
        <f>'[70]Rev_NP-12me'!AT61</f>
        <v>0.1843331133489996</v>
      </c>
      <c r="K65" s="212">
        <f>'[70]Rev_NP-12me'!AU61</f>
        <v>1.839423741625712</v>
      </c>
      <c r="L65" s="212">
        <f>'[70]Rev_NP-12me'!AW61</f>
        <v>0.56399999999999995</v>
      </c>
      <c r="M65" s="218">
        <f t="shared" si="1"/>
        <v>2.5877568549747116</v>
      </c>
    </row>
    <row r="66" spans="2:16" x14ac:dyDescent="0.25">
      <c r="B66" s="187" t="s">
        <v>952</v>
      </c>
      <c r="C66" s="17"/>
      <c r="D66" s="212">
        <f>'[70]Rev_NP-12me'!AJ62</f>
        <v>1770</v>
      </c>
      <c r="E66" s="212">
        <f>'[70]Rev_NP-12me'!AK62</f>
        <v>8.1805437649579815</v>
      </c>
      <c r="F66" s="212">
        <f>'[70]Rev_NP-12me'!AQ62</f>
        <v>6.1843906108739919</v>
      </c>
      <c r="G66" s="218">
        <v>30</v>
      </c>
      <c r="H66" s="218">
        <v>5</v>
      </c>
      <c r="I66" s="218">
        <v>100</v>
      </c>
      <c r="J66" s="212">
        <f>'[70]Rev_NP-12me'!AT62</f>
        <v>0.29449957553848738</v>
      </c>
      <c r="K66" s="212">
        <f>'[70]Rev_NP-12me'!AU62</f>
        <v>3.0921953054369959</v>
      </c>
      <c r="L66" s="212">
        <f>'[70]Rev_NP-12me'!AW62</f>
        <v>0.20982000000000001</v>
      </c>
      <c r="M66" s="218">
        <f t="shared" si="1"/>
        <v>3.5965148809754832</v>
      </c>
    </row>
    <row r="67" spans="2:16" x14ac:dyDescent="0.25">
      <c r="B67" s="28" t="s">
        <v>953</v>
      </c>
      <c r="C67" s="17"/>
      <c r="D67" s="216">
        <f>'[70]Rev_NP-12me'!AJ63</f>
        <v>3316</v>
      </c>
      <c r="E67" s="216">
        <f>'[70]Rev_NP-12me'!AK63</f>
        <v>13.471219287369088</v>
      </c>
      <c r="F67" s="216">
        <f>'[70]Rev_NP-12me'!AQ63</f>
        <v>14.863451400000002</v>
      </c>
      <c r="G67" s="218">
        <v>21</v>
      </c>
      <c r="H67" s="218">
        <v>12</v>
      </c>
      <c r="I67" s="218">
        <v>100</v>
      </c>
      <c r="J67" s="216">
        <f>'[70]Rev_NP-12me'!AT63</f>
        <v>0.33947472604170098</v>
      </c>
      <c r="K67" s="216">
        <f>'[70]Rev_NP-12me'!AU63</f>
        <v>17.836141680000004</v>
      </c>
      <c r="L67" s="216">
        <f>'[70]Rev_NP-12me'!AW63</f>
        <v>0.39179999999999998</v>
      </c>
      <c r="M67" s="215">
        <f t="shared" si="1"/>
        <v>18.567416406041705</v>
      </c>
    </row>
    <row r="68" spans="2:16" x14ac:dyDescent="0.25">
      <c r="B68" s="28" t="s">
        <v>1115</v>
      </c>
      <c r="C68" s="17"/>
      <c r="D68" s="216">
        <f>'[70]Rev_NP-12me'!AJ64</f>
        <v>263</v>
      </c>
      <c r="E68" s="216">
        <f>'[70]Rev_NP-12me'!AK64</f>
        <v>9.0112500000000004</v>
      </c>
      <c r="F68" s="216">
        <f>'[70]Rev_NP-12me'!AQ64</f>
        <v>9.1875167639999997</v>
      </c>
      <c r="G68" s="218">
        <v>50</v>
      </c>
      <c r="H68" s="218">
        <v>6</v>
      </c>
      <c r="I68" s="218">
        <v>120</v>
      </c>
      <c r="J68" s="216">
        <f>'[70]Rev_NP-12me'!AT64</f>
        <v>0.54067500000000002</v>
      </c>
      <c r="K68" s="216">
        <f>'[70]Rev_NP-12me'!AU64</f>
        <v>5.5125100583999993</v>
      </c>
      <c r="L68" s="216">
        <f>'[70]Rev_NP-12me'!AW64</f>
        <v>2.1096E-2</v>
      </c>
      <c r="M68" s="215">
        <f t="shared" si="1"/>
        <v>6.0742810583999995</v>
      </c>
    </row>
    <row r="69" spans="2:16" x14ac:dyDescent="0.25">
      <c r="B69" s="28"/>
      <c r="C69" s="17"/>
      <c r="D69" s="212"/>
      <c r="E69" s="212"/>
      <c r="F69" s="212"/>
      <c r="G69" s="212"/>
      <c r="H69" s="212"/>
      <c r="I69" s="212"/>
      <c r="J69" s="212"/>
      <c r="K69" s="212"/>
      <c r="L69" s="212"/>
      <c r="M69" s="212"/>
    </row>
    <row r="70" spans="2:16" x14ac:dyDescent="0.25">
      <c r="B70" s="28" t="s">
        <v>1116</v>
      </c>
      <c r="C70" s="17"/>
      <c r="D70" s="234">
        <f>SUM(D9,D22,D35,D42,D45,D53,D57,D61,D62,D67,D68)</f>
        <v>6325956</v>
      </c>
      <c r="E70" s="234">
        <f>SUM(E9,E22,E35,E42,E45,E53,E57,E61,E62,E67,E68)</f>
        <v>12352.26868121064</v>
      </c>
      <c r="F70" s="234">
        <f>SUM(F9,F22,F35,F42,F45,F53,F57,F61,F62,F67,F68)</f>
        <v>14310.552723636478</v>
      </c>
      <c r="G70" s="234"/>
      <c r="H70" s="234"/>
      <c r="I70" s="234"/>
      <c r="J70" s="234">
        <f>SUM(J9,J22,J35,J42,J45,J53,J57,J61,J62,J67,J68)</f>
        <v>190.90287748166546</v>
      </c>
      <c r="K70" s="234">
        <f>SUM(K9,K22,K35,K42,K45,K53,K57,K61,K62,K67,K68)</f>
        <v>3163.2917090533065</v>
      </c>
      <c r="L70" s="234">
        <f>SUM(L9,L22,L35,L42,L45,L53,L57,L61,L62,L67,L68)</f>
        <v>424.17754200000007</v>
      </c>
      <c r="M70" s="234">
        <f>SUM(M9,M22,M35,M42,M45,M53,M57,M61,M62,M67,M68)</f>
        <v>3778.3721285349729</v>
      </c>
    </row>
    <row r="71" spans="2:16" x14ac:dyDescent="0.25">
      <c r="B71" s="186"/>
      <c r="C71" s="107"/>
      <c r="D71" s="215"/>
      <c r="E71" s="215"/>
      <c r="F71" s="215"/>
      <c r="G71" s="215"/>
      <c r="H71" s="215"/>
      <c r="I71" s="215"/>
      <c r="J71" s="215"/>
      <c r="K71" s="215"/>
      <c r="L71" s="215"/>
      <c r="M71" s="215"/>
    </row>
    <row r="72" spans="2:16" x14ac:dyDescent="0.25">
      <c r="B72" s="907" t="s">
        <v>799</v>
      </c>
      <c r="C72" s="907"/>
      <c r="D72" s="212"/>
      <c r="E72" s="212"/>
      <c r="F72" s="212"/>
      <c r="G72" s="212"/>
      <c r="H72" s="212"/>
      <c r="I72" s="212"/>
      <c r="J72" s="212"/>
      <c r="K72" s="212"/>
      <c r="L72" s="212"/>
      <c r="M72" s="212"/>
    </row>
    <row r="73" spans="2:16" x14ac:dyDescent="0.25">
      <c r="B73" s="217" t="s">
        <v>191</v>
      </c>
      <c r="C73" s="17"/>
      <c r="D73" s="212"/>
      <c r="E73" s="212"/>
      <c r="F73" s="212"/>
      <c r="G73" s="212"/>
      <c r="H73" s="212"/>
      <c r="I73" s="212"/>
      <c r="J73" s="212"/>
      <c r="K73" s="212"/>
      <c r="L73" s="212"/>
      <c r="M73" s="212"/>
    </row>
    <row r="74" spans="2:16" x14ac:dyDescent="0.25">
      <c r="B74" s="217" t="s">
        <v>1117</v>
      </c>
      <c r="C74" s="82"/>
      <c r="D74" s="216">
        <f>'[70]Rev_NP-12me'!AJ84</f>
        <v>2661</v>
      </c>
      <c r="E74" s="216">
        <f>'[70]Rev_NP-12me'!AK$84</f>
        <v>599.61811242746342</v>
      </c>
      <c r="F74" s="216">
        <f>'[70]Rev_NP-12me'!AQ$84</f>
        <v>1181.2828205451319</v>
      </c>
      <c r="G74" s="215"/>
      <c r="H74" s="215"/>
      <c r="I74" s="215"/>
      <c r="J74" s="216">
        <f>'[70]Rev_NP-12me'!AT$84</f>
        <v>237.55532269848919</v>
      </c>
      <c r="K74" s="216">
        <f>'[70]Rev_NP-12me'!AU$84</f>
        <v>910.86730013719148</v>
      </c>
      <c r="L74" s="216">
        <f>'[70]Rev_NP-12me'!AW$84</f>
        <v>6.0480000000000009</v>
      </c>
      <c r="M74" s="215">
        <f t="shared" ref="M74:M119" si="2">SUM(J74:L74)</f>
        <v>1154.4706228356806</v>
      </c>
    </row>
    <row r="75" spans="2:16" x14ac:dyDescent="0.25">
      <c r="B75" s="233" t="s">
        <v>1118</v>
      </c>
      <c r="C75" s="82"/>
      <c r="D75" s="224">
        <f>'[70]Rev_NP-12me'!AJ85</f>
        <v>2644</v>
      </c>
      <c r="E75" s="224">
        <f>'[70]Rev_NP-12me'!$AK$85</f>
        <v>594.08867834567366</v>
      </c>
      <c r="F75" s="224">
        <f>'[70]Rev_NP-12me'!$AQ$85</f>
        <v>1164.2845627108027</v>
      </c>
      <c r="G75" s="218"/>
      <c r="H75" s="218"/>
      <c r="I75" s="218"/>
      <c r="J75" s="224">
        <f>'[70]Rev_NP-12me'!$AT$85</f>
        <v>235.03390075719307</v>
      </c>
      <c r="K75" s="224">
        <f>'[70]Rev_NP-12me'!$AU$85</f>
        <v>897.78873228213274</v>
      </c>
      <c r="L75" s="224">
        <f>'[70]Rev_NP-12me'!$AW$85</f>
        <v>6.0096000000000007</v>
      </c>
      <c r="M75" s="218">
        <f t="shared" si="2"/>
        <v>1138.832233039326</v>
      </c>
    </row>
    <row r="76" spans="2:16" ht="14.4" x14ac:dyDescent="0.25">
      <c r="B76" s="221" t="s">
        <v>1119</v>
      </c>
      <c r="C76" s="82"/>
      <c r="D76" s="230">
        <f>'[70]Rev_NP-12me'!AJ86</f>
        <v>1865</v>
      </c>
      <c r="E76" s="230">
        <f>'[70]Rev_NP-12me'!$AK$86</f>
        <v>494.44829898891209</v>
      </c>
      <c r="F76" s="230">
        <f>'[70]Rev_NP-12me'!$AQ$86</f>
        <v>328.96510266626433</v>
      </c>
      <c r="G76" s="220">
        <v>475</v>
      </c>
      <c r="H76" s="220">
        <v>7.65</v>
      </c>
      <c r="I76" s="220">
        <v>2000</v>
      </c>
      <c r="J76" s="230">
        <f>'[70]Rev_NP-12me'!$AT$86</f>
        <v>225.46842433894395</v>
      </c>
      <c r="K76" s="230">
        <f>'[70]Rev_NP-12me'!$AU$86</f>
        <v>251.65830353969221</v>
      </c>
      <c r="L76" s="230">
        <f>'[70]Rev_NP-12me'!$AW$86</f>
        <v>4.2396000000000003</v>
      </c>
      <c r="M76" s="218">
        <f t="shared" si="2"/>
        <v>481.36632787863618</v>
      </c>
      <c r="O76" s="929"/>
      <c r="P76" s="929"/>
    </row>
    <row r="77" spans="2:16" ht="25.95" customHeight="1" x14ac:dyDescent="0.25">
      <c r="B77" s="232" t="s">
        <v>1120</v>
      </c>
      <c r="C77" s="17"/>
      <c r="D77" s="230">
        <f>'[70]Rev_NP-12me'!AJ87</f>
        <v>779</v>
      </c>
      <c r="E77" s="230">
        <f>'[70]Rev_NP-12me'!$AK$87</f>
        <v>99.640379356761542</v>
      </c>
      <c r="F77" s="230">
        <f>'[70]Rev_NP-12me'!$AQ$87</f>
        <v>187.19745400961693</v>
      </c>
      <c r="G77" s="220">
        <v>100</v>
      </c>
      <c r="H77" s="220">
        <v>8</v>
      </c>
      <c r="I77" s="220">
        <v>2000</v>
      </c>
      <c r="J77" s="230">
        <f>'[70]Rev_NP-12me'!$AT$87</f>
        <v>9.5654764182491085</v>
      </c>
      <c r="K77" s="230">
        <f>'[70]Rev_NP-12me'!$AU$87</f>
        <v>149.75796320769354</v>
      </c>
      <c r="L77" s="230">
        <f>'[70]Rev_NP-12me'!$AW$87</f>
        <v>1.77</v>
      </c>
      <c r="M77" s="218">
        <f t="shared" si="2"/>
        <v>161.09343962594266</v>
      </c>
      <c r="O77" s="231"/>
      <c r="P77" s="231"/>
    </row>
    <row r="78" spans="2:16" ht="14.4" x14ac:dyDescent="0.25">
      <c r="B78" s="221" t="s">
        <v>1121</v>
      </c>
      <c r="C78" s="17"/>
      <c r="D78" s="230">
        <f>'[70]Rev_NP-12me'!AJ88</f>
        <v>0</v>
      </c>
      <c r="E78" s="230">
        <f>'[70]Rev_NP-12me'!$AK$88</f>
        <v>0</v>
      </c>
      <c r="F78" s="230">
        <f>'[70]Rev_NP-12me'!$AQ$88</f>
        <v>0</v>
      </c>
      <c r="G78" s="220">
        <v>0</v>
      </c>
      <c r="H78" s="220">
        <v>7.65</v>
      </c>
      <c r="I78" s="220">
        <v>2000</v>
      </c>
      <c r="J78" s="230">
        <f>'[70]Rev_NP-12me'!$AT$88</f>
        <v>0</v>
      </c>
      <c r="K78" s="230">
        <f>'[70]Rev_NP-12me'!$AU$88</f>
        <v>0</v>
      </c>
      <c r="L78" s="230">
        <f>'[70]Rev_NP-12me'!$AW$88</f>
        <v>0</v>
      </c>
      <c r="M78" s="218">
        <f t="shared" si="2"/>
        <v>0</v>
      </c>
      <c r="O78" s="229"/>
      <c r="P78" s="228"/>
    </row>
    <row r="79" spans="2:16" ht="14.4" x14ac:dyDescent="0.25">
      <c r="B79" s="221" t="s">
        <v>1122</v>
      </c>
      <c r="C79" s="17"/>
      <c r="D79" s="230">
        <f>'[70]Rev_NP-12me'!AJ89</f>
        <v>0</v>
      </c>
      <c r="E79" s="230">
        <f>'[70]Rev_NP-12me'!$AK$89</f>
        <v>0</v>
      </c>
      <c r="F79" s="230">
        <f>'[70]Rev_NP-12me'!$AQ$89</f>
        <v>0</v>
      </c>
      <c r="G79" s="220">
        <v>0</v>
      </c>
      <c r="H79" s="220">
        <v>7.3</v>
      </c>
      <c r="I79" s="220">
        <v>2000</v>
      </c>
      <c r="J79" s="230">
        <f>'[70]Rev_NP-12me'!$AT$89</f>
        <v>0</v>
      </c>
      <c r="K79" s="230">
        <f>'[70]Rev_NP-12me'!$AU$89</f>
        <v>0</v>
      </c>
      <c r="L79" s="230">
        <f>'[70]Rev_NP-12me'!$AW$89</f>
        <v>0</v>
      </c>
      <c r="M79" s="218">
        <f t="shared" si="2"/>
        <v>0</v>
      </c>
      <c r="O79" s="229"/>
      <c r="P79" s="228"/>
    </row>
    <row r="80" spans="2:16" ht="14.4" x14ac:dyDescent="0.25">
      <c r="B80" s="221" t="s">
        <v>1123</v>
      </c>
      <c r="C80" s="17"/>
      <c r="D80" s="230">
        <f>'[70]Rev_NP-12me'!AJ90</f>
        <v>0</v>
      </c>
      <c r="E80" s="230">
        <f>'[70]Rev_NP-12me'!$AK$90</f>
        <v>0</v>
      </c>
      <c r="F80" s="230">
        <f>'[70]Rev_NP-12me'!$AQ$90</f>
        <v>0</v>
      </c>
      <c r="G80" s="220">
        <v>475</v>
      </c>
      <c r="H80" s="220">
        <v>8.6</v>
      </c>
      <c r="I80" s="220">
        <v>2000</v>
      </c>
      <c r="J80" s="230">
        <f>'[70]Rev_NP-12me'!$AT$90</f>
        <v>0</v>
      </c>
      <c r="K80" s="230">
        <f>'[70]Rev_NP-12me'!$AU$90</f>
        <v>0</v>
      </c>
      <c r="L80" s="230">
        <f>'[70]Rev_NP-12me'!$AW$90</f>
        <v>0</v>
      </c>
      <c r="M80" s="218">
        <f t="shared" si="2"/>
        <v>0</v>
      </c>
      <c r="O80" s="229"/>
      <c r="P80" s="228"/>
    </row>
    <row r="81" spans="2:16" ht="17.399999999999999" customHeight="1" x14ac:dyDescent="0.25">
      <c r="B81" s="223" t="s">
        <v>1124</v>
      </c>
      <c r="C81" s="17"/>
      <c r="D81" s="230">
        <f>'[70]Rev_NP-12me'!AJ91</f>
        <v>0</v>
      </c>
      <c r="E81" s="230">
        <f>'[70]Rev_NP-12me'!$AK$91</f>
        <v>0</v>
      </c>
      <c r="F81" s="230">
        <f>'[70]Rev_NP-12me'!$AQ$91</f>
        <v>168.50433604288685</v>
      </c>
      <c r="G81" s="220">
        <v>0</v>
      </c>
      <c r="H81" s="220">
        <v>8.65</v>
      </c>
      <c r="I81" s="220">
        <v>2000</v>
      </c>
      <c r="J81" s="230">
        <f>'[70]Rev_NP-12me'!$AT$91</f>
        <v>0</v>
      </c>
      <c r="K81" s="230">
        <f>'[70]Rev_NP-12me'!$AU$91</f>
        <v>145.75625067709714</v>
      </c>
      <c r="L81" s="230">
        <f>'[70]Rev_NP-12me'!$AW$91</f>
        <v>0</v>
      </c>
      <c r="M81" s="218">
        <f t="shared" si="2"/>
        <v>145.75625067709714</v>
      </c>
      <c r="O81" s="229"/>
      <c r="P81" s="228"/>
    </row>
    <row r="82" spans="2:16" ht="14.4" x14ac:dyDescent="0.25">
      <c r="B82" s="223" t="s">
        <v>1125</v>
      </c>
      <c r="C82" s="17"/>
      <c r="D82" s="230">
        <f>'[70]Rev_NP-12me'!AJ92</f>
        <v>0</v>
      </c>
      <c r="E82" s="230">
        <f>'[70]Rev_NP-12me'!$AK$92</f>
        <v>0</v>
      </c>
      <c r="F82" s="230">
        <f>'[70]Rev_NP-12me'!$AQ$92</f>
        <v>158.35232156473441</v>
      </c>
      <c r="G82" s="220">
        <v>0</v>
      </c>
      <c r="H82" s="220">
        <v>8.65</v>
      </c>
      <c r="I82" s="220">
        <v>2000</v>
      </c>
      <c r="J82" s="230">
        <f>'[70]Rev_NP-12me'!$AT$92</f>
        <v>0</v>
      </c>
      <c r="K82" s="230">
        <f>'[70]Rev_NP-12me'!$AU$92</f>
        <v>136.97475815349529</v>
      </c>
      <c r="L82" s="230">
        <f>'[70]Rev_NP-12me'!$AW$92</f>
        <v>0</v>
      </c>
      <c r="M82" s="218">
        <f t="shared" si="2"/>
        <v>136.97475815349529</v>
      </c>
      <c r="O82" s="229"/>
      <c r="P82" s="228"/>
    </row>
    <row r="83" spans="2:16" ht="15" customHeight="1" x14ac:dyDescent="0.25">
      <c r="B83" s="223" t="s">
        <v>1126</v>
      </c>
      <c r="C83" s="17"/>
      <c r="D83" s="230">
        <f>'[70]Rev_NP-12me'!AJ93</f>
        <v>0</v>
      </c>
      <c r="E83" s="230">
        <f>'[70]Rev_NP-12me'!$AK$93</f>
        <v>0</v>
      </c>
      <c r="F83" s="230">
        <f>'[70]Rev_NP-12me'!$AQ$93</f>
        <v>321.26534842730024</v>
      </c>
      <c r="G83" s="220">
        <v>0</v>
      </c>
      <c r="H83" s="220">
        <v>6.65</v>
      </c>
      <c r="I83" s="220">
        <v>2000</v>
      </c>
      <c r="J83" s="230">
        <f>'[70]Rev_NP-12me'!$AT$93</f>
        <v>0</v>
      </c>
      <c r="K83" s="230">
        <f>'[70]Rev_NP-12me'!$AU$93</f>
        <v>213.64145670415468</v>
      </c>
      <c r="L83" s="230">
        <f>'[70]Rev_NP-12me'!$AW$93</f>
        <v>0</v>
      </c>
      <c r="M83" s="218">
        <f t="shared" si="2"/>
        <v>213.64145670415468</v>
      </c>
      <c r="O83" s="229"/>
      <c r="P83" s="228"/>
    </row>
    <row r="84" spans="2:16" x14ac:dyDescent="0.25">
      <c r="B84" s="217" t="s">
        <v>1127</v>
      </c>
      <c r="C84" s="17"/>
      <c r="D84" s="224">
        <f>'[70]Rev_NP-12me'!AJ94</f>
        <v>17</v>
      </c>
      <c r="E84" s="224">
        <f>'[70]Rev_NP-12me'!$AK$94</f>
        <v>5.5294340817897405</v>
      </c>
      <c r="F84" s="224">
        <f>'[70]Rev_NP-12me'!$AQ$94</f>
        <v>16.998257834329365</v>
      </c>
      <c r="G84" s="218">
        <v>0</v>
      </c>
      <c r="H84" s="218">
        <v>0</v>
      </c>
      <c r="I84" s="218">
        <v>0</v>
      </c>
      <c r="J84" s="224">
        <f>'[70]Rev_NP-12me'!$AT$94</f>
        <v>2.5214219412961216</v>
      </c>
      <c r="K84" s="224">
        <f>'[70]Rev_NP-12me'!$AU$94</f>
        <v>13.078567855058704</v>
      </c>
      <c r="L84" s="224">
        <f>'[70]Rev_NP-12me'!$AW$94</f>
        <v>3.8399999999999997E-2</v>
      </c>
      <c r="M84" s="215">
        <f t="shared" si="2"/>
        <v>15.638389796354826</v>
      </c>
      <c r="O84" s="229"/>
      <c r="P84" s="228"/>
    </row>
    <row r="85" spans="2:16" ht="13.2" customHeight="1" x14ac:dyDescent="0.25">
      <c r="B85" s="223" t="s">
        <v>1128</v>
      </c>
      <c r="C85" s="17"/>
      <c r="D85" s="219">
        <f>'[70]Rev_NP-12me'!AJ95</f>
        <v>17</v>
      </c>
      <c r="E85" s="219">
        <f>'[70]Rev_NP-12me'!$AK$95</f>
        <v>5.5294340817897405</v>
      </c>
      <c r="F85" s="219">
        <f>'[70]Rev_NP-12me'!$AQ$95</f>
        <v>5.9511083541356351</v>
      </c>
      <c r="G85" s="220">
        <v>475</v>
      </c>
      <c r="H85" s="220">
        <v>7.65</v>
      </c>
      <c r="I85" s="220">
        <v>2000</v>
      </c>
      <c r="J85" s="219">
        <f>'[70]Rev_NP-12me'!$AT$95</f>
        <v>2.5214219412961216</v>
      </c>
      <c r="K85" s="219">
        <f>'[70]Rev_NP-12me'!$AU$95</f>
        <v>4.552597890913761</v>
      </c>
      <c r="L85" s="219">
        <f>'[70]Rev_NP-12me'!$AW$95</f>
        <v>3.8399999999999997E-2</v>
      </c>
      <c r="M85" s="218">
        <f t="shared" si="2"/>
        <v>7.1124198322098833</v>
      </c>
      <c r="O85" s="229"/>
      <c r="P85" s="228"/>
    </row>
    <row r="86" spans="2:16" ht="14.4" x14ac:dyDescent="0.25">
      <c r="B86" s="223" t="s">
        <v>1129</v>
      </c>
      <c r="C86" s="17"/>
      <c r="D86" s="219">
        <f>'[70]Rev_NP-12me'!AJ96</f>
        <v>0</v>
      </c>
      <c r="E86" s="219">
        <f>'[70]Rev_NP-12me'!$AK$96</f>
        <v>0</v>
      </c>
      <c r="F86" s="219">
        <f>'[70]Rev_NP-12me'!$AQ$96</f>
        <v>3.2149797639242799</v>
      </c>
      <c r="G86" s="220">
        <v>0</v>
      </c>
      <c r="H86" s="220">
        <v>8.65</v>
      </c>
      <c r="I86" s="220">
        <v>2000</v>
      </c>
      <c r="J86" s="219">
        <f>'[70]Rev_NP-12me'!$AT$96</f>
        <v>0</v>
      </c>
      <c r="K86" s="219">
        <f>'[70]Rev_NP-12me'!$AU$96</f>
        <v>2.7809574957945022</v>
      </c>
      <c r="L86" s="219">
        <f>'[70]Rev_NP-12me'!$AW$96</f>
        <v>0</v>
      </c>
      <c r="M86" s="218">
        <f t="shared" si="2"/>
        <v>2.7809574957945022</v>
      </c>
      <c r="O86" s="229"/>
    </row>
    <row r="87" spans="2:16" ht="14.4" x14ac:dyDescent="0.25">
      <c r="B87" s="223" t="s">
        <v>1130</v>
      </c>
      <c r="C87" s="17"/>
      <c r="D87" s="219">
        <f>'[70]Rev_NP-12me'!AJ97</f>
        <v>0</v>
      </c>
      <c r="E87" s="219">
        <f>'[70]Rev_NP-12me'!$AK$97</f>
        <v>0</v>
      </c>
      <c r="F87" s="219">
        <f>'[70]Rev_NP-12me'!$AQ$97</f>
        <v>2.6830980351562941</v>
      </c>
      <c r="G87" s="220">
        <v>0</v>
      </c>
      <c r="H87" s="220">
        <v>8.65</v>
      </c>
      <c r="I87" s="220">
        <v>2000</v>
      </c>
      <c r="J87" s="219">
        <f>'[70]Rev_NP-12me'!$AT$97</f>
        <v>0</v>
      </c>
      <c r="K87" s="219">
        <f>'[70]Rev_NP-12me'!$AU$97</f>
        <v>2.3208798004101943</v>
      </c>
      <c r="L87" s="219">
        <f>'[70]Rev_NP-12me'!$AW$97</f>
        <v>0</v>
      </c>
      <c r="M87" s="218">
        <f t="shared" si="2"/>
        <v>2.3208798004101943</v>
      </c>
      <c r="O87" s="229"/>
      <c r="P87" s="228"/>
    </row>
    <row r="88" spans="2:16" ht="17.399999999999999" customHeight="1" x14ac:dyDescent="0.25">
      <c r="B88" s="223" t="s">
        <v>1131</v>
      </c>
      <c r="C88" s="17"/>
      <c r="D88" s="219">
        <f>'[70]Rev_NP-12me'!AJ98</f>
        <v>0</v>
      </c>
      <c r="E88" s="219">
        <f>'[70]Rev_NP-12me'!$AK$98</f>
        <v>0</v>
      </c>
      <c r="F88" s="219">
        <f>'[70]Rev_NP-12me'!$AQ$98</f>
        <v>5.1490716811131554</v>
      </c>
      <c r="G88" s="220">
        <v>0</v>
      </c>
      <c r="H88" s="220">
        <v>6.65</v>
      </c>
      <c r="I88" s="220">
        <v>2000</v>
      </c>
      <c r="J88" s="219">
        <f>'[70]Rev_NP-12me'!$AT$98</f>
        <v>0</v>
      </c>
      <c r="K88" s="219">
        <f>'[70]Rev_NP-12me'!$AU$98</f>
        <v>3.4241326679402482</v>
      </c>
      <c r="L88" s="219">
        <f>'[70]Rev_NP-12me'!$AW$98</f>
        <v>0</v>
      </c>
      <c r="M88" s="218">
        <f t="shared" si="2"/>
        <v>3.4241326679402482</v>
      </c>
      <c r="O88" s="229"/>
      <c r="P88" s="228"/>
    </row>
    <row r="89" spans="2:16" x14ac:dyDescent="0.25">
      <c r="B89" s="217" t="s">
        <v>1132</v>
      </c>
      <c r="C89" s="17"/>
      <c r="D89" s="216">
        <f>'[70]Rev_NP-12me'!AJ99</f>
        <v>0</v>
      </c>
      <c r="E89" s="216">
        <f>'[70]Rev_NP-12me'!$AK$99</f>
        <v>0</v>
      </c>
      <c r="F89" s="216">
        <f>'[70]Rev_NP-12me'!$AQ$99</f>
        <v>0</v>
      </c>
      <c r="G89" s="215">
        <v>475</v>
      </c>
      <c r="H89" s="215">
        <v>7.65</v>
      </c>
      <c r="I89" s="215">
        <v>2000</v>
      </c>
      <c r="J89" s="216">
        <f>'[70]Rev_NP-12me'!$AT$99</f>
        <v>0</v>
      </c>
      <c r="K89" s="216">
        <f>'[70]Rev_NP-12me'!$AU$99</f>
        <v>0</v>
      </c>
      <c r="L89" s="216">
        <f>'[70]Rev_NP-12me'!$AW$99</f>
        <v>0</v>
      </c>
      <c r="M89" s="215">
        <f t="shared" si="2"/>
        <v>0</v>
      </c>
    </row>
    <row r="90" spans="2:16" x14ac:dyDescent="0.25">
      <c r="B90" s="217" t="s">
        <v>1133</v>
      </c>
      <c r="C90" s="17"/>
      <c r="D90" s="216">
        <f>'[70]Rev_NP-12me'!$AJ$100</f>
        <v>783</v>
      </c>
      <c r="E90" s="216">
        <f>'[70]Rev_NP-12me'!$AK$100</f>
        <v>123.00756362503697</v>
      </c>
      <c r="F90" s="216">
        <f>'[70]Rev_NP-12me'!$AQ$100</f>
        <v>217.70021117042339</v>
      </c>
      <c r="G90" s="215">
        <v>0</v>
      </c>
      <c r="H90" s="215">
        <v>0</v>
      </c>
      <c r="I90" s="215">
        <v>0</v>
      </c>
      <c r="J90" s="216">
        <f>'[70]Rev_NP-12me'!$AT$100</f>
        <v>56.091449013016863</v>
      </c>
      <c r="K90" s="216">
        <f>'[70]Rev_NP-12me'!$AU$100</f>
        <v>194.29824727527793</v>
      </c>
      <c r="L90" s="216">
        <f>'[70]Rev_NP-12me'!$AW$100</f>
        <v>1.8468</v>
      </c>
      <c r="M90" s="215">
        <f t="shared" si="2"/>
        <v>252.2364962882948</v>
      </c>
    </row>
    <row r="91" spans="2:16" ht="14.4" x14ac:dyDescent="0.25">
      <c r="B91" s="221" t="s">
        <v>1134</v>
      </c>
      <c r="C91" s="17"/>
      <c r="D91" s="219">
        <f>'[70]Rev_NP-12me'!AJ101</f>
        <v>783</v>
      </c>
      <c r="E91" s="219">
        <f>'[70]Rev_NP-12me'!AK101</f>
        <v>123.00756362503697</v>
      </c>
      <c r="F91" s="219">
        <f>'[70]Rev_NP-12me'!AQ101</f>
        <v>95.932255235185806</v>
      </c>
      <c r="G91" s="220">
        <v>475</v>
      </c>
      <c r="H91" s="220">
        <v>8.8000000000000007</v>
      </c>
      <c r="I91" s="220">
        <v>2000</v>
      </c>
      <c r="J91" s="219">
        <f>'[70]Rev_NP-12me'!AT101</f>
        <v>56.091449013016863</v>
      </c>
      <c r="K91" s="219">
        <f>'[70]Rev_NP-12me'!AU101</f>
        <v>84.420384606963509</v>
      </c>
      <c r="L91" s="219">
        <f>'[70]Rev_NP-12me'!AW101</f>
        <v>1.8468</v>
      </c>
      <c r="M91" s="218">
        <f t="shared" si="2"/>
        <v>142.35863361998037</v>
      </c>
    </row>
    <row r="92" spans="2:16" ht="14.4" x14ac:dyDescent="0.25">
      <c r="B92" s="221" t="s">
        <v>1100</v>
      </c>
      <c r="C92" s="17"/>
      <c r="D92" s="219">
        <f>'[70]Rev_NP-12me'!AJ102</f>
        <v>0</v>
      </c>
      <c r="E92" s="219">
        <f>'[70]Rev_NP-12me'!AK102</f>
        <v>0</v>
      </c>
      <c r="F92" s="219">
        <f>'[70]Rev_NP-12me'!AQ102</f>
        <v>48.975402124001917</v>
      </c>
      <c r="G92" s="220">
        <v>0</v>
      </c>
      <c r="H92" s="220">
        <v>9.8000000000000007</v>
      </c>
      <c r="I92" s="220">
        <v>2000</v>
      </c>
      <c r="J92" s="219">
        <f>'[70]Rev_NP-12me'!AT102</f>
        <v>0</v>
      </c>
      <c r="K92" s="219">
        <f>'[70]Rev_NP-12me'!AU102</f>
        <v>47.995894081521882</v>
      </c>
      <c r="L92" s="219">
        <f>'[70]Rev_NP-12me'!AW102</f>
        <v>0</v>
      </c>
      <c r="M92" s="218">
        <f t="shared" si="2"/>
        <v>47.995894081521882</v>
      </c>
    </row>
    <row r="93" spans="2:16" ht="14.4" x14ac:dyDescent="0.25">
      <c r="B93" s="221" t="s">
        <v>1101</v>
      </c>
      <c r="C93" s="17"/>
      <c r="D93" s="219">
        <f>'[70]Rev_NP-12me'!AJ103</f>
        <v>0</v>
      </c>
      <c r="E93" s="219">
        <f>'[70]Rev_NP-12me'!AK103</f>
        <v>0</v>
      </c>
      <c r="F93" s="219">
        <f>'[70]Rev_NP-12me'!AQ103</f>
        <v>25.518883070143715</v>
      </c>
      <c r="G93" s="220">
        <v>0</v>
      </c>
      <c r="H93" s="220">
        <v>9.8000000000000007</v>
      </c>
      <c r="I93" s="220">
        <v>2000</v>
      </c>
      <c r="J93" s="219">
        <f>'[70]Rev_NP-12me'!AT103</f>
        <v>0</v>
      </c>
      <c r="K93" s="219">
        <f>'[70]Rev_NP-12me'!AU103</f>
        <v>25.008505408740842</v>
      </c>
      <c r="L93" s="219">
        <f>'[70]Rev_NP-12me'!AW103</f>
        <v>0</v>
      </c>
      <c r="M93" s="218">
        <f t="shared" si="2"/>
        <v>25.008505408740842</v>
      </c>
    </row>
    <row r="94" spans="2:16" ht="14.4" x14ac:dyDescent="0.25">
      <c r="B94" s="221" t="s">
        <v>1102</v>
      </c>
      <c r="C94" s="17"/>
      <c r="D94" s="219">
        <f>'[70]Rev_NP-12me'!AJ104</f>
        <v>0</v>
      </c>
      <c r="E94" s="219">
        <f>'[70]Rev_NP-12me'!AK104</f>
        <v>0</v>
      </c>
      <c r="F94" s="219">
        <f>'[70]Rev_NP-12me'!AQ104</f>
        <v>47.273670741091927</v>
      </c>
      <c r="G94" s="220">
        <v>0</v>
      </c>
      <c r="H94" s="220">
        <v>7.8</v>
      </c>
      <c r="I94" s="220">
        <v>2000</v>
      </c>
      <c r="J94" s="219">
        <f>'[70]Rev_NP-12me'!AT104</f>
        <v>0</v>
      </c>
      <c r="K94" s="219">
        <f>'[70]Rev_NP-12me'!AU104</f>
        <v>36.873463178051701</v>
      </c>
      <c r="L94" s="219">
        <f>'[70]Rev_NP-12me'!AW104</f>
        <v>0</v>
      </c>
      <c r="M94" s="218">
        <f t="shared" si="2"/>
        <v>36.873463178051701</v>
      </c>
    </row>
    <row r="95" spans="2:16" x14ac:dyDescent="0.25">
      <c r="B95" s="217" t="s">
        <v>1135</v>
      </c>
      <c r="C95" s="17"/>
      <c r="D95" s="216">
        <f>'[70]Rev_NP-12me'!$AJ$105</f>
        <v>2</v>
      </c>
      <c r="E95" s="216">
        <f>'[70]Rev_NP-12me'!$AK$105</f>
        <v>0.23200000000000001</v>
      </c>
      <c r="F95" s="216">
        <f>'[70]Rev_NP-12me'!$AQ$105</f>
        <v>0.27272250000000003</v>
      </c>
      <c r="G95" s="215">
        <v>0</v>
      </c>
      <c r="H95" s="215">
        <v>0</v>
      </c>
      <c r="I95" s="215"/>
      <c r="J95" s="216">
        <f>'[70]Rev_NP-12me'!$AT$105</f>
        <v>5.7907200000000006E-2</v>
      </c>
      <c r="K95" s="216">
        <f>'[70]Rev_NP-12me'!$AU$105</f>
        <v>0.13618498379999999</v>
      </c>
      <c r="L95" s="216">
        <f>'[70]Rev_NP-12me'!$AW$105</f>
        <v>4.7999999999999996E-3</v>
      </c>
      <c r="M95" s="215">
        <f t="shared" si="2"/>
        <v>0.19889218379999998</v>
      </c>
    </row>
    <row r="96" spans="2:16" ht="14.4" x14ac:dyDescent="0.25">
      <c r="B96" s="221" t="s">
        <v>1134</v>
      </c>
      <c r="C96" s="17"/>
      <c r="D96" s="219">
        <f>'[70]Rev_NP-12me'!AJ106</f>
        <v>2</v>
      </c>
      <c r="E96" s="219">
        <f>'[70]Rev_NP-12me'!AK106</f>
        <v>0.23200000000000001</v>
      </c>
      <c r="F96" s="219">
        <f>'[70]Rev_NP-12me'!AQ106</f>
        <v>6.7935264000000009E-2</v>
      </c>
      <c r="G96" s="220">
        <v>260</v>
      </c>
      <c r="H96" s="220">
        <v>5</v>
      </c>
      <c r="I96" s="220">
        <v>2000</v>
      </c>
      <c r="J96" s="219">
        <f>'[70]Rev_NP-12me'!AT106</f>
        <v>5.7907200000000006E-2</v>
      </c>
      <c r="K96" s="219">
        <f>'[70]Rev_NP-12me'!AU106</f>
        <v>3.3967632000000005E-2</v>
      </c>
      <c r="L96" s="219">
        <f>'[70]Rev_NP-12me'!AW106</f>
        <v>4.7999999999999996E-3</v>
      </c>
      <c r="M96" s="218">
        <f t="shared" si="2"/>
        <v>9.6674832000000016E-2</v>
      </c>
    </row>
    <row r="97" spans="2:13" ht="14.4" x14ac:dyDescent="0.25">
      <c r="B97" s="221" t="s">
        <v>1100</v>
      </c>
      <c r="C97" s="17"/>
      <c r="D97" s="219">
        <f>'[70]Rev_NP-12me'!AJ107</f>
        <v>0</v>
      </c>
      <c r="E97" s="219">
        <f>'[70]Rev_NP-12me'!AK107</f>
        <v>0</v>
      </c>
      <c r="F97" s="219">
        <f>'[70]Rev_NP-12me'!AQ107</f>
        <v>6.5660409000000003E-2</v>
      </c>
      <c r="G97" s="220">
        <v>0</v>
      </c>
      <c r="H97" s="220">
        <v>6</v>
      </c>
      <c r="I97" s="220">
        <v>2000</v>
      </c>
      <c r="J97" s="219">
        <f>'[70]Rev_NP-12me'!AT107</f>
        <v>0</v>
      </c>
      <c r="K97" s="219">
        <f>'[70]Rev_NP-12me'!AU107</f>
        <v>3.9396245400000002E-2</v>
      </c>
      <c r="L97" s="219">
        <f>'[70]Rev_NP-12me'!AW107</f>
        <v>0</v>
      </c>
      <c r="M97" s="218">
        <f t="shared" si="2"/>
        <v>3.9396245400000002E-2</v>
      </c>
    </row>
    <row r="98" spans="2:13" ht="14.4" x14ac:dyDescent="0.25">
      <c r="B98" s="221" t="s">
        <v>1101</v>
      </c>
      <c r="C98" s="17"/>
      <c r="D98" s="219">
        <f>'[70]Rev_NP-12me'!AJ108</f>
        <v>0</v>
      </c>
      <c r="E98" s="219">
        <f>'[70]Rev_NP-12me'!AK108</f>
        <v>0</v>
      </c>
      <c r="F98" s="219">
        <f>'[70]Rev_NP-12me'!AQ108</f>
        <v>3.5851878000000004E-2</v>
      </c>
      <c r="G98" s="220">
        <v>0</v>
      </c>
      <c r="H98" s="220">
        <v>6</v>
      </c>
      <c r="I98" s="220">
        <v>2000</v>
      </c>
      <c r="J98" s="219">
        <f>'[70]Rev_NP-12me'!AT108</f>
        <v>0</v>
      </c>
      <c r="K98" s="219">
        <f>'[70]Rev_NP-12me'!AU108</f>
        <v>2.1511126800000002E-2</v>
      </c>
      <c r="L98" s="219">
        <f>'[70]Rev_NP-12me'!AW108</f>
        <v>0</v>
      </c>
      <c r="M98" s="218">
        <f t="shared" si="2"/>
        <v>2.1511126800000002E-2</v>
      </c>
    </row>
    <row r="99" spans="2:13" ht="14.4" x14ac:dyDescent="0.25">
      <c r="B99" s="221" t="s">
        <v>1102</v>
      </c>
      <c r="C99" s="17"/>
      <c r="D99" s="219">
        <f>'[70]Rev_NP-12me'!AJ109</f>
        <v>0</v>
      </c>
      <c r="E99" s="219">
        <f>'[70]Rev_NP-12me'!AK109</f>
        <v>0</v>
      </c>
      <c r="F99" s="219">
        <f>'[70]Rev_NP-12me'!AQ109</f>
        <v>0.103274949</v>
      </c>
      <c r="G99" s="220">
        <v>0</v>
      </c>
      <c r="H99" s="220">
        <v>4</v>
      </c>
      <c r="I99" s="220">
        <v>2000</v>
      </c>
      <c r="J99" s="219">
        <f>'[70]Rev_NP-12me'!AT109</f>
        <v>0</v>
      </c>
      <c r="K99" s="219">
        <f>'[70]Rev_NP-12me'!AU109</f>
        <v>4.1309979600000005E-2</v>
      </c>
      <c r="L99" s="219">
        <f>'[70]Rev_NP-12me'!AW109</f>
        <v>0</v>
      </c>
      <c r="M99" s="218">
        <f t="shared" si="2"/>
        <v>4.1309979600000005E-2</v>
      </c>
    </row>
    <row r="100" spans="2:13" x14ac:dyDescent="0.25">
      <c r="B100" s="217" t="s">
        <v>1079</v>
      </c>
      <c r="C100" s="17"/>
      <c r="D100" s="216">
        <f>'[70]Rev_NP-12me'!$AJ$110</f>
        <v>22</v>
      </c>
      <c r="E100" s="216">
        <f>'[70]Rev_NP-12me'!$AK$110</f>
        <v>2.9333256618399619</v>
      </c>
      <c r="F100" s="216">
        <f>'[70]Rev_NP-12me'!$AQ$110</f>
        <v>8.5130279844919272</v>
      </c>
      <c r="G100" s="215">
        <v>0</v>
      </c>
      <c r="H100" s="215">
        <v>0</v>
      </c>
      <c r="I100" s="215">
        <v>0</v>
      </c>
      <c r="J100" s="216">
        <f>'[70]Rev_NP-12me'!$AT$110</f>
        <v>1.3375965017990226</v>
      </c>
      <c r="K100" s="216">
        <f>'[70]Rev_NP-12me'!$AU$110</f>
        <v>7.2371985326956922</v>
      </c>
      <c r="L100" s="216">
        <f>'[70]Rev_NP-12me'!$AW$110</f>
        <v>5.16E-2</v>
      </c>
      <c r="M100" s="215">
        <f t="shared" si="2"/>
        <v>8.6263950344947151</v>
      </c>
    </row>
    <row r="101" spans="2:13" ht="14.4" x14ac:dyDescent="0.25">
      <c r="B101" s="221" t="s">
        <v>1134</v>
      </c>
      <c r="C101" s="17"/>
      <c r="D101" s="219">
        <f>'[70]Rev_NP-12me'!AJ111</f>
        <v>22</v>
      </c>
      <c r="E101" s="219">
        <f>'[70]Rev_NP-12me'!AK111</f>
        <v>2.9333256618399619</v>
      </c>
      <c r="F101" s="219">
        <f>'[70]Rev_NP-12me'!AQ111</f>
        <v>2.4030953953419729</v>
      </c>
      <c r="G101" s="220">
        <v>475</v>
      </c>
      <c r="H101" s="220">
        <v>8.5</v>
      </c>
      <c r="I101" s="220">
        <v>2000</v>
      </c>
      <c r="J101" s="219">
        <f>'[70]Rev_NP-12me'!AT111</f>
        <v>1.3375965017990226</v>
      </c>
      <c r="K101" s="219">
        <f>'[70]Rev_NP-12me'!AU111</f>
        <v>2.0426310860406769</v>
      </c>
      <c r="L101" s="219">
        <f>'[70]Rev_NP-12me'!AW111</f>
        <v>5.16E-2</v>
      </c>
      <c r="M101" s="218">
        <f t="shared" si="2"/>
        <v>3.4318275878396993</v>
      </c>
    </row>
    <row r="102" spans="2:13" ht="14.4" x14ac:dyDescent="0.25">
      <c r="B102" s="221" t="s">
        <v>1100</v>
      </c>
      <c r="C102" s="17"/>
      <c r="D102" s="219">
        <f>'[70]Rev_NP-12me'!AJ112</f>
        <v>0</v>
      </c>
      <c r="E102" s="219">
        <f>'[70]Rev_NP-12me'!AK112</f>
        <v>0</v>
      </c>
      <c r="F102" s="219">
        <f>'[70]Rev_NP-12me'!AQ112</f>
        <v>1.7995342669246857</v>
      </c>
      <c r="G102" s="220">
        <v>0</v>
      </c>
      <c r="H102" s="220">
        <v>9.5</v>
      </c>
      <c r="I102" s="220">
        <v>2000</v>
      </c>
      <c r="J102" s="219">
        <f>'[70]Rev_NP-12me'!AT112</f>
        <v>0</v>
      </c>
      <c r="K102" s="219">
        <f>'[70]Rev_NP-12me'!AU112</f>
        <v>1.7095575535784513</v>
      </c>
      <c r="L102" s="219">
        <f>'[70]Rev_NP-12me'!AW112</f>
        <v>0</v>
      </c>
      <c r="M102" s="218">
        <f t="shared" si="2"/>
        <v>1.7095575535784513</v>
      </c>
    </row>
    <row r="103" spans="2:13" ht="14.4" x14ac:dyDescent="0.25">
      <c r="B103" s="221" t="s">
        <v>1101</v>
      </c>
      <c r="C103" s="17"/>
      <c r="D103" s="219">
        <f>'[70]Rev_NP-12me'!AJ113</f>
        <v>0</v>
      </c>
      <c r="E103" s="219">
        <f>'[70]Rev_NP-12me'!AK113</f>
        <v>0</v>
      </c>
      <c r="F103" s="219">
        <f>'[70]Rev_NP-12me'!AQ113</f>
        <v>1.2610557570380616</v>
      </c>
      <c r="G103" s="220">
        <v>0</v>
      </c>
      <c r="H103" s="220">
        <v>9.5</v>
      </c>
      <c r="I103" s="220">
        <v>2000</v>
      </c>
      <c r="J103" s="219">
        <f>'[70]Rev_NP-12me'!AT113</f>
        <v>0</v>
      </c>
      <c r="K103" s="219">
        <f>'[70]Rev_NP-12me'!AU113</f>
        <v>1.1980029691861585</v>
      </c>
      <c r="L103" s="219">
        <f>'[70]Rev_NP-12me'!AW113</f>
        <v>0</v>
      </c>
      <c r="M103" s="218">
        <f t="shared" si="2"/>
        <v>1.1980029691861585</v>
      </c>
    </row>
    <row r="104" spans="2:13" ht="14.4" x14ac:dyDescent="0.25">
      <c r="B104" s="221" t="s">
        <v>1102</v>
      </c>
      <c r="C104" s="17"/>
      <c r="D104" s="219">
        <f>'[70]Rev_NP-12me'!AJ114</f>
        <v>0</v>
      </c>
      <c r="E104" s="219">
        <f>'[70]Rev_NP-12me'!AK114</f>
        <v>0</v>
      </c>
      <c r="F104" s="219">
        <f>'[70]Rev_NP-12me'!AQ114</f>
        <v>3.0493425651872079</v>
      </c>
      <c r="G104" s="220">
        <v>0</v>
      </c>
      <c r="H104" s="220">
        <v>7.5</v>
      </c>
      <c r="I104" s="220">
        <v>2000</v>
      </c>
      <c r="J104" s="219">
        <f>'[70]Rev_NP-12me'!AT114</f>
        <v>0</v>
      </c>
      <c r="K104" s="219">
        <f>'[70]Rev_NP-12me'!AU114</f>
        <v>2.2870069238904058</v>
      </c>
      <c r="L104" s="219">
        <f>'[70]Rev_NP-12me'!AW114</f>
        <v>0</v>
      </c>
      <c r="M104" s="218">
        <f t="shared" si="2"/>
        <v>2.2870069238904058</v>
      </c>
    </row>
    <row r="105" spans="2:13" x14ac:dyDescent="0.25">
      <c r="B105" s="217" t="s">
        <v>1136</v>
      </c>
      <c r="C105" s="17"/>
      <c r="D105" s="216">
        <f>'[70]Rev_NP-12me'!$AJ$115</f>
        <v>218</v>
      </c>
      <c r="E105" s="216">
        <f>'[70]Rev_NP-12me'!$AK$115</f>
        <v>73.379080391330987</v>
      </c>
      <c r="F105" s="216">
        <f>'[70]Rev_NP-12me'!$AQ$115</f>
        <v>25.663067099999999</v>
      </c>
      <c r="G105" s="215">
        <v>0</v>
      </c>
      <c r="H105" s="215">
        <v>0</v>
      </c>
      <c r="I105" s="215">
        <v>0</v>
      </c>
      <c r="J105" s="216">
        <f>'[70]Rev_NP-12me'!$AT$115</f>
        <v>11.603067086879214</v>
      </c>
      <c r="K105" s="216">
        <f>'[70]Rev_NP-12me'!$AU$115</f>
        <v>16.167732272999999</v>
      </c>
      <c r="L105" s="216">
        <f>'[70]Rev_NP-12me'!$AW$115</f>
        <v>0.50280000000000002</v>
      </c>
      <c r="M105" s="215">
        <f t="shared" si="2"/>
        <v>28.273599359879213</v>
      </c>
    </row>
    <row r="106" spans="2:13" ht="14.4" x14ac:dyDescent="0.25">
      <c r="B106" s="221" t="s">
        <v>1137</v>
      </c>
      <c r="C106" s="17"/>
      <c r="D106" s="219">
        <f>'[70]Rev_NP-12me'!$AJ$116</f>
        <v>218</v>
      </c>
      <c r="E106" s="219">
        <f>'[70]Rev_NP-12me'!$AK$116</f>
        <v>73.379080391330987</v>
      </c>
      <c r="F106" s="219">
        <f>'[70]Rev_NP-12me'!$AQ$116</f>
        <v>25.663067099999999</v>
      </c>
      <c r="G106" s="220">
        <v>275</v>
      </c>
      <c r="H106" s="220">
        <v>6.3</v>
      </c>
      <c r="I106" s="220">
        <v>2000</v>
      </c>
      <c r="J106" s="219">
        <f>'[70]Rev_NP-12me'!$AT$116</f>
        <v>11.603067086879214</v>
      </c>
      <c r="K106" s="219">
        <f>'[70]Rev_NP-12me'!$AU$116</f>
        <v>16.167732272999999</v>
      </c>
      <c r="L106" s="219">
        <f>'[70]Rev_NP-12me'!$AW$116</f>
        <v>0.50280000000000002</v>
      </c>
      <c r="M106" s="218">
        <f t="shared" si="2"/>
        <v>28.273599359879213</v>
      </c>
    </row>
    <row r="107" spans="2:13" x14ac:dyDescent="0.25">
      <c r="B107" s="217" t="s">
        <v>1138</v>
      </c>
      <c r="C107" s="17"/>
      <c r="D107" s="216">
        <f>'[70]Rev_NP-12me'!$AJ$127</f>
        <v>120</v>
      </c>
      <c r="E107" s="216">
        <f>'[70]Rev_NP-12me'!$AK$127</f>
        <v>38.394764630380848</v>
      </c>
      <c r="F107" s="216">
        <f>'[70]Rev_NP-12me'!$AQ$127</f>
        <v>155.68817273588263</v>
      </c>
      <c r="G107" s="215">
        <v>0</v>
      </c>
      <c r="H107" s="215">
        <v>0</v>
      </c>
      <c r="I107" s="215">
        <v>0</v>
      </c>
      <c r="J107" s="216">
        <f>'[70]Rev_NP-12me'!$AT$127</f>
        <v>0</v>
      </c>
      <c r="K107" s="216">
        <f>'[70]Rev_NP-12me'!$AU$127</f>
        <v>94.969785368888409</v>
      </c>
      <c r="L107" s="216">
        <f>'[70]Rev_NP-12me'!$AW$127</f>
        <v>0.2772</v>
      </c>
      <c r="M107" s="215">
        <f t="shared" si="2"/>
        <v>95.246985368888403</v>
      </c>
    </row>
    <row r="108" spans="2:13" ht="14.4" x14ac:dyDescent="0.25">
      <c r="B108" s="221" t="s">
        <v>216</v>
      </c>
      <c r="C108" s="17"/>
      <c r="D108" s="219">
        <f>'[70]Rev_NP-12me'!$AJ$128</f>
        <v>120</v>
      </c>
      <c r="E108" s="219">
        <f>'[70]Rev_NP-12me'!$AK$128</f>
        <v>38.394764630380848</v>
      </c>
      <c r="F108" s="219">
        <f>'[70]Rev_NP-12me'!$AQ$128</f>
        <v>155.68817273588263</v>
      </c>
      <c r="G108" s="220">
        <v>0</v>
      </c>
      <c r="H108" s="220">
        <v>6.1</v>
      </c>
      <c r="I108" s="220">
        <v>2000</v>
      </c>
      <c r="J108" s="219">
        <f>'[70]Rev_NP-12me'!$AT$128</f>
        <v>0</v>
      </c>
      <c r="K108" s="219">
        <f>'[70]Rev_NP-12me'!$AU$128</f>
        <v>94.969785368888409</v>
      </c>
      <c r="L108" s="219">
        <f>'[70]Rev_NP-12me'!$AW$128</f>
        <v>0.2772</v>
      </c>
      <c r="M108" s="218">
        <f t="shared" si="2"/>
        <v>95.246985368888403</v>
      </c>
    </row>
    <row r="109" spans="2:13" ht="14.4" x14ac:dyDescent="0.25">
      <c r="B109" s="221" t="s">
        <v>1139</v>
      </c>
      <c r="C109" s="17"/>
      <c r="D109" s="219">
        <f>'[70]Rev_NP-12me'!AJ129</f>
        <v>0</v>
      </c>
      <c r="E109" s="219">
        <f>'[70]Rev_NP-12me'!AK129</f>
        <v>0</v>
      </c>
      <c r="F109" s="219">
        <f>'[70]Rev_NP-12me'!AQ129</f>
        <v>0</v>
      </c>
      <c r="G109" s="220">
        <v>0</v>
      </c>
      <c r="H109" s="220">
        <v>0</v>
      </c>
      <c r="I109" s="220">
        <v>2000</v>
      </c>
      <c r="J109" s="219">
        <f>'[70]Rev_NP-12me'!AT129</f>
        <v>0</v>
      </c>
      <c r="K109" s="219">
        <f>'[70]Rev_NP-12me'!AU129</f>
        <v>0</v>
      </c>
      <c r="L109" s="219">
        <f>'[70]Rev_NP-12me'!AW129</f>
        <v>0</v>
      </c>
      <c r="M109" s="218">
        <f t="shared" si="2"/>
        <v>0</v>
      </c>
    </row>
    <row r="110" spans="2:13" x14ac:dyDescent="0.25">
      <c r="B110" s="217" t="s">
        <v>1140</v>
      </c>
      <c r="C110" s="17"/>
      <c r="D110" s="216">
        <f>'[70]Rev_NP-12me'!$AJ$118</f>
        <v>0</v>
      </c>
      <c r="E110" s="216">
        <f>'[70]Rev_NP-12me'!$AK$118</f>
        <v>0</v>
      </c>
      <c r="F110" s="216">
        <f>'[70]Rev_NP-12me'!$AQ$118</f>
        <v>0</v>
      </c>
      <c r="G110" s="215">
        <v>0</v>
      </c>
      <c r="H110" s="215">
        <v>0</v>
      </c>
      <c r="I110" s="215">
        <v>0</v>
      </c>
      <c r="J110" s="216">
        <f>'[70]Rev_NP-12me'!$AT$118</f>
        <v>0</v>
      </c>
      <c r="K110" s="216">
        <f>'[70]Rev_NP-12me'!$AU$118</f>
        <v>0</v>
      </c>
      <c r="L110" s="216">
        <f>'[70]Rev_NP-12me'!$AW$118</f>
        <v>0</v>
      </c>
      <c r="M110" s="215">
        <f t="shared" si="2"/>
        <v>0</v>
      </c>
    </row>
    <row r="111" spans="2:13" x14ac:dyDescent="0.25">
      <c r="B111" s="217" t="s">
        <v>1141</v>
      </c>
      <c r="C111" s="17"/>
      <c r="D111" s="216">
        <f>'[70]Rev_NP-12me'!$AJ$119</f>
        <v>0</v>
      </c>
      <c r="E111" s="216">
        <f>'[70]Rev_NP-12me'!$AK$119</f>
        <v>0</v>
      </c>
      <c r="F111" s="216">
        <f>'[70]Rev_NP-12me'!$AQ$119</f>
        <v>0</v>
      </c>
      <c r="G111" s="215">
        <v>0</v>
      </c>
      <c r="H111" s="215">
        <v>0</v>
      </c>
      <c r="I111" s="215">
        <v>0</v>
      </c>
      <c r="J111" s="216">
        <f>'[70]Rev_NP-12me'!$AT$119</f>
        <v>0</v>
      </c>
      <c r="K111" s="216">
        <f>'[70]Rev_NP-12me'!$AU$119</f>
        <v>0</v>
      </c>
      <c r="L111" s="216">
        <f>'[70]Rev_NP-12me'!$AW$119</f>
        <v>0</v>
      </c>
      <c r="M111" s="215">
        <f t="shared" si="2"/>
        <v>0</v>
      </c>
    </row>
    <row r="112" spans="2:13" x14ac:dyDescent="0.25">
      <c r="B112" s="217" t="s">
        <v>811</v>
      </c>
      <c r="C112" s="17"/>
      <c r="D112" s="216">
        <f>'[70]Rev_NP-12me'!$AJ$117</f>
        <v>18</v>
      </c>
      <c r="E112" s="216">
        <f>'[70]Rev_NP-12me'!$AK$117</f>
        <v>5.4848294430175288</v>
      </c>
      <c r="F112" s="216">
        <f>'[70]Rev_NP-12me'!$AQ$117</f>
        <v>8.8767601200000001</v>
      </c>
      <c r="G112" s="215">
        <v>260</v>
      </c>
      <c r="H112" s="215">
        <v>7.3</v>
      </c>
      <c r="I112" s="215">
        <v>2000</v>
      </c>
      <c r="J112" s="216">
        <f>'[70]Rev_NP-12me'!$AT$117</f>
        <v>1.3690134289771754</v>
      </c>
      <c r="K112" s="216">
        <f>'[70]Rev_NP-12me'!$AU$117</f>
        <v>6.4800348876000005</v>
      </c>
      <c r="L112" s="216">
        <f>'[70]Rev_NP-12me'!$AW$117</f>
        <v>4.4400000000000002E-2</v>
      </c>
      <c r="M112" s="215">
        <f t="shared" si="2"/>
        <v>7.8934483165771763</v>
      </c>
    </row>
    <row r="113" spans="2:13" x14ac:dyDescent="0.25">
      <c r="B113" s="217" t="s">
        <v>813</v>
      </c>
      <c r="C113" s="17"/>
      <c r="D113" s="216">
        <f>'[70]Rev_NP-12me'!$AJ$120</f>
        <v>47</v>
      </c>
      <c r="E113" s="216">
        <f>'[70]Rev_NP-12me'!$AK$120</f>
        <v>12.979445</v>
      </c>
      <c r="F113" s="216">
        <f>'[70]Rev_NP-12me'!$AQ$120</f>
        <v>16.997482980000001</v>
      </c>
      <c r="G113" s="215">
        <v>500</v>
      </c>
      <c r="H113" s="215">
        <v>11.8</v>
      </c>
      <c r="I113" s="215">
        <v>2000</v>
      </c>
      <c r="J113" s="216">
        <f>'[70]Rev_NP-12me'!$AT$120</f>
        <v>6.2301336000000003</v>
      </c>
      <c r="K113" s="216">
        <f>'[70]Rev_NP-12me'!$AU$120</f>
        <v>20.057029916400005</v>
      </c>
      <c r="L113" s="216">
        <f>'[70]Rev_NP-12me'!$AW$120</f>
        <v>0.1104</v>
      </c>
      <c r="M113" s="215">
        <f t="shared" si="2"/>
        <v>26.397563516400005</v>
      </c>
    </row>
    <row r="114" spans="2:13" x14ac:dyDescent="0.25">
      <c r="B114" s="217" t="s">
        <v>1142</v>
      </c>
      <c r="C114" s="17"/>
      <c r="D114" s="216">
        <f>'[70]Rev_NP-12me'!$AJ$121</f>
        <v>1</v>
      </c>
      <c r="E114" s="216">
        <f>'[70]Rev_NP-12me'!$AK$121</f>
        <v>570.654</v>
      </c>
      <c r="F114" s="216">
        <f>'[70]Rev_NP-12me'!$AQ$121</f>
        <v>1163.1169718019062</v>
      </c>
      <c r="G114" s="215">
        <v>0</v>
      </c>
      <c r="H114" s="215">
        <v>4.84</v>
      </c>
      <c r="I114" s="215">
        <v>2000</v>
      </c>
      <c r="J114" s="216">
        <f>'[70]Rev_NP-12me'!$AT$121</f>
        <v>0</v>
      </c>
      <c r="K114" s="216">
        <f>'[70]Rev_NP-12me'!$AU$121</f>
        <v>562.9486143521226</v>
      </c>
      <c r="L114" s="216">
        <f>'[70]Rev_NP-12me'!$AW$121</f>
        <v>0</v>
      </c>
      <c r="M114" s="215">
        <f t="shared" si="2"/>
        <v>562.9486143521226</v>
      </c>
    </row>
    <row r="115" spans="2:13" x14ac:dyDescent="0.25">
      <c r="B115" s="217" t="s">
        <v>1143</v>
      </c>
      <c r="C115" s="17"/>
      <c r="D115" s="216">
        <f>'[70]Rev_NP-12me'!$AJ$122</f>
        <v>0</v>
      </c>
      <c r="E115" s="216">
        <f>'[70]Rev_NP-12me'!$AK$122</f>
        <v>0</v>
      </c>
      <c r="F115" s="216">
        <f>'[70]Rev_NP-12me'!$AQ$122</f>
        <v>0</v>
      </c>
      <c r="G115" s="215">
        <v>100</v>
      </c>
      <c r="H115" s="215">
        <v>6</v>
      </c>
      <c r="I115" s="215">
        <v>2000</v>
      </c>
      <c r="J115" s="216">
        <f>'[70]Rev_NP-12me'!$AT$122</f>
        <v>0</v>
      </c>
      <c r="K115" s="216">
        <f>'[70]Rev_NP-12me'!$AU$122</f>
        <v>0</v>
      </c>
      <c r="L115" s="216">
        <f>'[70]Rev_NP-12me'!$AW$122</f>
        <v>0</v>
      </c>
      <c r="M115" s="215">
        <f t="shared" si="2"/>
        <v>0</v>
      </c>
    </row>
    <row r="116" spans="2:13" ht="14.4" x14ac:dyDescent="0.25">
      <c r="B116" s="223" t="s">
        <v>1134</v>
      </c>
      <c r="C116" s="17"/>
      <c r="D116" s="219">
        <f>'[70]Rev_NP-12me'!AJ123</f>
        <v>0</v>
      </c>
      <c r="E116" s="219">
        <f>'[70]Rev_NP-12me'!AK123</f>
        <v>0</v>
      </c>
      <c r="F116" s="219">
        <f>'[70]Rev_NP-12me'!AQ123</f>
        <v>0</v>
      </c>
      <c r="G116" s="220">
        <v>100</v>
      </c>
      <c r="H116" s="220">
        <v>6</v>
      </c>
      <c r="I116" s="220">
        <v>2000</v>
      </c>
      <c r="J116" s="219">
        <f>'[70]Rev_NP-12me'!AT123</f>
        <v>0</v>
      </c>
      <c r="K116" s="219">
        <f>'[70]Rev_NP-12me'!AU123</f>
        <v>0</v>
      </c>
      <c r="L116" s="219">
        <f>'[70]Rev_NP-12me'!AW123</f>
        <v>0</v>
      </c>
      <c r="M116" s="218">
        <f t="shared" si="2"/>
        <v>0</v>
      </c>
    </row>
    <row r="117" spans="2:13" ht="14.4" x14ac:dyDescent="0.25">
      <c r="B117" s="223" t="s">
        <v>1100</v>
      </c>
      <c r="C117" s="17"/>
      <c r="D117" s="219">
        <f>'[70]Rev_NP-12me'!AJ124</f>
        <v>0</v>
      </c>
      <c r="E117" s="219">
        <f>'[70]Rev_NP-12me'!AK124</f>
        <v>0</v>
      </c>
      <c r="F117" s="219">
        <f>'[70]Rev_NP-12me'!AQ124</f>
        <v>0</v>
      </c>
      <c r="G117" s="220">
        <v>0</v>
      </c>
      <c r="H117" s="220">
        <v>7</v>
      </c>
      <c r="I117" s="220">
        <v>2000</v>
      </c>
      <c r="J117" s="219">
        <f>'[70]Rev_NP-12me'!AT124</f>
        <v>0</v>
      </c>
      <c r="K117" s="219">
        <f>'[70]Rev_NP-12me'!AU124</f>
        <v>0</v>
      </c>
      <c r="L117" s="219">
        <f>'[70]Rev_NP-12me'!AW124</f>
        <v>0</v>
      </c>
      <c r="M117" s="218">
        <f t="shared" si="2"/>
        <v>0</v>
      </c>
    </row>
    <row r="118" spans="2:13" ht="14.4" x14ac:dyDescent="0.25">
      <c r="B118" s="223" t="s">
        <v>1101</v>
      </c>
      <c r="C118" s="17"/>
      <c r="D118" s="219">
        <f>'[70]Rev_NP-12me'!AJ125</f>
        <v>0</v>
      </c>
      <c r="E118" s="219">
        <f>'[70]Rev_NP-12me'!AK125</f>
        <v>0</v>
      </c>
      <c r="F118" s="219">
        <f>'[70]Rev_NP-12me'!AQ125</f>
        <v>0</v>
      </c>
      <c r="G118" s="220">
        <v>0</v>
      </c>
      <c r="H118" s="220">
        <v>7</v>
      </c>
      <c r="I118" s="220">
        <v>2000</v>
      </c>
      <c r="J118" s="219">
        <f>'[70]Rev_NP-12me'!AT125</f>
        <v>0</v>
      </c>
      <c r="K118" s="219">
        <f>'[70]Rev_NP-12me'!AU125</f>
        <v>0</v>
      </c>
      <c r="L118" s="219">
        <f>'[70]Rev_NP-12me'!AW125</f>
        <v>0</v>
      </c>
      <c r="M118" s="218">
        <f t="shared" si="2"/>
        <v>0</v>
      </c>
    </row>
    <row r="119" spans="2:13" ht="14.4" x14ac:dyDescent="0.25">
      <c r="B119" s="223" t="s">
        <v>1102</v>
      </c>
      <c r="C119" s="17"/>
      <c r="D119" s="219">
        <f>'[70]Rev_NP-12me'!AJ126</f>
        <v>0</v>
      </c>
      <c r="E119" s="219">
        <f>'[70]Rev_NP-12me'!AK126</f>
        <v>0</v>
      </c>
      <c r="F119" s="219">
        <f>'[70]Rev_NP-12me'!AQ126</f>
        <v>0</v>
      </c>
      <c r="G119" s="220">
        <v>0</v>
      </c>
      <c r="H119" s="220">
        <v>5</v>
      </c>
      <c r="I119" s="220">
        <v>2000</v>
      </c>
      <c r="J119" s="219">
        <f>'[70]Rev_NP-12me'!AT126</f>
        <v>0</v>
      </c>
      <c r="K119" s="219">
        <f>'[70]Rev_NP-12me'!AU126</f>
        <v>0</v>
      </c>
      <c r="L119" s="219">
        <f>'[70]Rev_NP-12me'!AW126</f>
        <v>0</v>
      </c>
      <c r="M119" s="218">
        <f t="shared" si="2"/>
        <v>0</v>
      </c>
    </row>
    <row r="120" spans="2:13" x14ac:dyDescent="0.25">
      <c r="B120" s="213" t="s">
        <v>1144</v>
      </c>
      <c r="C120" s="17"/>
      <c r="D120" s="210">
        <f>SUM(D74,D89,D90,D95,D100,D105,D107,D110,D111,D112,D113,D114,D115)</f>
        <v>3872</v>
      </c>
      <c r="E120" s="210">
        <f>SUM(E74,E89,E90,E95,E100,E105,E107,E110,E111,E112,E113,E114,E115)</f>
        <v>1426.6831211790695</v>
      </c>
      <c r="F120" s="210">
        <f>SUM(F74,F89,F90,F95,F100,F105,F107,F110,F111,F112,F113,F114,F115)</f>
        <v>2778.1112369378361</v>
      </c>
      <c r="G120" s="214"/>
      <c r="H120" s="214"/>
      <c r="I120" s="214"/>
      <c r="J120" s="210">
        <f>SUM(J74,J89,J90,J95,J100,J105,J107,J110,J111,J112,J113,J114,J115)</f>
        <v>314.2444895291614</v>
      </c>
      <c r="K120" s="210">
        <f>SUM(K74,K89,K90,K95,K100,K105,K107,K110,K111,K112,K113,K114,K115)</f>
        <v>1813.1621277269758</v>
      </c>
      <c r="L120" s="210">
        <f>SUM(L74,L89,L90,L95,L100,L105,L107,L110,L111,L112,L113,L114,L115)</f>
        <v>8.886000000000001</v>
      </c>
      <c r="M120" s="210">
        <f>SUM(M74,M89,M90,M95,M100,M105,M107,M110,M111,M112,M113,M114,M115)</f>
        <v>2136.2926172561374</v>
      </c>
    </row>
    <row r="121" spans="2:13" x14ac:dyDescent="0.25">
      <c r="B121" s="17"/>
      <c r="C121" s="17"/>
      <c r="D121" s="198"/>
      <c r="E121" s="198"/>
      <c r="F121" s="198"/>
      <c r="G121" s="198"/>
      <c r="H121" s="198"/>
      <c r="I121" s="198"/>
      <c r="J121" s="198"/>
      <c r="K121" s="198"/>
      <c r="L121" s="198"/>
      <c r="M121" s="198"/>
    </row>
    <row r="122" spans="2:13" x14ac:dyDescent="0.25">
      <c r="B122" s="217" t="s">
        <v>213</v>
      </c>
      <c r="C122" s="17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</row>
    <row r="123" spans="2:13" x14ac:dyDescent="0.25">
      <c r="B123" s="217" t="s">
        <v>1145</v>
      </c>
      <c r="C123" s="17"/>
      <c r="D123" s="216">
        <f>'[70]Rev_NP-12me'!AJ144</f>
        <v>54</v>
      </c>
      <c r="E123" s="216">
        <f>'[70]Rev_NP-12me'!AK144</f>
        <v>70.57550028786271</v>
      </c>
      <c r="F123" s="216">
        <f>'[70]Rev_NP-12me'!AQ144</f>
        <v>198.83087795755733</v>
      </c>
      <c r="G123" s="215">
        <v>0</v>
      </c>
      <c r="H123" s="215">
        <v>0</v>
      </c>
      <c r="I123" s="215">
        <v>0</v>
      </c>
      <c r="J123" s="216">
        <f>'[70]Rev_NP-12me'!AT144</f>
        <v>32.182428131265397</v>
      </c>
      <c r="K123" s="216">
        <f>'[70]Rev_NP-12me'!AU144</f>
        <v>141.61185147175576</v>
      </c>
      <c r="L123" s="216">
        <f>'[70]Rev_NP-12me'!AW144</f>
        <v>0.21840000000000001</v>
      </c>
      <c r="M123" s="215">
        <f t="shared" ref="M123:M163" si="3">SUM(J123:L123)</f>
        <v>174.01267960302116</v>
      </c>
    </row>
    <row r="124" spans="2:13" x14ac:dyDescent="0.25">
      <c r="B124" s="227" t="s">
        <v>1146</v>
      </c>
      <c r="C124" s="17"/>
      <c r="D124" s="224">
        <f>'[70]Rev_NP-12me'!AJ145</f>
        <v>54</v>
      </c>
      <c r="E124" s="224">
        <f>'[70]Rev_NP-12me'!AK145</f>
        <v>70.57550028786271</v>
      </c>
      <c r="F124" s="224">
        <f>'[70]Rev_NP-12me'!AQ145</f>
        <v>198.83087795755733</v>
      </c>
      <c r="G124" s="218">
        <v>0</v>
      </c>
      <c r="H124" s="218">
        <v>0</v>
      </c>
      <c r="I124" s="218">
        <v>0</v>
      </c>
      <c r="J124" s="224">
        <f>'[70]Rev_NP-12me'!AT145</f>
        <v>32.182428131265397</v>
      </c>
      <c r="K124" s="224">
        <f>'[70]Rev_NP-12me'!AU145</f>
        <v>141.61185147175576</v>
      </c>
      <c r="L124" s="224">
        <f>'[70]Rev_NP-12me'!AW145</f>
        <v>0.21840000000000001</v>
      </c>
      <c r="M124" s="218">
        <f t="shared" si="3"/>
        <v>174.01267960302116</v>
      </c>
    </row>
    <row r="125" spans="2:13" ht="14.4" x14ac:dyDescent="0.25">
      <c r="B125" s="221" t="s">
        <v>1119</v>
      </c>
      <c r="C125" s="17"/>
      <c r="D125" s="219">
        <f>'[70]Rev_NP-12me'!AJ146</f>
        <v>54</v>
      </c>
      <c r="E125" s="219">
        <f>'[70]Rev_NP-12me'!AK146</f>
        <v>70.57550028786271</v>
      </c>
      <c r="F125" s="219">
        <f>'[70]Rev_NP-12me'!AQ146</f>
        <v>33.987701968271061</v>
      </c>
      <c r="G125" s="218">
        <v>475</v>
      </c>
      <c r="H125" s="218">
        <v>7.15</v>
      </c>
      <c r="I125" s="218">
        <v>3500</v>
      </c>
      <c r="J125" s="219">
        <f>'[70]Rev_NP-12me'!AT146</f>
        <v>32.182428131265397</v>
      </c>
      <c r="K125" s="219">
        <f>'[70]Rev_NP-12me'!AU146</f>
        <v>24.301206907313809</v>
      </c>
      <c r="L125" s="219">
        <f>'[70]Rev_NP-12me'!AW146</f>
        <v>0.21840000000000001</v>
      </c>
      <c r="M125" s="218">
        <f t="shared" si="3"/>
        <v>56.702035038579211</v>
      </c>
    </row>
    <row r="126" spans="2:13" ht="14.4" x14ac:dyDescent="0.25">
      <c r="B126" s="221" t="s">
        <v>1147</v>
      </c>
      <c r="C126" s="17"/>
      <c r="D126" s="219">
        <f>'[70]Rev_NP-12me'!AJ148</f>
        <v>0</v>
      </c>
      <c r="E126" s="219">
        <f>'[70]Rev_NP-12me'!AK148</f>
        <v>0</v>
      </c>
      <c r="F126" s="219">
        <f>'[70]Rev_NP-12me'!AQ148</f>
        <v>0</v>
      </c>
      <c r="G126" s="218">
        <v>0</v>
      </c>
      <c r="H126" s="218">
        <v>7.15</v>
      </c>
      <c r="I126" s="218">
        <v>3500</v>
      </c>
      <c r="J126" s="219">
        <f>'[70]Rev_NP-12me'!AT148</f>
        <v>0</v>
      </c>
      <c r="K126" s="219">
        <f>'[70]Rev_NP-12me'!AU148</f>
        <v>0</v>
      </c>
      <c r="L126" s="219">
        <f>'[70]Rev_NP-12me'!AW148</f>
        <v>0</v>
      </c>
      <c r="M126" s="218">
        <f t="shared" si="3"/>
        <v>0</v>
      </c>
    </row>
    <row r="127" spans="2:13" ht="14.4" x14ac:dyDescent="0.25">
      <c r="B127" s="221" t="s">
        <v>1148</v>
      </c>
      <c r="C127" s="17"/>
      <c r="D127" s="219">
        <f>'[70]Rev_NP-12me'!AJ149</f>
        <v>0</v>
      </c>
      <c r="E127" s="219">
        <f>'[70]Rev_NP-12me'!AK149</f>
        <v>0</v>
      </c>
      <c r="F127" s="219">
        <f>'[70]Rev_NP-12me'!AQ149</f>
        <v>0</v>
      </c>
      <c r="G127" s="218">
        <v>0</v>
      </c>
      <c r="H127" s="218">
        <v>7.3</v>
      </c>
      <c r="I127" s="218">
        <v>3500</v>
      </c>
      <c r="J127" s="219">
        <f>'[70]Rev_NP-12me'!AT149</f>
        <v>0</v>
      </c>
      <c r="K127" s="219">
        <f>'[70]Rev_NP-12me'!AU149</f>
        <v>0</v>
      </c>
      <c r="L127" s="219">
        <f>'[70]Rev_NP-12me'!AW149</f>
        <v>0</v>
      </c>
      <c r="M127" s="218">
        <f t="shared" si="3"/>
        <v>0</v>
      </c>
    </row>
    <row r="128" spans="2:13" ht="14.4" x14ac:dyDescent="0.25">
      <c r="B128" s="221" t="s">
        <v>1149</v>
      </c>
      <c r="C128" s="17"/>
      <c r="D128" s="219">
        <f>'[70]Rev_NP-12me'!AJ150</f>
        <v>0</v>
      </c>
      <c r="E128" s="219">
        <f>'[70]Rev_NP-12me'!AK150</f>
        <v>0</v>
      </c>
      <c r="F128" s="219">
        <f>'[70]Rev_NP-12me'!AQ150</f>
        <v>0</v>
      </c>
      <c r="G128" s="218">
        <v>475</v>
      </c>
      <c r="H128" s="218">
        <v>7.9</v>
      </c>
      <c r="I128" s="218">
        <v>3500</v>
      </c>
      <c r="J128" s="219">
        <f>'[70]Rev_NP-12me'!AT150</f>
        <v>0</v>
      </c>
      <c r="K128" s="219">
        <f>'[70]Rev_NP-12me'!AU150</f>
        <v>0</v>
      </c>
      <c r="L128" s="219">
        <f>'[70]Rev_NP-12me'!AW150</f>
        <v>0</v>
      </c>
      <c r="M128" s="218">
        <f t="shared" si="3"/>
        <v>0</v>
      </c>
    </row>
    <row r="129" spans="2:13" ht="14.4" x14ac:dyDescent="0.25">
      <c r="B129" s="223" t="s">
        <v>1100</v>
      </c>
      <c r="C129" s="17"/>
      <c r="D129" s="219">
        <f>'[70]Rev_NP-12me'!AJ151</f>
        <v>0</v>
      </c>
      <c r="E129" s="219">
        <f>'[70]Rev_NP-12me'!AK151</f>
        <v>0</v>
      </c>
      <c r="F129" s="219">
        <f>'[70]Rev_NP-12me'!AQ151</f>
        <v>43.868879742669847</v>
      </c>
      <c r="G129" s="218">
        <v>0</v>
      </c>
      <c r="H129" s="218">
        <v>8.15</v>
      </c>
      <c r="I129" s="218">
        <v>3500</v>
      </c>
      <c r="J129" s="219">
        <f>'[70]Rev_NP-12me'!AT151</f>
        <v>0</v>
      </c>
      <c r="K129" s="219">
        <f>'[70]Rev_NP-12me'!AU151</f>
        <v>35.753136990275927</v>
      </c>
      <c r="L129" s="219">
        <f>'[70]Rev_NP-12me'!AW151</f>
        <v>0</v>
      </c>
      <c r="M129" s="218">
        <f t="shared" si="3"/>
        <v>35.753136990275927</v>
      </c>
    </row>
    <row r="130" spans="2:13" ht="14.4" x14ac:dyDescent="0.25">
      <c r="B130" s="223" t="s">
        <v>1101</v>
      </c>
      <c r="C130" s="17"/>
      <c r="D130" s="219">
        <f>'[70]Rev_NP-12me'!AJ152</f>
        <v>0</v>
      </c>
      <c r="E130" s="219">
        <f>'[70]Rev_NP-12me'!AK152</f>
        <v>0</v>
      </c>
      <c r="F130" s="219">
        <f>'[70]Rev_NP-12me'!AQ152</f>
        <v>35.79157691248453</v>
      </c>
      <c r="G130" s="218">
        <v>0</v>
      </c>
      <c r="H130" s="218">
        <v>8.15</v>
      </c>
      <c r="I130" s="218">
        <v>3500</v>
      </c>
      <c r="J130" s="219">
        <f>'[70]Rev_NP-12me'!AT152</f>
        <v>0</v>
      </c>
      <c r="K130" s="219">
        <f>'[70]Rev_NP-12me'!AU152</f>
        <v>29.170135183674894</v>
      </c>
      <c r="L130" s="219">
        <f>'[70]Rev_NP-12me'!AW152</f>
        <v>0</v>
      </c>
      <c r="M130" s="218">
        <f t="shared" si="3"/>
        <v>29.170135183674894</v>
      </c>
    </row>
    <row r="131" spans="2:13" ht="14.4" x14ac:dyDescent="0.25">
      <c r="B131" s="223" t="s">
        <v>1102</v>
      </c>
      <c r="C131" s="17"/>
      <c r="D131" s="219">
        <f>'[70]Rev_NP-12me'!AJ154</f>
        <v>0</v>
      </c>
      <c r="E131" s="219">
        <f>'[70]Rev_NP-12me'!AK154</f>
        <v>0</v>
      </c>
      <c r="F131" s="219">
        <f>'[70]Rev_NP-12me'!AQ154</f>
        <v>85.182719334131903</v>
      </c>
      <c r="G131" s="218">
        <v>0</v>
      </c>
      <c r="H131" s="218">
        <v>6.15</v>
      </c>
      <c r="I131" s="218">
        <v>3500</v>
      </c>
      <c r="J131" s="219">
        <f>'[70]Rev_NP-12me'!AT154</f>
        <v>0</v>
      </c>
      <c r="K131" s="219">
        <f>'[70]Rev_NP-12me'!AU154</f>
        <v>52.387372390491123</v>
      </c>
      <c r="L131" s="219">
        <f>'[70]Rev_NP-12me'!AW154</f>
        <v>0</v>
      </c>
      <c r="M131" s="218">
        <f t="shared" si="3"/>
        <v>52.387372390491123</v>
      </c>
    </row>
    <row r="132" spans="2:13" x14ac:dyDescent="0.25">
      <c r="B132" s="217" t="s">
        <v>1127</v>
      </c>
      <c r="C132" s="17"/>
      <c r="D132" s="224">
        <f>'[70]Rev_NP-12me'!AJ156</f>
        <v>0</v>
      </c>
      <c r="E132" s="224">
        <f>'[70]Rev_NP-12me'!AK156</f>
        <v>0</v>
      </c>
      <c r="F132" s="224">
        <f>'[70]Rev_NP-12me'!AQ156</f>
        <v>0</v>
      </c>
      <c r="G132" s="218">
        <v>0</v>
      </c>
      <c r="H132" s="218">
        <v>0</v>
      </c>
      <c r="I132" s="218">
        <v>0</v>
      </c>
      <c r="J132" s="224">
        <f>'[70]Rev_NP-12me'!AT156</f>
        <v>0</v>
      </c>
      <c r="K132" s="224">
        <f>'[70]Rev_NP-12me'!AU156</f>
        <v>0</v>
      </c>
      <c r="L132" s="224">
        <f>'[70]Rev_NP-12me'!AW156</f>
        <v>0</v>
      </c>
      <c r="M132" s="215">
        <f t="shared" si="3"/>
        <v>0</v>
      </c>
    </row>
    <row r="133" spans="2:13" ht="14.4" x14ac:dyDescent="0.25">
      <c r="B133" s="223" t="s">
        <v>1150</v>
      </c>
      <c r="C133" s="17"/>
      <c r="D133" s="219">
        <f>'[70]Rev_NP-12me'!AJ157</f>
        <v>0</v>
      </c>
      <c r="E133" s="219">
        <f>'[70]Rev_NP-12me'!AK157</f>
        <v>0</v>
      </c>
      <c r="F133" s="219">
        <f>'[70]Rev_NP-12me'!AQ157</f>
        <v>0</v>
      </c>
      <c r="G133" s="218">
        <v>475</v>
      </c>
      <c r="H133" s="218">
        <v>7.15</v>
      </c>
      <c r="I133" s="218">
        <v>3500</v>
      </c>
      <c r="J133" s="219">
        <f>'[70]Rev_NP-12me'!AT157</f>
        <v>0</v>
      </c>
      <c r="K133" s="219">
        <f>'[70]Rev_NP-12me'!AU157</f>
        <v>0</v>
      </c>
      <c r="L133" s="219">
        <f>'[70]Rev_NP-12me'!AW157</f>
        <v>0</v>
      </c>
      <c r="M133" s="218">
        <f t="shared" si="3"/>
        <v>0</v>
      </c>
    </row>
    <row r="134" spans="2:13" ht="14.4" x14ac:dyDescent="0.25">
      <c r="B134" s="223" t="s">
        <v>1129</v>
      </c>
      <c r="C134" s="17"/>
      <c r="D134" s="219">
        <f>'[70]Rev_NP-12me'!AJ158</f>
        <v>0</v>
      </c>
      <c r="E134" s="219">
        <f>'[70]Rev_NP-12me'!AK158</f>
        <v>0</v>
      </c>
      <c r="F134" s="219">
        <f>'[70]Rev_NP-12me'!AQ158</f>
        <v>0</v>
      </c>
      <c r="G134" s="218">
        <v>0</v>
      </c>
      <c r="H134" s="218">
        <v>8.15</v>
      </c>
      <c r="I134" s="218">
        <v>3500</v>
      </c>
      <c r="J134" s="219">
        <f>'[70]Rev_NP-12me'!AT158</f>
        <v>0</v>
      </c>
      <c r="K134" s="219">
        <f>'[70]Rev_NP-12me'!AU158</f>
        <v>0</v>
      </c>
      <c r="L134" s="219">
        <f>'[70]Rev_NP-12me'!AW158</f>
        <v>0</v>
      </c>
      <c r="M134" s="218">
        <f t="shared" si="3"/>
        <v>0</v>
      </c>
    </row>
    <row r="135" spans="2:13" ht="14.4" x14ac:dyDescent="0.25">
      <c r="B135" s="223" t="s">
        <v>1130</v>
      </c>
      <c r="C135" s="17"/>
      <c r="D135" s="219">
        <f>'[70]Rev_NP-12me'!AJ159</f>
        <v>0</v>
      </c>
      <c r="E135" s="219">
        <f>'[70]Rev_NP-12me'!AK159</f>
        <v>0</v>
      </c>
      <c r="F135" s="219">
        <f>'[70]Rev_NP-12me'!AQ159</f>
        <v>0</v>
      </c>
      <c r="G135" s="218">
        <v>0</v>
      </c>
      <c r="H135" s="218">
        <v>8.15</v>
      </c>
      <c r="I135" s="218">
        <v>3500</v>
      </c>
      <c r="J135" s="219">
        <f>'[70]Rev_NP-12me'!AT159</f>
        <v>0</v>
      </c>
      <c r="K135" s="219">
        <f>'[70]Rev_NP-12me'!AU159</f>
        <v>0</v>
      </c>
      <c r="L135" s="219">
        <f>'[70]Rev_NP-12me'!AW159</f>
        <v>0</v>
      </c>
      <c r="M135" s="218">
        <f t="shared" si="3"/>
        <v>0</v>
      </c>
    </row>
    <row r="136" spans="2:13" ht="14.4" x14ac:dyDescent="0.25">
      <c r="B136" s="223" t="s">
        <v>1151</v>
      </c>
      <c r="C136" s="17"/>
      <c r="D136" s="219">
        <f>'[70]Rev_NP-12me'!AJ160</f>
        <v>0</v>
      </c>
      <c r="E136" s="219">
        <f>'[70]Rev_NP-12me'!AK160</f>
        <v>0</v>
      </c>
      <c r="F136" s="219">
        <f>'[70]Rev_NP-12me'!AQ160</f>
        <v>0</v>
      </c>
      <c r="G136" s="218">
        <v>0</v>
      </c>
      <c r="H136" s="218">
        <v>6.15</v>
      </c>
      <c r="I136" s="218">
        <v>3500</v>
      </c>
      <c r="J136" s="219">
        <f>'[70]Rev_NP-12me'!AT160</f>
        <v>0</v>
      </c>
      <c r="K136" s="219">
        <f>'[70]Rev_NP-12me'!AU160</f>
        <v>0</v>
      </c>
      <c r="L136" s="219">
        <f>'[70]Rev_NP-12me'!AW160</f>
        <v>0</v>
      </c>
      <c r="M136" s="218">
        <f t="shared" si="3"/>
        <v>0</v>
      </c>
    </row>
    <row r="137" spans="2:13" x14ac:dyDescent="0.25">
      <c r="B137" s="217" t="s">
        <v>1132</v>
      </c>
      <c r="C137" s="17"/>
      <c r="D137" s="216">
        <f>'[70]Rev_NP-12me'!AJ161</f>
        <v>1</v>
      </c>
      <c r="E137" s="216">
        <f>'[70]Rev_NP-12me'!AK161</f>
        <v>0.1</v>
      </c>
      <c r="F137" s="216">
        <f>'[70]Rev_NP-12me'!AQ161</f>
        <v>2.6019179999999996E-2</v>
      </c>
      <c r="G137" s="215">
        <v>475</v>
      </c>
      <c r="H137" s="215">
        <v>7.15</v>
      </c>
      <c r="I137" s="215">
        <v>3500</v>
      </c>
      <c r="J137" s="216">
        <f>'[70]Rev_NP-12me'!AT161</f>
        <v>4.5600000000000002E-2</v>
      </c>
      <c r="K137" s="216">
        <f>'[70]Rev_NP-12me'!AU161</f>
        <v>1.86037137E-2</v>
      </c>
      <c r="L137" s="216">
        <f>'[70]Rev_NP-12me'!AW161</f>
        <v>4.1999999999999997E-3</v>
      </c>
      <c r="M137" s="215">
        <f t="shared" si="3"/>
        <v>6.8403713699999993E-2</v>
      </c>
    </row>
    <row r="138" spans="2:13" x14ac:dyDescent="0.25">
      <c r="B138" s="217" t="s">
        <v>1133</v>
      </c>
      <c r="C138" s="17"/>
      <c r="D138" s="216">
        <f>'[70]Rev_NP-12me'!AJ162</f>
        <v>23</v>
      </c>
      <c r="E138" s="216">
        <f>'[70]Rev_NP-12me'!AK162</f>
        <v>9.3571581758055213</v>
      </c>
      <c r="F138" s="216">
        <f>'[70]Rev_NP-12me'!AQ162</f>
        <v>17.671262952650498</v>
      </c>
      <c r="G138" s="215">
        <v>0</v>
      </c>
      <c r="H138" s="215">
        <v>0</v>
      </c>
      <c r="I138" s="215">
        <v>3500</v>
      </c>
      <c r="J138" s="216">
        <f>'[70]Rev_NP-12me'!AT162</f>
        <v>4.2668641281673176</v>
      </c>
      <c r="K138" s="216">
        <f>'[70]Rev_NP-12me'!AU162</f>
        <v>14.193844081629665</v>
      </c>
      <c r="L138" s="216">
        <f>'[70]Rev_NP-12me'!AW162</f>
        <v>9.4500000000000001E-2</v>
      </c>
      <c r="M138" s="215">
        <f t="shared" si="3"/>
        <v>18.555208209796984</v>
      </c>
    </row>
    <row r="139" spans="2:13" ht="14.4" x14ac:dyDescent="0.25">
      <c r="B139" s="223" t="s">
        <v>1152</v>
      </c>
      <c r="C139" s="17"/>
      <c r="D139" s="219">
        <f>'[70]Rev_NP-12me'!AJ163</f>
        <v>23</v>
      </c>
      <c r="E139" s="219">
        <f>'[70]Rev_NP-12me'!AK163</f>
        <v>9.3571581758055213</v>
      </c>
      <c r="F139" s="219">
        <f>'[70]Rev_NP-12me'!AQ163</f>
        <v>6.30601425794785</v>
      </c>
      <c r="G139" s="218">
        <v>475</v>
      </c>
      <c r="H139" s="218">
        <v>8</v>
      </c>
      <c r="I139" s="218">
        <v>3500</v>
      </c>
      <c r="J139" s="219">
        <f>'[70]Rev_NP-12me'!AT163</f>
        <v>4.2668641281673176</v>
      </c>
      <c r="K139" s="219">
        <f>'[70]Rev_NP-12me'!AU163</f>
        <v>5.0448114063582796</v>
      </c>
      <c r="L139" s="219">
        <f>'[70]Rev_NP-12me'!AW163</f>
        <v>9.4500000000000001E-2</v>
      </c>
      <c r="M139" s="218">
        <f t="shared" si="3"/>
        <v>9.4061755345255982</v>
      </c>
    </row>
    <row r="140" spans="2:13" ht="14.4" x14ac:dyDescent="0.25">
      <c r="B140" s="223" t="s">
        <v>1100</v>
      </c>
      <c r="C140" s="17"/>
      <c r="D140" s="219">
        <f>'[70]Rev_NP-12me'!AJ164</f>
        <v>0</v>
      </c>
      <c r="E140" s="219">
        <f>'[70]Rev_NP-12me'!AK164</f>
        <v>0</v>
      </c>
      <c r="F140" s="219">
        <f>'[70]Rev_NP-12me'!AQ164</f>
        <v>3.2722609040683328</v>
      </c>
      <c r="G140" s="218">
        <v>0</v>
      </c>
      <c r="H140" s="218">
        <v>9</v>
      </c>
      <c r="I140" s="218">
        <v>3500</v>
      </c>
      <c r="J140" s="219">
        <f>'[70]Rev_NP-12me'!AT164</f>
        <v>0</v>
      </c>
      <c r="K140" s="219">
        <f>'[70]Rev_NP-12me'!AU164</f>
        <v>2.9450348136614997</v>
      </c>
      <c r="L140" s="219">
        <f>'[70]Rev_NP-12me'!AW164</f>
        <v>0</v>
      </c>
      <c r="M140" s="218">
        <f t="shared" si="3"/>
        <v>2.9450348136614997</v>
      </c>
    </row>
    <row r="141" spans="2:13" ht="14.4" x14ac:dyDescent="0.25">
      <c r="B141" s="223" t="s">
        <v>1101</v>
      </c>
      <c r="C141" s="17"/>
      <c r="D141" s="219">
        <f>'[70]Rev_NP-12me'!AJ165</f>
        <v>0</v>
      </c>
      <c r="E141" s="219">
        <f>'[70]Rev_NP-12me'!AK165</f>
        <v>0</v>
      </c>
      <c r="F141" s="219">
        <f>'[70]Rev_NP-12me'!AQ165</f>
        <v>2.6945320408293347</v>
      </c>
      <c r="G141" s="218">
        <v>0</v>
      </c>
      <c r="H141" s="218">
        <v>9</v>
      </c>
      <c r="I141" s="218">
        <v>3500</v>
      </c>
      <c r="J141" s="219">
        <f>'[70]Rev_NP-12me'!AT165</f>
        <v>0</v>
      </c>
      <c r="K141" s="219">
        <f>'[70]Rev_NP-12me'!AU165</f>
        <v>2.4250788367464011</v>
      </c>
      <c r="L141" s="219">
        <f>'[70]Rev_NP-12me'!AW165</f>
        <v>0</v>
      </c>
      <c r="M141" s="218">
        <f t="shared" si="3"/>
        <v>2.4250788367464011</v>
      </c>
    </row>
    <row r="142" spans="2:13" ht="14.4" x14ac:dyDescent="0.25">
      <c r="B142" s="223" t="s">
        <v>1102</v>
      </c>
      <c r="C142" s="17"/>
      <c r="D142" s="219">
        <f>'[70]Rev_NP-12me'!AJ166</f>
        <v>0</v>
      </c>
      <c r="E142" s="219">
        <f>'[70]Rev_NP-12me'!AK166</f>
        <v>0</v>
      </c>
      <c r="F142" s="219">
        <f>'[70]Rev_NP-12me'!AQ166</f>
        <v>5.3984557498049792</v>
      </c>
      <c r="G142" s="218">
        <v>0</v>
      </c>
      <c r="H142" s="218">
        <v>7</v>
      </c>
      <c r="I142" s="218">
        <v>3500</v>
      </c>
      <c r="J142" s="219">
        <f>'[70]Rev_NP-12me'!AT166</f>
        <v>0</v>
      </c>
      <c r="K142" s="219">
        <f>'[70]Rev_NP-12me'!AU166</f>
        <v>3.7789190248634852</v>
      </c>
      <c r="L142" s="219">
        <f>'[70]Rev_NP-12me'!AW166</f>
        <v>0</v>
      </c>
      <c r="M142" s="218">
        <f t="shared" si="3"/>
        <v>3.7789190248634852</v>
      </c>
    </row>
    <row r="143" spans="2:13" ht="14.4" x14ac:dyDescent="0.25">
      <c r="B143" s="223" t="s">
        <v>1153</v>
      </c>
      <c r="C143" s="17"/>
      <c r="D143" s="219">
        <f>'[70]Rev_NP-12me'!AJ167</f>
        <v>0</v>
      </c>
      <c r="E143" s="219">
        <f>'[70]Rev_NP-12me'!AK167</f>
        <v>0</v>
      </c>
      <c r="F143" s="219">
        <f>'[70]Rev_NP-12me'!AQ167</f>
        <v>0</v>
      </c>
      <c r="G143" s="218">
        <v>475</v>
      </c>
      <c r="H143" s="218">
        <v>8</v>
      </c>
      <c r="I143" s="218">
        <v>3500</v>
      </c>
      <c r="J143" s="219">
        <f>'[70]Rev_NP-12me'!AT167</f>
        <v>0</v>
      </c>
      <c r="K143" s="219">
        <f>'[70]Rev_NP-12me'!AU167</f>
        <v>0</v>
      </c>
      <c r="L143" s="219">
        <f>'[70]Rev_NP-12me'!AW167</f>
        <v>0</v>
      </c>
      <c r="M143" s="218">
        <f t="shared" si="3"/>
        <v>0</v>
      </c>
    </row>
    <row r="144" spans="2:13" x14ac:dyDescent="0.25">
      <c r="B144" s="217" t="s">
        <v>1135</v>
      </c>
      <c r="C144" s="17"/>
      <c r="D144" s="216">
        <f>'[70]Rev_NP-12me'!AJ168</f>
        <v>0</v>
      </c>
      <c r="E144" s="216">
        <f>'[70]Rev_NP-12me'!AK168</f>
        <v>0</v>
      </c>
      <c r="F144" s="216">
        <f>'[70]Rev_NP-12me'!AQ168</f>
        <v>0</v>
      </c>
      <c r="G144" s="215">
        <v>0</v>
      </c>
      <c r="H144" s="215">
        <v>0</v>
      </c>
      <c r="I144" s="215"/>
      <c r="J144" s="216">
        <f>'[70]Rev_NP-12me'!AT168</f>
        <v>0</v>
      </c>
      <c r="K144" s="216">
        <f>'[70]Rev_NP-12me'!AU168</f>
        <v>0</v>
      </c>
      <c r="L144" s="216">
        <f>'[70]Rev_NP-12me'!AW168</f>
        <v>0</v>
      </c>
      <c r="M144" s="215">
        <f t="shared" si="3"/>
        <v>0</v>
      </c>
    </row>
    <row r="145" spans="2:13" ht="14.4" x14ac:dyDescent="0.25">
      <c r="B145" s="221" t="s">
        <v>1134</v>
      </c>
      <c r="C145" s="17"/>
      <c r="D145" s="219">
        <f>'[70]Rev_NP-12me'!AJ169</f>
        <v>0</v>
      </c>
      <c r="E145" s="219">
        <f>'[70]Rev_NP-12me'!AK169</f>
        <v>0</v>
      </c>
      <c r="F145" s="219">
        <f>'[70]Rev_NP-12me'!AQ169</f>
        <v>0</v>
      </c>
      <c r="G145" s="218">
        <v>260</v>
      </c>
      <c r="H145" s="218">
        <v>5</v>
      </c>
      <c r="I145" s="218">
        <v>3500</v>
      </c>
      <c r="J145" s="219">
        <f>'[70]Rev_NP-12me'!AT169</f>
        <v>0</v>
      </c>
      <c r="K145" s="219">
        <f>'[70]Rev_NP-12me'!AU169</f>
        <v>0</v>
      </c>
      <c r="L145" s="219">
        <f>'[70]Rev_NP-12me'!AW169</f>
        <v>0</v>
      </c>
      <c r="M145" s="218">
        <f t="shared" si="3"/>
        <v>0</v>
      </c>
    </row>
    <row r="146" spans="2:13" ht="14.4" x14ac:dyDescent="0.25">
      <c r="B146" s="221" t="s">
        <v>1100</v>
      </c>
      <c r="C146" s="17"/>
      <c r="D146" s="219">
        <f>'[70]Rev_NP-12me'!AJ170</f>
        <v>0</v>
      </c>
      <c r="E146" s="219">
        <f>'[70]Rev_NP-12me'!AK170</f>
        <v>0</v>
      </c>
      <c r="F146" s="219">
        <f>'[70]Rev_NP-12me'!AQ170</f>
        <v>0</v>
      </c>
      <c r="G146" s="218">
        <v>0</v>
      </c>
      <c r="H146" s="218">
        <v>6</v>
      </c>
      <c r="I146" s="218">
        <v>3500</v>
      </c>
      <c r="J146" s="219">
        <f>'[70]Rev_NP-12me'!AT170</f>
        <v>0</v>
      </c>
      <c r="K146" s="219">
        <f>'[70]Rev_NP-12me'!AU170</f>
        <v>0</v>
      </c>
      <c r="L146" s="219">
        <f>'[70]Rev_NP-12me'!AW170</f>
        <v>0</v>
      </c>
      <c r="M146" s="218">
        <f t="shared" si="3"/>
        <v>0</v>
      </c>
    </row>
    <row r="147" spans="2:13" ht="14.4" x14ac:dyDescent="0.25">
      <c r="B147" s="221" t="s">
        <v>1101</v>
      </c>
      <c r="C147" s="17"/>
      <c r="D147" s="219">
        <f>'[70]Rev_NP-12me'!AJ171</f>
        <v>0</v>
      </c>
      <c r="E147" s="219">
        <f>'[70]Rev_NP-12me'!AK171</f>
        <v>0</v>
      </c>
      <c r="F147" s="219">
        <f>'[70]Rev_NP-12me'!AQ171</f>
        <v>0</v>
      </c>
      <c r="G147" s="218">
        <v>0</v>
      </c>
      <c r="H147" s="218">
        <v>6</v>
      </c>
      <c r="I147" s="218">
        <v>3500</v>
      </c>
      <c r="J147" s="219">
        <f>'[70]Rev_NP-12me'!AT171</f>
        <v>0</v>
      </c>
      <c r="K147" s="219">
        <f>'[70]Rev_NP-12me'!AU171</f>
        <v>0</v>
      </c>
      <c r="L147" s="219">
        <f>'[70]Rev_NP-12me'!AW171</f>
        <v>0</v>
      </c>
      <c r="M147" s="218">
        <f t="shared" si="3"/>
        <v>0</v>
      </c>
    </row>
    <row r="148" spans="2:13" ht="14.4" x14ac:dyDescent="0.25">
      <c r="B148" s="221" t="s">
        <v>1102</v>
      </c>
      <c r="C148" s="17"/>
      <c r="D148" s="219">
        <f>'[70]Rev_NP-12me'!AJ172</f>
        <v>0</v>
      </c>
      <c r="E148" s="219">
        <f>'[70]Rev_NP-12me'!AK172</f>
        <v>0</v>
      </c>
      <c r="F148" s="219">
        <f>'[70]Rev_NP-12me'!AQ172</f>
        <v>0</v>
      </c>
      <c r="G148" s="218">
        <v>0</v>
      </c>
      <c r="H148" s="218">
        <v>4</v>
      </c>
      <c r="I148" s="218">
        <v>3500</v>
      </c>
      <c r="J148" s="219">
        <f>'[70]Rev_NP-12me'!AT172</f>
        <v>0</v>
      </c>
      <c r="K148" s="219">
        <f>'[70]Rev_NP-12me'!AU172</f>
        <v>0</v>
      </c>
      <c r="L148" s="219">
        <f>'[70]Rev_NP-12me'!AW172</f>
        <v>0</v>
      </c>
      <c r="M148" s="218">
        <f t="shared" si="3"/>
        <v>0</v>
      </c>
    </row>
    <row r="149" spans="2:13" x14ac:dyDescent="0.25">
      <c r="B149" s="217" t="s">
        <v>1079</v>
      </c>
      <c r="C149" s="17"/>
      <c r="D149" s="216">
        <f>'[70]Rev_NP-12me'!AJ173</f>
        <v>0</v>
      </c>
      <c r="E149" s="216">
        <f>'[70]Rev_NP-12me'!AK173</f>
        <v>0</v>
      </c>
      <c r="F149" s="216">
        <f>'[70]Rev_NP-12me'!AQ173</f>
        <v>0</v>
      </c>
      <c r="G149" s="215">
        <v>0</v>
      </c>
      <c r="H149" s="215">
        <v>0</v>
      </c>
      <c r="I149" s="215">
        <v>0</v>
      </c>
      <c r="J149" s="216">
        <f>'[70]Rev_NP-12me'!AT173</f>
        <v>0</v>
      </c>
      <c r="K149" s="216">
        <f>'[70]Rev_NP-12me'!AU173</f>
        <v>0</v>
      </c>
      <c r="L149" s="216">
        <f>'[70]Rev_NP-12me'!AW173</f>
        <v>0</v>
      </c>
      <c r="M149" s="215">
        <f t="shared" si="3"/>
        <v>0</v>
      </c>
    </row>
    <row r="150" spans="2:13" ht="14.4" x14ac:dyDescent="0.25">
      <c r="B150" s="223" t="s">
        <v>1134</v>
      </c>
      <c r="C150" s="17"/>
      <c r="D150" s="219">
        <f>'[70]Rev_NP-12me'!AJ174</f>
        <v>0</v>
      </c>
      <c r="E150" s="219">
        <f>'[70]Rev_NP-12me'!AK174</f>
        <v>0</v>
      </c>
      <c r="F150" s="219">
        <f>'[70]Rev_NP-12me'!AQ174</f>
        <v>0</v>
      </c>
      <c r="G150" s="218">
        <v>475</v>
      </c>
      <c r="H150" s="218">
        <v>7.85</v>
      </c>
      <c r="I150" s="218">
        <v>3500</v>
      </c>
      <c r="J150" s="219">
        <f>'[70]Rev_NP-12me'!AT174</f>
        <v>0</v>
      </c>
      <c r="K150" s="219">
        <f>'[70]Rev_NP-12me'!AU174</f>
        <v>0</v>
      </c>
      <c r="L150" s="219">
        <f>'[70]Rev_NP-12me'!AW174</f>
        <v>0</v>
      </c>
      <c r="M150" s="218">
        <f t="shared" si="3"/>
        <v>0</v>
      </c>
    </row>
    <row r="151" spans="2:13" ht="14.4" x14ac:dyDescent="0.25">
      <c r="B151" s="223" t="s">
        <v>1100</v>
      </c>
      <c r="C151" s="17"/>
      <c r="D151" s="219">
        <f>'[70]Rev_NP-12me'!AJ175</f>
        <v>0</v>
      </c>
      <c r="E151" s="219">
        <f>'[70]Rev_NP-12me'!AK175</f>
        <v>0</v>
      </c>
      <c r="F151" s="219">
        <f>'[70]Rev_NP-12me'!AQ175</f>
        <v>0</v>
      </c>
      <c r="G151" s="218">
        <v>0</v>
      </c>
      <c r="H151" s="218">
        <v>8.85</v>
      </c>
      <c r="I151" s="218">
        <v>3500</v>
      </c>
      <c r="J151" s="219">
        <f>'[70]Rev_NP-12me'!AT175</f>
        <v>0</v>
      </c>
      <c r="K151" s="219">
        <f>'[70]Rev_NP-12me'!AU175</f>
        <v>0</v>
      </c>
      <c r="L151" s="219">
        <f>'[70]Rev_NP-12me'!AW175</f>
        <v>0</v>
      </c>
      <c r="M151" s="218">
        <f t="shared" si="3"/>
        <v>0</v>
      </c>
    </row>
    <row r="152" spans="2:13" ht="14.4" x14ac:dyDescent="0.25">
      <c r="B152" s="223" t="s">
        <v>1101</v>
      </c>
      <c r="C152" s="17"/>
      <c r="D152" s="219">
        <f>'[70]Rev_NP-12me'!AJ176</f>
        <v>0</v>
      </c>
      <c r="E152" s="219">
        <f>'[70]Rev_NP-12me'!AK176</f>
        <v>0</v>
      </c>
      <c r="F152" s="219">
        <f>'[70]Rev_NP-12me'!AQ176</f>
        <v>0</v>
      </c>
      <c r="G152" s="218">
        <v>0</v>
      </c>
      <c r="H152" s="218">
        <v>8.85</v>
      </c>
      <c r="I152" s="218">
        <v>3500</v>
      </c>
      <c r="J152" s="219">
        <f>'[70]Rev_NP-12me'!AT176</f>
        <v>0</v>
      </c>
      <c r="K152" s="219">
        <f>'[70]Rev_NP-12me'!AU176</f>
        <v>0</v>
      </c>
      <c r="L152" s="219">
        <f>'[70]Rev_NP-12me'!AW176</f>
        <v>0</v>
      </c>
      <c r="M152" s="218">
        <f t="shared" si="3"/>
        <v>0</v>
      </c>
    </row>
    <row r="153" spans="2:13" ht="14.4" x14ac:dyDescent="0.25">
      <c r="B153" s="223" t="s">
        <v>1102</v>
      </c>
      <c r="C153" s="17"/>
      <c r="D153" s="219">
        <f>'[70]Rev_NP-12me'!AJ177</f>
        <v>0</v>
      </c>
      <c r="E153" s="219">
        <f>'[70]Rev_NP-12me'!AK177</f>
        <v>0</v>
      </c>
      <c r="F153" s="219">
        <f>'[70]Rev_NP-12me'!AQ177</f>
        <v>0</v>
      </c>
      <c r="G153" s="218">
        <v>0</v>
      </c>
      <c r="H153" s="218">
        <v>6.85</v>
      </c>
      <c r="I153" s="218">
        <v>3500</v>
      </c>
      <c r="J153" s="219">
        <f>'[70]Rev_NP-12me'!AT177</f>
        <v>0</v>
      </c>
      <c r="K153" s="219">
        <f>'[70]Rev_NP-12me'!AU177</f>
        <v>0</v>
      </c>
      <c r="L153" s="219">
        <f>'[70]Rev_NP-12me'!AW177</f>
        <v>0</v>
      </c>
      <c r="M153" s="218">
        <f t="shared" si="3"/>
        <v>0</v>
      </c>
    </row>
    <row r="154" spans="2:13" x14ac:dyDescent="0.25">
      <c r="B154" s="217" t="s">
        <v>1154</v>
      </c>
      <c r="C154" s="17"/>
      <c r="D154" s="216">
        <f>'[70]Rev_NP-12me'!AJ178</f>
        <v>30</v>
      </c>
      <c r="E154" s="216">
        <f>'[70]Rev_NP-12me'!AK178</f>
        <v>69.719160798665015</v>
      </c>
      <c r="F154" s="216">
        <f>'[70]Rev_NP-12me'!AQ178</f>
        <v>32.592349999999996</v>
      </c>
      <c r="G154" s="215">
        <v>0</v>
      </c>
      <c r="H154" s="215">
        <v>0</v>
      </c>
      <c r="I154" s="215">
        <v>0</v>
      </c>
      <c r="J154" s="216">
        <f>'[70]Rev_NP-12me'!AT178</f>
        <v>11.024342301288906</v>
      </c>
      <c r="K154" s="216">
        <f>'[70]Rev_NP-12me'!AU178</f>
        <v>20.533180499999997</v>
      </c>
      <c r="L154" s="216">
        <f>'[70]Rev_NP-12me'!AW178</f>
        <v>0.10920000000000001</v>
      </c>
      <c r="M154" s="215">
        <f t="shared" si="3"/>
        <v>31.666722801288905</v>
      </c>
    </row>
    <row r="155" spans="2:13" x14ac:dyDescent="0.25">
      <c r="B155" s="226" t="s">
        <v>1137</v>
      </c>
      <c r="C155" s="17"/>
      <c r="D155" s="224">
        <f>'[70]Rev_NP-12me'!AJ179</f>
        <v>30</v>
      </c>
      <c r="E155" s="224">
        <f>'[70]Rev_NP-12me'!AK179</f>
        <v>69.719160798665015</v>
      </c>
      <c r="F155" s="224">
        <f>'[70]Rev_NP-12me'!AQ179</f>
        <v>32.592349999999996</v>
      </c>
      <c r="G155" s="218">
        <v>275</v>
      </c>
      <c r="H155" s="218">
        <v>6.3</v>
      </c>
      <c r="I155" s="218">
        <v>3500</v>
      </c>
      <c r="J155" s="224">
        <f>'[70]Rev_NP-12me'!AT179</f>
        <v>11.024342301288906</v>
      </c>
      <c r="K155" s="224">
        <f>'[70]Rev_NP-12me'!AU179</f>
        <v>20.533180499999997</v>
      </c>
      <c r="L155" s="224">
        <f>'[70]Rev_NP-12me'!AW179</f>
        <v>0.10920000000000001</v>
      </c>
      <c r="M155" s="218">
        <f t="shared" si="3"/>
        <v>31.666722801288905</v>
      </c>
    </row>
    <row r="156" spans="2:13" x14ac:dyDescent="0.25">
      <c r="B156" s="225" t="s">
        <v>1155</v>
      </c>
      <c r="C156" s="17"/>
      <c r="D156" s="216">
        <f>'[70]Rev_NP-12me'!AJ184</f>
        <v>39</v>
      </c>
      <c r="E156" s="216">
        <f>'[70]Rev_NP-12me'!AK184</f>
        <v>70.805489201335007</v>
      </c>
      <c r="F156" s="216">
        <f>'[70]Rev_NP-12me'!AQ184</f>
        <v>360.15071468408308</v>
      </c>
      <c r="G156" s="215">
        <v>0</v>
      </c>
      <c r="H156" s="215">
        <v>0</v>
      </c>
      <c r="I156" s="215">
        <v>0</v>
      </c>
      <c r="J156" s="216">
        <f>'[70]Rev_NP-12me'!AT184</f>
        <v>0</v>
      </c>
      <c r="K156" s="216">
        <f>'[70]Rev_NP-12me'!AU184</f>
        <v>219.69193595729067</v>
      </c>
      <c r="L156" s="216">
        <f>'[70]Rev_NP-12me'!AW184</f>
        <v>0.14069999999999999</v>
      </c>
      <c r="M156" s="215">
        <f t="shared" si="3"/>
        <v>219.83263595729068</v>
      </c>
    </row>
    <row r="157" spans="2:13" x14ac:dyDescent="0.25">
      <c r="B157" s="221" t="s">
        <v>1156</v>
      </c>
      <c r="C157" s="17"/>
      <c r="D157" s="224">
        <f>'[70]Rev_NP-12me'!AJ185</f>
        <v>39</v>
      </c>
      <c r="E157" s="224">
        <f>'[70]Rev_NP-12me'!AK185</f>
        <v>70.805489201335007</v>
      </c>
      <c r="F157" s="224">
        <f>'[70]Rev_NP-12me'!AQ185</f>
        <v>360.15071468408308</v>
      </c>
      <c r="G157" s="218">
        <v>0</v>
      </c>
      <c r="H157" s="218">
        <v>6.1</v>
      </c>
      <c r="I157" s="218">
        <v>3500</v>
      </c>
      <c r="J157" s="224">
        <f>'[70]Rev_NP-12me'!AT185</f>
        <v>0</v>
      </c>
      <c r="K157" s="224">
        <f>'[70]Rev_NP-12me'!AU185</f>
        <v>219.69193595729067</v>
      </c>
      <c r="L157" s="224">
        <f>'[70]Rev_NP-12me'!AW185</f>
        <v>0.14069999999999999</v>
      </c>
      <c r="M157" s="218">
        <f t="shared" si="3"/>
        <v>219.83263595729068</v>
      </c>
    </row>
    <row r="158" spans="2:13" x14ac:dyDescent="0.25">
      <c r="B158" s="213" t="s">
        <v>1157</v>
      </c>
      <c r="C158" s="17"/>
      <c r="D158" s="216">
        <f>'[70]Rev_NP-12me'!AJ186</f>
        <v>0</v>
      </c>
      <c r="E158" s="216">
        <f>'[70]Rev_NP-12me'!AK186</f>
        <v>0</v>
      </c>
      <c r="F158" s="216">
        <f>'[70]Rev_NP-12me'!AQ186</f>
        <v>0</v>
      </c>
      <c r="G158" s="215">
        <v>0</v>
      </c>
      <c r="H158" s="215">
        <v>0</v>
      </c>
      <c r="I158" s="215">
        <v>3500</v>
      </c>
      <c r="J158" s="216">
        <f>'[70]Rev_NP-12me'!AT186</f>
        <v>0</v>
      </c>
      <c r="K158" s="216">
        <f>'[70]Rev_NP-12me'!AU186</f>
        <v>0</v>
      </c>
      <c r="L158" s="216">
        <f>'[70]Rev_NP-12me'!AW186</f>
        <v>0</v>
      </c>
      <c r="M158" s="218">
        <f t="shared" si="3"/>
        <v>0</v>
      </c>
    </row>
    <row r="159" spans="2:13" x14ac:dyDescent="0.25">
      <c r="B159" s="217" t="s">
        <v>1140</v>
      </c>
      <c r="C159" s="17"/>
      <c r="D159" s="216">
        <f>'[70]Rev_NP-12me'!AJ180</f>
        <v>0</v>
      </c>
      <c r="E159" s="216">
        <f>'[70]Rev_NP-12me'!AK180</f>
        <v>0</v>
      </c>
      <c r="F159" s="216">
        <f>'[70]Rev_NP-12me'!AQ180</f>
        <v>0</v>
      </c>
      <c r="G159" s="215">
        <v>475</v>
      </c>
      <c r="H159" s="215">
        <v>5.05</v>
      </c>
      <c r="I159" s="215">
        <v>3500</v>
      </c>
      <c r="J159" s="216">
        <f>'[70]Rev_NP-12me'!AT180</f>
        <v>0</v>
      </c>
      <c r="K159" s="216">
        <f>'[70]Rev_NP-12me'!AU180</f>
        <v>0</v>
      </c>
      <c r="L159" s="216">
        <f>'[70]Rev_NP-12me'!AW180</f>
        <v>0</v>
      </c>
      <c r="M159" s="215">
        <f t="shared" si="3"/>
        <v>0</v>
      </c>
    </row>
    <row r="160" spans="2:13" x14ac:dyDescent="0.25">
      <c r="B160" s="217" t="s">
        <v>1141</v>
      </c>
      <c r="C160" s="17"/>
      <c r="D160" s="216">
        <f>'[70]Rev_NP-12me'!AJ181</f>
        <v>0</v>
      </c>
      <c r="E160" s="216">
        <f>'[70]Rev_NP-12me'!AK181</f>
        <v>0</v>
      </c>
      <c r="F160" s="216">
        <f>'[70]Rev_NP-12me'!AQ181</f>
        <v>0</v>
      </c>
      <c r="G160" s="215">
        <v>475</v>
      </c>
      <c r="H160" s="215">
        <v>4.95</v>
      </c>
      <c r="I160" s="215">
        <v>3500</v>
      </c>
      <c r="J160" s="216">
        <f>'[70]Rev_NP-12me'!AT181</f>
        <v>0</v>
      </c>
      <c r="K160" s="216">
        <f>'[70]Rev_NP-12me'!AU181</f>
        <v>0</v>
      </c>
      <c r="L160" s="216">
        <f>'[70]Rev_NP-12me'!AW181</f>
        <v>0</v>
      </c>
      <c r="M160" s="215">
        <f t="shared" si="3"/>
        <v>0</v>
      </c>
    </row>
    <row r="161" spans="2:13" x14ac:dyDescent="0.25">
      <c r="B161" s="217" t="s">
        <v>811</v>
      </c>
      <c r="C161" s="17"/>
      <c r="D161" s="216">
        <f>'[70]Rev_NP-12me'!AJ182</f>
        <v>9</v>
      </c>
      <c r="E161" s="216">
        <f>'[70]Rev_NP-12me'!AK182</f>
        <v>16.725232530122593</v>
      </c>
      <c r="F161" s="216">
        <f>'[70]Rev_NP-12me'!AQ182</f>
        <v>31.910134814482756</v>
      </c>
      <c r="G161" s="215">
        <v>260</v>
      </c>
      <c r="H161" s="215">
        <v>7.3</v>
      </c>
      <c r="I161" s="215">
        <v>3500</v>
      </c>
      <c r="J161" s="216">
        <f>'[70]Rev_NP-12me'!AT182</f>
        <v>4.1746180395185997</v>
      </c>
      <c r="K161" s="216">
        <f>'[70]Rev_NP-12me'!AU182</f>
        <v>23.294398414572409</v>
      </c>
      <c r="L161" s="216">
        <f>'[70]Rev_NP-12me'!AW182</f>
        <v>3.3599999999999998E-2</v>
      </c>
      <c r="M161" s="215">
        <f t="shared" si="3"/>
        <v>27.502616454091008</v>
      </c>
    </row>
    <row r="162" spans="2:13" x14ac:dyDescent="0.25">
      <c r="B162" s="217" t="s">
        <v>813</v>
      </c>
      <c r="C162" s="17"/>
      <c r="D162" s="216">
        <f>'[70]Rev_NP-12me'!AJ183</f>
        <v>9</v>
      </c>
      <c r="E162" s="216">
        <f>'[70]Rev_NP-12me'!AK183</f>
        <v>6.65</v>
      </c>
      <c r="F162" s="216">
        <f>'[70]Rev_NP-12me'!AQ183</f>
        <v>7.1627470199999994</v>
      </c>
      <c r="G162" s="215">
        <v>500</v>
      </c>
      <c r="H162" s="215">
        <v>11</v>
      </c>
      <c r="I162" s="215">
        <v>3500</v>
      </c>
      <c r="J162" s="216">
        <f>'[70]Rev_NP-12me'!AT183</f>
        <v>3.1920000000000002</v>
      </c>
      <c r="K162" s="216">
        <f>'[70]Rev_NP-12me'!AU183</f>
        <v>7.8790217219999992</v>
      </c>
      <c r="L162" s="216">
        <f>'[70]Rev_NP-12me'!AW183</f>
        <v>3.3599999999999998E-2</v>
      </c>
      <c r="M162" s="215">
        <f t="shared" si="3"/>
        <v>11.104621721999999</v>
      </c>
    </row>
    <row r="163" spans="2:13" x14ac:dyDescent="0.25">
      <c r="B163" s="217" t="s">
        <v>1158</v>
      </c>
      <c r="C163" s="17"/>
      <c r="D163" s="216">
        <f>'[70]Rev_NP-12me'!$AJ$191</f>
        <v>3</v>
      </c>
      <c r="E163" s="216">
        <f>'[70]Rev_NP-12me'!$AK$191</f>
        <v>18</v>
      </c>
      <c r="F163" s="216">
        <f>'[70]Rev_NP-12me'!AQ191</f>
        <v>84.621599999999987</v>
      </c>
      <c r="G163" s="215">
        <v>100</v>
      </c>
      <c r="H163" s="215">
        <v>6</v>
      </c>
      <c r="I163" s="215">
        <v>2000</v>
      </c>
      <c r="J163" s="216">
        <f>'[70]Rev_NP-12me'!AT191</f>
        <v>1.7280000000000002</v>
      </c>
      <c r="K163" s="216">
        <f>'[70]Rev_NP-12me'!AU191</f>
        <v>50.772959999999991</v>
      </c>
      <c r="L163" s="216">
        <f>'[70]Rev_NP-12me'!AW191</f>
        <v>6.3E-3</v>
      </c>
      <c r="M163" s="215">
        <f t="shared" si="3"/>
        <v>52.507259999999995</v>
      </c>
    </row>
    <row r="164" spans="2:13" x14ac:dyDescent="0.25">
      <c r="B164" s="213" t="s">
        <v>1159</v>
      </c>
      <c r="C164" s="17"/>
      <c r="D164" s="210">
        <f>SUM(D123,D137,D138,D144,D149,D154,D156,D158,D159,D160,D161,D162,D163)</f>
        <v>168</v>
      </c>
      <c r="E164" s="210">
        <f>SUM(E123,E137,E138,E144,E149,E154,E156,E158,E159,E160,E161,E162,E163)</f>
        <v>261.93254099379084</v>
      </c>
      <c r="F164" s="210">
        <f>SUM(F123,F137,F138,F144,F149,F154,F156,F158,F159,F160,F161,F162,F163)</f>
        <v>732.96570660877353</v>
      </c>
      <c r="G164" s="210"/>
      <c r="H164" s="214"/>
      <c r="I164" s="214"/>
      <c r="J164" s="210">
        <f>SUM(J123,J137,J138,J144,J149,J154,J156,J158,J159,J160,J161,J162,J163)</f>
        <v>56.613852600240222</v>
      </c>
      <c r="K164" s="210">
        <f>SUM(K123,K137,K138,K144,K149,K154,K156,K158,K159,K160,K161,K162,K163)</f>
        <v>477.99579586094853</v>
      </c>
      <c r="L164" s="210">
        <f>SUM(L123,L137,L138,L144,L149,L154,L156,L158,L159,L160,L161,L162,L163)</f>
        <v>0.64049999999999996</v>
      </c>
      <c r="M164" s="210">
        <f>SUM(M123,M137,M138,M144,M149,M154,M156,M158,M159,M160,M161,M162,M163)</f>
        <v>535.2501484611887</v>
      </c>
    </row>
    <row r="165" spans="2:13" x14ac:dyDescent="0.25">
      <c r="B165" s="17"/>
      <c r="C165" s="17"/>
      <c r="D165" s="212"/>
      <c r="E165" s="212"/>
      <c r="F165" s="212"/>
      <c r="G165" s="212"/>
      <c r="H165" s="212"/>
      <c r="I165" s="212"/>
      <c r="J165" s="212"/>
      <c r="K165" s="212"/>
      <c r="L165" s="212"/>
      <c r="M165" s="218"/>
    </row>
    <row r="166" spans="2:13" x14ac:dyDescent="0.25">
      <c r="B166" s="217" t="s">
        <v>1160</v>
      </c>
      <c r="C166" s="17"/>
      <c r="D166" s="212"/>
      <c r="E166" s="212"/>
      <c r="F166" s="212"/>
      <c r="G166" s="212"/>
      <c r="H166" s="212"/>
      <c r="I166" s="212"/>
      <c r="J166" s="212"/>
      <c r="K166" s="212"/>
      <c r="L166" s="212"/>
      <c r="M166" s="218"/>
    </row>
    <row r="167" spans="2:13" x14ac:dyDescent="0.25">
      <c r="B167" s="217" t="s">
        <v>1145</v>
      </c>
      <c r="C167" s="17"/>
      <c r="D167" s="216">
        <f>'[70]Rev_NP-12me'!AJ201</f>
        <v>14</v>
      </c>
      <c r="E167" s="216">
        <f>'[70]Rev_NP-12me'!AK201</f>
        <v>180.54106614058745</v>
      </c>
      <c r="F167" s="216">
        <f>'[70]Rev_NP-12me'!AQ201</f>
        <v>381.44015963675173</v>
      </c>
      <c r="G167" s="215">
        <v>0</v>
      </c>
      <c r="H167" s="215">
        <v>0</v>
      </c>
      <c r="I167" s="215">
        <v>0</v>
      </c>
      <c r="J167" s="216">
        <f>'[70]Rev_NP-12me'!AT201</f>
        <v>82.326726160107881</v>
      </c>
      <c r="K167" s="216">
        <f>'[70]Rev_NP-12me'!AU201</f>
        <v>256.48538640107995</v>
      </c>
      <c r="L167" s="216">
        <f>'[70]Rev_NP-12me'!AW201</f>
        <v>8.4000000000000005E-2</v>
      </c>
      <c r="M167" s="215">
        <f t="shared" ref="M167:M208" si="4">SUM(J167:L167)</f>
        <v>338.89611256118786</v>
      </c>
    </row>
    <row r="168" spans="2:13" x14ac:dyDescent="0.25">
      <c r="B168" s="221" t="s">
        <v>1119</v>
      </c>
      <c r="C168" s="17"/>
      <c r="D168" s="224">
        <f>'[70]Rev_NP-12me'!AJ202</f>
        <v>14</v>
      </c>
      <c r="E168" s="224">
        <f>'[70]Rev_NP-12me'!AK202</f>
        <v>180.54106614058745</v>
      </c>
      <c r="F168" s="224">
        <f>'[70]Rev_NP-12me'!AQ202</f>
        <v>42.631794458751784</v>
      </c>
      <c r="G168" s="218">
        <v>475</v>
      </c>
      <c r="H168" s="218">
        <v>6.65</v>
      </c>
      <c r="I168" s="218">
        <v>5000</v>
      </c>
      <c r="J168" s="224">
        <f>'[70]Rev_NP-12me'!AT202</f>
        <v>82.326726160107881</v>
      </c>
      <c r="K168" s="224">
        <f>'[70]Rev_NP-12me'!AU202</f>
        <v>28.350143315069936</v>
      </c>
      <c r="L168" s="224">
        <f>'[70]Rev_NP-12me'!AW202</f>
        <v>8.4000000000000005E-2</v>
      </c>
      <c r="M168" s="218">
        <f t="shared" si="4"/>
        <v>110.76086947517783</v>
      </c>
    </row>
    <row r="169" spans="2:13" ht="14.4" x14ac:dyDescent="0.25">
      <c r="B169" s="221" t="s">
        <v>1147</v>
      </c>
      <c r="C169" s="17"/>
      <c r="D169" s="219">
        <f>'[70]Rev_NP-12me'!AJ204</f>
        <v>0</v>
      </c>
      <c r="E169" s="219">
        <f>'[70]Rev_NP-12me'!AK204</f>
        <v>0</v>
      </c>
      <c r="F169" s="219">
        <f>'[70]Rev_NP-12me'!AQ204</f>
        <v>0</v>
      </c>
      <c r="G169" s="220">
        <v>0</v>
      </c>
      <c r="H169" s="220">
        <v>6.65</v>
      </c>
      <c r="I169" s="220">
        <v>5000</v>
      </c>
      <c r="J169" s="219">
        <f>'[70]Rev_NP-12me'!AT204</f>
        <v>0</v>
      </c>
      <c r="K169" s="219">
        <f>'[70]Rev_NP-12me'!AU204</f>
        <v>0</v>
      </c>
      <c r="L169" s="219">
        <f>'[70]Rev_NP-12me'!AW204</f>
        <v>0</v>
      </c>
      <c r="M169" s="218">
        <f t="shared" si="4"/>
        <v>0</v>
      </c>
    </row>
    <row r="170" spans="2:13" ht="14.4" x14ac:dyDescent="0.25">
      <c r="B170" s="221" t="s">
        <v>1148</v>
      </c>
      <c r="C170" s="17"/>
      <c r="D170" s="219">
        <f>'[70]Rev_NP-12me'!AJ205</f>
        <v>0</v>
      </c>
      <c r="E170" s="219">
        <f>'[70]Rev_NP-12me'!AK205</f>
        <v>0</v>
      </c>
      <c r="F170" s="219">
        <f>'[70]Rev_NP-12me'!AQ205</f>
        <v>0</v>
      </c>
      <c r="G170" s="220">
        <v>0</v>
      </c>
      <c r="H170" s="220">
        <v>7.3</v>
      </c>
      <c r="I170" s="220">
        <v>5000</v>
      </c>
      <c r="J170" s="219">
        <f>'[70]Rev_NP-12me'!AT205</f>
        <v>0</v>
      </c>
      <c r="K170" s="219">
        <f>'[70]Rev_NP-12me'!AU205</f>
        <v>0</v>
      </c>
      <c r="L170" s="219">
        <f>'[70]Rev_NP-12me'!AW205</f>
        <v>0</v>
      </c>
      <c r="M170" s="218">
        <f t="shared" si="4"/>
        <v>0</v>
      </c>
    </row>
    <row r="171" spans="2:13" ht="14.4" x14ac:dyDescent="0.25">
      <c r="B171" s="221" t="s">
        <v>1149</v>
      </c>
      <c r="C171" s="17"/>
      <c r="D171" s="219">
        <f>'[70]Rev_NP-12me'!AJ206</f>
        <v>0</v>
      </c>
      <c r="E171" s="219">
        <f>'[70]Rev_NP-12me'!AK206</f>
        <v>0</v>
      </c>
      <c r="F171" s="219">
        <f>'[70]Rev_NP-12me'!AQ206</f>
        <v>0</v>
      </c>
      <c r="G171" s="220">
        <v>475</v>
      </c>
      <c r="H171" s="220">
        <v>7.7</v>
      </c>
      <c r="I171" s="220">
        <v>5000</v>
      </c>
      <c r="J171" s="219">
        <f>'[70]Rev_NP-12me'!AT206</f>
        <v>0</v>
      </c>
      <c r="K171" s="219">
        <f>'[70]Rev_NP-12me'!AU206</f>
        <v>0</v>
      </c>
      <c r="L171" s="219">
        <f>'[70]Rev_NP-12me'!AW206</f>
        <v>0</v>
      </c>
      <c r="M171" s="218">
        <f t="shared" si="4"/>
        <v>0</v>
      </c>
    </row>
    <row r="172" spans="2:13" ht="14.4" x14ac:dyDescent="0.25">
      <c r="B172" s="223" t="s">
        <v>1100</v>
      </c>
      <c r="C172" s="17"/>
      <c r="D172" s="219">
        <f>'[70]Rev_NP-12me'!AJ207</f>
        <v>0</v>
      </c>
      <c r="E172" s="219">
        <f>'[70]Rev_NP-12me'!AK207</f>
        <v>0</v>
      </c>
      <c r="F172" s="219">
        <f>'[70]Rev_NP-12me'!AQ207</f>
        <v>149.62623827939998</v>
      </c>
      <c r="G172" s="220">
        <v>0</v>
      </c>
      <c r="H172" s="220">
        <v>7.65</v>
      </c>
      <c r="I172" s="220">
        <v>5000</v>
      </c>
      <c r="J172" s="219">
        <f>'[70]Rev_NP-12me'!AT207</f>
        <v>0</v>
      </c>
      <c r="K172" s="219">
        <f>'[70]Rev_NP-12me'!AU207</f>
        <v>114.46407228374099</v>
      </c>
      <c r="L172" s="219">
        <f>'[70]Rev_NP-12me'!AW207</f>
        <v>0</v>
      </c>
      <c r="M172" s="218">
        <f t="shared" si="4"/>
        <v>114.46407228374099</v>
      </c>
    </row>
    <row r="173" spans="2:13" ht="14.4" x14ac:dyDescent="0.25">
      <c r="B173" s="223" t="s">
        <v>1101</v>
      </c>
      <c r="C173" s="17"/>
      <c r="D173" s="219">
        <f>'[70]Rev_NP-12me'!AJ208</f>
        <v>0</v>
      </c>
      <c r="E173" s="219">
        <f>'[70]Rev_NP-12me'!AK208</f>
        <v>0</v>
      </c>
      <c r="F173" s="219">
        <f>'[70]Rev_NP-12me'!AQ208</f>
        <v>33.916345522799993</v>
      </c>
      <c r="G173" s="220">
        <v>0</v>
      </c>
      <c r="H173" s="220">
        <v>7.65</v>
      </c>
      <c r="I173" s="220">
        <v>5000</v>
      </c>
      <c r="J173" s="219">
        <f>'[70]Rev_NP-12me'!AT208</f>
        <v>0</v>
      </c>
      <c r="K173" s="219">
        <f>'[70]Rev_NP-12me'!AU208</f>
        <v>25.946004324941999</v>
      </c>
      <c r="L173" s="219">
        <f>'[70]Rev_NP-12me'!AW208</f>
        <v>0</v>
      </c>
      <c r="M173" s="218">
        <f t="shared" si="4"/>
        <v>25.946004324941999</v>
      </c>
    </row>
    <row r="174" spans="2:13" ht="14.4" x14ac:dyDescent="0.25">
      <c r="B174" s="223" t="s">
        <v>1102</v>
      </c>
      <c r="C174" s="17"/>
      <c r="D174" s="219">
        <f>'[70]Rev_NP-12me'!AJ210</f>
        <v>0</v>
      </c>
      <c r="E174" s="219">
        <f>'[70]Rev_NP-12me'!AK210</f>
        <v>0</v>
      </c>
      <c r="F174" s="219">
        <f>'[70]Rev_NP-12me'!AQ210</f>
        <v>155.26578137579997</v>
      </c>
      <c r="G174" s="220">
        <v>0</v>
      </c>
      <c r="H174" s="220">
        <v>5.65</v>
      </c>
      <c r="I174" s="220">
        <v>5000</v>
      </c>
      <c r="J174" s="219">
        <f>'[70]Rev_NP-12me'!AT210</f>
        <v>0</v>
      </c>
      <c r="K174" s="219">
        <f>'[70]Rev_NP-12me'!AU210</f>
        <v>87.725166477326994</v>
      </c>
      <c r="L174" s="219">
        <f>'[70]Rev_NP-12me'!AW210</f>
        <v>0</v>
      </c>
      <c r="M174" s="218">
        <f t="shared" si="4"/>
        <v>87.725166477326994</v>
      </c>
    </row>
    <row r="175" spans="2:13" x14ac:dyDescent="0.25">
      <c r="B175" s="217" t="s">
        <v>1161</v>
      </c>
      <c r="C175" s="17"/>
      <c r="D175" s="216">
        <f>'[70]Rev_NP-12me'!AJ212</f>
        <v>2</v>
      </c>
      <c r="E175" s="216">
        <f>'[70]Rev_NP-12me'!AK212</f>
        <v>35</v>
      </c>
      <c r="F175" s="216">
        <f>'[70]Rev_NP-12me'!AQ212</f>
        <v>277.58028848043824</v>
      </c>
      <c r="G175" s="215">
        <v>0</v>
      </c>
      <c r="H175" s="215">
        <v>0</v>
      </c>
      <c r="I175" s="215"/>
      <c r="J175" s="216">
        <f>'[70]Rev_NP-12me'!AT212</f>
        <v>15.96</v>
      </c>
      <c r="K175" s="216">
        <f>'[70]Rev_NP-12me'!AU212</f>
        <v>184.75641315200056</v>
      </c>
      <c r="L175" s="216">
        <f>'[70]Rev_NP-12me'!AW212</f>
        <v>1.2E-2</v>
      </c>
      <c r="M175" s="215">
        <f t="shared" si="4"/>
        <v>200.72841315200057</v>
      </c>
    </row>
    <row r="176" spans="2:13" ht="14.4" x14ac:dyDescent="0.25">
      <c r="B176" s="221" t="s">
        <v>1134</v>
      </c>
      <c r="C176" s="17"/>
      <c r="D176" s="219">
        <f>'[70]Rev_NP-12me'!AJ213</f>
        <v>2</v>
      </c>
      <c r="E176" s="219">
        <f>'[70]Rev_NP-12me'!AK213</f>
        <v>35</v>
      </c>
      <c r="F176" s="219">
        <f>'[70]Rev_NP-12me'!AQ213</f>
        <v>73.937568714601255</v>
      </c>
      <c r="G176" s="220">
        <v>475</v>
      </c>
      <c r="H176" s="220">
        <v>6.65</v>
      </c>
      <c r="I176" s="220">
        <v>5000</v>
      </c>
      <c r="J176" s="219">
        <f>'[70]Rev_NP-12me'!AT213</f>
        <v>15.96</v>
      </c>
      <c r="K176" s="219">
        <f>'[70]Rev_NP-12me'!AU213</f>
        <v>49.168483195209838</v>
      </c>
      <c r="L176" s="219">
        <f>'[70]Rev_NP-12me'!AW213</f>
        <v>1.2E-2</v>
      </c>
      <c r="M176" s="218">
        <f t="shared" si="4"/>
        <v>65.140483195209839</v>
      </c>
    </row>
    <row r="177" spans="2:13" ht="14.4" x14ac:dyDescent="0.25">
      <c r="B177" s="221" t="s">
        <v>1100</v>
      </c>
      <c r="C177" s="17"/>
      <c r="D177" s="219">
        <f>'[70]Rev_NP-12me'!AJ214</f>
        <v>0</v>
      </c>
      <c r="E177" s="219">
        <f>'[70]Rev_NP-12me'!AK214</f>
        <v>0</v>
      </c>
      <c r="F177" s="219">
        <f>'[70]Rev_NP-12me'!AQ214</f>
        <v>51.090623215478892</v>
      </c>
      <c r="G177" s="220">
        <v>0</v>
      </c>
      <c r="H177" s="220">
        <v>7.65</v>
      </c>
      <c r="I177" s="220">
        <v>5000</v>
      </c>
      <c r="J177" s="219">
        <f>'[70]Rev_NP-12me'!AT214</f>
        <v>0</v>
      </c>
      <c r="K177" s="219">
        <f>'[70]Rev_NP-12me'!AU214</f>
        <v>39.084326759841353</v>
      </c>
      <c r="L177" s="219">
        <f>'[70]Rev_NP-12me'!AW214</f>
        <v>0</v>
      </c>
      <c r="M177" s="218">
        <f t="shared" si="4"/>
        <v>39.084326759841353</v>
      </c>
    </row>
    <row r="178" spans="2:13" ht="14.4" x14ac:dyDescent="0.25">
      <c r="B178" s="221" t="s">
        <v>1101</v>
      </c>
      <c r="C178" s="17"/>
      <c r="D178" s="219">
        <f>'[70]Rev_NP-12me'!AJ215</f>
        <v>0</v>
      </c>
      <c r="E178" s="219">
        <f>'[70]Rev_NP-12me'!AK215</f>
        <v>0</v>
      </c>
      <c r="F178" s="219">
        <f>'[70]Rev_NP-12me'!AQ215</f>
        <v>51.558343229985212</v>
      </c>
      <c r="G178" s="220">
        <v>0</v>
      </c>
      <c r="H178" s="220">
        <v>7.65</v>
      </c>
      <c r="I178" s="220">
        <v>5000</v>
      </c>
      <c r="J178" s="219">
        <f>'[70]Rev_NP-12me'!AT215</f>
        <v>0</v>
      </c>
      <c r="K178" s="219">
        <f>'[70]Rev_NP-12me'!AU215</f>
        <v>39.442132570938689</v>
      </c>
      <c r="L178" s="219">
        <f>'[70]Rev_NP-12me'!AW215</f>
        <v>0</v>
      </c>
      <c r="M178" s="218">
        <f t="shared" si="4"/>
        <v>39.442132570938689</v>
      </c>
    </row>
    <row r="179" spans="2:13" ht="14.4" x14ac:dyDescent="0.25">
      <c r="B179" s="221" t="s">
        <v>1102</v>
      </c>
      <c r="C179" s="17"/>
      <c r="D179" s="219">
        <f>'[70]Rev_NP-12me'!AJ216</f>
        <v>0</v>
      </c>
      <c r="E179" s="219">
        <f>'[70]Rev_NP-12me'!AK216</f>
        <v>0</v>
      </c>
      <c r="F179" s="219">
        <f>'[70]Rev_NP-12me'!AQ216</f>
        <v>100.99375332037289</v>
      </c>
      <c r="G179" s="220">
        <v>0</v>
      </c>
      <c r="H179" s="220">
        <v>5.65</v>
      </c>
      <c r="I179" s="220">
        <v>5000</v>
      </c>
      <c r="J179" s="219">
        <f>'[70]Rev_NP-12me'!AT216</f>
        <v>0</v>
      </c>
      <c r="K179" s="219">
        <f>'[70]Rev_NP-12me'!AU216</f>
        <v>57.061470626010689</v>
      </c>
      <c r="L179" s="219">
        <f>'[70]Rev_NP-12me'!AW216</f>
        <v>0</v>
      </c>
      <c r="M179" s="218">
        <f t="shared" si="4"/>
        <v>57.061470626010689</v>
      </c>
    </row>
    <row r="180" spans="2:13" x14ac:dyDescent="0.25">
      <c r="B180" s="217" t="s">
        <v>1162</v>
      </c>
      <c r="C180" s="17"/>
      <c r="D180" s="216">
        <f>'[70]Rev_NP-12me'!AJ211</f>
        <v>0</v>
      </c>
      <c r="E180" s="216">
        <f>'[70]Rev_NP-12me'!AK211</f>
        <v>0</v>
      </c>
      <c r="F180" s="216">
        <f>'[70]Rev_NP-12me'!AQ211</f>
        <v>0</v>
      </c>
      <c r="G180" s="215">
        <v>475</v>
      </c>
      <c r="H180" s="215">
        <v>6.65</v>
      </c>
      <c r="I180" s="215">
        <v>5000</v>
      </c>
      <c r="J180" s="216">
        <f>'[70]Rev_NP-12me'!AT211</f>
        <v>0</v>
      </c>
      <c r="K180" s="216">
        <f>'[70]Rev_NP-12me'!AU211</f>
        <v>0</v>
      </c>
      <c r="L180" s="216">
        <f>'[70]Rev_NP-12me'!AW211</f>
        <v>0</v>
      </c>
      <c r="M180" s="215">
        <f t="shared" si="4"/>
        <v>0</v>
      </c>
    </row>
    <row r="181" spans="2:13" x14ac:dyDescent="0.25">
      <c r="B181" s="217" t="s">
        <v>1163</v>
      </c>
      <c r="C181" s="17"/>
      <c r="D181" s="216">
        <f>'[70]Rev_NP-12me'!AJ217</f>
        <v>8</v>
      </c>
      <c r="E181" s="216">
        <f>'[70]Rev_NP-12me'!AK217</f>
        <v>17.527693004466492</v>
      </c>
      <c r="F181" s="216">
        <f>'[70]Rev_NP-12me'!AQ217</f>
        <v>5.7995466559512572</v>
      </c>
      <c r="G181" s="215">
        <v>0</v>
      </c>
      <c r="H181" s="215">
        <v>0</v>
      </c>
      <c r="I181" s="215">
        <v>0</v>
      </c>
      <c r="J181" s="216">
        <f>'[70]Rev_NP-12me'!AT217</f>
        <v>7.9926280100367197</v>
      </c>
      <c r="K181" s="216">
        <f>'[70]Rev_NP-12me'!AU217</f>
        <v>4.4338291034598063</v>
      </c>
      <c r="L181" s="216">
        <f>'[70]Rev_NP-12me'!AW217</f>
        <v>4.4999999999999998E-2</v>
      </c>
      <c r="M181" s="215">
        <f t="shared" si="4"/>
        <v>12.471457113496525</v>
      </c>
    </row>
    <row r="182" spans="2:13" ht="14.4" x14ac:dyDescent="0.25">
      <c r="B182" s="223" t="s">
        <v>1134</v>
      </c>
      <c r="C182" s="17"/>
      <c r="D182" s="219">
        <f>'[70]Rev_NP-12me'!AJ218</f>
        <v>8</v>
      </c>
      <c r="E182" s="219">
        <f>'[70]Rev_NP-12me'!AK218</f>
        <v>17.527693004466492</v>
      </c>
      <c r="F182" s="219">
        <f>'[70]Rev_NP-12me'!AQ218</f>
        <v>1.0142931427789015</v>
      </c>
      <c r="G182" s="220">
        <v>475</v>
      </c>
      <c r="H182" s="220">
        <v>7.8</v>
      </c>
      <c r="I182" s="220">
        <v>5000</v>
      </c>
      <c r="J182" s="219">
        <f>'[70]Rev_NP-12me'!AT218</f>
        <v>7.9926280100367197</v>
      </c>
      <c r="K182" s="219">
        <f>'[70]Rev_NP-12me'!AU218</f>
        <v>0.79114865136754309</v>
      </c>
      <c r="L182" s="219">
        <f>'[70]Rev_NP-12me'!AW218</f>
        <v>4.4999999999999998E-2</v>
      </c>
      <c r="M182" s="218">
        <f t="shared" si="4"/>
        <v>8.8287766614042624</v>
      </c>
    </row>
    <row r="183" spans="2:13" ht="14.4" x14ac:dyDescent="0.25">
      <c r="B183" s="223" t="s">
        <v>1100</v>
      </c>
      <c r="C183" s="17"/>
      <c r="D183" s="219">
        <f>'[70]Rev_NP-12me'!AJ219</f>
        <v>0</v>
      </c>
      <c r="E183" s="219">
        <f>'[70]Rev_NP-12me'!AK219</f>
        <v>0</v>
      </c>
      <c r="F183" s="219">
        <f>'[70]Rev_NP-12me'!AQ219</f>
        <v>1.3129461751676739</v>
      </c>
      <c r="G183" s="220">
        <v>0</v>
      </c>
      <c r="H183" s="220">
        <v>8.8000000000000007</v>
      </c>
      <c r="I183" s="220">
        <v>5000</v>
      </c>
      <c r="J183" s="219">
        <f>'[70]Rev_NP-12me'!AT219</f>
        <v>0</v>
      </c>
      <c r="K183" s="219">
        <f>'[70]Rev_NP-12me'!AU219</f>
        <v>1.1553926341475531</v>
      </c>
      <c r="L183" s="219">
        <f>'[70]Rev_NP-12me'!AW219</f>
        <v>0</v>
      </c>
      <c r="M183" s="218">
        <f t="shared" si="4"/>
        <v>1.1553926341475531</v>
      </c>
    </row>
    <row r="184" spans="2:13" ht="14.4" x14ac:dyDescent="0.25">
      <c r="B184" s="223" t="s">
        <v>1101</v>
      </c>
      <c r="C184" s="17"/>
      <c r="D184" s="219">
        <f>'[70]Rev_NP-12me'!AJ220</f>
        <v>0</v>
      </c>
      <c r="E184" s="219">
        <f>'[70]Rev_NP-12me'!AK220</f>
        <v>0</v>
      </c>
      <c r="F184" s="219">
        <f>'[70]Rev_NP-12me'!AQ220</f>
        <v>0.63059414050762741</v>
      </c>
      <c r="G184" s="220">
        <v>0</v>
      </c>
      <c r="H184" s="220">
        <v>8.8000000000000007</v>
      </c>
      <c r="I184" s="220">
        <v>5000</v>
      </c>
      <c r="J184" s="219">
        <f>'[70]Rev_NP-12me'!AT220</f>
        <v>0</v>
      </c>
      <c r="K184" s="219">
        <f>'[70]Rev_NP-12me'!AU220</f>
        <v>0.55492284364671218</v>
      </c>
      <c r="L184" s="219">
        <f>'[70]Rev_NP-12me'!AW220</f>
        <v>0</v>
      </c>
      <c r="M184" s="218">
        <f t="shared" si="4"/>
        <v>0.55492284364671218</v>
      </c>
    </row>
    <row r="185" spans="2:13" ht="14.4" x14ac:dyDescent="0.25">
      <c r="B185" s="223" t="s">
        <v>1102</v>
      </c>
      <c r="C185" s="17"/>
      <c r="D185" s="219">
        <f>'[70]Rev_NP-12me'!AJ221</f>
        <v>0</v>
      </c>
      <c r="E185" s="219">
        <f>'[70]Rev_NP-12me'!AK221</f>
        <v>0</v>
      </c>
      <c r="F185" s="219">
        <f>'[70]Rev_NP-12me'!AQ221</f>
        <v>2.8417131974970551</v>
      </c>
      <c r="G185" s="220">
        <v>0</v>
      </c>
      <c r="H185" s="220">
        <v>6.8</v>
      </c>
      <c r="I185" s="220">
        <v>5000</v>
      </c>
      <c r="J185" s="219">
        <f>'[70]Rev_NP-12me'!AT221</f>
        <v>0</v>
      </c>
      <c r="K185" s="219">
        <f>'[70]Rev_NP-12me'!AU221</f>
        <v>1.9323649742979974</v>
      </c>
      <c r="L185" s="219">
        <f>'[70]Rev_NP-12me'!AW221</f>
        <v>0</v>
      </c>
      <c r="M185" s="218">
        <f t="shared" si="4"/>
        <v>1.9323649742979974</v>
      </c>
    </row>
    <row r="186" spans="2:13" x14ac:dyDescent="0.25">
      <c r="B186" s="217" t="s">
        <v>1135</v>
      </c>
      <c r="C186" s="17"/>
      <c r="D186" s="216">
        <f>'[70]Rev_NP-12me'!AJ222</f>
        <v>0</v>
      </c>
      <c r="E186" s="216">
        <f>'[70]Rev_NP-12me'!AK222</f>
        <v>0</v>
      </c>
      <c r="F186" s="216">
        <f>'[70]Rev_NP-12me'!AQ222</f>
        <v>0</v>
      </c>
      <c r="G186" s="215">
        <v>0</v>
      </c>
      <c r="H186" s="215">
        <v>0</v>
      </c>
      <c r="I186" s="215">
        <v>0</v>
      </c>
      <c r="J186" s="216">
        <f>'[70]Rev_NP-12me'!AT222</f>
        <v>0</v>
      </c>
      <c r="K186" s="216">
        <f>'[70]Rev_NP-12me'!AU222</f>
        <v>0</v>
      </c>
      <c r="L186" s="216">
        <f>'[70]Rev_NP-12me'!AW222</f>
        <v>0</v>
      </c>
      <c r="M186" s="215">
        <f t="shared" si="4"/>
        <v>0</v>
      </c>
    </row>
    <row r="187" spans="2:13" ht="14.4" x14ac:dyDescent="0.25">
      <c r="B187" s="221" t="s">
        <v>1134</v>
      </c>
      <c r="C187" s="17"/>
      <c r="D187" s="219">
        <f>'[70]Rev_NP-12me'!AJ223</f>
        <v>0</v>
      </c>
      <c r="E187" s="219">
        <f>'[70]Rev_NP-12me'!AK223</f>
        <v>0</v>
      </c>
      <c r="F187" s="219">
        <f>'[70]Rev_NP-12me'!AQ223</f>
        <v>0</v>
      </c>
      <c r="G187" s="220">
        <v>260</v>
      </c>
      <c r="H187" s="220">
        <v>5</v>
      </c>
      <c r="I187" s="220">
        <v>5000</v>
      </c>
      <c r="J187" s="219">
        <f>'[70]Rev_NP-12me'!AT223</f>
        <v>0</v>
      </c>
      <c r="K187" s="219">
        <f>'[70]Rev_NP-12me'!AU223</f>
        <v>0</v>
      </c>
      <c r="L187" s="219">
        <f>'[70]Rev_NP-12me'!AW223</f>
        <v>0</v>
      </c>
      <c r="M187" s="218">
        <f t="shared" si="4"/>
        <v>0</v>
      </c>
    </row>
    <row r="188" spans="2:13" ht="14.4" x14ac:dyDescent="0.25">
      <c r="B188" s="221" t="s">
        <v>1100</v>
      </c>
      <c r="C188" s="17"/>
      <c r="D188" s="219">
        <f>'[70]Rev_NP-12me'!AJ224</f>
        <v>0</v>
      </c>
      <c r="E188" s="219">
        <f>'[70]Rev_NP-12me'!AK224</f>
        <v>0</v>
      </c>
      <c r="F188" s="219">
        <f>'[70]Rev_NP-12me'!AQ224</f>
        <v>0</v>
      </c>
      <c r="G188" s="220">
        <v>0</v>
      </c>
      <c r="H188" s="220">
        <v>6</v>
      </c>
      <c r="I188" s="220">
        <v>5000</v>
      </c>
      <c r="J188" s="219">
        <f>'[70]Rev_NP-12me'!AT224</f>
        <v>0</v>
      </c>
      <c r="K188" s="219">
        <f>'[70]Rev_NP-12me'!AU224</f>
        <v>0</v>
      </c>
      <c r="L188" s="219">
        <f>'[70]Rev_NP-12me'!AW224</f>
        <v>0</v>
      </c>
      <c r="M188" s="218">
        <f t="shared" si="4"/>
        <v>0</v>
      </c>
    </row>
    <row r="189" spans="2:13" ht="14.4" x14ac:dyDescent="0.25">
      <c r="B189" s="221" t="s">
        <v>1101</v>
      </c>
      <c r="C189" s="17"/>
      <c r="D189" s="219">
        <f>'[70]Rev_NP-12me'!AJ225</f>
        <v>0</v>
      </c>
      <c r="E189" s="219">
        <f>'[70]Rev_NP-12me'!AK225</f>
        <v>0</v>
      </c>
      <c r="F189" s="219">
        <f>'[70]Rev_NP-12me'!AQ225</f>
        <v>0</v>
      </c>
      <c r="G189" s="220">
        <v>0</v>
      </c>
      <c r="H189" s="220">
        <v>6</v>
      </c>
      <c r="I189" s="220">
        <v>5000</v>
      </c>
      <c r="J189" s="219">
        <f>'[70]Rev_NP-12me'!AT225</f>
        <v>0</v>
      </c>
      <c r="K189" s="219">
        <f>'[70]Rev_NP-12me'!AU225</f>
        <v>0</v>
      </c>
      <c r="L189" s="219">
        <f>'[70]Rev_NP-12me'!AW225</f>
        <v>0</v>
      </c>
      <c r="M189" s="218">
        <f t="shared" si="4"/>
        <v>0</v>
      </c>
    </row>
    <row r="190" spans="2:13" ht="14.4" x14ac:dyDescent="0.25">
      <c r="B190" s="221" t="s">
        <v>1102</v>
      </c>
      <c r="C190" s="17"/>
      <c r="D190" s="219">
        <f>'[70]Rev_NP-12me'!AJ226</f>
        <v>0</v>
      </c>
      <c r="E190" s="219">
        <f>'[70]Rev_NP-12me'!AK226</f>
        <v>0</v>
      </c>
      <c r="F190" s="219">
        <f>'[70]Rev_NP-12me'!AQ226</f>
        <v>0</v>
      </c>
      <c r="G190" s="220">
        <v>0</v>
      </c>
      <c r="H190" s="220">
        <v>4</v>
      </c>
      <c r="I190" s="220">
        <v>5000</v>
      </c>
      <c r="J190" s="219">
        <f>'[70]Rev_NP-12me'!AT226</f>
        <v>0</v>
      </c>
      <c r="K190" s="219">
        <f>'[70]Rev_NP-12me'!AU226</f>
        <v>0</v>
      </c>
      <c r="L190" s="219">
        <f>'[70]Rev_NP-12me'!AW226</f>
        <v>0</v>
      </c>
      <c r="M190" s="218">
        <f t="shared" si="4"/>
        <v>0</v>
      </c>
    </row>
    <row r="191" spans="2:13" x14ac:dyDescent="0.25">
      <c r="B191" s="217" t="s">
        <v>1079</v>
      </c>
      <c r="C191" s="17"/>
      <c r="D191" s="216">
        <f>'[70]Rev_NP-12me'!AJ227</f>
        <v>0</v>
      </c>
      <c r="E191" s="216">
        <f>'[70]Rev_NP-12me'!AK227</f>
        <v>0</v>
      </c>
      <c r="F191" s="216">
        <f>'[70]Rev_NP-12me'!AQ227</f>
        <v>0</v>
      </c>
      <c r="G191" s="215">
        <v>0</v>
      </c>
      <c r="H191" s="215">
        <v>0</v>
      </c>
      <c r="I191" s="215">
        <v>0</v>
      </c>
      <c r="J191" s="216">
        <f>'[70]Rev_NP-12me'!AT227</f>
        <v>0</v>
      </c>
      <c r="K191" s="216">
        <f>'[70]Rev_NP-12me'!AU227</f>
        <v>0</v>
      </c>
      <c r="L191" s="216">
        <f>'[70]Rev_NP-12me'!AW227</f>
        <v>0</v>
      </c>
      <c r="M191" s="215">
        <f t="shared" si="4"/>
        <v>0</v>
      </c>
    </row>
    <row r="192" spans="2:13" ht="14.4" x14ac:dyDescent="0.25">
      <c r="B192" s="223" t="s">
        <v>1134</v>
      </c>
      <c r="C192" s="17"/>
      <c r="D192" s="219">
        <f>'[70]Rev_NP-12me'!AJ228</f>
        <v>0</v>
      </c>
      <c r="E192" s="219">
        <f>'[70]Rev_NP-12me'!AK228</f>
        <v>0</v>
      </c>
      <c r="F192" s="219">
        <f>'[70]Rev_NP-12me'!AQ228</f>
        <v>0</v>
      </c>
      <c r="G192" s="220">
        <v>475</v>
      </c>
      <c r="H192" s="220">
        <v>7.45</v>
      </c>
      <c r="I192" s="220">
        <v>5000</v>
      </c>
      <c r="J192" s="219">
        <f>'[70]Rev_NP-12me'!AT228</f>
        <v>0</v>
      </c>
      <c r="K192" s="219">
        <f>'[70]Rev_NP-12me'!AU228</f>
        <v>0</v>
      </c>
      <c r="L192" s="219">
        <f>'[70]Rev_NP-12me'!AW228</f>
        <v>0</v>
      </c>
      <c r="M192" s="218">
        <f t="shared" si="4"/>
        <v>0</v>
      </c>
    </row>
    <row r="193" spans="2:13" ht="14.4" x14ac:dyDescent="0.25">
      <c r="B193" s="223" t="s">
        <v>1100</v>
      </c>
      <c r="C193" s="17"/>
      <c r="D193" s="219">
        <f>'[70]Rev_NP-12me'!AJ229</f>
        <v>0</v>
      </c>
      <c r="E193" s="219">
        <f>'[70]Rev_NP-12me'!AK229</f>
        <v>0</v>
      </c>
      <c r="F193" s="219">
        <f>'[70]Rev_NP-12me'!AQ229</f>
        <v>0</v>
      </c>
      <c r="G193" s="220">
        <v>0</v>
      </c>
      <c r="H193" s="220">
        <v>8.4499999999999993</v>
      </c>
      <c r="I193" s="220">
        <v>5000</v>
      </c>
      <c r="J193" s="219">
        <f>'[70]Rev_NP-12me'!AT229</f>
        <v>0</v>
      </c>
      <c r="K193" s="219">
        <f>'[70]Rev_NP-12me'!AU229</f>
        <v>0</v>
      </c>
      <c r="L193" s="219">
        <f>'[70]Rev_NP-12me'!AW229</f>
        <v>0</v>
      </c>
      <c r="M193" s="218">
        <f t="shared" si="4"/>
        <v>0</v>
      </c>
    </row>
    <row r="194" spans="2:13" ht="14.4" x14ac:dyDescent="0.25">
      <c r="B194" s="223" t="s">
        <v>1101</v>
      </c>
      <c r="C194" s="17"/>
      <c r="D194" s="219">
        <f>'[70]Rev_NP-12me'!AJ230</f>
        <v>0</v>
      </c>
      <c r="E194" s="219">
        <f>'[70]Rev_NP-12me'!AK230</f>
        <v>0</v>
      </c>
      <c r="F194" s="219">
        <f>'[70]Rev_NP-12me'!AQ230</f>
        <v>0</v>
      </c>
      <c r="G194" s="220">
        <v>0</v>
      </c>
      <c r="H194" s="220">
        <v>8.4499999999999993</v>
      </c>
      <c r="I194" s="220">
        <v>5000</v>
      </c>
      <c r="J194" s="219">
        <f>'[70]Rev_NP-12me'!AT230</f>
        <v>0</v>
      </c>
      <c r="K194" s="219">
        <f>'[70]Rev_NP-12me'!AU230</f>
        <v>0</v>
      </c>
      <c r="L194" s="219">
        <f>'[70]Rev_NP-12me'!AW230</f>
        <v>0</v>
      </c>
      <c r="M194" s="218">
        <f t="shared" si="4"/>
        <v>0</v>
      </c>
    </row>
    <row r="195" spans="2:13" ht="14.4" x14ac:dyDescent="0.25">
      <c r="B195" s="223" t="s">
        <v>1102</v>
      </c>
      <c r="C195" s="17"/>
      <c r="D195" s="219">
        <f>'[70]Rev_NP-12me'!AJ231</f>
        <v>0</v>
      </c>
      <c r="E195" s="219">
        <f>'[70]Rev_NP-12me'!AK231</f>
        <v>0</v>
      </c>
      <c r="F195" s="219">
        <f>'[70]Rev_NP-12me'!AQ231</f>
        <v>0</v>
      </c>
      <c r="G195" s="220">
        <v>0</v>
      </c>
      <c r="H195" s="220">
        <v>6.45</v>
      </c>
      <c r="I195" s="220">
        <v>5000</v>
      </c>
      <c r="J195" s="219">
        <f>'[70]Rev_NP-12me'!AT231</f>
        <v>0</v>
      </c>
      <c r="K195" s="219">
        <f>'[70]Rev_NP-12me'!AU231</f>
        <v>0</v>
      </c>
      <c r="L195" s="219">
        <f>'[70]Rev_NP-12me'!AW231</f>
        <v>0</v>
      </c>
      <c r="M195" s="218">
        <f t="shared" si="4"/>
        <v>0</v>
      </c>
    </row>
    <row r="196" spans="2:13" x14ac:dyDescent="0.25">
      <c r="B196" s="217" t="s">
        <v>1164</v>
      </c>
      <c r="C196" s="17"/>
      <c r="D196" s="216">
        <f>'[70]Rev_NP-12me'!AJ232</f>
        <v>42</v>
      </c>
      <c r="E196" s="216">
        <f>'[70]Rev_NP-12me'!AK232</f>
        <v>2685.9948275000002</v>
      </c>
      <c r="F196" s="216">
        <f>'[70]Rev_NP-12me'!AQ232</f>
        <v>1391.474921627705</v>
      </c>
      <c r="G196" s="215">
        <v>0</v>
      </c>
      <c r="H196" s="215">
        <v>0</v>
      </c>
      <c r="I196" s="215">
        <v>0</v>
      </c>
      <c r="J196" s="216">
        <f>'[70]Rev_NP-12me'!AT232</f>
        <v>424.72293209843752</v>
      </c>
      <c r="K196" s="216">
        <f>'[70]Rev_NP-12me'!AU232</f>
        <v>876.62920062545413</v>
      </c>
      <c r="L196" s="216">
        <f>'[70]Rev_NP-12me'!AW232</f>
        <v>0.222</v>
      </c>
      <c r="M196" s="215">
        <f t="shared" si="4"/>
        <v>1301.5741327238916</v>
      </c>
    </row>
    <row r="197" spans="2:13" ht="14.4" x14ac:dyDescent="0.25">
      <c r="B197" s="221" t="s">
        <v>1137</v>
      </c>
      <c r="C197" s="17"/>
      <c r="D197" s="219">
        <f>'[70]Rev_NP-12me'!AJ233</f>
        <v>42</v>
      </c>
      <c r="E197" s="219">
        <f>'[70]Rev_NP-12me'!AK233</f>
        <v>2685.9948275000002</v>
      </c>
      <c r="F197" s="219">
        <f>'[70]Rev_NP-12me'!AQ233</f>
        <v>1391.474921627705</v>
      </c>
      <c r="G197" s="220">
        <v>275</v>
      </c>
      <c r="H197" s="220">
        <v>6.3</v>
      </c>
      <c r="I197" s="220">
        <v>5000</v>
      </c>
      <c r="J197" s="219">
        <f>'[70]Rev_NP-12me'!AT233</f>
        <v>424.72293209843752</v>
      </c>
      <c r="K197" s="219">
        <f>'[70]Rev_NP-12me'!AU233</f>
        <v>876.62920062545413</v>
      </c>
      <c r="L197" s="219">
        <f>'[70]Rev_NP-12me'!AW233</f>
        <v>0.222</v>
      </c>
      <c r="M197" s="218">
        <f t="shared" si="4"/>
        <v>1301.5741327238916</v>
      </c>
    </row>
    <row r="198" spans="2:13" ht="14.4" x14ac:dyDescent="0.25">
      <c r="B198" s="221" t="s">
        <v>1165</v>
      </c>
      <c r="C198" s="17"/>
      <c r="D198" s="219">
        <f>'[70]Rev_NP-12me'!AJ234</f>
        <v>0</v>
      </c>
      <c r="E198" s="219">
        <f>'[70]Rev_NP-12me'!AK234</f>
        <v>0</v>
      </c>
      <c r="F198" s="219">
        <f>'[70]Rev_NP-12me'!AQ234</f>
        <v>0</v>
      </c>
      <c r="G198" s="220">
        <v>275</v>
      </c>
      <c r="H198" s="220">
        <v>6.3</v>
      </c>
      <c r="I198" s="220">
        <v>5000</v>
      </c>
      <c r="J198" s="219">
        <f>'[70]Rev_NP-12me'!AT234</f>
        <v>0</v>
      </c>
      <c r="K198" s="219">
        <f>'[70]Rev_NP-12me'!AU234</f>
        <v>0</v>
      </c>
      <c r="L198" s="219">
        <f>'[70]Rev_NP-12me'!AW234</f>
        <v>0</v>
      </c>
      <c r="M198" s="218">
        <f t="shared" si="4"/>
        <v>0</v>
      </c>
    </row>
    <row r="199" spans="2:13" x14ac:dyDescent="0.25">
      <c r="B199" s="217" t="s">
        <v>1166</v>
      </c>
      <c r="C199" s="17"/>
      <c r="D199" s="216">
        <f>'[70]Rev_NP-12me'!AJ242</f>
        <v>1</v>
      </c>
      <c r="E199" s="216">
        <f>'[70]Rev_NP-12me'!AK242</f>
        <v>5.3079999999999998</v>
      </c>
      <c r="F199" s="216">
        <f>'[70]Rev_NP-12me'!AQ242</f>
        <v>28.750592634089028</v>
      </c>
      <c r="G199" s="215">
        <v>0</v>
      </c>
      <c r="H199" s="215">
        <v>0</v>
      </c>
      <c r="I199" s="215">
        <v>0</v>
      </c>
      <c r="J199" s="216">
        <f>'[70]Rev_NP-12me'!AT242</f>
        <v>0</v>
      </c>
      <c r="K199" s="216">
        <f>'[70]Rev_NP-12me'!AU242</f>
        <v>17.537861506794307</v>
      </c>
      <c r="L199" s="216">
        <f>'[70]Rev_NP-12me'!AW242</f>
        <v>6.0000000000000001E-3</v>
      </c>
      <c r="M199" s="215">
        <f t="shared" si="4"/>
        <v>17.543861506794308</v>
      </c>
    </row>
    <row r="200" spans="2:13" ht="14.4" x14ac:dyDescent="0.25">
      <c r="B200" s="221" t="s">
        <v>216</v>
      </c>
      <c r="C200" s="17"/>
      <c r="D200" s="219">
        <f>'[70]Rev_NP-12me'!AJ243</f>
        <v>1</v>
      </c>
      <c r="E200" s="219">
        <f>'[70]Rev_NP-12me'!AK243</f>
        <v>5.3079999999999998</v>
      </c>
      <c r="F200" s="219">
        <f>'[70]Rev_NP-12me'!AQ243</f>
        <v>28.750592634089028</v>
      </c>
      <c r="G200" s="220">
        <v>0</v>
      </c>
      <c r="H200" s="220">
        <v>6.1</v>
      </c>
      <c r="I200" s="220">
        <v>5000</v>
      </c>
      <c r="J200" s="219">
        <f>'[70]Rev_NP-12me'!AT243</f>
        <v>0</v>
      </c>
      <c r="K200" s="219">
        <f>'[70]Rev_NP-12me'!AU243</f>
        <v>17.537861506794307</v>
      </c>
      <c r="L200" s="219">
        <f>'[70]Rev_NP-12me'!AW243</f>
        <v>6.0000000000000001E-3</v>
      </c>
      <c r="M200" s="218">
        <f t="shared" si="4"/>
        <v>17.543861506794308</v>
      </c>
    </row>
    <row r="201" spans="2:13" x14ac:dyDescent="0.25">
      <c r="B201" s="217" t="s">
        <v>1167</v>
      </c>
      <c r="C201" s="17"/>
      <c r="D201" s="216">
        <f>'[70]Rev_NP-12me'!AJ244</f>
        <v>0</v>
      </c>
      <c r="E201" s="216">
        <f>'[70]Rev_NP-12me'!AK244</f>
        <v>0</v>
      </c>
      <c r="F201" s="216">
        <f>'[70]Rev_NP-12me'!AQ244</f>
        <v>0</v>
      </c>
      <c r="G201" s="215">
        <v>0</v>
      </c>
      <c r="H201" s="215">
        <v>0</v>
      </c>
      <c r="I201" s="215">
        <v>0</v>
      </c>
      <c r="J201" s="216">
        <f>'[70]Rev_NP-12me'!AT244</f>
        <v>0</v>
      </c>
      <c r="K201" s="216">
        <f>'[70]Rev_NP-12me'!AU244</f>
        <v>0</v>
      </c>
      <c r="L201" s="216">
        <f>'[70]Rev_NP-12me'!AW244</f>
        <v>0</v>
      </c>
      <c r="M201" s="218">
        <f t="shared" si="4"/>
        <v>0</v>
      </c>
    </row>
    <row r="202" spans="2:13" x14ac:dyDescent="0.25">
      <c r="B202" s="222" t="s">
        <v>1168</v>
      </c>
      <c r="C202" s="17"/>
      <c r="D202" s="216">
        <f>'[70]Rev_NP-12me'!AJ235</f>
        <v>13</v>
      </c>
      <c r="E202" s="216">
        <f>'[70]Rev_NP-12me'!AK235</f>
        <v>178.43344343715765</v>
      </c>
      <c r="F202" s="216">
        <f>'[70]Rev_NP-12me'!AQ235</f>
        <v>660.86056437582442</v>
      </c>
      <c r="G202" s="215">
        <v>0</v>
      </c>
      <c r="H202" s="215">
        <v>0</v>
      </c>
      <c r="I202" s="215">
        <v>0</v>
      </c>
      <c r="J202" s="216">
        <f>'[70]Rev_NP-12me'!AT235</f>
        <v>81.36565020734389</v>
      </c>
      <c r="K202" s="216">
        <f>'[70]Rev_NP-12me'!AU235</f>
        <v>333.73458500979132</v>
      </c>
      <c r="L202" s="216">
        <f>'[70]Rev_NP-12me'!AW235</f>
        <v>7.8E-2</v>
      </c>
      <c r="M202" s="215">
        <f t="shared" si="4"/>
        <v>415.17823521713518</v>
      </c>
    </row>
    <row r="203" spans="2:13" ht="14.4" x14ac:dyDescent="0.25">
      <c r="B203" s="221" t="s">
        <v>1169</v>
      </c>
      <c r="C203" s="17"/>
      <c r="D203" s="219">
        <f>'[70]Rev_NP-12me'!AJ236</f>
        <v>13</v>
      </c>
      <c r="E203" s="219">
        <f>'[70]Rev_NP-12me'!AK236</f>
        <v>178.43344343715765</v>
      </c>
      <c r="F203" s="219">
        <f>'[70]Rev_NP-12me'!AQ236</f>
        <v>660.86056437582442</v>
      </c>
      <c r="G203" s="220">
        <v>475</v>
      </c>
      <c r="H203" s="220">
        <v>5.05</v>
      </c>
      <c r="I203" s="220">
        <v>5000</v>
      </c>
      <c r="J203" s="219">
        <f>'[70]Rev_NP-12me'!AT236</f>
        <v>81.36565020734389</v>
      </c>
      <c r="K203" s="219">
        <f>'[70]Rev_NP-12me'!AU236</f>
        <v>333.73458500979132</v>
      </c>
      <c r="L203" s="219">
        <f>'[70]Rev_NP-12me'!AW236</f>
        <v>7.8E-2</v>
      </c>
      <c r="M203" s="218">
        <f t="shared" si="4"/>
        <v>415.17823521713518</v>
      </c>
    </row>
    <row r="204" spans="2:13" ht="14.4" x14ac:dyDescent="0.25">
      <c r="B204" s="221" t="s">
        <v>1170</v>
      </c>
      <c r="C204" s="17"/>
      <c r="D204" s="219">
        <f>'[70]Rev_NP-12me'!AJ237</f>
        <v>0</v>
      </c>
      <c r="E204" s="219">
        <f>'[70]Rev_NP-12me'!AK237</f>
        <v>0</v>
      </c>
      <c r="F204" s="219">
        <f>'[70]Rev_NP-12me'!AQ237</f>
        <v>0</v>
      </c>
      <c r="G204" s="220">
        <v>0</v>
      </c>
      <c r="H204" s="220">
        <v>0</v>
      </c>
      <c r="I204" s="220">
        <v>5000</v>
      </c>
      <c r="J204" s="219">
        <f>'[70]Rev_NP-12me'!AT237</f>
        <v>0</v>
      </c>
      <c r="K204" s="219">
        <f>'[70]Rev_NP-12me'!AU237</f>
        <v>0</v>
      </c>
      <c r="L204" s="219">
        <f>'[70]Rev_NP-12me'!AW237</f>
        <v>0</v>
      </c>
      <c r="M204" s="218">
        <f t="shared" si="4"/>
        <v>0</v>
      </c>
    </row>
    <row r="205" spans="2:13" ht="14.4" x14ac:dyDescent="0.25">
      <c r="B205" s="221" t="s">
        <v>1171</v>
      </c>
      <c r="C205" s="17"/>
      <c r="D205" s="219">
        <f>'[70]Rev_NP-12me'!AJ238</f>
        <v>0</v>
      </c>
      <c r="E205" s="219">
        <f>'[70]Rev_NP-12me'!AK238</f>
        <v>0</v>
      </c>
      <c r="F205" s="219">
        <f>'[70]Rev_NP-12me'!AQ238</f>
        <v>0</v>
      </c>
      <c r="G205" s="220">
        <v>475</v>
      </c>
      <c r="H205" s="220">
        <v>4.95</v>
      </c>
      <c r="I205" s="220">
        <v>5000</v>
      </c>
      <c r="J205" s="219">
        <f>'[70]Rev_NP-12me'!AT238</f>
        <v>0</v>
      </c>
      <c r="K205" s="219">
        <f>'[70]Rev_NP-12me'!AU238</f>
        <v>0</v>
      </c>
      <c r="L205" s="219">
        <f>'[70]Rev_NP-12me'!AW238</f>
        <v>0</v>
      </c>
      <c r="M205" s="218">
        <f t="shared" si="4"/>
        <v>0</v>
      </c>
    </row>
    <row r="206" spans="2:13" ht="14.4" x14ac:dyDescent="0.25">
      <c r="B206" s="221" t="s">
        <v>1172</v>
      </c>
      <c r="C206" s="17"/>
      <c r="D206" s="219">
        <f>'[70]Rev_NP-12me'!AJ239</f>
        <v>0</v>
      </c>
      <c r="E206" s="219">
        <f>'[70]Rev_NP-12me'!AK239</f>
        <v>0</v>
      </c>
      <c r="F206" s="219">
        <f>'[70]Rev_NP-12me'!AQ239</f>
        <v>0</v>
      </c>
      <c r="G206" s="220">
        <v>475</v>
      </c>
      <c r="H206" s="220">
        <v>4.95</v>
      </c>
      <c r="I206" s="220">
        <v>5000</v>
      </c>
      <c r="J206" s="219">
        <f>'[70]Rev_NP-12me'!AT239</f>
        <v>0</v>
      </c>
      <c r="K206" s="219">
        <f>'[70]Rev_NP-12me'!AU239</f>
        <v>0</v>
      </c>
      <c r="L206" s="219">
        <f>'[70]Rev_NP-12me'!AW239</f>
        <v>0</v>
      </c>
      <c r="M206" s="218">
        <f t="shared" si="4"/>
        <v>0</v>
      </c>
    </row>
    <row r="207" spans="2:13" x14ac:dyDescent="0.25">
      <c r="B207" s="217" t="s">
        <v>811</v>
      </c>
      <c r="C207" s="17"/>
      <c r="D207" s="216">
        <f>'[70]Rev_NP-12me'!AJ240</f>
        <v>2</v>
      </c>
      <c r="E207" s="216">
        <f>'[70]Rev_NP-12me'!AK240</f>
        <v>30</v>
      </c>
      <c r="F207" s="216">
        <f>'[70]Rev_NP-12me'!AQ240</f>
        <v>66.75530056551726</v>
      </c>
      <c r="G207" s="215">
        <v>260</v>
      </c>
      <c r="H207" s="215">
        <v>7.3</v>
      </c>
      <c r="I207" s="215">
        <v>5000</v>
      </c>
      <c r="J207" s="216">
        <f>'[70]Rev_NP-12me'!AT240</f>
        <v>7.4879999999999995</v>
      </c>
      <c r="K207" s="216">
        <f>'[70]Rev_NP-12me'!AU240</f>
        <v>48.731369412827597</v>
      </c>
      <c r="L207" s="216">
        <f>'[70]Rev_NP-12me'!AW240</f>
        <v>1.2E-2</v>
      </c>
      <c r="M207" s="215">
        <f t="shared" si="4"/>
        <v>56.231369412827597</v>
      </c>
    </row>
    <row r="208" spans="2:13" x14ac:dyDescent="0.25">
      <c r="B208" s="217" t="s">
        <v>813</v>
      </c>
      <c r="C208" s="17"/>
      <c r="D208" s="216">
        <f>'[70]Rev_NP-12me'!AJ241</f>
        <v>1</v>
      </c>
      <c r="E208" s="216">
        <f>'[70]Rev_NP-12me'!AK241</f>
        <v>0.5</v>
      </c>
      <c r="F208" s="216">
        <f>'[70]Rev_NP-12me'!AQ241</f>
        <v>1.1619330000000001</v>
      </c>
      <c r="G208" s="215">
        <v>500</v>
      </c>
      <c r="H208" s="215">
        <v>10.8</v>
      </c>
      <c r="I208" s="215">
        <v>5000</v>
      </c>
      <c r="J208" s="216">
        <f>'[70]Rev_NP-12me'!AT241</f>
        <v>0.24</v>
      </c>
      <c r="K208" s="216">
        <f>'[70]Rev_NP-12me'!AU241</f>
        <v>1.2548876400000002</v>
      </c>
      <c r="L208" s="216">
        <f>'[70]Rev_NP-12me'!AW241</f>
        <v>6.0000000000000001E-3</v>
      </c>
      <c r="M208" s="215">
        <f t="shared" si="4"/>
        <v>1.5008876400000002</v>
      </c>
    </row>
    <row r="209" spans="2:13" x14ac:dyDescent="0.25">
      <c r="B209" s="213" t="s">
        <v>1173</v>
      </c>
      <c r="C209" s="17"/>
      <c r="D209" s="210">
        <f>SUM(D167,D175,D180,D181,D186,D191,D196,D199,D201,D202,D207,D208)</f>
        <v>83</v>
      </c>
      <c r="E209" s="210">
        <f>SUM(E167,E175,E180,E181,E186,E191,E196,E199,E201,E202,E207,E208)</f>
        <v>3133.3050300822115</v>
      </c>
      <c r="F209" s="210">
        <f>SUM(F167,F175,F180,F181,F186,F191,F196,F199,F201,F202,F207,F208)</f>
        <v>2813.8233069762769</v>
      </c>
      <c r="G209" s="214"/>
      <c r="H209" s="214"/>
      <c r="I209" s="214"/>
      <c r="J209" s="210">
        <f>SUM(J167,J175,J180,J181,J186,J191,J196,J199,J201,J202,J207,J208)</f>
        <v>620.09593647592601</v>
      </c>
      <c r="K209" s="210">
        <f>SUM(K167,K175,K180,K181,K186,K191,K196,K199,K201,K202,K207,K208)</f>
        <v>1723.5635328514079</v>
      </c>
      <c r="L209" s="210">
        <f>SUM(L167,L175,L180,L181,L186,L191,L196,L199,L201,L202,L207,L208)</f>
        <v>0.46500000000000002</v>
      </c>
      <c r="M209" s="210">
        <f>SUM(M167,M175,M180,M181,M186,M191,M196,M199,M201,M202,M207,M208)</f>
        <v>2344.1244693273338</v>
      </c>
    </row>
    <row r="210" spans="2:13" x14ac:dyDescent="0.25">
      <c r="B210" s="213"/>
      <c r="C210" s="17"/>
      <c r="D210" s="212"/>
      <c r="E210" s="212"/>
      <c r="F210" s="212"/>
      <c r="G210" s="212"/>
      <c r="H210" s="212"/>
      <c r="I210" s="212"/>
      <c r="J210" s="212"/>
      <c r="K210" s="212"/>
      <c r="L210" s="212"/>
      <c r="M210" s="212"/>
    </row>
    <row r="211" spans="2:13" x14ac:dyDescent="0.25">
      <c r="B211" s="28" t="s">
        <v>1174</v>
      </c>
      <c r="C211" s="17"/>
      <c r="D211" s="210">
        <f>D120+D164+D209</f>
        <v>4123</v>
      </c>
      <c r="E211" s="210">
        <f>E120+E164+E209</f>
        <v>4821.920692255072</v>
      </c>
      <c r="F211" s="210">
        <f>F120+F164+F209</f>
        <v>6324.9002505228864</v>
      </c>
      <c r="G211" s="210"/>
      <c r="H211" s="210"/>
      <c r="I211" s="210"/>
      <c r="J211" s="210">
        <f>J120+J164+J209</f>
        <v>990.95427860532766</v>
      </c>
      <c r="K211" s="210">
        <f>K120+K164+K209</f>
        <v>4014.7214564393325</v>
      </c>
      <c r="L211" s="210">
        <f>L120+L164+L209</f>
        <v>9.9915000000000003</v>
      </c>
      <c r="M211" s="210">
        <f>M120+M164+M209</f>
        <v>5015.6672350446597</v>
      </c>
    </row>
    <row r="212" spans="2:13" x14ac:dyDescent="0.25">
      <c r="B212" s="28" t="s">
        <v>1175</v>
      </c>
      <c r="C212" s="17"/>
      <c r="D212" s="210">
        <f>D211+D70</f>
        <v>6330079</v>
      </c>
      <c r="E212" s="211">
        <f>E211+E70</f>
        <v>17174.189373465713</v>
      </c>
      <c r="F212" s="210">
        <f>F211+F70</f>
        <v>20635.452974159365</v>
      </c>
      <c r="G212" s="210"/>
      <c r="H212" s="210"/>
      <c r="I212" s="210"/>
      <c r="J212" s="210">
        <f>J211+J70</f>
        <v>1181.8571560869932</v>
      </c>
      <c r="K212" s="210">
        <f>K211+K70</f>
        <v>7178.013165492639</v>
      </c>
      <c r="L212" s="210">
        <f>L211+L70</f>
        <v>434.16904200000005</v>
      </c>
      <c r="M212" s="210">
        <f>M211+M70</f>
        <v>8794.0393635796318</v>
      </c>
    </row>
    <row r="214" spans="2:13" x14ac:dyDescent="0.25">
      <c r="D214" s="22" t="s">
        <v>36</v>
      </c>
      <c r="E214" s="4"/>
    </row>
    <row r="215" spans="2:13" x14ac:dyDescent="0.25">
      <c r="D215" s="24">
        <v>1</v>
      </c>
      <c r="E215" s="4" t="s">
        <v>984</v>
      </c>
    </row>
    <row r="216" spans="2:13" x14ac:dyDescent="0.25">
      <c r="D216" s="24">
        <f>D215+1</f>
        <v>2</v>
      </c>
      <c r="E216" s="4" t="s">
        <v>985</v>
      </c>
    </row>
  </sheetData>
  <mergeCells count="11">
    <mergeCell ref="B8:C8"/>
    <mergeCell ref="B72:C72"/>
    <mergeCell ref="O76:P76"/>
    <mergeCell ref="B2:N2"/>
    <mergeCell ref="B5:C7"/>
    <mergeCell ref="D5:D6"/>
    <mergeCell ref="E5:E6"/>
    <mergeCell ref="F5:F6"/>
    <mergeCell ref="G5:H5"/>
    <mergeCell ref="I5:I6"/>
    <mergeCell ref="J5:M5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216"/>
  <sheetViews>
    <sheetView showGridLines="0" zoomScale="80" zoomScaleNormal="80" workbookViewId="0">
      <pane xSplit="3" ySplit="7" topLeftCell="F206" activePane="bottomRight" state="frozen"/>
      <selection pane="topRight" activeCell="D1" sqref="D1"/>
      <selection pane="bottomLeft" activeCell="A8" sqref="A8"/>
      <selection pane="bottomRight" activeCell="M216" sqref="M216"/>
    </sheetView>
  </sheetViews>
  <sheetFormatPr defaultColWidth="9.109375" defaultRowHeight="13.8" x14ac:dyDescent="0.25"/>
  <cols>
    <col min="1" max="1" width="0" style="61" hidden="1" customWidth="1"/>
    <col min="2" max="2" width="40.33203125" style="61" customWidth="1"/>
    <col min="3" max="3" width="38.6640625" style="61" hidden="1" customWidth="1"/>
    <col min="4" max="4" width="21" style="489" customWidth="1"/>
    <col min="5" max="5" width="16.88671875" style="489" customWidth="1"/>
    <col min="6" max="6" width="14" style="489" customWidth="1"/>
    <col min="7" max="7" width="25" style="61" bestFit="1" customWidth="1"/>
    <col min="8" max="8" width="21.44140625" style="61" customWidth="1"/>
    <col min="9" max="9" width="17.5546875" style="61" customWidth="1"/>
    <col min="10" max="10" width="25" style="61" bestFit="1" customWidth="1"/>
    <col min="11" max="11" width="17.5546875" style="61" bestFit="1" customWidth="1"/>
    <col min="12" max="12" width="20.33203125" style="61" bestFit="1" customWidth="1"/>
    <col min="13" max="13" width="17.44140625" style="61" customWidth="1"/>
    <col min="14" max="14" width="9.109375" style="61"/>
    <col min="15" max="15" width="13.5546875" style="61" customWidth="1"/>
    <col min="16" max="16" width="33.88671875" style="61" customWidth="1"/>
    <col min="17" max="16384" width="9.109375" style="61"/>
  </cols>
  <sheetData>
    <row r="2" spans="2:14" x14ac:dyDescent="0.25">
      <c r="B2" s="825" t="s">
        <v>160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</row>
    <row r="3" spans="2:14" x14ac:dyDescent="0.25">
      <c r="I3" s="25" t="s">
        <v>1176</v>
      </c>
    </row>
    <row r="5" spans="2:14" x14ac:dyDescent="0.25">
      <c r="B5" s="909" t="s">
        <v>163</v>
      </c>
      <c r="C5" s="910"/>
      <c r="D5" s="931" t="s">
        <v>987</v>
      </c>
      <c r="E5" s="931" t="s">
        <v>988</v>
      </c>
      <c r="F5" s="932" t="s">
        <v>770</v>
      </c>
      <c r="G5" s="917" t="s">
        <v>989</v>
      </c>
      <c r="H5" s="917"/>
      <c r="I5" s="918" t="s">
        <v>990</v>
      </c>
      <c r="J5" s="917" t="s">
        <v>992</v>
      </c>
      <c r="K5" s="917"/>
      <c r="L5" s="917"/>
      <c r="M5" s="917"/>
    </row>
    <row r="6" spans="2:14" x14ac:dyDescent="0.25">
      <c r="B6" s="911"/>
      <c r="C6" s="912"/>
      <c r="D6" s="931"/>
      <c r="E6" s="931"/>
      <c r="F6" s="932"/>
      <c r="G6" s="139" t="s">
        <v>993</v>
      </c>
      <c r="H6" s="139" t="s">
        <v>994</v>
      </c>
      <c r="I6" s="918"/>
      <c r="J6" s="139" t="s">
        <v>993</v>
      </c>
      <c r="K6" s="139" t="s">
        <v>994</v>
      </c>
      <c r="L6" s="139" t="s">
        <v>990</v>
      </c>
      <c r="M6" s="139" t="s">
        <v>251</v>
      </c>
    </row>
    <row r="7" spans="2:14" x14ac:dyDescent="0.25">
      <c r="B7" s="913"/>
      <c r="C7" s="914"/>
      <c r="D7" s="490" t="s">
        <v>1111</v>
      </c>
      <c r="E7" s="490" t="s">
        <v>995</v>
      </c>
      <c r="F7" s="490" t="s">
        <v>996</v>
      </c>
      <c r="G7" s="62" t="s">
        <v>997</v>
      </c>
      <c r="H7" s="62" t="s">
        <v>998</v>
      </c>
      <c r="I7" s="62" t="s">
        <v>997</v>
      </c>
      <c r="J7" s="139" t="s">
        <v>682</v>
      </c>
      <c r="K7" s="139" t="s">
        <v>682</v>
      </c>
      <c r="L7" s="139" t="s">
        <v>682</v>
      </c>
      <c r="M7" s="139" t="s">
        <v>682</v>
      </c>
    </row>
    <row r="8" spans="2:14" x14ac:dyDescent="0.25">
      <c r="B8" s="753" t="s">
        <v>781</v>
      </c>
      <c r="C8" s="754"/>
      <c r="J8" s="18"/>
      <c r="K8" s="18"/>
      <c r="L8" s="18"/>
      <c r="M8" s="18"/>
    </row>
    <row r="9" spans="2:14" ht="14.4" x14ac:dyDescent="0.25">
      <c r="B9" s="194" t="s">
        <v>899</v>
      </c>
      <c r="C9" s="59"/>
      <c r="D9" s="491">
        <f>'[9]Rev_NP-12me'!H10</f>
        <v>4141446</v>
      </c>
      <c r="E9" s="491">
        <f>'[9]Rev_NP-12me'!I10</f>
        <v>4676.0056213445614</v>
      </c>
      <c r="F9" s="491">
        <f>'[9]Rev_NP-12me'!K10</f>
        <v>4518.5095000650799</v>
      </c>
      <c r="G9" s="374"/>
      <c r="H9" s="375"/>
      <c r="I9" s="374"/>
      <c r="J9" s="373">
        <f>'[9]Rev_NP-12me'!CZ10</f>
        <v>56.637118991366016</v>
      </c>
      <c r="K9" s="373">
        <f>'[9]Rev_NP-12me'!DA10</f>
        <v>1712.3771956627511</v>
      </c>
      <c r="L9" s="373">
        <f>'[9]Rev_NP-12me'!DC10</f>
        <v>301.62265199999996</v>
      </c>
      <c r="M9" s="376">
        <f t="shared" ref="M9:M40" si="0">SUM(J9:L9)</f>
        <v>2070.6369666541168</v>
      </c>
    </row>
    <row r="10" spans="2:14" ht="14.4" x14ac:dyDescent="0.25">
      <c r="B10" s="192" t="s">
        <v>900</v>
      </c>
      <c r="C10" s="59"/>
      <c r="D10" s="492">
        <f>'[9]Rev_NP-12me'!H11</f>
        <v>3137721</v>
      </c>
      <c r="E10" s="492">
        <f>'[9]Rev_NP-12me'!I11</f>
        <v>2563.4526400562763</v>
      </c>
      <c r="F10" s="492">
        <f>'[9]Rev_NP-12me'!K11</f>
        <v>1929.8524947783014</v>
      </c>
      <c r="G10" s="374"/>
      <c r="H10" s="375"/>
      <c r="I10" s="374"/>
      <c r="J10" s="377">
        <f>'[9]Rev_NP-12me'!CZ11</f>
        <v>30.761431680675319</v>
      </c>
      <c r="K10" s="377">
        <f>'[9]Rev_NP-12me'!DA11</f>
        <v>416.10967265341782</v>
      </c>
      <c r="L10" s="377">
        <f>'[9]Rev_NP-12me'!DC11</f>
        <v>187.71543</v>
      </c>
      <c r="M10" s="374">
        <f t="shared" si="0"/>
        <v>634.58653433409313</v>
      </c>
    </row>
    <row r="11" spans="2:14" ht="14.4" x14ac:dyDescent="0.25">
      <c r="B11" s="191" t="s">
        <v>901</v>
      </c>
      <c r="C11" s="59"/>
      <c r="D11" s="493">
        <f>'[9]Rev_NP-12me'!H12</f>
        <v>2035553</v>
      </c>
      <c r="E11" s="493">
        <f>'[9]Rev_NP-12me'!I12</f>
        <v>1309.44201535964</v>
      </c>
      <c r="F11" s="493">
        <f>'[9]Rev_NP-12me'!K12</f>
        <v>1583.8660932857013</v>
      </c>
      <c r="G11" s="374">
        <f>'[9]Rev_NP-12me'!S12</f>
        <v>10</v>
      </c>
      <c r="H11" s="403">
        <f>'[9]Rev_NP-12me'!T12</f>
        <v>1.95</v>
      </c>
      <c r="I11" s="374">
        <f>'[9]Rev_NP-12me'!AC12</f>
        <v>40</v>
      </c>
      <c r="J11" s="378">
        <f>'[9]Rev_NP-12me'!CZ12</f>
        <v>15.713304184315678</v>
      </c>
      <c r="K11" s="378">
        <f>'[9]Rev_NP-12me'!DA12</f>
        <v>308.85388819071176</v>
      </c>
      <c r="L11" s="378">
        <f>'[9]Rev_NP-12me'!DC12</f>
        <v>96.385295999999997</v>
      </c>
      <c r="M11" s="374">
        <f t="shared" si="0"/>
        <v>420.95248837502743</v>
      </c>
    </row>
    <row r="12" spans="2:14" ht="14.4" x14ac:dyDescent="0.25">
      <c r="B12" s="191" t="s">
        <v>903</v>
      </c>
      <c r="C12" s="59"/>
      <c r="D12" s="493">
        <f>'[9]Rev_NP-12me'!H13</f>
        <v>1102168</v>
      </c>
      <c r="E12" s="493">
        <f>'[9]Rev_NP-12me'!I13</f>
        <v>1254.0106246966366</v>
      </c>
      <c r="F12" s="493">
        <f>'[9]Rev_NP-12me'!K13</f>
        <v>345.98640149260012</v>
      </c>
      <c r="G12" s="374">
        <f>'[9]Rev_NP-12me'!S13</f>
        <v>10</v>
      </c>
      <c r="H12" s="403">
        <f>'[9]Rev_NP-12me'!T13</f>
        <v>3.1</v>
      </c>
      <c r="I12" s="374">
        <f>'[9]Rev_NP-12me'!AC13</f>
        <v>70</v>
      </c>
      <c r="J12" s="378">
        <f>'[9]Rev_NP-12me'!CZ13</f>
        <v>15.048127496359641</v>
      </c>
      <c r="K12" s="378">
        <f>'[9]Rev_NP-12me'!DA13</f>
        <v>107.25578446270606</v>
      </c>
      <c r="L12" s="378">
        <f>'[9]Rev_NP-12me'!DC13</f>
        <v>91.330134000000001</v>
      </c>
      <c r="M12" s="374">
        <f t="shared" si="0"/>
        <v>213.6340459590657</v>
      </c>
    </row>
    <row r="13" spans="2:14" x14ac:dyDescent="0.25">
      <c r="B13" s="192" t="s">
        <v>904</v>
      </c>
      <c r="C13" s="59"/>
      <c r="D13" s="492">
        <f>'[9]Rev_NP-12me'!H14</f>
        <v>689390</v>
      </c>
      <c r="E13" s="492">
        <f>'[9]Rev_NP-12me'!I14</f>
        <v>1407.59574739041</v>
      </c>
      <c r="F13" s="492">
        <f>'[9]Rev_NP-12me'!K14</f>
        <v>1420.2232835244331</v>
      </c>
      <c r="G13" s="501">
        <f>'[9]Rev_NP-12me'!S14</f>
        <v>0</v>
      </c>
      <c r="H13" s="502">
        <f>'[9]Rev_NP-12me'!T14</f>
        <v>0</v>
      </c>
      <c r="I13" s="501">
        <f>'[9]Rev_NP-12me'!AC14</f>
        <v>0</v>
      </c>
      <c r="J13" s="504">
        <f>'[9]Rev_NP-12me'!CZ14</f>
        <v>16.891148968684917</v>
      </c>
      <c r="K13" s="377">
        <f>'[9]Rev_NP-12me'!DA14</f>
        <v>563.55102447239881</v>
      </c>
      <c r="L13" s="377">
        <f>'[9]Rev_NP-12me'!DC14</f>
        <v>73.447289999999995</v>
      </c>
      <c r="M13" s="374">
        <f t="shared" si="0"/>
        <v>653.88946344108365</v>
      </c>
    </row>
    <row r="14" spans="2:14" ht="14.4" x14ac:dyDescent="0.25">
      <c r="B14" s="191" t="s">
        <v>905</v>
      </c>
      <c r="C14" s="59"/>
      <c r="D14" s="493">
        <f>'[9]Rev_NP-12me'!H15</f>
        <v>0</v>
      </c>
      <c r="E14" s="493">
        <f>'[9]Rev_NP-12me'!I15</f>
        <v>0</v>
      </c>
      <c r="F14" s="493">
        <f>'[9]Rev_NP-12me'!K15</f>
        <v>843.97251156663583</v>
      </c>
      <c r="G14" s="374">
        <f>'[9]Rev_NP-12me'!S15</f>
        <v>10</v>
      </c>
      <c r="H14" s="403">
        <f>'[9]Rev_NP-12me'!T15</f>
        <v>3.4</v>
      </c>
      <c r="I14" s="501">
        <f>'[9]Rev_NP-12me'!AC15</f>
        <v>0</v>
      </c>
      <c r="J14" s="378">
        <f>'[9]Rev_NP-12me'!CZ15</f>
        <v>0</v>
      </c>
      <c r="K14" s="378">
        <f>'[9]Rev_NP-12me'!DA15</f>
        <v>286.95065393265622</v>
      </c>
      <c r="L14" s="378">
        <f>'[9]Rev_NP-12me'!DC15</f>
        <v>0</v>
      </c>
      <c r="M14" s="374">
        <f t="shared" si="0"/>
        <v>286.95065393265622</v>
      </c>
    </row>
    <row r="15" spans="2:14" ht="14.4" x14ac:dyDescent="0.25">
      <c r="B15" s="191" t="s">
        <v>906</v>
      </c>
      <c r="C15" s="59"/>
      <c r="D15" s="493">
        <f>'[9]Rev_NP-12me'!H16</f>
        <v>689390</v>
      </c>
      <c r="E15" s="493">
        <f>'[9]Rev_NP-12me'!I16</f>
        <v>1407.59574739041</v>
      </c>
      <c r="F15" s="493">
        <f>'[9]Rev_NP-12me'!K16</f>
        <v>576.25077195779716</v>
      </c>
      <c r="G15" s="374">
        <f>'[9]Rev_NP-12me'!S16</f>
        <v>10</v>
      </c>
      <c r="H15" s="403">
        <f>'[9]Rev_NP-12me'!T16</f>
        <v>4.8</v>
      </c>
      <c r="I15" s="374">
        <f>'[9]Rev_NP-12me'!AC16</f>
        <v>90</v>
      </c>
      <c r="J15" s="378">
        <f>'[9]Rev_NP-12me'!CZ16</f>
        <v>16.891148968684917</v>
      </c>
      <c r="K15" s="378">
        <f>'[9]Rev_NP-12me'!DA16</f>
        <v>276.60037053974258</v>
      </c>
      <c r="L15" s="378">
        <f>'[9]Rev_NP-12me'!DC16</f>
        <v>73.447289999999995</v>
      </c>
      <c r="M15" s="374">
        <f t="shared" si="0"/>
        <v>366.93880950842748</v>
      </c>
    </row>
    <row r="16" spans="2:14" x14ac:dyDescent="0.25">
      <c r="B16" s="192" t="s">
        <v>907</v>
      </c>
      <c r="C16" s="59"/>
      <c r="D16" s="492">
        <f>'[9]Rev_NP-12me'!H17</f>
        <v>314335</v>
      </c>
      <c r="E16" s="492">
        <f>'[9]Rev_NP-12me'!I17</f>
        <v>704.95723389787474</v>
      </c>
      <c r="F16" s="492">
        <f>'[9]Rev_NP-12me'!K17</f>
        <v>1168.4337217623447</v>
      </c>
      <c r="G16" s="501">
        <f>'[9]Rev_NP-12me'!S17</f>
        <v>0</v>
      </c>
      <c r="H16" s="502">
        <f>'[9]Rev_NP-12me'!T17</f>
        <v>0</v>
      </c>
      <c r="I16" s="501">
        <f>'[9]Rev_NP-12me'!AC17</f>
        <v>0</v>
      </c>
      <c r="J16" s="377">
        <f>'[9]Rev_NP-12me'!CZ17</f>
        <v>8.9845383420057825</v>
      </c>
      <c r="K16" s="377">
        <f>'[9]Rev_NP-12me'!DA17</f>
        <v>732.71649853693464</v>
      </c>
      <c r="L16" s="377">
        <f>'[9]Rev_NP-12me'!DC17</f>
        <v>40.459932000000002</v>
      </c>
      <c r="M16" s="374">
        <f t="shared" si="0"/>
        <v>782.16096887894037</v>
      </c>
    </row>
    <row r="17" spans="2:13" ht="14.4" x14ac:dyDescent="0.25">
      <c r="B17" s="191" t="s">
        <v>908</v>
      </c>
      <c r="C17" s="59"/>
      <c r="D17" s="493">
        <f>'[9]Rev_NP-12me'!H18</f>
        <v>0</v>
      </c>
      <c r="E17" s="493">
        <f>'[9]Rev_NP-12me'!I18</f>
        <v>0</v>
      </c>
      <c r="F17" s="493">
        <f>'[9]Rev_NP-12me'!K18</f>
        <v>760.70176679966903</v>
      </c>
      <c r="G17" s="374">
        <f>'[9]Rev_NP-12me'!S18</f>
        <v>10</v>
      </c>
      <c r="H17" s="403">
        <f>'[9]Rev_NP-12me'!T18</f>
        <v>5.0999999999999996</v>
      </c>
      <c r="I17" s="501">
        <f>'[9]Rev_NP-12me'!AC18</f>
        <v>0</v>
      </c>
      <c r="J17" s="378">
        <f>'[9]Rev_NP-12me'!CZ18</f>
        <v>0</v>
      </c>
      <c r="K17" s="378">
        <f>'[9]Rev_NP-12me'!DA18</f>
        <v>387.95790106783113</v>
      </c>
      <c r="L17" s="378">
        <f>'[9]Rev_NP-12me'!DC18</f>
        <v>0</v>
      </c>
      <c r="M17" s="374">
        <f t="shared" si="0"/>
        <v>387.95790106783113</v>
      </c>
    </row>
    <row r="18" spans="2:13" ht="14.4" x14ac:dyDescent="0.25">
      <c r="B18" s="191" t="s">
        <v>909</v>
      </c>
      <c r="C18" s="59"/>
      <c r="D18" s="493">
        <f>'[9]Rev_NP-12me'!H19</f>
        <v>222291</v>
      </c>
      <c r="E18" s="493">
        <f>'[9]Rev_NP-12me'!I19</f>
        <v>414.64465195028669</v>
      </c>
      <c r="F18" s="493">
        <f>'[9]Rev_NP-12me'!K19</f>
        <v>223.28956504725727</v>
      </c>
      <c r="G18" s="374">
        <f>'[9]Rev_NP-12me'!S19</f>
        <v>10</v>
      </c>
      <c r="H18" s="403">
        <f>'[9]Rev_NP-12me'!T19</f>
        <v>7.7</v>
      </c>
      <c r="I18" s="374">
        <f>'[9]Rev_NP-12me'!AC19</f>
        <v>100</v>
      </c>
      <c r="J18" s="378">
        <f>'[9]Rev_NP-12me'!CZ19</f>
        <v>4.9757358234034408</v>
      </c>
      <c r="K18" s="378">
        <f>'[9]Rev_NP-12me'!DA19</f>
        <v>171.93296508638812</v>
      </c>
      <c r="L18" s="378">
        <f>'[9]Rev_NP-12me'!DC19</f>
        <v>26.3142</v>
      </c>
      <c r="M18" s="374">
        <f t="shared" si="0"/>
        <v>203.22290090979158</v>
      </c>
    </row>
    <row r="19" spans="2:13" ht="14.4" x14ac:dyDescent="0.25">
      <c r="B19" s="191" t="s">
        <v>910</v>
      </c>
      <c r="C19" s="59"/>
      <c r="D19" s="493">
        <f>'[9]Rev_NP-12me'!H20</f>
        <v>51741</v>
      </c>
      <c r="E19" s="493">
        <f>'[9]Rev_NP-12me'!I20</f>
        <v>140.0765467872198</v>
      </c>
      <c r="F19" s="493">
        <f>'[9]Rev_NP-12me'!K20</f>
        <v>80.750082625962577</v>
      </c>
      <c r="G19" s="374">
        <f>'[9]Rev_NP-12me'!S20</f>
        <v>10</v>
      </c>
      <c r="H19" s="403">
        <f>'[9]Rev_NP-12me'!T20</f>
        <v>9</v>
      </c>
      <c r="I19" s="374">
        <f>'[9]Rev_NP-12me'!AC20</f>
        <v>120</v>
      </c>
      <c r="J19" s="378">
        <f>'[9]Rev_NP-12me'!CZ20</f>
        <v>1.6809185614466378</v>
      </c>
      <c r="K19" s="378">
        <f>'[9]Rev_NP-12me'!DA20</f>
        <v>72.675074363366321</v>
      </c>
      <c r="L19" s="378">
        <f>'[9]Rev_NP-12me'!DC20</f>
        <v>7.3499759999999998</v>
      </c>
      <c r="M19" s="374">
        <f t="shared" si="0"/>
        <v>81.70596892481295</v>
      </c>
    </row>
    <row r="20" spans="2:13" ht="14.4" x14ac:dyDescent="0.25">
      <c r="B20" s="191" t="s">
        <v>911</v>
      </c>
      <c r="C20" s="59"/>
      <c r="D20" s="493">
        <f>'[9]Rev_NP-12me'!H21</f>
        <v>35386</v>
      </c>
      <c r="E20" s="493">
        <f>'[9]Rev_NP-12me'!I21</f>
        <v>123.98345839880392</v>
      </c>
      <c r="F20" s="493">
        <f>'[9]Rev_NP-12me'!K21</f>
        <v>70.83498540213435</v>
      </c>
      <c r="G20" s="374">
        <f>'[9]Rev_NP-12me'!S21</f>
        <v>10</v>
      </c>
      <c r="H20" s="403">
        <f>'[9]Rev_NP-12me'!T21</f>
        <v>9.5</v>
      </c>
      <c r="I20" s="374">
        <f>'[9]Rev_NP-12me'!AC21</f>
        <v>140</v>
      </c>
      <c r="J20" s="378">
        <f>'[9]Rev_NP-12me'!CZ21</f>
        <v>1.4878015007856471</v>
      </c>
      <c r="K20" s="378">
        <f>'[9]Rev_NP-12me'!DA21</f>
        <v>67.29323613202763</v>
      </c>
      <c r="L20" s="378">
        <f>'[9]Rev_NP-12me'!DC21</f>
        <v>5.8644600000000002</v>
      </c>
      <c r="M20" s="374">
        <f t="shared" si="0"/>
        <v>74.645497632813274</v>
      </c>
    </row>
    <row r="21" spans="2:13" ht="14.4" x14ac:dyDescent="0.25">
      <c r="B21" s="191" t="s">
        <v>912</v>
      </c>
      <c r="C21" s="59"/>
      <c r="D21" s="493">
        <f>'[9]Rev_NP-12me'!H22</f>
        <v>4917</v>
      </c>
      <c r="E21" s="493">
        <f>'[9]Rev_NP-12me'!I22</f>
        <v>26.252576761564292</v>
      </c>
      <c r="F21" s="493">
        <f>'[9]Rev_NP-12me'!K22</f>
        <v>32.857321887321497</v>
      </c>
      <c r="G21" s="374">
        <f>'[9]Rev_NP-12me'!S22</f>
        <v>50</v>
      </c>
      <c r="H21" s="403">
        <f>'[9]Rev_NP-12me'!T22</f>
        <v>10</v>
      </c>
      <c r="I21" s="374">
        <f>'[9]Rev_NP-12me'!AC22</f>
        <v>160</v>
      </c>
      <c r="J21" s="378">
        <f>'[9]Rev_NP-12me'!CZ22</f>
        <v>0.84008245637005741</v>
      </c>
      <c r="K21" s="378">
        <f>'[9]Rev_NP-12me'!DA22</f>
        <v>32.857321887321504</v>
      </c>
      <c r="L21" s="378">
        <f>'[9]Rev_NP-12me'!DC22</f>
        <v>0.93129600000000001</v>
      </c>
      <c r="M21" s="374">
        <f t="shared" si="0"/>
        <v>34.628700343691563</v>
      </c>
    </row>
    <row r="22" spans="2:13" x14ac:dyDescent="0.25">
      <c r="B22" s="28" t="s">
        <v>913</v>
      </c>
      <c r="C22" s="17"/>
      <c r="D22" s="491">
        <f>'[9]Rev_NP-12me'!H23</f>
        <v>533913</v>
      </c>
      <c r="E22" s="491">
        <f>'[9]Rev_NP-12me'!I23</f>
        <v>1191.5298227833741</v>
      </c>
      <c r="F22" s="491">
        <f>'[9]Rev_NP-12me'!K23</f>
        <v>1030.7841392053078</v>
      </c>
      <c r="G22" s="501">
        <f>'[9]Rev_NP-12me'!S23</f>
        <v>0</v>
      </c>
      <c r="H22" s="502">
        <f>'[9]Rev_NP-12me'!T23</f>
        <v>0</v>
      </c>
      <c r="I22" s="501">
        <f>'[9]Rev_NP-12me'!AC23</f>
        <v>0</v>
      </c>
      <c r="J22" s="373">
        <f>'[9]Rev_NP-12me'!CZ23</f>
        <v>95.783711265419583</v>
      </c>
      <c r="K22" s="373">
        <f>'[9]Rev_NP-12me'!DA23</f>
        <v>1039.1355274276104</v>
      </c>
      <c r="L22" s="373">
        <f>'[9]Rev_NP-12me'!DC23</f>
        <v>44.920704000000001</v>
      </c>
      <c r="M22" s="376">
        <f t="shared" si="0"/>
        <v>1179.83994269303</v>
      </c>
    </row>
    <row r="23" spans="2:13" x14ac:dyDescent="0.25">
      <c r="B23" s="187" t="s">
        <v>914</v>
      </c>
      <c r="C23" s="17"/>
      <c r="D23" s="492">
        <f>'[9]Rev_NP-12me'!H24</f>
        <v>313825</v>
      </c>
      <c r="E23" s="492">
        <f>'[9]Rev_NP-12me'!I24</f>
        <v>405.24701474450387</v>
      </c>
      <c r="F23" s="492">
        <f>'[9]Rev_NP-12me'!K24</f>
        <v>69.628127731745138</v>
      </c>
      <c r="G23" s="501">
        <f>'[9]Rev_NP-12me'!S24</f>
        <v>0</v>
      </c>
      <c r="H23" s="502">
        <f>'[9]Rev_NP-12me'!T24</f>
        <v>0</v>
      </c>
      <c r="I23" s="501">
        <f>'[9]Rev_NP-12me'!AC24</f>
        <v>0</v>
      </c>
      <c r="J23" s="377">
        <f>'[9]Rev_NP-12me'!CZ24</f>
        <v>23.099079840436723</v>
      </c>
      <c r="K23" s="377">
        <f>'[9]Rev_NP-12me'!DA24</f>
        <v>48.739689412221601</v>
      </c>
      <c r="L23" s="377">
        <f>'[9]Rev_NP-12me'!DC24</f>
        <v>18.382380000000001</v>
      </c>
      <c r="M23" s="374">
        <f t="shared" si="0"/>
        <v>90.221149252658321</v>
      </c>
    </row>
    <row r="24" spans="2:13" ht="14.4" x14ac:dyDescent="0.25">
      <c r="B24" s="379" t="s">
        <v>901</v>
      </c>
      <c r="C24" s="17"/>
      <c r="D24" s="493">
        <f>'[9]Rev_NP-12me'!H25</f>
        <v>313825</v>
      </c>
      <c r="E24" s="493">
        <f>'[9]Rev_NP-12me'!I25</f>
        <v>405.24701474450387</v>
      </c>
      <c r="F24" s="493">
        <f>'[9]Rev_NP-12me'!K25</f>
        <v>69.628127731745138</v>
      </c>
      <c r="G24" s="374">
        <f>'[9]Rev_NP-12me'!S25</f>
        <v>30</v>
      </c>
      <c r="H24" s="403">
        <f>'[9]Rev_NP-12me'!T25</f>
        <v>7</v>
      </c>
      <c r="I24" s="374">
        <f>'[9]Rev_NP-12me'!AC25</f>
        <v>50</v>
      </c>
      <c r="J24" s="378">
        <f>'[9]Rev_NP-12me'!CZ25</f>
        <v>23.099079840436723</v>
      </c>
      <c r="K24" s="378">
        <f>'[9]Rev_NP-12me'!DA25</f>
        <v>48.739689412221601</v>
      </c>
      <c r="L24" s="378">
        <f>'[9]Rev_NP-12me'!DC25</f>
        <v>18.382380000000001</v>
      </c>
      <c r="M24" s="374">
        <f t="shared" si="0"/>
        <v>90.221149252658321</v>
      </c>
    </row>
    <row r="25" spans="2:13" x14ac:dyDescent="0.25">
      <c r="B25" s="187" t="s">
        <v>915</v>
      </c>
      <c r="C25" s="17"/>
      <c r="D25" s="492">
        <f>'[9]Rev_NP-12me'!H26</f>
        <v>206400</v>
      </c>
      <c r="E25" s="492">
        <f>'[9]Rev_NP-12me'!I26</f>
        <v>771.86120882376872</v>
      </c>
      <c r="F25" s="492">
        <f>'[9]Rev_NP-12me'!K26</f>
        <v>957.0513579987155</v>
      </c>
      <c r="G25" s="501">
        <f>'[9]Rev_NP-12me'!S26</f>
        <v>0</v>
      </c>
      <c r="H25" s="502">
        <f>'[9]Rev_NP-12me'!T26</f>
        <v>0</v>
      </c>
      <c r="I25" s="501">
        <f>'[9]Rev_NP-12me'!AC26</f>
        <v>0</v>
      </c>
      <c r="J25" s="377">
        <f>'[9]Rev_NP-12me'!CZ26</f>
        <v>71.542541276979108</v>
      </c>
      <c r="K25" s="377">
        <f>'[9]Rev_NP-12me'!DA26</f>
        <v>987.04648977978081</v>
      </c>
      <c r="L25" s="377">
        <f>'[9]Rev_NP-12me'!DC26</f>
        <v>25.708494000000002</v>
      </c>
      <c r="M25" s="374">
        <f t="shared" si="0"/>
        <v>1084.2975250567599</v>
      </c>
    </row>
    <row r="26" spans="2:13" ht="14.4" x14ac:dyDescent="0.25">
      <c r="B26" s="189" t="s">
        <v>905</v>
      </c>
      <c r="C26" s="17"/>
      <c r="D26" s="493">
        <f>'[9]Rev_NP-12me'!H27</f>
        <v>87458</v>
      </c>
      <c r="E26" s="493">
        <f>'[9]Rev_NP-12me'!I27</f>
        <v>137.77463158459545</v>
      </c>
      <c r="F26" s="493">
        <f>'[9]Rev_NP-12me'!K27</f>
        <v>185.54016839921036</v>
      </c>
      <c r="G26" s="374">
        <f>'[9]Rev_NP-12me'!S27</f>
        <v>70</v>
      </c>
      <c r="H26" s="403">
        <f>'[9]Rev_NP-12me'!T27</f>
        <v>8.5</v>
      </c>
      <c r="I26" s="374">
        <f>'[9]Rev_NP-12me'!AC27</f>
        <v>90</v>
      </c>
      <c r="J26" s="378">
        <f>'[9]Rev_NP-12me'!CZ27</f>
        <v>11.573069053106019</v>
      </c>
      <c r="K26" s="378">
        <f>'[9]Rev_NP-12me'!DA27</f>
        <v>157.7091431393288</v>
      </c>
      <c r="L26" s="378">
        <f>'[9]Rev_NP-12me'!DC27</f>
        <v>9.2212019999999999</v>
      </c>
      <c r="M26" s="374">
        <f t="shared" si="0"/>
        <v>178.50341419243483</v>
      </c>
    </row>
    <row r="27" spans="2:13" ht="14.4" x14ac:dyDescent="0.25">
      <c r="B27" s="189" t="s">
        <v>916</v>
      </c>
      <c r="C27" s="17"/>
      <c r="D27" s="493">
        <f>'[9]Rev_NP-12me'!H28</f>
        <v>75839</v>
      </c>
      <c r="E27" s="493">
        <f>'[9]Rev_NP-12me'!I28</f>
        <v>187.00659485367149</v>
      </c>
      <c r="F27" s="493">
        <f>'[9]Rev_NP-12me'!K28</f>
        <v>111.65294908133218</v>
      </c>
      <c r="G27" s="374">
        <f>'[9]Rev_NP-12me'!S28</f>
        <v>70</v>
      </c>
      <c r="H27" s="403">
        <f>'[9]Rev_NP-12me'!T28</f>
        <v>9.9</v>
      </c>
      <c r="I27" s="374">
        <f>'[9]Rev_NP-12me'!AC28</f>
        <v>105</v>
      </c>
      <c r="J27" s="378">
        <f>'[9]Rev_NP-12me'!CZ28</f>
        <v>15.708553967708406</v>
      </c>
      <c r="K27" s="378">
        <f>'[9]Rev_NP-12me'!DA28</f>
        <v>110.53641959051888</v>
      </c>
      <c r="L27" s="378">
        <f>'[9]Rev_NP-12me'!DC28</f>
        <v>9.3287879999999994</v>
      </c>
      <c r="M27" s="374">
        <f t="shared" si="0"/>
        <v>135.57376155822729</v>
      </c>
    </row>
    <row r="28" spans="2:13" ht="14.4" x14ac:dyDescent="0.25">
      <c r="B28" s="189" t="s">
        <v>917</v>
      </c>
      <c r="C28" s="17"/>
      <c r="D28" s="493">
        <f>'[9]Rev_NP-12me'!H29</f>
        <v>19649</v>
      </c>
      <c r="E28" s="493">
        <f>'[9]Rev_NP-12me'!I29</f>
        <v>75.923030311685665</v>
      </c>
      <c r="F28" s="493">
        <f>'[9]Rev_NP-12me'!K29</f>
        <v>117.38562533428569</v>
      </c>
      <c r="G28" s="374">
        <f>'[9]Rev_NP-12me'!S29</f>
        <v>100</v>
      </c>
      <c r="H28" s="403">
        <f>'[9]Rev_NP-12me'!T29</f>
        <v>10.4</v>
      </c>
      <c r="I28" s="374">
        <f>'[9]Rev_NP-12me'!AC29</f>
        <v>120</v>
      </c>
      <c r="J28" s="378">
        <f>'[9]Rev_NP-12me'!CZ29</f>
        <v>7.5163800008568806</v>
      </c>
      <c r="K28" s="378">
        <f>'[9]Rev_NP-12me'!DA29</f>
        <v>122.08105034765713</v>
      </c>
      <c r="L28" s="378">
        <f>'[9]Rev_NP-12me'!DC29</f>
        <v>2.7622800000000001</v>
      </c>
      <c r="M28" s="374">
        <f t="shared" si="0"/>
        <v>132.359710348514</v>
      </c>
    </row>
    <row r="29" spans="2:13" ht="14.4" x14ac:dyDescent="0.25">
      <c r="B29" s="189" t="s">
        <v>918</v>
      </c>
      <c r="C29" s="17"/>
      <c r="D29" s="493">
        <f>'[9]Rev_NP-12me'!H30</f>
        <v>23454</v>
      </c>
      <c r="E29" s="493">
        <f>'[9]Rev_NP-12me'!I30</f>
        <v>371.15695207381606</v>
      </c>
      <c r="F29" s="493">
        <f>'[9]Rev_NP-12me'!K30</f>
        <v>542.47261518388723</v>
      </c>
      <c r="G29" s="374">
        <f>'[9]Rev_NP-12me'!S30</f>
        <v>100</v>
      </c>
      <c r="H29" s="403">
        <f>'[9]Rev_NP-12me'!T30</f>
        <v>11</v>
      </c>
      <c r="I29" s="374">
        <f>'[9]Rev_NP-12me'!AC30</f>
        <v>160</v>
      </c>
      <c r="J29" s="378">
        <f>'[9]Rev_NP-12me'!CZ30</f>
        <v>36.744538255307795</v>
      </c>
      <c r="K29" s="378">
        <f>'[9]Rev_NP-12me'!DA30</f>
        <v>596.719876702276</v>
      </c>
      <c r="L29" s="378">
        <f>'[9]Rev_NP-12me'!DC30</f>
        <v>4.3962240000000001</v>
      </c>
      <c r="M29" s="374">
        <f t="shared" si="0"/>
        <v>637.86063895758377</v>
      </c>
    </row>
    <row r="30" spans="2:13" x14ac:dyDescent="0.25">
      <c r="B30" s="187" t="s">
        <v>919</v>
      </c>
      <c r="C30" s="17"/>
      <c r="D30" s="492">
        <f>'[9]Rev_NP-12me'!H31</f>
        <v>513</v>
      </c>
      <c r="E30" s="492">
        <f>'[9]Rev_NP-12me'!I31</f>
        <v>1.9949039330080593</v>
      </c>
      <c r="F30" s="492">
        <f>'[9]Rev_NP-12me'!K31</f>
        <v>1.2367540297110171</v>
      </c>
      <c r="G30" s="374">
        <f>'[9]Rev_NP-12me'!S31</f>
        <v>150</v>
      </c>
      <c r="H30" s="403">
        <f>'[9]Rev_NP-12me'!T31</f>
        <v>13</v>
      </c>
      <c r="I30" s="374">
        <f>'[9]Rev_NP-12me'!AC31</f>
        <v>160</v>
      </c>
      <c r="J30" s="377">
        <f>'[9]Rev_NP-12me'!CZ31</f>
        <v>0.24736808769299937</v>
      </c>
      <c r="K30" s="377">
        <f>'[9]Rev_NP-12me'!DA31</f>
        <v>1.6077802386243225</v>
      </c>
      <c r="L30" s="377">
        <f>'[9]Rev_NP-12me'!DC31</f>
        <v>9.6192E-2</v>
      </c>
      <c r="M30" s="374">
        <f t="shared" si="0"/>
        <v>1.9513403263173219</v>
      </c>
    </row>
    <row r="31" spans="2:13" x14ac:dyDescent="0.25">
      <c r="B31" s="187" t="s">
        <v>920</v>
      </c>
      <c r="C31" s="17"/>
      <c r="D31" s="492">
        <f>'[9]Rev_NP-12me'!H32</f>
        <v>13175</v>
      </c>
      <c r="E31" s="492">
        <f>'[9]Rev_NP-12me'!I32</f>
        <v>12.426695282093579</v>
      </c>
      <c r="F31" s="492">
        <f>'[9]Rev_NP-12me'!K32</f>
        <v>2.8678994451362314</v>
      </c>
      <c r="G31" s="501">
        <f>'[9]Rev_NP-12me'!S32</f>
        <v>0</v>
      </c>
      <c r="H31" s="502">
        <f>'[9]Rev_NP-12me'!T32</f>
        <v>0</v>
      </c>
      <c r="I31" s="501">
        <f>'[9]Rev_NP-12me'!AC32</f>
        <v>0</v>
      </c>
      <c r="J31" s="377">
        <f>'[9]Rev_NP-12me'!CZ32</f>
        <v>0.89472206031073753</v>
      </c>
      <c r="K31" s="377">
        <f>'[9]Rev_NP-12me'!DA32</f>
        <v>1.7415679969835205</v>
      </c>
      <c r="L31" s="377">
        <f>'[9]Rev_NP-12me'!DC32</f>
        <v>0.73363800000000001</v>
      </c>
      <c r="M31" s="374">
        <f t="shared" si="0"/>
        <v>3.369928057294258</v>
      </c>
    </row>
    <row r="32" spans="2:13" ht="14.4" x14ac:dyDescent="0.25">
      <c r="B32" s="189" t="s">
        <v>901</v>
      </c>
      <c r="C32" s="17"/>
      <c r="D32" s="493">
        <f>'[9]Rev_NP-12me'!H33</f>
        <v>10635</v>
      </c>
      <c r="E32" s="493">
        <f>'[9]Rev_NP-12me'!I33</f>
        <v>9.6933426691298337</v>
      </c>
      <c r="F32" s="493">
        <f>'[9]Rev_NP-12me'!K33</f>
        <v>1.5198112994825741</v>
      </c>
      <c r="G32" s="374">
        <f>'[9]Rev_NP-12me'!S33</f>
        <v>60</v>
      </c>
      <c r="H32" s="403">
        <f>'[9]Rev_NP-12me'!T33</f>
        <v>5.3</v>
      </c>
      <c r="I32" s="374">
        <f>'[9]Rev_NP-12me'!AC33</f>
        <v>45</v>
      </c>
      <c r="J32" s="378">
        <f>'[9]Rev_NP-12me'!CZ33</f>
        <v>0.69792067217734799</v>
      </c>
      <c r="K32" s="378">
        <f>'[9]Rev_NP-12me'!DA33</f>
        <v>0.80549998872576412</v>
      </c>
      <c r="L32" s="378">
        <f>'[9]Rev_NP-12me'!DC33</f>
        <v>0.56065500000000001</v>
      </c>
      <c r="M32" s="374">
        <f t="shared" si="0"/>
        <v>2.0640756609031121</v>
      </c>
    </row>
    <row r="33" spans="2:13" ht="14.4" x14ac:dyDescent="0.25">
      <c r="B33" s="189" t="s">
        <v>921</v>
      </c>
      <c r="C33" s="17"/>
      <c r="D33" s="493">
        <f>'[9]Rev_NP-12me'!H34</f>
        <v>1743</v>
      </c>
      <c r="E33" s="493">
        <f>'[9]Rev_NP-12me'!I34</f>
        <v>1.6857147124382295</v>
      </c>
      <c r="F33" s="493">
        <f>'[9]Rev_NP-12me'!K34</f>
        <v>0.83331223313874025</v>
      </c>
      <c r="G33" s="374">
        <f>'[9]Rev_NP-12me'!S34</f>
        <v>60</v>
      </c>
      <c r="H33" s="403">
        <f>'[9]Rev_NP-12me'!T34</f>
        <v>6.6</v>
      </c>
      <c r="I33" s="374">
        <f>'[9]Rev_NP-12me'!AC34</f>
        <v>55</v>
      </c>
      <c r="J33" s="378">
        <f>'[9]Rev_NP-12me'!CZ34</f>
        <v>0.12137145929555253</v>
      </c>
      <c r="K33" s="378">
        <f>'[9]Rev_NP-12me'!DA34</f>
        <v>0.5499860738715685</v>
      </c>
      <c r="L33" s="378">
        <f>'[9]Rev_NP-12me'!DC34</f>
        <v>0.112299</v>
      </c>
      <c r="M33" s="374">
        <f t="shared" si="0"/>
        <v>0.78365653316712103</v>
      </c>
    </row>
    <row r="34" spans="2:13" ht="14.4" x14ac:dyDescent="0.25">
      <c r="B34" s="189" t="s">
        <v>922</v>
      </c>
      <c r="C34" s="17"/>
      <c r="D34" s="493">
        <f>'[9]Rev_NP-12me'!H35</f>
        <v>797</v>
      </c>
      <c r="E34" s="493">
        <f>'[9]Rev_NP-12me'!I35</f>
        <v>1.0476379005255152</v>
      </c>
      <c r="F34" s="493">
        <f>'[9]Rev_NP-12me'!K35</f>
        <v>0.51477591251491717</v>
      </c>
      <c r="G34" s="374">
        <f>'[9]Rev_NP-12me'!S35</f>
        <v>60</v>
      </c>
      <c r="H34" s="403">
        <f>'[9]Rev_NP-12me'!T35</f>
        <v>7.5</v>
      </c>
      <c r="I34" s="374">
        <f>'[9]Rev_NP-12me'!AC35</f>
        <v>65</v>
      </c>
      <c r="J34" s="378">
        <f>'[9]Rev_NP-12me'!CZ35</f>
        <v>7.5429928837837099E-2</v>
      </c>
      <c r="K34" s="378">
        <f>'[9]Rev_NP-12me'!DA35</f>
        <v>0.38608193438618787</v>
      </c>
      <c r="L34" s="378">
        <f>'[9]Rev_NP-12me'!DC35</f>
        <v>6.0684000000000002E-2</v>
      </c>
      <c r="M34" s="374">
        <f t="shared" si="0"/>
        <v>0.522195863224025</v>
      </c>
    </row>
    <row r="35" spans="2:13" x14ac:dyDescent="0.25">
      <c r="B35" s="28" t="s">
        <v>923</v>
      </c>
      <c r="C35" s="17"/>
      <c r="D35" s="491">
        <f>'[9]Rev_NP-12me'!H36</f>
        <v>22435</v>
      </c>
      <c r="E35" s="491">
        <f>'[9]Rev_NP-12me'!I36</f>
        <v>407.4253161023388</v>
      </c>
      <c r="F35" s="491">
        <f>'[9]Rev_NP-12me'!K36</f>
        <v>239.31127436</v>
      </c>
      <c r="G35" s="501">
        <f>'[9]Rev_NP-12me'!S36</f>
        <v>0</v>
      </c>
      <c r="H35" s="502">
        <f>'[9]Rev_NP-12me'!T36</f>
        <v>0</v>
      </c>
      <c r="I35" s="501">
        <f>'[9]Rev_NP-12me'!AC36</f>
        <v>0</v>
      </c>
      <c r="J35" s="373">
        <f>'[9]Rev_NP-12me'!CZ36</f>
        <v>40.865912591195205</v>
      </c>
      <c r="K35" s="373">
        <f>'[9]Rev_NP-12me'!DA36</f>
        <v>183.00504189741952</v>
      </c>
      <c r="L35" s="373">
        <f>'[9]Rev_NP-12me'!DC36</f>
        <v>7.911929999999999</v>
      </c>
      <c r="M35" s="376">
        <f t="shared" si="0"/>
        <v>231.78288448861474</v>
      </c>
    </row>
    <row r="36" spans="2:13" ht="14.4" x14ac:dyDescent="0.25">
      <c r="B36" s="189" t="s">
        <v>924</v>
      </c>
      <c r="C36" s="17"/>
      <c r="D36" s="493">
        <f>'[9]Rev_NP-12me'!H37</f>
        <v>18996</v>
      </c>
      <c r="E36" s="493">
        <f>'[9]Rev_NP-12me'!I37</f>
        <v>371.98344158451749</v>
      </c>
      <c r="F36" s="493">
        <f>'[9]Rev_NP-12me'!K37</f>
        <v>222.06303319555695</v>
      </c>
      <c r="G36" s="374">
        <f>'[9]Rev_NP-12me'!S37</f>
        <v>100</v>
      </c>
      <c r="H36" s="403">
        <f>'[9]Rev_NP-12me'!T37</f>
        <v>7.7</v>
      </c>
      <c r="I36" s="374">
        <f>'[9]Rev_NP-12me'!AC37</f>
        <v>287.37189355619091</v>
      </c>
      <c r="J36" s="378">
        <f>'[9]Rev_NP-12me'!CZ37</f>
        <v>38.128302762413036</v>
      </c>
      <c r="K36" s="378">
        <f>'[9]Rev_NP-12me'!DA37</f>
        <v>170.98853556057884</v>
      </c>
      <c r="L36" s="378">
        <f>'[9]Rev_NP-12me'!DC37</f>
        <v>7.8178317499900425</v>
      </c>
      <c r="M36" s="374">
        <f t="shared" si="0"/>
        <v>216.9346700729819</v>
      </c>
    </row>
    <row r="37" spans="2:13" ht="14.4" x14ac:dyDescent="0.25">
      <c r="B37" s="189" t="s">
        <v>925</v>
      </c>
      <c r="C37" s="17"/>
      <c r="D37" s="493">
        <f>'[9]Rev_NP-12me'!H38</f>
        <v>0</v>
      </c>
      <c r="E37" s="493">
        <f>'[9]Rev_NP-12me'!I38</f>
        <v>0</v>
      </c>
      <c r="F37" s="493">
        <f>'[9]Rev_NP-12me'!K38</f>
        <v>0</v>
      </c>
      <c r="G37" s="374">
        <f>'[9]Rev_NP-12me'!S38</f>
        <v>100</v>
      </c>
      <c r="H37" s="403">
        <f>'[9]Rev_NP-12me'!T38</f>
        <v>8.4</v>
      </c>
      <c r="I37" s="374">
        <f>'[9]Rev_NP-12me'!AC38</f>
        <v>287.37189355619091</v>
      </c>
      <c r="J37" s="378">
        <f>'[9]Rev_NP-12me'!CZ38</f>
        <v>0</v>
      </c>
      <c r="K37" s="378">
        <f>'[9]Rev_NP-12me'!DA38</f>
        <v>0</v>
      </c>
      <c r="L37" s="378">
        <f>'[9]Rev_NP-12me'!DC38</f>
        <v>0</v>
      </c>
      <c r="M37" s="374">
        <f t="shared" si="0"/>
        <v>0</v>
      </c>
    </row>
    <row r="38" spans="2:13" ht="14.4" x14ac:dyDescent="0.25">
      <c r="B38" s="189" t="s">
        <v>926</v>
      </c>
      <c r="C38" s="17"/>
      <c r="D38" s="493">
        <f>'[9]Rev_NP-12me'!H39</f>
        <v>105</v>
      </c>
      <c r="E38" s="493">
        <f>'[9]Rev_NP-12me'!I39</f>
        <v>1.0032775330193224</v>
      </c>
      <c r="F38" s="493">
        <f>'[9]Rev_NP-12me'!K39</f>
        <v>0.71944546634193229</v>
      </c>
      <c r="G38" s="374">
        <f>'[9]Rev_NP-12me'!S39</f>
        <v>50</v>
      </c>
      <c r="H38" s="403">
        <f>'[9]Rev_NP-12me'!T39</f>
        <v>6.2</v>
      </c>
      <c r="I38" s="374">
        <f>'[9]Rev_NP-12me'!AC39</f>
        <v>287.37189355619091</v>
      </c>
      <c r="J38" s="378">
        <f>'[9]Rev_NP-12me'!CZ39</f>
        <v>5.0364532157569981E-2</v>
      </c>
      <c r="K38" s="378">
        <f>'[9]Rev_NP-12me'!DA39</f>
        <v>0.44605618913199796</v>
      </c>
      <c r="L38" s="378">
        <f>'[9]Rev_NP-12me'!DC39</f>
        <v>2.4562454399700002E-3</v>
      </c>
      <c r="M38" s="374">
        <f t="shared" si="0"/>
        <v>0.49887696672953791</v>
      </c>
    </row>
    <row r="39" spans="2:13" ht="14.4" x14ac:dyDescent="0.25">
      <c r="B39" s="189" t="s">
        <v>927</v>
      </c>
      <c r="C39" s="17"/>
      <c r="D39" s="493">
        <f>'[9]Rev_NP-12me'!H40</f>
        <v>3</v>
      </c>
      <c r="E39" s="493">
        <f>'[9]Rev_NP-12me'!I40</f>
        <v>1.6281630588049753E-2</v>
      </c>
      <c r="F39" s="493">
        <f>'[9]Rev_NP-12me'!K40</f>
        <v>1.0439627747474119E-2</v>
      </c>
      <c r="G39" s="374">
        <f>'[9]Rev_NP-12me'!S40</f>
        <v>50</v>
      </c>
      <c r="H39" s="403">
        <f>'[9]Rev_NP-12me'!T40</f>
        <v>6.2</v>
      </c>
      <c r="I39" s="374">
        <f>'[9]Rev_NP-12me'!AC40</f>
        <v>287.37189355619091</v>
      </c>
      <c r="J39" s="378">
        <f>'[9]Rev_NP-12me'!CZ40</f>
        <v>8.1733785552009759E-4</v>
      </c>
      <c r="K39" s="378">
        <f>'[9]Rev_NP-12me'!DA40</f>
        <v>6.4725692034339529E-3</v>
      </c>
      <c r="L39" s="378">
        <f>'[9]Rev_NP-12me'!DC40</f>
        <v>3.8505497821311881E-4</v>
      </c>
      <c r="M39" s="374">
        <f t="shared" si="0"/>
        <v>7.67496203716717E-3</v>
      </c>
    </row>
    <row r="40" spans="2:13" ht="14.4" x14ac:dyDescent="0.25">
      <c r="B40" s="189" t="s">
        <v>928</v>
      </c>
      <c r="C40" s="17"/>
      <c r="D40" s="493">
        <f>'[9]Rev_NP-12me'!H41</f>
        <v>3324</v>
      </c>
      <c r="E40" s="493">
        <f>'[9]Rev_NP-12me'!I41</f>
        <v>34.36160673623916</v>
      </c>
      <c r="F40" s="493">
        <f>'[9]Rev_NP-12me'!K41</f>
        <v>16.480745095097838</v>
      </c>
      <c r="G40" s="374">
        <f>'[9]Rev_NP-12me'!S41</f>
        <v>65</v>
      </c>
      <c r="H40" s="403">
        <f>'[9]Rev_NP-12me'!T41</f>
        <v>7</v>
      </c>
      <c r="I40" s="374">
        <f>'[9]Rev_NP-12me'!AC41</f>
        <v>287.37189355619091</v>
      </c>
      <c r="J40" s="378">
        <f>'[9]Rev_NP-12me'!CZ41</f>
        <v>2.6802053254266545</v>
      </c>
      <c r="K40" s="378">
        <f>'[9]Rev_NP-12me'!DA41</f>
        <v>11.536521566568489</v>
      </c>
      <c r="L40" s="378">
        <f>'[9]Rev_NP-12me'!DC41</f>
        <v>9.0620127897036815E-2</v>
      </c>
      <c r="M40" s="374">
        <f t="shared" si="0"/>
        <v>14.30734701989218</v>
      </c>
    </row>
    <row r="41" spans="2:13" ht="14.4" x14ac:dyDescent="0.25">
      <c r="B41" s="189" t="s">
        <v>929</v>
      </c>
      <c r="C41" s="17"/>
      <c r="D41" s="493">
        <f>'[9]Rev_NP-12me'!H42</f>
        <v>7</v>
      </c>
      <c r="E41" s="493">
        <f>'[9]Rev_NP-12me'!I42</f>
        <v>6.0708617974823256E-2</v>
      </c>
      <c r="F41" s="493">
        <f>'[9]Rev_NP-12me'!K42</f>
        <v>3.7610975255808643E-2</v>
      </c>
      <c r="G41" s="374">
        <f>'[9]Rev_NP-12me'!S42</f>
        <v>100</v>
      </c>
      <c r="H41" s="403">
        <f>'[9]Rev_NP-12me'!T42</f>
        <v>7.3</v>
      </c>
      <c r="I41" s="374">
        <f>'[9]Rev_NP-12me'!AC42</f>
        <v>287.37189355619091</v>
      </c>
      <c r="J41" s="378">
        <f>'[9]Rev_NP-12me'!CZ42</f>
        <v>6.2226333424193836E-3</v>
      </c>
      <c r="K41" s="378">
        <f>'[9]Rev_NP-12me'!DA42</f>
        <v>2.7456011936740313E-2</v>
      </c>
      <c r="L41" s="378">
        <f>'[9]Rev_NP-12me'!DC42</f>
        <v>6.368216947370811E-4</v>
      </c>
      <c r="M41" s="374">
        <f t="shared" ref="M41:M68" si="1">SUM(J41:L41)</f>
        <v>3.4315466973896779E-2</v>
      </c>
    </row>
    <row r="42" spans="2:13" x14ac:dyDescent="0.25">
      <c r="B42" s="28" t="s">
        <v>930</v>
      </c>
      <c r="C42" s="17"/>
      <c r="D42" s="491">
        <f>'[9]Rev_NP-12me'!H43</f>
        <v>6814</v>
      </c>
      <c r="E42" s="491">
        <f>'[9]Rev_NP-12me'!I43</f>
        <v>18.303725208681215</v>
      </c>
      <c r="F42" s="491">
        <f>'[9]Rev_NP-12me'!K43</f>
        <v>8.2290849126100252</v>
      </c>
      <c r="G42" s="501">
        <f>'[9]Rev_NP-12me'!S43</f>
        <v>0</v>
      </c>
      <c r="H42" s="502">
        <f>'[9]Rev_NP-12me'!T43</f>
        <v>0</v>
      </c>
      <c r="I42" s="501">
        <f>'[9]Rev_NP-12me'!AC43</f>
        <v>0</v>
      </c>
      <c r="J42" s="373">
        <f>'[9]Rev_NP-12me'!CZ43</f>
        <v>0.43928940500834918</v>
      </c>
      <c r="K42" s="373">
        <f>'[9]Rev_NP-12me'!DA43</f>
        <v>3.291633965044011</v>
      </c>
      <c r="L42" s="373">
        <f>'[9]Rev_NP-12me'!DC43</f>
        <v>0.40107000000000004</v>
      </c>
      <c r="M42" s="376">
        <f t="shared" si="1"/>
        <v>4.1319933700523599</v>
      </c>
    </row>
    <row r="43" spans="2:13" ht="14.4" x14ac:dyDescent="0.25">
      <c r="B43" s="189" t="s">
        <v>179</v>
      </c>
      <c r="C43" s="17"/>
      <c r="D43" s="493">
        <f>'[9]Rev_NP-12me'!H44</f>
        <v>6516</v>
      </c>
      <c r="E43" s="493">
        <f>'[9]Rev_NP-12me'!I44</f>
        <v>17.258750555283616</v>
      </c>
      <c r="F43" s="493">
        <f>'[9]Rev_NP-12me'!K44</f>
        <v>7.7564127143029911</v>
      </c>
      <c r="G43" s="374">
        <f>'[9]Rev_NP-12me'!S44</f>
        <v>20</v>
      </c>
      <c r="H43" s="403">
        <f>'[9]Rev_NP-12me'!T44</f>
        <v>4</v>
      </c>
      <c r="I43" s="374">
        <f>'[9]Rev_NP-12me'!AC44</f>
        <v>50</v>
      </c>
      <c r="J43" s="378">
        <f>'[9]Rev_NP-12me'!CZ44</f>
        <v>0.41421001332680679</v>
      </c>
      <c r="K43" s="378">
        <f>'[9]Rev_NP-12me'!DA44</f>
        <v>3.102565085721197</v>
      </c>
      <c r="L43" s="378">
        <f>'[9]Rev_NP-12me'!DC44</f>
        <v>0.38352000000000003</v>
      </c>
      <c r="M43" s="374">
        <f t="shared" si="1"/>
        <v>3.9002950990480039</v>
      </c>
    </row>
    <row r="44" spans="2:13" ht="14.4" x14ac:dyDescent="0.25">
      <c r="B44" s="189" t="s">
        <v>932</v>
      </c>
      <c r="C44" s="17"/>
      <c r="D44" s="493">
        <f>'[9]Rev_NP-12me'!H45</f>
        <v>298</v>
      </c>
      <c r="E44" s="493">
        <f>'[9]Rev_NP-12me'!I45</f>
        <v>1.0449746533975983</v>
      </c>
      <c r="F44" s="493">
        <f>'[9]Rev_NP-12me'!K45</f>
        <v>0.47267219830703422</v>
      </c>
      <c r="G44" s="374">
        <f>'[9]Rev_NP-12me'!S45</f>
        <v>20</v>
      </c>
      <c r="H44" s="403">
        <f>'[9]Rev_NP-12me'!T45</f>
        <v>4</v>
      </c>
      <c r="I44" s="374">
        <f>'[9]Rev_NP-12me'!AC45</f>
        <v>50</v>
      </c>
      <c r="J44" s="378">
        <f>'[9]Rev_NP-12me'!CZ45</f>
        <v>2.507939168154236E-2</v>
      </c>
      <c r="K44" s="378">
        <f>'[9]Rev_NP-12me'!DA45</f>
        <v>0.18906887932281369</v>
      </c>
      <c r="L44" s="378">
        <f>'[9]Rev_NP-12me'!DC45</f>
        <v>1.755E-2</v>
      </c>
      <c r="M44" s="374">
        <f t="shared" si="1"/>
        <v>0.23169827100435605</v>
      </c>
    </row>
    <row r="45" spans="2:13" x14ac:dyDescent="0.25">
      <c r="B45" s="28" t="s">
        <v>933</v>
      </c>
      <c r="C45" s="17"/>
      <c r="D45" s="491">
        <f>'[9]Rev_NP-12me'!H46</f>
        <v>1363883</v>
      </c>
      <c r="E45" s="491">
        <f>'[9]Rev_NP-12me'!J46*0.746/10^3</f>
        <v>5162.2621554263242</v>
      </c>
      <c r="F45" s="491">
        <f>'[9]Rev_NP-12me'!K46</f>
        <v>9812.4646639356743</v>
      </c>
      <c r="G45" s="501">
        <f>'[9]Rev_NP-12me'!S46</f>
        <v>0</v>
      </c>
      <c r="H45" s="502">
        <f>'[9]Rev_NP-12me'!T46</f>
        <v>0</v>
      </c>
      <c r="I45" s="501">
        <f>'[9]Rev_NP-12me'!AC46</f>
        <v>0</v>
      </c>
      <c r="J45" s="373">
        <f>'[9]Rev_NP-12me'!CZ46</f>
        <v>6.4619999999999997E-2</v>
      </c>
      <c r="K45" s="373">
        <f>'[9]Rev_NP-12me'!DA46</f>
        <v>1.3090046012121985</v>
      </c>
      <c r="L45" s="373">
        <f>'[9]Rev_NP-12me'!DC46</f>
        <v>48.281112</v>
      </c>
      <c r="M45" s="376">
        <f t="shared" si="1"/>
        <v>49.6547366012122</v>
      </c>
    </row>
    <row r="46" spans="2:13" x14ac:dyDescent="0.25">
      <c r="B46" s="187" t="s">
        <v>934</v>
      </c>
      <c r="C46" s="17"/>
      <c r="D46" s="492">
        <f>'[9]Rev_NP-12me'!H47</f>
        <v>1363535</v>
      </c>
      <c r="E46" s="492">
        <f>'[9]Rev_NP-12me'!J47*0.746/10^3</f>
        <v>5160.2535504263242</v>
      </c>
      <c r="F46" s="492">
        <f>'[9]Rev_NP-12me'!K47</f>
        <v>9809.1921524326444</v>
      </c>
      <c r="G46" s="501">
        <f>'[9]Rev_NP-12me'!S47</f>
        <v>0</v>
      </c>
      <c r="H46" s="502">
        <f>'[9]Rev_NP-12me'!T47</f>
        <v>0</v>
      </c>
      <c r="I46" s="501">
        <f>'[9]Rev_NP-12me'!AC47</f>
        <v>0</v>
      </c>
      <c r="J46" s="377">
        <f>'[9]Rev_NP-12me'!CZ47</f>
        <v>0</v>
      </c>
      <c r="K46" s="377">
        <f>'[9]Rev_NP-12me'!DA47</f>
        <v>0</v>
      </c>
      <c r="L46" s="377">
        <f>'[9]Rev_NP-12me'!DC47</f>
        <v>48.268763999999997</v>
      </c>
      <c r="M46" s="374">
        <f t="shared" si="1"/>
        <v>48.268763999999997</v>
      </c>
    </row>
    <row r="47" spans="2:13" ht="14.4" x14ac:dyDescent="0.25">
      <c r="B47" s="189" t="s">
        <v>935</v>
      </c>
      <c r="C47" s="17"/>
      <c r="D47" s="493">
        <f>'[9]Rev_NP-12me'!H48</f>
        <v>0</v>
      </c>
      <c r="E47" s="493">
        <f>'[9]Rev_NP-12me'!J48*0.746/10^3</f>
        <v>0</v>
      </c>
      <c r="F47" s="493">
        <f>'[9]Rev_NP-12me'!K48</f>
        <v>0</v>
      </c>
      <c r="G47" s="501">
        <f>'[9]Rev_NP-12me'!S48</f>
        <v>0</v>
      </c>
      <c r="H47" s="403">
        <f>'[9]Rev_NP-12me'!T48</f>
        <v>2.5</v>
      </c>
      <c r="I47" s="374">
        <f>'[9]Rev_NP-12me'!AC48</f>
        <v>30</v>
      </c>
      <c r="J47" s="378">
        <f>'[9]Rev_NP-12me'!CZ48</f>
        <v>0</v>
      </c>
      <c r="K47" s="378">
        <f>'[9]Rev_NP-12me'!DA48</f>
        <v>0</v>
      </c>
      <c r="L47" s="378">
        <f>'[9]Rev_NP-12me'!DC48</f>
        <v>0</v>
      </c>
      <c r="M47" s="374">
        <f t="shared" si="1"/>
        <v>0</v>
      </c>
    </row>
    <row r="48" spans="2:13" ht="14.4" x14ac:dyDescent="0.25">
      <c r="B48" s="187" t="s">
        <v>937</v>
      </c>
      <c r="C48" s="17"/>
      <c r="D48" s="493">
        <f>'[9]Rev_NP-12me'!H49</f>
        <v>1363535</v>
      </c>
      <c r="E48" s="493">
        <f>'[9]Rev_NP-12me'!J49*0.746/10^3</f>
        <v>5160.2535504263242</v>
      </c>
      <c r="F48" s="493">
        <f>'[9]Rev_NP-12me'!K49</f>
        <v>0</v>
      </c>
      <c r="G48" s="501">
        <f>'[9]Rev_NP-12me'!S49</f>
        <v>0</v>
      </c>
      <c r="H48" s="502">
        <f>'[9]Rev_NP-12me'!T49</f>
        <v>0</v>
      </c>
      <c r="I48" s="501">
        <f>'[9]Rev_NP-12me'!AC49</f>
        <v>0</v>
      </c>
      <c r="J48" s="378">
        <f>'[9]Rev_NP-12me'!CZ49</f>
        <v>0</v>
      </c>
      <c r="K48" s="378">
        <f>'[9]Rev_NP-12me'!DA49</f>
        <v>0</v>
      </c>
      <c r="L48" s="378">
        <f>'[9]Rev_NP-12me'!DC49</f>
        <v>0</v>
      </c>
      <c r="M48" s="374">
        <f t="shared" si="1"/>
        <v>0</v>
      </c>
    </row>
    <row r="49" spans="2:13" ht="14.4" x14ac:dyDescent="0.25">
      <c r="B49" s="189" t="s">
        <v>1112</v>
      </c>
      <c r="C49" s="17"/>
      <c r="D49" s="493">
        <f>'[9]Rev_NP-12me'!H50</f>
        <v>1363535</v>
      </c>
      <c r="E49" s="493">
        <f>'[9]Rev_NP-12me'!J50*0.746/10^3</f>
        <v>5160.2535504263242</v>
      </c>
      <c r="F49" s="493">
        <f>'[9]Rev_NP-12me'!K50</f>
        <v>9809.1921524326444</v>
      </c>
      <c r="G49" s="501">
        <f>'[9]Rev_NP-12me'!S50</f>
        <v>0</v>
      </c>
      <c r="H49" s="502">
        <f>'[9]Rev_NP-12me'!T50</f>
        <v>0</v>
      </c>
      <c r="I49" s="374">
        <f>'[9]Rev_NP-12me'!AC50</f>
        <v>30</v>
      </c>
      <c r="J49" s="378">
        <f>'[9]Rev_NP-12me'!CZ50</f>
        <v>0</v>
      </c>
      <c r="K49" s="378">
        <f>'[9]Rev_NP-12me'!DA50</f>
        <v>0</v>
      </c>
      <c r="L49" s="378">
        <f>'[9]Rev_NP-12me'!DC50</f>
        <v>48.268763999999997</v>
      </c>
      <c r="M49" s="374">
        <f t="shared" si="1"/>
        <v>48.268763999999997</v>
      </c>
    </row>
    <row r="50" spans="2:13" ht="14.4" x14ac:dyDescent="0.25">
      <c r="B50" s="189" t="s">
        <v>1113</v>
      </c>
      <c r="C50" s="17"/>
      <c r="D50" s="493">
        <f>'[9]Rev_NP-12me'!H51</f>
        <v>0</v>
      </c>
      <c r="E50" s="493">
        <f>'[9]Rev_NP-12me'!J51*0.746/10^3</f>
        <v>0</v>
      </c>
      <c r="F50" s="493">
        <f>'[9]Rev_NP-12me'!K51</f>
        <v>0</v>
      </c>
      <c r="G50" s="501">
        <f>'[9]Rev_NP-12me'!S51</f>
        <v>0</v>
      </c>
      <c r="H50" s="502">
        <f>'[9]Rev_NP-12me'!T51</f>
        <v>0</v>
      </c>
      <c r="I50" s="374">
        <f>'[9]Rev_NP-12me'!AC51</f>
        <v>30</v>
      </c>
      <c r="J50" s="378">
        <f>'[9]Rev_NP-12me'!CZ51</f>
        <v>0</v>
      </c>
      <c r="K50" s="378">
        <f>'[9]Rev_NP-12me'!DA51</f>
        <v>0</v>
      </c>
      <c r="L50" s="378">
        <f>'[9]Rev_NP-12me'!DC51</f>
        <v>0</v>
      </c>
      <c r="M50" s="374">
        <f t="shared" si="1"/>
        <v>0</v>
      </c>
    </row>
    <row r="51" spans="2:13" x14ac:dyDescent="0.25">
      <c r="B51" s="187" t="s">
        <v>938</v>
      </c>
      <c r="C51" s="17"/>
      <c r="D51" s="492">
        <f>'[9]Rev_NP-12me'!H52</f>
        <v>348</v>
      </c>
      <c r="E51" s="492">
        <f>'[9]Rev_NP-12me'!J52*0.746/10^3</f>
        <v>2.0086050000000002</v>
      </c>
      <c r="F51" s="492">
        <f>'[9]Rev_NP-12me'!K52</f>
        <v>3.2725115030304956</v>
      </c>
      <c r="G51" s="501">
        <f>'[9]Rev_NP-12me'!S52</f>
        <v>0</v>
      </c>
      <c r="H51" s="502">
        <f>'[9]Rev_NP-12me'!T52</f>
        <v>0</v>
      </c>
      <c r="I51" s="501">
        <f>'[9]Rev_NP-12me'!AC52</f>
        <v>0</v>
      </c>
      <c r="J51" s="377">
        <f>'[9]Rev_NP-12me'!CZ52</f>
        <v>6.4619999999999997E-2</v>
      </c>
      <c r="K51" s="377">
        <f>'[9]Rev_NP-12me'!DA52</f>
        <v>1.3090046012121985</v>
      </c>
      <c r="L51" s="377">
        <f>'[9]Rev_NP-12me'!DC52</f>
        <v>1.2348E-2</v>
      </c>
      <c r="M51" s="374">
        <f t="shared" si="1"/>
        <v>1.3859726012121985</v>
      </c>
    </row>
    <row r="52" spans="2:13" ht="14.4" x14ac:dyDescent="0.25">
      <c r="B52" s="189" t="s">
        <v>939</v>
      </c>
      <c r="C52" s="17"/>
      <c r="D52" s="493">
        <f>'[9]Rev_NP-12me'!H53</f>
        <v>348</v>
      </c>
      <c r="E52" s="493">
        <f>'[9]Rev_NP-12me'!J53*0.746/10^3</f>
        <v>2.0086050000000002</v>
      </c>
      <c r="F52" s="493">
        <f>'[9]Rev_NP-12me'!K53</f>
        <v>3.2725115030304956</v>
      </c>
      <c r="G52" s="374">
        <f>'[9]Rev_NP-12me'!S53</f>
        <v>20</v>
      </c>
      <c r="H52" s="403">
        <f>'[9]Rev_NP-12me'!T53</f>
        <v>4</v>
      </c>
      <c r="I52" s="374">
        <f>'[9]Rev_NP-12me'!AC53</f>
        <v>30</v>
      </c>
      <c r="J52" s="378">
        <f>'[9]Rev_NP-12me'!CZ53</f>
        <v>6.4619999999999997E-2</v>
      </c>
      <c r="K52" s="378">
        <f>'[9]Rev_NP-12me'!DA53</f>
        <v>1.3090046012121985</v>
      </c>
      <c r="L52" s="378">
        <f>'[9]Rev_NP-12me'!DC53</f>
        <v>1.2348E-2</v>
      </c>
      <c r="M52" s="374">
        <f t="shared" si="1"/>
        <v>1.3859726012121985</v>
      </c>
    </row>
    <row r="53" spans="2:13" x14ac:dyDescent="0.25">
      <c r="B53" s="28" t="s">
        <v>941</v>
      </c>
      <c r="C53" s="17"/>
      <c r="D53" s="491">
        <f>'[9]Rev_NP-12me'!H54</f>
        <v>46724</v>
      </c>
      <c r="E53" s="491">
        <f>'[9]Rev_NP-12me'!I54</f>
        <v>88.0724605515896</v>
      </c>
      <c r="F53" s="491">
        <f>'[9]Rev_NP-12me'!K54</f>
        <v>135.09367549360377</v>
      </c>
      <c r="G53" s="501">
        <f>'[9]Rev_NP-12me'!S54</f>
        <v>0</v>
      </c>
      <c r="H53" s="502">
        <f>'[9]Rev_NP-12me'!T54</f>
        <v>0</v>
      </c>
      <c r="I53" s="501">
        <f>'[9]Rev_NP-12me'!AC54</f>
        <v>0</v>
      </c>
      <c r="J53" s="373">
        <f>'[9]Rev_NP-12me'!CZ54</f>
        <v>3.3819824851810405</v>
      </c>
      <c r="K53" s="373">
        <f>'[9]Rev_NP-12me'!DA54</f>
        <v>99.777372204444234</v>
      </c>
      <c r="L53" s="373">
        <f>'[9]Rev_NP-12me'!DC54</f>
        <v>6.6843360000000001</v>
      </c>
      <c r="M53" s="376">
        <f t="shared" si="1"/>
        <v>109.84369068962528</v>
      </c>
    </row>
    <row r="54" spans="2:13" ht="14.4" x14ac:dyDescent="0.25">
      <c r="B54" s="189" t="s">
        <v>942</v>
      </c>
      <c r="C54" s="17"/>
      <c r="D54" s="493">
        <f>'[9]Rev_NP-12me'!H55</f>
        <v>34517</v>
      </c>
      <c r="E54" s="493">
        <f>'[9]Rev_NP-12me'!I55</f>
        <v>57.624500060454764</v>
      </c>
      <c r="F54" s="493">
        <f>'[9]Rev_NP-12me'!K55</f>
        <v>82.783873311245742</v>
      </c>
      <c r="G54" s="374">
        <f>'[9]Rev_NP-12me'!S55</f>
        <v>32</v>
      </c>
      <c r="H54" s="403">
        <f>'[9]Rev_NP-12me'!T55</f>
        <v>7.1</v>
      </c>
      <c r="I54" s="374">
        <f>'[9]Rev_NP-12me'!AC55</f>
        <v>120</v>
      </c>
      <c r="J54" s="378">
        <f>'[9]Rev_NP-12me'!CZ55</f>
        <v>2.212780802321463</v>
      </c>
      <c r="K54" s="378">
        <f>'[9]Rev_NP-12me'!DA55</f>
        <v>58.776550050984483</v>
      </c>
      <c r="L54" s="378">
        <f>'[9]Rev_NP-12me'!DC55</f>
        <v>4.9379759999999999</v>
      </c>
      <c r="M54" s="374">
        <f t="shared" si="1"/>
        <v>65.92730685330595</v>
      </c>
    </row>
    <row r="55" spans="2:13" ht="14.4" x14ac:dyDescent="0.25">
      <c r="B55" s="189" t="s">
        <v>943</v>
      </c>
      <c r="C55" s="17"/>
      <c r="D55" s="493">
        <f>'[9]Rev_NP-12me'!H56</f>
        <v>6446</v>
      </c>
      <c r="E55" s="493">
        <f>'[9]Rev_NP-12me'!I56</f>
        <v>14.674919256446778</v>
      </c>
      <c r="F55" s="493">
        <f>'[9]Rev_NP-12me'!K56</f>
        <v>27.402352285005129</v>
      </c>
      <c r="G55" s="374">
        <f>'[9]Rev_NP-12me'!S56</f>
        <v>32</v>
      </c>
      <c r="H55" s="403">
        <f>'[9]Rev_NP-12me'!T56</f>
        <v>7.6</v>
      </c>
      <c r="I55" s="374">
        <f>'[9]Rev_NP-12me'!AC56</f>
        <v>120</v>
      </c>
      <c r="J55" s="378">
        <f>'[9]Rev_NP-12me'!CZ56</f>
        <v>0.56351689944755623</v>
      </c>
      <c r="K55" s="378">
        <f>'[9]Rev_NP-12me'!DA56</f>
        <v>20.8257877366039</v>
      </c>
      <c r="L55" s="378">
        <f>'[9]Rev_NP-12me'!DC56</f>
        <v>0.922176</v>
      </c>
      <c r="M55" s="374">
        <f t="shared" si="1"/>
        <v>22.311480636051456</v>
      </c>
    </row>
    <row r="56" spans="2:13" ht="14.4" x14ac:dyDescent="0.25">
      <c r="B56" s="189" t="s">
        <v>944</v>
      </c>
      <c r="C56" s="17"/>
      <c r="D56" s="493">
        <f>'[9]Rev_NP-12me'!H57</f>
        <v>5761</v>
      </c>
      <c r="E56" s="493">
        <f>'[9]Rev_NP-12me'!I57</f>
        <v>15.773041234688053</v>
      </c>
      <c r="F56" s="493">
        <f>'[9]Rev_NP-12me'!K57</f>
        <v>24.907449897352901</v>
      </c>
      <c r="G56" s="374">
        <f>'[9]Rev_NP-12me'!S57</f>
        <v>32</v>
      </c>
      <c r="H56" s="403">
        <f>'[9]Rev_NP-12me'!T57</f>
        <v>8.1</v>
      </c>
      <c r="I56" s="374">
        <f>'[9]Rev_NP-12me'!AC57</f>
        <v>120</v>
      </c>
      <c r="J56" s="378">
        <f>'[9]Rev_NP-12me'!CZ57</f>
        <v>0.60568478341202125</v>
      </c>
      <c r="K56" s="378">
        <f>'[9]Rev_NP-12me'!DA57</f>
        <v>20.175034416855848</v>
      </c>
      <c r="L56" s="378">
        <f>'[9]Rev_NP-12me'!DC57</f>
        <v>0.82418400000000003</v>
      </c>
      <c r="M56" s="374">
        <f t="shared" si="1"/>
        <v>21.604903200267866</v>
      </c>
    </row>
    <row r="57" spans="2:13" x14ac:dyDescent="0.25">
      <c r="B57" s="28" t="s">
        <v>945</v>
      </c>
      <c r="C57" s="17"/>
      <c r="D57" s="491">
        <f>'[9]Rev_NP-12me'!H65</f>
        <v>32653</v>
      </c>
      <c r="E57" s="491">
        <f>'[9]Rev_NP-12me'!J65*0.746/10^3</f>
        <v>103.59332174659922</v>
      </c>
      <c r="F57" s="491">
        <f>'[9]Rev_NP-12me'!K65</f>
        <v>245.03768782099792</v>
      </c>
      <c r="G57" s="374"/>
      <c r="H57" s="403"/>
      <c r="I57" s="374"/>
      <c r="J57" s="373">
        <f>'[9]Rev_NP-12me'!CZ65</f>
        <v>5.3324176341413008</v>
      </c>
      <c r="K57" s="373">
        <f>'[9]Rev_NP-12me'!DA65</f>
        <v>150.63046382018723</v>
      </c>
      <c r="L57" s="373">
        <f>'[9]Rev_NP-12me'!DC65</f>
        <v>4.6712159999999994</v>
      </c>
      <c r="M57" s="376">
        <f t="shared" si="1"/>
        <v>160.63409745432853</v>
      </c>
    </row>
    <row r="58" spans="2:13" ht="14.4" x14ac:dyDescent="0.25">
      <c r="B58" s="189" t="s">
        <v>942</v>
      </c>
      <c r="C58" s="17"/>
      <c r="D58" s="493">
        <f>'[9]Rev_NP-12me'!H66</f>
        <v>27944</v>
      </c>
      <c r="E58" s="493">
        <f>'[9]Rev_NP-12me'!J66*0.746/10^3</f>
        <v>87.912117504692361</v>
      </c>
      <c r="F58" s="493">
        <f>'[9]Rev_NP-12me'!K66</f>
        <v>215.80166260162935</v>
      </c>
      <c r="G58" s="374">
        <v>32</v>
      </c>
      <c r="H58" s="403">
        <v>6</v>
      </c>
      <c r="I58" s="374">
        <f>'[9]Rev_NP-12me'!AC66</f>
        <v>120</v>
      </c>
      <c r="J58" s="378">
        <f>'[9]Rev_NP-12me'!CZ66</f>
        <v>4.5252350029225026</v>
      </c>
      <c r="K58" s="378">
        <f>'[9]Rev_NP-12me'!DA66</f>
        <v>129.48099756097761</v>
      </c>
      <c r="L58" s="378">
        <f>'[9]Rev_NP-12me'!DC66</f>
        <v>3.997512</v>
      </c>
      <c r="M58" s="374">
        <f t="shared" si="1"/>
        <v>138.00374456390011</v>
      </c>
    </row>
    <row r="59" spans="2:13" ht="14.4" x14ac:dyDescent="0.25">
      <c r="B59" s="189" t="s">
        <v>943</v>
      </c>
      <c r="C59" s="17"/>
      <c r="D59" s="493">
        <f>'[9]Rev_NP-12me'!H67</f>
        <v>3323</v>
      </c>
      <c r="E59" s="493">
        <f>'[9]Rev_NP-12me'!J67*0.746/10^3</f>
        <v>10.552295968074151</v>
      </c>
      <c r="F59" s="493">
        <f>'[9]Rev_NP-12me'!K67</f>
        <v>21.398258150210143</v>
      </c>
      <c r="G59" s="374">
        <v>32</v>
      </c>
      <c r="H59" s="403">
        <v>7.1</v>
      </c>
      <c r="I59" s="374">
        <f>'[9]Rev_NP-12me'!AC67</f>
        <v>120</v>
      </c>
      <c r="J59" s="378">
        <f>'[9]Rev_NP-12me'!CZ67</f>
        <v>0.54317448414751668</v>
      </c>
      <c r="K59" s="378">
        <f>'[9]Rev_NP-12me'!DA67</f>
        <v>15.1927632866492</v>
      </c>
      <c r="L59" s="378">
        <f>'[9]Rev_NP-12me'!DC67</f>
        <v>0.47541600000000001</v>
      </c>
      <c r="M59" s="374">
        <f t="shared" si="1"/>
        <v>16.211353770796716</v>
      </c>
    </row>
    <row r="60" spans="2:13" ht="14.4" x14ac:dyDescent="0.25">
      <c r="B60" s="189" t="s">
        <v>944</v>
      </c>
      <c r="C60" s="17"/>
      <c r="D60" s="493">
        <f>'[9]Rev_NP-12me'!H68</f>
        <v>1386</v>
      </c>
      <c r="E60" s="493">
        <f>'[9]Rev_NP-12me'!J68*0.746/10^3</f>
        <v>5.1289082738327192</v>
      </c>
      <c r="F60" s="493">
        <f>'[9]Rev_NP-12me'!K68</f>
        <v>7.8377670691584136</v>
      </c>
      <c r="G60" s="374">
        <v>32</v>
      </c>
      <c r="H60" s="403">
        <v>7.6</v>
      </c>
      <c r="I60" s="374">
        <f>'[9]Rev_NP-12me'!AC68</f>
        <v>120</v>
      </c>
      <c r="J60" s="378">
        <f>'[9]Rev_NP-12me'!CZ68</f>
        <v>0.26400814707128206</v>
      </c>
      <c r="K60" s="378">
        <f>'[9]Rev_NP-12me'!DA68</f>
        <v>5.9567029725603948</v>
      </c>
      <c r="L60" s="378">
        <f>'[9]Rev_NP-12me'!DC68</f>
        <v>0.19828799999999999</v>
      </c>
      <c r="M60" s="374">
        <f t="shared" si="1"/>
        <v>6.4189991196316765</v>
      </c>
    </row>
    <row r="61" spans="2:13" x14ac:dyDescent="0.25">
      <c r="B61" s="28" t="s">
        <v>1114</v>
      </c>
      <c r="C61" s="17"/>
      <c r="D61" s="491">
        <f>'[9]Rev_NP-12me'!H69</f>
        <v>0</v>
      </c>
      <c r="E61" s="491">
        <f>'[9]Rev_NP-12me'!I69</f>
        <v>0</v>
      </c>
      <c r="F61" s="491">
        <f>'[9]Rev_NP-12me'!K69</f>
        <v>0</v>
      </c>
      <c r="G61" s="501">
        <f>'[9]Rev_NP-12me'!S69</f>
        <v>0</v>
      </c>
      <c r="H61" s="501">
        <f>'[9]Rev_NP-12me'!T69</f>
        <v>0</v>
      </c>
      <c r="I61" s="501">
        <f>'[9]Rev_NP-12me'!AC69</f>
        <v>0</v>
      </c>
      <c r="J61" s="373">
        <f>'[9]Rev_NP-12me'!CZ69</f>
        <v>0</v>
      </c>
      <c r="K61" s="373">
        <f>'[9]Rev_NP-12me'!DA69</f>
        <v>0</v>
      </c>
      <c r="L61" s="373">
        <f>'[9]Rev_NP-12me'!DC69</f>
        <v>0</v>
      </c>
      <c r="M61" s="374">
        <f t="shared" si="1"/>
        <v>0</v>
      </c>
    </row>
    <row r="62" spans="2:13" x14ac:dyDescent="0.25">
      <c r="B62" s="28" t="s">
        <v>948</v>
      </c>
      <c r="C62" s="17"/>
      <c r="D62" s="491">
        <f>'[9]Rev_NP-12me'!H58</f>
        <v>25026</v>
      </c>
      <c r="E62" s="491">
        <f>'[9]Rev_NP-12me'!I58</f>
        <v>59.872073034183991</v>
      </c>
      <c r="F62" s="491">
        <f>'[9]Rev_NP-12me'!K58</f>
        <v>68.265599859011161</v>
      </c>
      <c r="G62" s="374"/>
      <c r="H62" s="403"/>
      <c r="I62" s="374"/>
      <c r="J62" s="373">
        <f>'[9]Rev_NP-12me'!CZ58</f>
        <v>1.6435530438636294</v>
      </c>
      <c r="K62" s="373">
        <f>'[9]Rev_NP-12me'!DA58</f>
        <v>53.045720713867397</v>
      </c>
      <c r="L62" s="373">
        <f>'[9]Rev_NP-12me'!DC58</f>
        <v>2.9653199999999997</v>
      </c>
      <c r="M62" s="376">
        <f t="shared" si="1"/>
        <v>57.654593757731021</v>
      </c>
    </row>
    <row r="63" spans="2:13" ht="14.4" x14ac:dyDescent="0.25">
      <c r="B63" s="187" t="s">
        <v>949</v>
      </c>
      <c r="C63" s="17"/>
      <c r="D63" s="494">
        <f>'[9]Rev_NP-12me'!H59</f>
        <v>18493</v>
      </c>
      <c r="E63" s="494">
        <f>'[9]Rev_NP-12me'!I59</f>
        <v>47.392739385832783</v>
      </c>
      <c r="F63" s="494">
        <f>'[9]Rev_NP-12me'!K59</f>
        <v>57.311881164732775</v>
      </c>
      <c r="G63" s="374">
        <f>'[9]Rev_NP-12me'!S59</f>
        <v>21</v>
      </c>
      <c r="H63" s="403">
        <f>'[9]Rev_NP-12me'!T59</f>
        <v>8.3000000000000007</v>
      </c>
      <c r="I63" s="374">
        <f>'[9]Rev_NP-12me'!AC59</f>
        <v>100</v>
      </c>
      <c r="J63" s="380">
        <f>'[9]Rev_NP-12me'!CZ59</f>
        <v>1.194297032522986</v>
      </c>
      <c r="K63" s="380">
        <f>'[9]Rev_NP-12me'!DA59</f>
        <v>47.5688613667282</v>
      </c>
      <c r="L63" s="380">
        <f>'[9]Rev_NP-12me'!DC59</f>
        <v>2.1911999999999998</v>
      </c>
      <c r="M63" s="374">
        <f t="shared" si="1"/>
        <v>50.954358399251191</v>
      </c>
    </row>
    <row r="64" spans="2:13" ht="14.4" x14ac:dyDescent="0.25">
      <c r="B64" s="187" t="s">
        <v>950</v>
      </c>
      <c r="C64" s="17"/>
      <c r="D64" s="494">
        <f>'[9]Rev_NP-12me'!H60</f>
        <v>6533</v>
      </c>
      <c r="E64" s="494">
        <f>'[9]Rev_NP-12me'!I60</f>
        <v>12.479333648351208</v>
      </c>
      <c r="F64" s="494">
        <f>'[9]Rev_NP-12me'!K60</f>
        <v>10.953718694278392</v>
      </c>
      <c r="G64" s="374">
        <f>'[9]Rev_NP-12me'!S60</f>
        <v>30</v>
      </c>
      <c r="H64" s="403">
        <f>'[9]Rev_NP-12me'!T60</f>
        <v>5</v>
      </c>
      <c r="I64" s="374">
        <f>'[9]Rev_NP-12me'!AC60</f>
        <v>100</v>
      </c>
      <c r="J64" s="380">
        <f>'[9]Rev_NP-12me'!CZ60</f>
        <v>0.44925601134064347</v>
      </c>
      <c r="K64" s="380">
        <f>'[9]Rev_NP-12me'!DA60</f>
        <v>5.4768593471391958</v>
      </c>
      <c r="L64" s="380">
        <f>'[9]Rev_NP-12me'!DC60</f>
        <v>0.77412000000000003</v>
      </c>
      <c r="M64" s="374">
        <f t="shared" si="1"/>
        <v>6.7002353584798389</v>
      </c>
    </row>
    <row r="65" spans="2:16" x14ac:dyDescent="0.25">
      <c r="B65" s="187" t="s">
        <v>951</v>
      </c>
      <c r="C65" s="17"/>
      <c r="D65" s="495">
        <f>'[9]Rev_NP-12me'!H61</f>
        <v>4761</v>
      </c>
      <c r="E65" s="495">
        <f>'[9]Rev_NP-12me'!I61</f>
        <v>4.8040881028112743</v>
      </c>
      <c r="F65" s="495">
        <f>'[9]Rev_NP-12me'!K61</f>
        <v>4.0765233702200998</v>
      </c>
      <c r="G65" s="374">
        <f>'[9]Rev_NP-12me'!S61</f>
        <v>30</v>
      </c>
      <c r="H65" s="403">
        <f>'[9]Rev_NP-12me'!T61</f>
        <v>5</v>
      </c>
      <c r="I65" s="374">
        <f>'[9]Rev_NP-12me'!AC61</f>
        <v>100</v>
      </c>
      <c r="J65" s="381">
        <f>'[9]Rev_NP-12me'!CZ61</f>
        <v>0.17294717170120588</v>
      </c>
      <c r="K65" s="381">
        <f>'[9]Rev_NP-12me'!DA61</f>
        <v>2.0382616851100499</v>
      </c>
      <c r="L65" s="381">
        <f>'[9]Rev_NP-12me'!DC61</f>
        <v>0.56418000000000001</v>
      </c>
      <c r="M65" s="374">
        <f t="shared" si="1"/>
        <v>2.7753888568112557</v>
      </c>
    </row>
    <row r="66" spans="2:16" x14ac:dyDescent="0.25">
      <c r="B66" s="187" t="s">
        <v>952</v>
      </c>
      <c r="C66" s="17"/>
      <c r="D66" s="495">
        <f>'[9]Rev_NP-12me'!H62</f>
        <v>1772</v>
      </c>
      <c r="E66" s="495">
        <f>'[9]Rev_NP-12me'!I62</f>
        <v>7.6752455455399335</v>
      </c>
      <c r="F66" s="495">
        <f>'[9]Rev_NP-12me'!K62</f>
        <v>6.8771953240582917</v>
      </c>
      <c r="G66" s="374">
        <f>'[9]Rev_NP-12me'!S62</f>
        <v>30</v>
      </c>
      <c r="H66" s="403">
        <f>'[9]Rev_NP-12me'!T62</f>
        <v>5</v>
      </c>
      <c r="I66" s="374">
        <f>'[9]Rev_NP-12me'!AC62</f>
        <v>100</v>
      </c>
      <c r="J66" s="381">
        <f>'[9]Rev_NP-12me'!CZ62</f>
        <v>0.27630883963943759</v>
      </c>
      <c r="K66" s="381">
        <f>'[9]Rev_NP-12me'!DA62</f>
        <v>3.4385976620291459</v>
      </c>
      <c r="L66" s="381">
        <f>'[9]Rev_NP-12me'!DC62</f>
        <v>0.20993999999999999</v>
      </c>
      <c r="M66" s="374">
        <f t="shared" si="1"/>
        <v>3.9248465016685836</v>
      </c>
    </row>
    <row r="67" spans="2:16" x14ac:dyDescent="0.25">
      <c r="B67" s="28" t="s">
        <v>953</v>
      </c>
      <c r="C67" s="17"/>
      <c r="D67" s="491">
        <f>'[9]Rev_NP-12me'!H63</f>
        <v>3420</v>
      </c>
      <c r="E67" s="491">
        <f>'[9]Rev_NP-12me'!I63</f>
        <v>13.027504367607362</v>
      </c>
      <c r="F67" s="491">
        <f>'[9]Rev_NP-12me'!K63</f>
        <v>15.224471550000001</v>
      </c>
      <c r="G67" s="374">
        <f>'[9]Rev_NP-12me'!S63</f>
        <v>21</v>
      </c>
      <c r="H67" s="403">
        <f>'[9]Rev_NP-12me'!T63</f>
        <v>12</v>
      </c>
      <c r="I67" s="374">
        <f>'[9]Rev_NP-12me'!$AC$63</f>
        <v>100</v>
      </c>
      <c r="J67" s="373">
        <f>'[9]Rev_NP-12me'!CZ63</f>
        <v>0.32829311006370554</v>
      </c>
      <c r="K67" s="373">
        <f>'[9]Rev_NP-12me'!DA63</f>
        <v>18.269365860000001</v>
      </c>
      <c r="L67" s="373">
        <f>'[9]Rev_NP-12me'!DC63</f>
        <v>0.39804</v>
      </c>
      <c r="M67" s="376">
        <f t="shared" si="1"/>
        <v>18.995698970063707</v>
      </c>
    </row>
    <row r="68" spans="2:16" x14ac:dyDescent="0.25">
      <c r="B68" s="28" t="s">
        <v>1115</v>
      </c>
      <c r="C68" s="17"/>
      <c r="D68" s="491">
        <f>'[9]Rev_NP-12me'!H64</f>
        <v>45</v>
      </c>
      <c r="E68" s="491">
        <f>'[9]Rev_NP-12me'!I64</f>
        <v>1.43</v>
      </c>
      <c r="F68" s="491">
        <f>'[9]Rev_NP-12me'!K64</f>
        <v>0.16766805000000001</v>
      </c>
      <c r="G68" s="374">
        <f>'[9]Rev_NP-12me'!S64</f>
        <v>0</v>
      </c>
      <c r="H68" s="403">
        <f>'[9]Rev_NP-12me'!T64</f>
        <v>6</v>
      </c>
      <c r="I68" s="374">
        <f>'[9]Rev_NP-12me'!$AC$64</f>
        <v>120</v>
      </c>
      <c r="J68" s="373">
        <f>'[9]Rev_NP-12me'!CZ64</f>
        <v>5.0049999999999997E-2</v>
      </c>
      <c r="K68" s="373">
        <f>'[9]Rev_NP-12me'!DA64</f>
        <v>0.10060083</v>
      </c>
      <c r="L68" s="373">
        <f>'[9]Rev_NP-12me'!DC64</f>
        <v>5.4000000000000003E-3</v>
      </c>
      <c r="M68" s="376">
        <f t="shared" si="1"/>
        <v>0.15605083</v>
      </c>
    </row>
    <row r="69" spans="2:16" x14ac:dyDescent="0.25">
      <c r="B69" s="28"/>
      <c r="C69" s="17"/>
      <c r="D69" s="495"/>
      <c r="E69" s="495"/>
      <c r="F69" s="495"/>
      <c r="G69" s="381"/>
      <c r="H69" s="381"/>
      <c r="I69" s="381"/>
      <c r="J69" s="381"/>
      <c r="K69" s="381"/>
      <c r="L69" s="381"/>
      <c r="M69" s="381"/>
    </row>
    <row r="70" spans="2:16" x14ac:dyDescent="0.25">
      <c r="B70" s="28" t="s">
        <v>1116</v>
      </c>
      <c r="C70" s="17"/>
      <c r="D70" s="234">
        <f>SUM(D9,D22,D35,D42,D45,D53,D57,D61,D62,D67,D68)</f>
        <v>6176359</v>
      </c>
      <c r="E70" s="234">
        <f>SUM(E9,E22,E35,E42,E45,E53,E57,E61,E62,E67,E68)</f>
        <v>11721.522000565261</v>
      </c>
      <c r="F70" s="234">
        <f>SUM(F9,F22,F35,F42,F45,F53,F57,F61,F62,F67,F68)</f>
        <v>16073.087765252285</v>
      </c>
      <c r="G70" s="382"/>
      <c r="H70" s="382"/>
      <c r="I70" s="382"/>
      <c r="J70" s="382">
        <f>SUM(J9,J22,J35,J42,J45,J53,J57,J61,J62,J67,J68)</f>
        <v>204.52694852623878</v>
      </c>
      <c r="K70" s="382">
        <f>SUM(K9,K22,K35,K42,K45,K53,K57,K61,K62,K67,K68)</f>
        <v>3260.9419269825371</v>
      </c>
      <c r="L70" s="382">
        <f>SUM(L9,L22,L35,L42,L45,L53,L57,L61,L62,L67,L68)</f>
        <v>417.86177999999995</v>
      </c>
      <c r="M70" s="382">
        <f>SUM(M9,M22,M35,M42,M45,M53,M57,M61,M62,M67,M68)</f>
        <v>3883.3306555087752</v>
      </c>
    </row>
    <row r="71" spans="2:16" x14ac:dyDescent="0.25">
      <c r="B71" s="186"/>
      <c r="C71" s="107"/>
      <c r="D71" s="496"/>
      <c r="E71" s="496"/>
      <c r="F71" s="496"/>
      <c r="G71" s="376"/>
      <c r="H71" s="376"/>
      <c r="I71" s="376"/>
      <c r="J71" s="376"/>
      <c r="K71" s="376"/>
      <c r="L71" s="376"/>
      <c r="M71" s="376"/>
    </row>
    <row r="72" spans="2:16" x14ac:dyDescent="0.25">
      <c r="B72" s="907" t="s">
        <v>799</v>
      </c>
      <c r="C72" s="907"/>
      <c r="D72" s="495"/>
      <c r="E72" s="495"/>
      <c r="F72" s="495"/>
      <c r="G72" s="381"/>
      <c r="H72" s="381"/>
      <c r="I72" s="381"/>
      <c r="J72" s="381"/>
      <c r="K72" s="381"/>
      <c r="L72" s="381"/>
      <c r="M72" s="381"/>
    </row>
    <row r="73" spans="2:16" x14ac:dyDescent="0.25">
      <c r="B73" s="383" t="s">
        <v>191</v>
      </c>
      <c r="C73" s="17"/>
      <c r="D73" s="495"/>
      <c r="E73" s="495"/>
      <c r="F73" s="495"/>
      <c r="G73" s="381"/>
      <c r="H73" s="381"/>
      <c r="I73" s="381"/>
      <c r="J73" s="381"/>
      <c r="K73" s="381"/>
      <c r="L73" s="381"/>
      <c r="M73" s="381"/>
    </row>
    <row r="74" spans="2:16" x14ac:dyDescent="0.25">
      <c r="B74" s="383" t="s">
        <v>1117</v>
      </c>
      <c r="C74" s="82"/>
      <c r="D74" s="491">
        <f>'[9]Rev_NP-12me'!H84</f>
        <v>2449</v>
      </c>
      <c r="E74" s="491">
        <f>'[9]Rev_NP-12me'!I$84</f>
        <v>537.59794999999997</v>
      </c>
      <c r="F74" s="491">
        <f>'[9]Rev_NP-12me'!K$84</f>
        <v>1132.1996103125311</v>
      </c>
      <c r="G74" s="376"/>
      <c r="H74" s="376"/>
      <c r="I74" s="376"/>
      <c r="J74" s="373">
        <f>'[9]Rev_NP-12me'!CZ$84</f>
        <v>216.84509469999992</v>
      </c>
      <c r="K74" s="373">
        <f>'[9]Rev_NP-12me'!DA$84</f>
        <v>866.11688830536434</v>
      </c>
      <c r="L74" s="373">
        <f>'[9]Rev_NP-12me'!DC$84</f>
        <v>5.7936000000000005</v>
      </c>
      <c r="M74" s="376">
        <f t="shared" ref="M74:M119" si="2">SUM(J74:L74)</f>
        <v>1088.7555830053643</v>
      </c>
    </row>
    <row r="75" spans="2:16" x14ac:dyDescent="0.25">
      <c r="B75" s="384" t="s">
        <v>1118</v>
      </c>
      <c r="C75" s="82"/>
      <c r="D75" s="492">
        <f>'[9]Rev_NP-12me'!H85</f>
        <v>2432</v>
      </c>
      <c r="E75" s="492">
        <f>'[9]Rev_NP-12me'!I85</f>
        <v>532.39694999999995</v>
      </c>
      <c r="F75" s="492">
        <f>'[9]Rev_NP-12me'!K85</f>
        <v>1115.4683680001197</v>
      </c>
      <c r="G75" s="374"/>
      <c r="H75" s="374"/>
      <c r="I75" s="374"/>
      <c r="J75" s="377">
        <f>'[9]Rev_NP-12me'!$CZ$85</f>
        <v>214.42142869999992</v>
      </c>
      <c r="K75" s="377">
        <f>'[9]Rev_NP-12me'!$DA$85</f>
        <v>853.3483994341309</v>
      </c>
      <c r="L75" s="377">
        <f>'[9]Rev_NP-12me'!$DC$85</f>
        <v>5.7552000000000003</v>
      </c>
      <c r="M75" s="374">
        <f t="shared" si="2"/>
        <v>1073.5250281341309</v>
      </c>
    </row>
    <row r="76" spans="2:16" ht="14.4" x14ac:dyDescent="0.25">
      <c r="B76" s="385" t="s">
        <v>1119</v>
      </c>
      <c r="C76" s="82"/>
      <c r="D76" s="494">
        <f>'[9]Rev_NP-12me'!H86</f>
        <v>1706</v>
      </c>
      <c r="E76" s="494">
        <f>'[9]Rev_NP-12me'!I86</f>
        <v>441.3819499999999</v>
      </c>
      <c r="F76" s="494">
        <f>'[9]Rev_NP-12me'!K86</f>
        <v>319.30866030907532</v>
      </c>
      <c r="G76" s="375">
        <f>'[9]Rev_NP-12me'!S86</f>
        <v>500</v>
      </c>
      <c r="H76" s="406">
        <f>'[9]Rev_NP-12me'!T86</f>
        <v>7.65</v>
      </c>
      <c r="I76" s="375">
        <f>'[9]Rev_NP-12me'!AC86</f>
        <v>2000</v>
      </c>
      <c r="J76" s="380">
        <f>'[9]Rev_NP-12me'!$CZ$86</f>
        <v>205.68398869999993</v>
      </c>
      <c r="K76" s="380">
        <f>'[9]Rev_NP-12me'!$DA$86</f>
        <v>244.27112513644263</v>
      </c>
      <c r="L76" s="380">
        <f>'[9]Rev_NP-12me'!$DC$86</f>
        <v>4.0488</v>
      </c>
      <c r="M76" s="374">
        <f t="shared" si="2"/>
        <v>454.00391383644262</v>
      </c>
      <c r="O76" s="930"/>
      <c r="P76" s="930"/>
    </row>
    <row r="77" spans="2:16" ht="25.95" customHeight="1" x14ac:dyDescent="0.25">
      <c r="B77" s="503" t="s">
        <v>1120</v>
      </c>
      <c r="C77" s="17"/>
      <c r="D77" s="494">
        <f>'[9]Rev_NP-12me'!H87</f>
        <v>726</v>
      </c>
      <c r="E77" s="494">
        <f>'[9]Rev_NP-12me'!I87</f>
        <v>91.015000000000001</v>
      </c>
      <c r="F77" s="494">
        <f>'[9]Rev_NP-12me'!K87</f>
        <v>174.70951216498472</v>
      </c>
      <c r="G77" s="375">
        <f>'[9]Rev_NP-12me'!S87</f>
        <v>100</v>
      </c>
      <c r="H77" s="406">
        <f>'[9]Rev_NP-12me'!T87</f>
        <v>8</v>
      </c>
      <c r="I77" s="375">
        <f>'[9]Rev_NP-12me'!AC87</f>
        <v>2000</v>
      </c>
      <c r="J77" s="380">
        <f>'[9]Rev_NP-12me'!$CZ$87</f>
        <v>8.7374399999999994</v>
      </c>
      <c r="K77" s="380">
        <f>'[9]Rev_NP-12me'!$DA$87</f>
        <v>139.76760973198773</v>
      </c>
      <c r="L77" s="380">
        <f>'[9]Rev_NP-12me'!$DC$87</f>
        <v>1.7063999999999999</v>
      </c>
      <c r="M77" s="374">
        <f t="shared" si="2"/>
        <v>150.21144973198773</v>
      </c>
      <c r="O77" s="387"/>
      <c r="P77" s="387"/>
    </row>
    <row r="78" spans="2:16" ht="14.4" x14ac:dyDescent="0.25">
      <c r="B78" s="385" t="s">
        <v>1121</v>
      </c>
      <c r="C78" s="17"/>
      <c r="D78" s="494">
        <f>'[9]Rev_NP-12me'!H88</f>
        <v>0</v>
      </c>
      <c r="E78" s="494">
        <f>'[9]Rev_NP-12me'!I88</f>
        <v>0</v>
      </c>
      <c r="F78" s="494">
        <f>'[9]Rev_NP-12me'!K88</f>
        <v>0</v>
      </c>
      <c r="G78" s="375">
        <f>'[9]Rev_NP-12me'!S88</f>
        <v>0</v>
      </c>
      <c r="H78" s="406">
        <f>'[9]Rev_NP-12me'!T88</f>
        <v>7.65</v>
      </c>
      <c r="I78" s="375">
        <f>'[9]Rev_NP-12me'!AC88</f>
        <v>2000</v>
      </c>
      <c r="J78" s="380">
        <f>'[9]Rev_NP-12me'!$CZ$88</f>
        <v>0</v>
      </c>
      <c r="K78" s="380">
        <f>'[9]Rev_NP-12me'!$DA$88</f>
        <v>0</v>
      </c>
      <c r="L78" s="380">
        <f>'[9]Rev_NP-12me'!$DC$88</f>
        <v>0</v>
      </c>
      <c r="M78" s="374">
        <f t="shared" si="2"/>
        <v>0</v>
      </c>
      <c r="O78" s="388"/>
      <c r="P78" s="389"/>
    </row>
    <row r="79" spans="2:16" ht="14.4" x14ac:dyDescent="0.25">
      <c r="B79" s="385" t="s">
        <v>1122</v>
      </c>
      <c r="C79" s="17"/>
      <c r="D79" s="494">
        <f>'[9]Rev_NP-12me'!H89</f>
        <v>0</v>
      </c>
      <c r="E79" s="494">
        <f>'[9]Rev_NP-12me'!I89</f>
        <v>0</v>
      </c>
      <c r="F79" s="494">
        <f>'[9]Rev_NP-12me'!K89</f>
        <v>0</v>
      </c>
      <c r="G79" s="375">
        <f>'[9]Rev_NP-12me'!S89</f>
        <v>0</v>
      </c>
      <c r="H79" s="406">
        <f>'[9]Rev_NP-12me'!T89</f>
        <v>7.3</v>
      </c>
      <c r="I79" s="375">
        <f>'[9]Rev_NP-12me'!AC89</f>
        <v>2000</v>
      </c>
      <c r="J79" s="380">
        <f>'[9]Rev_NP-12me'!$CZ$89</f>
        <v>0</v>
      </c>
      <c r="K79" s="380">
        <f>'[9]Rev_NP-12me'!$DA$89</f>
        <v>0</v>
      </c>
      <c r="L79" s="380">
        <f>'[9]Rev_NP-12me'!$DC$89</f>
        <v>0</v>
      </c>
      <c r="M79" s="374">
        <f t="shared" si="2"/>
        <v>0</v>
      </c>
      <c r="O79" s="388"/>
      <c r="P79" s="389"/>
    </row>
    <row r="80" spans="2:16" ht="14.4" x14ac:dyDescent="0.25">
      <c r="B80" s="385" t="s">
        <v>1123</v>
      </c>
      <c r="C80" s="17"/>
      <c r="D80" s="494">
        <f>'[9]Rev_NP-12me'!H90</f>
        <v>0</v>
      </c>
      <c r="E80" s="494">
        <f>'[9]Rev_NP-12me'!I90</f>
        <v>0</v>
      </c>
      <c r="F80" s="494">
        <f>'[9]Rev_NP-12me'!K90</f>
        <v>0</v>
      </c>
      <c r="G80" s="375">
        <f>'[9]Rev_NP-12me'!S90</f>
        <v>500</v>
      </c>
      <c r="H80" s="406">
        <f>'[9]Rev_NP-12me'!T90</f>
        <v>8.6</v>
      </c>
      <c r="I80" s="375">
        <f>'[9]Rev_NP-12me'!AC90</f>
        <v>2000</v>
      </c>
      <c r="J80" s="380">
        <f>'[9]Rev_NP-12me'!$CZ$90</f>
        <v>0</v>
      </c>
      <c r="K80" s="380">
        <f>'[9]Rev_NP-12me'!$DA$90</f>
        <v>0</v>
      </c>
      <c r="L80" s="380">
        <f>'[9]Rev_NP-12me'!$DC$90</f>
        <v>0</v>
      </c>
      <c r="M80" s="374">
        <f t="shared" si="2"/>
        <v>0</v>
      </c>
      <c r="O80" s="388"/>
      <c r="P80" s="389"/>
    </row>
    <row r="81" spans="2:16" ht="17.399999999999999" customHeight="1" x14ac:dyDescent="0.25">
      <c r="B81" s="390" t="s">
        <v>1124</v>
      </c>
      <c r="C81" s="17"/>
      <c r="D81" s="494">
        <f>'[9]Rev_NP-12me'!H91</f>
        <v>0</v>
      </c>
      <c r="E81" s="494">
        <f>'[9]Rev_NP-12me'!I91</f>
        <v>0</v>
      </c>
      <c r="F81" s="494">
        <f>'[9]Rev_NP-12me'!K91</f>
        <v>162.2632128913794</v>
      </c>
      <c r="G81" s="375">
        <f>'[9]Rev_NP-12me'!S91</f>
        <v>0</v>
      </c>
      <c r="H81" s="406">
        <f>'[9]Rev_NP-12me'!T91</f>
        <v>8.65</v>
      </c>
      <c r="I81" s="375">
        <f>'[9]Rev_NP-12me'!AC91</f>
        <v>2000</v>
      </c>
      <c r="J81" s="380">
        <f>'[9]Rev_NP-12me'!$CZ$91</f>
        <v>0</v>
      </c>
      <c r="K81" s="380">
        <f>'[9]Rev_NP-12me'!$DA$91</f>
        <v>140.35767915104319</v>
      </c>
      <c r="L81" s="380">
        <f>'[9]Rev_NP-12me'!$DC$91</f>
        <v>0</v>
      </c>
      <c r="M81" s="374">
        <f t="shared" si="2"/>
        <v>140.35767915104319</v>
      </c>
      <c r="O81" s="388"/>
      <c r="P81" s="389"/>
    </row>
    <row r="82" spans="2:16" ht="14.4" x14ac:dyDescent="0.25">
      <c r="B82" s="390" t="s">
        <v>1125</v>
      </c>
      <c r="C82" s="17"/>
      <c r="D82" s="494">
        <f>'[9]Rev_NP-12me'!H92</f>
        <v>0</v>
      </c>
      <c r="E82" s="494">
        <f>'[9]Rev_NP-12me'!I92</f>
        <v>0</v>
      </c>
      <c r="F82" s="494">
        <f>'[9]Rev_NP-12me'!K92</f>
        <v>152.76850512311557</v>
      </c>
      <c r="G82" s="375">
        <f>'[9]Rev_NP-12me'!S92</f>
        <v>0</v>
      </c>
      <c r="H82" s="406">
        <f>'[9]Rev_NP-12me'!T92</f>
        <v>8.65</v>
      </c>
      <c r="I82" s="375">
        <f>'[9]Rev_NP-12me'!AC92</f>
        <v>2000</v>
      </c>
      <c r="J82" s="380">
        <f>'[9]Rev_NP-12me'!$CZ$92</f>
        <v>0</v>
      </c>
      <c r="K82" s="380">
        <f>'[9]Rev_NP-12me'!$DA$92</f>
        <v>132.14475693149498</v>
      </c>
      <c r="L82" s="380">
        <f>'[9]Rev_NP-12me'!$DC$92</f>
        <v>0</v>
      </c>
      <c r="M82" s="374">
        <f t="shared" si="2"/>
        <v>132.14475693149498</v>
      </c>
      <c r="O82" s="388"/>
      <c r="P82" s="389"/>
    </row>
    <row r="83" spans="2:16" ht="15" customHeight="1" x14ac:dyDescent="0.25">
      <c r="B83" s="390" t="s">
        <v>1126</v>
      </c>
      <c r="C83" s="17"/>
      <c r="D83" s="494">
        <f>'[9]Rev_NP-12me'!H93</f>
        <v>0</v>
      </c>
      <c r="E83" s="494">
        <f>'[9]Rev_NP-12me'!I93</f>
        <v>0</v>
      </c>
      <c r="F83" s="494">
        <f>'[9]Rev_NP-12me'!K93</f>
        <v>306.4184775115645</v>
      </c>
      <c r="G83" s="375">
        <f>'[9]Rev_NP-12me'!S93</f>
        <v>0</v>
      </c>
      <c r="H83" s="406">
        <f>'[9]Rev_NP-12me'!T93</f>
        <v>6.15</v>
      </c>
      <c r="I83" s="375">
        <f>'[9]Rev_NP-12me'!AC93</f>
        <v>2000</v>
      </c>
      <c r="J83" s="380">
        <f>'[9]Rev_NP-12me'!$CZ$93</f>
        <v>0</v>
      </c>
      <c r="K83" s="380">
        <f>'[9]Rev_NP-12me'!$DA$93</f>
        <v>196.80722848316242</v>
      </c>
      <c r="L83" s="380">
        <f>'[9]Rev_NP-12me'!$DC$93</f>
        <v>0</v>
      </c>
      <c r="M83" s="374">
        <f t="shared" si="2"/>
        <v>196.80722848316242</v>
      </c>
      <c r="O83" s="388"/>
      <c r="P83" s="389"/>
    </row>
    <row r="84" spans="2:16" ht="14.4" x14ac:dyDescent="0.25">
      <c r="B84" s="383" t="s">
        <v>1127</v>
      </c>
      <c r="C84" s="17"/>
      <c r="D84" s="492">
        <f>'[9]Rev_NP-12me'!H94</f>
        <v>17</v>
      </c>
      <c r="E84" s="492">
        <f>'[9]Rev_NP-12me'!I94</f>
        <v>5.2009999999999996</v>
      </c>
      <c r="F84" s="492">
        <f>'[9]Rev_NP-12me'!K94</f>
        <v>16.73124231241151</v>
      </c>
      <c r="G84" s="375">
        <f>'[9]Rev_NP-12me'!S94</f>
        <v>0</v>
      </c>
      <c r="H84" s="406">
        <f>'[9]Rev_NP-12me'!T94</f>
        <v>0</v>
      </c>
      <c r="I84" s="374">
        <f>'[9]Rev_NP-12me'!AC94</f>
        <v>0</v>
      </c>
      <c r="J84" s="377">
        <f>'[9]Rev_NP-12me'!$CZ$94</f>
        <v>2.4236660000000003</v>
      </c>
      <c r="K84" s="377">
        <f>'[9]Rev_NP-12me'!$DA$94</f>
        <v>12.768488871233433</v>
      </c>
      <c r="L84" s="377">
        <f>'[9]Rev_NP-12me'!$DC$94</f>
        <v>3.8399999999999997E-2</v>
      </c>
      <c r="M84" s="376">
        <f t="shared" si="2"/>
        <v>15.230554871233434</v>
      </c>
      <c r="O84" s="388"/>
      <c r="P84" s="389"/>
    </row>
    <row r="85" spans="2:16" ht="13.2" customHeight="1" x14ac:dyDescent="0.25">
      <c r="B85" s="390" t="s">
        <v>1128</v>
      </c>
      <c r="C85" s="17"/>
      <c r="D85" s="493">
        <f>'[9]Rev_NP-12me'!H95</f>
        <v>17</v>
      </c>
      <c r="E85" s="493">
        <f>'[9]Rev_NP-12me'!I95</f>
        <v>5.2009999999999996</v>
      </c>
      <c r="F85" s="493">
        <f>'[9]Rev_NP-12me'!K95</f>
        <v>5.9539932079829416</v>
      </c>
      <c r="G85" s="375">
        <f>'[9]Rev_NP-12me'!S95</f>
        <v>500</v>
      </c>
      <c r="H85" s="406">
        <f>'[9]Rev_NP-12me'!T95</f>
        <v>7.65</v>
      </c>
      <c r="I85" s="375">
        <f>'[9]Rev_NP-12me'!AC95</f>
        <v>2000</v>
      </c>
      <c r="J85" s="378">
        <f>'[9]Rev_NP-12me'!$CZ$95</f>
        <v>2.4236660000000003</v>
      </c>
      <c r="K85" s="378">
        <f>'[9]Rev_NP-12me'!$DA$95</f>
        <v>4.5548048041069507</v>
      </c>
      <c r="L85" s="378">
        <f>'[9]Rev_NP-12me'!$DC$95</f>
        <v>3.8399999999999997E-2</v>
      </c>
      <c r="M85" s="374">
        <f t="shared" si="2"/>
        <v>7.0168708041069516</v>
      </c>
      <c r="O85" s="388"/>
      <c r="P85" s="389"/>
    </row>
    <row r="86" spans="2:16" ht="14.4" x14ac:dyDescent="0.25">
      <c r="B86" s="390" t="s">
        <v>1129</v>
      </c>
      <c r="C86" s="17"/>
      <c r="D86" s="493">
        <f>'[9]Rev_NP-12me'!H96</f>
        <v>0</v>
      </c>
      <c r="E86" s="493">
        <f>'[9]Rev_NP-12me'!I96</f>
        <v>0</v>
      </c>
      <c r="F86" s="493">
        <f>'[9]Rev_NP-12me'!K96</f>
        <v>3.0933937970004868</v>
      </c>
      <c r="G86" s="375">
        <f>'[9]Rev_NP-12me'!S96</f>
        <v>0</v>
      </c>
      <c r="H86" s="406">
        <f>'[9]Rev_NP-12me'!T96</f>
        <v>8.65</v>
      </c>
      <c r="I86" s="375">
        <f>'[9]Rev_NP-12me'!AC96</f>
        <v>2000</v>
      </c>
      <c r="J86" s="378">
        <f>'[9]Rev_NP-12me'!$CZ$96</f>
        <v>0</v>
      </c>
      <c r="K86" s="378">
        <f>'[9]Rev_NP-12me'!$DA$96</f>
        <v>2.6757856344054209</v>
      </c>
      <c r="L86" s="378">
        <f>'[9]Rev_NP-12me'!$DC$96</f>
        <v>0</v>
      </c>
      <c r="M86" s="374">
        <f t="shared" si="2"/>
        <v>2.6757856344054209</v>
      </c>
      <c r="O86" s="388"/>
    </row>
    <row r="87" spans="2:16" ht="14.4" x14ac:dyDescent="0.25">
      <c r="B87" s="390" t="s">
        <v>1130</v>
      </c>
      <c r="C87" s="17"/>
      <c r="D87" s="493">
        <f>'[9]Rev_NP-12me'!H97</f>
        <v>0</v>
      </c>
      <c r="E87" s="493">
        <f>'[9]Rev_NP-12me'!I97</f>
        <v>0</v>
      </c>
      <c r="F87" s="493">
        <f>'[9]Rev_NP-12me'!K97</f>
        <v>2.6619772154063002</v>
      </c>
      <c r="G87" s="375">
        <f>'[9]Rev_NP-12me'!S97</f>
        <v>0</v>
      </c>
      <c r="H87" s="406">
        <f>'[9]Rev_NP-12me'!T97</f>
        <v>8.65</v>
      </c>
      <c r="I87" s="375">
        <f>'[9]Rev_NP-12me'!AC97</f>
        <v>2000</v>
      </c>
      <c r="J87" s="378">
        <f>'[9]Rev_NP-12me'!$CZ$97</f>
        <v>0</v>
      </c>
      <c r="K87" s="378">
        <f>'[9]Rev_NP-12me'!$DA$97</f>
        <v>2.3026102913264497</v>
      </c>
      <c r="L87" s="378">
        <f>'[9]Rev_NP-12me'!$DC$97</f>
        <v>0</v>
      </c>
      <c r="M87" s="374">
        <f t="shared" si="2"/>
        <v>2.3026102913264497</v>
      </c>
      <c r="O87" s="388"/>
      <c r="P87" s="389"/>
    </row>
    <row r="88" spans="2:16" ht="17.399999999999999" customHeight="1" x14ac:dyDescent="0.25">
      <c r="B88" s="390" t="s">
        <v>1131</v>
      </c>
      <c r="C88" s="17"/>
      <c r="D88" s="493">
        <f>'[9]Rev_NP-12me'!H98</f>
        <v>0</v>
      </c>
      <c r="E88" s="493">
        <f>'[9]Rev_NP-12me'!I98</f>
        <v>0</v>
      </c>
      <c r="F88" s="493">
        <f>'[9]Rev_NP-12me'!K98</f>
        <v>5.0218780920217814</v>
      </c>
      <c r="G88" s="375">
        <f>'[9]Rev_NP-12me'!S98</f>
        <v>0</v>
      </c>
      <c r="H88" s="406">
        <f>'[9]Rev_NP-12me'!T98</f>
        <v>6.15</v>
      </c>
      <c r="I88" s="375">
        <f>'[9]Rev_NP-12me'!AC98</f>
        <v>2000</v>
      </c>
      <c r="J88" s="378">
        <f>'[9]Rev_NP-12me'!$CZ$98</f>
        <v>0</v>
      </c>
      <c r="K88" s="378">
        <f>'[9]Rev_NP-12me'!$DA$98</f>
        <v>3.2352881413946113</v>
      </c>
      <c r="L88" s="378">
        <f>'[9]Rev_NP-12me'!$DC$98</f>
        <v>0</v>
      </c>
      <c r="M88" s="374">
        <f t="shared" si="2"/>
        <v>3.2352881413946113</v>
      </c>
      <c r="O88" s="388"/>
      <c r="P88" s="389"/>
    </row>
    <row r="89" spans="2:16" ht="14.4" x14ac:dyDescent="0.25">
      <c r="B89" s="383" t="s">
        <v>1132</v>
      </c>
      <c r="C89" s="17"/>
      <c r="D89" s="491">
        <f>'[9]Rev_NP-12me'!H99</f>
        <v>0</v>
      </c>
      <c r="E89" s="491">
        <f>'[9]Rev_NP-12me'!I99</f>
        <v>0</v>
      </c>
      <c r="F89" s="491">
        <f>'[9]Rev_NP-12me'!K99</f>
        <v>0</v>
      </c>
      <c r="G89" s="375">
        <f>'[9]Rev_NP-12me'!S99</f>
        <v>500</v>
      </c>
      <c r="H89" s="406">
        <f>'[9]Rev_NP-12me'!T99</f>
        <v>7.65</v>
      </c>
      <c r="I89" s="376">
        <f>'[9]Rev_NP-12me'!AC99</f>
        <v>2000</v>
      </c>
      <c r="J89" s="373">
        <f>'[9]Rev_NP-12me'!$CZ$99</f>
        <v>0</v>
      </c>
      <c r="K89" s="373">
        <f>'[9]Rev_NP-12me'!$DA$99</f>
        <v>0</v>
      </c>
      <c r="L89" s="373">
        <f>'[9]Rev_NP-12me'!$DC$99</f>
        <v>0</v>
      </c>
      <c r="M89" s="376">
        <f t="shared" si="2"/>
        <v>0</v>
      </c>
    </row>
    <row r="90" spans="2:16" ht="14.4" x14ac:dyDescent="0.25">
      <c r="B90" s="383" t="s">
        <v>1133</v>
      </c>
      <c r="C90" s="17"/>
      <c r="D90" s="491">
        <f>'[9]Rev_NP-12me'!H100</f>
        <v>819</v>
      </c>
      <c r="E90" s="491">
        <f>'[9]Rev_NP-12me'!I100</f>
        <v>135.57402999999999</v>
      </c>
      <c r="F90" s="491">
        <f>'[9]Rev_NP-12me'!K100</f>
        <v>228.52878712903717</v>
      </c>
      <c r="G90" s="375">
        <f>'[9]Rev_NP-12me'!S100</f>
        <v>0</v>
      </c>
      <c r="H90" s="406">
        <f>'[9]Rev_NP-12me'!T100</f>
        <v>0</v>
      </c>
      <c r="I90" s="376">
        <f>'[9]Rev_NP-12me'!AC100</f>
        <v>0</v>
      </c>
      <c r="J90" s="373">
        <f>'[9]Rev_NP-12me'!$CZ$100</f>
        <v>63.177497979999998</v>
      </c>
      <c r="K90" s="373">
        <f>'[9]Rev_NP-12me'!$DA$100</f>
        <v>203.06762217487531</v>
      </c>
      <c r="L90" s="373">
        <f>'[9]Rev_NP-12me'!$DC$100</f>
        <v>1.89</v>
      </c>
      <c r="M90" s="376">
        <f t="shared" si="2"/>
        <v>268.13512015487527</v>
      </c>
    </row>
    <row r="91" spans="2:16" ht="14.4" x14ac:dyDescent="0.25">
      <c r="B91" s="385" t="s">
        <v>1134</v>
      </c>
      <c r="C91" s="17"/>
      <c r="D91" s="493">
        <f>'[9]Rev_NP-12me'!H101</f>
        <v>819</v>
      </c>
      <c r="E91" s="493">
        <f>'[9]Rev_NP-12me'!I101</f>
        <v>135.57402999999999</v>
      </c>
      <c r="F91" s="493">
        <f>'[9]Rev_NP-12me'!K101</f>
        <v>101.37231547501712</v>
      </c>
      <c r="G91" s="375">
        <f>'[9]Rev_NP-12me'!S101</f>
        <v>500</v>
      </c>
      <c r="H91" s="406">
        <f>'[9]Rev_NP-12me'!T101</f>
        <v>8.8000000000000007</v>
      </c>
      <c r="I91" s="375">
        <f>'[9]Rev_NP-12me'!AC101</f>
        <v>2000</v>
      </c>
      <c r="J91" s="378">
        <f>'[9]Rev_NP-12me'!CZ101</f>
        <v>63.177497979999998</v>
      </c>
      <c r="K91" s="378">
        <f>'[9]Rev_NP-12me'!DA101</f>
        <v>89.207637618015042</v>
      </c>
      <c r="L91" s="378">
        <f>'[9]Rev_NP-12me'!DC101</f>
        <v>1.89</v>
      </c>
      <c r="M91" s="374">
        <f t="shared" si="2"/>
        <v>154.27513559801503</v>
      </c>
    </row>
    <row r="92" spans="2:16" ht="14.4" x14ac:dyDescent="0.25">
      <c r="B92" s="385" t="s">
        <v>1100</v>
      </c>
      <c r="C92" s="17"/>
      <c r="D92" s="493">
        <f>'[9]Rev_NP-12me'!H102</f>
        <v>0</v>
      </c>
      <c r="E92" s="493">
        <f>'[9]Rev_NP-12me'!I102</f>
        <v>0</v>
      </c>
      <c r="F92" s="493">
        <f>'[9]Rev_NP-12me'!K102</f>
        <v>51.398390074841288</v>
      </c>
      <c r="G92" s="375">
        <f>'[9]Rev_NP-12me'!S102</f>
        <v>0</v>
      </c>
      <c r="H92" s="406">
        <f>'[9]Rev_NP-12me'!T102</f>
        <v>9.8000000000000007</v>
      </c>
      <c r="I92" s="375">
        <f>'[9]Rev_NP-12me'!AC102</f>
        <v>2000</v>
      </c>
      <c r="J92" s="378">
        <f>'[9]Rev_NP-12me'!CZ102</f>
        <v>0</v>
      </c>
      <c r="K92" s="378">
        <f>'[9]Rev_NP-12me'!DA102</f>
        <v>50.370422273344474</v>
      </c>
      <c r="L92" s="378">
        <f>'[9]Rev_NP-12me'!DC102</f>
        <v>0</v>
      </c>
      <c r="M92" s="374">
        <f t="shared" si="2"/>
        <v>50.370422273344474</v>
      </c>
    </row>
    <row r="93" spans="2:16" ht="14.4" x14ac:dyDescent="0.25">
      <c r="B93" s="385" t="s">
        <v>1101</v>
      </c>
      <c r="C93" s="17"/>
      <c r="D93" s="493">
        <f>'[9]Rev_NP-12me'!H103</f>
        <v>0</v>
      </c>
      <c r="E93" s="493">
        <f>'[9]Rev_NP-12me'!I103</f>
        <v>0</v>
      </c>
      <c r="F93" s="493">
        <f>'[9]Rev_NP-12me'!K103</f>
        <v>26.596826622005175</v>
      </c>
      <c r="G93" s="375">
        <f>'[9]Rev_NP-12me'!S103</f>
        <v>0</v>
      </c>
      <c r="H93" s="406">
        <f>'[9]Rev_NP-12me'!T103</f>
        <v>9.8000000000000007</v>
      </c>
      <c r="I93" s="375">
        <f>'[9]Rev_NP-12me'!AC103</f>
        <v>2000</v>
      </c>
      <c r="J93" s="378">
        <f>'[9]Rev_NP-12me'!CZ103</f>
        <v>0</v>
      </c>
      <c r="K93" s="378">
        <f>'[9]Rev_NP-12me'!DA103</f>
        <v>26.064890089565072</v>
      </c>
      <c r="L93" s="378">
        <f>'[9]Rev_NP-12me'!DC103</f>
        <v>0</v>
      </c>
      <c r="M93" s="374">
        <f t="shared" si="2"/>
        <v>26.064890089565072</v>
      </c>
    </row>
    <row r="94" spans="2:16" ht="14.4" x14ac:dyDescent="0.25">
      <c r="B94" s="385" t="s">
        <v>1102</v>
      </c>
      <c r="C94" s="17"/>
      <c r="D94" s="493">
        <f>'[9]Rev_NP-12me'!H104</f>
        <v>0</v>
      </c>
      <c r="E94" s="493">
        <f>'[9]Rev_NP-12me'!I104</f>
        <v>0</v>
      </c>
      <c r="F94" s="493">
        <f>'[9]Rev_NP-12me'!K104</f>
        <v>49.16125495717359</v>
      </c>
      <c r="G94" s="375">
        <f>'[9]Rev_NP-12me'!S104</f>
        <v>0</v>
      </c>
      <c r="H94" s="406">
        <f>'[9]Rev_NP-12me'!T104</f>
        <v>7.3000000000000007</v>
      </c>
      <c r="I94" s="375">
        <f>'[9]Rev_NP-12me'!AC104</f>
        <v>2000</v>
      </c>
      <c r="J94" s="378">
        <f>'[9]Rev_NP-12me'!CZ104</f>
        <v>0</v>
      </c>
      <c r="K94" s="378">
        <f>'[9]Rev_NP-12me'!DA104</f>
        <v>37.424672193950727</v>
      </c>
      <c r="L94" s="378">
        <f>'[9]Rev_NP-12me'!DC104</f>
        <v>0</v>
      </c>
      <c r="M94" s="374">
        <f t="shared" si="2"/>
        <v>37.424672193950727</v>
      </c>
    </row>
    <row r="95" spans="2:16" ht="14.4" x14ac:dyDescent="0.25">
      <c r="B95" s="383" t="s">
        <v>1135</v>
      </c>
      <c r="C95" s="17"/>
      <c r="D95" s="491">
        <f>'[9]Rev_NP-12me'!H105</f>
        <v>2</v>
      </c>
      <c r="E95" s="491">
        <f>'[9]Rev_NP-12me'!I105</f>
        <v>0.23200000000000001</v>
      </c>
      <c r="F95" s="491">
        <f>'[9]Rev_NP-12me'!K105</f>
        <v>0.3310266</v>
      </c>
      <c r="G95" s="375">
        <f>'[9]Rev_NP-12me'!S105</f>
        <v>0</v>
      </c>
      <c r="H95" s="406">
        <f>'[9]Rev_NP-12me'!T105</f>
        <v>0</v>
      </c>
      <c r="I95" s="376">
        <f>'[9]Rev_NP-12me'!AC105</f>
        <v>2000</v>
      </c>
      <c r="J95" s="373">
        <f>'[9]Rev_NP-12me'!$CZ$105</f>
        <v>6.0227200000000009E-2</v>
      </c>
      <c r="K95" s="373">
        <f>'[9]Rev_NP-12me'!$DA$105</f>
        <v>0.16179054900000001</v>
      </c>
      <c r="L95" s="373">
        <f>'[9]Rev_NP-12me'!$DC$105</f>
        <v>4.7999999999999996E-3</v>
      </c>
      <c r="M95" s="376">
        <f t="shared" si="2"/>
        <v>0.22681774900000001</v>
      </c>
    </row>
    <row r="96" spans="2:16" ht="14.4" x14ac:dyDescent="0.25">
      <c r="B96" s="385" t="s">
        <v>1134</v>
      </c>
      <c r="C96" s="17"/>
      <c r="D96" s="493">
        <f>'[9]Rev_NP-12me'!H106</f>
        <v>2</v>
      </c>
      <c r="E96" s="493">
        <f>'[9]Rev_NP-12me'!I106</f>
        <v>0.23200000000000001</v>
      </c>
      <c r="F96" s="493">
        <f>'[9]Rev_NP-12me'!K106</f>
        <v>7.8320360000000019E-2</v>
      </c>
      <c r="G96" s="375">
        <f>'[9]Rev_NP-12me'!S106</f>
        <v>285</v>
      </c>
      <c r="H96" s="406">
        <f>'[9]Rev_NP-12me'!T106</f>
        <v>5</v>
      </c>
      <c r="I96" s="375">
        <f>'[9]Rev_NP-12me'!AC106</f>
        <v>2000</v>
      </c>
      <c r="J96" s="378">
        <f>'[9]Rev_NP-12me'!CZ106</f>
        <v>6.0227200000000009E-2</v>
      </c>
      <c r="K96" s="378">
        <f>'[9]Rev_NP-12me'!DA106</f>
        <v>3.9160180000000003E-2</v>
      </c>
      <c r="L96" s="378">
        <f>'[9]Rev_NP-12me'!DC106</f>
        <v>4.7999999999999996E-3</v>
      </c>
      <c r="M96" s="374">
        <f t="shared" si="2"/>
        <v>0.10418738000000001</v>
      </c>
    </row>
    <row r="97" spans="2:13" ht="14.4" x14ac:dyDescent="0.25">
      <c r="B97" s="385" t="s">
        <v>1100</v>
      </c>
      <c r="C97" s="17"/>
      <c r="D97" s="493">
        <f>'[9]Rev_NP-12me'!H107</f>
        <v>0</v>
      </c>
      <c r="E97" s="493">
        <f>'[9]Rev_NP-12me'!I107</f>
        <v>0</v>
      </c>
      <c r="F97" s="493">
        <f>'[9]Rev_NP-12me'!K107</f>
        <v>8.161388E-2</v>
      </c>
      <c r="G97" s="375">
        <f>'[9]Rev_NP-12me'!S107</f>
        <v>0</v>
      </c>
      <c r="H97" s="406">
        <f>'[9]Rev_NP-12me'!T107</f>
        <v>6</v>
      </c>
      <c r="I97" s="375">
        <f>'[9]Rev_NP-12me'!AC107</f>
        <v>2000</v>
      </c>
      <c r="J97" s="378">
        <f>'[9]Rev_NP-12me'!CZ107</f>
        <v>0</v>
      </c>
      <c r="K97" s="378">
        <f>'[9]Rev_NP-12me'!DA107</f>
        <v>4.8968328000000005E-2</v>
      </c>
      <c r="L97" s="378">
        <f>'[9]Rev_NP-12me'!DC107</f>
        <v>0</v>
      </c>
      <c r="M97" s="374">
        <f t="shared" si="2"/>
        <v>4.8968328000000005E-2</v>
      </c>
    </row>
    <row r="98" spans="2:13" ht="14.4" x14ac:dyDescent="0.25">
      <c r="B98" s="385" t="s">
        <v>1101</v>
      </c>
      <c r="C98" s="17"/>
      <c r="D98" s="493">
        <f>'[9]Rev_NP-12me'!H108</f>
        <v>0</v>
      </c>
      <c r="E98" s="493">
        <f>'[9]Rev_NP-12me'!I108</f>
        <v>0</v>
      </c>
      <c r="F98" s="493">
        <f>'[9]Rev_NP-12me'!K108</f>
        <v>3.7976100000000006E-2</v>
      </c>
      <c r="G98" s="375">
        <f>'[9]Rev_NP-12me'!S108</f>
        <v>0</v>
      </c>
      <c r="H98" s="406">
        <f>'[9]Rev_NP-12me'!T108</f>
        <v>6</v>
      </c>
      <c r="I98" s="375">
        <f>'[9]Rev_NP-12me'!AC108</f>
        <v>2000</v>
      </c>
      <c r="J98" s="378">
        <f>'[9]Rev_NP-12me'!CZ108</f>
        <v>0</v>
      </c>
      <c r="K98" s="378">
        <f>'[9]Rev_NP-12me'!DA108</f>
        <v>2.2785660000000003E-2</v>
      </c>
      <c r="L98" s="378">
        <f>'[9]Rev_NP-12me'!DC108</f>
        <v>0</v>
      </c>
      <c r="M98" s="374">
        <f t="shared" si="2"/>
        <v>2.2785660000000003E-2</v>
      </c>
    </row>
    <row r="99" spans="2:13" ht="14.4" x14ac:dyDescent="0.25">
      <c r="B99" s="385" t="s">
        <v>1102</v>
      </c>
      <c r="C99" s="17"/>
      <c r="D99" s="493">
        <f>'[9]Rev_NP-12me'!H109</f>
        <v>0</v>
      </c>
      <c r="E99" s="493">
        <f>'[9]Rev_NP-12me'!I109</f>
        <v>0</v>
      </c>
      <c r="F99" s="493">
        <f>'[9]Rev_NP-12me'!K109</f>
        <v>0.13311625999999999</v>
      </c>
      <c r="G99" s="375">
        <f>'[9]Rev_NP-12me'!S109</f>
        <v>0</v>
      </c>
      <c r="H99" s="406">
        <f>'[9]Rev_NP-12me'!T109</f>
        <v>3.5</v>
      </c>
      <c r="I99" s="375">
        <f>'[9]Rev_NP-12me'!AC109</f>
        <v>2000</v>
      </c>
      <c r="J99" s="378">
        <f>'[9]Rev_NP-12me'!CZ109</f>
        <v>0</v>
      </c>
      <c r="K99" s="378">
        <f>'[9]Rev_NP-12me'!DA109</f>
        <v>5.0876380999999998E-2</v>
      </c>
      <c r="L99" s="378">
        <f>'[9]Rev_NP-12me'!DC109</f>
        <v>0</v>
      </c>
      <c r="M99" s="374">
        <f t="shared" si="2"/>
        <v>5.0876380999999998E-2</v>
      </c>
    </row>
    <row r="100" spans="2:13" ht="14.4" x14ac:dyDescent="0.25">
      <c r="B100" s="383" t="s">
        <v>1079</v>
      </c>
      <c r="C100" s="17"/>
      <c r="D100" s="491">
        <f>'[9]Rev_NP-12me'!H110</f>
        <v>21</v>
      </c>
      <c r="E100" s="491">
        <f>'[9]Rev_NP-12me'!I110</f>
        <v>2.7829999999999999</v>
      </c>
      <c r="F100" s="491">
        <f>'[9]Rev_NP-12me'!K110</f>
        <v>8.427113748004512</v>
      </c>
      <c r="G100" s="375">
        <f>'[9]Rev_NP-12me'!S110</f>
        <v>0</v>
      </c>
      <c r="H100" s="406">
        <f>'[9]Rev_NP-12me'!T110</f>
        <v>0</v>
      </c>
      <c r="I100" s="376">
        <f>'[9]Rev_NP-12me'!AC110</f>
        <v>0</v>
      </c>
      <c r="J100" s="373">
        <f>'[9]Rev_NP-12me'!$CZ$110</f>
        <v>1.2968780000000002</v>
      </c>
      <c r="K100" s="373">
        <f>'[9]Rev_NP-12me'!$DA$110</f>
        <v>7.103579391402377</v>
      </c>
      <c r="L100" s="373">
        <f>'[9]Rev_NP-12me'!$DC$110</f>
        <v>5.04E-2</v>
      </c>
      <c r="M100" s="376">
        <f t="shared" si="2"/>
        <v>8.4508573914023764</v>
      </c>
    </row>
    <row r="101" spans="2:13" ht="14.4" x14ac:dyDescent="0.25">
      <c r="B101" s="385" t="s">
        <v>1134</v>
      </c>
      <c r="C101" s="17"/>
      <c r="D101" s="493">
        <f>'[9]Rev_NP-12me'!H111</f>
        <v>21</v>
      </c>
      <c r="E101" s="493">
        <f>'[9]Rev_NP-12me'!I111</f>
        <v>2.7829999999999999</v>
      </c>
      <c r="F101" s="493">
        <f>'[9]Rev_NP-12me'!K111</f>
        <v>2.2593255898572573</v>
      </c>
      <c r="G101" s="375">
        <f>'[9]Rev_NP-12me'!S111</f>
        <v>500</v>
      </c>
      <c r="H101" s="406">
        <f>'[9]Rev_NP-12me'!T111</f>
        <v>8.5</v>
      </c>
      <c r="I101" s="375">
        <f>'[9]Rev_NP-12me'!AC111</f>
        <v>2000</v>
      </c>
      <c r="J101" s="378">
        <f>'[9]Rev_NP-12me'!CZ111</f>
        <v>1.2968780000000002</v>
      </c>
      <c r="K101" s="378">
        <f>'[9]Rev_NP-12me'!DA111</f>
        <v>1.920426751378669</v>
      </c>
      <c r="L101" s="378">
        <f>'[9]Rev_NP-12me'!DC111</f>
        <v>5.04E-2</v>
      </c>
      <c r="M101" s="374">
        <f t="shared" si="2"/>
        <v>3.2677047513786688</v>
      </c>
    </row>
    <row r="102" spans="2:13" ht="14.4" x14ac:dyDescent="0.25">
      <c r="B102" s="385" t="s">
        <v>1100</v>
      </c>
      <c r="C102" s="17"/>
      <c r="D102" s="493">
        <f>'[9]Rev_NP-12me'!H112</f>
        <v>0</v>
      </c>
      <c r="E102" s="493">
        <f>'[9]Rev_NP-12me'!I112</f>
        <v>0</v>
      </c>
      <c r="F102" s="493">
        <f>'[9]Rev_NP-12me'!K112</f>
        <v>1.8081724714929406</v>
      </c>
      <c r="G102" s="375">
        <f>'[9]Rev_NP-12me'!S112</f>
        <v>0</v>
      </c>
      <c r="H102" s="406">
        <f>'[9]Rev_NP-12me'!T112</f>
        <v>9.5</v>
      </c>
      <c r="I102" s="375">
        <f>'[9]Rev_NP-12me'!AC112</f>
        <v>2000</v>
      </c>
      <c r="J102" s="378">
        <f>'[9]Rev_NP-12me'!CZ112</f>
        <v>0</v>
      </c>
      <c r="K102" s="378">
        <f>'[9]Rev_NP-12me'!DA112</f>
        <v>1.7177638479182935</v>
      </c>
      <c r="L102" s="378">
        <f>'[9]Rev_NP-12me'!DC112</f>
        <v>0</v>
      </c>
      <c r="M102" s="374">
        <f t="shared" si="2"/>
        <v>1.7177638479182935</v>
      </c>
    </row>
    <row r="103" spans="2:13" ht="14.4" x14ac:dyDescent="0.25">
      <c r="B103" s="385" t="s">
        <v>1101</v>
      </c>
      <c r="C103" s="17"/>
      <c r="D103" s="493">
        <f>'[9]Rev_NP-12me'!H113</f>
        <v>0</v>
      </c>
      <c r="E103" s="493">
        <f>'[9]Rev_NP-12me'!I113</f>
        <v>0</v>
      </c>
      <c r="F103" s="493">
        <f>'[9]Rev_NP-12me'!K113</f>
        <v>1.2612283806124283</v>
      </c>
      <c r="G103" s="375">
        <f>'[9]Rev_NP-12me'!S113</f>
        <v>0</v>
      </c>
      <c r="H103" s="406">
        <f>'[9]Rev_NP-12me'!T113</f>
        <v>9.5</v>
      </c>
      <c r="I103" s="375">
        <f>'[9]Rev_NP-12me'!AC113</f>
        <v>2000</v>
      </c>
      <c r="J103" s="378">
        <f>'[9]Rev_NP-12me'!CZ113</f>
        <v>0</v>
      </c>
      <c r="K103" s="378">
        <f>'[9]Rev_NP-12me'!DA113</f>
        <v>1.1981669615818067</v>
      </c>
      <c r="L103" s="378">
        <f>'[9]Rev_NP-12me'!DC113</f>
        <v>0</v>
      </c>
      <c r="M103" s="374">
        <f t="shared" si="2"/>
        <v>1.1981669615818067</v>
      </c>
    </row>
    <row r="104" spans="2:13" ht="14.4" x14ac:dyDescent="0.25">
      <c r="B104" s="385" t="s">
        <v>1102</v>
      </c>
      <c r="C104" s="17"/>
      <c r="D104" s="493">
        <f>'[9]Rev_NP-12me'!H114</f>
        <v>0</v>
      </c>
      <c r="E104" s="493">
        <f>'[9]Rev_NP-12me'!I114</f>
        <v>0</v>
      </c>
      <c r="F104" s="493">
        <f>'[9]Rev_NP-12me'!K114</f>
        <v>3.0983873060418858</v>
      </c>
      <c r="G104" s="375">
        <f>'[9]Rev_NP-12me'!S114</f>
        <v>0</v>
      </c>
      <c r="H104" s="406">
        <f>'[9]Rev_NP-12me'!T114</f>
        <v>7</v>
      </c>
      <c r="I104" s="375">
        <f>'[9]Rev_NP-12me'!AC114</f>
        <v>2000</v>
      </c>
      <c r="J104" s="378">
        <f>'[9]Rev_NP-12me'!CZ114</f>
        <v>0</v>
      </c>
      <c r="K104" s="378">
        <f>'[9]Rev_NP-12me'!DA114</f>
        <v>2.2672218305236087</v>
      </c>
      <c r="L104" s="378">
        <f>'[9]Rev_NP-12me'!DC114</f>
        <v>0</v>
      </c>
      <c r="M104" s="374">
        <f t="shared" si="2"/>
        <v>2.2672218305236087</v>
      </c>
    </row>
    <row r="105" spans="2:13" ht="14.4" x14ac:dyDescent="0.25">
      <c r="B105" s="383" t="s">
        <v>1136</v>
      </c>
      <c r="C105" s="17"/>
      <c r="D105" s="491">
        <f>'[9]Rev_NP-12me'!H115</f>
        <v>201</v>
      </c>
      <c r="E105" s="491">
        <f>'[9]Rev_NP-12me'!I115</f>
        <v>66.646100000000004</v>
      </c>
      <c r="F105" s="491">
        <f>'[9]Rev_NP-12me'!K115</f>
        <v>24.5627101</v>
      </c>
      <c r="G105" s="375">
        <f>'[9]Rev_NP-12me'!S115</f>
        <v>0</v>
      </c>
      <c r="H105" s="406">
        <f>'[9]Rev_NP-12me'!T115</f>
        <v>0</v>
      </c>
      <c r="I105" s="376">
        <f>'[9]Rev_NP-12me'!AC115</f>
        <v>0</v>
      </c>
      <c r="J105" s="373">
        <f>'[9]Rev_NP-12me'!$CZ$115</f>
        <v>10.937596932291667</v>
      </c>
      <c r="K105" s="373">
        <f>'[9]Rev_NP-12me'!$DA$115</f>
        <v>15.474507363000001</v>
      </c>
      <c r="L105" s="373">
        <f>'[9]Rev_NP-12me'!$DC$115</f>
        <v>0.4824</v>
      </c>
      <c r="M105" s="376">
        <f t="shared" si="2"/>
        <v>26.894504295291668</v>
      </c>
    </row>
    <row r="106" spans="2:13" ht="14.4" x14ac:dyDescent="0.25">
      <c r="B106" s="385" t="s">
        <v>1137</v>
      </c>
      <c r="C106" s="17"/>
      <c r="D106" s="493">
        <f>'[9]Rev_NP-12me'!H116</f>
        <v>201</v>
      </c>
      <c r="E106" s="493">
        <f>'[9]Rev_NP-12me'!I116</f>
        <v>66.646100000000004</v>
      </c>
      <c r="F106" s="493">
        <f>'[9]Rev_NP-12me'!K116</f>
        <v>24.5627101</v>
      </c>
      <c r="G106" s="375">
        <f>'[9]Rev_NP-12me'!S116</f>
        <v>300</v>
      </c>
      <c r="H106" s="406">
        <f>'[9]Rev_NP-12me'!T116</f>
        <v>6.3</v>
      </c>
      <c r="I106" s="375">
        <f>'[9]Rev_NP-12me'!AC116</f>
        <v>2000</v>
      </c>
      <c r="J106" s="378">
        <f>'[9]Rev_NP-12me'!$CZ$116</f>
        <v>10.937596932291667</v>
      </c>
      <c r="K106" s="378">
        <f>'[9]Rev_NP-12me'!$DA$116</f>
        <v>15.474507363000001</v>
      </c>
      <c r="L106" s="378">
        <f>'[9]Rev_NP-12me'!$DC$116</f>
        <v>0.4824</v>
      </c>
      <c r="M106" s="374">
        <f t="shared" si="2"/>
        <v>26.894504295291668</v>
      </c>
    </row>
    <row r="107" spans="2:13" x14ac:dyDescent="0.25">
      <c r="B107" s="383" t="s">
        <v>1138</v>
      </c>
      <c r="C107" s="17"/>
      <c r="D107" s="491">
        <f>'[9]Rev_NP-12me'!H127</f>
        <v>112</v>
      </c>
      <c r="E107" s="491">
        <f>'[9]Rev_NP-12me'!I127</f>
        <v>34.741</v>
      </c>
      <c r="F107" s="491">
        <f>'[9]Rev_NP-12me'!K127</f>
        <v>159.13727846161282</v>
      </c>
      <c r="G107" s="376">
        <f>'[9]Rev_NP-12me'!S127</f>
        <v>0</v>
      </c>
      <c r="H107" s="407">
        <f>'[9]Rev_NP-12me'!T127</f>
        <v>0</v>
      </c>
      <c r="I107" s="376">
        <f>'[9]Rev_NP-12me'!AC127</f>
        <v>0</v>
      </c>
      <c r="J107" s="373">
        <f>'[9]Rev_NP-12me'!$CZ$127</f>
        <v>0</v>
      </c>
      <c r="K107" s="373">
        <f>'[9]Rev_NP-12me'!$DA$127</f>
        <v>97.073739861583832</v>
      </c>
      <c r="L107" s="373">
        <f>'[9]Rev_NP-12me'!$DC$127</f>
        <v>0.2676</v>
      </c>
      <c r="M107" s="376">
        <f t="shared" si="2"/>
        <v>97.341339861583833</v>
      </c>
    </row>
    <row r="108" spans="2:13" ht="14.4" x14ac:dyDescent="0.25">
      <c r="B108" s="385" t="s">
        <v>216</v>
      </c>
      <c r="C108" s="17"/>
      <c r="D108" s="493">
        <f>'[9]Rev_NP-12me'!H128</f>
        <v>112</v>
      </c>
      <c r="E108" s="493">
        <f>'[9]Rev_NP-12me'!I128</f>
        <v>34.741</v>
      </c>
      <c r="F108" s="493">
        <f>'[9]Rev_NP-12me'!K128</f>
        <v>159.13727846161282</v>
      </c>
      <c r="G108" s="374">
        <f>'[9]Rev_NP-12me'!S128</f>
        <v>0</v>
      </c>
      <c r="H108" s="403">
        <f>'[9]Rev_NP-12me'!T128</f>
        <v>6.1</v>
      </c>
      <c r="I108" s="374">
        <f>'[9]Rev_NP-12me'!AC128</f>
        <v>2000</v>
      </c>
      <c r="J108" s="378">
        <f>'[9]Rev_NP-12me'!$CZ$128</f>
        <v>0</v>
      </c>
      <c r="K108" s="378">
        <f>'[9]Rev_NP-12me'!$DA$128</f>
        <v>97.073739861583832</v>
      </c>
      <c r="L108" s="378">
        <f>'[9]Rev_NP-12me'!$DC$128</f>
        <v>0.2676</v>
      </c>
      <c r="M108" s="374">
        <f t="shared" si="2"/>
        <v>97.341339861583833</v>
      </c>
    </row>
    <row r="109" spans="2:13" ht="14.4" x14ac:dyDescent="0.25">
      <c r="B109" s="385" t="s">
        <v>1139</v>
      </c>
      <c r="C109" s="17"/>
      <c r="D109" s="493">
        <f>'[9]Rev_NP-12me'!H129</f>
        <v>0</v>
      </c>
      <c r="E109" s="493">
        <f>'[9]Rev_NP-12me'!I129</f>
        <v>0</v>
      </c>
      <c r="F109" s="493">
        <f>'[9]Rev_NP-12me'!K129</f>
        <v>0</v>
      </c>
      <c r="G109" s="374">
        <f>'[9]Rev_NP-12me'!S129</f>
        <v>0</v>
      </c>
      <c r="H109" s="403">
        <f>'[9]Rev_NP-12me'!T129</f>
        <v>0</v>
      </c>
      <c r="I109" s="374">
        <f>'[9]Rev_NP-12me'!AC129</f>
        <v>2000</v>
      </c>
      <c r="J109" s="378">
        <f>'[9]Rev_NP-12me'!CZ129</f>
        <v>0</v>
      </c>
      <c r="K109" s="378">
        <f>'[9]Rev_NP-12me'!DA129</f>
        <v>0</v>
      </c>
      <c r="L109" s="378">
        <f>'[9]Rev_NP-12me'!DC129</f>
        <v>0</v>
      </c>
      <c r="M109" s="374">
        <f t="shared" si="2"/>
        <v>0</v>
      </c>
    </row>
    <row r="110" spans="2:13" x14ac:dyDescent="0.25">
      <c r="B110" s="383" t="s">
        <v>1140</v>
      </c>
      <c r="C110" s="17"/>
      <c r="D110" s="491">
        <f>'[9]Rev_NP-12me'!H118</f>
        <v>0</v>
      </c>
      <c r="E110" s="491">
        <f>'[9]Rev_NP-12me'!I118</f>
        <v>0</v>
      </c>
      <c r="F110" s="491">
        <f>'[9]Rev_NP-12me'!K118</f>
        <v>0</v>
      </c>
      <c r="G110" s="376">
        <f>'[9]Rev_NP-12me'!S118</f>
        <v>500</v>
      </c>
      <c r="H110" s="407">
        <f>'[9]Rev_NP-12me'!T118</f>
        <v>5.05</v>
      </c>
      <c r="I110" s="376">
        <f>'[9]Rev_NP-12me'!AC118</f>
        <v>2000</v>
      </c>
      <c r="J110" s="373">
        <f>'[9]Rev_NP-12me'!$CZ$118</f>
        <v>0</v>
      </c>
      <c r="K110" s="373">
        <f>'[9]Rev_NP-12me'!$DA$118</f>
        <v>0</v>
      </c>
      <c r="L110" s="373">
        <f>'[9]Rev_NP-12me'!$DC$118</f>
        <v>0</v>
      </c>
      <c r="M110" s="376">
        <f t="shared" si="2"/>
        <v>0</v>
      </c>
    </row>
    <row r="111" spans="2:13" x14ac:dyDescent="0.25">
      <c r="B111" s="383" t="s">
        <v>1141</v>
      </c>
      <c r="C111" s="17"/>
      <c r="D111" s="491">
        <f>'[9]Rev_NP-12me'!H119</f>
        <v>0</v>
      </c>
      <c r="E111" s="491">
        <f>'[9]Rev_NP-12me'!I119</f>
        <v>0</v>
      </c>
      <c r="F111" s="491">
        <f>'[9]Rev_NP-12me'!K119</f>
        <v>0</v>
      </c>
      <c r="G111" s="376">
        <f>'[9]Rev_NP-12me'!S119</f>
        <v>500</v>
      </c>
      <c r="H111" s="407">
        <f>'[9]Rev_NP-12me'!T119</f>
        <v>4.95</v>
      </c>
      <c r="I111" s="376">
        <f>'[9]Rev_NP-12me'!AC119</f>
        <v>2000</v>
      </c>
      <c r="J111" s="373">
        <f>'[9]Rev_NP-12me'!$CZ$119</f>
        <v>0</v>
      </c>
      <c r="K111" s="373">
        <f>'[9]Rev_NP-12me'!$DA$119</f>
        <v>0</v>
      </c>
      <c r="L111" s="373">
        <f>'[9]Rev_NP-12me'!$DC$119</f>
        <v>0</v>
      </c>
      <c r="M111" s="376">
        <f t="shared" si="2"/>
        <v>0</v>
      </c>
    </row>
    <row r="112" spans="2:13" x14ac:dyDescent="0.25">
      <c r="B112" s="383" t="s">
        <v>811</v>
      </c>
      <c r="C112" s="17"/>
      <c r="D112" s="491">
        <f>'[9]Rev_NP-12me'!H117</f>
        <v>19</v>
      </c>
      <c r="E112" s="491">
        <f>'[9]Rev_NP-12me'!I117</f>
        <v>5.53</v>
      </c>
      <c r="F112" s="491">
        <f>'[9]Rev_NP-12me'!K117</f>
        <v>9.1093216263484411</v>
      </c>
      <c r="G112" s="376">
        <f>'[9]Rev_NP-12me'!S117</f>
        <v>285</v>
      </c>
      <c r="H112" s="407">
        <f>'[9]Rev_NP-12me'!T117</f>
        <v>7.3</v>
      </c>
      <c r="I112" s="376">
        <f>'[9]Rev_NP-12me'!AC117</f>
        <v>2000</v>
      </c>
      <c r="J112" s="373">
        <f>'[9]Rev_NP-12me'!$CZ$117</f>
        <v>1.4355880000000001</v>
      </c>
      <c r="K112" s="373">
        <f>'[9]Rev_NP-12me'!$DA$117</f>
        <v>6.6498047872343609</v>
      </c>
      <c r="L112" s="373">
        <f>'[9]Rev_NP-12me'!$DC$117</f>
        <v>4.5600000000000002E-2</v>
      </c>
      <c r="M112" s="376">
        <f t="shared" si="2"/>
        <v>8.1309927872343621</v>
      </c>
    </row>
    <row r="113" spans="2:13" x14ac:dyDescent="0.25">
      <c r="B113" s="383" t="s">
        <v>813</v>
      </c>
      <c r="C113" s="17"/>
      <c r="D113" s="491">
        <f>'[9]Rev_NP-12me'!H120</f>
        <v>41</v>
      </c>
      <c r="E113" s="491">
        <f>'[9]Rev_NP-12me'!I120</f>
        <v>9.6270000000000007</v>
      </c>
      <c r="F113" s="491">
        <f>'[9]Rev_NP-12me'!K120</f>
        <v>14.611284000000001</v>
      </c>
      <c r="G113" s="376">
        <f>'[9]Rev_NP-12me'!S120</f>
        <v>500</v>
      </c>
      <c r="H113" s="407">
        <f>'[9]Rev_NP-12me'!T120</f>
        <v>11.8</v>
      </c>
      <c r="I113" s="376">
        <f>'[9]Rev_NP-12me'!AC120</f>
        <v>2000</v>
      </c>
      <c r="J113" s="373">
        <f>'[9]Rev_NP-12me'!$CZ$120</f>
        <v>4.6209600000000002</v>
      </c>
      <c r="K113" s="373">
        <f>'[9]Rev_NP-12me'!$DA$120</f>
        <v>17.241315120000003</v>
      </c>
      <c r="L113" s="373">
        <f>'[9]Rev_NP-12me'!$DC$120</f>
        <v>0.1032</v>
      </c>
      <c r="M113" s="376">
        <f t="shared" si="2"/>
        <v>21.965475120000004</v>
      </c>
    </row>
    <row r="114" spans="2:13" x14ac:dyDescent="0.25">
      <c r="B114" s="383" t="s">
        <v>1142</v>
      </c>
      <c r="C114" s="17"/>
      <c r="D114" s="491">
        <f>'[9]Rev_NP-12me'!H121</f>
        <v>1</v>
      </c>
      <c r="E114" s="491">
        <f>'[9]Rev_NP-12me'!I121</f>
        <v>527.6</v>
      </c>
      <c r="F114" s="491">
        <f>'[9]Rev_NP-12me'!K121</f>
        <v>1164.8637975155186</v>
      </c>
      <c r="G114" s="376">
        <f>'[9]Rev_NP-12me'!S121</f>
        <v>0</v>
      </c>
      <c r="H114" s="407">
        <f>'[9]Rev_NP-12me'!T121</f>
        <v>4.7699999999999996</v>
      </c>
      <c r="I114" s="376">
        <f>'[9]Rev_NP-12me'!AC121</f>
        <v>2000</v>
      </c>
      <c r="J114" s="373">
        <f>'[9]Rev_NP-12me'!$CZ$121</f>
        <v>0</v>
      </c>
      <c r="K114" s="373">
        <f>'[9]Rev_NP-12me'!$DA$121</f>
        <v>559.69891699213565</v>
      </c>
      <c r="L114" s="373">
        <f>'[9]Rev_NP-12me'!$DC$121</f>
        <v>0</v>
      </c>
      <c r="M114" s="376">
        <f t="shared" si="2"/>
        <v>559.69891699213565</v>
      </c>
    </row>
    <row r="115" spans="2:13" x14ac:dyDescent="0.25">
      <c r="B115" s="383" t="s">
        <v>1143</v>
      </c>
      <c r="C115" s="17"/>
      <c r="D115" s="491">
        <f>'[9]Rev_NP-12me'!H122</f>
        <v>0</v>
      </c>
      <c r="E115" s="491">
        <f>'[9]Rev_NP-12me'!I122</f>
        <v>0</v>
      </c>
      <c r="F115" s="491">
        <f>'[9]Rev_NP-12me'!K122</f>
        <v>0</v>
      </c>
      <c r="G115" s="376"/>
      <c r="H115" s="407"/>
      <c r="I115" s="376">
        <f>'[9]Rev_NP-12me'!$AC$122</f>
        <v>2000</v>
      </c>
      <c r="J115" s="373">
        <f>'[9]Rev_NP-12me'!$CZ$122</f>
        <v>0</v>
      </c>
      <c r="K115" s="373">
        <f>'[9]Rev_NP-12me'!$DA$122</f>
        <v>0</v>
      </c>
      <c r="L115" s="373">
        <f>'[9]Rev_NP-12me'!$DC$122</f>
        <v>0</v>
      </c>
      <c r="M115" s="376">
        <f t="shared" si="2"/>
        <v>0</v>
      </c>
    </row>
    <row r="116" spans="2:13" ht="14.4" x14ac:dyDescent="0.25">
      <c r="B116" s="390" t="s">
        <v>1134</v>
      </c>
      <c r="C116" s="17"/>
      <c r="D116" s="493">
        <f>'[9]Rev_NP-12me'!H123</f>
        <v>0</v>
      </c>
      <c r="E116" s="493">
        <f>'[9]Rev_NP-12me'!I123</f>
        <v>0</v>
      </c>
      <c r="F116" s="493">
        <f>'[9]Rev_NP-12me'!K123</f>
        <v>0</v>
      </c>
      <c r="G116" s="375">
        <f>'[9]Rev_NP-12me'!S123</f>
        <v>100</v>
      </c>
      <c r="H116" s="406">
        <f>'[9]Rev_NP-12me'!T123</f>
        <v>6</v>
      </c>
      <c r="I116" s="375">
        <f>'[9]Rev_NP-12me'!AC123</f>
        <v>2000</v>
      </c>
      <c r="J116" s="378">
        <f>'[9]Rev_NP-12me'!CZ123</f>
        <v>0</v>
      </c>
      <c r="K116" s="378">
        <f>'[9]Rev_NP-12me'!DA123</f>
        <v>0</v>
      </c>
      <c r="L116" s="378">
        <f>'[9]Rev_NP-12me'!DC123</f>
        <v>0</v>
      </c>
      <c r="M116" s="374">
        <f t="shared" si="2"/>
        <v>0</v>
      </c>
    </row>
    <row r="117" spans="2:13" ht="14.4" x14ac:dyDescent="0.25">
      <c r="B117" s="390" t="s">
        <v>1100</v>
      </c>
      <c r="C117" s="17"/>
      <c r="D117" s="493">
        <f>'[9]Rev_NP-12me'!H124</f>
        <v>0</v>
      </c>
      <c r="E117" s="493">
        <f>'[9]Rev_NP-12me'!I124</f>
        <v>0</v>
      </c>
      <c r="F117" s="493">
        <f>'[9]Rev_NP-12me'!K124</f>
        <v>0</v>
      </c>
      <c r="G117" s="375">
        <f>'[9]Rev_NP-12me'!S124</f>
        <v>0</v>
      </c>
      <c r="H117" s="406">
        <f>'[9]Rev_NP-12me'!T124</f>
        <v>7</v>
      </c>
      <c r="I117" s="375">
        <f>'[9]Rev_NP-12me'!AC124</f>
        <v>2000</v>
      </c>
      <c r="J117" s="378">
        <f>'[9]Rev_NP-12me'!CZ124</f>
        <v>0</v>
      </c>
      <c r="K117" s="378">
        <f>'[9]Rev_NP-12me'!DA124</f>
        <v>0</v>
      </c>
      <c r="L117" s="378">
        <f>'[9]Rev_NP-12me'!DC124</f>
        <v>0</v>
      </c>
      <c r="M117" s="374">
        <f t="shared" si="2"/>
        <v>0</v>
      </c>
    </row>
    <row r="118" spans="2:13" ht="14.4" x14ac:dyDescent="0.25">
      <c r="B118" s="390" t="s">
        <v>1101</v>
      </c>
      <c r="C118" s="17"/>
      <c r="D118" s="493">
        <f>'[9]Rev_NP-12me'!H125</f>
        <v>0</v>
      </c>
      <c r="E118" s="493">
        <f>'[9]Rev_NP-12me'!I125</f>
        <v>0</v>
      </c>
      <c r="F118" s="493">
        <f>'[9]Rev_NP-12me'!K125</f>
        <v>0</v>
      </c>
      <c r="G118" s="375">
        <f>'[9]Rev_NP-12me'!S125</f>
        <v>0</v>
      </c>
      <c r="H118" s="406">
        <f>'[9]Rev_NP-12me'!T125</f>
        <v>7</v>
      </c>
      <c r="I118" s="375">
        <f>'[9]Rev_NP-12me'!AC125</f>
        <v>2000</v>
      </c>
      <c r="J118" s="378">
        <f>'[9]Rev_NP-12me'!CZ125</f>
        <v>0</v>
      </c>
      <c r="K118" s="378">
        <f>'[9]Rev_NP-12me'!DA125</f>
        <v>0</v>
      </c>
      <c r="L118" s="378">
        <f>'[9]Rev_NP-12me'!DC125</f>
        <v>0</v>
      </c>
      <c r="M118" s="374">
        <f t="shared" si="2"/>
        <v>0</v>
      </c>
    </row>
    <row r="119" spans="2:13" ht="14.4" x14ac:dyDescent="0.25">
      <c r="B119" s="390" t="s">
        <v>1102</v>
      </c>
      <c r="C119" s="17"/>
      <c r="D119" s="493">
        <f>'[9]Rev_NP-12me'!H126</f>
        <v>0</v>
      </c>
      <c r="E119" s="493">
        <f>'[9]Rev_NP-12me'!I126</f>
        <v>0</v>
      </c>
      <c r="F119" s="493">
        <f>'[9]Rev_NP-12me'!K126</f>
        <v>0</v>
      </c>
      <c r="G119" s="375">
        <f>'[9]Rev_NP-12me'!S126</f>
        <v>0</v>
      </c>
      <c r="H119" s="406">
        <f>'[9]Rev_NP-12me'!T126</f>
        <v>4.5</v>
      </c>
      <c r="I119" s="375">
        <f>'[9]Rev_NP-12me'!AC126</f>
        <v>2000</v>
      </c>
      <c r="J119" s="378">
        <f>'[9]Rev_NP-12me'!CZ126</f>
        <v>0</v>
      </c>
      <c r="K119" s="378">
        <f>'[9]Rev_NP-12me'!DA126</f>
        <v>0</v>
      </c>
      <c r="L119" s="378">
        <f>'[9]Rev_NP-12me'!DC126</f>
        <v>0</v>
      </c>
      <c r="M119" s="374">
        <f t="shared" si="2"/>
        <v>0</v>
      </c>
    </row>
    <row r="120" spans="2:13" x14ac:dyDescent="0.25">
      <c r="B120" s="391" t="s">
        <v>1144</v>
      </c>
      <c r="C120" s="17"/>
      <c r="D120" s="234">
        <f>SUM(D74,D89,D90,D95,D100,D105,D107,D110,D111,D112,D113,D114,D115)</f>
        <v>3665</v>
      </c>
      <c r="E120" s="234">
        <f>SUM(E74,E89,E90,E95,E100,E105,E107,E110,E111,E112,E113,E114,E115)</f>
        <v>1320.3310799999999</v>
      </c>
      <c r="F120" s="234">
        <f>SUM(F74,F89,F90,F95,F100,F105,F107,F110,F111,F112,F113,F114,F115)</f>
        <v>2741.7709294930528</v>
      </c>
      <c r="G120" s="394"/>
      <c r="H120" s="394"/>
      <c r="I120" s="394"/>
      <c r="J120" s="392">
        <f t="shared" ref="J120:M120" si="3">SUM(J74,J89,J90,J95,J100,J105,J107,J110,J111,J112,J113,J114,J115)</f>
        <v>298.37384281229157</v>
      </c>
      <c r="K120" s="392">
        <f t="shared" si="3"/>
        <v>1772.5881645445957</v>
      </c>
      <c r="L120" s="392">
        <f t="shared" si="3"/>
        <v>8.6375999999999991</v>
      </c>
      <c r="M120" s="392">
        <f t="shared" si="3"/>
        <v>2079.5996073568876</v>
      </c>
    </row>
    <row r="121" spans="2:13" x14ac:dyDescent="0.25">
      <c r="B121" s="17"/>
      <c r="C121" s="17"/>
      <c r="D121" s="497"/>
      <c r="E121" s="497"/>
      <c r="F121" s="497"/>
      <c r="G121" s="395"/>
      <c r="H121" s="395"/>
      <c r="I121" s="395"/>
      <c r="J121" s="395"/>
      <c r="K121" s="395"/>
      <c r="L121" s="395"/>
      <c r="M121" s="395"/>
    </row>
    <row r="122" spans="2:13" x14ac:dyDescent="0.25">
      <c r="B122" s="383" t="s">
        <v>213</v>
      </c>
      <c r="C122" s="17"/>
      <c r="D122" s="495"/>
      <c r="E122" s="495"/>
      <c r="F122" s="495"/>
      <c r="G122" s="381"/>
      <c r="H122" s="381"/>
      <c r="I122" s="381"/>
      <c r="J122" s="381"/>
      <c r="K122" s="381"/>
      <c r="L122" s="381"/>
      <c r="M122" s="381"/>
    </row>
    <row r="123" spans="2:13" x14ac:dyDescent="0.25">
      <c r="B123" s="383" t="s">
        <v>1145</v>
      </c>
      <c r="C123" s="17"/>
      <c r="D123" s="491">
        <f>'[9]Rev_NP-12me'!H144</f>
        <v>52</v>
      </c>
      <c r="E123" s="491">
        <f>'[9]Rev_NP-12me'!I144</f>
        <v>73.105999999999995</v>
      </c>
      <c r="F123" s="491">
        <f>'[9]Rev_NP-12me'!K144</f>
        <v>218.06524917190757</v>
      </c>
      <c r="G123" s="376">
        <f>'[9]Rev_NP-12me'!S144</f>
        <v>0</v>
      </c>
      <c r="H123" s="407">
        <f>'[9]Rev_NP-12me'!T144</f>
        <v>0</v>
      </c>
      <c r="I123" s="376">
        <f>'[9]Rev_NP-12me'!AC144</f>
        <v>0</v>
      </c>
      <c r="J123" s="373">
        <f>'[9]Rev_NP-12me'!CZ144</f>
        <v>34.067396000000002</v>
      </c>
      <c r="K123" s="373">
        <f>'[9]Rev_NP-12me'!DA144</f>
        <v>153.45784142357203</v>
      </c>
      <c r="L123" s="373">
        <f>'[9]Rev_NP-12me'!DC144</f>
        <v>0.2142</v>
      </c>
      <c r="M123" s="376">
        <f t="shared" ref="M123:M163" si="4">SUM(J123:L123)</f>
        <v>187.73943742357204</v>
      </c>
    </row>
    <row r="124" spans="2:13" x14ac:dyDescent="0.25">
      <c r="B124" s="396" t="s">
        <v>1146</v>
      </c>
      <c r="C124" s="17"/>
      <c r="D124" s="492">
        <f>'[9]Rev_NP-12me'!H145</f>
        <v>52</v>
      </c>
      <c r="E124" s="492">
        <f>'[9]Rev_NP-12me'!I145</f>
        <v>73.105999999999995</v>
      </c>
      <c r="F124" s="492">
        <f>'[9]Rev_NP-12me'!K145</f>
        <v>218.06524917190757</v>
      </c>
      <c r="G124" s="374">
        <f>'[9]Rev_NP-12me'!S145</f>
        <v>0</v>
      </c>
      <c r="H124" s="403">
        <f>'[9]Rev_NP-12me'!T145</f>
        <v>0</v>
      </c>
      <c r="I124" s="374">
        <f>'[9]Rev_NP-12me'!AC145</f>
        <v>0</v>
      </c>
      <c r="J124" s="377">
        <f>'[9]Rev_NP-12me'!CZ145</f>
        <v>34.067396000000002</v>
      </c>
      <c r="K124" s="377">
        <f>'[9]Rev_NP-12me'!DA145</f>
        <v>153.45784142357203</v>
      </c>
      <c r="L124" s="377">
        <f>'[9]Rev_NP-12me'!DC145</f>
        <v>0.2142</v>
      </c>
      <c r="M124" s="374">
        <f t="shared" si="4"/>
        <v>187.73943742357204</v>
      </c>
    </row>
    <row r="125" spans="2:13" ht="14.4" x14ac:dyDescent="0.25">
      <c r="B125" s="385" t="s">
        <v>1119</v>
      </c>
      <c r="C125" s="17"/>
      <c r="D125" s="493">
        <f>'[9]Rev_NP-12me'!H146</f>
        <v>52</v>
      </c>
      <c r="E125" s="493">
        <f>'[9]Rev_NP-12me'!I146</f>
        <v>73.105999999999995</v>
      </c>
      <c r="F125" s="493">
        <f>'[9]Rev_NP-12me'!K146</f>
        <v>40.115152696372505</v>
      </c>
      <c r="G125" s="374">
        <f>'[9]Rev_NP-12me'!S146</f>
        <v>500</v>
      </c>
      <c r="H125" s="403">
        <f>'[9]Rev_NP-12me'!T146</f>
        <v>7.15</v>
      </c>
      <c r="I125" s="374">
        <f>'[9]Rev_NP-12me'!AC146</f>
        <v>3500</v>
      </c>
      <c r="J125" s="378">
        <f>'[9]Rev_NP-12me'!CZ146</f>
        <v>34.067396000000002</v>
      </c>
      <c r="K125" s="378">
        <f>'[9]Rev_NP-12me'!DA146</f>
        <v>28.682334177906345</v>
      </c>
      <c r="L125" s="378">
        <f>'[9]Rev_NP-12me'!DC146</f>
        <v>0.2142</v>
      </c>
      <c r="M125" s="374">
        <f t="shared" si="4"/>
        <v>62.963930177906342</v>
      </c>
    </row>
    <row r="126" spans="2:13" ht="14.4" x14ac:dyDescent="0.25">
      <c r="B126" s="385" t="s">
        <v>1147</v>
      </c>
      <c r="C126" s="17"/>
      <c r="D126" s="493">
        <f>'[9]Rev_NP-12me'!H148</f>
        <v>0</v>
      </c>
      <c r="E126" s="493">
        <f>'[9]Rev_NP-12me'!I148</f>
        <v>0</v>
      </c>
      <c r="F126" s="493">
        <f>'[9]Rev_NP-12me'!K148</f>
        <v>0</v>
      </c>
      <c r="G126" s="374">
        <f>'[9]Rev_NP-12me'!S148</f>
        <v>0</v>
      </c>
      <c r="H126" s="403">
        <f>'[9]Rev_NP-12me'!T148</f>
        <v>7.15</v>
      </c>
      <c r="I126" s="374">
        <f>'[9]Rev_NP-12me'!AC148</f>
        <v>3500</v>
      </c>
      <c r="J126" s="378">
        <f>'[9]Rev_NP-12me'!CZ148</f>
        <v>0</v>
      </c>
      <c r="K126" s="378">
        <f>'[9]Rev_NP-12me'!DA148</f>
        <v>0</v>
      </c>
      <c r="L126" s="378">
        <f>'[9]Rev_NP-12me'!DC148</f>
        <v>0</v>
      </c>
      <c r="M126" s="374">
        <f t="shared" si="4"/>
        <v>0</v>
      </c>
    </row>
    <row r="127" spans="2:13" ht="14.4" x14ac:dyDescent="0.25">
      <c r="B127" s="385" t="s">
        <v>1148</v>
      </c>
      <c r="C127" s="17"/>
      <c r="D127" s="493">
        <f>'[9]Rev_NP-12me'!H149</f>
        <v>0</v>
      </c>
      <c r="E127" s="493">
        <f>'[9]Rev_NP-12me'!I149</f>
        <v>0</v>
      </c>
      <c r="F127" s="493">
        <f>'[9]Rev_NP-12me'!K149</f>
        <v>0</v>
      </c>
      <c r="G127" s="374">
        <f>'[9]Rev_NP-12me'!S149</f>
        <v>0</v>
      </c>
      <c r="H127" s="403">
        <f>'[9]Rev_NP-12me'!T149</f>
        <v>7.3</v>
      </c>
      <c r="I127" s="374">
        <f>'[9]Rev_NP-12me'!AC149</f>
        <v>3500</v>
      </c>
      <c r="J127" s="378">
        <f>'[9]Rev_NP-12me'!CZ149</f>
        <v>0</v>
      </c>
      <c r="K127" s="378">
        <f>'[9]Rev_NP-12me'!DA149</f>
        <v>0</v>
      </c>
      <c r="L127" s="378">
        <f>'[9]Rev_NP-12me'!DC149</f>
        <v>0</v>
      </c>
      <c r="M127" s="374">
        <f t="shared" si="4"/>
        <v>0</v>
      </c>
    </row>
    <row r="128" spans="2:13" ht="14.4" x14ac:dyDescent="0.25">
      <c r="B128" s="385" t="s">
        <v>1149</v>
      </c>
      <c r="C128" s="17"/>
      <c r="D128" s="493">
        <f>'[9]Rev_NP-12me'!H150</f>
        <v>0</v>
      </c>
      <c r="E128" s="493">
        <f>'[9]Rev_NP-12me'!I150</f>
        <v>0</v>
      </c>
      <c r="F128" s="493">
        <f>'[9]Rev_NP-12me'!K150</f>
        <v>0</v>
      </c>
      <c r="G128" s="374">
        <f>'[9]Rev_NP-12me'!S150</f>
        <v>500</v>
      </c>
      <c r="H128" s="403">
        <f>'[9]Rev_NP-12me'!T150</f>
        <v>7.9</v>
      </c>
      <c r="I128" s="374">
        <f>'[9]Rev_NP-12me'!AC150</f>
        <v>3500</v>
      </c>
      <c r="J128" s="378">
        <f>'[9]Rev_NP-12me'!CZ150</f>
        <v>0</v>
      </c>
      <c r="K128" s="378">
        <f>'[9]Rev_NP-12me'!DA150</f>
        <v>0</v>
      </c>
      <c r="L128" s="378">
        <f>'[9]Rev_NP-12me'!DC150</f>
        <v>0</v>
      </c>
      <c r="M128" s="374">
        <f t="shared" si="4"/>
        <v>0</v>
      </c>
    </row>
    <row r="129" spans="2:13" ht="14.4" x14ac:dyDescent="0.25">
      <c r="B129" s="390" t="s">
        <v>1100</v>
      </c>
      <c r="C129" s="17"/>
      <c r="D129" s="493">
        <f>'[9]Rev_NP-12me'!H151</f>
        <v>0</v>
      </c>
      <c r="E129" s="493">
        <f>'[9]Rev_NP-12me'!I151</f>
        <v>0</v>
      </c>
      <c r="F129" s="493">
        <f>'[9]Rev_NP-12me'!K151</f>
        <v>47.309675292154125</v>
      </c>
      <c r="G129" s="374">
        <f>'[9]Rev_NP-12me'!S151</f>
        <v>0</v>
      </c>
      <c r="H129" s="403">
        <f>'[9]Rev_NP-12me'!T151</f>
        <v>8.15</v>
      </c>
      <c r="I129" s="374">
        <f>'[9]Rev_NP-12me'!AC151</f>
        <v>3500</v>
      </c>
      <c r="J129" s="378">
        <f>'[9]Rev_NP-12me'!CZ151</f>
        <v>0</v>
      </c>
      <c r="K129" s="378">
        <f>'[9]Rev_NP-12me'!DA151</f>
        <v>38.55738536310561</v>
      </c>
      <c r="L129" s="378">
        <f>'[9]Rev_NP-12me'!DC151</f>
        <v>0</v>
      </c>
      <c r="M129" s="374">
        <f t="shared" si="4"/>
        <v>38.55738536310561</v>
      </c>
    </row>
    <row r="130" spans="2:13" ht="14.4" x14ac:dyDescent="0.25">
      <c r="B130" s="390" t="s">
        <v>1101</v>
      </c>
      <c r="C130" s="17"/>
      <c r="D130" s="493">
        <f>'[9]Rev_NP-12me'!H152</f>
        <v>0</v>
      </c>
      <c r="E130" s="493">
        <f>'[9]Rev_NP-12me'!I152</f>
        <v>0</v>
      </c>
      <c r="F130" s="493">
        <f>'[9]Rev_NP-12me'!K152</f>
        <v>38.895901688527886</v>
      </c>
      <c r="G130" s="374">
        <f>'[9]Rev_NP-12me'!S152</f>
        <v>0</v>
      </c>
      <c r="H130" s="403">
        <f>'[9]Rev_NP-12me'!T152</f>
        <v>8.15</v>
      </c>
      <c r="I130" s="374">
        <f>'[9]Rev_NP-12me'!AC152</f>
        <v>3500</v>
      </c>
      <c r="J130" s="378">
        <f>'[9]Rev_NP-12me'!CZ152</f>
        <v>0</v>
      </c>
      <c r="K130" s="378">
        <f>'[9]Rev_NP-12me'!DA152</f>
        <v>31.700159876150227</v>
      </c>
      <c r="L130" s="378">
        <f>'[9]Rev_NP-12me'!DC152</f>
        <v>0</v>
      </c>
      <c r="M130" s="374">
        <f t="shared" si="4"/>
        <v>31.700159876150227</v>
      </c>
    </row>
    <row r="131" spans="2:13" ht="14.4" x14ac:dyDescent="0.25">
      <c r="B131" s="390" t="s">
        <v>1102</v>
      </c>
      <c r="C131" s="17"/>
      <c r="D131" s="493">
        <f>'[9]Rev_NP-12me'!H154</f>
        <v>0</v>
      </c>
      <c r="E131" s="493">
        <f>'[9]Rev_NP-12me'!I154</f>
        <v>0</v>
      </c>
      <c r="F131" s="493">
        <f>'[9]Rev_NP-12me'!K154</f>
        <v>91.744519494852995</v>
      </c>
      <c r="G131" s="374">
        <f>'[9]Rev_NP-12me'!S154</f>
        <v>0</v>
      </c>
      <c r="H131" s="403">
        <f>'[9]Rev_NP-12me'!T154</f>
        <v>5.65</v>
      </c>
      <c r="I131" s="374">
        <f>'[9]Rev_NP-12me'!AC154</f>
        <v>3500</v>
      </c>
      <c r="J131" s="378">
        <f>'[9]Rev_NP-12me'!CZ154</f>
        <v>0</v>
      </c>
      <c r="K131" s="378">
        <f>'[9]Rev_NP-12me'!DA154</f>
        <v>54.517962006409853</v>
      </c>
      <c r="L131" s="378">
        <f>'[9]Rev_NP-12me'!DC154</f>
        <v>0</v>
      </c>
      <c r="M131" s="374">
        <f t="shared" si="4"/>
        <v>54.517962006409853</v>
      </c>
    </row>
    <row r="132" spans="2:13" x14ac:dyDescent="0.25">
      <c r="B132" s="383" t="s">
        <v>1127</v>
      </c>
      <c r="C132" s="17"/>
      <c r="D132" s="492">
        <f>'[9]Rev_NP-12me'!H156</f>
        <v>0</v>
      </c>
      <c r="E132" s="492">
        <f>'[9]Rev_NP-12me'!I156</f>
        <v>0</v>
      </c>
      <c r="F132" s="492">
        <f>'[9]Rev_NP-12me'!K156</f>
        <v>0</v>
      </c>
      <c r="G132" s="374">
        <f>'[9]Rev_NP-12me'!S156</f>
        <v>0</v>
      </c>
      <c r="H132" s="403">
        <f>'[9]Rev_NP-12me'!T156</f>
        <v>0</v>
      </c>
      <c r="I132" s="374">
        <f>'[9]Rev_NP-12me'!AC156</f>
        <v>0</v>
      </c>
      <c r="J132" s="377">
        <f>'[9]Rev_NP-12me'!CZ156</f>
        <v>0</v>
      </c>
      <c r="K132" s="377">
        <f>'[9]Rev_NP-12me'!DA156</f>
        <v>0</v>
      </c>
      <c r="L132" s="377">
        <f>'[9]Rev_NP-12me'!DC156</f>
        <v>0</v>
      </c>
      <c r="M132" s="376">
        <f t="shared" si="4"/>
        <v>0</v>
      </c>
    </row>
    <row r="133" spans="2:13" ht="14.4" x14ac:dyDescent="0.25">
      <c r="B133" s="390" t="s">
        <v>1150</v>
      </c>
      <c r="C133" s="17"/>
      <c r="D133" s="493">
        <f>'[9]Rev_NP-12me'!H157</f>
        <v>0</v>
      </c>
      <c r="E133" s="493">
        <f>'[9]Rev_NP-12me'!I157</f>
        <v>0</v>
      </c>
      <c r="F133" s="493">
        <f>'[9]Rev_NP-12me'!K157</f>
        <v>0</v>
      </c>
      <c r="G133" s="374">
        <f>'[9]Rev_NP-12me'!S157</f>
        <v>500</v>
      </c>
      <c r="H133" s="403">
        <f>'[9]Rev_NP-12me'!T157</f>
        <v>7.15</v>
      </c>
      <c r="I133" s="374">
        <f>'[9]Rev_NP-12me'!AC157</f>
        <v>3500</v>
      </c>
      <c r="J133" s="378">
        <f>'[9]Rev_NP-12me'!CZ157</f>
        <v>0</v>
      </c>
      <c r="K133" s="378">
        <f>'[9]Rev_NP-12me'!DA157</f>
        <v>0</v>
      </c>
      <c r="L133" s="378">
        <f>'[9]Rev_NP-12me'!DC157</f>
        <v>0</v>
      </c>
      <c r="M133" s="374">
        <f t="shared" si="4"/>
        <v>0</v>
      </c>
    </row>
    <row r="134" spans="2:13" ht="14.4" x14ac:dyDescent="0.25">
      <c r="B134" s="390" t="s">
        <v>1129</v>
      </c>
      <c r="C134" s="17"/>
      <c r="D134" s="493">
        <f>'[9]Rev_NP-12me'!H158</f>
        <v>0</v>
      </c>
      <c r="E134" s="493">
        <f>'[9]Rev_NP-12me'!I158</f>
        <v>0</v>
      </c>
      <c r="F134" s="493">
        <f>'[9]Rev_NP-12me'!K158</f>
        <v>0</v>
      </c>
      <c r="G134" s="374">
        <f>'[9]Rev_NP-12me'!S158</f>
        <v>0</v>
      </c>
      <c r="H134" s="403">
        <f>'[9]Rev_NP-12me'!T158</f>
        <v>8.15</v>
      </c>
      <c r="I134" s="374">
        <f>'[9]Rev_NP-12me'!AC158</f>
        <v>3500</v>
      </c>
      <c r="J134" s="378">
        <f>'[9]Rev_NP-12me'!CZ158</f>
        <v>0</v>
      </c>
      <c r="K134" s="378">
        <f>'[9]Rev_NP-12me'!DA158</f>
        <v>0</v>
      </c>
      <c r="L134" s="378">
        <f>'[9]Rev_NP-12me'!DC158</f>
        <v>0</v>
      </c>
      <c r="M134" s="374">
        <f t="shared" si="4"/>
        <v>0</v>
      </c>
    </row>
    <row r="135" spans="2:13" ht="14.4" x14ac:dyDescent="0.25">
      <c r="B135" s="390" t="s">
        <v>1130</v>
      </c>
      <c r="C135" s="17"/>
      <c r="D135" s="493">
        <f>'[9]Rev_NP-12me'!H159</f>
        <v>0</v>
      </c>
      <c r="E135" s="493">
        <f>'[9]Rev_NP-12me'!I159</f>
        <v>0</v>
      </c>
      <c r="F135" s="493">
        <f>'[9]Rev_NP-12me'!K159</f>
        <v>0</v>
      </c>
      <c r="G135" s="374">
        <f>'[9]Rev_NP-12me'!S159</f>
        <v>0</v>
      </c>
      <c r="H135" s="403">
        <f>'[9]Rev_NP-12me'!T159</f>
        <v>8.15</v>
      </c>
      <c r="I135" s="374">
        <f>'[9]Rev_NP-12me'!AC159</f>
        <v>3500</v>
      </c>
      <c r="J135" s="378">
        <f>'[9]Rev_NP-12me'!CZ159</f>
        <v>0</v>
      </c>
      <c r="K135" s="378">
        <f>'[9]Rev_NP-12me'!DA159</f>
        <v>0</v>
      </c>
      <c r="L135" s="378">
        <f>'[9]Rev_NP-12me'!DC159</f>
        <v>0</v>
      </c>
      <c r="M135" s="374">
        <f t="shared" si="4"/>
        <v>0</v>
      </c>
    </row>
    <row r="136" spans="2:13" ht="14.4" x14ac:dyDescent="0.25">
      <c r="B136" s="390" t="s">
        <v>1151</v>
      </c>
      <c r="C136" s="17"/>
      <c r="D136" s="493">
        <f>'[9]Rev_NP-12me'!H160</f>
        <v>0</v>
      </c>
      <c r="E136" s="493">
        <f>'[9]Rev_NP-12me'!I160</f>
        <v>0</v>
      </c>
      <c r="F136" s="493">
        <f>'[9]Rev_NP-12me'!K160</f>
        <v>0</v>
      </c>
      <c r="G136" s="374">
        <f>'[9]Rev_NP-12me'!S160</f>
        <v>0</v>
      </c>
      <c r="H136" s="403">
        <f>'[9]Rev_NP-12me'!T160</f>
        <v>5.65</v>
      </c>
      <c r="I136" s="374">
        <f>'[9]Rev_NP-12me'!AC160</f>
        <v>3500</v>
      </c>
      <c r="J136" s="378">
        <f>'[9]Rev_NP-12me'!CZ160</f>
        <v>0</v>
      </c>
      <c r="K136" s="378">
        <f>'[9]Rev_NP-12me'!DA160</f>
        <v>0</v>
      </c>
      <c r="L136" s="378">
        <f>'[9]Rev_NP-12me'!DC160</f>
        <v>0</v>
      </c>
      <c r="M136" s="374">
        <f t="shared" si="4"/>
        <v>0</v>
      </c>
    </row>
    <row r="137" spans="2:13" x14ac:dyDescent="0.25">
      <c r="B137" s="383" t="s">
        <v>1132</v>
      </c>
      <c r="C137" s="17"/>
      <c r="D137" s="491">
        <f>'[9]Rev_NP-12me'!H161</f>
        <v>1</v>
      </c>
      <c r="E137" s="491">
        <f>'[9]Rev_NP-12me'!I161</f>
        <v>5.85</v>
      </c>
      <c r="F137" s="491">
        <f>'[9]Rev_NP-12me'!K161</f>
        <v>21.496200000000002</v>
      </c>
      <c r="G137" s="376">
        <f>'[9]Rev_NP-12me'!S161</f>
        <v>500</v>
      </c>
      <c r="H137" s="407">
        <f>'[9]Rev_NP-12me'!T161</f>
        <v>7.15</v>
      </c>
      <c r="I137" s="376">
        <f>'[9]Rev_NP-12me'!AC161</f>
        <v>3500</v>
      </c>
      <c r="J137" s="373">
        <f>'[9]Rev_NP-12me'!CZ161</f>
        <v>2.7261000000000002</v>
      </c>
      <c r="K137" s="373">
        <f>'[9]Rev_NP-12me'!DA161</f>
        <v>15.369783000000002</v>
      </c>
      <c r="L137" s="373">
        <f>'[9]Rev_NP-12me'!DC161</f>
        <v>4.1999999999999997E-3</v>
      </c>
      <c r="M137" s="376">
        <f t="shared" si="4"/>
        <v>18.100083000000001</v>
      </c>
    </row>
    <row r="138" spans="2:13" x14ac:dyDescent="0.25">
      <c r="B138" s="383" t="s">
        <v>1133</v>
      </c>
      <c r="C138" s="17"/>
      <c r="D138" s="491">
        <f>'[9]Rev_NP-12me'!H162</f>
        <v>22</v>
      </c>
      <c r="E138" s="491">
        <f>'[9]Rev_NP-12me'!I162</f>
        <v>8.8226499999999994</v>
      </c>
      <c r="F138" s="491">
        <f>'[9]Rev_NP-12me'!K162</f>
        <v>16.361544896000002</v>
      </c>
      <c r="G138" s="376">
        <f>'[9]Rev_NP-12me'!S162</f>
        <v>0</v>
      </c>
      <c r="H138" s="407">
        <f>'[9]Rev_NP-12me'!T162</f>
        <v>0</v>
      </c>
      <c r="I138" s="376">
        <f>'[9]Rev_NP-12me'!AC162</f>
        <v>0</v>
      </c>
      <c r="J138" s="373">
        <f>'[9]Rev_NP-12me'!CZ162</f>
        <v>4.1113549000000003</v>
      </c>
      <c r="K138" s="373">
        <f>'[9]Rev_NP-12me'!DA162</f>
        <v>13.0383955666</v>
      </c>
      <c r="L138" s="373">
        <f>'[9]Rev_NP-12me'!DC162</f>
        <v>9.2399999999999996E-2</v>
      </c>
      <c r="M138" s="376">
        <f t="shared" si="4"/>
        <v>17.242150466600002</v>
      </c>
    </row>
    <row r="139" spans="2:13" ht="14.4" x14ac:dyDescent="0.25">
      <c r="B139" s="390" t="s">
        <v>1152</v>
      </c>
      <c r="C139" s="17"/>
      <c r="D139" s="493">
        <f>'[9]Rev_NP-12me'!H163</f>
        <v>22</v>
      </c>
      <c r="E139" s="493">
        <f>'[9]Rev_NP-12me'!I163</f>
        <v>8.8226499999999994</v>
      </c>
      <c r="F139" s="493">
        <f>'[9]Rev_NP-12me'!K163</f>
        <v>5.9181452535999997</v>
      </c>
      <c r="G139" s="374">
        <f>'[9]Rev_NP-12me'!S163</f>
        <v>500</v>
      </c>
      <c r="H139" s="403">
        <f>'[9]Rev_NP-12me'!T163</f>
        <v>8</v>
      </c>
      <c r="I139" s="374">
        <f>'[9]Rev_NP-12me'!AC163</f>
        <v>3500</v>
      </c>
      <c r="J139" s="378">
        <f>'[9]Rev_NP-12me'!CZ163</f>
        <v>4.1113549000000003</v>
      </c>
      <c r="K139" s="378">
        <f>'[9]Rev_NP-12me'!DA163</f>
        <v>4.7345162028800001</v>
      </c>
      <c r="L139" s="378">
        <f>'[9]Rev_NP-12me'!DC163</f>
        <v>9.2399999999999996E-2</v>
      </c>
      <c r="M139" s="374">
        <f t="shared" si="4"/>
        <v>8.9382711028799999</v>
      </c>
    </row>
    <row r="140" spans="2:13" ht="14.4" x14ac:dyDescent="0.25">
      <c r="B140" s="390" t="s">
        <v>1100</v>
      </c>
      <c r="C140" s="17"/>
      <c r="D140" s="493">
        <f>'[9]Rev_NP-12me'!H164</f>
        <v>0</v>
      </c>
      <c r="E140" s="493">
        <f>'[9]Rev_NP-12me'!I164</f>
        <v>0</v>
      </c>
      <c r="F140" s="493">
        <f>'[9]Rev_NP-12me'!K164</f>
        <v>3.0015094973999998</v>
      </c>
      <c r="G140" s="374">
        <f>'[9]Rev_NP-12me'!S164</f>
        <v>0</v>
      </c>
      <c r="H140" s="403">
        <f>'[9]Rev_NP-12me'!T164</f>
        <v>9</v>
      </c>
      <c r="I140" s="374">
        <f>'[9]Rev_NP-12me'!AC164</f>
        <v>3500</v>
      </c>
      <c r="J140" s="378">
        <f>'[9]Rev_NP-12me'!CZ164</f>
        <v>0</v>
      </c>
      <c r="K140" s="378">
        <f>'[9]Rev_NP-12me'!DA164</f>
        <v>2.7013585476599999</v>
      </c>
      <c r="L140" s="378">
        <f>'[9]Rev_NP-12me'!DC164</f>
        <v>0</v>
      </c>
      <c r="M140" s="374">
        <f t="shared" si="4"/>
        <v>2.7013585476599999</v>
      </c>
    </row>
    <row r="141" spans="2:13" ht="14.4" x14ac:dyDescent="0.25">
      <c r="B141" s="390" t="s">
        <v>1101</v>
      </c>
      <c r="C141" s="17"/>
      <c r="D141" s="493">
        <f>'[9]Rev_NP-12me'!H165</f>
        <v>0</v>
      </c>
      <c r="E141" s="493">
        <f>'[9]Rev_NP-12me'!I165</f>
        <v>0</v>
      </c>
      <c r="F141" s="493">
        <f>'[9]Rev_NP-12me'!K165</f>
        <v>2.4355526006000003</v>
      </c>
      <c r="G141" s="374">
        <f>'[9]Rev_NP-12me'!S165</f>
        <v>0</v>
      </c>
      <c r="H141" s="403">
        <f>'[9]Rev_NP-12me'!T165</f>
        <v>9</v>
      </c>
      <c r="I141" s="374">
        <f>'[9]Rev_NP-12me'!AC165</f>
        <v>3500</v>
      </c>
      <c r="J141" s="378">
        <f>'[9]Rev_NP-12me'!CZ165</f>
        <v>0</v>
      </c>
      <c r="K141" s="378">
        <f>'[9]Rev_NP-12me'!DA165</f>
        <v>2.1919973405399995</v>
      </c>
      <c r="L141" s="378">
        <f>'[9]Rev_NP-12me'!DC165</f>
        <v>0</v>
      </c>
      <c r="M141" s="374">
        <f t="shared" si="4"/>
        <v>2.1919973405399995</v>
      </c>
    </row>
    <row r="142" spans="2:13" ht="14.4" x14ac:dyDescent="0.25">
      <c r="B142" s="390" t="s">
        <v>1102</v>
      </c>
      <c r="C142" s="17"/>
      <c r="D142" s="493">
        <f>'[9]Rev_NP-12me'!H166</f>
        <v>0</v>
      </c>
      <c r="E142" s="493">
        <f>'[9]Rev_NP-12me'!I166</f>
        <v>0</v>
      </c>
      <c r="F142" s="493">
        <f>'[9]Rev_NP-12me'!K166</f>
        <v>5.0063375444000009</v>
      </c>
      <c r="G142" s="374">
        <f>'[9]Rev_NP-12me'!S166</f>
        <v>0</v>
      </c>
      <c r="H142" s="403">
        <f>'[9]Rev_NP-12me'!T166</f>
        <v>6.5</v>
      </c>
      <c r="I142" s="374">
        <f>'[9]Rev_NP-12me'!AC166</f>
        <v>3500</v>
      </c>
      <c r="J142" s="378">
        <f>'[9]Rev_NP-12me'!CZ166</f>
        <v>0</v>
      </c>
      <c r="K142" s="378">
        <f>'[9]Rev_NP-12me'!DA166</f>
        <v>3.4105234755200002</v>
      </c>
      <c r="L142" s="378">
        <f>'[9]Rev_NP-12me'!DC166</f>
        <v>0</v>
      </c>
      <c r="M142" s="374">
        <f t="shared" si="4"/>
        <v>3.4105234755200002</v>
      </c>
    </row>
    <row r="143" spans="2:13" ht="14.4" x14ac:dyDescent="0.25">
      <c r="B143" s="390" t="s">
        <v>1153</v>
      </c>
      <c r="C143" s="17"/>
      <c r="D143" s="493">
        <f>'[9]Rev_NP-12me'!H167</f>
        <v>0</v>
      </c>
      <c r="E143" s="493">
        <f>'[9]Rev_NP-12me'!I167</f>
        <v>0</v>
      </c>
      <c r="F143" s="493">
        <f>'[9]Rev_NP-12me'!K167</f>
        <v>0</v>
      </c>
      <c r="G143" s="374">
        <f>'[9]Rev_NP-12me'!S167</f>
        <v>500</v>
      </c>
      <c r="H143" s="403">
        <f>'[9]Rev_NP-12me'!T167</f>
        <v>8</v>
      </c>
      <c r="I143" s="374">
        <f>'[9]Rev_NP-12me'!AC167</f>
        <v>3500</v>
      </c>
      <c r="J143" s="378">
        <f>'[9]Rev_NP-12me'!CZ167</f>
        <v>0</v>
      </c>
      <c r="K143" s="378">
        <f>'[9]Rev_NP-12me'!DA167</f>
        <v>0</v>
      </c>
      <c r="L143" s="378">
        <f>'[9]Rev_NP-12me'!DC167</f>
        <v>0</v>
      </c>
      <c r="M143" s="374">
        <f t="shared" si="4"/>
        <v>0</v>
      </c>
    </row>
    <row r="144" spans="2:13" x14ac:dyDescent="0.25">
      <c r="B144" s="383" t="s">
        <v>1135</v>
      </c>
      <c r="C144" s="17"/>
      <c r="D144" s="491">
        <f>'[9]Rev_NP-12me'!H168</f>
        <v>0</v>
      </c>
      <c r="E144" s="491">
        <f>'[9]Rev_NP-12me'!I168</f>
        <v>0</v>
      </c>
      <c r="F144" s="491">
        <f>'[9]Rev_NP-12me'!K168</f>
        <v>0</v>
      </c>
      <c r="G144" s="376">
        <f>'[9]Rev_NP-12me'!S168</f>
        <v>0</v>
      </c>
      <c r="H144" s="407">
        <f>'[9]Rev_NP-12me'!T168</f>
        <v>0</v>
      </c>
      <c r="I144" s="376">
        <f>'[9]Rev_NP-12me'!AC168</f>
        <v>0</v>
      </c>
      <c r="J144" s="373">
        <f>'[9]Rev_NP-12me'!CZ168</f>
        <v>0</v>
      </c>
      <c r="K144" s="373">
        <f>'[9]Rev_NP-12me'!DA168</f>
        <v>0</v>
      </c>
      <c r="L144" s="373">
        <f>'[9]Rev_NP-12me'!DC168</f>
        <v>0</v>
      </c>
      <c r="M144" s="376">
        <f t="shared" si="4"/>
        <v>0</v>
      </c>
    </row>
    <row r="145" spans="2:13" ht="14.4" x14ac:dyDescent="0.25">
      <c r="B145" s="385" t="s">
        <v>1134</v>
      </c>
      <c r="C145" s="17"/>
      <c r="D145" s="493">
        <f>'[9]Rev_NP-12me'!H169</f>
        <v>0</v>
      </c>
      <c r="E145" s="493">
        <f>'[9]Rev_NP-12me'!I169</f>
        <v>0</v>
      </c>
      <c r="F145" s="493">
        <f>'[9]Rev_NP-12me'!K169</f>
        <v>0</v>
      </c>
      <c r="G145" s="374">
        <f>'[9]Rev_NP-12me'!S169</f>
        <v>285</v>
      </c>
      <c r="H145" s="403">
        <f>'[9]Rev_NP-12me'!T169</f>
        <v>5</v>
      </c>
      <c r="I145" s="374">
        <f>'[9]Rev_NP-12me'!AC169</f>
        <v>3500</v>
      </c>
      <c r="J145" s="378">
        <f>'[9]Rev_NP-12me'!CZ169</f>
        <v>0</v>
      </c>
      <c r="K145" s="378">
        <f>'[9]Rev_NP-12me'!DA169</f>
        <v>0</v>
      </c>
      <c r="L145" s="378">
        <f>'[9]Rev_NP-12me'!DC169</f>
        <v>0</v>
      </c>
      <c r="M145" s="374">
        <f t="shared" si="4"/>
        <v>0</v>
      </c>
    </row>
    <row r="146" spans="2:13" ht="14.4" x14ac:dyDescent="0.25">
      <c r="B146" s="385" t="s">
        <v>1100</v>
      </c>
      <c r="C146" s="17"/>
      <c r="D146" s="493">
        <f>'[9]Rev_NP-12me'!H170</f>
        <v>0</v>
      </c>
      <c r="E146" s="493">
        <f>'[9]Rev_NP-12me'!I170</f>
        <v>0</v>
      </c>
      <c r="F146" s="493">
        <f>'[9]Rev_NP-12me'!K170</f>
        <v>0</v>
      </c>
      <c r="G146" s="374">
        <f>'[9]Rev_NP-12me'!S170</f>
        <v>0</v>
      </c>
      <c r="H146" s="403">
        <f>'[9]Rev_NP-12me'!T170</f>
        <v>6</v>
      </c>
      <c r="I146" s="374">
        <f>'[9]Rev_NP-12me'!AC170</f>
        <v>3500</v>
      </c>
      <c r="J146" s="378">
        <f>'[9]Rev_NP-12me'!CZ170</f>
        <v>0</v>
      </c>
      <c r="K146" s="378">
        <f>'[9]Rev_NP-12me'!DA170</f>
        <v>0</v>
      </c>
      <c r="L146" s="378">
        <f>'[9]Rev_NP-12me'!DC170</f>
        <v>0</v>
      </c>
      <c r="M146" s="374">
        <f t="shared" si="4"/>
        <v>0</v>
      </c>
    </row>
    <row r="147" spans="2:13" ht="14.4" x14ac:dyDescent="0.25">
      <c r="B147" s="385" t="s">
        <v>1101</v>
      </c>
      <c r="C147" s="17"/>
      <c r="D147" s="493">
        <f>'[9]Rev_NP-12me'!H171</f>
        <v>0</v>
      </c>
      <c r="E147" s="493">
        <f>'[9]Rev_NP-12me'!I171</f>
        <v>0</v>
      </c>
      <c r="F147" s="493">
        <f>'[9]Rev_NP-12me'!K171</f>
        <v>0</v>
      </c>
      <c r="G147" s="374">
        <f>'[9]Rev_NP-12me'!S171</f>
        <v>0</v>
      </c>
      <c r="H147" s="403">
        <f>'[9]Rev_NP-12me'!T171</f>
        <v>6</v>
      </c>
      <c r="I147" s="374">
        <f>'[9]Rev_NP-12me'!AC171</f>
        <v>3500</v>
      </c>
      <c r="J147" s="378">
        <f>'[9]Rev_NP-12me'!CZ171</f>
        <v>0</v>
      </c>
      <c r="K147" s="378">
        <f>'[9]Rev_NP-12me'!DA171</f>
        <v>0</v>
      </c>
      <c r="L147" s="378">
        <f>'[9]Rev_NP-12me'!DC171</f>
        <v>0</v>
      </c>
      <c r="M147" s="374">
        <f t="shared" si="4"/>
        <v>0</v>
      </c>
    </row>
    <row r="148" spans="2:13" ht="14.4" x14ac:dyDescent="0.25">
      <c r="B148" s="385" t="s">
        <v>1102</v>
      </c>
      <c r="C148" s="17"/>
      <c r="D148" s="493">
        <f>'[9]Rev_NP-12me'!H172</f>
        <v>0</v>
      </c>
      <c r="E148" s="493">
        <f>'[9]Rev_NP-12me'!I172</f>
        <v>0</v>
      </c>
      <c r="F148" s="493">
        <f>'[9]Rev_NP-12me'!K172</f>
        <v>0</v>
      </c>
      <c r="G148" s="374">
        <f>'[9]Rev_NP-12me'!S172</f>
        <v>0</v>
      </c>
      <c r="H148" s="403">
        <f>'[9]Rev_NP-12me'!T172</f>
        <v>3.5</v>
      </c>
      <c r="I148" s="374">
        <f>'[9]Rev_NP-12me'!AC172</f>
        <v>3500</v>
      </c>
      <c r="J148" s="378">
        <f>'[9]Rev_NP-12me'!CZ172</f>
        <v>0</v>
      </c>
      <c r="K148" s="378">
        <f>'[9]Rev_NP-12me'!DA172</f>
        <v>0</v>
      </c>
      <c r="L148" s="378">
        <f>'[9]Rev_NP-12me'!DC172</f>
        <v>0</v>
      </c>
      <c r="M148" s="374">
        <f t="shared" si="4"/>
        <v>0</v>
      </c>
    </row>
    <row r="149" spans="2:13" x14ac:dyDescent="0.25">
      <c r="B149" s="383" t="s">
        <v>1079</v>
      </c>
      <c r="C149" s="17"/>
      <c r="D149" s="491">
        <f>'[9]Rev_NP-12me'!H173</f>
        <v>0</v>
      </c>
      <c r="E149" s="491">
        <f>'[9]Rev_NP-12me'!I173</f>
        <v>0</v>
      </c>
      <c r="F149" s="491">
        <f>'[9]Rev_NP-12me'!K173</f>
        <v>0</v>
      </c>
      <c r="G149" s="376">
        <f>'[9]Rev_NP-12me'!S173</f>
        <v>0</v>
      </c>
      <c r="H149" s="407">
        <f>'[9]Rev_NP-12me'!T173</f>
        <v>0</v>
      </c>
      <c r="I149" s="376">
        <f>'[9]Rev_NP-12me'!AC173</f>
        <v>0</v>
      </c>
      <c r="J149" s="373">
        <f>'[9]Rev_NP-12me'!CZ173</f>
        <v>0</v>
      </c>
      <c r="K149" s="373">
        <f>'[9]Rev_NP-12me'!DA173</f>
        <v>0</v>
      </c>
      <c r="L149" s="373">
        <f>'[9]Rev_NP-12me'!DC173</f>
        <v>0</v>
      </c>
      <c r="M149" s="376">
        <f t="shared" si="4"/>
        <v>0</v>
      </c>
    </row>
    <row r="150" spans="2:13" ht="14.4" x14ac:dyDescent="0.25">
      <c r="B150" s="390" t="s">
        <v>1134</v>
      </c>
      <c r="C150" s="17"/>
      <c r="D150" s="493">
        <f>'[9]Rev_NP-12me'!H174</f>
        <v>0</v>
      </c>
      <c r="E150" s="493">
        <f>'[9]Rev_NP-12me'!I174</f>
        <v>0</v>
      </c>
      <c r="F150" s="493">
        <f>'[9]Rev_NP-12me'!K174</f>
        <v>0</v>
      </c>
      <c r="G150" s="374">
        <f>'[9]Rev_NP-12me'!S174</f>
        <v>500</v>
      </c>
      <c r="H150" s="403">
        <f>'[9]Rev_NP-12me'!T174</f>
        <v>7.85</v>
      </c>
      <c r="I150" s="374">
        <f>'[9]Rev_NP-12me'!AC174</f>
        <v>3500</v>
      </c>
      <c r="J150" s="378">
        <f>'[9]Rev_NP-12me'!CZ174</f>
        <v>0</v>
      </c>
      <c r="K150" s="378">
        <f>'[9]Rev_NP-12me'!DA174</f>
        <v>0</v>
      </c>
      <c r="L150" s="378">
        <f>'[9]Rev_NP-12me'!DC174</f>
        <v>0</v>
      </c>
      <c r="M150" s="374">
        <f t="shared" si="4"/>
        <v>0</v>
      </c>
    </row>
    <row r="151" spans="2:13" ht="14.4" x14ac:dyDescent="0.25">
      <c r="B151" s="390" t="s">
        <v>1100</v>
      </c>
      <c r="C151" s="17"/>
      <c r="D151" s="493">
        <f>'[9]Rev_NP-12me'!H175</f>
        <v>0</v>
      </c>
      <c r="E151" s="493">
        <f>'[9]Rev_NP-12me'!I175</f>
        <v>0</v>
      </c>
      <c r="F151" s="493">
        <f>'[9]Rev_NP-12me'!K175</f>
        <v>0</v>
      </c>
      <c r="G151" s="374">
        <f>'[9]Rev_NP-12me'!S175</f>
        <v>0</v>
      </c>
      <c r="H151" s="403">
        <f>'[9]Rev_NP-12me'!T175</f>
        <v>8.85</v>
      </c>
      <c r="I151" s="374">
        <f>'[9]Rev_NP-12me'!AC175</f>
        <v>3500</v>
      </c>
      <c r="J151" s="378">
        <f>'[9]Rev_NP-12me'!CZ175</f>
        <v>0</v>
      </c>
      <c r="K151" s="378">
        <f>'[9]Rev_NP-12me'!DA175</f>
        <v>0</v>
      </c>
      <c r="L151" s="378">
        <f>'[9]Rev_NP-12me'!DC175</f>
        <v>0</v>
      </c>
      <c r="M151" s="374">
        <f t="shared" si="4"/>
        <v>0</v>
      </c>
    </row>
    <row r="152" spans="2:13" ht="14.4" x14ac:dyDescent="0.25">
      <c r="B152" s="390" t="s">
        <v>1101</v>
      </c>
      <c r="C152" s="17"/>
      <c r="D152" s="493">
        <f>'[9]Rev_NP-12me'!H176</f>
        <v>0</v>
      </c>
      <c r="E152" s="493">
        <f>'[9]Rev_NP-12me'!I176</f>
        <v>0</v>
      </c>
      <c r="F152" s="493">
        <f>'[9]Rev_NP-12me'!K176</f>
        <v>0</v>
      </c>
      <c r="G152" s="374">
        <f>'[9]Rev_NP-12me'!S176</f>
        <v>0</v>
      </c>
      <c r="H152" s="403">
        <f>'[9]Rev_NP-12me'!T176</f>
        <v>8.85</v>
      </c>
      <c r="I152" s="374">
        <f>'[9]Rev_NP-12me'!AC176</f>
        <v>3500</v>
      </c>
      <c r="J152" s="378">
        <f>'[9]Rev_NP-12me'!CZ176</f>
        <v>0</v>
      </c>
      <c r="K152" s="378">
        <f>'[9]Rev_NP-12me'!DA176</f>
        <v>0</v>
      </c>
      <c r="L152" s="378">
        <f>'[9]Rev_NP-12me'!DC176</f>
        <v>0</v>
      </c>
      <c r="M152" s="374">
        <f t="shared" si="4"/>
        <v>0</v>
      </c>
    </row>
    <row r="153" spans="2:13" ht="14.4" x14ac:dyDescent="0.25">
      <c r="B153" s="390" t="s">
        <v>1102</v>
      </c>
      <c r="C153" s="17"/>
      <c r="D153" s="493">
        <f>'[9]Rev_NP-12me'!H177</f>
        <v>0</v>
      </c>
      <c r="E153" s="493">
        <f>'[9]Rev_NP-12me'!I177</f>
        <v>0</v>
      </c>
      <c r="F153" s="493">
        <f>'[9]Rev_NP-12me'!K177</f>
        <v>0</v>
      </c>
      <c r="G153" s="374">
        <f>'[9]Rev_NP-12me'!S177</f>
        <v>0</v>
      </c>
      <c r="H153" s="403">
        <f>'[9]Rev_NP-12me'!T177</f>
        <v>6.35</v>
      </c>
      <c r="I153" s="374">
        <f>'[9]Rev_NP-12me'!AC177</f>
        <v>3500</v>
      </c>
      <c r="J153" s="378">
        <f>'[9]Rev_NP-12me'!CZ177</f>
        <v>0</v>
      </c>
      <c r="K153" s="378">
        <f>'[9]Rev_NP-12me'!DA177</f>
        <v>0</v>
      </c>
      <c r="L153" s="378">
        <f>'[9]Rev_NP-12me'!DC177</f>
        <v>0</v>
      </c>
      <c r="M153" s="374">
        <f t="shared" si="4"/>
        <v>0</v>
      </c>
    </row>
    <row r="154" spans="2:13" x14ac:dyDescent="0.25">
      <c r="B154" s="383" t="s">
        <v>1154</v>
      </c>
      <c r="C154" s="17"/>
      <c r="D154" s="491">
        <f>'[9]Rev_NP-12me'!H178</f>
        <v>22</v>
      </c>
      <c r="E154" s="491">
        <f>'[9]Rev_NP-12me'!I178</f>
        <v>63.921999999999997</v>
      </c>
      <c r="F154" s="491">
        <f>'[9]Rev_NP-12me'!K178</f>
        <v>30.280639999999998</v>
      </c>
      <c r="G154" s="376">
        <f>'[9]Rev_NP-12me'!S178</f>
        <v>0</v>
      </c>
      <c r="H154" s="407">
        <f>'[9]Rev_NP-12me'!T178</f>
        <v>0</v>
      </c>
      <c r="I154" s="376">
        <f>'[9]Rev_NP-12me'!AC178</f>
        <v>0</v>
      </c>
      <c r="J154" s="373">
        <f>'[9]Rev_NP-12me'!CZ178</f>
        <v>10.490532395833332</v>
      </c>
      <c r="K154" s="373">
        <f>'[9]Rev_NP-12me'!DA178</f>
        <v>19.076803199999997</v>
      </c>
      <c r="L154" s="373">
        <f>'[9]Rev_NP-12me'!DC178</f>
        <v>9.2399999999999996E-2</v>
      </c>
      <c r="M154" s="376">
        <f t="shared" si="4"/>
        <v>29.659735595833329</v>
      </c>
    </row>
    <row r="155" spans="2:13" x14ac:dyDescent="0.25">
      <c r="B155" s="397" t="s">
        <v>1137</v>
      </c>
      <c r="C155" s="17"/>
      <c r="D155" s="492">
        <f>'[9]Rev_NP-12me'!H179</f>
        <v>22</v>
      </c>
      <c r="E155" s="492">
        <f>'[9]Rev_NP-12me'!I179</f>
        <v>63.921999999999997</v>
      </c>
      <c r="F155" s="492">
        <f>'[9]Rev_NP-12me'!K179</f>
        <v>30.280639999999998</v>
      </c>
      <c r="G155" s="374">
        <f>'[9]Rev_NP-12me'!S179</f>
        <v>300</v>
      </c>
      <c r="H155" s="403">
        <f>'[9]Rev_NP-12me'!T179</f>
        <v>6.3</v>
      </c>
      <c r="I155" s="374">
        <f>'[9]Rev_NP-12me'!AC179</f>
        <v>3500</v>
      </c>
      <c r="J155" s="377">
        <f>'[9]Rev_NP-12me'!CZ179</f>
        <v>10.490532395833332</v>
      </c>
      <c r="K155" s="377">
        <f>'[9]Rev_NP-12me'!DA179</f>
        <v>19.076803199999997</v>
      </c>
      <c r="L155" s="377">
        <f>'[9]Rev_NP-12me'!DC179</f>
        <v>9.2399999999999996E-2</v>
      </c>
      <c r="M155" s="374">
        <f t="shared" si="4"/>
        <v>29.659735595833329</v>
      </c>
    </row>
    <row r="156" spans="2:13" x14ac:dyDescent="0.25">
      <c r="B156" s="398" t="s">
        <v>1155</v>
      </c>
      <c r="C156" s="17"/>
      <c r="D156" s="491">
        <f>'[9]Rev_NP-12me'!H184</f>
        <v>28</v>
      </c>
      <c r="E156" s="491">
        <f>'[9]Rev_NP-12me'!I184</f>
        <v>64.918000000000006</v>
      </c>
      <c r="F156" s="491">
        <f>'[9]Rev_NP-12me'!K184</f>
        <v>373.59901052227264</v>
      </c>
      <c r="G156" s="376">
        <f>'[9]Rev_NP-12me'!S184</f>
        <v>0</v>
      </c>
      <c r="H156" s="407">
        <f>'[9]Rev_NP-12me'!T184</f>
        <v>0</v>
      </c>
      <c r="I156" s="376">
        <f>'[9]Rev_NP-12me'!AC184</f>
        <v>0</v>
      </c>
      <c r="J156" s="373">
        <f>'[9]Rev_NP-12me'!CZ184</f>
        <v>0</v>
      </c>
      <c r="K156" s="373">
        <f>'[9]Rev_NP-12me'!DA184</f>
        <v>227.8953964185863</v>
      </c>
      <c r="L156" s="373">
        <f>'[9]Rev_NP-12me'!DC184</f>
        <v>0.1176</v>
      </c>
      <c r="M156" s="376">
        <f t="shared" si="4"/>
        <v>228.01299641858631</v>
      </c>
    </row>
    <row r="157" spans="2:13" x14ac:dyDescent="0.25">
      <c r="B157" s="385" t="s">
        <v>1156</v>
      </c>
      <c r="C157" s="17"/>
      <c r="D157" s="492">
        <f>'[9]Rev_NP-12me'!H185</f>
        <v>28</v>
      </c>
      <c r="E157" s="492">
        <f>'[9]Rev_NP-12me'!I185</f>
        <v>64.918000000000006</v>
      </c>
      <c r="F157" s="492">
        <f>'[9]Rev_NP-12me'!K185</f>
        <v>373.59901052227264</v>
      </c>
      <c r="G157" s="374">
        <f>'[9]Rev_NP-12me'!S185</f>
        <v>0</v>
      </c>
      <c r="H157" s="403">
        <f>'[9]Rev_NP-12me'!T185</f>
        <v>6.1</v>
      </c>
      <c r="I157" s="374">
        <f>'[9]Rev_NP-12me'!AC185</f>
        <v>3500</v>
      </c>
      <c r="J157" s="377">
        <f>'[9]Rev_NP-12me'!CZ185</f>
        <v>0</v>
      </c>
      <c r="K157" s="377">
        <f>'[9]Rev_NP-12me'!DA185</f>
        <v>227.8953964185863</v>
      </c>
      <c r="L157" s="377">
        <f>'[9]Rev_NP-12me'!DC185</f>
        <v>0.1176</v>
      </c>
      <c r="M157" s="374">
        <f t="shared" si="4"/>
        <v>228.01299641858631</v>
      </c>
    </row>
    <row r="158" spans="2:13" x14ac:dyDescent="0.25">
      <c r="B158" s="391" t="s">
        <v>1157</v>
      </c>
      <c r="C158" s="17"/>
      <c r="D158" s="491">
        <f>'[9]Rev_NP-12me'!H186</f>
        <v>0</v>
      </c>
      <c r="E158" s="491">
        <f>'[9]Rev_NP-12me'!I186</f>
        <v>0</v>
      </c>
      <c r="F158" s="491">
        <f>'[9]Rev_NP-12me'!K186</f>
        <v>0</v>
      </c>
      <c r="G158" s="376">
        <f>'[9]Rev_NP-12me'!S186</f>
        <v>0</v>
      </c>
      <c r="H158" s="407">
        <f>'[9]Rev_NP-12me'!T186</f>
        <v>0</v>
      </c>
      <c r="I158" s="376">
        <f>'[9]Rev_NP-12me'!AC186</f>
        <v>0</v>
      </c>
      <c r="J158" s="373">
        <f>'[9]Rev_NP-12me'!CZ186</f>
        <v>0</v>
      </c>
      <c r="K158" s="373">
        <f>'[9]Rev_NP-12me'!DA186</f>
        <v>0</v>
      </c>
      <c r="L158" s="373">
        <f>'[9]Rev_NP-12me'!DC186</f>
        <v>0</v>
      </c>
      <c r="M158" s="374">
        <f t="shared" si="4"/>
        <v>0</v>
      </c>
    </row>
    <row r="159" spans="2:13" x14ac:dyDescent="0.25">
      <c r="B159" s="383" t="s">
        <v>1140</v>
      </c>
      <c r="C159" s="17"/>
      <c r="D159" s="491">
        <f>'[9]Rev_NP-12me'!H180</f>
        <v>0</v>
      </c>
      <c r="E159" s="491">
        <f>'[9]Rev_NP-12me'!I180</f>
        <v>0</v>
      </c>
      <c r="F159" s="491">
        <f>'[9]Rev_NP-12me'!K180</f>
        <v>0</v>
      </c>
      <c r="G159" s="376">
        <f>'[9]Rev_NP-12me'!S180</f>
        <v>500</v>
      </c>
      <c r="H159" s="407">
        <f>'[9]Rev_NP-12me'!T180</f>
        <v>5.05</v>
      </c>
      <c r="I159" s="376">
        <f>'[9]Rev_NP-12me'!AC180</f>
        <v>3500</v>
      </c>
      <c r="J159" s="373">
        <f>'[9]Rev_NP-12me'!CZ180</f>
        <v>0</v>
      </c>
      <c r="K159" s="373">
        <f>'[9]Rev_NP-12me'!DA180</f>
        <v>0</v>
      </c>
      <c r="L159" s="373">
        <f>'[9]Rev_NP-12me'!DC180</f>
        <v>0</v>
      </c>
      <c r="M159" s="376">
        <f t="shared" si="4"/>
        <v>0</v>
      </c>
    </row>
    <row r="160" spans="2:13" x14ac:dyDescent="0.25">
      <c r="B160" s="383" t="s">
        <v>1141</v>
      </c>
      <c r="C160" s="17"/>
      <c r="D160" s="491">
        <f>'[9]Rev_NP-12me'!H181</f>
        <v>0</v>
      </c>
      <c r="E160" s="491">
        <f>'[9]Rev_NP-12me'!I181</f>
        <v>0</v>
      </c>
      <c r="F160" s="491">
        <f>'[9]Rev_NP-12me'!K181</f>
        <v>0</v>
      </c>
      <c r="G160" s="376">
        <f>'[9]Rev_NP-12me'!S181</f>
        <v>500</v>
      </c>
      <c r="H160" s="407">
        <f>'[9]Rev_NP-12me'!T181</f>
        <v>4.95</v>
      </c>
      <c r="I160" s="376">
        <f>'[9]Rev_NP-12me'!AC181</f>
        <v>3500</v>
      </c>
      <c r="J160" s="373">
        <f>'[9]Rev_NP-12me'!CZ181</f>
        <v>0</v>
      </c>
      <c r="K160" s="373">
        <f>'[9]Rev_NP-12me'!DA181</f>
        <v>0</v>
      </c>
      <c r="L160" s="373">
        <f>'[9]Rev_NP-12me'!DC181</f>
        <v>0</v>
      </c>
      <c r="M160" s="376">
        <f t="shared" si="4"/>
        <v>0</v>
      </c>
    </row>
    <row r="161" spans="2:13" x14ac:dyDescent="0.25">
      <c r="B161" s="383" t="s">
        <v>811</v>
      </c>
      <c r="C161" s="17"/>
      <c r="D161" s="491">
        <f>'[9]Rev_NP-12me'!H182</f>
        <v>7</v>
      </c>
      <c r="E161" s="491">
        <f>'[9]Rev_NP-12me'!I182</f>
        <v>14.57</v>
      </c>
      <c r="F161" s="491">
        <f>'[9]Rev_NP-12me'!K182</f>
        <v>33.934072896551719</v>
      </c>
      <c r="G161" s="376">
        <f>'[9]Rev_NP-12me'!S182</f>
        <v>285</v>
      </c>
      <c r="H161" s="407">
        <f>'[9]Rev_NP-12me'!T182</f>
        <v>7.3</v>
      </c>
      <c r="I161" s="376">
        <f>'[9]Rev_NP-12me'!AC182</f>
        <v>3500</v>
      </c>
      <c r="J161" s="373">
        <f>'[9]Rev_NP-12me'!CZ182</f>
        <v>3.7823720000000005</v>
      </c>
      <c r="K161" s="373">
        <f>'[9]Rev_NP-12me'!DA182</f>
        <v>24.77187321448276</v>
      </c>
      <c r="L161" s="373">
        <f>'[9]Rev_NP-12me'!DC182</f>
        <v>2.9399999999999999E-2</v>
      </c>
      <c r="M161" s="376">
        <f t="shared" si="4"/>
        <v>28.583645214482761</v>
      </c>
    </row>
    <row r="162" spans="2:13" x14ac:dyDescent="0.25">
      <c r="B162" s="383" t="s">
        <v>813</v>
      </c>
      <c r="C162" s="17"/>
      <c r="D162" s="491">
        <f>'[9]Rev_NP-12me'!H183</f>
        <v>9</v>
      </c>
      <c r="E162" s="491">
        <f>'[9]Rev_NP-12me'!I183</f>
        <v>6.65</v>
      </c>
      <c r="F162" s="491">
        <f>'[9]Rev_NP-12me'!K183</f>
        <v>8.1475419000000002</v>
      </c>
      <c r="G162" s="376">
        <f>'[9]Rev_NP-12me'!S183</f>
        <v>500</v>
      </c>
      <c r="H162" s="407">
        <f>'[9]Rev_NP-12me'!T183</f>
        <v>11</v>
      </c>
      <c r="I162" s="376">
        <f>'[9]Rev_NP-12me'!AC183</f>
        <v>3500</v>
      </c>
      <c r="J162" s="373">
        <f>'[9]Rev_NP-12me'!CZ183</f>
        <v>3.1920000000000002</v>
      </c>
      <c r="K162" s="373">
        <f>'[9]Rev_NP-12me'!DA183</f>
        <v>8.9622960899999988</v>
      </c>
      <c r="L162" s="373">
        <f>'[9]Rev_NP-12me'!DC183</f>
        <v>3.3599999999999998E-2</v>
      </c>
      <c r="M162" s="376">
        <f t="shared" si="4"/>
        <v>12.187896089999999</v>
      </c>
    </row>
    <row r="163" spans="2:13" x14ac:dyDescent="0.25">
      <c r="B163" s="383" t="s">
        <v>1158</v>
      </c>
      <c r="C163" s="17"/>
      <c r="D163" s="491">
        <f>'[9]Rev_NP-12me'!H191</f>
        <v>3</v>
      </c>
      <c r="E163" s="491">
        <f>'[9]Rev_NP-12me'!I191</f>
        <v>8.1999999999999993</v>
      </c>
      <c r="F163" s="491">
        <f>'[9]Rev_NP-12me'!K191</f>
        <v>8.9069599999999998</v>
      </c>
      <c r="G163" s="376">
        <f>'[9]Rev_NP-12me'!S191</f>
        <v>100</v>
      </c>
      <c r="H163" s="407">
        <f>'[9]Rev_NP-12me'!T191</f>
        <v>6</v>
      </c>
      <c r="I163" s="376">
        <f>'[9]Rev_NP-12me'!AC191</f>
        <v>3500</v>
      </c>
      <c r="J163" s="373">
        <f>'[9]Rev_NP-12me'!CZ191</f>
        <v>0.4592</v>
      </c>
      <c r="K163" s="373">
        <f>'[9]Rev_NP-12me'!DA191</f>
        <v>5.344176</v>
      </c>
      <c r="L163" s="373">
        <f>'[9]Rev_NP-12me'!DC191</f>
        <v>6.3E-3</v>
      </c>
      <c r="M163" s="376">
        <f t="shared" si="4"/>
        <v>5.8096760000000005</v>
      </c>
    </row>
    <row r="164" spans="2:13" x14ac:dyDescent="0.25">
      <c r="B164" s="391" t="s">
        <v>1159</v>
      </c>
      <c r="C164" s="17"/>
      <c r="D164" s="234">
        <f>SUM(D123,D137,D138,D144,D149,D154,D156,D158,D159,D160,D161,D162,D163)</f>
        <v>144</v>
      </c>
      <c r="E164" s="234">
        <f>SUM(E123,E137,E138,E144,E149,E154,E156,E158,E159,E160,E161,E162,E163)</f>
        <v>246.03864999999999</v>
      </c>
      <c r="F164" s="234">
        <f>SUM(F123,F137,F138,F144,F149,F154,F156,F158,F159,F160,F161,F162,F163)</f>
        <v>710.79121938673188</v>
      </c>
      <c r="G164" s="392"/>
      <c r="H164" s="394"/>
      <c r="I164" s="394"/>
      <c r="J164" s="392">
        <f t="shared" ref="J164:M164" si="5">SUM(J123,J137,J138,J144,J149,J154,J156,J158,J159,J160,J161,J162,J163)</f>
        <v>58.828955295833346</v>
      </c>
      <c r="K164" s="392">
        <f t="shared" si="5"/>
        <v>467.91656491324107</v>
      </c>
      <c r="L164" s="392">
        <f t="shared" si="5"/>
        <v>0.59009999999999996</v>
      </c>
      <c r="M164" s="392">
        <f t="shared" si="5"/>
        <v>527.33562020907448</v>
      </c>
    </row>
    <row r="165" spans="2:13" x14ac:dyDescent="0.25">
      <c r="B165" s="17"/>
      <c r="C165" s="17"/>
      <c r="D165" s="495"/>
      <c r="E165" s="495"/>
      <c r="F165" s="495"/>
      <c r="G165" s="381"/>
      <c r="H165" s="381"/>
      <c r="I165" s="381"/>
      <c r="J165" s="381"/>
      <c r="K165" s="381"/>
      <c r="L165" s="381"/>
      <c r="M165" s="374"/>
    </row>
    <row r="166" spans="2:13" x14ac:dyDescent="0.25">
      <c r="B166" s="383" t="s">
        <v>1160</v>
      </c>
      <c r="C166" s="17"/>
      <c r="D166" s="495"/>
      <c r="E166" s="495"/>
      <c r="F166" s="495"/>
      <c r="G166" s="381"/>
      <c r="H166" s="381"/>
      <c r="I166" s="381"/>
      <c r="J166" s="381"/>
      <c r="K166" s="381"/>
      <c r="L166" s="381"/>
      <c r="M166" s="374"/>
    </row>
    <row r="167" spans="2:13" x14ac:dyDescent="0.25">
      <c r="B167" s="383" t="s">
        <v>1145</v>
      </c>
      <c r="C167" s="17"/>
      <c r="D167" s="491">
        <f>'[9]Rev_NP-12me'!H201</f>
        <v>13</v>
      </c>
      <c r="E167" s="491">
        <f>'[9]Rev_NP-12me'!I201</f>
        <v>174.32</v>
      </c>
      <c r="F167" s="491">
        <f>'[9]Rev_NP-12me'!K201</f>
        <v>357.08006497034489</v>
      </c>
      <c r="G167" s="376">
        <f>'[9]Rev_NP-12me'!S201</f>
        <v>0</v>
      </c>
      <c r="H167" s="407">
        <f>'[9]Rev_NP-12me'!T201</f>
        <v>0</v>
      </c>
      <c r="I167" s="376">
        <f>'[9]Rev_NP-12me'!AC201</f>
        <v>0</v>
      </c>
      <c r="J167" s="373">
        <f>'[9]Rev_NP-12me'!CZ201</f>
        <v>81.23312</v>
      </c>
      <c r="K167" s="373">
        <f>'[9]Rev_NP-12me'!DA201</f>
        <v>233.45816666027935</v>
      </c>
      <c r="L167" s="373">
        <f>'[9]Rev_NP-12me'!DC201</f>
        <v>8.1000000000000003E-2</v>
      </c>
      <c r="M167" s="376">
        <f t="shared" ref="M167:M208" si="6">SUM(J167:L167)</f>
        <v>314.77228666027935</v>
      </c>
    </row>
    <row r="168" spans="2:13" x14ac:dyDescent="0.25">
      <c r="B168" s="385" t="s">
        <v>1119</v>
      </c>
      <c r="C168" s="17"/>
      <c r="D168" s="492">
        <f>'[9]Rev_NP-12me'!H202</f>
        <v>13</v>
      </c>
      <c r="E168" s="492">
        <f>'[9]Rev_NP-12me'!I202</f>
        <v>174.32</v>
      </c>
      <c r="F168" s="492">
        <f>'[9]Rev_NP-12me'!K202</f>
        <v>50.111864810344876</v>
      </c>
      <c r="G168" s="374">
        <f>'[9]Rev_NP-12me'!S202</f>
        <v>500</v>
      </c>
      <c r="H168" s="403">
        <f>'[9]Rev_NP-12me'!T202</f>
        <v>6.65</v>
      </c>
      <c r="I168" s="374">
        <f>'[9]Rev_NP-12me'!AC202</f>
        <v>5000</v>
      </c>
      <c r="J168" s="377">
        <f>'[9]Rev_NP-12me'!CZ202</f>
        <v>81.23312</v>
      </c>
      <c r="K168" s="377">
        <f>'[9]Rev_NP-12me'!DA202</f>
        <v>33.324390098879334</v>
      </c>
      <c r="L168" s="377">
        <f>'[9]Rev_NP-12me'!DC202</f>
        <v>8.1000000000000003E-2</v>
      </c>
      <c r="M168" s="374">
        <f t="shared" si="6"/>
        <v>114.63851009887934</v>
      </c>
    </row>
    <row r="169" spans="2:13" ht="14.4" x14ac:dyDescent="0.25">
      <c r="B169" s="385" t="s">
        <v>1147</v>
      </c>
      <c r="C169" s="17"/>
      <c r="D169" s="493">
        <f>'[9]Rev_NP-12me'!H204</f>
        <v>0</v>
      </c>
      <c r="E169" s="493">
        <f>'[9]Rev_NP-12me'!I204</f>
        <v>0</v>
      </c>
      <c r="F169" s="493">
        <f>'[9]Rev_NP-12me'!K204</f>
        <v>0</v>
      </c>
      <c r="G169" s="375">
        <f>'[9]Rev_NP-12me'!S204</f>
        <v>0</v>
      </c>
      <c r="H169" s="406">
        <f>'[9]Rev_NP-12me'!T204</f>
        <v>6.65</v>
      </c>
      <c r="I169" s="375">
        <f>'[9]Rev_NP-12me'!AC204</f>
        <v>5000</v>
      </c>
      <c r="J169" s="378">
        <f>'[9]Rev_NP-12me'!CZ204</f>
        <v>0</v>
      </c>
      <c r="K169" s="378">
        <f>'[9]Rev_NP-12me'!DA204</f>
        <v>0</v>
      </c>
      <c r="L169" s="378">
        <f>'[9]Rev_NP-12me'!DC204</f>
        <v>0</v>
      </c>
      <c r="M169" s="374">
        <f t="shared" si="6"/>
        <v>0</v>
      </c>
    </row>
    <row r="170" spans="2:13" ht="14.4" x14ac:dyDescent="0.25">
      <c r="B170" s="385" t="s">
        <v>1148</v>
      </c>
      <c r="C170" s="17"/>
      <c r="D170" s="493">
        <f>'[9]Rev_NP-12me'!H205</f>
        <v>0</v>
      </c>
      <c r="E170" s="493">
        <f>'[9]Rev_NP-12me'!I205</f>
        <v>0</v>
      </c>
      <c r="F170" s="493">
        <f>'[9]Rev_NP-12me'!K205</f>
        <v>0</v>
      </c>
      <c r="G170" s="375">
        <f>'[9]Rev_NP-12me'!S205</f>
        <v>0</v>
      </c>
      <c r="H170" s="406">
        <f>'[9]Rev_NP-12me'!T205</f>
        <v>7.3</v>
      </c>
      <c r="I170" s="375">
        <f>'[9]Rev_NP-12me'!AC205</f>
        <v>5000</v>
      </c>
      <c r="J170" s="378">
        <f>'[9]Rev_NP-12me'!CZ205</f>
        <v>0</v>
      </c>
      <c r="K170" s="378">
        <f>'[9]Rev_NP-12me'!DA205</f>
        <v>0</v>
      </c>
      <c r="L170" s="378">
        <f>'[9]Rev_NP-12me'!DC205</f>
        <v>0</v>
      </c>
      <c r="M170" s="374">
        <f t="shared" si="6"/>
        <v>0</v>
      </c>
    </row>
    <row r="171" spans="2:13" ht="14.4" x14ac:dyDescent="0.25">
      <c r="B171" s="385" t="s">
        <v>1149</v>
      </c>
      <c r="C171" s="17"/>
      <c r="D171" s="493">
        <f>'[9]Rev_NP-12me'!H206</f>
        <v>0</v>
      </c>
      <c r="E171" s="493">
        <f>'[9]Rev_NP-12me'!I206</f>
        <v>0</v>
      </c>
      <c r="F171" s="493">
        <f>'[9]Rev_NP-12me'!K206</f>
        <v>0</v>
      </c>
      <c r="G171" s="375">
        <f>'[9]Rev_NP-12me'!S206</f>
        <v>500</v>
      </c>
      <c r="H171" s="406">
        <f>'[9]Rev_NP-12me'!T206</f>
        <v>7.7</v>
      </c>
      <c r="I171" s="375">
        <f>'[9]Rev_NP-12me'!AC206</f>
        <v>5000</v>
      </c>
      <c r="J171" s="378">
        <f>'[9]Rev_NP-12me'!CZ206</f>
        <v>0</v>
      </c>
      <c r="K171" s="378">
        <f>'[9]Rev_NP-12me'!DA206</f>
        <v>0</v>
      </c>
      <c r="L171" s="378">
        <f>'[9]Rev_NP-12me'!DC206</f>
        <v>0</v>
      </c>
      <c r="M171" s="374">
        <f t="shared" si="6"/>
        <v>0</v>
      </c>
    </row>
    <row r="172" spans="2:13" ht="14.4" x14ac:dyDescent="0.25">
      <c r="B172" s="390" t="s">
        <v>1100</v>
      </c>
      <c r="C172" s="17"/>
      <c r="D172" s="493">
        <f>'[9]Rev_NP-12me'!H207</f>
        <v>0</v>
      </c>
      <c r="E172" s="493">
        <f>'[9]Rev_NP-12me'!I207</f>
        <v>0</v>
      </c>
      <c r="F172" s="493">
        <f>'[9]Rev_NP-12me'!K207</f>
        <v>115.15954045000002</v>
      </c>
      <c r="G172" s="375">
        <f>'[9]Rev_NP-12me'!S207</f>
        <v>0</v>
      </c>
      <c r="H172" s="406">
        <f>'[9]Rev_NP-12me'!T207</f>
        <v>7.65</v>
      </c>
      <c r="I172" s="375">
        <f>'[9]Rev_NP-12me'!AC207</f>
        <v>5000</v>
      </c>
      <c r="J172" s="378">
        <f>'[9]Rev_NP-12me'!CZ207</f>
        <v>0</v>
      </c>
      <c r="K172" s="378">
        <f>'[9]Rev_NP-12me'!DA207</f>
        <v>88.097048444250007</v>
      </c>
      <c r="L172" s="378">
        <f>'[9]Rev_NP-12me'!DC207</f>
        <v>0</v>
      </c>
      <c r="M172" s="374">
        <f t="shared" si="6"/>
        <v>88.097048444250007</v>
      </c>
    </row>
    <row r="173" spans="2:13" ht="14.4" x14ac:dyDescent="0.25">
      <c r="B173" s="390" t="s">
        <v>1101</v>
      </c>
      <c r="C173" s="17"/>
      <c r="D173" s="493">
        <f>'[9]Rev_NP-12me'!H208</f>
        <v>0</v>
      </c>
      <c r="E173" s="493">
        <f>'[9]Rev_NP-12me'!I208</f>
        <v>0</v>
      </c>
      <c r="F173" s="493">
        <f>'[9]Rev_NP-12me'!K208</f>
        <v>33.218660789999994</v>
      </c>
      <c r="G173" s="375">
        <f>'[9]Rev_NP-12me'!S208</f>
        <v>0</v>
      </c>
      <c r="H173" s="406">
        <f>'[9]Rev_NP-12me'!T208</f>
        <v>7.65</v>
      </c>
      <c r="I173" s="375">
        <f>'[9]Rev_NP-12me'!AC208</f>
        <v>5000</v>
      </c>
      <c r="J173" s="378">
        <f>'[9]Rev_NP-12me'!CZ208</f>
        <v>0</v>
      </c>
      <c r="K173" s="378">
        <f>'[9]Rev_NP-12me'!DA208</f>
        <v>25.412275504349992</v>
      </c>
      <c r="L173" s="378">
        <f>'[9]Rev_NP-12me'!DC208</f>
        <v>0</v>
      </c>
      <c r="M173" s="374">
        <f t="shared" si="6"/>
        <v>25.412275504349992</v>
      </c>
    </row>
    <row r="174" spans="2:13" ht="14.4" x14ac:dyDescent="0.25">
      <c r="B174" s="390" t="s">
        <v>1102</v>
      </c>
      <c r="C174" s="17"/>
      <c r="D174" s="493">
        <f>'[9]Rev_NP-12me'!H210</f>
        <v>0</v>
      </c>
      <c r="E174" s="493">
        <f>'[9]Rev_NP-12me'!I210</f>
        <v>0</v>
      </c>
      <c r="F174" s="493">
        <f>'[9]Rev_NP-12me'!K210</f>
        <v>158.58999892</v>
      </c>
      <c r="G174" s="375">
        <f>'[9]Rev_NP-12me'!S210</f>
        <v>0</v>
      </c>
      <c r="H174" s="406">
        <f>'[9]Rev_NP-12me'!T210</f>
        <v>5.15</v>
      </c>
      <c r="I174" s="375">
        <f>'[9]Rev_NP-12me'!AC210</f>
        <v>5000</v>
      </c>
      <c r="J174" s="378">
        <f>'[9]Rev_NP-12me'!CZ210</f>
        <v>0</v>
      </c>
      <c r="K174" s="378">
        <f>'[9]Rev_NP-12me'!DA210</f>
        <v>86.624452612799999</v>
      </c>
      <c r="L174" s="378">
        <f>'[9]Rev_NP-12me'!DC210</f>
        <v>0</v>
      </c>
      <c r="M174" s="374">
        <f t="shared" si="6"/>
        <v>86.624452612799999</v>
      </c>
    </row>
    <row r="175" spans="2:13" x14ac:dyDescent="0.25">
      <c r="B175" s="383" t="s">
        <v>1161</v>
      </c>
      <c r="C175" s="17"/>
      <c r="D175" s="491">
        <f>'[9]Rev_NP-12me'!H212</f>
        <v>2</v>
      </c>
      <c r="E175" s="491">
        <f>'[9]Rev_NP-12me'!I212</f>
        <v>35</v>
      </c>
      <c r="F175" s="491">
        <f>'[9]Rev_NP-12me'!K212</f>
        <v>279.09027070536354</v>
      </c>
      <c r="G175" s="376">
        <f>'[9]Rev_NP-12me'!S212</f>
        <v>0</v>
      </c>
      <c r="H175" s="407">
        <f>'[9]Rev_NP-12me'!T212</f>
        <v>0</v>
      </c>
      <c r="I175" s="376">
        <f>'[9]Rev_NP-12me'!AC212</f>
        <v>0</v>
      </c>
      <c r="J175" s="373">
        <f>'[9]Rev_NP-12me'!CZ212</f>
        <v>16.309999999999999</v>
      </c>
      <c r="K175" s="373">
        <f>'[9]Rev_NP-12me'!DA212</f>
        <v>183.64338160334421</v>
      </c>
      <c r="L175" s="373">
        <f>'[9]Rev_NP-12me'!DC212</f>
        <v>1.2E-2</v>
      </c>
      <c r="M175" s="376">
        <f t="shared" si="6"/>
        <v>199.96538160334421</v>
      </c>
    </row>
    <row r="176" spans="2:13" ht="14.4" x14ac:dyDescent="0.25">
      <c r="B176" s="385" t="s">
        <v>1134</v>
      </c>
      <c r="C176" s="17"/>
      <c r="D176" s="493">
        <f>'[9]Rev_NP-12me'!H213</f>
        <v>2</v>
      </c>
      <c r="E176" s="493">
        <f>'[9]Rev_NP-12me'!I213</f>
        <v>35</v>
      </c>
      <c r="F176" s="493">
        <f>'[9]Rev_NP-12me'!K213</f>
        <v>73.969636181492788</v>
      </c>
      <c r="G176" s="375">
        <f>'[9]Rev_NP-12me'!S213</f>
        <v>500</v>
      </c>
      <c r="H176" s="406">
        <f>'[9]Rev_NP-12me'!T213</f>
        <v>6.65</v>
      </c>
      <c r="I176" s="375">
        <f>'[9]Rev_NP-12me'!AC213</f>
        <v>5000</v>
      </c>
      <c r="J176" s="378">
        <f>'[9]Rev_NP-12me'!CZ213</f>
        <v>16.309999999999999</v>
      </c>
      <c r="K176" s="378">
        <f>'[9]Rev_NP-12me'!DA213</f>
        <v>49.189808060692698</v>
      </c>
      <c r="L176" s="378">
        <f>'[9]Rev_NP-12me'!DC213</f>
        <v>1.2E-2</v>
      </c>
      <c r="M176" s="374">
        <f t="shared" si="6"/>
        <v>65.511808060692701</v>
      </c>
    </row>
    <row r="177" spans="2:13" ht="14.4" x14ac:dyDescent="0.25">
      <c r="B177" s="385" t="s">
        <v>1100</v>
      </c>
      <c r="C177" s="17"/>
      <c r="D177" s="493">
        <f>'[9]Rev_NP-12me'!H214</f>
        <v>0</v>
      </c>
      <c r="E177" s="493">
        <f>'[9]Rev_NP-12me'!I214</f>
        <v>0</v>
      </c>
      <c r="F177" s="493">
        <f>'[9]Rev_NP-12me'!K214</f>
        <v>51.569895040830019</v>
      </c>
      <c r="G177" s="375">
        <f>'[9]Rev_NP-12me'!S214</f>
        <v>0</v>
      </c>
      <c r="H177" s="406">
        <f>'[9]Rev_NP-12me'!T214</f>
        <v>7.65</v>
      </c>
      <c r="I177" s="375">
        <f>'[9]Rev_NP-12me'!AC214</f>
        <v>5000</v>
      </c>
      <c r="J177" s="378">
        <f>'[9]Rev_NP-12me'!CZ214</f>
        <v>0</v>
      </c>
      <c r="K177" s="378">
        <f>'[9]Rev_NP-12me'!DA214</f>
        <v>39.450969706234964</v>
      </c>
      <c r="L177" s="378">
        <f>'[9]Rev_NP-12me'!DC214</f>
        <v>0</v>
      </c>
      <c r="M177" s="374">
        <f t="shared" si="6"/>
        <v>39.450969706234964</v>
      </c>
    </row>
    <row r="178" spans="2:13" ht="14.4" x14ac:dyDescent="0.25">
      <c r="B178" s="385" t="s">
        <v>1101</v>
      </c>
      <c r="C178" s="17"/>
      <c r="D178" s="493">
        <f>'[9]Rev_NP-12me'!H215</f>
        <v>0</v>
      </c>
      <c r="E178" s="493">
        <f>'[9]Rev_NP-12me'!I215</f>
        <v>0</v>
      </c>
      <c r="F178" s="493">
        <f>'[9]Rev_NP-12me'!K215</f>
        <v>51.863517599372834</v>
      </c>
      <c r="G178" s="375">
        <f>'[9]Rev_NP-12me'!S215</f>
        <v>0</v>
      </c>
      <c r="H178" s="406">
        <f>'[9]Rev_NP-12me'!T215</f>
        <v>7.65</v>
      </c>
      <c r="I178" s="375">
        <f>'[9]Rev_NP-12me'!AC215</f>
        <v>5000</v>
      </c>
      <c r="J178" s="378">
        <f>'[9]Rev_NP-12me'!CZ215</f>
        <v>0</v>
      </c>
      <c r="K178" s="378">
        <f>'[9]Rev_NP-12me'!DA215</f>
        <v>39.675590963520222</v>
      </c>
      <c r="L178" s="378">
        <f>'[9]Rev_NP-12me'!DC215</f>
        <v>0</v>
      </c>
      <c r="M178" s="374">
        <f t="shared" si="6"/>
        <v>39.675590963520222</v>
      </c>
    </row>
    <row r="179" spans="2:13" ht="14.4" x14ac:dyDescent="0.25">
      <c r="B179" s="385" t="s">
        <v>1102</v>
      </c>
      <c r="C179" s="17"/>
      <c r="D179" s="493">
        <f>'[9]Rev_NP-12me'!H216</f>
        <v>0</v>
      </c>
      <c r="E179" s="493">
        <f>'[9]Rev_NP-12me'!I216</f>
        <v>0</v>
      </c>
      <c r="F179" s="493">
        <f>'[9]Rev_NP-12me'!K216</f>
        <v>101.68722188366792</v>
      </c>
      <c r="G179" s="375">
        <f>'[9]Rev_NP-12me'!S216</f>
        <v>0</v>
      </c>
      <c r="H179" s="406">
        <f>'[9]Rev_NP-12me'!T216</f>
        <v>5.15</v>
      </c>
      <c r="I179" s="375">
        <f>'[9]Rev_NP-12me'!AC216</f>
        <v>5000</v>
      </c>
      <c r="J179" s="378">
        <f>'[9]Rev_NP-12me'!CZ216</f>
        <v>0</v>
      </c>
      <c r="K179" s="378">
        <f>'[9]Rev_NP-12me'!DA216</f>
        <v>55.327012872896312</v>
      </c>
      <c r="L179" s="378">
        <f>'[9]Rev_NP-12me'!DC216</f>
        <v>0</v>
      </c>
      <c r="M179" s="374">
        <f t="shared" si="6"/>
        <v>55.327012872896312</v>
      </c>
    </row>
    <row r="180" spans="2:13" x14ac:dyDescent="0.25">
      <c r="B180" s="383" t="s">
        <v>1162</v>
      </c>
      <c r="C180" s="17"/>
      <c r="D180" s="491">
        <f>'[9]Rev_NP-12me'!H211</f>
        <v>0</v>
      </c>
      <c r="E180" s="491">
        <f>'[9]Rev_NP-12me'!I211</f>
        <v>0</v>
      </c>
      <c r="F180" s="491">
        <f>'[9]Rev_NP-12me'!K211</f>
        <v>0</v>
      </c>
      <c r="G180" s="376">
        <f>'[9]Rev_NP-12me'!S211</f>
        <v>500</v>
      </c>
      <c r="H180" s="407">
        <f>'[9]Rev_NP-12me'!T211</f>
        <v>6.65</v>
      </c>
      <c r="I180" s="376">
        <f>'[9]Rev_NP-12me'!AC211</f>
        <v>5000</v>
      </c>
      <c r="J180" s="373">
        <f>'[9]Rev_NP-12me'!CZ211</f>
        <v>0</v>
      </c>
      <c r="K180" s="373">
        <f>'[9]Rev_NP-12me'!DA211</f>
        <v>0</v>
      </c>
      <c r="L180" s="373">
        <f>'[9]Rev_NP-12me'!DC211</f>
        <v>0</v>
      </c>
      <c r="M180" s="376">
        <f t="shared" si="6"/>
        <v>0</v>
      </c>
    </row>
    <row r="181" spans="2:13" x14ac:dyDescent="0.25">
      <c r="B181" s="383" t="s">
        <v>1163</v>
      </c>
      <c r="C181" s="17"/>
      <c r="D181" s="491">
        <f>'[9]Rev_NP-12me'!H217</f>
        <v>7</v>
      </c>
      <c r="E181" s="491">
        <f>'[9]Rev_NP-12me'!I217</f>
        <v>17.350000000000001</v>
      </c>
      <c r="F181" s="491">
        <f>'[9]Rev_NP-12me'!K217</f>
        <v>4.5793999999999997</v>
      </c>
      <c r="G181" s="376">
        <f>'[9]Rev_NP-12me'!S217</f>
        <v>0</v>
      </c>
      <c r="H181" s="407">
        <f>'[9]Rev_NP-12me'!T217</f>
        <v>0</v>
      </c>
      <c r="I181" s="376">
        <f>'[9]Rev_NP-12me'!AC217</f>
        <v>0</v>
      </c>
      <c r="J181" s="373">
        <f>'[9]Rev_NP-12me'!CZ217</f>
        <v>8.0851000000000006</v>
      </c>
      <c r="K181" s="373">
        <f>'[9]Rev_NP-12me'!DA217</f>
        <v>3.4467060000000003</v>
      </c>
      <c r="L181" s="373">
        <f>'[9]Rev_NP-12me'!DC217</f>
        <v>4.2000000000000003E-2</v>
      </c>
      <c r="M181" s="376">
        <f t="shared" si="6"/>
        <v>11.573806000000001</v>
      </c>
    </row>
    <row r="182" spans="2:13" ht="14.4" x14ac:dyDescent="0.25">
      <c r="B182" s="390" t="s">
        <v>1134</v>
      </c>
      <c r="C182" s="17"/>
      <c r="D182" s="493">
        <f>'[9]Rev_NP-12me'!H218</f>
        <v>7</v>
      </c>
      <c r="E182" s="493">
        <f>'[9]Rev_NP-12me'!I218</f>
        <v>17.350000000000001</v>
      </c>
      <c r="F182" s="493">
        <f>'[9]Rev_NP-12me'!K218</f>
        <v>0.86096000000000006</v>
      </c>
      <c r="G182" s="375">
        <f>'[9]Rev_NP-12me'!S218</f>
        <v>500</v>
      </c>
      <c r="H182" s="406">
        <f>'[9]Rev_NP-12me'!T218</f>
        <v>7.8</v>
      </c>
      <c r="I182" s="375">
        <f>'[9]Rev_NP-12me'!AC218</f>
        <v>5000</v>
      </c>
      <c r="J182" s="378">
        <f>'[9]Rev_NP-12me'!CZ218</f>
        <v>8.0851000000000006</v>
      </c>
      <c r="K182" s="378">
        <f>'[9]Rev_NP-12me'!DA218</f>
        <v>0.67154879999999995</v>
      </c>
      <c r="L182" s="378">
        <f>'[9]Rev_NP-12me'!DC218</f>
        <v>4.2000000000000003E-2</v>
      </c>
      <c r="M182" s="374">
        <f t="shared" si="6"/>
        <v>8.7986488000000005</v>
      </c>
    </row>
    <row r="183" spans="2:13" ht="14.4" x14ac:dyDescent="0.25">
      <c r="B183" s="390" t="s">
        <v>1100</v>
      </c>
      <c r="C183" s="17"/>
      <c r="D183" s="493">
        <f>'[9]Rev_NP-12me'!H219</f>
        <v>0</v>
      </c>
      <c r="E183" s="493">
        <f>'[9]Rev_NP-12me'!I219</f>
        <v>0</v>
      </c>
      <c r="F183" s="493">
        <f>'[9]Rev_NP-12me'!K219</f>
        <v>0.93971100000000007</v>
      </c>
      <c r="G183" s="375">
        <f>'[9]Rev_NP-12me'!S219</f>
        <v>0</v>
      </c>
      <c r="H183" s="406">
        <f>'[9]Rev_NP-12me'!T219</f>
        <v>8.8000000000000007</v>
      </c>
      <c r="I183" s="375">
        <f>'[9]Rev_NP-12me'!AC219</f>
        <v>5000</v>
      </c>
      <c r="J183" s="378">
        <f>'[9]Rev_NP-12me'!CZ219</f>
        <v>0</v>
      </c>
      <c r="K183" s="378">
        <f>'[9]Rev_NP-12me'!DA219</f>
        <v>0.82694568000000013</v>
      </c>
      <c r="L183" s="378">
        <f>'[9]Rev_NP-12me'!DC219</f>
        <v>0</v>
      </c>
      <c r="M183" s="374">
        <f t="shared" si="6"/>
        <v>0.82694568000000013</v>
      </c>
    </row>
    <row r="184" spans="2:13" ht="14.4" x14ac:dyDescent="0.25">
      <c r="B184" s="390" t="s">
        <v>1101</v>
      </c>
      <c r="C184" s="17"/>
      <c r="D184" s="493">
        <f>'[9]Rev_NP-12me'!H220</f>
        <v>0</v>
      </c>
      <c r="E184" s="493">
        <f>'[9]Rev_NP-12me'!I220</f>
        <v>0</v>
      </c>
      <c r="F184" s="493">
        <f>'[9]Rev_NP-12me'!K220</f>
        <v>0.53130900000000003</v>
      </c>
      <c r="G184" s="375">
        <f>'[9]Rev_NP-12me'!S220</f>
        <v>0</v>
      </c>
      <c r="H184" s="406">
        <f>'[9]Rev_NP-12me'!T220</f>
        <v>8.8000000000000007</v>
      </c>
      <c r="I184" s="375">
        <f>'[9]Rev_NP-12me'!AC220</f>
        <v>5000</v>
      </c>
      <c r="J184" s="378">
        <f>'[9]Rev_NP-12me'!CZ220</f>
        <v>0</v>
      </c>
      <c r="K184" s="378">
        <f>'[9]Rev_NP-12me'!DA220</f>
        <v>0.46755192000000001</v>
      </c>
      <c r="L184" s="378">
        <f>'[9]Rev_NP-12me'!DC220</f>
        <v>0</v>
      </c>
      <c r="M184" s="374">
        <f t="shared" si="6"/>
        <v>0.46755192000000001</v>
      </c>
    </row>
    <row r="185" spans="2:13" ht="14.4" x14ac:dyDescent="0.25">
      <c r="B185" s="390" t="s">
        <v>1102</v>
      </c>
      <c r="C185" s="17"/>
      <c r="D185" s="493">
        <f>'[9]Rev_NP-12me'!H221</f>
        <v>0</v>
      </c>
      <c r="E185" s="493">
        <f>'[9]Rev_NP-12me'!I221</f>
        <v>0</v>
      </c>
      <c r="F185" s="493">
        <f>'[9]Rev_NP-12me'!K221</f>
        <v>2.2474200000000004</v>
      </c>
      <c r="G185" s="375">
        <f>'[9]Rev_NP-12me'!S221</f>
        <v>0</v>
      </c>
      <c r="H185" s="406">
        <f>'[9]Rev_NP-12me'!T221</f>
        <v>6.3</v>
      </c>
      <c r="I185" s="375">
        <f>'[9]Rev_NP-12me'!AC221</f>
        <v>5000</v>
      </c>
      <c r="J185" s="378">
        <f>'[9]Rev_NP-12me'!CZ221</f>
        <v>0</v>
      </c>
      <c r="K185" s="378">
        <f>'[9]Rev_NP-12me'!DA221</f>
        <v>1.4806596000000001</v>
      </c>
      <c r="L185" s="378">
        <f>'[9]Rev_NP-12me'!DC221</f>
        <v>0</v>
      </c>
      <c r="M185" s="374">
        <f t="shared" si="6"/>
        <v>1.4806596000000001</v>
      </c>
    </row>
    <row r="186" spans="2:13" x14ac:dyDescent="0.25">
      <c r="B186" s="383" t="s">
        <v>1135</v>
      </c>
      <c r="C186" s="17"/>
      <c r="D186" s="491">
        <f>'[9]Rev_NP-12me'!H222</f>
        <v>0</v>
      </c>
      <c r="E186" s="491">
        <f>'[9]Rev_NP-12me'!I222</f>
        <v>0</v>
      </c>
      <c r="F186" s="491">
        <f>'[9]Rev_NP-12me'!K222</f>
        <v>0</v>
      </c>
      <c r="G186" s="376">
        <f>'[9]Rev_NP-12me'!S222</f>
        <v>0</v>
      </c>
      <c r="H186" s="407">
        <f>'[9]Rev_NP-12me'!T222</f>
        <v>0</v>
      </c>
      <c r="I186" s="376">
        <f>'[9]Rev_NP-12me'!AC222</f>
        <v>0</v>
      </c>
      <c r="J186" s="373">
        <f>'[9]Rev_NP-12me'!CZ222</f>
        <v>0</v>
      </c>
      <c r="K186" s="373">
        <f>'[9]Rev_NP-12me'!DA222</f>
        <v>0</v>
      </c>
      <c r="L186" s="373">
        <f>'[9]Rev_NP-12me'!DC222</f>
        <v>0</v>
      </c>
      <c r="M186" s="376">
        <f t="shared" si="6"/>
        <v>0</v>
      </c>
    </row>
    <row r="187" spans="2:13" ht="14.4" x14ac:dyDescent="0.25">
      <c r="B187" s="385" t="s">
        <v>1134</v>
      </c>
      <c r="C187" s="17"/>
      <c r="D187" s="493">
        <f>'[9]Rev_NP-12me'!H223</f>
        <v>0</v>
      </c>
      <c r="E187" s="493">
        <f>'[9]Rev_NP-12me'!I223</f>
        <v>0</v>
      </c>
      <c r="F187" s="493">
        <f>'[9]Rev_NP-12me'!K223</f>
        <v>0</v>
      </c>
      <c r="G187" s="375">
        <f>'[9]Rev_NP-12me'!S223</f>
        <v>285</v>
      </c>
      <c r="H187" s="406">
        <f>'[9]Rev_NP-12me'!T223</f>
        <v>5</v>
      </c>
      <c r="I187" s="375">
        <f>'[9]Rev_NP-12me'!AC223</f>
        <v>5000</v>
      </c>
      <c r="J187" s="378">
        <f>'[9]Rev_NP-12me'!CZ223</f>
        <v>0</v>
      </c>
      <c r="K187" s="378">
        <f>'[9]Rev_NP-12me'!DA223</f>
        <v>0</v>
      </c>
      <c r="L187" s="378">
        <f>'[9]Rev_NP-12me'!DC223</f>
        <v>0</v>
      </c>
      <c r="M187" s="374">
        <f t="shared" si="6"/>
        <v>0</v>
      </c>
    </row>
    <row r="188" spans="2:13" ht="14.4" x14ac:dyDescent="0.25">
      <c r="B188" s="385" t="s">
        <v>1100</v>
      </c>
      <c r="C188" s="17"/>
      <c r="D188" s="493">
        <f>'[9]Rev_NP-12me'!H224</f>
        <v>0</v>
      </c>
      <c r="E188" s="493">
        <f>'[9]Rev_NP-12me'!I224</f>
        <v>0</v>
      </c>
      <c r="F188" s="493">
        <f>'[9]Rev_NP-12me'!K224</f>
        <v>0</v>
      </c>
      <c r="G188" s="375">
        <f>'[9]Rev_NP-12me'!S224</f>
        <v>0</v>
      </c>
      <c r="H188" s="406">
        <f>'[9]Rev_NP-12me'!T224</f>
        <v>6</v>
      </c>
      <c r="I188" s="375">
        <f>'[9]Rev_NP-12me'!AC224</f>
        <v>5000</v>
      </c>
      <c r="J188" s="378">
        <f>'[9]Rev_NP-12me'!CZ224</f>
        <v>0</v>
      </c>
      <c r="K188" s="378">
        <f>'[9]Rev_NP-12me'!DA224</f>
        <v>0</v>
      </c>
      <c r="L188" s="378">
        <f>'[9]Rev_NP-12me'!DC224</f>
        <v>0</v>
      </c>
      <c r="M188" s="374">
        <f t="shared" si="6"/>
        <v>0</v>
      </c>
    </row>
    <row r="189" spans="2:13" ht="14.4" x14ac:dyDescent="0.25">
      <c r="B189" s="385" t="s">
        <v>1101</v>
      </c>
      <c r="C189" s="17"/>
      <c r="D189" s="493">
        <f>'[9]Rev_NP-12me'!H225</f>
        <v>0</v>
      </c>
      <c r="E189" s="493">
        <f>'[9]Rev_NP-12me'!I225</f>
        <v>0</v>
      </c>
      <c r="F189" s="493">
        <f>'[9]Rev_NP-12me'!K225</f>
        <v>0</v>
      </c>
      <c r="G189" s="375">
        <f>'[9]Rev_NP-12me'!S225</f>
        <v>0</v>
      </c>
      <c r="H189" s="406">
        <f>'[9]Rev_NP-12me'!T225</f>
        <v>6</v>
      </c>
      <c r="I189" s="375">
        <f>'[9]Rev_NP-12me'!AC225</f>
        <v>5000</v>
      </c>
      <c r="J189" s="378">
        <f>'[9]Rev_NP-12me'!CZ225</f>
        <v>0</v>
      </c>
      <c r="K189" s="378">
        <f>'[9]Rev_NP-12me'!DA225</f>
        <v>0</v>
      </c>
      <c r="L189" s="378">
        <f>'[9]Rev_NP-12me'!DC225</f>
        <v>0</v>
      </c>
      <c r="M189" s="374">
        <f t="shared" si="6"/>
        <v>0</v>
      </c>
    </row>
    <row r="190" spans="2:13" ht="14.4" x14ac:dyDescent="0.25">
      <c r="B190" s="385" t="s">
        <v>1102</v>
      </c>
      <c r="C190" s="17"/>
      <c r="D190" s="493">
        <f>'[9]Rev_NP-12me'!H226</f>
        <v>0</v>
      </c>
      <c r="E190" s="493">
        <f>'[9]Rev_NP-12me'!I226</f>
        <v>0</v>
      </c>
      <c r="F190" s="493">
        <f>'[9]Rev_NP-12me'!K226</f>
        <v>0</v>
      </c>
      <c r="G190" s="375">
        <f>'[9]Rev_NP-12me'!S226</f>
        <v>0</v>
      </c>
      <c r="H190" s="406">
        <f>'[9]Rev_NP-12me'!T226</f>
        <v>3.5</v>
      </c>
      <c r="I190" s="375">
        <f>'[9]Rev_NP-12me'!AC226</f>
        <v>5000</v>
      </c>
      <c r="J190" s="378">
        <f>'[9]Rev_NP-12me'!CZ226</f>
        <v>0</v>
      </c>
      <c r="K190" s="378">
        <f>'[9]Rev_NP-12me'!DA226</f>
        <v>0</v>
      </c>
      <c r="L190" s="378">
        <f>'[9]Rev_NP-12me'!DC226</f>
        <v>0</v>
      </c>
      <c r="M190" s="374">
        <f t="shared" si="6"/>
        <v>0</v>
      </c>
    </row>
    <row r="191" spans="2:13" x14ac:dyDescent="0.25">
      <c r="B191" s="383" t="s">
        <v>1079</v>
      </c>
      <c r="C191" s="17"/>
      <c r="D191" s="491">
        <f>'[9]Rev_NP-12me'!H227</f>
        <v>0</v>
      </c>
      <c r="E191" s="491">
        <f>'[9]Rev_NP-12me'!I227</f>
        <v>0</v>
      </c>
      <c r="F191" s="491">
        <f>'[9]Rev_NP-12me'!K227</f>
        <v>0</v>
      </c>
      <c r="G191" s="376">
        <f>'[9]Rev_NP-12me'!S227</f>
        <v>0</v>
      </c>
      <c r="H191" s="407">
        <f>'[9]Rev_NP-12me'!T227</f>
        <v>0</v>
      </c>
      <c r="I191" s="376">
        <f>'[9]Rev_NP-12me'!AC227</f>
        <v>0</v>
      </c>
      <c r="J191" s="373">
        <f>'[9]Rev_NP-12me'!CZ227</f>
        <v>0</v>
      </c>
      <c r="K191" s="373">
        <f>'[9]Rev_NP-12me'!DA227</f>
        <v>0</v>
      </c>
      <c r="L191" s="373">
        <f>'[9]Rev_NP-12me'!DC227</f>
        <v>0</v>
      </c>
      <c r="M191" s="376">
        <f t="shared" si="6"/>
        <v>0</v>
      </c>
    </row>
    <row r="192" spans="2:13" ht="14.4" x14ac:dyDescent="0.25">
      <c r="B192" s="390" t="s">
        <v>1134</v>
      </c>
      <c r="C192" s="17"/>
      <c r="D192" s="493">
        <f>'[9]Rev_NP-12me'!H228</f>
        <v>0</v>
      </c>
      <c r="E192" s="493">
        <f>'[9]Rev_NP-12me'!I228</f>
        <v>0</v>
      </c>
      <c r="F192" s="493">
        <f>'[9]Rev_NP-12me'!K228</f>
        <v>0</v>
      </c>
      <c r="G192" s="375">
        <f>'[9]Rev_NP-12me'!S228</f>
        <v>500</v>
      </c>
      <c r="H192" s="406">
        <f>'[9]Rev_NP-12me'!T228</f>
        <v>7.45</v>
      </c>
      <c r="I192" s="375">
        <f>'[9]Rev_NP-12me'!AC228</f>
        <v>5000</v>
      </c>
      <c r="J192" s="378">
        <f>'[9]Rev_NP-12me'!CZ228</f>
        <v>0</v>
      </c>
      <c r="K192" s="378">
        <f>'[9]Rev_NP-12me'!DA228</f>
        <v>0</v>
      </c>
      <c r="L192" s="378">
        <f>'[9]Rev_NP-12me'!DC228</f>
        <v>0</v>
      </c>
      <c r="M192" s="374">
        <f t="shared" si="6"/>
        <v>0</v>
      </c>
    </row>
    <row r="193" spans="2:13" ht="14.4" x14ac:dyDescent="0.25">
      <c r="B193" s="390" t="s">
        <v>1100</v>
      </c>
      <c r="C193" s="17"/>
      <c r="D193" s="493">
        <f>'[9]Rev_NP-12me'!H229</f>
        <v>0</v>
      </c>
      <c r="E193" s="493">
        <f>'[9]Rev_NP-12me'!I229</f>
        <v>0</v>
      </c>
      <c r="F193" s="493">
        <f>'[9]Rev_NP-12me'!K229</f>
        <v>0</v>
      </c>
      <c r="G193" s="375">
        <f>'[9]Rev_NP-12me'!S229</f>
        <v>0</v>
      </c>
      <c r="H193" s="406">
        <f>'[9]Rev_NP-12me'!T229</f>
        <v>8.4499999999999993</v>
      </c>
      <c r="I193" s="375">
        <f>'[9]Rev_NP-12me'!AC229</f>
        <v>5000</v>
      </c>
      <c r="J193" s="378">
        <f>'[9]Rev_NP-12me'!CZ229</f>
        <v>0</v>
      </c>
      <c r="K193" s="378">
        <f>'[9]Rev_NP-12me'!DA229</f>
        <v>0</v>
      </c>
      <c r="L193" s="378">
        <f>'[9]Rev_NP-12me'!DC229</f>
        <v>0</v>
      </c>
      <c r="M193" s="374">
        <f t="shared" si="6"/>
        <v>0</v>
      </c>
    </row>
    <row r="194" spans="2:13" ht="14.4" x14ac:dyDescent="0.25">
      <c r="B194" s="390" t="s">
        <v>1101</v>
      </c>
      <c r="C194" s="17"/>
      <c r="D194" s="493">
        <f>'[9]Rev_NP-12me'!H230</f>
        <v>0</v>
      </c>
      <c r="E194" s="493">
        <f>'[9]Rev_NP-12me'!I230</f>
        <v>0</v>
      </c>
      <c r="F194" s="493">
        <f>'[9]Rev_NP-12me'!K230</f>
        <v>0</v>
      </c>
      <c r="G194" s="375">
        <f>'[9]Rev_NP-12me'!S230</f>
        <v>0</v>
      </c>
      <c r="H194" s="406">
        <f>'[9]Rev_NP-12me'!T230</f>
        <v>8.4499999999999993</v>
      </c>
      <c r="I194" s="375">
        <f>'[9]Rev_NP-12me'!AC230</f>
        <v>5000</v>
      </c>
      <c r="J194" s="378">
        <f>'[9]Rev_NP-12me'!CZ230</f>
        <v>0</v>
      </c>
      <c r="K194" s="378">
        <f>'[9]Rev_NP-12me'!DA230</f>
        <v>0</v>
      </c>
      <c r="L194" s="378">
        <f>'[9]Rev_NP-12me'!DC230</f>
        <v>0</v>
      </c>
      <c r="M194" s="374">
        <f t="shared" si="6"/>
        <v>0</v>
      </c>
    </row>
    <row r="195" spans="2:13" ht="14.4" x14ac:dyDescent="0.25">
      <c r="B195" s="390" t="s">
        <v>1102</v>
      </c>
      <c r="C195" s="17"/>
      <c r="D195" s="493">
        <f>'[9]Rev_NP-12me'!H231</f>
        <v>0</v>
      </c>
      <c r="E195" s="493">
        <f>'[9]Rev_NP-12me'!I231</f>
        <v>0</v>
      </c>
      <c r="F195" s="493">
        <f>'[9]Rev_NP-12me'!K231</f>
        <v>0</v>
      </c>
      <c r="G195" s="375">
        <f>'[9]Rev_NP-12me'!S231</f>
        <v>0</v>
      </c>
      <c r="H195" s="406">
        <f>'[9]Rev_NP-12me'!T231</f>
        <v>5.95</v>
      </c>
      <c r="I195" s="375">
        <f>'[9]Rev_NP-12me'!AC231</f>
        <v>5000</v>
      </c>
      <c r="J195" s="378">
        <f>'[9]Rev_NP-12me'!CZ231</f>
        <v>0</v>
      </c>
      <c r="K195" s="378">
        <f>'[9]Rev_NP-12me'!DA231</f>
        <v>0</v>
      </c>
      <c r="L195" s="378">
        <f>'[9]Rev_NP-12me'!DC231</f>
        <v>0</v>
      </c>
      <c r="M195" s="374">
        <f t="shared" si="6"/>
        <v>0</v>
      </c>
    </row>
    <row r="196" spans="2:13" x14ac:dyDescent="0.25">
      <c r="B196" s="383" t="s">
        <v>1164</v>
      </c>
      <c r="C196" s="17"/>
      <c r="D196" s="491">
        <f>'[9]Rev_NP-12me'!H232</f>
        <v>35</v>
      </c>
      <c r="E196" s="491">
        <f>'[9]Rev_NP-12me'!I232</f>
        <v>2676.415</v>
      </c>
      <c r="F196" s="491">
        <f>'[9]Rev_NP-12me'!K232</f>
        <v>1495.4519178</v>
      </c>
      <c r="G196" s="376">
        <f>'[9]Rev_NP-12me'!S232</f>
        <v>0</v>
      </c>
      <c r="H196" s="407">
        <f>'[9]Rev_NP-12me'!T232</f>
        <v>0</v>
      </c>
      <c r="I196" s="376">
        <f>'[9]Rev_NP-12me'!AC232</f>
        <v>0</v>
      </c>
      <c r="J196" s="373">
        <f>'[9]Rev_NP-12me'!CZ232</f>
        <v>439.23873255208332</v>
      </c>
      <c r="K196" s="373">
        <f>'[9]Rev_NP-12me'!DA232</f>
        <v>942.13470821399983</v>
      </c>
      <c r="L196" s="373">
        <f>'[9]Rev_NP-12me'!DC232</f>
        <v>0.20100000000000001</v>
      </c>
      <c r="M196" s="376">
        <f t="shared" si="6"/>
        <v>1381.5744407660832</v>
      </c>
    </row>
    <row r="197" spans="2:13" ht="14.4" x14ac:dyDescent="0.25">
      <c r="B197" s="385" t="s">
        <v>1137</v>
      </c>
      <c r="C197" s="17"/>
      <c r="D197" s="493">
        <f>'[9]Rev_NP-12me'!H233</f>
        <v>35</v>
      </c>
      <c r="E197" s="493">
        <f>'[9]Rev_NP-12me'!I233</f>
        <v>2676.415</v>
      </c>
      <c r="F197" s="493">
        <f>'[9]Rev_NP-12me'!K233</f>
        <v>1495.4519178</v>
      </c>
      <c r="G197" s="375">
        <f>'[9]Rev_NP-12me'!S233</f>
        <v>300</v>
      </c>
      <c r="H197" s="406">
        <f>'[9]Rev_NP-12me'!T233</f>
        <v>6.3</v>
      </c>
      <c r="I197" s="375">
        <f>'[9]Rev_NP-12me'!AC233</f>
        <v>5000</v>
      </c>
      <c r="J197" s="378">
        <f>'[9]Rev_NP-12me'!CZ233</f>
        <v>439.23873255208332</v>
      </c>
      <c r="K197" s="378">
        <f>'[9]Rev_NP-12me'!DA233</f>
        <v>942.13470821399983</v>
      </c>
      <c r="L197" s="378">
        <f>'[9]Rev_NP-12me'!DC233</f>
        <v>0.20100000000000001</v>
      </c>
      <c r="M197" s="374">
        <f t="shared" si="6"/>
        <v>1381.5744407660832</v>
      </c>
    </row>
    <row r="198" spans="2:13" ht="14.4" x14ac:dyDescent="0.25">
      <c r="B198" s="385" t="s">
        <v>1165</v>
      </c>
      <c r="C198" s="17"/>
      <c r="D198" s="493">
        <f>'[9]Rev_NP-12me'!H234</f>
        <v>0</v>
      </c>
      <c r="E198" s="493">
        <f>'[9]Rev_NP-12me'!I234</f>
        <v>0</v>
      </c>
      <c r="F198" s="493">
        <f>'[9]Rev_NP-12me'!K234</f>
        <v>0</v>
      </c>
      <c r="G198" s="375">
        <f>'[9]Rev_NP-12me'!S234</f>
        <v>275</v>
      </c>
      <c r="H198" s="406">
        <f>'[9]Rev_NP-12me'!T234</f>
        <v>6.3</v>
      </c>
      <c r="I198" s="375">
        <f>'[9]Rev_NP-12me'!AC234</f>
        <v>5000</v>
      </c>
      <c r="J198" s="378">
        <f>'[9]Rev_NP-12me'!CZ234</f>
        <v>0</v>
      </c>
      <c r="K198" s="378">
        <f>'[9]Rev_NP-12me'!DA234</f>
        <v>0</v>
      </c>
      <c r="L198" s="378">
        <f>'[9]Rev_NP-12me'!DC234</f>
        <v>0</v>
      </c>
      <c r="M198" s="374">
        <f t="shared" si="6"/>
        <v>0</v>
      </c>
    </row>
    <row r="199" spans="2:13" x14ac:dyDescent="0.25">
      <c r="B199" s="383" t="s">
        <v>1166</v>
      </c>
      <c r="C199" s="17"/>
      <c r="D199" s="491">
        <f>'[9]Rev_NP-12me'!H242</f>
        <v>1</v>
      </c>
      <c r="E199" s="491">
        <f>'[9]Rev_NP-12me'!I242</f>
        <v>5.3079999999999998</v>
      </c>
      <c r="F199" s="491">
        <f>'[9]Rev_NP-12me'!K242</f>
        <v>28.955158336102667</v>
      </c>
      <c r="G199" s="376">
        <f>'[9]Rev_NP-12me'!S242</f>
        <v>0</v>
      </c>
      <c r="H199" s="407">
        <f>'[9]Rev_NP-12me'!T242</f>
        <v>0</v>
      </c>
      <c r="I199" s="376">
        <f>'[9]Rev_NP-12me'!AC242</f>
        <v>0</v>
      </c>
      <c r="J199" s="373">
        <f>'[9]Rev_NP-12me'!CZ242</f>
        <v>0</v>
      </c>
      <c r="K199" s="373">
        <f>'[9]Rev_NP-12me'!DA242</f>
        <v>17.662646585022628</v>
      </c>
      <c r="L199" s="373">
        <f>'[9]Rev_NP-12me'!DC242</f>
        <v>6.0000000000000001E-3</v>
      </c>
      <c r="M199" s="376">
        <f t="shared" si="6"/>
        <v>17.668646585022628</v>
      </c>
    </row>
    <row r="200" spans="2:13" ht="14.4" x14ac:dyDescent="0.25">
      <c r="B200" s="385" t="s">
        <v>216</v>
      </c>
      <c r="C200" s="17"/>
      <c r="D200" s="493">
        <f>'[9]Rev_NP-12me'!H243</f>
        <v>1</v>
      </c>
      <c r="E200" s="493">
        <f>'[9]Rev_NP-12me'!I243</f>
        <v>5.3079999999999998</v>
      </c>
      <c r="F200" s="493">
        <f>'[9]Rev_NP-12me'!K243</f>
        <v>28.955158336102667</v>
      </c>
      <c r="G200" s="375">
        <f>'[9]Rev_NP-12me'!S243</f>
        <v>0</v>
      </c>
      <c r="H200" s="406">
        <f>'[9]Rev_NP-12me'!T243</f>
        <v>6.1</v>
      </c>
      <c r="I200" s="375">
        <f>'[9]Rev_NP-12me'!AC243</f>
        <v>5000</v>
      </c>
      <c r="J200" s="378">
        <f>'[9]Rev_NP-12me'!CZ243</f>
        <v>0</v>
      </c>
      <c r="K200" s="378">
        <f>'[9]Rev_NP-12me'!DA243</f>
        <v>17.662646585022628</v>
      </c>
      <c r="L200" s="378">
        <f>'[9]Rev_NP-12me'!DC243</f>
        <v>6.0000000000000001E-3</v>
      </c>
      <c r="M200" s="374">
        <f t="shared" si="6"/>
        <v>17.668646585022628</v>
      </c>
    </row>
    <row r="201" spans="2:13" x14ac:dyDescent="0.25">
      <c r="B201" s="383" t="s">
        <v>1167</v>
      </c>
      <c r="C201" s="17"/>
      <c r="D201" s="491">
        <f>'[9]Rev_NP-12me'!H244</f>
        <v>0</v>
      </c>
      <c r="E201" s="491">
        <f>'[9]Rev_NP-12me'!I244</f>
        <v>0</v>
      </c>
      <c r="F201" s="491">
        <f>'[9]Rev_NP-12me'!K244</f>
        <v>0</v>
      </c>
      <c r="G201" s="376">
        <f>'[9]Rev_NP-12me'!S244</f>
        <v>0</v>
      </c>
      <c r="H201" s="407">
        <f>'[9]Rev_NP-12me'!T244</f>
        <v>0</v>
      </c>
      <c r="I201" s="376">
        <f>'[9]Rev_NP-12me'!AC244</f>
        <v>5000</v>
      </c>
      <c r="J201" s="373">
        <f>'[9]Rev_NP-12me'!CZ244</f>
        <v>0</v>
      </c>
      <c r="K201" s="373">
        <f>'[9]Rev_NP-12me'!DA244</f>
        <v>0</v>
      </c>
      <c r="L201" s="373">
        <f>'[9]Rev_NP-12me'!DC244</f>
        <v>0</v>
      </c>
      <c r="M201" s="374">
        <f t="shared" si="6"/>
        <v>0</v>
      </c>
    </row>
    <row r="202" spans="2:13" x14ac:dyDescent="0.25">
      <c r="B202" s="399" t="s">
        <v>1168</v>
      </c>
      <c r="C202" s="17"/>
      <c r="D202" s="491">
        <f>'[9]Rev_NP-12me'!H235</f>
        <v>14</v>
      </c>
      <c r="E202" s="491">
        <f>'[9]Rev_NP-12me'!I235</f>
        <v>203.5</v>
      </c>
      <c r="F202" s="491">
        <f>'[9]Rev_NP-12me'!K235</f>
        <v>641.87810260874801</v>
      </c>
      <c r="G202" s="376">
        <f>'[9]Rev_NP-12me'!S235</f>
        <v>0</v>
      </c>
      <c r="H202" s="407">
        <f>'[9]Rev_NP-12me'!T235</f>
        <v>0</v>
      </c>
      <c r="I202" s="376">
        <f>'[9]Rev_NP-12me'!AC235</f>
        <v>0</v>
      </c>
      <c r="J202" s="373">
        <f>'[9]Rev_NP-12me'!CZ235</f>
        <v>94.831000000000003</v>
      </c>
      <c r="K202" s="373">
        <f>'[9]Rev_NP-12me'!DA235</f>
        <v>324.14844181741773</v>
      </c>
      <c r="L202" s="373">
        <f>'[9]Rev_NP-12me'!DC235</f>
        <v>8.1000000000000003E-2</v>
      </c>
      <c r="M202" s="376">
        <f t="shared" si="6"/>
        <v>419.06044181741777</v>
      </c>
    </row>
    <row r="203" spans="2:13" ht="14.4" x14ac:dyDescent="0.25">
      <c r="B203" s="385" t="s">
        <v>1169</v>
      </c>
      <c r="C203" s="17"/>
      <c r="D203" s="493">
        <f>'[9]Rev_NP-12me'!H236</f>
        <v>14</v>
      </c>
      <c r="E203" s="493">
        <f>'[9]Rev_NP-12me'!I236</f>
        <v>203.5</v>
      </c>
      <c r="F203" s="493">
        <f>'[9]Rev_NP-12me'!K236</f>
        <v>641.87810260874801</v>
      </c>
      <c r="G203" s="375">
        <f>'[9]Rev_NP-12me'!S236</f>
        <v>500</v>
      </c>
      <c r="H203" s="406">
        <f>'[9]Rev_NP-12me'!T236</f>
        <v>5.05</v>
      </c>
      <c r="I203" s="375">
        <f>'[9]Rev_NP-12me'!AC236</f>
        <v>5000</v>
      </c>
      <c r="J203" s="378">
        <f>'[9]Rev_NP-12me'!CZ236</f>
        <v>94.831000000000003</v>
      </c>
      <c r="K203" s="378">
        <f>'[9]Rev_NP-12me'!DA236</f>
        <v>324.14844181741773</v>
      </c>
      <c r="L203" s="378">
        <f>'[9]Rev_NP-12me'!DC236</f>
        <v>8.1000000000000003E-2</v>
      </c>
      <c r="M203" s="374">
        <f t="shared" si="6"/>
        <v>419.06044181741777</v>
      </c>
    </row>
    <row r="204" spans="2:13" ht="14.4" x14ac:dyDescent="0.25">
      <c r="B204" s="385" t="s">
        <v>1170</v>
      </c>
      <c r="C204" s="17"/>
      <c r="D204" s="493">
        <f>'[9]Rev_NP-12me'!H237</f>
        <v>0</v>
      </c>
      <c r="E204" s="493">
        <f>'[9]Rev_NP-12me'!I237</f>
        <v>0</v>
      </c>
      <c r="F204" s="493">
        <f>'[9]Rev_NP-12me'!K237</f>
        <v>0</v>
      </c>
      <c r="G204" s="375">
        <f>'[9]Rev_NP-12me'!S237</f>
        <v>0</v>
      </c>
      <c r="H204" s="406">
        <f>'[9]Rev_NP-12me'!T237</f>
        <v>0</v>
      </c>
      <c r="I204" s="375">
        <f>'[9]Rev_NP-12me'!AC237</f>
        <v>5000</v>
      </c>
      <c r="J204" s="378">
        <f>'[9]Rev_NP-12me'!CZ237</f>
        <v>0</v>
      </c>
      <c r="K204" s="378">
        <f>'[9]Rev_NP-12me'!DA237</f>
        <v>0</v>
      </c>
      <c r="L204" s="378">
        <f>'[9]Rev_NP-12me'!DC237</f>
        <v>0</v>
      </c>
      <c r="M204" s="374">
        <f t="shared" si="6"/>
        <v>0</v>
      </c>
    </row>
    <row r="205" spans="2:13" ht="14.4" x14ac:dyDescent="0.25">
      <c r="B205" s="385" t="s">
        <v>1171</v>
      </c>
      <c r="C205" s="17"/>
      <c r="D205" s="493">
        <f>'[9]Rev_NP-12me'!H238</f>
        <v>0</v>
      </c>
      <c r="E205" s="493">
        <f>'[9]Rev_NP-12me'!I238</f>
        <v>0</v>
      </c>
      <c r="F205" s="493">
        <f>'[9]Rev_NP-12me'!K238</f>
        <v>0</v>
      </c>
      <c r="G205" s="375">
        <f>'[9]Rev_NP-12me'!S238</f>
        <v>500</v>
      </c>
      <c r="H205" s="406">
        <f>'[9]Rev_NP-12me'!T238</f>
        <v>4.95</v>
      </c>
      <c r="I205" s="375">
        <f>'[9]Rev_NP-12me'!AC238</f>
        <v>5000</v>
      </c>
      <c r="J205" s="378">
        <f>'[9]Rev_NP-12me'!CZ238</f>
        <v>0</v>
      </c>
      <c r="K205" s="378">
        <f>'[9]Rev_NP-12me'!DA238</f>
        <v>0</v>
      </c>
      <c r="L205" s="378">
        <f>'[9]Rev_NP-12me'!DC238</f>
        <v>0</v>
      </c>
      <c r="M205" s="374">
        <f t="shared" si="6"/>
        <v>0</v>
      </c>
    </row>
    <row r="206" spans="2:13" ht="14.4" x14ac:dyDescent="0.25">
      <c r="B206" s="400" t="s">
        <v>1172</v>
      </c>
      <c r="C206" s="17"/>
      <c r="D206" s="493">
        <f>'[9]Rev_NP-12me'!H239</f>
        <v>0</v>
      </c>
      <c r="E206" s="493">
        <f>'[9]Rev_NP-12me'!I239</f>
        <v>0</v>
      </c>
      <c r="F206" s="493">
        <f>'[9]Rev_NP-12me'!K239</f>
        <v>0</v>
      </c>
      <c r="G206" s="375">
        <f>'[9]Rev_NP-12me'!S239</f>
        <v>500</v>
      </c>
      <c r="H206" s="406">
        <f>'[9]Rev_NP-12me'!T239</f>
        <v>4.95</v>
      </c>
      <c r="I206" s="375">
        <f>'[9]Rev_NP-12me'!AC239</f>
        <v>5000</v>
      </c>
      <c r="J206" s="378">
        <f>'[9]Rev_NP-12me'!CZ239</f>
        <v>0</v>
      </c>
      <c r="K206" s="378">
        <f>'[9]Rev_NP-12me'!DA239</f>
        <v>0</v>
      </c>
      <c r="L206" s="378">
        <f>'[9]Rev_NP-12me'!DC239</f>
        <v>0</v>
      </c>
      <c r="M206" s="374">
        <f t="shared" si="6"/>
        <v>0</v>
      </c>
    </row>
    <row r="207" spans="2:13" x14ac:dyDescent="0.25">
      <c r="B207" s="383" t="s">
        <v>811</v>
      </c>
      <c r="C207" s="17"/>
      <c r="D207" s="491">
        <f>'[9]Rev_NP-12me'!H240</f>
        <v>2</v>
      </c>
      <c r="E207" s="491">
        <f>'[9]Rev_NP-12me'!I240</f>
        <v>30</v>
      </c>
      <c r="F207" s="491">
        <f>'[9]Rev_NP-12me'!K240</f>
        <v>66.945765103448267</v>
      </c>
      <c r="G207" s="376">
        <f>'[9]Rev_NP-12me'!S240</f>
        <v>285</v>
      </c>
      <c r="H207" s="407">
        <f>'[9]Rev_NP-12me'!T240</f>
        <v>7.3</v>
      </c>
      <c r="I207" s="376">
        <f>'[9]Rev_NP-12me'!AC240</f>
        <v>5000</v>
      </c>
      <c r="J207" s="373">
        <f>'[9]Rev_NP-12me'!CZ240</f>
        <v>7.7880000000000003</v>
      </c>
      <c r="K207" s="373">
        <f>'[9]Rev_NP-12me'!DA240</f>
        <v>48.870408525517234</v>
      </c>
      <c r="L207" s="373">
        <f>'[9]Rev_NP-12me'!DC240</f>
        <v>1.2E-2</v>
      </c>
      <c r="M207" s="376">
        <f t="shared" si="6"/>
        <v>56.670408525517232</v>
      </c>
    </row>
    <row r="208" spans="2:13" x14ac:dyDescent="0.25">
      <c r="B208" s="383" t="s">
        <v>813</v>
      </c>
      <c r="C208" s="17"/>
      <c r="D208" s="491">
        <f>'[9]Rev_NP-12me'!H241</f>
        <v>0</v>
      </c>
      <c r="E208" s="491">
        <f>'[9]Rev_NP-12me'!I241</f>
        <v>0</v>
      </c>
      <c r="F208" s="491">
        <f>'[9]Rev_NP-12me'!K241</f>
        <v>0</v>
      </c>
      <c r="G208" s="376">
        <f>'[9]Rev_NP-12me'!S241</f>
        <v>500</v>
      </c>
      <c r="H208" s="407">
        <f>'[9]Rev_NP-12me'!T241</f>
        <v>10.8</v>
      </c>
      <c r="I208" s="376">
        <f>'[9]Rev_NP-12me'!AC241</f>
        <v>5000</v>
      </c>
      <c r="J208" s="373">
        <f>'[9]Rev_NP-12me'!CZ241</f>
        <v>0</v>
      </c>
      <c r="K208" s="373">
        <f>'[9]Rev_NP-12me'!DA241</f>
        <v>0</v>
      </c>
      <c r="L208" s="373">
        <f>'[9]Rev_NP-12me'!DC241</f>
        <v>6.0000000000000001E-3</v>
      </c>
      <c r="M208" s="376">
        <f t="shared" si="6"/>
        <v>6.0000000000000001E-3</v>
      </c>
    </row>
    <row r="209" spans="2:13" x14ac:dyDescent="0.25">
      <c r="B209" s="391" t="s">
        <v>1173</v>
      </c>
      <c r="C209" s="17"/>
      <c r="D209" s="234">
        <f>SUM(D167,D175,D180,D181,D186,D191,D196,D199,D201,D202,D207,D208)</f>
        <v>74</v>
      </c>
      <c r="E209" s="234">
        <f>SUM(E167,E175,E180,E181,E186,E191,E196,E199,E201,E202,E207,E208)</f>
        <v>3141.893</v>
      </c>
      <c r="F209" s="234">
        <f>SUM(F167,F175,F180,F181,F186,F191,F196,F199,F201,F202,F207,F208)</f>
        <v>2873.9806795240074</v>
      </c>
      <c r="G209" s="394"/>
      <c r="H209" s="394"/>
      <c r="I209" s="394"/>
      <c r="J209" s="393">
        <f t="shared" ref="J209:L209" si="7">SUM(J167,J175,J180,J181,J186,J191,J196,J199,J201,J202,J207,J208)</f>
        <v>647.4859525520834</v>
      </c>
      <c r="K209" s="393">
        <f t="shared" si="7"/>
        <v>1753.3644594055809</v>
      </c>
      <c r="L209" s="392">
        <f t="shared" si="7"/>
        <v>0.44100000000000006</v>
      </c>
      <c r="M209" s="393">
        <f>SUM(M167,M175,M180,M181,M186,M191,M196,M199,M201,M202,M207,M208)</f>
        <v>2401.2914119576644</v>
      </c>
    </row>
    <row r="210" spans="2:13" x14ac:dyDescent="0.25">
      <c r="B210" s="391"/>
      <c r="C210" s="17"/>
      <c r="D210" s="495"/>
      <c r="E210" s="495"/>
      <c r="F210" s="495"/>
      <c r="G210" s="381"/>
      <c r="H210" s="381"/>
      <c r="I210" s="381"/>
      <c r="J210" s="381"/>
      <c r="K210" s="381"/>
      <c r="L210" s="381"/>
      <c r="M210" s="374"/>
    </row>
    <row r="211" spans="2:13" x14ac:dyDescent="0.25">
      <c r="B211" s="28" t="s">
        <v>1174</v>
      </c>
      <c r="C211" s="17"/>
      <c r="D211" s="234">
        <f>D120+D164+D209</f>
        <v>3883</v>
      </c>
      <c r="E211" s="234">
        <f>E120+E164+E209</f>
        <v>4708.2627300000004</v>
      </c>
      <c r="F211" s="234">
        <f>F120+F164+F209</f>
        <v>6326.5428284037916</v>
      </c>
      <c r="G211" s="392"/>
      <c r="H211" s="392"/>
      <c r="I211" s="392"/>
      <c r="J211" s="392">
        <f>J120+J164+J209</f>
        <v>1004.6887506602084</v>
      </c>
      <c r="K211" s="392">
        <f>K120+K164+K209</f>
        <v>3993.8691888634175</v>
      </c>
      <c r="L211" s="392">
        <f>L120+L164+L209</f>
        <v>9.6686999999999994</v>
      </c>
      <c r="M211" s="392">
        <f>M120+M164+M209</f>
        <v>5008.2266395236265</v>
      </c>
    </row>
    <row r="212" spans="2:13" x14ac:dyDescent="0.25">
      <c r="B212" s="28" t="s">
        <v>1175</v>
      </c>
      <c r="C212" s="17"/>
      <c r="D212" s="234">
        <f>D211+D70</f>
        <v>6180242</v>
      </c>
      <c r="E212" s="500">
        <f>E211+E70</f>
        <v>16429.784730565261</v>
      </c>
      <c r="F212" s="234">
        <f>F211+F70</f>
        <v>22399.630593656075</v>
      </c>
      <c r="G212" s="392"/>
      <c r="H212" s="392"/>
      <c r="I212" s="392"/>
      <c r="J212" s="393">
        <f>J211+J70</f>
        <v>1209.2156991864472</v>
      </c>
      <c r="K212" s="393">
        <f>K211+K70</f>
        <v>7254.8111158459542</v>
      </c>
      <c r="L212" s="393">
        <f>L211+L70</f>
        <v>427.53047999999995</v>
      </c>
      <c r="M212" s="393">
        <f>M211+M70</f>
        <v>8891.5572950324022</v>
      </c>
    </row>
    <row r="214" spans="2:13" x14ac:dyDescent="0.25">
      <c r="D214" s="498" t="s">
        <v>36</v>
      </c>
      <c r="E214" s="118"/>
    </row>
    <row r="215" spans="2:13" x14ac:dyDescent="0.25">
      <c r="D215" s="499">
        <v>1</v>
      </c>
      <c r="E215" s="118" t="s">
        <v>984</v>
      </c>
    </row>
    <row r="216" spans="2:13" x14ac:dyDescent="0.25">
      <c r="D216" s="499">
        <f>D215+1</f>
        <v>2</v>
      </c>
      <c r="E216" s="118" t="s">
        <v>985</v>
      </c>
    </row>
  </sheetData>
  <mergeCells count="11">
    <mergeCell ref="B8:C8"/>
    <mergeCell ref="B72:C72"/>
    <mergeCell ref="O76:P76"/>
    <mergeCell ref="B2:N2"/>
    <mergeCell ref="B5:C7"/>
    <mergeCell ref="D5:D6"/>
    <mergeCell ref="E5:E6"/>
    <mergeCell ref="F5:F6"/>
    <mergeCell ref="G5:H5"/>
    <mergeCell ref="I5:I6"/>
    <mergeCell ref="J5:M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S823"/>
  <sheetViews>
    <sheetView showGridLines="0" view="pageBreakPreview" topLeftCell="A561" zoomScale="70" zoomScaleNormal="80" zoomScaleSheetLayoutView="70" workbookViewId="0">
      <selection activeCell="K17" sqref="K17"/>
    </sheetView>
  </sheetViews>
  <sheetFormatPr defaultColWidth="9.109375" defaultRowHeight="13.8" x14ac:dyDescent="0.25"/>
  <cols>
    <col min="1" max="1" width="3.109375" style="4" customWidth="1"/>
    <col min="2" max="2" width="8.33203125" style="4" customWidth="1"/>
    <col min="3" max="3" width="21.6640625" style="4" bestFit="1" customWidth="1"/>
    <col min="4" max="4" width="40" style="4" customWidth="1"/>
    <col min="5" max="16" width="8.5546875" style="4" customWidth="1"/>
    <col min="17" max="17" width="11.33203125" style="4" customWidth="1"/>
    <col min="18" max="18" width="12.44140625" style="4" customWidth="1"/>
    <col min="19" max="19" width="12.6640625" style="4" customWidth="1"/>
    <col min="20" max="16384" width="9.109375" style="4"/>
  </cols>
  <sheetData>
    <row r="2" spans="2:19" x14ac:dyDescent="0.25">
      <c r="J2" s="23" t="s">
        <v>160</v>
      </c>
    </row>
    <row r="3" spans="2:19" x14ac:dyDescent="0.25">
      <c r="J3" s="25" t="s">
        <v>227</v>
      </c>
    </row>
    <row r="4" spans="2:19" hidden="1" x14ac:dyDescent="0.25">
      <c r="B4" s="14"/>
      <c r="C4" s="14" t="s">
        <v>228</v>
      </c>
      <c r="D4" s="57"/>
      <c r="E4" s="57"/>
      <c r="F4" s="57"/>
      <c r="G4" s="57"/>
      <c r="S4" s="25" t="s">
        <v>229</v>
      </c>
    </row>
    <row r="5" spans="2:19" ht="13.95" hidden="1" customHeight="1" x14ac:dyDescent="0.25">
      <c r="B5" s="60"/>
      <c r="C5" s="762" t="s">
        <v>163</v>
      </c>
      <c r="D5" s="763"/>
      <c r="E5" s="758" t="s">
        <v>164</v>
      </c>
      <c r="F5" s="758" t="s">
        <v>165</v>
      </c>
      <c r="G5" s="758" t="s">
        <v>166</v>
      </c>
      <c r="H5" s="755" t="s">
        <v>230</v>
      </c>
      <c r="I5" s="756"/>
      <c r="J5" s="757"/>
      <c r="K5" s="755" t="s">
        <v>131</v>
      </c>
      <c r="L5" s="756"/>
      <c r="M5" s="756"/>
      <c r="N5" s="756"/>
      <c r="O5" s="768" t="s">
        <v>231</v>
      </c>
      <c r="P5" s="768"/>
      <c r="Q5" s="768"/>
      <c r="R5" s="768"/>
      <c r="S5" s="768"/>
    </row>
    <row r="6" spans="2:19" ht="55.2" hidden="1" x14ac:dyDescent="0.25">
      <c r="B6" s="60"/>
      <c r="C6" s="764"/>
      <c r="D6" s="765"/>
      <c r="E6" s="759"/>
      <c r="F6" s="759"/>
      <c r="G6" s="759"/>
      <c r="H6" s="7" t="s">
        <v>10</v>
      </c>
      <c r="I6" s="7" t="s">
        <v>11</v>
      </c>
      <c r="J6" s="7" t="s">
        <v>12</v>
      </c>
      <c r="K6" s="7" t="s">
        <v>10</v>
      </c>
      <c r="L6" s="7" t="s">
        <v>13</v>
      </c>
      <c r="M6" s="7" t="s">
        <v>14</v>
      </c>
      <c r="N6" s="7" t="s">
        <v>15</v>
      </c>
      <c r="O6" s="7" t="s">
        <v>169</v>
      </c>
      <c r="P6" s="7" t="s">
        <v>136</v>
      </c>
      <c r="Q6" s="7" t="s">
        <v>137</v>
      </c>
      <c r="R6" s="7" t="s">
        <v>138</v>
      </c>
      <c r="S6" s="7" t="s">
        <v>232</v>
      </c>
    </row>
    <row r="7" spans="2:19" ht="27.6" hidden="1" x14ac:dyDescent="0.25">
      <c r="B7" s="60"/>
      <c r="C7" s="766"/>
      <c r="D7" s="767"/>
      <c r="E7" s="7" t="s">
        <v>22</v>
      </c>
      <c r="F7" s="7" t="s">
        <v>22</v>
      </c>
      <c r="G7" s="7" t="s">
        <v>22</v>
      </c>
      <c r="H7" s="7" t="s">
        <v>21</v>
      </c>
      <c r="I7" s="7" t="s">
        <v>22</v>
      </c>
      <c r="J7" s="7" t="s">
        <v>23</v>
      </c>
      <c r="K7" s="7" t="s">
        <v>21</v>
      </c>
      <c r="L7" s="7" t="s">
        <v>24</v>
      </c>
      <c r="M7" s="7" t="s">
        <v>25</v>
      </c>
      <c r="N7" s="7" t="s">
        <v>25</v>
      </c>
      <c r="O7" s="7" t="s">
        <v>26</v>
      </c>
      <c r="P7" s="7" t="s">
        <v>26</v>
      </c>
      <c r="Q7" s="7" t="s">
        <v>26</v>
      </c>
      <c r="R7" s="7" t="s">
        <v>26</v>
      </c>
      <c r="S7" s="7" t="s">
        <v>26</v>
      </c>
    </row>
    <row r="8" spans="2:19" hidden="1" x14ac:dyDescent="0.25">
      <c r="B8" s="60"/>
      <c r="C8" s="753" t="s">
        <v>171</v>
      </c>
      <c r="D8" s="754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</row>
    <row r="9" spans="2:19" hidden="1" x14ac:dyDescent="0.25">
      <c r="B9" s="60"/>
      <c r="C9" s="59" t="s">
        <v>172</v>
      </c>
      <c r="D9" s="59" t="s">
        <v>173</v>
      </c>
      <c r="E9" s="163">
        <f>F4A!E9+F4B!E9</f>
        <v>3547.0510800000002</v>
      </c>
      <c r="F9" s="163">
        <f>F4A!F9+F4B!F9</f>
        <v>3769.4315569999999</v>
      </c>
      <c r="G9" s="163">
        <f>F4A!G9+F4B!G9</f>
        <v>3863.4218674038889</v>
      </c>
      <c r="H9" s="163">
        <f>F4A!H9+F4B!H9</f>
        <v>4436.9900000000007</v>
      </c>
      <c r="I9" s="163">
        <f>F4A!I9+F4B!I9</f>
        <v>3891.8542163000002</v>
      </c>
      <c r="J9" s="163">
        <f>F4A!J9+F4B!J9</f>
        <v>-545.1357837000005</v>
      </c>
      <c r="K9" s="163">
        <f>F4A!K9+F4B!K9</f>
        <v>4160.68</v>
      </c>
      <c r="L9" s="163">
        <f>F4A!L9+F4B!L9</f>
        <v>2291.281661</v>
      </c>
      <c r="M9" s="163">
        <f>F4A!M9+F4B!M9</f>
        <v>1788.7232909999998</v>
      </c>
      <c r="N9" s="163">
        <f>F4A!N9+F4B!N9</f>
        <v>4080.0049519999998</v>
      </c>
      <c r="O9" s="163">
        <f>F4A!O9+F4B!O9</f>
        <v>4518.509500065079</v>
      </c>
      <c r="P9" s="163">
        <f>F4A!P9+F4B!P9</f>
        <v>5004.142970995681</v>
      </c>
      <c r="Q9" s="163">
        <f>F4A!Q9+F4B!Q9</f>
        <v>4598.8742104793027</v>
      </c>
      <c r="R9" s="163">
        <f>F4A!R9+F4B!R9</f>
        <v>4761.9782804687929</v>
      </c>
      <c r="S9" s="163">
        <f>F4A!S9+F4B!S9</f>
        <v>4958.0805660203923</v>
      </c>
    </row>
    <row r="10" spans="2:19" hidden="1" x14ac:dyDescent="0.25">
      <c r="C10" s="17" t="s">
        <v>174</v>
      </c>
      <c r="D10" s="17" t="s">
        <v>175</v>
      </c>
      <c r="E10" s="163">
        <f>F4A!E10+F4B!E10</f>
        <v>757.97826359999999</v>
      </c>
      <c r="F10" s="163">
        <f>F4A!F10+F4B!F10</f>
        <v>648.98373470000001</v>
      </c>
      <c r="G10" s="163">
        <f>F4A!G10+F4B!G10</f>
        <v>743.85729817948095</v>
      </c>
      <c r="H10" s="163">
        <f>F4A!H10+F4B!H10</f>
        <v>969.85</v>
      </c>
      <c r="I10" s="163">
        <f>F4A!I10+F4B!I10</f>
        <v>875.13697900000011</v>
      </c>
      <c r="J10" s="163">
        <f>F4A!J10+F4B!J10</f>
        <v>-94.713020999999912</v>
      </c>
      <c r="K10" s="163">
        <f>F4A!K10+F4B!K10</f>
        <v>780.41000000000008</v>
      </c>
      <c r="L10" s="163">
        <f>F4A!L10+F4B!L10</f>
        <v>506.79669200000001</v>
      </c>
      <c r="M10" s="163">
        <f>F4A!M10+F4B!M10</f>
        <v>449.26245799999998</v>
      </c>
      <c r="N10" s="163">
        <f>F4A!N10+F4B!N10</f>
        <v>956.05915000000005</v>
      </c>
      <c r="O10" s="163">
        <f>F4A!O10+F4B!O10</f>
        <v>1030.7841392053081</v>
      </c>
      <c r="P10" s="163">
        <f>F4A!P10+F4B!P10</f>
        <v>1096.1498398291596</v>
      </c>
      <c r="Q10" s="163">
        <f>F4A!Q10+F4B!Q10</f>
        <v>1204.8659776512711</v>
      </c>
      <c r="R10" s="163">
        <f>F4A!R10+F4B!R10</f>
        <v>1326.8705767464355</v>
      </c>
      <c r="S10" s="163">
        <f>F4A!S10+F4B!S10</f>
        <v>1442.0458512617563</v>
      </c>
    </row>
    <row r="11" spans="2:19" hidden="1" x14ac:dyDescent="0.25">
      <c r="C11" s="17" t="s">
        <v>176</v>
      </c>
      <c r="D11" s="17" t="s">
        <v>177</v>
      </c>
      <c r="E11" s="163">
        <f>F4A!E11+F4B!E11</f>
        <v>244.35901160999998</v>
      </c>
      <c r="F11" s="163">
        <f>F4A!F11+F4B!F11</f>
        <v>245.99539202300002</v>
      </c>
      <c r="G11" s="163">
        <f>F4A!G11+F4B!G11</f>
        <v>235.73644825441801</v>
      </c>
      <c r="H11" s="163">
        <f>F4A!H11+F4B!H11</f>
        <v>244.35999999999999</v>
      </c>
      <c r="I11" s="163">
        <f>F4A!I11+F4B!I11</f>
        <v>237.01522249999996</v>
      </c>
      <c r="J11" s="163">
        <f>F4A!J11+F4B!J11</f>
        <v>-7.3447775000000206</v>
      </c>
      <c r="K11" s="163">
        <f>F4A!K11+F4B!K11</f>
        <v>137.37</v>
      </c>
      <c r="L11" s="163">
        <f>F4A!L11+F4B!L11</f>
        <v>117.74510299999997</v>
      </c>
      <c r="M11" s="163">
        <f>F4A!M11+F4B!M11</f>
        <v>122.522418</v>
      </c>
      <c r="N11" s="163">
        <f>F4A!N11+F4B!N11</f>
        <v>240.26752099999999</v>
      </c>
      <c r="O11" s="163">
        <f>F4A!O11+F4B!O11</f>
        <v>239.31127436000008</v>
      </c>
      <c r="P11" s="163">
        <f>F4A!P11+F4B!P11</f>
        <v>244.09749984720006</v>
      </c>
      <c r="Q11" s="163">
        <f>F4A!Q11+F4B!Q11</f>
        <v>253.40445087253354</v>
      </c>
      <c r="R11" s="163">
        <f>F4A!R11+F4B!R11</f>
        <v>258.47253988998415</v>
      </c>
      <c r="S11" s="163">
        <f>F4A!S11+F4B!S11</f>
        <v>263.64199068778385</v>
      </c>
    </row>
    <row r="12" spans="2:19" hidden="1" x14ac:dyDescent="0.25">
      <c r="C12" s="17" t="s">
        <v>178</v>
      </c>
      <c r="D12" s="17" t="s">
        <v>179</v>
      </c>
      <c r="E12" s="163">
        <f>F4A!E12+F4B!E12</f>
        <v>7.5488219999999995</v>
      </c>
      <c r="F12" s="163">
        <f>F4A!F12+F4B!F12</f>
        <v>7.7788320000000004</v>
      </c>
      <c r="G12" s="163">
        <f>F4A!G12+F4B!G12</f>
        <v>8.1794790119900007</v>
      </c>
      <c r="H12" s="163">
        <f>F4A!H12+F4B!H12</f>
        <v>8.66</v>
      </c>
      <c r="I12" s="163">
        <f>F4A!I12+F4B!I12</f>
        <v>8.3373779999999993</v>
      </c>
      <c r="J12" s="163">
        <f>F4A!J12+F4B!J12</f>
        <v>-0.32262200000000085</v>
      </c>
      <c r="K12" s="163">
        <f>F4A!K12+F4B!K12</f>
        <v>8.6700000000000017</v>
      </c>
      <c r="L12" s="163">
        <f>F4A!L12+F4B!L12</f>
        <v>4.4163129999999997</v>
      </c>
      <c r="M12" s="163">
        <f>F4A!M12+F4B!M12</f>
        <v>3.9098440000000001</v>
      </c>
      <c r="N12" s="163">
        <f>F4A!N12+F4B!N12</f>
        <v>8.3261570000000003</v>
      </c>
      <c r="O12" s="163">
        <f>F4A!O12+F4B!O12</f>
        <v>8.2290849126100269</v>
      </c>
      <c r="P12" s="163">
        <f>F4A!P12+F4B!P12</f>
        <v>8.6405391582405286</v>
      </c>
      <c r="Q12" s="163">
        <f>F4A!Q12+F4B!Q12</f>
        <v>9.0862848200868207</v>
      </c>
      <c r="R12" s="163">
        <f>F4A!R12+F4B!R12</f>
        <v>9.2793698941482656</v>
      </c>
      <c r="S12" s="163">
        <f>F4A!S12+F4B!S12</f>
        <v>9.480173506721659</v>
      </c>
    </row>
    <row r="13" spans="2:19" hidden="1" x14ac:dyDescent="0.25">
      <c r="C13" s="17" t="s">
        <v>180</v>
      </c>
      <c r="D13" s="17" t="s">
        <v>181</v>
      </c>
      <c r="E13" s="163">
        <f>F4A!E13+F4B!E13</f>
        <v>7140.2743269198318</v>
      </c>
      <c r="F13" s="163">
        <f>F4A!F13+F4B!F13</f>
        <v>7904.0194382406644</v>
      </c>
      <c r="G13" s="163">
        <f>F4A!G13+F4B!G13</f>
        <v>7419.5086742702579</v>
      </c>
      <c r="H13" s="163">
        <f>F4A!H13+F4B!H13</f>
        <v>7238.09</v>
      </c>
      <c r="I13" s="163">
        <f>F4A!I13+F4B!I13</f>
        <v>7868.0185999999994</v>
      </c>
      <c r="J13" s="163">
        <f>F4A!J13+F4B!J13</f>
        <v>629.92859999999928</v>
      </c>
      <c r="K13" s="163">
        <f>F4A!K13+F4B!K13</f>
        <v>8399.9699999999993</v>
      </c>
      <c r="L13" s="163">
        <f>F4A!L13+F4B!L13</f>
        <v>3323.0565474984228</v>
      </c>
      <c r="M13" s="163">
        <f>F4A!M13+F4B!M13</f>
        <v>6123.9746346352877</v>
      </c>
      <c r="N13" s="163">
        <f>F4A!N13+F4B!N13</f>
        <v>9447.0311821337109</v>
      </c>
      <c r="O13" s="163">
        <f>F4A!O13+F4B!O13</f>
        <v>9812.4646639356743</v>
      </c>
      <c r="P13" s="163">
        <f>F4A!P13+F4B!P13</f>
        <v>10456.606075527796</v>
      </c>
      <c r="Q13" s="163">
        <f>F4A!Q13+F4B!Q13</f>
        <v>8661.881929798481</v>
      </c>
      <c r="R13" s="163">
        <f>F4A!R13+F4B!R13</f>
        <v>8934.2825297445561</v>
      </c>
      <c r="S13" s="163">
        <f>F4A!S13+F4B!S13</f>
        <v>9164.2840732210952</v>
      </c>
    </row>
    <row r="14" spans="2:19" hidden="1" x14ac:dyDescent="0.25">
      <c r="C14" s="17" t="s">
        <v>182</v>
      </c>
      <c r="D14" s="17" t="s">
        <v>183</v>
      </c>
      <c r="E14" s="163">
        <f>F4A!E14+F4B!E14</f>
        <v>307.82347199999998</v>
      </c>
      <c r="F14" s="163">
        <f>F4A!F14+F4B!F14</f>
        <v>322.31150699999995</v>
      </c>
      <c r="G14" s="163">
        <f>F4A!G14+F4B!G14</f>
        <v>344.52088746649196</v>
      </c>
      <c r="H14" s="163">
        <f>F4A!H14+F4B!H14</f>
        <v>326.21999999999997</v>
      </c>
      <c r="I14" s="163">
        <f>F4A!I14+F4B!I14</f>
        <v>354.78892999999994</v>
      </c>
      <c r="J14" s="163">
        <f>F4A!J14+F4B!J14</f>
        <v>28.568929999999966</v>
      </c>
      <c r="K14" s="163">
        <f>F4A!K14+F4B!K14</f>
        <v>375.71</v>
      </c>
      <c r="L14" s="163">
        <f>F4A!L14+F4B!L14</f>
        <v>180.11505399999999</v>
      </c>
      <c r="M14" s="163">
        <f>F4A!M14+F4B!M14</f>
        <v>187.67646400000001</v>
      </c>
      <c r="N14" s="163">
        <f>F4A!N14+F4B!N14</f>
        <v>367.791518</v>
      </c>
      <c r="O14" s="163">
        <f>F4A!O14+F4B!O14</f>
        <v>380.13136331460169</v>
      </c>
      <c r="P14" s="163">
        <f>F4A!P14+F4B!P14</f>
        <v>396.51543480131897</v>
      </c>
      <c r="Q14" s="163">
        <f>F4A!Q14+F4B!Q14</f>
        <v>413.68461785008503</v>
      </c>
      <c r="R14" s="163">
        <f>F4A!R14+F4B!R14</f>
        <v>429.10160187033523</v>
      </c>
      <c r="S14" s="163">
        <f>F4A!S14+F4B!S14</f>
        <v>445.7364509673298</v>
      </c>
    </row>
    <row r="15" spans="2:19" hidden="1" x14ac:dyDescent="0.25">
      <c r="C15" s="17" t="s">
        <v>184</v>
      </c>
      <c r="D15" s="17" t="s">
        <v>185</v>
      </c>
      <c r="E15" s="163">
        <f>F4A!E15+F4B!E15</f>
        <v>59.625922500000001</v>
      </c>
      <c r="F15" s="163">
        <f>F4A!F15+F4B!F15</f>
        <v>27.041659000000003</v>
      </c>
      <c r="G15" s="163">
        <f>F4A!G15+F4B!G15</f>
        <v>33.792156041649001</v>
      </c>
      <c r="H15" s="163">
        <f>F4A!H15+F4B!H15</f>
        <v>84.74</v>
      </c>
      <c r="I15" s="163">
        <f>F4A!I15+F4B!I15</f>
        <v>58.652121999999991</v>
      </c>
      <c r="J15" s="163">
        <f>F4A!J15+F4B!J15</f>
        <v>-26.087878000000003</v>
      </c>
      <c r="K15" s="163">
        <f>F4A!K15+F4B!K15</f>
        <v>69.41</v>
      </c>
      <c r="L15" s="163">
        <f>F4A!L15+F4B!L15</f>
        <v>30.782057999999999</v>
      </c>
      <c r="M15" s="163">
        <f>F4A!M15+F4B!M15</f>
        <v>32.129630999999996</v>
      </c>
      <c r="N15" s="163">
        <f>F4A!N15+F4B!N15</f>
        <v>62.911688999999996</v>
      </c>
      <c r="O15" s="163">
        <f>F4A!O15+F4B!O15</f>
        <v>68.265599859011161</v>
      </c>
      <c r="P15" s="163">
        <f>F4A!P15+F4B!P15</f>
        <v>73.648007460605655</v>
      </c>
      <c r="Q15" s="163">
        <f>F4A!Q15+F4B!Q15</f>
        <v>78.975541619197401</v>
      </c>
      <c r="R15" s="163">
        <f>F4A!R15+F4B!R15</f>
        <v>93.589678463048216</v>
      </c>
      <c r="S15" s="163">
        <f>F4A!S15+F4B!S15</f>
        <v>102.75827387354914</v>
      </c>
    </row>
    <row r="16" spans="2:19" hidden="1" x14ac:dyDescent="0.25">
      <c r="C16" s="17" t="s">
        <v>186</v>
      </c>
      <c r="D16" s="17" t="s">
        <v>187</v>
      </c>
      <c r="E16" s="163">
        <f>F4A!E16+F4B!E16</f>
        <v>0.17039799999999999</v>
      </c>
      <c r="F16" s="163">
        <f>F4A!F16+F4B!F16</f>
        <v>2.2594890000000003</v>
      </c>
      <c r="G16" s="163">
        <f>F4A!G16+F4B!G16</f>
        <v>5.0078590466000001</v>
      </c>
      <c r="H16" s="163">
        <f>F4A!H16+F4B!H16</f>
        <v>4.5599999999999996</v>
      </c>
      <c r="I16" s="163">
        <f>F4A!I16+F4B!I16</f>
        <v>10.290667000000003</v>
      </c>
      <c r="J16" s="163">
        <f>F4A!J16+F4B!J16</f>
        <v>5.7306670000000031</v>
      </c>
      <c r="K16" s="163">
        <f>F4A!K16+F4B!K16</f>
        <v>8.06</v>
      </c>
      <c r="L16" s="163">
        <f>F4A!L16+F4B!L16</f>
        <v>7.242877</v>
      </c>
      <c r="M16" s="163">
        <f>F4A!M16+F4B!M16</f>
        <v>6.9127910000000012</v>
      </c>
      <c r="N16" s="163">
        <f>F4A!N16+F4B!N16</f>
        <v>14.155668000000002</v>
      </c>
      <c r="O16" s="163">
        <f>F4A!O16+F4B!O16</f>
        <v>15.224471550000001</v>
      </c>
      <c r="P16" s="163">
        <f>F4A!P16+F4B!P16</f>
        <v>16.373973589713991</v>
      </c>
      <c r="Q16" s="163">
        <f>F4A!Q16+F4B!Q16</f>
        <v>16.386955168500002</v>
      </c>
      <c r="R16" s="163">
        <f>F4A!R16+F4B!R16</f>
        <v>17.206302926925002</v>
      </c>
      <c r="S16" s="163">
        <f>F4A!S16+F4B!S16</f>
        <v>18.06661807327125</v>
      </c>
    </row>
    <row r="17" spans="3:19" hidden="1" x14ac:dyDescent="0.25">
      <c r="C17" s="17" t="s">
        <v>188</v>
      </c>
      <c r="D17" s="17" t="s">
        <v>189</v>
      </c>
      <c r="E17" s="163">
        <f>F4A!E17+F4B!E17</f>
        <v>0</v>
      </c>
      <c r="F17" s="163">
        <f>F4A!F17+F4B!F17</f>
        <v>0</v>
      </c>
      <c r="G17" s="163">
        <f>F4A!G17+F4B!G17</f>
        <v>0</v>
      </c>
      <c r="H17" s="163">
        <f>F4A!H17+F4B!H17</f>
        <v>0</v>
      </c>
      <c r="I17" s="163">
        <f>F4A!I17+F4B!I17</f>
        <v>2.2508E-2</v>
      </c>
      <c r="J17" s="163">
        <f>F4A!J17+F4B!J17</f>
        <v>2.2508E-2</v>
      </c>
      <c r="K17" s="163">
        <f>F4A!K17+F4B!K17</f>
        <v>1.23</v>
      </c>
      <c r="L17" s="163">
        <f>F4A!L17+F4B!L17</f>
        <v>5.3129000000000003E-2</v>
      </c>
      <c r="M17" s="163">
        <f>F4A!M17+F4B!M17</f>
        <v>7.9620999999999997E-2</v>
      </c>
      <c r="N17" s="172">
        <f>F4A!N17+F4B!N17</f>
        <v>0.13275000000000001</v>
      </c>
      <c r="O17" s="163">
        <f>F4A!O17+F4B!O17</f>
        <v>0.16766805000000001</v>
      </c>
      <c r="P17" s="163">
        <f>F4A!P17+F4B!P17</f>
        <v>0.17605145250000001</v>
      </c>
      <c r="Q17" s="163">
        <f>F4A!Q17+F4B!Q17</f>
        <v>10.12923723231</v>
      </c>
      <c r="R17" s="163">
        <f>F4A!R17+F4B!R17</f>
        <v>10.635699093925501</v>
      </c>
      <c r="S17" s="163">
        <f>F4A!S17+F4B!S17</f>
        <v>11.167484048621777</v>
      </c>
    </row>
    <row r="18" spans="3:19" hidden="1" x14ac:dyDescent="0.25">
      <c r="C18" s="17"/>
      <c r="D18" s="17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</row>
    <row r="19" spans="3:19" hidden="1" x14ac:dyDescent="0.25">
      <c r="C19" s="17"/>
      <c r="D19" s="17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</row>
    <row r="20" spans="3:19" hidden="1" x14ac:dyDescent="0.25">
      <c r="C20" s="17"/>
      <c r="D20" s="17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</row>
    <row r="21" spans="3:19" hidden="1" x14ac:dyDescent="0.25">
      <c r="C21" s="17"/>
      <c r="D21" s="17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</row>
    <row r="22" spans="3:19" hidden="1" x14ac:dyDescent="0.25">
      <c r="C22" s="751" t="s">
        <v>190</v>
      </c>
      <c r="D22" s="752"/>
      <c r="E22" s="161">
        <f>Q98</f>
        <v>12064.831296629829</v>
      </c>
      <c r="F22" s="161">
        <f>Q172</f>
        <v>12927.821608963664</v>
      </c>
      <c r="G22" s="161">
        <f>Q245</f>
        <v>12654.024669674776</v>
      </c>
      <c r="H22" s="161">
        <f>SUM(H9:H21)</f>
        <v>13313.47</v>
      </c>
      <c r="I22" s="161">
        <f>Q318</f>
        <v>13304.116622799998</v>
      </c>
      <c r="J22" s="161">
        <f>I22-H22</f>
        <v>-9.3533772000009776</v>
      </c>
      <c r="K22" s="161">
        <f>SUM(K9:K21)</f>
        <v>13941.509999999997</v>
      </c>
      <c r="L22" s="161">
        <f>SUM(E393:J393)</f>
        <v>6461.4894344984232</v>
      </c>
      <c r="M22" s="161">
        <f>SUM(K393:P393)</f>
        <v>8715.1911526352869</v>
      </c>
      <c r="N22" s="161">
        <f>L22+M22</f>
        <v>15176.680587133709</v>
      </c>
      <c r="O22" s="161">
        <f>Q467</f>
        <v>16073.087765252285</v>
      </c>
      <c r="P22" s="161">
        <f>Q541</f>
        <v>17296.350392662218</v>
      </c>
      <c r="Q22" s="161">
        <f>Q615</f>
        <v>15247.289205491768</v>
      </c>
      <c r="R22" s="161">
        <f>Q689</f>
        <v>15841.416579098151</v>
      </c>
      <c r="S22" s="161">
        <f>Q763</f>
        <v>16415.261481660524</v>
      </c>
    </row>
    <row r="23" spans="3:19" hidden="1" x14ac:dyDescent="0.25">
      <c r="C23" s="753" t="s">
        <v>191</v>
      </c>
      <c r="D23" s="754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</row>
    <row r="24" spans="3:19" hidden="1" x14ac:dyDescent="0.25">
      <c r="C24" s="17" t="s">
        <v>192</v>
      </c>
      <c r="D24" s="17" t="s">
        <v>193</v>
      </c>
      <c r="E24" s="163">
        <f>F4A!E24+F4B!E24</f>
        <v>737.34099972999991</v>
      </c>
      <c r="F24" s="163">
        <f>F4A!F24+F4B!F24</f>
        <v>771.63515204033104</v>
      </c>
      <c r="G24" s="163">
        <f>F4A!G24+F4B!G24</f>
        <v>924.41170457999988</v>
      </c>
      <c r="H24" s="163">
        <f>F4A!H24+F4B!H24</f>
        <v>960.77</v>
      </c>
      <c r="I24" s="163">
        <f>F4A!I24+F4B!I24</f>
        <v>1008.1103776829033</v>
      </c>
      <c r="J24" s="163">
        <f>F4A!J24+F4B!J24</f>
        <v>47.340377682903295</v>
      </c>
      <c r="K24" s="163">
        <f>F4A!K24+F4B!K24</f>
        <v>1033.8599999999999</v>
      </c>
      <c r="L24" s="163">
        <f>F4A!L24+F4B!L24</f>
        <v>496.53826169000001</v>
      </c>
      <c r="M24" s="163">
        <f>F4A!M24+F4B!M24</f>
        <v>565.44682239999997</v>
      </c>
      <c r="N24" s="163">
        <f>F4A!N24+F4B!N24</f>
        <v>1061.9850840899999</v>
      </c>
      <c r="O24" s="163">
        <f>F4A!O24+F4B!O24</f>
        <v>1132.1996103125309</v>
      </c>
      <c r="P24" s="163">
        <f>F4A!P24+F4B!P24</f>
        <v>1211.3663986092283</v>
      </c>
      <c r="Q24" s="163">
        <f>F4A!Q24+F4B!Q24</f>
        <v>1440.3458511419983</v>
      </c>
      <c r="R24" s="163">
        <f>F4A!R24+F4B!R24</f>
        <v>1573.9359532919061</v>
      </c>
      <c r="S24" s="163">
        <f>F4A!S24+F4B!S24</f>
        <v>1720.6116144966729</v>
      </c>
    </row>
    <row r="25" spans="3:19" hidden="1" x14ac:dyDescent="0.25">
      <c r="C25" s="17" t="s">
        <v>194</v>
      </c>
      <c r="D25" s="17" t="s">
        <v>195</v>
      </c>
      <c r="E25" s="163">
        <f>F4A!E25+F4B!E25</f>
        <v>0</v>
      </c>
      <c r="F25" s="163">
        <f>F4A!F25+F4B!F25</f>
        <v>0</v>
      </c>
      <c r="G25" s="163">
        <f>F4A!G25+F4B!G25</f>
        <v>0</v>
      </c>
      <c r="H25" s="163">
        <f>F4A!H25+F4B!H25</f>
        <v>0</v>
      </c>
      <c r="I25" s="174">
        <f>F4A!I25+F4B!I25</f>
        <v>0</v>
      </c>
      <c r="J25" s="163">
        <f>F4A!J25+F4B!J25</f>
        <v>0</v>
      </c>
      <c r="K25" s="163">
        <f>F4A!K25+F4B!K25</f>
        <v>0</v>
      </c>
      <c r="L25" s="163">
        <f>F4A!L25+F4B!L25</f>
        <v>0</v>
      </c>
      <c r="M25" s="163">
        <f>F4A!M25+F4B!M25</f>
        <v>0</v>
      </c>
      <c r="N25" s="174">
        <f>F4A!N25+F4B!N25</f>
        <v>0</v>
      </c>
      <c r="O25" s="163">
        <f>F4A!O25+F4B!O25</f>
        <v>0</v>
      </c>
      <c r="P25" s="163">
        <f>F4A!P25+F4B!P25</f>
        <v>0</v>
      </c>
      <c r="Q25" s="163">
        <f>F4A!Q25+F4B!Q25</f>
        <v>0</v>
      </c>
      <c r="R25" s="163">
        <f>F4A!R25+F4B!R25</f>
        <v>0</v>
      </c>
      <c r="S25" s="163">
        <f>F4A!S25+F4B!S25</f>
        <v>0</v>
      </c>
    </row>
    <row r="26" spans="3:19" hidden="1" x14ac:dyDescent="0.25">
      <c r="C26" s="17" t="s">
        <v>233</v>
      </c>
      <c r="D26" s="17" t="s">
        <v>197</v>
      </c>
      <c r="E26" s="163">
        <f>F4A!E26+F4B!E26</f>
        <v>137.44894779999998</v>
      </c>
      <c r="F26" s="163">
        <f>F4A!F26+F4B!F26</f>
        <v>96.021826189999999</v>
      </c>
      <c r="G26" s="163">
        <f>F4A!G26+F4B!G26</f>
        <v>131.72737535999997</v>
      </c>
      <c r="H26" s="163">
        <f>F4A!H26+F4B!H26</f>
        <v>181.27999999999997</v>
      </c>
      <c r="I26" s="163">
        <f>F4A!I26+F4B!I26</f>
        <v>186.77064819</v>
      </c>
      <c r="J26" s="163">
        <f>F4A!J26+F4B!J26</f>
        <v>5.4906481900000301</v>
      </c>
      <c r="K26" s="163">
        <f>F4A!K26+F4B!K26</f>
        <v>186.97</v>
      </c>
      <c r="L26" s="163">
        <f>F4A!L26+F4B!L26</f>
        <v>107.20753424999999</v>
      </c>
      <c r="M26" s="163">
        <f>F4A!M26+F4B!M26</f>
        <v>97.071814140000015</v>
      </c>
      <c r="N26" s="163">
        <f>F4A!N26+F4B!N26</f>
        <v>204.27934839</v>
      </c>
      <c r="O26" s="163">
        <f>F4A!O26+F4B!O26</f>
        <v>228.52878712903714</v>
      </c>
      <c r="P26" s="163">
        <f>F4A!P26+F4B!P26</f>
        <v>252.98851961016715</v>
      </c>
      <c r="Q26" s="163">
        <f>F4A!Q26+F4B!Q26</f>
        <v>286.34447739732542</v>
      </c>
      <c r="R26" s="163">
        <f>F4A!R26+F4B!R26</f>
        <v>334.46597044697234</v>
      </c>
      <c r="S26" s="163">
        <f>F4A!S26+F4B!S26</f>
        <v>375.80330946325961</v>
      </c>
    </row>
    <row r="27" spans="3:19" hidden="1" x14ac:dyDescent="0.25">
      <c r="C27" s="17" t="s">
        <v>198</v>
      </c>
      <c r="D27" s="17" t="s">
        <v>199</v>
      </c>
      <c r="E27" s="171">
        <f>F4A!E27+F4B!E27</f>
        <v>0</v>
      </c>
      <c r="F27" s="171">
        <f>F4A!F27+F4B!F27</f>
        <v>0</v>
      </c>
      <c r="G27" s="171">
        <f>F4A!G27+F4B!G27</f>
        <v>1.3798000000000001E-2</v>
      </c>
      <c r="H27" s="171">
        <f>F4A!H27+F4B!H27</f>
        <v>0</v>
      </c>
      <c r="I27" s="171">
        <f>F4A!I27+F4B!I27</f>
        <v>4.6809000000000003E-2</v>
      </c>
      <c r="J27" s="171">
        <f>F4A!J27+F4B!J27</f>
        <v>4.6809000000000003E-2</v>
      </c>
      <c r="K27" s="171">
        <f>F4A!K27+F4B!K27</f>
        <v>0.95999999999999985</v>
      </c>
      <c r="L27" s="171">
        <f>F4A!L27+F4B!L27</f>
        <v>0.124945</v>
      </c>
      <c r="M27" s="171">
        <f>F4A!M27+F4B!M27</f>
        <v>0.14243</v>
      </c>
      <c r="N27" s="173">
        <f>F4A!N27+F4B!N27</f>
        <v>0.26737500000000003</v>
      </c>
      <c r="O27" s="173">
        <f>F4A!O27+F4B!O27</f>
        <v>0.33102660000000006</v>
      </c>
      <c r="P27" s="173">
        <f>F4A!P27+F4B!P27</f>
        <v>0.33764713199999996</v>
      </c>
      <c r="Q27" s="173">
        <f>F4A!Q27+F4B!Q27</f>
        <v>0.28374048899999998</v>
      </c>
      <c r="R27" s="173">
        <f>F4A!R27+F4B!R27</f>
        <v>0.28941529878</v>
      </c>
      <c r="S27" s="173">
        <f>F4A!S27+F4B!S27</f>
        <v>0.29520360475560004</v>
      </c>
    </row>
    <row r="28" spans="3:19" hidden="1" x14ac:dyDescent="0.25">
      <c r="C28" s="17" t="s">
        <v>200</v>
      </c>
      <c r="D28" s="17" t="s">
        <v>201</v>
      </c>
      <c r="E28" s="163">
        <f>F4A!E28+F4B!E28</f>
        <v>7.5639609999999999</v>
      </c>
      <c r="F28" s="163">
        <f>F4A!F28+F4B!F28</f>
        <v>6.2008020000000004</v>
      </c>
      <c r="G28" s="163">
        <f>F4A!G28+F4B!G28</f>
        <v>7.1447340000000006</v>
      </c>
      <c r="H28" s="163">
        <f>F4A!H28+F4B!H28</f>
        <v>7.56</v>
      </c>
      <c r="I28" s="163">
        <f>F4A!I28+F4B!I28</f>
        <v>8.1262229999999978</v>
      </c>
      <c r="J28" s="163">
        <f>F4A!J28+F4B!J28</f>
        <v>0.56622299999999814</v>
      </c>
      <c r="K28" s="163">
        <f>F4A!K28+F4B!K28</f>
        <v>7.82</v>
      </c>
      <c r="L28" s="163">
        <f>F4A!L28+F4B!L28</f>
        <v>4.5065770000000009</v>
      </c>
      <c r="M28" s="163">
        <f>F4A!M28+F4B!M28</f>
        <v>3.8211589999999998</v>
      </c>
      <c r="N28" s="163">
        <f>F4A!N28+F4B!N28</f>
        <v>8.3277360000000016</v>
      </c>
      <c r="O28" s="163">
        <f>F4A!O28+F4B!O28</f>
        <v>8.427113748004512</v>
      </c>
      <c r="P28" s="163">
        <f>F4A!P28+F4B!P28</f>
        <v>8.6112217104417219</v>
      </c>
      <c r="Q28" s="163">
        <f>F4A!Q28+F4B!Q28</f>
        <v>9.3310743020160913</v>
      </c>
      <c r="R28" s="163">
        <f>F4A!R28+F4B!R28</f>
        <v>9.8428476783015171</v>
      </c>
      <c r="S28" s="163">
        <f>F4A!S28+F4B!S28</f>
        <v>10.227445406395812</v>
      </c>
    </row>
    <row r="29" spans="3:19" hidden="1" x14ac:dyDescent="0.25">
      <c r="C29" s="17" t="s">
        <v>202</v>
      </c>
      <c r="D29" s="17" t="s">
        <v>203</v>
      </c>
      <c r="E29" s="163">
        <f>F4A!E29+F4B!E29</f>
        <v>28.122808889999817</v>
      </c>
      <c r="F29" s="163">
        <f>F4A!F29+F4B!F29</f>
        <v>33.421470570000096</v>
      </c>
      <c r="G29" s="163">
        <f>F4A!G29+F4B!G29</f>
        <v>24.607845999999999</v>
      </c>
      <c r="H29" s="163">
        <f>F4A!H29+F4B!H29</f>
        <v>32.6</v>
      </c>
      <c r="I29" s="163">
        <f>F4A!I29+F4B!I29</f>
        <v>26.292896543887188</v>
      </c>
      <c r="J29" s="163">
        <f>F4A!J29+F4B!J29</f>
        <v>-6.307103456112813</v>
      </c>
      <c r="K29" s="163">
        <f>F4A!K29+F4B!K29</f>
        <v>23.14</v>
      </c>
      <c r="L29" s="163">
        <f>F4A!L29+F4B!L29</f>
        <v>7.8474509999999995</v>
      </c>
      <c r="M29" s="163">
        <f>F4A!M29+F4B!M29</f>
        <v>17.8156161</v>
      </c>
      <c r="N29" s="163">
        <f>F4A!N29+F4B!N29</f>
        <v>25.663067099999999</v>
      </c>
      <c r="O29" s="163">
        <f>F4A!O29+F4B!O29</f>
        <v>24.5627101</v>
      </c>
      <c r="P29" s="163">
        <f>F4A!P29+F4B!P29</f>
        <v>25.053964301999997</v>
      </c>
      <c r="Q29" s="163">
        <f>F4A!Q29+F4B!Q29</f>
        <v>26.69985501084</v>
      </c>
      <c r="R29" s="163">
        <f>F4A!R29+F4B!R29</f>
        <v>27.139132637400984</v>
      </c>
      <c r="S29" s="163">
        <f>F4A!S29+F4B!S29</f>
        <v>27.681915290149004</v>
      </c>
    </row>
    <row r="30" spans="3:19" hidden="1" x14ac:dyDescent="0.25">
      <c r="C30" s="17" t="s">
        <v>204</v>
      </c>
      <c r="D30" s="17" t="s">
        <v>205</v>
      </c>
      <c r="E30" s="163">
        <f>F4A!E30+F4B!E30</f>
        <v>101.757282</v>
      </c>
      <c r="F30" s="163">
        <f>F4A!F30+F4B!F30</f>
        <v>136.46807845000001</v>
      </c>
      <c r="G30" s="163">
        <f>F4A!G30+F4B!G30</f>
        <v>142.20242599999995</v>
      </c>
      <c r="H30" s="163">
        <f>F4A!H30+F4B!H30</f>
        <v>149.59</v>
      </c>
      <c r="I30" s="163">
        <f>F4A!I30+F4B!I30</f>
        <v>153.9593832932099</v>
      </c>
      <c r="J30" s="163">
        <f>F4A!J30+F4B!J30</f>
        <v>4.3693832932098928</v>
      </c>
      <c r="K30" s="163">
        <f>F4A!K30+F4B!K30</f>
        <v>159.67000000000002</v>
      </c>
      <c r="L30" s="163">
        <f>F4A!L30+F4B!L30</f>
        <v>76.418605999999997</v>
      </c>
      <c r="M30" s="163">
        <f>F4A!M30+F4B!M30</f>
        <v>78.402759000000003</v>
      </c>
      <c r="N30" s="163">
        <f>F4A!N30+F4B!N30</f>
        <v>154.82136500000001</v>
      </c>
      <c r="O30" s="163">
        <f>F4A!O30+F4B!O30</f>
        <v>159.13727846161282</v>
      </c>
      <c r="P30" s="163">
        <f>F4A!P30+F4B!P30</f>
        <v>165.21909294276438</v>
      </c>
      <c r="Q30" s="163">
        <f>F4A!Q30+F4B!Q30</f>
        <v>177.02155855111516</v>
      </c>
      <c r="R30" s="163">
        <f>F4A!R30+F4B!R30</f>
        <v>184.94814977647664</v>
      </c>
      <c r="S30" s="163">
        <f>F4A!S30+F4B!S30</f>
        <v>191.8574891895818</v>
      </c>
    </row>
    <row r="31" spans="3:19" hidden="1" x14ac:dyDescent="0.25">
      <c r="C31" s="17" t="s">
        <v>206</v>
      </c>
      <c r="D31" s="17" t="s">
        <v>207</v>
      </c>
      <c r="E31" s="163">
        <f>F4A!E31+F4B!E31</f>
        <v>8.8742559999999902</v>
      </c>
      <c r="F31" s="163">
        <f>F4A!F31+F4B!F31</f>
        <v>8.780577280000001</v>
      </c>
      <c r="G31" s="163">
        <f>F4A!G31+F4B!G31</f>
        <v>8.7425749999999933</v>
      </c>
      <c r="H31" s="163">
        <f>F4A!H31+F4B!H31</f>
        <v>6.2600000000000007</v>
      </c>
      <c r="I31" s="163">
        <f>F4A!I31+F4B!I31</f>
        <v>8.8178330000000003</v>
      </c>
      <c r="J31" s="163">
        <f>F4A!J31+F4B!J31</f>
        <v>2.5578329999999996</v>
      </c>
      <c r="K31" s="163">
        <f>F4A!K31+F4B!K31</f>
        <v>7.73</v>
      </c>
      <c r="L31" s="163">
        <f>F4A!L31+F4B!L31</f>
        <v>4.745743</v>
      </c>
      <c r="M31" s="163">
        <f>F4A!M31+F4B!M31</f>
        <v>3.956963</v>
      </c>
      <c r="N31" s="163">
        <f>F4A!N31+F4B!N31</f>
        <v>8.7027059999999992</v>
      </c>
      <c r="O31" s="163">
        <f>F4A!O31+F4B!O31</f>
        <v>9.1093216263484411</v>
      </c>
      <c r="P31" s="163">
        <f>F4A!P31+F4B!P31</f>
        <v>9.2586596461890274</v>
      </c>
      <c r="Q31" s="163">
        <f>F4A!Q31+F4B!Q31</f>
        <v>9.2353812288479986</v>
      </c>
      <c r="R31" s="163">
        <f>F4A!R31+F4B!R31</f>
        <v>9.4200888534249607</v>
      </c>
      <c r="S31" s="163">
        <f>F4A!S31+F4B!S31</f>
        <v>9.6084906304934599</v>
      </c>
    </row>
    <row r="32" spans="3:19" hidden="1" x14ac:dyDescent="0.25">
      <c r="C32" s="17" t="s">
        <v>208</v>
      </c>
      <c r="D32" s="17" t="s">
        <v>187</v>
      </c>
      <c r="E32" s="163">
        <f>F4A!E32+F4B!E32</f>
        <v>17.383304500000005</v>
      </c>
      <c r="F32" s="163">
        <f>F4A!F32+F4B!F32</f>
        <v>23.736568999999999</v>
      </c>
      <c r="G32" s="163">
        <f>F4A!G32+F4B!G32</f>
        <v>21.262269</v>
      </c>
      <c r="H32" s="163">
        <f>F4A!H32+F4B!H32</f>
        <v>20.889999999999997</v>
      </c>
      <c r="I32" s="163">
        <f>F4A!I32+F4B!I32</f>
        <v>26.766727999999997</v>
      </c>
      <c r="J32" s="163">
        <f>F4A!J32+F4B!J32</f>
        <v>5.876728</v>
      </c>
      <c r="K32" s="163">
        <f>F4A!K32+F4B!K32</f>
        <v>25.330000000000002</v>
      </c>
      <c r="L32" s="163">
        <f>F4A!L32+F4B!L32</f>
        <v>8.7362699999999993</v>
      </c>
      <c r="M32" s="163">
        <f>F4A!M32+F4B!M32</f>
        <v>7.9279290000000007</v>
      </c>
      <c r="N32" s="163">
        <f>F4A!N32+F4B!N32</f>
        <v>16.664199</v>
      </c>
      <c r="O32" s="163">
        <f>F4A!O32+F4B!O32</f>
        <v>14.611284000000001</v>
      </c>
      <c r="P32" s="163">
        <f>F4A!P32+F4B!P32</f>
        <v>14.611284000000001</v>
      </c>
      <c r="Q32" s="163">
        <f>F4A!Q32+F4B!Q32</f>
        <v>17.684181292392001</v>
      </c>
      <c r="R32" s="163">
        <f>F4A!R32+F4B!R32</f>
        <v>18.037864918239844</v>
      </c>
      <c r="S32" s="163">
        <f>F4A!S32+F4B!S32</f>
        <v>18.39862221660464</v>
      </c>
    </row>
    <row r="33" spans="3:19" hidden="1" x14ac:dyDescent="0.25">
      <c r="C33" s="17" t="s">
        <v>209</v>
      </c>
      <c r="D33" s="17" t="s">
        <v>210</v>
      </c>
      <c r="E33" s="163">
        <f>F4A!E33+F4B!E33</f>
        <v>869.39208200000007</v>
      </c>
      <c r="F33" s="163">
        <f>F4A!F33+F4B!F33</f>
        <v>938.24700999999993</v>
      </c>
      <c r="G33" s="163">
        <f>F4A!G33+F4B!G33</f>
        <v>923.89959999999996</v>
      </c>
      <c r="H33" s="163">
        <f>F4A!H33+F4B!H33</f>
        <v>960.47</v>
      </c>
      <c r="I33" s="163">
        <f>F4A!I33+F4B!I33</f>
        <v>1036.3116580000001</v>
      </c>
      <c r="J33" s="163">
        <f>F4A!J33+F4B!J33</f>
        <v>75.841658000000052</v>
      </c>
      <c r="K33" s="163">
        <f>F4A!K33+F4B!K33</f>
        <v>965.26</v>
      </c>
      <c r="L33" s="163">
        <f>F4A!L33+F4B!L33</f>
        <v>479.384096</v>
      </c>
      <c r="M33" s="163">
        <f>F4A!M33+F4B!M33</f>
        <v>632.05247012000007</v>
      </c>
      <c r="N33" s="163">
        <f>F4A!N33+F4B!N33</f>
        <v>1111.43656612</v>
      </c>
      <c r="O33" s="163">
        <f>F4A!O33+F4B!O33</f>
        <v>1164.8637975155186</v>
      </c>
      <c r="P33" s="163">
        <f>F4A!P33+F4B!P33</f>
        <v>1235.0571142844228</v>
      </c>
      <c r="Q33" s="163">
        <f>F4A!Q33+F4B!Q33</f>
        <v>1302.034478041561</v>
      </c>
      <c r="R33" s="163">
        <f>F4A!R33+F4B!R33</f>
        <v>1394.511261030272</v>
      </c>
      <c r="S33" s="163">
        <f>F4A!S33+F4B!S33</f>
        <v>1479.818164920611</v>
      </c>
    </row>
    <row r="34" spans="3:19" hidden="1" x14ac:dyDescent="0.25">
      <c r="C34" s="17" t="s">
        <v>211</v>
      </c>
      <c r="D34" s="17" t="s">
        <v>189</v>
      </c>
      <c r="E34" s="170">
        <f>F4A!E34+F4B!E34</f>
        <v>0</v>
      </c>
      <c r="F34" s="170">
        <f>F4A!F34+F4B!F34</f>
        <v>0</v>
      </c>
      <c r="G34" s="170">
        <f>F4A!G34+F4B!G34</f>
        <v>0</v>
      </c>
      <c r="H34" s="170">
        <f>F4A!H34+F4B!H34</f>
        <v>4.8400000000000007</v>
      </c>
      <c r="I34" s="170">
        <f>F4A!I34+F4B!I34</f>
        <v>0</v>
      </c>
      <c r="J34" s="170">
        <f>F4A!J34+F4B!J34</f>
        <v>-4.8400000000000007</v>
      </c>
      <c r="K34" s="170">
        <f>F4A!K34+F4B!K34</f>
        <v>0</v>
      </c>
      <c r="L34" s="170">
        <f>F4A!L34+F4B!L34</f>
        <v>0</v>
      </c>
      <c r="M34" s="170">
        <f>F4A!M34+F4B!M34</f>
        <v>0</v>
      </c>
      <c r="N34" s="170">
        <f>F4A!N34+F4B!N34</f>
        <v>0</v>
      </c>
      <c r="O34" s="170">
        <f>F4A!O34+F4B!O34</f>
        <v>0</v>
      </c>
      <c r="P34" s="172">
        <f>F4A!P34+F4B!P34</f>
        <v>0</v>
      </c>
      <c r="Q34" s="172">
        <f>F4A!Q34+F4B!Q34</f>
        <v>0</v>
      </c>
      <c r="R34" s="172">
        <f>F4A!R34+F4B!R34</f>
        <v>0</v>
      </c>
      <c r="S34" s="172">
        <f>F4A!S34+F4B!S34</f>
        <v>0</v>
      </c>
    </row>
    <row r="35" spans="3:19" hidden="1" x14ac:dyDescent="0.25">
      <c r="C35" s="17"/>
      <c r="D35" s="17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</row>
    <row r="36" spans="3:19" hidden="1" x14ac:dyDescent="0.25">
      <c r="C36" s="17"/>
      <c r="D36" s="17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</row>
    <row r="37" spans="3:19" hidden="1" x14ac:dyDescent="0.25">
      <c r="C37" s="17"/>
      <c r="D37" s="17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</row>
    <row r="38" spans="3:19" hidden="1" x14ac:dyDescent="0.25">
      <c r="C38" s="17"/>
      <c r="D38" s="17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</row>
    <row r="39" spans="3:19" hidden="1" x14ac:dyDescent="0.25">
      <c r="C39" s="751" t="s">
        <v>212</v>
      </c>
      <c r="D39" s="752"/>
      <c r="E39" s="161">
        <f>Q115</f>
        <v>1907.8836419199997</v>
      </c>
      <c r="F39" s="161">
        <f>Q189</f>
        <v>2014.5114855303314</v>
      </c>
      <c r="G39" s="161">
        <f>Q262</f>
        <v>2184.0123279399995</v>
      </c>
      <c r="H39" s="161">
        <f>SUM(H24:H38)</f>
        <v>2324.2600000000002</v>
      </c>
      <c r="I39" s="161">
        <f>Q335</f>
        <v>2455.2025567100004</v>
      </c>
      <c r="J39" s="161">
        <f>I39-H39</f>
        <v>130.94255671000019</v>
      </c>
      <c r="K39" s="161">
        <f>SUM(K24:K38)</f>
        <v>2410.7399999999998</v>
      </c>
      <c r="L39" s="161">
        <f>SUM(E410:J410)</f>
        <v>1185.5094839400001</v>
      </c>
      <c r="M39" s="161">
        <f>SUM(K410:P410)</f>
        <v>1406.6379627599999</v>
      </c>
      <c r="N39" s="161">
        <f>L39+M39</f>
        <v>2592.1474466999998</v>
      </c>
      <c r="O39" s="161">
        <f>Q484</f>
        <v>2741.7709294930523</v>
      </c>
      <c r="P39" s="161">
        <f>Q558</f>
        <v>2922.5039022372134</v>
      </c>
      <c r="Q39" s="161">
        <f>Q632</f>
        <v>3268.9805974550964</v>
      </c>
      <c r="R39" s="161">
        <f>Q706</f>
        <v>3552.5906839317749</v>
      </c>
      <c r="S39" s="161">
        <f>Q780</f>
        <v>3834.3022552185239</v>
      </c>
    </row>
    <row r="40" spans="3:19" hidden="1" x14ac:dyDescent="0.25">
      <c r="C40" s="753" t="s">
        <v>213</v>
      </c>
      <c r="D40" s="754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</row>
    <row r="41" spans="3:19" hidden="1" x14ac:dyDescent="0.25">
      <c r="C41" s="17" t="s">
        <v>192</v>
      </c>
      <c r="D41" s="17" t="s">
        <v>193</v>
      </c>
      <c r="E41" s="163">
        <f>F4A!E41+F4B!E41</f>
        <v>198.02280099999999</v>
      </c>
      <c r="F41" s="163">
        <f>F4A!F41+F4B!F41</f>
        <v>188.21518328966886</v>
      </c>
      <c r="G41" s="163">
        <f>F4A!G41+F4B!G41</f>
        <v>191.22662999000022</v>
      </c>
      <c r="H41" s="163">
        <f>F4A!H41+F4B!H41</f>
        <v>177.18999999999997</v>
      </c>
      <c r="I41" s="163">
        <f>F4A!I41+F4B!I41</f>
        <v>149.87280199999998</v>
      </c>
      <c r="J41" s="163">
        <f>F4A!J41+F4B!J41</f>
        <v>-27.317197999999991</v>
      </c>
      <c r="K41" s="163">
        <f>F4A!K41+F4B!K41</f>
        <v>211.36000000000004</v>
      </c>
      <c r="L41" s="163">
        <f>F4A!L41+F4B!L41</f>
        <v>96.319538999999992</v>
      </c>
      <c r="M41" s="163">
        <f>F4A!M41+F4B!M41</f>
        <v>99.802561689655178</v>
      </c>
      <c r="N41" s="163">
        <f>F4A!N41+F4B!N41</f>
        <v>196.12210068965516</v>
      </c>
      <c r="O41" s="163">
        <f>F4A!O41+F4B!O41</f>
        <v>218.06524917190757</v>
      </c>
      <c r="P41" s="163">
        <f>F4A!P41+F4B!P41</f>
        <v>227.82383538265128</v>
      </c>
      <c r="Q41" s="163">
        <f>F4A!Q41+F4B!Q41</f>
        <v>213.14582195933687</v>
      </c>
      <c r="R41" s="163">
        <f>F4A!R41+F4B!R41</f>
        <v>217.82238785630665</v>
      </c>
      <c r="S41" s="163">
        <f>F4A!S41+F4B!S41</f>
        <v>234.7353256973152</v>
      </c>
    </row>
    <row r="42" spans="3:19" hidden="1" x14ac:dyDescent="0.25">
      <c r="C42" s="17" t="s">
        <v>194</v>
      </c>
      <c r="D42" s="17" t="s">
        <v>195</v>
      </c>
      <c r="E42" s="163">
        <f>F4A!E42+F4B!E42</f>
        <v>41.513199999999998</v>
      </c>
      <c r="F42" s="163">
        <f>F4A!F42+F4B!F42</f>
        <v>36.980000000000004</v>
      </c>
      <c r="G42" s="163">
        <f>F4A!G42+F4B!G42</f>
        <v>73.175169999999994</v>
      </c>
      <c r="H42" s="163">
        <f>F4A!H42+F4B!H42</f>
        <v>41.51</v>
      </c>
      <c r="I42" s="163">
        <f>F4A!I42+F4B!I42</f>
        <v>20.874023000000001</v>
      </c>
      <c r="J42" s="163">
        <f>F4A!J42+F4B!J42</f>
        <v>-20.635976999999997</v>
      </c>
      <c r="K42" s="163">
        <f>F4A!K42+F4B!K42</f>
        <v>73.2</v>
      </c>
      <c r="L42" s="163">
        <f>F4A!L42+F4B!L42</f>
        <v>1.5709000000000001E-2</v>
      </c>
      <c r="M42" s="163">
        <f>F4A!M42+F4B!M42</f>
        <v>9.7999999999999997E-3</v>
      </c>
      <c r="N42" s="172">
        <f>F4A!N42+F4B!N42</f>
        <v>2.5509E-2</v>
      </c>
      <c r="O42" s="172">
        <f>F4A!O42+F4B!O42</f>
        <v>21.496200000000002</v>
      </c>
      <c r="P42" s="172">
        <f>F4A!P42+F4B!P42</f>
        <v>35.5944</v>
      </c>
      <c r="Q42" s="172">
        <f>F4A!Q42+F4B!Q42</f>
        <v>2.8686145950000005E-2</v>
      </c>
      <c r="R42" s="172">
        <f>F4A!R42+F4B!R42</f>
        <v>3.0120453247500005E-2</v>
      </c>
      <c r="S42" s="172">
        <f>F4A!S42+F4B!S42</f>
        <v>3.1626475909875003E-2</v>
      </c>
    </row>
    <row r="43" spans="3:19" hidden="1" x14ac:dyDescent="0.25">
      <c r="C43" s="17" t="s">
        <v>233</v>
      </c>
      <c r="D43" s="17" t="s">
        <v>197</v>
      </c>
      <c r="E43" s="163">
        <f>F4A!E43+F4B!E43</f>
        <v>12.117771999999999</v>
      </c>
      <c r="F43" s="163">
        <f>F4A!F43+F4B!F43</f>
        <v>9.5615616599999989</v>
      </c>
      <c r="G43" s="163">
        <f>F4A!G43+F4B!G43</f>
        <v>10.16703367</v>
      </c>
      <c r="H43" s="163">
        <f>F4A!H43+F4B!H43</f>
        <v>12.98</v>
      </c>
      <c r="I43" s="163">
        <f>F4A!I43+F4B!I43</f>
        <v>6.2932288000000005</v>
      </c>
      <c r="J43" s="163">
        <f>F4A!J43+F4B!J43</f>
        <v>-6.6867711999999999</v>
      </c>
      <c r="K43" s="163">
        <f>F4A!K43+F4B!K43</f>
        <v>8.52</v>
      </c>
      <c r="L43" s="163">
        <f>F4A!L43+F4B!L43</f>
        <v>8.6643690000000007</v>
      </c>
      <c r="M43" s="163">
        <f>F4A!M43+F4B!M43</f>
        <v>7.7225998000000011</v>
      </c>
      <c r="N43" s="163">
        <f>F4A!N43+F4B!N43</f>
        <v>16.386968800000002</v>
      </c>
      <c r="O43" s="163">
        <f>F4A!O43+F4B!O43</f>
        <v>16.361544896000002</v>
      </c>
      <c r="P43" s="163">
        <f>F4A!P43+F4B!P43</f>
        <v>16.688775793919998</v>
      </c>
      <c r="Q43" s="163">
        <f>F4A!Q43+F4B!Q43</f>
        <v>21.874498053037129</v>
      </c>
      <c r="R43" s="163">
        <f>F4A!R43+F4B!R43</f>
        <v>25.496869614264266</v>
      </c>
      <c r="S43" s="163">
        <f>F4A!S43+F4B!S43</f>
        <v>33.729471113113249</v>
      </c>
    </row>
    <row r="44" spans="3:19" hidden="1" x14ac:dyDescent="0.25">
      <c r="C44" s="17" t="s">
        <v>198</v>
      </c>
      <c r="D44" s="17" t="s">
        <v>199</v>
      </c>
      <c r="E44" s="163">
        <f>F4A!E44+F4B!E44</f>
        <v>0</v>
      </c>
      <c r="F44" s="163">
        <f>F4A!F44+F4B!F44</f>
        <v>0</v>
      </c>
      <c r="G44" s="163">
        <f>F4A!G44+F4B!G44</f>
        <v>0</v>
      </c>
      <c r="H44" s="163">
        <f>F4A!H44+F4B!H44</f>
        <v>0</v>
      </c>
      <c r="I44" s="163">
        <f>F4A!I44+F4B!I44</f>
        <v>0</v>
      </c>
      <c r="J44" s="163">
        <f>F4A!J44+F4B!J44</f>
        <v>0</v>
      </c>
      <c r="K44" s="163">
        <f>F4A!K44+F4B!K44</f>
        <v>0</v>
      </c>
      <c r="L44" s="163">
        <f>F4A!L44+F4B!L44</f>
        <v>0</v>
      </c>
      <c r="M44" s="163">
        <f>F4A!M44+F4B!M44</f>
        <v>0</v>
      </c>
      <c r="N44" s="172">
        <f>F4A!N44+F4B!N44</f>
        <v>0</v>
      </c>
      <c r="O44" s="172">
        <f>F4A!O44+F4B!O44</f>
        <v>0</v>
      </c>
      <c r="P44" s="172">
        <f>F4A!P44+F4B!P44</f>
        <v>0</v>
      </c>
      <c r="Q44" s="172">
        <f>F4A!Q44+F4B!Q44</f>
        <v>0</v>
      </c>
      <c r="R44" s="172">
        <f>F4A!R44+F4B!R44</f>
        <v>0</v>
      </c>
      <c r="S44" s="172">
        <f>F4A!S44+F4B!S44</f>
        <v>0</v>
      </c>
    </row>
    <row r="45" spans="3:19" hidden="1" x14ac:dyDescent="0.25">
      <c r="C45" s="17" t="s">
        <v>200</v>
      </c>
      <c r="D45" s="17" t="s">
        <v>201</v>
      </c>
      <c r="E45" s="163">
        <f>F4A!E45+F4B!E45</f>
        <v>0</v>
      </c>
      <c r="F45" s="163">
        <f>F4A!F45+F4B!F45</f>
        <v>0</v>
      </c>
      <c r="G45" s="163">
        <f>F4A!G45+F4B!G45</f>
        <v>0</v>
      </c>
      <c r="H45" s="163">
        <f>F4A!H45+F4B!H45</f>
        <v>0</v>
      </c>
      <c r="I45" s="163">
        <f>F4A!I45+F4B!I45</f>
        <v>0</v>
      </c>
      <c r="J45" s="163">
        <f>F4A!J45+F4B!J45</f>
        <v>0</v>
      </c>
      <c r="K45" s="163">
        <f>F4A!K45+F4B!K45</f>
        <v>0</v>
      </c>
      <c r="L45" s="163">
        <f>F4A!L45+F4B!L45</f>
        <v>0</v>
      </c>
      <c r="M45" s="163">
        <f>F4A!M45+F4B!M45</f>
        <v>0</v>
      </c>
      <c r="N45" s="172">
        <f>F4A!N45+F4B!N45</f>
        <v>0</v>
      </c>
      <c r="O45" s="172">
        <f>F4A!O45+F4B!O45</f>
        <v>0</v>
      </c>
      <c r="P45" s="172">
        <f>F4A!P45+F4B!P45</f>
        <v>0</v>
      </c>
      <c r="Q45" s="172">
        <f>F4A!Q45+F4B!Q45</f>
        <v>0</v>
      </c>
      <c r="R45" s="172">
        <f>F4A!R45+F4B!R45</f>
        <v>0</v>
      </c>
      <c r="S45" s="172">
        <f>F4A!S45+F4B!S45</f>
        <v>0</v>
      </c>
    </row>
    <row r="46" spans="3:19" hidden="1" x14ac:dyDescent="0.25">
      <c r="C46" s="17" t="s">
        <v>202</v>
      </c>
      <c r="D46" s="17" t="s">
        <v>203</v>
      </c>
      <c r="E46" s="163">
        <f>F4A!E46+F4B!E46</f>
        <v>46.506515</v>
      </c>
      <c r="F46" s="163">
        <f>F4A!F46+F4B!F46</f>
        <v>32.235446000000003</v>
      </c>
      <c r="G46" s="163">
        <f>F4A!G46+F4B!G46</f>
        <v>20.844038009999799</v>
      </c>
      <c r="H46" s="163">
        <f>F4A!H46+F4B!H46</f>
        <v>46.52</v>
      </c>
      <c r="I46" s="163">
        <f>F4A!I46+F4B!I46</f>
        <v>17.657430000000002</v>
      </c>
      <c r="J46" s="163">
        <f>F4A!J46+F4B!J46</f>
        <v>-28.862570000000002</v>
      </c>
      <c r="K46" s="163">
        <f>F4A!K46+F4B!K46</f>
        <v>15.120000000000001</v>
      </c>
      <c r="L46" s="163">
        <f>F4A!L46+F4B!L46</f>
        <v>11.066319999999999</v>
      </c>
      <c r="M46" s="163">
        <f>F4A!M46+F4B!M46</f>
        <v>21.526029999999999</v>
      </c>
      <c r="N46" s="163">
        <f>F4A!N46+F4B!N46</f>
        <v>32.592349999999996</v>
      </c>
      <c r="O46" s="163">
        <f>F4A!O46+F4B!O46</f>
        <v>30.280639999999998</v>
      </c>
      <c r="P46" s="163">
        <f>F4A!P46+F4B!P46</f>
        <v>30.886252800000001</v>
      </c>
      <c r="Q46" s="163">
        <f>F4A!Q46+F4B!Q46</f>
        <v>33.449704075158486</v>
      </c>
      <c r="R46" s="163">
        <f>F4A!R46+F4B!R46</f>
        <v>36.768368929008226</v>
      </c>
      <c r="S46" s="163">
        <f>F4A!S46+F4B!S46</f>
        <v>42.577851111604176</v>
      </c>
    </row>
    <row r="47" spans="3:19" hidden="1" x14ac:dyDescent="0.25">
      <c r="C47" s="17" t="s">
        <v>204</v>
      </c>
      <c r="D47" s="17" t="s">
        <v>205</v>
      </c>
      <c r="E47" s="163">
        <f>F4A!E47+F4B!E47</f>
        <v>219.20433600000001</v>
      </c>
      <c r="F47" s="163">
        <f>F4A!F47+F4B!F47</f>
        <v>288.16142299999996</v>
      </c>
      <c r="G47" s="163">
        <f>F4A!G47+F4B!G47</f>
        <v>326.27917000000002</v>
      </c>
      <c r="H47" s="163">
        <f>F4A!H47+F4B!H47</f>
        <v>335.02000000000004</v>
      </c>
      <c r="I47" s="163">
        <f>F4A!I47+F4B!I47</f>
        <v>353.91273201387082</v>
      </c>
      <c r="J47" s="163">
        <f>F4A!J47+F4B!J47</f>
        <v>18.892732013870784</v>
      </c>
      <c r="K47" s="163">
        <f>F4A!K47+F4B!K47</f>
        <v>359.9</v>
      </c>
      <c r="L47" s="163">
        <f>F4A!L47+F4B!L47</f>
        <v>172.5194185</v>
      </c>
      <c r="M47" s="163">
        <f>F4A!M47+F4B!M47</f>
        <v>184.49868100000003</v>
      </c>
      <c r="N47" s="163">
        <f>F4A!N47+F4B!N47</f>
        <v>357.01809950000006</v>
      </c>
      <c r="O47" s="163">
        <f>F4A!O47+F4B!O47</f>
        <v>373.59901052227264</v>
      </c>
      <c r="P47" s="163">
        <f>F4A!P47+F4B!P47</f>
        <v>383.84906110650508</v>
      </c>
      <c r="Q47" s="163">
        <f>F4A!Q47+F4B!Q47</f>
        <v>424.23490935928697</v>
      </c>
      <c r="R47" s="163">
        <f>F4A!R47+F4B!R47</f>
        <v>447.10529540543354</v>
      </c>
      <c r="S47" s="163">
        <f>F4A!S47+F4B!S47</f>
        <v>468.50317559635221</v>
      </c>
    </row>
    <row r="48" spans="3:19" hidden="1" x14ac:dyDescent="0.25">
      <c r="C48" s="17" t="s">
        <v>206</v>
      </c>
      <c r="D48" s="17" t="s">
        <v>207</v>
      </c>
      <c r="E48" s="163">
        <f>F4A!E48+F4B!E48</f>
        <v>42.001640000000002</v>
      </c>
      <c r="F48" s="163">
        <f>F4A!F48+F4B!F48</f>
        <v>42.572733999999997</v>
      </c>
      <c r="G48" s="163">
        <f>F4A!G48+F4B!G48</f>
        <v>29.980094000000001</v>
      </c>
      <c r="H48" s="163">
        <f>F4A!H48+F4B!H48</f>
        <v>44.47</v>
      </c>
      <c r="I48" s="163">
        <f>F4A!I48+F4B!I48</f>
        <v>25.634124</v>
      </c>
      <c r="J48" s="163">
        <f>F4A!J48+F4B!J48</f>
        <v>-18.835875999999999</v>
      </c>
      <c r="K48" s="163">
        <f>F4A!K48+F4B!K48</f>
        <v>20.599999999999998</v>
      </c>
      <c r="L48" s="163">
        <f>F4A!L48+F4B!L48</f>
        <v>20.411939</v>
      </c>
      <c r="M48" s="163">
        <f>F4A!M48+F4B!M48</f>
        <v>10.872506896551725</v>
      </c>
      <c r="N48" s="163">
        <f>F4A!N48+F4B!N48</f>
        <v>31.284445896551723</v>
      </c>
      <c r="O48" s="163">
        <f>F4A!O48+F4B!O48</f>
        <v>33.934072896551719</v>
      </c>
      <c r="P48" s="163">
        <f>F4A!P48+F4B!P48</f>
        <v>34.61275435448276</v>
      </c>
      <c r="Q48" s="163">
        <f>F4A!Q48+F4B!Q48</f>
        <v>33.199304260987866</v>
      </c>
      <c r="R48" s="163">
        <f>F4A!R48+F4B!R48</f>
        <v>33.86329034620762</v>
      </c>
      <c r="S48" s="163">
        <f>F4A!S48+F4B!S48</f>
        <v>35.802329813602</v>
      </c>
    </row>
    <row r="49" spans="3:19" hidden="1" x14ac:dyDescent="0.25">
      <c r="C49" s="17" t="s">
        <v>214</v>
      </c>
      <c r="D49" s="17" t="s">
        <v>187</v>
      </c>
      <c r="E49" s="163">
        <f>F4A!E49+F4B!E49</f>
        <v>9.0094639999999995</v>
      </c>
      <c r="F49" s="163">
        <f>F4A!F49+F4B!F49</f>
        <v>13.066459999999999</v>
      </c>
      <c r="G49" s="163">
        <f>F4A!G49+F4B!G49</f>
        <v>12.2471535</v>
      </c>
      <c r="H49" s="163">
        <f>F4A!H49+F4B!H49</f>
        <v>14.809999999999999</v>
      </c>
      <c r="I49" s="163">
        <f>F4A!I49+F4B!I49</f>
        <v>3.6492490000000002</v>
      </c>
      <c r="J49" s="163">
        <f>F4A!J49+F4B!J49</f>
        <v>-11.160750999999998</v>
      </c>
      <c r="K49" s="163">
        <f>F4A!K49+F4B!K49</f>
        <v>3.31</v>
      </c>
      <c r="L49" s="163">
        <f>F4A!L49+F4B!L49</f>
        <v>2.8885559999999999</v>
      </c>
      <c r="M49" s="163">
        <f>F4A!M49+F4B!M49</f>
        <v>4.1337450000000002</v>
      </c>
      <c r="N49" s="163">
        <f>F4A!N49+F4B!N49</f>
        <v>7.0223010000000006</v>
      </c>
      <c r="O49" s="163">
        <f>F4A!O49+F4B!O49</f>
        <v>8.1475419000000002</v>
      </c>
      <c r="P49" s="163">
        <f>F4A!P49+F4B!P49</f>
        <v>8.3104927379999989</v>
      </c>
      <c r="Q49" s="163">
        <f>F4A!Q49+F4B!Q49</f>
        <v>7.4521219996079999</v>
      </c>
      <c r="R49" s="163">
        <f>F4A!R49+F4B!R49</f>
        <v>7.6011644396001605</v>
      </c>
      <c r="S49" s="163">
        <f>F4A!S49+F4B!S49</f>
        <v>8.8026909362566617</v>
      </c>
    </row>
    <row r="50" spans="3:19" hidden="1" x14ac:dyDescent="0.25">
      <c r="C50" s="17" t="s">
        <v>209</v>
      </c>
      <c r="D50" s="17" t="s">
        <v>210</v>
      </c>
      <c r="E50" s="163">
        <f>F4A!E50+F4B!E50</f>
        <v>0</v>
      </c>
      <c r="F50" s="163">
        <f>F4A!F50+F4B!F50</f>
        <v>0</v>
      </c>
      <c r="G50" s="163">
        <f>F4A!G50+F4B!G50</f>
        <v>0</v>
      </c>
      <c r="H50" s="163">
        <f>F4A!H50+F4B!H50</f>
        <v>0</v>
      </c>
      <c r="I50" s="163">
        <f>F4A!I50+F4B!I50</f>
        <v>0</v>
      </c>
      <c r="J50" s="163">
        <f>F4A!J50+F4B!J50</f>
        <v>0</v>
      </c>
      <c r="K50" s="163">
        <f>F4A!K50+F4B!K50</f>
        <v>0</v>
      </c>
      <c r="L50" s="163">
        <f>F4A!L50+F4B!L50</f>
        <v>0</v>
      </c>
      <c r="M50" s="163">
        <f>F4A!M50+F4B!M50</f>
        <v>0</v>
      </c>
      <c r="N50" s="163">
        <f>F4A!N50+F4B!N50</f>
        <v>0</v>
      </c>
      <c r="O50" s="163">
        <f>F4A!O50+F4B!O50</f>
        <v>0</v>
      </c>
      <c r="P50" s="163">
        <f>F4A!P50+F4B!P50</f>
        <v>0</v>
      </c>
      <c r="Q50" s="163">
        <f>F4A!Q50+F4B!Q50</f>
        <v>0</v>
      </c>
      <c r="R50" s="163">
        <f>F4A!R50+F4B!R50</f>
        <v>0</v>
      </c>
      <c r="S50" s="163">
        <f>F4A!S50+F4B!S50</f>
        <v>0</v>
      </c>
    </row>
    <row r="51" spans="3:19" hidden="1" x14ac:dyDescent="0.25">
      <c r="C51" s="17" t="s">
        <v>211</v>
      </c>
      <c r="D51" s="17" t="s">
        <v>189</v>
      </c>
      <c r="E51" s="163">
        <f>F4A!E51+F4B!E51</f>
        <v>0</v>
      </c>
      <c r="F51" s="163">
        <f>F4A!F51+F4B!F51</f>
        <v>0</v>
      </c>
      <c r="G51" s="163">
        <f>F4A!G51+F4B!G51</f>
        <v>0</v>
      </c>
      <c r="H51" s="163">
        <f>F4A!H51+F4B!H51</f>
        <v>0</v>
      </c>
      <c r="I51" s="163">
        <f>F4A!I51+F4B!I51</f>
        <v>0</v>
      </c>
      <c r="J51" s="163">
        <f>F4A!J51+F4B!J51</f>
        <v>0</v>
      </c>
      <c r="K51" s="163">
        <f>F4A!K51+F4B!K51</f>
        <v>0</v>
      </c>
      <c r="L51" s="163">
        <f>F4A!L51+F4B!L51</f>
        <v>0</v>
      </c>
      <c r="M51" s="163">
        <f>F4A!M51+F4B!M51</f>
        <v>0</v>
      </c>
      <c r="N51" s="163">
        <f>F4A!N51+F4B!N51</f>
        <v>0</v>
      </c>
      <c r="O51" s="163">
        <f>F4A!O51+F4B!O51</f>
        <v>8.9069599999999998</v>
      </c>
      <c r="P51" s="163">
        <f>F4A!P51+F4B!P51</f>
        <v>39.244800000000005</v>
      </c>
      <c r="Q51" s="163">
        <f>F4A!Q51+F4B!Q51</f>
        <v>84.621599999999987</v>
      </c>
      <c r="R51" s="163">
        <f>F4A!R51+F4B!R51</f>
        <v>84.621599999999987</v>
      </c>
      <c r="S51" s="163">
        <f>F4A!S51+F4B!S51</f>
        <v>84.621599999999987</v>
      </c>
    </row>
    <row r="52" spans="3:19" hidden="1" x14ac:dyDescent="0.25">
      <c r="C52" s="17"/>
      <c r="D52" s="17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</row>
    <row r="53" spans="3:19" hidden="1" x14ac:dyDescent="0.25">
      <c r="C53" s="17"/>
      <c r="D53" s="17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</row>
    <row r="54" spans="3:19" hidden="1" x14ac:dyDescent="0.25">
      <c r="C54" s="17"/>
      <c r="D54" s="17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</row>
    <row r="55" spans="3:19" hidden="1" x14ac:dyDescent="0.25">
      <c r="C55" s="17"/>
      <c r="D55" s="17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</row>
    <row r="56" spans="3:19" hidden="1" x14ac:dyDescent="0.25">
      <c r="C56" s="751" t="s">
        <v>212</v>
      </c>
      <c r="D56" s="752"/>
      <c r="E56" s="161">
        <f>Q132</f>
        <v>568.37572799999998</v>
      </c>
      <c r="F56" s="161">
        <f>Q206</f>
        <v>610.79280794966894</v>
      </c>
      <c r="G56" s="161">
        <f>Q279</f>
        <v>663.91928917000007</v>
      </c>
      <c r="H56" s="161">
        <f>SUM(H41:H55)</f>
        <v>672.5</v>
      </c>
      <c r="I56" s="161">
        <f>Q352</f>
        <v>577.89358881387068</v>
      </c>
      <c r="J56" s="161">
        <f>I56-H56</f>
        <v>-94.606411186129321</v>
      </c>
      <c r="K56" s="161">
        <f>SUM(K41:K55)</f>
        <v>692.01</v>
      </c>
      <c r="L56" s="161">
        <f>SUM(E427:J427)</f>
        <v>311.8858505</v>
      </c>
      <c r="M56" s="161">
        <f>SUM(K427:P427)</f>
        <v>328.56592438620692</v>
      </c>
      <c r="N56" s="161">
        <f>L56+M56</f>
        <v>640.45177488620698</v>
      </c>
      <c r="O56" s="161">
        <f>Q501</f>
        <v>710.79121938673188</v>
      </c>
      <c r="P56" s="161">
        <f>Q575</f>
        <v>777.01037217555904</v>
      </c>
      <c r="Q56" s="161">
        <f>Q649</f>
        <v>818.00664585336528</v>
      </c>
      <c r="R56" s="161">
        <f>Q723</f>
        <v>853.30909704406793</v>
      </c>
      <c r="S56" s="161">
        <f>Q797</f>
        <v>908.80407074415348</v>
      </c>
    </row>
    <row r="57" spans="3:19" hidden="1" x14ac:dyDescent="0.25">
      <c r="C57" s="753" t="s">
        <v>215</v>
      </c>
      <c r="D57" s="754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</row>
    <row r="58" spans="3:19" hidden="1" x14ac:dyDescent="0.25">
      <c r="C58" s="17" t="s">
        <v>192</v>
      </c>
      <c r="D58" s="17" t="s">
        <v>193</v>
      </c>
      <c r="E58" s="163">
        <f>F4A!E58+F4B!E58</f>
        <v>874.00927335999995</v>
      </c>
      <c r="F58" s="163">
        <f>F4A!F58+F4B!F58</f>
        <v>807.11652592999997</v>
      </c>
      <c r="G58" s="163">
        <f>F4A!G58+F4B!G58</f>
        <v>726.16495236325181</v>
      </c>
      <c r="H58" s="163">
        <f>F4A!H58+F4B!H58</f>
        <v>610.81999999999994</v>
      </c>
      <c r="I58" s="163">
        <f>F4A!I58+F4B!I58</f>
        <v>725.85691896000003</v>
      </c>
      <c r="J58" s="163">
        <f>F4A!J58+F4B!J58</f>
        <v>115.03691896000009</v>
      </c>
      <c r="K58" s="163">
        <f>F4A!K58+F4B!K58</f>
        <v>651.84</v>
      </c>
      <c r="L58" s="163">
        <f>F4A!L58+F4B!L58</f>
        <v>318.54811396000002</v>
      </c>
      <c r="M58" s="163">
        <f>F4A!M58+F4B!M58</f>
        <v>329.99426997034482</v>
      </c>
      <c r="N58" s="163">
        <f>F4A!N58+F4B!N58</f>
        <v>648.54238393034484</v>
      </c>
      <c r="O58" s="163">
        <f>F4A!O58+F4B!O58</f>
        <v>636.17033567570832</v>
      </c>
      <c r="P58" s="163">
        <f>F4A!P58+F4B!P58</f>
        <v>647.89480280865871</v>
      </c>
      <c r="Q58" s="163">
        <f>F4A!Q58+F4B!Q58</f>
        <v>685.6448742211245</v>
      </c>
      <c r="R58" s="163">
        <f>F4A!R58+F4B!R58</f>
        <v>699.35777170554718</v>
      </c>
      <c r="S58" s="163">
        <f>F4A!S58+F4B!S58</f>
        <v>710.51557065977897</v>
      </c>
    </row>
    <row r="59" spans="3:19" hidden="1" x14ac:dyDescent="0.25">
      <c r="C59" s="17" t="s">
        <v>194</v>
      </c>
      <c r="D59" s="17" t="s">
        <v>195</v>
      </c>
      <c r="E59" s="163">
        <f>F4A!E59+F4B!E59</f>
        <v>0</v>
      </c>
      <c r="F59" s="163">
        <f>F4A!F59+F4B!F59</f>
        <v>0</v>
      </c>
      <c r="G59" s="163">
        <f>F4A!G59+F4B!G59</f>
        <v>0</v>
      </c>
      <c r="H59" s="163">
        <f>F4A!H59+F4B!H59</f>
        <v>0</v>
      </c>
      <c r="I59" s="163">
        <f>F4A!I59+F4B!I59</f>
        <v>0</v>
      </c>
      <c r="J59" s="163">
        <f>F4A!J59+F4B!J59</f>
        <v>0</v>
      </c>
      <c r="K59" s="163">
        <f>F4A!K59+F4B!K59</f>
        <v>0</v>
      </c>
      <c r="L59" s="163">
        <f>F4A!L59+F4B!L59</f>
        <v>0</v>
      </c>
      <c r="M59" s="163">
        <f>F4A!M59+F4B!M59</f>
        <v>0</v>
      </c>
      <c r="N59" s="171">
        <f>F4A!N59+F4B!N59</f>
        <v>0</v>
      </c>
      <c r="O59" s="171">
        <f>F4A!O59+F4B!O59</f>
        <v>0</v>
      </c>
      <c r="P59" s="171">
        <f>F4A!P59+F4B!P59</f>
        <v>0</v>
      </c>
      <c r="Q59" s="171">
        <f>F4A!Q59+F4B!Q59</f>
        <v>0</v>
      </c>
      <c r="R59" s="171">
        <f>F4A!R59+F4B!R59</f>
        <v>0</v>
      </c>
      <c r="S59" s="171">
        <f>F4A!S59+F4B!S59</f>
        <v>0</v>
      </c>
    </row>
    <row r="60" spans="3:19" hidden="1" x14ac:dyDescent="0.25">
      <c r="C60" s="17" t="s">
        <v>233</v>
      </c>
      <c r="D60" s="17" t="s">
        <v>197</v>
      </c>
      <c r="E60" s="163">
        <f>F4A!E60+F4B!E60</f>
        <v>4.1318499999999991</v>
      </c>
      <c r="F60" s="163">
        <f>F4A!F60+F4B!F60</f>
        <v>8.9341780700000069</v>
      </c>
      <c r="G60" s="163">
        <f>F4A!G60+F4B!G60</f>
        <v>4.341467999999999</v>
      </c>
      <c r="H60" s="163">
        <f>F4A!H60+F4B!H60</f>
        <v>7.84</v>
      </c>
      <c r="I60" s="163">
        <f>F4A!I60+F4B!I60</f>
        <v>6.9317329999999995</v>
      </c>
      <c r="J60" s="163">
        <f>F4A!J60+F4B!J60</f>
        <v>-0.90826700000000038</v>
      </c>
      <c r="K60" s="163">
        <f>F4A!K60+F4B!K60</f>
        <v>3.06</v>
      </c>
      <c r="L60" s="163">
        <f>F4A!L60+F4B!L60</f>
        <v>3.5634670000000011</v>
      </c>
      <c r="M60" s="163">
        <f>F4A!M60+F4B!M60</f>
        <v>2.0716000000000001</v>
      </c>
      <c r="N60" s="163">
        <f>F4A!N60+F4B!N60</f>
        <v>5.6350670000000012</v>
      </c>
      <c r="O60" s="163">
        <f>F4A!O60+F4B!O60</f>
        <v>4.5793999999999997</v>
      </c>
      <c r="P60" s="163">
        <f>F4A!P60+F4B!P60</f>
        <v>4.6745669736802009</v>
      </c>
      <c r="Q60" s="163">
        <f>F4A!Q60+F4B!Q60</f>
        <v>6.3305889927781047</v>
      </c>
      <c r="R60" s="163">
        <f>F4A!R60+F4B!R60</f>
        <v>6.8266183076527565</v>
      </c>
      <c r="S60" s="163">
        <f>F4A!S60+F4B!S60</f>
        <v>6.9631506738058109</v>
      </c>
    </row>
    <row r="61" spans="3:19" hidden="1" x14ac:dyDescent="0.25">
      <c r="C61" s="17" t="s">
        <v>198</v>
      </c>
      <c r="D61" s="17" t="s">
        <v>199</v>
      </c>
      <c r="E61" s="163">
        <f>F4A!E61+F4B!E61</f>
        <v>0</v>
      </c>
      <c r="F61" s="163">
        <f>F4A!F61+F4B!F61</f>
        <v>0</v>
      </c>
      <c r="G61" s="163">
        <f>F4A!G61+F4B!G61</f>
        <v>0</v>
      </c>
      <c r="H61" s="163">
        <f>F4A!H61+F4B!H61</f>
        <v>0</v>
      </c>
      <c r="I61" s="163">
        <f>F4A!I61+F4B!I61</f>
        <v>0</v>
      </c>
      <c r="J61" s="163">
        <f>F4A!J61+F4B!J61</f>
        <v>0</v>
      </c>
      <c r="K61" s="163">
        <f>F4A!K61+F4B!K61</f>
        <v>0</v>
      </c>
      <c r="L61" s="163">
        <f>F4A!L61+F4B!L61</f>
        <v>0</v>
      </c>
      <c r="M61" s="163">
        <f>F4A!M61+F4B!M61</f>
        <v>0</v>
      </c>
      <c r="N61" s="170">
        <f>F4A!N61+F4B!N61</f>
        <v>0</v>
      </c>
      <c r="O61" s="170">
        <f>F4A!O61+F4B!O61</f>
        <v>0</v>
      </c>
      <c r="P61" s="170">
        <f>F4A!P61+F4B!P61</f>
        <v>0</v>
      </c>
      <c r="Q61" s="170">
        <f>F4A!Q61+F4B!Q61</f>
        <v>0</v>
      </c>
      <c r="R61" s="170">
        <f>F4A!R61+F4B!R61</f>
        <v>0</v>
      </c>
      <c r="S61" s="170">
        <f>F4A!S61+F4B!S61</f>
        <v>0</v>
      </c>
    </row>
    <row r="62" spans="3:19" hidden="1" x14ac:dyDescent="0.25">
      <c r="C62" s="17" t="s">
        <v>200</v>
      </c>
      <c r="D62" s="17" t="s">
        <v>201</v>
      </c>
      <c r="E62" s="163">
        <f>F4A!E62+F4B!E62</f>
        <v>0</v>
      </c>
      <c r="F62" s="163">
        <f>F4A!F62+F4B!F62</f>
        <v>0</v>
      </c>
      <c r="G62" s="163">
        <f>F4A!G62+F4B!G62</f>
        <v>0</v>
      </c>
      <c r="H62" s="163">
        <f>F4A!H62+F4B!H62</f>
        <v>0</v>
      </c>
      <c r="I62" s="163">
        <f>F4A!I62+F4B!I62</f>
        <v>0</v>
      </c>
      <c r="J62" s="163">
        <f>F4A!J62+F4B!J62</f>
        <v>0</v>
      </c>
      <c r="K62" s="163">
        <f>F4A!K62+F4B!K62</f>
        <v>0</v>
      </c>
      <c r="L62" s="163">
        <f>F4A!L62+F4B!L62</f>
        <v>0</v>
      </c>
      <c r="M62" s="163">
        <f>F4A!M62+F4B!M62</f>
        <v>0</v>
      </c>
      <c r="N62" s="170">
        <f>F4A!N62+F4B!N62</f>
        <v>0</v>
      </c>
      <c r="O62" s="170">
        <f>F4A!O62+F4B!O62</f>
        <v>0</v>
      </c>
      <c r="P62" s="170">
        <f>F4A!P62+F4B!P62</f>
        <v>0</v>
      </c>
      <c r="Q62" s="170">
        <f>F4A!Q62+F4B!Q62</f>
        <v>0</v>
      </c>
      <c r="R62" s="170">
        <f>F4A!R62+F4B!R62</f>
        <v>0</v>
      </c>
      <c r="S62" s="170">
        <f>F4A!S62+F4B!S62</f>
        <v>0</v>
      </c>
    </row>
    <row r="63" spans="3:19" hidden="1" x14ac:dyDescent="0.25">
      <c r="C63" s="17" t="s">
        <v>202</v>
      </c>
      <c r="D63" s="17" t="s">
        <v>234</v>
      </c>
      <c r="E63" s="163">
        <f>F4A!E63+F4B!E63</f>
        <v>2601.4660939999999</v>
      </c>
      <c r="F63" s="163">
        <f>F4A!F63+F4B!F63</f>
        <v>1892.3878540400001</v>
      </c>
      <c r="G63" s="163">
        <f>F4A!G63+F4B!G63</f>
        <v>1792.6457255699997</v>
      </c>
      <c r="H63" s="163">
        <f>F4A!H63+F4B!H63</f>
        <v>3149.06</v>
      </c>
      <c r="I63" s="163">
        <f>F4A!I63+F4B!I63</f>
        <v>1489.6604848500001</v>
      </c>
      <c r="J63" s="163">
        <f>F4A!J63+F4B!J63</f>
        <v>-1659.3995151499998</v>
      </c>
      <c r="K63" s="163">
        <f>F4A!K63+F4B!K63</f>
        <v>2755.5899999999997</v>
      </c>
      <c r="L63" s="163">
        <f>F4A!L63+F4B!L63</f>
        <v>657.28132985000002</v>
      </c>
      <c r="M63" s="163">
        <f>F4A!M63+F4B!M63</f>
        <v>634.54514280000001</v>
      </c>
      <c r="N63" s="163">
        <f>F4A!N63+F4B!N63</f>
        <v>1291.8264726500001</v>
      </c>
      <c r="O63" s="163">
        <f>F4A!O63+F4B!O63</f>
        <v>1495.4519178</v>
      </c>
      <c r="P63" s="163">
        <f>F4A!P63+F4B!P63</f>
        <v>1525.3609561559997</v>
      </c>
      <c r="Q63" s="163">
        <f>F4A!Q63+F4B!Q63</f>
        <v>1344.01626214506</v>
      </c>
      <c r="R63" s="163">
        <f>F4A!R63+F4B!R63</f>
        <v>1370.8965873879613</v>
      </c>
      <c r="S63" s="163">
        <f>F4A!S63+F4B!S63</f>
        <v>1398.3145191357207</v>
      </c>
    </row>
    <row r="64" spans="3:19" hidden="1" x14ac:dyDescent="0.25">
      <c r="C64" s="17" t="s">
        <v>204</v>
      </c>
      <c r="D64" s="17" t="s">
        <v>216</v>
      </c>
      <c r="E64" s="163">
        <f>F4A!E64+F4B!E64</f>
        <v>22.292423999999997</v>
      </c>
      <c r="F64" s="163">
        <f>F4A!F64+F4B!F64</f>
        <v>24.280632000000004</v>
      </c>
      <c r="G64" s="163">
        <f>F4A!G64+F4B!G64</f>
        <v>26.203427999999999</v>
      </c>
      <c r="H64" s="163">
        <f>F4A!H64+F4B!H64</f>
        <v>28.1</v>
      </c>
      <c r="I64" s="163">
        <f>F4A!I64+F4B!I64</f>
        <v>27.193080692919366</v>
      </c>
      <c r="J64" s="163">
        <f>F4A!J64+F4B!J64</f>
        <v>-0.90691930708063495</v>
      </c>
      <c r="K64" s="163">
        <f>F4A!K64+F4B!K64</f>
        <v>27.29</v>
      </c>
      <c r="L64" s="163">
        <f>F4A!L64+F4B!L64</f>
        <v>13.788945999999999</v>
      </c>
      <c r="M64" s="163">
        <f>F4A!M64+F4B!M64</f>
        <v>14.172048</v>
      </c>
      <c r="N64" s="163">
        <f>F4A!N64+F4B!N64</f>
        <v>27.960993999999999</v>
      </c>
      <c r="O64" s="163">
        <f>F4A!O64+F4B!O64</f>
        <v>28.955158336102667</v>
      </c>
      <c r="P64" s="163">
        <f>F4A!P64+F4B!P64</f>
        <v>29.878563282553817</v>
      </c>
      <c r="Q64" s="163">
        <f>F4A!Q64+F4B!Q64</f>
        <v>31.611248268170151</v>
      </c>
      <c r="R64" s="163">
        <f>F4A!R64+F4B!R64</f>
        <v>32.819983067757079</v>
      </c>
      <c r="S64" s="163">
        <f>F4A!S64+F4B!S64</f>
        <v>34.078019014718699</v>
      </c>
    </row>
    <row r="65" spans="3:19" hidden="1" x14ac:dyDescent="0.25">
      <c r="C65" s="17" t="s">
        <v>217</v>
      </c>
      <c r="D65" s="17" t="s">
        <v>218</v>
      </c>
      <c r="E65" s="163">
        <f>F4A!E65+F4B!E65</f>
        <v>447.08830330000006</v>
      </c>
      <c r="F65" s="163">
        <f>F4A!F65+F4B!F65</f>
        <v>318.48676180000001</v>
      </c>
      <c r="G65" s="163">
        <f>F4A!G65+F4B!G65</f>
        <v>482.07343629999997</v>
      </c>
      <c r="H65" s="163">
        <f>F4A!H65+F4B!H65</f>
        <v>480.49</v>
      </c>
      <c r="I65" s="163">
        <f>F4A!I65+F4B!I65</f>
        <v>570.660169</v>
      </c>
      <c r="J65" s="163">
        <f>F4A!J65+F4B!J65</f>
        <v>90.170168999999987</v>
      </c>
      <c r="K65" s="163">
        <f>F4A!K65+F4B!K65</f>
        <v>547.58000000000004</v>
      </c>
      <c r="L65" s="163">
        <f>F4A!L65+F4B!L65</f>
        <v>302.90057139999999</v>
      </c>
      <c r="M65" s="163">
        <f>F4A!M65+F4B!M65</f>
        <v>310.77146099999999</v>
      </c>
      <c r="N65" s="163">
        <f>F4A!N65+F4B!N65</f>
        <v>613.67203240000003</v>
      </c>
      <c r="O65" s="163">
        <f>F4A!O65+F4B!O65</f>
        <v>641.87810260874801</v>
      </c>
      <c r="P65" s="163">
        <f>F4A!P65+F4B!P65</f>
        <v>680.75377750250368</v>
      </c>
      <c r="Q65" s="163">
        <f>F4A!Q65+F4B!Q65</f>
        <v>839.93464331164364</v>
      </c>
      <c r="R65" s="163">
        <f>F4A!R65+F4B!R65</f>
        <v>938.58142015725548</v>
      </c>
      <c r="S65" s="163">
        <f>F4A!S65+F4B!S65</f>
        <v>1036.7900752775961</v>
      </c>
    </row>
    <row r="66" spans="3:19" hidden="1" x14ac:dyDescent="0.25">
      <c r="C66" s="17" t="s">
        <v>235</v>
      </c>
      <c r="D66" s="17" t="s">
        <v>236</v>
      </c>
      <c r="E66" s="163">
        <f>F4A!E66+F4B!E66</f>
        <v>0</v>
      </c>
      <c r="F66" s="163">
        <f>F4A!F66+F4B!F66</f>
        <v>0</v>
      </c>
      <c r="G66" s="163">
        <f>F4A!G66+F4B!G66</f>
        <v>0</v>
      </c>
      <c r="H66" s="163">
        <f>F4A!H66+F4B!H66</f>
        <v>0</v>
      </c>
      <c r="I66" s="163">
        <f>F4A!I66+F4B!I66</f>
        <v>0</v>
      </c>
      <c r="J66" s="163">
        <f>F4A!J66+F4B!J66</f>
        <v>0</v>
      </c>
      <c r="K66" s="163">
        <f>F4A!K66+F4B!K66</f>
        <v>0</v>
      </c>
      <c r="L66" s="163">
        <f>F4A!L66+F4B!L66</f>
        <v>0</v>
      </c>
      <c r="M66" s="163">
        <f>F4A!M66+F4B!M66</f>
        <v>0</v>
      </c>
      <c r="N66" s="163">
        <f>F4A!N66+F4B!N66</f>
        <v>0</v>
      </c>
      <c r="O66" s="163">
        <f>F4A!O66+F4B!O66</f>
        <v>0</v>
      </c>
      <c r="P66" s="163">
        <f>F4A!P66+F4B!P66</f>
        <v>0</v>
      </c>
      <c r="Q66" s="163">
        <f>F4A!Q66+F4B!Q66</f>
        <v>0</v>
      </c>
      <c r="R66" s="163">
        <f>F4A!R66+F4B!R66</f>
        <v>0</v>
      </c>
      <c r="S66" s="163">
        <f>F4A!S66+F4B!S66</f>
        <v>0</v>
      </c>
    </row>
    <row r="67" spans="3:19" hidden="1" x14ac:dyDescent="0.25">
      <c r="C67" s="17" t="s">
        <v>206</v>
      </c>
      <c r="D67" s="17" t="s">
        <v>207</v>
      </c>
      <c r="E67" s="163">
        <f>F4A!E67+F4B!E67</f>
        <v>100.91880000000002</v>
      </c>
      <c r="F67" s="163">
        <f>F4A!F67+F4B!F67</f>
        <v>99.25030799999999</v>
      </c>
      <c r="G67" s="163">
        <f>F4A!G67+F4B!G67</f>
        <v>99.877418000000006</v>
      </c>
      <c r="H67" s="163">
        <f>F4A!H67+F4B!H67</f>
        <v>109.14000000000001</v>
      </c>
      <c r="I67" s="163">
        <f>F4A!I67+F4B!I67</f>
        <v>91.474289999999996</v>
      </c>
      <c r="J67" s="163">
        <f>F4A!J67+F4B!J67</f>
        <v>-17.665710000000018</v>
      </c>
      <c r="K67" s="163">
        <f>F4A!K67+F4B!K67</f>
        <v>100.67</v>
      </c>
      <c r="L67" s="163">
        <f>F4A!L67+F4B!L67</f>
        <v>39.656298999999997</v>
      </c>
      <c r="M67" s="163">
        <f>F4A!M67+F4B!M67</f>
        <v>25.790074103448276</v>
      </c>
      <c r="N67" s="163">
        <f>F4A!N67+F4B!N67</f>
        <v>65.446373103448281</v>
      </c>
      <c r="O67" s="163">
        <f>F4A!O67+F4B!O67</f>
        <v>66.945765103448267</v>
      </c>
      <c r="P67" s="163">
        <f>F4A!P67+F4B!P67</f>
        <v>66.945765103448267</v>
      </c>
      <c r="Q67" s="163">
        <f>F4A!Q67+F4B!Q67</f>
        <v>69.452214708364139</v>
      </c>
      <c r="R67" s="163">
        <f>F4A!R67+F4B!R67</f>
        <v>70.84125900253143</v>
      </c>
      <c r="S67" s="163">
        <f>F4A!S67+F4B!S67</f>
        <v>72.258084182582067</v>
      </c>
    </row>
    <row r="68" spans="3:19" hidden="1" x14ac:dyDescent="0.25">
      <c r="C68" s="17" t="s">
        <v>208</v>
      </c>
      <c r="D68" s="17" t="s">
        <v>187</v>
      </c>
      <c r="E68" s="163">
        <f>F4A!E68+F4B!E68</f>
        <v>21.370999999999999</v>
      </c>
      <c r="F68" s="163">
        <f>F4A!F68+F4B!F68</f>
        <v>70.354709</v>
      </c>
      <c r="G68" s="163">
        <f>F4A!G68+F4B!G68</f>
        <v>8.5570000000000004</v>
      </c>
      <c r="H68" s="163">
        <f>F4A!H68+F4B!H68</f>
        <v>0</v>
      </c>
      <c r="I68" s="163">
        <f>F4A!I68+F4B!I68</f>
        <v>0.96194999999999986</v>
      </c>
      <c r="J68" s="163">
        <f>F4A!J68+F4B!J68</f>
        <v>0.96194999999999986</v>
      </c>
      <c r="K68" s="163">
        <f>F4A!K68+F4B!K68</f>
        <v>0</v>
      </c>
      <c r="L68" s="163">
        <f>F4A!L68+F4B!L68</f>
        <v>0.67444999999999999</v>
      </c>
      <c r="M68" s="163">
        <f>F4A!M68+F4B!M68</f>
        <v>0.4647</v>
      </c>
      <c r="N68" s="163">
        <f>F4A!N68+F4B!N68</f>
        <v>1.1391499999999999</v>
      </c>
      <c r="O68" s="163">
        <f>F4A!O68+F4B!O68</f>
        <v>0</v>
      </c>
      <c r="P68" s="163">
        <f>F4A!P68+F4B!P68</f>
        <v>0</v>
      </c>
      <c r="Q68" s="163">
        <f>F4A!Q68+F4B!Q68</f>
        <v>1.2088750932000003</v>
      </c>
      <c r="R68" s="163">
        <f>F4A!R68+F4B!R68</f>
        <v>1.2330525950640001</v>
      </c>
      <c r="S68" s="163">
        <f>F4A!S68+F4B!S68</f>
        <v>1.2958281855727605</v>
      </c>
    </row>
    <row r="69" spans="3:19" hidden="1" x14ac:dyDescent="0.25">
      <c r="C69" s="17" t="s">
        <v>209</v>
      </c>
      <c r="D69" s="17" t="s">
        <v>210</v>
      </c>
      <c r="E69" s="163">
        <f>F4A!E69+F4B!E69</f>
        <v>0</v>
      </c>
      <c r="F69" s="163">
        <f>F4A!F69+F4B!F69</f>
        <v>0</v>
      </c>
      <c r="G69" s="163">
        <f>F4A!G69+F4B!G69</f>
        <v>0</v>
      </c>
      <c r="H69" s="163">
        <f>F4A!H69+F4B!H69</f>
        <v>0</v>
      </c>
      <c r="I69" s="163">
        <f>F4A!I69+F4B!I69</f>
        <v>0</v>
      </c>
      <c r="J69" s="163">
        <f>F4A!J69+F4B!J69</f>
        <v>0</v>
      </c>
      <c r="K69" s="163">
        <f>F4A!K69+F4B!K69</f>
        <v>0</v>
      </c>
      <c r="L69" s="163">
        <f>F4A!L69+F4B!L69</f>
        <v>0</v>
      </c>
      <c r="M69" s="163">
        <f>F4A!M69+F4B!M69</f>
        <v>0</v>
      </c>
      <c r="N69" s="163">
        <f>F4A!N69+F4B!N69</f>
        <v>0</v>
      </c>
      <c r="O69" s="163">
        <f>F4A!O69+F4B!O69</f>
        <v>0</v>
      </c>
      <c r="P69" s="163">
        <f>F4A!P69+F4B!P69</f>
        <v>0</v>
      </c>
      <c r="Q69" s="163">
        <f>F4A!Q69+F4B!Q69</f>
        <v>0</v>
      </c>
      <c r="R69" s="163">
        <f>F4A!R69+F4B!R69</f>
        <v>0</v>
      </c>
      <c r="S69" s="163">
        <f>F4A!S69+F4B!S69</f>
        <v>0</v>
      </c>
    </row>
    <row r="70" spans="3:19" hidden="1" x14ac:dyDescent="0.25">
      <c r="C70" s="17" t="s">
        <v>211</v>
      </c>
      <c r="D70" s="17" t="s">
        <v>189</v>
      </c>
      <c r="E70" s="163">
        <f>F4A!E70+F4B!E70</f>
        <v>0</v>
      </c>
      <c r="F70" s="163">
        <f>F4A!F70+F4B!F70</f>
        <v>0</v>
      </c>
      <c r="G70" s="163">
        <f>F4A!G70+F4B!G70</f>
        <v>0</v>
      </c>
      <c r="H70" s="163">
        <f>F4A!H70+F4B!H70</f>
        <v>0</v>
      </c>
      <c r="I70" s="163">
        <f>F4A!I70+F4B!I70</f>
        <v>0</v>
      </c>
      <c r="J70" s="163">
        <f>F4A!J70+F4B!J70</f>
        <v>0</v>
      </c>
      <c r="K70" s="163">
        <f>F4A!K70+F4B!K70</f>
        <v>0</v>
      </c>
      <c r="L70" s="163">
        <f>F4A!L70+F4B!L70</f>
        <v>0</v>
      </c>
      <c r="M70" s="163">
        <f>F4A!M70+F4B!M70</f>
        <v>0</v>
      </c>
      <c r="N70" s="163">
        <f>F4A!N70+F4B!N70</f>
        <v>0</v>
      </c>
      <c r="O70" s="163">
        <f>F4A!O70+F4B!O70</f>
        <v>0</v>
      </c>
      <c r="P70" s="163">
        <f>F4A!P70+F4B!P70</f>
        <v>0</v>
      </c>
      <c r="Q70" s="163">
        <f>F4A!Q70+F4B!Q70</f>
        <v>0</v>
      </c>
      <c r="R70" s="163">
        <f>F4A!R70+F4B!R70</f>
        <v>0</v>
      </c>
      <c r="S70" s="163">
        <f>F4A!S70+F4B!S70</f>
        <v>0</v>
      </c>
    </row>
    <row r="71" spans="3:19" hidden="1" x14ac:dyDescent="0.25">
      <c r="C71" s="17"/>
      <c r="D71" s="17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</row>
    <row r="72" spans="3:19" hidden="1" x14ac:dyDescent="0.25">
      <c r="C72" s="17"/>
      <c r="D72" s="17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</row>
    <row r="73" spans="3:19" hidden="1" x14ac:dyDescent="0.25">
      <c r="C73" s="17"/>
      <c r="D73" s="17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</row>
    <row r="74" spans="3:19" hidden="1" x14ac:dyDescent="0.25">
      <c r="C74" s="17"/>
      <c r="D74" s="17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</row>
    <row r="75" spans="3:19" hidden="1" x14ac:dyDescent="0.25">
      <c r="C75" s="751" t="s">
        <v>212</v>
      </c>
      <c r="D75" s="752"/>
      <c r="E75" s="161">
        <f>Q151</f>
        <v>4071.2777446600003</v>
      </c>
      <c r="F75" s="161">
        <f>Q224</f>
        <v>3220.81096884</v>
      </c>
      <c r="G75" s="161">
        <f>Q298</f>
        <v>3139.8634282332514</v>
      </c>
      <c r="H75" s="161">
        <f>SUM(H58:H74)</f>
        <v>4385.45</v>
      </c>
      <c r="I75" s="161">
        <f>Q371</f>
        <v>2912.7386265029195</v>
      </c>
      <c r="J75" s="161">
        <f>I75-H75</f>
        <v>-1472.7113734970803</v>
      </c>
      <c r="K75" s="161">
        <f>SUM(K58:K74)</f>
        <v>4086.0299999999997</v>
      </c>
      <c r="L75" s="161">
        <f>SUM(E446:J446)</f>
        <v>1336.41317721</v>
      </c>
      <c r="M75" s="161">
        <f>SUM(K446:P446)</f>
        <v>1317.8092958737932</v>
      </c>
      <c r="N75" s="161">
        <f>L75+M75</f>
        <v>2654.2224730837934</v>
      </c>
      <c r="O75" s="161">
        <f>Q520</f>
        <v>2873.9806795240074</v>
      </c>
      <c r="P75" s="161">
        <f>Q594</f>
        <v>2955.5084318268446</v>
      </c>
      <c r="Q75" s="161">
        <f>Q668</f>
        <v>2978.1987067403402</v>
      </c>
      <c r="R75" s="161">
        <f>Q742</f>
        <v>3120.556692223769</v>
      </c>
      <c r="S75" s="161">
        <f>Q816</f>
        <v>3260.215247129775</v>
      </c>
    </row>
    <row r="76" spans="3:19" hidden="1" x14ac:dyDescent="0.25">
      <c r="C76" s="751" t="s">
        <v>219</v>
      </c>
      <c r="D76" s="752"/>
      <c r="E76" s="161">
        <f>Q152</f>
        <v>6547.53711458</v>
      </c>
      <c r="F76" s="161">
        <f>Q225</f>
        <v>5846.1152623199996</v>
      </c>
      <c r="G76" s="161">
        <f>Q299</f>
        <v>5987.7950453432513</v>
      </c>
      <c r="H76" s="161">
        <f>SUM(H39,H56,H75)</f>
        <v>7382.21</v>
      </c>
      <c r="I76" s="161">
        <f>Q372</f>
        <v>5945.8347720267911</v>
      </c>
      <c r="J76" s="161">
        <f>I76-H76</f>
        <v>-1436.3752279732089</v>
      </c>
      <c r="K76" s="161">
        <f>SUM(K39,K56,K75)</f>
        <v>7188.78</v>
      </c>
      <c r="L76" s="161">
        <f>SUM(E447:J447)</f>
        <v>2833.8085116500001</v>
      </c>
      <c r="M76" s="161">
        <f>SUM(K447:P447)</f>
        <v>3053.0131830200003</v>
      </c>
      <c r="N76" s="161">
        <f>L76+M76</f>
        <v>5886.8216946700004</v>
      </c>
      <c r="O76" s="161">
        <f>Q521</f>
        <v>6326.5428284037916</v>
      </c>
      <c r="P76" s="161">
        <f>Q595</f>
        <v>6655.022706239617</v>
      </c>
      <c r="Q76" s="161">
        <f>Q669</f>
        <v>7065.1859500488008</v>
      </c>
      <c r="R76" s="161">
        <f>Q743</f>
        <v>7526.4564731996124</v>
      </c>
      <c r="S76" s="161">
        <f>Q817</f>
        <v>8003.3215730924512</v>
      </c>
    </row>
    <row r="77" spans="3:19" hidden="1" x14ac:dyDescent="0.25">
      <c r="C77" s="751" t="s">
        <v>220</v>
      </c>
      <c r="D77" s="752"/>
      <c r="E77" s="161">
        <f>Q153</f>
        <v>18612.368411209827</v>
      </c>
      <c r="F77" s="161">
        <f>Q226</f>
        <v>18773.936871283662</v>
      </c>
      <c r="G77" s="161">
        <f>Q300</f>
        <v>18641.819715018031</v>
      </c>
      <c r="H77" s="161">
        <f>SUM(H22,H76)</f>
        <v>20695.68</v>
      </c>
      <c r="I77" s="161">
        <f>Q373</f>
        <v>19249.951394826792</v>
      </c>
      <c r="J77" s="161">
        <f>I77-H77</f>
        <v>-1445.7286051732081</v>
      </c>
      <c r="K77" s="161">
        <f>SUM(K22,K76)</f>
        <v>21130.289999999997</v>
      </c>
      <c r="L77" s="161">
        <f>SUM(E448:J448)</f>
        <v>9295.2979461484229</v>
      </c>
      <c r="M77" s="161">
        <f>SUM(K448:P448)</f>
        <v>11768.204335655289</v>
      </c>
      <c r="N77" s="165">
        <f>L77+M77</f>
        <v>21063.502281803711</v>
      </c>
      <c r="O77" s="165">
        <f>Q522</f>
        <v>22399.630593656075</v>
      </c>
      <c r="P77" s="165">
        <f>Q596</f>
        <v>23951.373098901837</v>
      </c>
      <c r="Q77" s="165">
        <f>Q670</f>
        <v>22312.475155540575</v>
      </c>
      <c r="R77" s="165">
        <f>Q744</f>
        <v>23367.873052297764</v>
      </c>
      <c r="S77" s="165">
        <f>Q818</f>
        <v>24418.583054752977</v>
      </c>
    </row>
    <row r="78" spans="3:19" hidden="1" x14ac:dyDescent="0.25"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</row>
    <row r="79" spans="3:19" hidden="1" x14ac:dyDescent="0.25"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</row>
    <row r="80" spans="3:19" hidden="1" x14ac:dyDescent="0.25">
      <c r="C80" s="14" t="s">
        <v>237</v>
      </c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</row>
    <row r="81" spans="3:19" hidden="1" x14ac:dyDescent="0.25">
      <c r="C81" s="14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9" t="s">
        <v>229</v>
      </c>
      <c r="R81" s="166"/>
      <c r="S81" s="166"/>
    </row>
    <row r="82" spans="3:19" hidden="1" x14ac:dyDescent="0.25">
      <c r="C82" s="760" t="s">
        <v>163</v>
      </c>
      <c r="D82" s="760"/>
      <c r="E82" s="761" t="s">
        <v>238</v>
      </c>
      <c r="F82" s="761"/>
      <c r="G82" s="761"/>
      <c r="H82" s="761"/>
      <c r="I82" s="761"/>
      <c r="J82" s="761"/>
      <c r="K82" s="761"/>
      <c r="L82" s="761"/>
      <c r="M82" s="761"/>
      <c r="N82" s="761"/>
      <c r="O82" s="761"/>
      <c r="P82" s="761"/>
      <c r="Q82" s="761"/>
      <c r="R82" s="166"/>
      <c r="S82" s="166"/>
    </row>
    <row r="83" spans="3:19" hidden="1" x14ac:dyDescent="0.25">
      <c r="C83" s="760"/>
      <c r="D83" s="760"/>
      <c r="E83" s="168" t="s">
        <v>239</v>
      </c>
      <c r="F83" s="168" t="s">
        <v>240</v>
      </c>
      <c r="G83" s="168" t="s">
        <v>241</v>
      </c>
      <c r="H83" s="168" t="s">
        <v>242</v>
      </c>
      <c r="I83" s="168" t="s">
        <v>243</v>
      </c>
      <c r="J83" s="168" t="s">
        <v>244</v>
      </c>
      <c r="K83" s="168" t="s">
        <v>245</v>
      </c>
      <c r="L83" s="168" t="s">
        <v>246</v>
      </c>
      <c r="M83" s="168" t="s">
        <v>247</v>
      </c>
      <c r="N83" s="168" t="s">
        <v>248</v>
      </c>
      <c r="O83" s="168" t="s">
        <v>249</v>
      </c>
      <c r="P83" s="168" t="s">
        <v>250</v>
      </c>
      <c r="Q83" s="168" t="s">
        <v>251</v>
      </c>
      <c r="R83" s="166"/>
      <c r="S83" s="166"/>
    </row>
    <row r="84" spans="3:19" hidden="1" x14ac:dyDescent="0.25">
      <c r="C84" s="753" t="s">
        <v>171</v>
      </c>
      <c r="D84" s="754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7">
        <f t="shared" ref="Q84:Q115" si="0">SUM(E84:P84)</f>
        <v>0</v>
      </c>
      <c r="R84" s="166"/>
      <c r="S84" s="166"/>
    </row>
    <row r="85" spans="3:19" hidden="1" x14ac:dyDescent="0.25">
      <c r="C85" s="59" t="s">
        <v>172</v>
      </c>
      <c r="D85" s="59" t="s">
        <v>173</v>
      </c>
      <c r="E85" s="162">
        <f>F4A!E85+F4B!E85</f>
        <v>308.57992100000001</v>
      </c>
      <c r="F85" s="162">
        <f>F4A!F85+F4B!F85</f>
        <v>379.42664499999995</v>
      </c>
      <c r="G85" s="162">
        <f>F4A!G85+F4B!G85</f>
        <v>387.14336199999991</v>
      </c>
      <c r="H85" s="162">
        <f>F4A!H85+F4B!H85</f>
        <v>318.70826699999998</v>
      </c>
      <c r="I85" s="162">
        <f>F4A!I85+F4B!I85</f>
        <v>303.62771799999996</v>
      </c>
      <c r="J85" s="162">
        <f>F4A!J85+F4B!J85</f>
        <v>299.57519500000001</v>
      </c>
      <c r="K85" s="162">
        <f>F4A!K85+F4B!K85</f>
        <v>302.75718200000006</v>
      </c>
      <c r="L85" s="162">
        <f>F4A!L85+F4B!L85</f>
        <v>287.88379399999997</v>
      </c>
      <c r="M85" s="162">
        <f>F4A!M85+F4B!M85</f>
        <v>249.41559500000002</v>
      </c>
      <c r="N85" s="162">
        <f>F4A!N85+F4B!N85</f>
        <v>226.909336</v>
      </c>
      <c r="O85" s="162">
        <f>F4A!O85+F4B!O85</f>
        <v>234.00988899999999</v>
      </c>
      <c r="P85" s="162">
        <f>F4A!P85+F4B!P85</f>
        <v>249.01417599999996</v>
      </c>
      <c r="Q85" s="167">
        <f t="shared" si="0"/>
        <v>3547.0510800000002</v>
      </c>
      <c r="R85" s="166"/>
      <c r="S85" s="166"/>
    </row>
    <row r="86" spans="3:19" hidden="1" x14ac:dyDescent="0.25">
      <c r="C86" s="17" t="s">
        <v>174</v>
      </c>
      <c r="D86" s="17" t="s">
        <v>175</v>
      </c>
      <c r="E86" s="162">
        <f>F4A!E86+F4B!E86</f>
        <v>66.815153999999993</v>
      </c>
      <c r="F86" s="162">
        <f>F4A!F86+F4B!F86</f>
        <v>73.304108000000028</v>
      </c>
      <c r="G86" s="162">
        <f>F4A!G86+F4B!G86</f>
        <v>76.296244999999985</v>
      </c>
      <c r="H86" s="162">
        <f>F4A!H86+F4B!H86</f>
        <v>67.849562999999989</v>
      </c>
      <c r="I86" s="162">
        <f>F4A!I86+F4B!I86</f>
        <v>64.732144000000005</v>
      </c>
      <c r="J86" s="162">
        <f>F4A!J86+F4B!J86</f>
        <v>61.919736000000007</v>
      </c>
      <c r="K86" s="162">
        <f>F4A!K86+F4B!K86</f>
        <v>61.540885000000003</v>
      </c>
      <c r="L86" s="162">
        <f>F4A!L86+F4B!L86</f>
        <v>59.937169999999995</v>
      </c>
      <c r="M86" s="162">
        <f>F4A!M86+F4B!M86</f>
        <v>56.993788000000002</v>
      </c>
      <c r="N86" s="162">
        <f>F4A!N86+F4B!N86</f>
        <v>54.691770600000005</v>
      </c>
      <c r="O86" s="162">
        <f>F4A!O86+F4B!O86</f>
        <v>55.436913000000011</v>
      </c>
      <c r="P86" s="162">
        <f>F4A!P86+F4B!P86</f>
        <v>58.460787000000018</v>
      </c>
      <c r="Q86" s="167">
        <f t="shared" si="0"/>
        <v>757.97826359999999</v>
      </c>
      <c r="R86" s="166"/>
      <c r="S86" s="166"/>
    </row>
    <row r="87" spans="3:19" hidden="1" x14ac:dyDescent="0.25">
      <c r="C87" s="17" t="s">
        <v>176</v>
      </c>
      <c r="D87" s="17" t="s">
        <v>177</v>
      </c>
      <c r="E87" s="162">
        <f>F4A!E87+F4B!E87</f>
        <v>21.207447100000003</v>
      </c>
      <c r="F87" s="162">
        <f>F4A!F87+F4B!F87</f>
        <v>20.435636000000002</v>
      </c>
      <c r="G87" s="162">
        <f>F4A!G87+F4B!G87</f>
        <v>21.492404300000008</v>
      </c>
      <c r="H87" s="162">
        <f>F4A!H87+F4B!H87</f>
        <v>18.971318700000001</v>
      </c>
      <c r="I87" s="162">
        <f>F4A!I87+F4B!I87</f>
        <v>17.474180620000002</v>
      </c>
      <c r="J87" s="162">
        <f>F4A!J87+F4B!J87</f>
        <v>16.377602</v>
      </c>
      <c r="K87" s="162">
        <f>F4A!K87+F4B!K87</f>
        <v>15.921744</v>
      </c>
      <c r="L87" s="162">
        <f>F4A!L87+F4B!L87</f>
        <v>14.927123889999999</v>
      </c>
      <c r="M87" s="162">
        <f>F4A!M87+F4B!M87</f>
        <v>21.1335035</v>
      </c>
      <c r="N87" s="162">
        <f>F4A!N87+F4B!N87</f>
        <v>27.471845999999999</v>
      </c>
      <c r="O87" s="162">
        <f>F4A!O87+F4B!O87</f>
        <v>25.5810225</v>
      </c>
      <c r="P87" s="162">
        <f>F4A!P87+F4B!P87</f>
        <v>23.365182999999998</v>
      </c>
      <c r="Q87" s="167">
        <f t="shared" si="0"/>
        <v>244.35901160999998</v>
      </c>
      <c r="R87" s="166"/>
      <c r="S87" s="166"/>
    </row>
    <row r="88" spans="3:19" hidden="1" x14ac:dyDescent="0.25">
      <c r="C88" s="17" t="s">
        <v>178</v>
      </c>
      <c r="D88" s="17" t="s">
        <v>179</v>
      </c>
      <c r="E88" s="162">
        <f>F4A!E88+F4B!E88</f>
        <v>0.63769699999999985</v>
      </c>
      <c r="F88" s="162">
        <f>F4A!F88+F4B!F88</f>
        <v>0.66216600000000003</v>
      </c>
      <c r="G88" s="162">
        <f>F4A!G88+F4B!G88</f>
        <v>0.66373499999999985</v>
      </c>
      <c r="H88" s="162">
        <f>F4A!H88+F4B!H88</f>
        <v>0.6212390000000001</v>
      </c>
      <c r="I88" s="162">
        <f>F4A!I88+F4B!I88</f>
        <v>0.63420100000000001</v>
      </c>
      <c r="J88" s="162">
        <f>F4A!J88+F4B!J88</f>
        <v>0.62585000000000002</v>
      </c>
      <c r="K88" s="162">
        <f>F4A!K88+F4B!K88</f>
        <v>0.61601099999999998</v>
      </c>
      <c r="L88" s="162">
        <f>F4A!L88+F4B!L88</f>
        <v>0.63238200000000011</v>
      </c>
      <c r="M88" s="162">
        <f>F4A!M88+F4B!M88</f>
        <v>0.59531000000000012</v>
      </c>
      <c r="N88" s="162">
        <f>F4A!N88+F4B!N88</f>
        <v>0.61791099999999988</v>
      </c>
      <c r="O88" s="162">
        <f>F4A!O88+F4B!O88</f>
        <v>0.59086900000000009</v>
      </c>
      <c r="P88" s="162">
        <f>F4A!P88+F4B!P88</f>
        <v>0.651451</v>
      </c>
      <c r="Q88" s="167">
        <f t="shared" si="0"/>
        <v>7.5488219999999995</v>
      </c>
      <c r="R88" s="166"/>
      <c r="S88" s="166"/>
    </row>
    <row r="89" spans="3:19" hidden="1" x14ac:dyDescent="0.25">
      <c r="C89" s="17" t="s">
        <v>180</v>
      </c>
      <c r="D89" s="17" t="s">
        <v>181</v>
      </c>
      <c r="E89" s="162">
        <f>F4A!E89+F4B!E89</f>
        <v>621.37214400000005</v>
      </c>
      <c r="F89" s="162">
        <f>F4A!F89+F4B!F89</f>
        <v>303.34294889999995</v>
      </c>
      <c r="G89" s="162">
        <f>F4A!G89+F4B!G89</f>
        <v>211.24235759999999</v>
      </c>
      <c r="H89" s="162">
        <f>F4A!H89+F4B!H89</f>
        <v>503.73642443615006</v>
      </c>
      <c r="I89" s="162">
        <f>F4A!I89+F4B!I89</f>
        <v>643.72328574570565</v>
      </c>
      <c r="J89" s="162">
        <f>F4A!J89+F4B!J89</f>
        <v>461.58572973539293</v>
      </c>
      <c r="K89" s="162">
        <f>F4A!K89+F4B!K89</f>
        <v>405.121735</v>
      </c>
      <c r="L89" s="162">
        <f>F4A!L89+F4B!L89</f>
        <v>311.55408999999997</v>
      </c>
      <c r="M89" s="162">
        <f>F4A!M89+F4B!M89</f>
        <v>602.59135599999991</v>
      </c>
      <c r="N89" s="162">
        <f>F4A!N89+F4B!N89</f>
        <v>840.88445690000003</v>
      </c>
      <c r="O89" s="162">
        <f>F4A!O89+F4B!O89</f>
        <v>969.73800000000006</v>
      </c>
      <c r="P89" s="162">
        <f>F4A!P89+F4B!P89</f>
        <v>1265.3817986025822</v>
      </c>
      <c r="Q89" s="167">
        <f t="shared" si="0"/>
        <v>7140.2743269198318</v>
      </c>
      <c r="R89" s="166"/>
      <c r="S89" s="166"/>
    </row>
    <row r="90" spans="3:19" hidden="1" x14ac:dyDescent="0.25">
      <c r="C90" s="17" t="s">
        <v>182</v>
      </c>
      <c r="D90" s="17" t="s">
        <v>183</v>
      </c>
      <c r="E90" s="162">
        <f>F4A!E90+F4B!E90</f>
        <v>26.076889000000001</v>
      </c>
      <c r="F90" s="162">
        <f>F4A!F90+F4B!F90</f>
        <v>26.199191000000006</v>
      </c>
      <c r="G90" s="162">
        <f>F4A!G90+F4B!G90</f>
        <v>25.661258000000004</v>
      </c>
      <c r="H90" s="162">
        <f>F4A!H90+F4B!H90</f>
        <v>24.023554000000004</v>
      </c>
      <c r="I90" s="162">
        <f>F4A!I90+F4B!I90</f>
        <v>23.813270000000003</v>
      </c>
      <c r="J90" s="162">
        <f>F4A!J90+F4B!J90</f>
        <v>24.521911999999997</v>
      </c>
      <c r="K90" s="162">
        <f>F4A!K90+F4B!K90</f>
        <v>26.001634999999997</v>
      </c>
      <c r="L90" s="162">
        <f>F4A!L90+F4B!L90</f>
        <v>25.921545000000002</v>
      </c>
      <c r="M90" s="162">
        <f>F4A!M90+F4B!M90</f>
        <v>25.428137999999997</v>
      </c>
      <c r="N90" s="162">
        <f>F4A!N90+F4B!N90</f>
        <v>26.748207999999998</v>
      </c>
      <c r="O90" s="162">
        <f>F4A!O90+F4B!O90</f>
        <v>27.231877999999995</v>
      </c>
      <c r="P90" s="162">
        <f>F4A!P90+F4B!P90</f>
        <v>26.195993999999999</v>
      </c>
      <c r="Q90" s="167">
        <f t="shared" si="0"/>
        <v>307.82347199999998</v>
      </c>
      <c r="R90" s="166"/>
      <c r="S90" s="166"/>
    </row>
    <row r="91" spans="3:19" hidden="1" x14ac:dyDescent="0.25">
      <c r="C91" s="17" t="s">
        <v>184</v>
      </c>
      <c r="D91" s="17" t="s">
        <v>185</v>
      </c>
      <c r="E91" s="162">
        <f>F4A!E91+F4B!E91</f>
        <v>5.0897589999999999</v>
      </c>
      <c r="F91" s="162">
        <f>F4A!F91+F4B!F91</f>
        <v>4.2757710000000007</v>
      </c>
      <c r="G91" s="162">
        <f>F4A!G91+F4B!G91</f>
        <v>4.4299529999999985</v>
      </c>
      <c r="H91" s="162">
        <f>F4A!H91+F4B!H91</f>
        <v>5.4442555000000006</v>
      </c>
      <c r="I91" s="162">
        <f>F4A!I91+F4B!I91</f>
        <v>5.589931</v>
      </c>
      <c r="J91" s="162">
        <f>F4A!J91+F4B!J91</f>
        <v>5.6516549999999999</v>
      </c>
      <c r="K91" s="162">
        <f>F4A!K91+F4B!K91</f>
        <v>4.4122419999999991</v>
      </c>
      <c r="L91" s="162">
        <f>F4A!L91+F4B!L91</f>
        <v>4.9232250000000004</v>
      </c>
      <c r="M91" s="162">
        <f>F4A!M91+F4B!M91</f>
        <v>5.2681269999999998</v>
      </c>
      <c r="N91" s="162">
        <f>F4A!N91+F4B!N91</f>
        <v>4.8004320000000007</v>
      </c>
      <c r="O91" s="162">
        <f>F4A!O91+F4B!O91</f>
        <v>4.6428519999999986</v>
      </c>
      <c r="P91" s="162">
        <f>F4A!P91+F4B!P91</f>
        <v>5.0977200000000007</v>
      </c>
      <c r="Q91" s="167">
        <f t="shared" si="0"/>
        <v>59.625922500000001</v>
      </c>
      <c r="R91" s="166"/>
      <c r="S91" s="166"/>
    </row>
    <row r="92" spans="3:19" hidden="1" x14ac:dyDescent="0.25">
      <c r="C92" s="17" t="s">
        <v>186</v>
      </c>
      <c r="D92" s="17" t="s">
        <v>187</v>
      </c>
      <c r="E92" s="162">
        <f>F4A!E92+F4B!E92</f>
        <v>0</v>
      </c>
      <c r="F92" s="162">
        <f>F4A!F92+F4B!F92</f>
        <v>0</v>
      </c>
      <c r="G92" s="162">
        <f>F4A!G92+F4B!G92</f>
        <v>0</v>
      </c>
      <c r="H92" s="162">
        <f>F4A!H92+F4B!H92</f>
        <v>0</v>
      </c>
      <c r="I92" s="162">
        <f>F4A!I92+F4B!I92</f>
        <v>0</v>
      </c>
      <c r="J92" s="162">
        <f>F4A!J92+F4B!J92</f>
        <v>0</v>
      </c>
      <c r="K92" s="162">
        <f>F4A!K92+F4B!K92</f>
        <v>0</v>
      </c>
      <c r="L92" s="162">
        <f>F4A!L92+F4B!L92</f>
        <v>0</v>
      </c>
      <c r="M92" s="162">
        <f>F4A!M92+F4B!M92</f>
        <v>1.3245E-2</v>
      </c>
      <c r="N92" s="162">
        <f>F4A!N92+F4B!N92</f>
        <v>2.6501999999999998E-2</v>
      </c>
      <c r="O92" s="162">
        <f>F4A!O92+F4B!O92</f>
        <v>5.9631000000000003E-2</v>
      </c>
      <c r="P92" s="162">
        <f>F4A!P92+F4B!P92</f>
        <v>7.102E-2</v>
      </c>
      <c r="Q92" s="167">
        <f t="shared" si="0"/>
        <v>0.17039799999999999</v>
      </c>
      <c r="R92" s="166"/>
      <c r="S92" s="166"/>
    </row>
    <row r="93" spans="3:19" hidden="1" x14ac:dyDescent="0.25">
      <c r="C93" s="17" t="s">
        <v>188</v>
      </c>
      <c r="D93" s="17" t="s">
        <v>189</v>
      </c>
      <c r="E93" s="162">
        <f>F4A!E93+F4B!E93</f>
        <v>0</v>
      </c>
      <c r="F93" s="162">
        <f>F4A!F93+F4B!F93</f>
        <v>0</v>
      </c>
      <c r="G93" s="162">
        <f>F4A!G93+F4B!G93</f>
        <v>0</v>
      </c>
      <c r="H93" s="162">
        <f>F4A!H93+F4B!H93</f>
        <v>0</v>
      </c>
      <c r="I93" s="162">
        <f>F4A!I93+F4B!I93</f>
        <v>0</v>
      </c>
      <c r="J93" s="162">
        <f>F4A!J93+F4B!J93</f>
        <v>0</v>
      </c>
      <c r="K93" s="162">
        <f>F4A!K93+F4B!K93</f>
        <v>0</v>
      </c>
      <c r="L93" s="162">
        <f>F4A!L93+F4B!L93</f>
        <v>0</v>
      </c>
      <c r="M93" s="162">
        <f>F4A!M93+F4B!M93</f>
        <v>0</v>
      </c>
      <c r="N93" s="162">
        <f>F4A!N93+F4B!N93</f>
        <v>0</v>
      </c>
      <c r="O93" s="162">
        <f>F4A!O93+F4B!O93</f>
        <v>0</v>
      </c>
      <c r="P93" s="162">
        <f>F4A!P93+F4B!P93</f>
        <v>0</v>
      </c>
      <c r="Q93" s="167">
        <f t="shared" si="0"/>
        <v>0</v>
      </c>
      <c r="R93" s="166"/>
      <c r="S93" s="166"/>
    </row>
    <row r="94" spans="3:19" hidden="1" x14ac:dyDescent="0.25">
      <c r="C94" s="17"/>
      <c r="D94" s="17"/>
      <c r="E94" s="162">
        <f>F4A!E94+F4B!E94</f>
        <v>0</v>
      </c>
      <c r="F94" s="162">
        <f>F4A!F94+F4B!F94</f>
        <v>0</v>
      </c>
      <c r="G94" s="162">
        <f>F4A!G94+F4B!G94</f>
        <v>0</v>
      </c>
      <c r="H94" s="162">
        <f>F4A!H94+F4B!H94</f>
        <v>0</v>
      </c>
      <c r="I94" s="162">
        <f>F4A!I94+F4B!I94</f>
        <v>0</v>
      </c>
      <c r="J94" s="162">
        <f>F4A!J94+F4B!J94</f>
        <v>0</v>
      </c>
      <c r="K94" s="162">
        <f>F4A!K94+F4B!K94</f>
        <v>0</v>
      </c>
      <c r="L94" s="162">
        <f>F4A!L94+F4B!L94</f>
        <v>0</v>
      </c>
      <c r="M94" s="162">
        <f>F4A!M94+F4B!M94</f>
        <v>0</v>
      </c>
      <c r="N94" s="162">
        <f>F4A!N94+F4B!N94</f>
        <v>0</v>
      </c>
      <c r="O94" s="162">
        <f>F4A!O94+F4B!O94</f>
        <v>0</v>
      </c>
      <c r="P94" s="162">
        <f>F4A!P94+F4B!P94</f>
        <v>0</v>
      </c>
      <c r="Q94" s="167">
        <f t="shared" si="0"/>
        <v>0</v>
      </c>
      <c r="R94" s="166"/>
      <c r="S94" s="166"/>
    </row>
    <row r="95" spans="3:19" hidden="1" x14ac:dyDescent="0.25">
      <c r="C95" s="17"/>
      <c r="D95" s="17"/>
      <c r="E95" s="162">
        <f>F4A!E95+F4B!E95</f>
        <v>0</v>
      </c>
      <c r="F95" s="162">
        <f>F4A!F95+F4B!F95</f>
        <v>0</v>
      </c>
      <c r="G95" s="162">
        <f>F4A!G95+F4B!G95</f>
        <v>0</v>
      </c>
      <c r="H95" s="162">
        <f>F4A!H95+F4B!H95</f>
        <v>0</v>
      </c>
      <c r="I95" s="162">
        <f>F4A!I95+F4B!I95</f>
        <v>0</v>
      </c>
      <c r="J95" s="162">
        <f>F4A!J95+F4B!J95</f>
        <v>0</v>
      </c>
      <c r="K95" s="162">
        <f>F4A!K95+F4B!K95</f>
        <v>0</v>
      </c>
      <c r="L95" s="162">
        <f>F4A!L95+F4B!L95</f>
        <v>0</v>
      </c>
      <c r="M95" s="162">
        <f>F4A!M95+F4B!M95</f>
        <v>0</v>
      </c>
      <c r="N95" s="162">
        <f>F4A!N95+F4B!N95</f>
        <v>0</v>
      </c>
      <c r="O95" s="162">
        <f>F4A!O95+F4B!O95</f>
        <v>0</v>
      </c>
      <c r="P95" s="162">
        <f>F4A!P95+F4B!P95</f>
        <v>0</v>
      </c>
      <c r="Q95" s="167">
        <f t="shared" si="0"/>
        <v>0</v>
      </c>
      <c r="R95" s="166"/>
      <c r="S95" s="166"/>
    </row>
    <row r="96" spans="3:19" hidden="1" x14ac:dyDescent="0.25">
      <c r="C96" s="17"/>
      <c r="D96" s="17"/>
      <c r="E96" s="162">
        <f>F4A!E96+F4B!E96</f>
        <v>0</v>
      </c>
      <c r="F96" s="162">
        <f>F4A!F96+F4B!F96</f>
        <v>0</v>
      </c>
      <c r="G96" s="162">
        <f>F4A!G96+F4B!G96</f>
        <v>0</v>
      </c>
      <c r="H96" s="162">
        <f>F4A!H96+F4B!H96</f>
        <v>0</v>
      </c>
      <c r="I96" s="162">
        <f>F4A!I96+F4B!I96</f>
        <v>0</v>
      </c>
      <c r="J96" s="162">
        <f>F4A!J96+F4B!J96</f>
        <v>0</v>
      </c>
      <c r="K96" s="162">
        <f>F4A!K96+F4B!K96</f>
        <v>0</v>
      </c>
      <c r="L96" s="162">
        <f>F4A!L96+F4B!L96</f>
        <v>0</v>
      </c>
      <c r="M96" s="162">
        <f>F4A!M96+F4B!M96</f>
        <v>0</v>
      </c>
      <c r="N96" s="162">
        <f>F4A!N96+F4B!N96</f>
        <v>0</v>
      </c>
      <c r="O96" s="162">
        <f>F4A!O96+F4B!O96</f>
        <v>0</v>
      </c>
      <c r="P96" s="162">
        <f>F4A!P96+F4B!P96</f>
        <v>0</v>
      </c>
      <c r="Q96" s="167">
        <f t="shared" si="0"/>
        <v>0</v>
      </c>
      <c r="R96" s="166"/>
      <c r="S96" s="166"/>
    </row>
    <row r="97" spans="3:19" hidden="1" x14ac:dyDescent="0.25">
      <c r="C97" s="17" t="s">
        <v>226</v>
      </c>
      <c r="D97" s="17" t="s">
        <v>226</v>
      </c>
      <c r="E97" s="162">
        <f>F4A!E97+F4B!E97</f>
        <v>0</v>
      </c>
      <c r="F97" s="162">
        <f>F4A!F97+F4B!F97</f>
        <v>0</v>
      </c>
      <c r="G97" s="162">
        <f>F4A!G97+F4B!G97</f>
        <v>0</v>
      </c>
      <c r="H97" s="162">
        <f>F4A!H97+F4B!H97</f>
        <v>0</v>
      </c>
      <c r="I97" s="162">
        <f>F4A!I97+F4B!I97</f>
        <v>0</v>
      </c>
      <c r="J97" s="162">
        <f>F4A!J97+F4B!J97</f>
        <v>0</v>
      </c>
      <c r="K97" s="162">
        <f>F4A!K97+F4B!K97</f>
        <v>0</v>
      </c>
      <c r="L97" s="162">
        <f>F4A!L97+F4B!L97</f>
        <v>0</v>
      </c>
      <c r="M97" s="162">
        <f>F4A!M97+F4B!M97</f>
        <v>0</v>
      </c>
      <c r="N97" s="162">
        <f>F4A!N97+F4B!N97</f>
        <v>0</v>
      </c>
      <c r="O97" s="162">
        <f>F4A!O97+F4B!O97</f>
        <v>0</v>
      </c>
      <c r="P97" s="162">
        <f>F4A!P97+F4B!P97</f>
        <v>0</v>
      </c>
      <c r="Q97" s="167">
        <f t="shared" si="0"/>
        <v>0</v>
      </c>
      <c r="R97" s="166"/>
      <c r="S97" s="166"/>
    </row>
    <row r="98" spans="3:19" hidden="1" x14ac:dyDescent="0.25">
      <c r="C98" s="751" t="s">
        <v>190</v>
      </c>
      <c r="D98" s="752"/>
      <c r="E98" s="167">
        <f t="shared" ref="E98:P98" si="1">SUM(E85:E97)</f>
        <v>1049.7790110999999</v>
      </c>
      <c r="F98" s="167">
        <f t="shared" si="1"/>
        <v>807.64646589999995</v>
      </c>
      <c r="G98" s="167">
        <f t="shared" si="1"/>
        <v>726.92931489999978</v>
      </c>
      <c r="H98" s="167">
        <f t="shared" si="1"/>
        <v>939.35462163615</v>
      </c>
      <c r="I98" s="167">
        <f t="shared" si="1"/>
        <v>1059.5947303657058</v>
      </c>
      <c r="J98" s="167">
        <f t="shared" si="1"/>
        <v>870.25767973539303</v>
      </c>
      <c r="K98" s="167">
        <f t="shared" si="1"/>
        <v>816.37143400000002</v>
      </c>
      <c r="L98" s="167">
        <f t="shared" si="1"/>
        <v>705.77932988999999</v>
      </c>
      <c r="M98" s="167">
        <f t="shared" si="1"/>
        <v>961.43906249999998</v>
      </c>
      <c r="N98" s="167">
        <f t="shared" si="1"/>
        <v>1182.1504625</v>
      </c>
      <c r="O98" s="167">
        <f t="shared" si="1"/>
        <v>1317.2910545000002</v>
      </c>
      <c r="P98" s="167">
        <f t="shared" si="1"/>
        <v>1628.2381296025821</v>
      </c>
      <c r="Q98" s="167">
        <f t="shared" si="0"/>
        <v>12064.831296629829</v>
      </c>
      <c r="R98" s="166"/>
      <c r="S98" s="166"/>
    </row>
    <row r="99" spans="3:19" hidden="1" x14ac:dyDescent="0.25">
      <c r="C99" s="753" t="s">
        <v>191</v>
      </c>
      <c r="D99" s="754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7">
        <f t="shared" si="0"/>
        <v>0</v>
      </c>
      <c r="R99" s="166"/>
      <c r="S99" s="166"/>
    </row>
    <row r="100" spans="3:19" hidden="1" x14ac:dyDescent="0.25">
      <c r="C100" s="17" t="s">
        <v>192</v>
      </c>
      <c r="D100" s="17" t="s">
        <v>193</v>
      </c>
      <c r="E100" s="162">
        <f>F4A!E100+F4B!E100</f>
        <v>55.836513869999976</v>
      </c>
      <c r="F100" s="162">
        <f>F4A!F100+F4B!F100</f>
        <v>54.104622159999991</v>
      </c>
      <c r="G100" s="162">
        <f>F4A!G100+F4B!G100</f>
        <v>55.122756880000033</v>
      </c>
      <c r="H100" s="162">
        <f>F4A!H100+F4B!H100</f>
        <v>55.039953290000021</v>
      </c>
      <c r="I100" s="162">
        <f>F4A!I100+F4B!I100</f>
        <v>55.268756180000047</v>
      </c>
      <c r="J100" s="162">
        <f>F4A!J100+F4B!J100</f>
        <v>55.83621257999998</v>
      </c>
      <c r="K100" s="162">
        <f>F4A!K100+F4B!K100</f>
        <v>53.140693079999998</v>
      </c>
      <c r="L100" s="162">
        <f>F4A!L100+F4B!L100</f>
        <v>61.842131389999942</v>
      </c>
      <c r="M100" s="162">
        <f>F4A!M100+F4B!M100</f>
        <v>73.59908456999996</v>
      </c>
      <c r="N100" s="162">
        <f>F4A!N100+F4B!N100</f>
        <v>75.889770819999939</v>
      </c>
      <c r="O100" s="162">
        <f>F4A!O100+F4B!O100</f>
        <v>76.701899910000023</v>
      </c>
      <c r="P100" s="162">
        <f>F4A!P100+F4B!P100</f>
        <v>64.958604999999906</v>
      </c>
      <c r="Q100" s="167">
        <f t="shared" si="0"/>
        <v>737.34099972999991</v>
      </c>
      <c r="R100" s="166"/>
      <c r="S100" s="166"/>
    </row>
    <row r="101" spans="3:19" hidden="1" x14ac:dyDescent="0.25">
      <c r="C101" s="17" t="s">
        <v>194</v>
      </c>
      <c r="D101" s="17" t="s">
        <v>195</v>
      </c>
      <c r="E101" s="162">
        <f>F4A!E101+F4B!E101</f>
        <v>0</v>
      </c>
      <c r="F101" s="162">
        <f>F4A!F101+F4B!F101</f>
        <v>0</v>
      </c>
      <c r="G101" s="162">
        <f>F4A!G101+F4B!G101</f>
        <v>0</v>
      </c>
      <c r="H101" s="162">
        <f>F4A!H101+F4B!H101</f>
        <v>0</v>
      </c>
      <c r="I101" s="162">
        <f>F4A!I101+F4B!I101</f>
        <v>0</v>
      </c>
      <c r="J101" s="162">
        <f>F4A!J101+F4B!J101</f>
        <v>0</v>
      </c>
      <c r="K101" s="162">
        <f>F4A!K101+F4B!K101</f>
        <v>0</v>
      </c>
      <c r="L101" s="162">
        <f>F4A!L101+F4B!L101</f>
        <v>0</v>
      </c>
      <c r="M101" s="162">
        <f>F4A!M101+F4B!M101</f>
        <v>0</v>
      </c>
      <c r="N101" s="162">
        <f>F4A!N101+F4B!N101</f>
        <v>0</v>
      </c>
      <c r="O101" s="162">
        <f>F4A!O101+F4B!O101</f>
        <v>0</v>
      </c>
      <c r="P101" s="162">
        <f>F4A!P101+F4B!P101</f>
        <v>0</v>
      </c>
      <c r="Q101" s="167">
        <f t="shared" si="0"/>
        <v>0</v>
      </c>
      <c r="R101" s="166"/>
      <c r="S101" s="166"/>
    </row>
    <row r="102" spans="3:19" hidden="1" x14ac:dyDescent="0.25">
      <c r="C102" s="17" t="s">
        <v>233</v>
      </c>
      <c r="D102" s="17" t="s">
        <v>197</v>
      </c>
      <c r="E102" s="162">
        <f>F4A!E102+F4B!E102</f>
        <v>14.626029669999998</v>
      </c>
      <c r="F102" s="162">
        <f>F4A!F102+F4B!F102</f>
        <v>15.462858689999994</v>
      </c>
      <c r="G102" s="162">
        <f>F4A!G102+F4B!G102</f>
        <v>16.291011539999996</v>
      </c>
      <c r="H102" s="162">
        <f>F4A!H102+F4B!H102</f>
        <v>11.471637480000002</v>
      </c>
      <c r="I102" s="162">
        <f>F4A!I102+F4B!I102</f>
        <v>10.339082750000001</v>
      </c>
      <c r="J102" s="162">
        <f>F4A!J102+F4B!J102</f>
        <v>11.242669000000001</v>
      </c>
      <c r="K102" s="162">
        <f>F4A!K102+F4B!K102</f>
        <v>10.389232999999999</v>
      </c>
      <c r="L102" s="162">
        <f>F4A!L102+F4B!L102</f>
        <v>10.251038690000001</v>
      </c>
      <c r="M102" s="162">
        <f>F4A!M102+F4B!M102</f>
        <v>9.1859710000000003</v>
      </c>
      <c r="N102" s="162">
        <f>F4A!N102+F4B!N102</f>
        <v>9.0960664699999967</v>
      </c>
      <c r="O102" s="162">
        <f>F4A!O102+F4B!O102</f>
        <v>9.3908377599999984</v>
      </c>
      <c r="P102" s="162">
        <f>F4A!P102+F4B!P102</f>
        <v>9.7025117499999975</v>
      </c>
      <c r="Q102" s="167">
        <f t="shared" si="0"/>
        <v>137.44894779999998</v>
      </c>
      <c r="R102" s="166"/>
      <c r="S102" s="166"/>
    </row>
    <row r="103" spans="3:19" hidden="1" x14ac:dyDescent="0.25">
      <c r="C103" s="17" t="s">
        <v>198</v>
      </c>
      <c r="D103" s="17" t="s">
        <v>199</v>
      </c>
      <c r="E103" s="162">
        <f>F4A!E103+F4B!E103</f>
        <v>0</v>
      </c>
      <c r="F103" s="162">
        <f>F4A!F103+F4B!F103</f>
        <v>0</v>
      </c>
      <c r="G103" s="162">
        <f>F4A!G103+F4B!G103</f>
        <v>0</v>
      </c>
      <c r="H103" s="162">
        <f>F4A!H103+F4B!H103</f>
        <v>0</v>
      </c>
      <c r="I103" s="162">
        <f>F4A!I103+F4B!I103</f>
        <v>0</v>
      </c>
      <c r="J103" s="162">
        <f>F4A!J103+F4B!J103</f>
        <v>0</v>
      </c>
      <c r="K103" s="162">
        <f>F4A!K103+F4B!K103</f>
        <v>0</v>
      </c>
      <c r="L103" s="162">
        <f>F4A!L103+F4B!L103</f>
        <v>0</v>
      </c>
      <c r="M103" s="162">
        <f>F4A!M103+F4B!M103</f>
        <v>0</v>
      </c>
      <c r="N103" s="162">
        <f>F4A!N103+F4B!N103</f>
        <v>0</v>
      </c>
      <c r="O103" s="162">
        <f>F4A!O103+F4B!O103</f>
        <v>0</v>
      </c>
      <c r="P103" s="162">
        <f>F4A!P103+F4B!P103</f>
        <v>0</v>
      </c>
      <c r="Q103" s="167">
        <f t="shared" si="0"/>
        <v>0</v>
      </c>
      <c r="R103" s="166"/>
      <c r="S103" s="166"/>
    </row>
    <row r="104" spans="3:19" hidden="1" x14ac:dyDescent="0.25">
      <c r="C104" s="17" t="s">
        <v>200</v>
      </c>
      <c r="D104" s="17" t="s">
        <v>201</v>
      </c>
      <c r="E104" s="162">
        <f>F4A!E104+F4B!E104</f>
        <v>0.70761500000000011</v>
      </c>
      <c r="F104" s="162">
        <f>F4A!F104+F4B!F104</f>
        <v>0.77573650000000005</v>
      </c>
      <c r="G104" s="162">
        <f>F4A!G104+F4B!G104</f>
        <v>0.86468000000000012</v>
      </c>
      <c r="H104" s="162">
        <f>F4A!H104+F4B!H104</f>
        <v>0.64964900000000003</v>
      </c>
      <c r="I104" s="162">
        <f>F4A!I104+F4B!I104</f>
        <v>0.63643300000000003</v>
      </c>
      <c r="J104" s="162">
        <f>F4A!J104+F4B!J104</f>
        <v>0.63602000000000003</v>
      </c>
      <c r="K104" s="162">
        <f>F4A!K104+F4B!K104</f>
        <v>0.59592400000000001</v>
      </c>
      <c r="L104" s="162">
        <f>F4A!L104+F4B!L104</f>
        <v>0.58366499999999999</v>
      </c>
      <c r="M104" s="162">
        <f>F4A!M104+F4B!M104</f>
        <v>0.52427349999999995</v>
      </c>
      <c r="N104" s="162">
        <f>F4A!N104+F4B!N104</f>
        <v>0.50863550000000002</v>
      </c>
      <c r="O104" s="162">
        <f>F4A!O104+F4B!O104</f>
        <v>0.55546299999999993</v>
      </c>
      <c r="P104" s="162">
        <f>F4A!P104+F4B!P104</f>
        <v>0.52586650000000001</v>
      </c>
      <c r="Q104" s="167">
        <f t="shared" si="0"/>
        <v>7.5639609999999999</v>
      </c>
      <c r="R104" s="166"/>
      <c r="S104" s="166"/>
    </row>
    <row r="105" spans="3:19" hidden="1" x14ac:dyDescent="0.25">
      <c r="C105" s="17" t="s">
        <v>202</v>
      </c>
      <c r="D105" s="17" t="s">
        <v>203</v>
      </c>
      <c r="E105" s="162">
        <f>F4A!E105+F4B!E105</f>
        <v>3.6832264500000127</v>
      </c>
      <c r="F105" s="162">
        <f>F4A!F105+F4B!F105</f>
        <v>1.5894157999999994</v>
      </c>
      <c r="G105" s="162">
        <f>F4A!G105+F4B!G105</f>
        <v>0.67528795999999525</v>
      </c>
      <c r="H105" s="162">
        <f>F4A!H105+F4B!H105</f>
        <v>0.28880139000000488</v>
      </c>
      <c r="I105" s="162">
        <f>F4A!I105+F4B!I105</f>
        <v>1.4687076900000238</v>
      </c>
      <c r="J105" s="162">
        <f>F4A!J105+F4B!J105</f>
        <v>3.1400517800000105</v>
      </c>
      <c r="K105" s="162">
        <f>F4A!K105+F4B!K105</f>
        <v>1.8025086800000065</v>
      </c>
      <c r="L105" s="162">
        <f>F4A!L105+F4B!L105</f>
        <v>1.1283620199999134</v>
      </c>
      <c r="M105" s="162">
        <f>F4A!M105+F4B!M105</f>
        <v>1.2096096999999133</v>
      </c>
      <c r="N105" s="162">
        <f>F4A!N105+F4B!N105</f>
        <v>2.7462591799999938</v>
      </c>
      <c r="O105" s="162">
        <f>F4A!O105+F4B!O105</f>
        <v>4.8961783599999169</v>
      </c>
      <c r="P105" s="162">
        <f>F4A!P105+F4B!P105</f>
        <v>5.4943998800000298</v>
      </c>
      <c r="Q105" s="167">
        <f t="shared" si="0"/>
        <v>28.122808889999817</v>
      </c>
      <c r="R105" s="166"/>
      <c r="S105" s="166"/>
    </row>
    <row r="106" spans="3:19" hidden="1" x14ac:dyDescent="0.25">
      <c r="C106" s="17" t="s">
        <v>204</v>
      </c>
      <c r="D106" s="17" t="s">
        <v>205</v>
      </c>
      <c r="E106" s="162">
        <f>F4A!E106+F4B!E106</f>
        <v>7.9768650000000001</v>
      </c>
      <c r="F106" s="162">
        <f>F4A!F106+F4B!F106</f>
        <v>7.7124819999999996</v>
      </c>
      <c r="G106" s="162">
        <f>F4A!G106+F4B!G106</f>
        <v>7.8900350000000001</v>
      </c>
      <c r="H106" s="162">
        <f>F4A!H106+F4B!H106</f>
        <v>6.9494410000000002</v>
      </c>
      <c r="I106" s="162">
        <f>F4A!I106+F4B!I106</f>
        <v>7.9698659999999997</v>
      </c>
      <c r="J106" s="162">
        <f>F4A!J106+F4B!J106</f>
        <v>7.8869109999999996</v>
      </c>
      <c r="K106" s="162">
        <f>F4A!K106+F4B!K106</f>
        <v>8.086392</v>
      </c>
      <c r="L106" s="162">
        <f>F4A!L106+F4B!L106</f>
        <v>9.0701269999999994</v>
      </c>
      <c r="M106" s="162">
        <f>F4A!M106+F4B!M106</f>
        <v>9.0291169999999994</v>
      </c>
      <c r="N106" s="162">
        <f>F4A!N106+F4B!N106</f>
        <v>9.7985290000000003</v>
      </c>
      <c r="O106" s="162">
        <f>F4A!O106+F4B!O106</f>
        <v>9.7572960000000002</v>
      </c>
      <c r="P106" s="162">
        <f>F4A!P106+F4B!P106</f>
        <v>9.6302210000000006</v>
      </c>
      <c r="Q106" s="167">
        <f t="shared" si="0"/>
        <v>101.757282</v>
      </c>
      <c r="R106" s="166"/>
      <c r="S106" s="166"/>
    </row>
    <row r="107" spans="3:19" hidden="1" x14ac:dyDescent="0.25">
      <c r="C107" s="17" t="s">
        <v>206</v>
      </c>
      <c r="D107" s="17" t="s">
        <v>207</v>
      </c>
      <c r="E107" s="162">
        <f>F4A!E107+F4B!E107</f>
        <v>0.87376799999999943</v>
      </c>
      <c r="F107" s="162">
        <f>F4A!F107+F4B!F107</f>
        <v>0.91050299999999917</v>
      </c>
      <c r="G107" s="162">
        <f>F4A!G107+F4B!G107</f>
        <v>1.0077819999999968</v>
      </c>
      <c r="H107" s="162">
        <f>F4A!H107+F4B!H107</f>
        <v>0.76711799999999775</v>
      </c>
      <c r="I107" s="162">
        <f>F4A!I107+F4B!I107</f>
        <v>0.78615199999999819</v>
      </c>
      <c r="J107" s="162">
        <f>F4A!J107+F4B!J107</f>
        <v>0.79894899999999958</v>
      </c>
      <c r="K107" s="162">
        <f>F4A!K107+F4B!K107</f>
        <v>0.64141699999999957</v>
      </c>
      <c r="L107" s="162">
        <f>F4A!L107+F4B!L107</f>
        <v>0.522706</v>
      </c>
      <c r="M107" s="162">
        <f>F4A!M107+F4B!M107</f>
        <v>0.58660059999999958</v>
      </c>
      <c r="N107" s="162">
        <f>F4A!N107+F4B!N107</f>
        <v>0.63749439999999924</v>
      </c>
      <c r="O107" s="162">
        <f>F4A!O107+F4B!O107</f>
        <v>0.64883800000000014</v>
      </c>
      <c r="P107" s="162">
        <f>F4A!P107+F4B!P107</f>
        <v>0.69292799999999988</v>
      </c>
      <c r="Q107" s="167">
        <f t="shared" si="0"/>
        <v>8.8742559999999902</v>
      </c>
      <c r="R107" s="166"/>
      <c r="S107" s="166"/>
    </row>
    <row r="108" spans="3:19" hidden="1" x14ac:dyDescent="0.25">
      <c r="C108" s="17" t="s">
        <v>208</v>
      </c>
      <c r="D108" s="17" t="s">
        <v>187</v>
      </c>
      <c r="E108" s="162">
        <f>F4A!E108+F4B!E108</f>
        <v>0</v>
      </c>
      <c r="F108" s="162">
        <f>F4A!F108+F4B!F108</f>
        <v>0</v>
      </c>
      <c r="G108" s="162">
        <f>F4A!G108+F4B!G108</f>
        <v>0.1</v>
      </c>
      <c r="H108" s="162">
        <f>F4A!H108+F4B!H108</f>
        <v>1.6596950000000068</v>
      </c>
      <c r="I108" s="162">
        <f>F4A!I108+F4B!I108</f>
        <v>2.3142564999999995</v>
      </c>
      <c r="J108" s="162">
        <f>F4A!J108+F4B!J108</f>
        <v>2.4290000000000003</v>
      </c>
      <c r="K108" s="162">
        <f>F4A!K108+F4B!K108</f>
        <v>2.1859480000000002</v>
      </c>
      <c r="L108" s="162">
        <f>F4A!L108+F4B!L108</f>
        <v>1.7115279999999999</v>
      </c>
      <c r="M108" s="162">
        <f>F4A!M108+F4B!M108</f>
        <v>1.8875800000000003</v>
      </c>
      <c r="N108" s="162">
        <f>F4A!N108+F4B!N108</f>
        <v>1.2447210000000002</v>
      </c>
      <c r="O108" s="162">
        <f>F4A!O108+F4B!O108</f>
        <v>2.0872769999999985</v>
      </c>
      <c r="P108" s="162">
        <f>F4A!P108+F4B!P108</f>
        <v>1.7632990000000004</v>
      </c>
      <c r="Q108" s="167">
        <f t="shared" si="0"/>
        <v>17.383304500000005</v>
      </c>
      <c r="R108" s="166"/>
      <c r="S108" s="166"/>
    </row>
    <row r="109" spans="3:19" hidden="1" x14ac:dyDescent="0.25">
      <c r="C109" s="17" t="s">
        <v>209</v>
      </c>
      <c r="D109" s="17" t="s">
        <v>210</v>
      </c>
      <c r="E109" s="162">
        <f>F4A!E109+F4B!E109</f>
        <v>101.721451</v>
      </c>
      <c r="F109" s="162">
        <f>F4A!F109+F4B!F109</f>
        <v>43.231859999999998</v>
      </c>
      <c r="G109" s="162">
        <f>F4A!G109+F4B!G109</f>
        <v>47.289109000000003</v>
      </c>
      <c r="H109" s="162">
        <f>F4A!H109+F4B!H109</f>
        <v>62.857367000000004</v>
      </c>
      <c r="I109" s="162">
        <f>F4A!I109+F4B!I109</f>
        <v>72.941783999999998</v>
      </c>
      <c r="J109" s="162">
        <f>F4A!J109+F4B!J109</f>
        <v>83.668018000000004</v>
      </c>
      <c r="K109" s="162">
        <f>F4A!K109+F4B!K109</f>
        <v>53.203375999999999</v>
      </c>
      <c r="L109" s="162">
        <f>F4A!L109+F4B!L109</f>
        <v>37.284256999999997</v>
      </c>
      <c r="M109" s="162">
        <f>F4A!M109+F4B!M109</f>
        <v>61.834822000000003</v>
      </c>
      <c r="N109" s="162">
        <f>F4A!N109+F4B!N109</f>
        <v>101.47</v>
      </c>
      <c r="O109" s="162">
        <f>F4A!O109+F4B!O109</f>
        <v>99.175177000000005</v>
      </c>
      <c r="P109" s="162">
        <f>F4A!P109+F4B!P109</f>
        <v>104.714861</v>
      </c>
      <c r="Q109" s="167">
        <f t="shared" si="0"/>
        <v>869.39208200000007</v>
      </c>
      <c r="R109" s="166"/>
      <c r="S109" s="166"/>
    </row>
    <row r="110" spans="3:19" hidden="1" x14ac:dyDescent="0.25">
      <c r="C110" s="17" t="s">
        <v>211</v>
      </c>
      <c r="D110" s="17" t="s">
        <v>189</v>
      </c>
      <c r="E110" s="162">
        <f>F4A!E110+F4B!E110</f>
        <v>0</v>
      </c>
      <c r="F110" s="162">
        <f>F4A!F110+F4B!F110</f>
        <v>0</v>
      </c>
      <c r="G110" s="162">
        <f>F4A!G110+F4B!G110</f>
        <v>0</v>
      </c>
      <c r="H110" s="162">
        <f>F4A!H110+F4B!H110</f>
        <v>0</v>
      </c>
      <c r="I110" s="162">
        <f>F4A!I110+F4B!I110</f>
        <v>0</v>
      </c>
      <c r="J110" s="162">
        <f>F4A!J110+F4B!J110</f>
        <v>0</v>
      </c>
      <c r="K110" s="162">
        <f>F4A!K110+F4B!K110</f>
        <v>0</v>
      </c>
      <c r="L110" s="162">
        <f>F4A!L110+F4B!L110</f>
        <v>0</v>
      </c>
      <c r="M110" s="162">
        <f>F4A!M110+F4B!M110</f>
        <v>0</v>
      </c>
      <c r="N110" s="162">
        <f>F4A!N110+F4B!N110</f>
        <v>0</v>
      </c>
      <c r="O110" s="162">
        <f>F4A!O110+F4B!O110</f>
        <v>0</v>
      </c>
      <c r="P110" s="162">
        <f>F4A!P110+F4B!P110</f>
        <v>0</v>
      </c>
      <c r="Q110" s="167">
        <f t="shared" si="0"/>
        <v>0</v>
      </c>
      <c r="R110" s="166"/>
      <c r="S110" s="166"/>
    </row>
    <row r="111" spans="3:19" hidden="1" x14ac:dyDescent="0.25">
      <c r="C111" s="17"/>
      <c r="D111" s="17"/>
      <c r="E111" s="162">
        <f>F4A!E111+F4B!E111</f>
        <v>0</v>
      </c>
      <c r="F111" s="162">
        <f>F4A!F111+F4B!F111</f>
        <v>0</v>
      </c>
      <c r="G111" s="162">
        <f>F4A!G111+F4B!G111</f>
        <v>0</v>
      </c>
      <c r="H111" s="162">
        <f>F4A!H111+F4B!H111</f>
        <v>0</v>
      </c>
      <c r="I111" s="162">
        <f>F4A!I111+F4B!I111</f>
        <v>0</v>
      </c>
      <c r="J111" s="162">
        <f>F4A!J111+F4B!J111</f>
        <v>0</v>
      </c>
      <c r="K111" s="162">
        <f>F4A!K111+F4B!K111</f>
        <v>0</v>
      </c>
      <c r="L111" s="162">
        <f>F4A!L111+F4B!L111</f>
        <v>0</v>
      </c>
      <c r="M111" s="162">
        <f>F4A!M111+F4B!M111</f>
        <v>0</v>
      </c>
      <c r="N111" s="162">
        <f>F4A!N111+F4B!N111</f>
        <v>0</v>
      </c>
      <c r="O111" s="162">
        <f>F4A!O111+F4B!O111</f>
        <v>0</v>
      </c>
      <c r="P111" s="162">
        <f>F4A!P111+F4B!P111</f>
        <v>0</v>
      </c>
      <c r="Q111" s="167">
        <f t="shared" si="0"/>
        <v>0</v>
      </c>
      <c r="R111" s="166"/>
      <c r="S111" s="166"/>
    </row>
    <row r="112" spans="3:19" hidden="1" x14ac:dyDescent="0.25">
      <c r="C112" s="17"/>
      <c r="D112" s="17"/>
      <c r="E112" s="162">
        <f>F4A!E112+F4B!E112</f>
        <v>0</v>
      </c>
      <c r="F112" s="162">
        <f>F4A!F112+F4B!F112</f>
        <v>0</v>
      </c>
      <c r="G112" s="162">
        <f>F4A!G112+F4B!G112</f>
        <v>0</v>
      </c>
      <c r="H112" s="162">
        <f>F4A!H112+F4B!H112</f>
        <v>0</v>
      </c>
      <c r="I112" s="162">
        <f>F4A!I112+F4B!I112</f>
        <v>0</v>
      </c>
      <c r="J112" s="162">
        <f>F4A!J112+F4B!J112</f>
        <v>0</v>
      </c>
      <c r="K112" s="162">
        <f>F4A!K112+F4B!K112</f>
        <v>0</v>
      </c>
      <c r="L112" s="162">
        <f>F4A!L112+F4B!L112</f>
        <v>0</v>
      </c>
      <c r="M112" s="162">
        <f>F4A!M112+F4B!M112</f>
        <v>0</v>
      </c>
      <c r="N112" s="162">
        <f>F4A!N112+F4B!N112</f>
        <v>0</v>
      </c>
      <c r="O112" s="162">
        <f>F4A!O112+F4B!O112</f>
        <v>0</v>
      </c>
      <c r="P112" s="162">
        <f>F4A!P112+F4B!P112</f>
        <v>0</v>
      </c>
      <c r="Q112" s="167">
        <f t="shared" si="0"/>
        <v>0</v>
      </c>
      <c r="R112" s="166"/>
      <c r="S112" s="166"/>
    </row>
    <row r="113" spans="3:19" hidden="1" x14ac:dyDescent="0.25">
      <c r="C113" s="17"/>
      <c r="D113" s="17"/>
      <c r="E113" s="162">
        <f>F4A!E113+F4B!E113</f>
        <v>0</v>
      </c>
      <c r="F113" s="162">
        <f>F4A!F113+F4B!F113</f>
        <v>0</v>
      </c>
      <c r="G113" s="162">
        <f>F4A!G113+F4B!G113</f>
        <v>0</v>
      </c>
      <c r="H113" s="162">
        <f>F4A!H113+F4B!H113</f>
        <v>0</v>
      </c>
      <c r="I113" s="162">
        <f>F4A!I113+F4B!I113</f>
        <v>0</v>
      </c>
      <c r="J113" s="162">
        <f>F4A!J113+F4B!J113</f>
        <v>0</v>
      </c>
      <c r="K113" s="162">
        <f>F4A!K113+F4B!K113</f>
        <v>0</v>
      </c>
      <c r="L113" s="162">
        <f>F4A!L113+F4B!L113</f>
        <v>0</v>
      </c>
      <c r="M113" s="162">
        <f>F4A!M113+F4B!M113</f>
        <v>0</v>
      </c>
      <c r="N113" s="162">
        <f>F4A!N113+F4B!N113</f>
        <v>0</v>
      </c>
      <c r="O113" s="162">
        <f>F4A!O113+F4B!O113</f>
        <v>0</v>
      </c>
      <c r="P113" s="162">
        <f>F4A!P113+F4B!P113</f>
        <v>0</v>
      </c>
      <c r="Q113" s="167">
        <f t="shared" si="0"/>
        <v>0</v>
      </c>
      <c r="R113" s="166"/>
      <c r="S113" s="166"/>
    </row>
    <row r="114" spans="3:19" hidden="1" x14ac:dyDescent="0.25">
      <c r="C114" s="17" t="s">
        <v>226</v>
      </c>
      <c r="D114" s="17" t="s">
        <v>226</v>
      </c>
      <c r="E114" s="162">
        <f>F4A!E114+F4B!E114</f>
        <v>0</v>
      </c>
      <c r="F114" s="162">
        <f>F4A!F114+F4B!F114</f>
        <v>0</v>
      </c>
      <c r="G114" s="162">
        <f>F4A!G114+F4B!G114</f>
        <v>0</v>
      </c>
      <c r="H114" s="162">
        <f>F4A!H114+F4B!H114</f>
        <v>0</v>
      </c>
      <c r="I114" s="162">
        <f>F4A!I114+F4B!I114</f>
        <v>0</v>
      </c>
      <c r="J114" s="162">
        <f>F4A!J114+F4B!J114</f>
        <v>0</v>
      </c>
      <c r="K114" s="162">
        <f>F4A!K114+F4B!K114</f>
        <v>0</v>
      </c>
      <c r="L114" s="162">
        <f>F4A!L114+F4B!L114</f>
        <v>0</v>
      </c>
      <c r="M114" s="162">
        <f>F4A!M114+F4B!M114</f>
        <v>0</v>
      </c>
      <c r="N114" s="162">
        <f>F4A!N114+F4B!N114</f>
        <v>0</v>
      </c>
      <c r="O114" s="162">
        <f>F4A!O114+F4B!O114</f>
        <v>0</v>
      </c>
      <c r="P114" s="162">
        <f>F4A!P114+F4B!P114</f>
        <v>0</v>
      </c>
      <c r="Q114" s="167">
        <f t="shared" si="0"/>
        <v>0</v>
      </c>
      <c r="R114" s="166"/>
      <c r="S114" s="166"/>
    </row>
    <row r="115" spans="3:19" hidden="1" x14ac:dyDescent="0.25">
      <c r="C115" s="751" t="s">
        <v>212</v>
      </c>
      <c r="D115" s="752"/>
      <c r="E115" s="167">
        <f t="shared" ref="E115:P115" si="2">SUM(E100:E114)</f>
        <v>185.42546898999998</v>
      </c>
      <c r="F115" s="167">
        <f t="shared" si="2"/>
        <v>123.78747814999997</v>
      </c>
      <c r="G115" s="167">
        <f t="shared" si="2"/>
        <v>129.24066238</v>
      </c>
      <c r="H115" s="167">
        <f t="shared" si="2"/>
        <v>139.68366216000004</v>
      </c>
      <c r="I115" s="167">
        <f t="shared" si="2"/>
        <v>151.72503812000008</v>
      </c>
      <c r="J115" s="167">
        <f t="shared" si="2"/>
        <v>165.63783136000001</v>
      </c>
      <c r="K115" s="167">
        <f t="shared" si="2"/>
        <v>130.04549176</v>
      </c>
      <c r="L115" s="167">
        <f t="shared" si="2"/>
        <v>122.39381509999984</v>
      </c>
      <c r="M115" s="167">
        <f t="shared" si="2"/>
        <v>157.85705836999989</v>
      </c>
      <c r="N115" s="167">
        <f t="shared" si="2"/>
        <v>201.39147636999991</v>
      </c>
      <c r="O115" s="167">
        <f t="shared" si="2"/>
        <v>203.21296702999996</v>
      </c>
      <c r="P115" s="167">
        <f t="shared" si="2"/>
        <v>197.48269212999995</v>
      </c>
      <c r="Q115" s="167">
        <f t="shared" si="0"/>
        <v>1907.8836419199997</v>
      </c>
      <c r="R115" s="166"/>
      <c r="S115" s="166"/>
    </row>
    <row r="116" spans="3:19" hidden="1" x14ac:dyDescent="0.25">
      <c r="C116" s="753" t="s">
        <v>213</v>
      </c>
      <c r="D116" s="754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7">
        <f t="shared" ref="Q116:Q147" si="3">SUM(E116:P116)</f>
        <v>0</v>
      </c>
      <c r="R116" s="166"/>
      <c r="S116" s="166"/>
    </row>
    <row r="117" spans="3:19" hidden="1" x14ac:dyDescent="0.25">
      <c r="C117" s="17" t="s">
        <v>192</v>
      </c>
      <c r="D117" s="17" t="s">
        <v>193</v>
      </c>
      <c r="E117" s="162">
        <f>F4A!E117+F4B!E117</f>
        <v>18.665250999999998</v>
      </c>
      <c r="F117" s="162">
        <f>F4A!F117+F4B!F117</f>
        <v>16.103504999999998</v>
      </c>
      <c r="G117" s="162">
        <f>F4A!G117+F4B!G117</f>
        <v>17.202179999999998</v>
      </c>
      <c r="H117" s="162">
        <f>F4A!H117+F4B!H117</f>
        <v>14.300727999999999</v>
      </c>
      <c r="I117" s="162">
        <f>F4A!I117+F4B!I117</f>
        <v>15.835322</v>
      </c>
      <c r="J117" s="162">
        <f>F4A!J117+F4B!J117</f>
        <v>16.414565</v>
      </c>
      <c r="K117" s="162">
        <f>F4A!K117+F4B!K117</f>
        <v>15.810092000000001</v>
      </c>
      <c r="L117" s="162">
        <f>F4A!L117+F4B!L117</f>
        <v>16.199824999999997</v>
      </c>
      <c r="M117" s="162">
        <f>F4A!M117+F4B!M117</f>
        <v>17.428250999999999</v>
      </c>
      <c r="N117" s="162">
        <f>F4A!N117+F4B!N117</f>
        <v>16.894728999999998</v>
      </c>
      <c r="O117" s="162">
        <f>F4A!O117+F4B!O117</f>
        <v>17.371953999999999</v>
      </c>
      <c r="P117" s="162">
        <f>F4A!P117+F4B!P117</f>
        <v>15.796399000000001</v>
      </c>
      <c r="Q117" s="167">
        <f t="shared" si="3"/>
        <v>198.02280099999999</v>
      </c>
      <c r="R117" s="166"/>
      <c r="S117" s="166"/>
    </row>
    <row r="118" spans="3:19" hidden="1" x14ac:dyDescent="0.25">
      <c r="C118" s="17" t="s">
        <v>194</v>
      </c>
      <c r="D118" s="17" t="s">
        <v>195</v>
      </c>
      <c r="E118" s="162">
        <f>F4A!E118+F4B!E118</f>
        <v>3.6894</v>
      </c>
      <c r="F118" s="162">
        <f>F4A!F118+F4B!F118</f>
        <v>4.2080000000000002</v>
      </c>
      <c r="G118" s="162">
        <f>F4A!G118+F4B!G118</f>
        <v>3.7530000000000001</v>
      </c>
      <c r="H118" s="162">
        <f>F4A!H118+F4B!H118</f>
        <v>3.8515999999999999</v>
      </c>
      <c r="I118" s="162">
        <f>F4A!I118+F4B!I118</f>
        <v>2.7982</v>
      </c>
      <c r="J118" s="162">
        <f>F4A!J118+F4B!J118</f>
        <v>3.8963999999999999</v>
      </c>
      <c r="K118" s="162">
        <f>F4A!K118+F4B!K118</f>
        <v>1.9714</v>
      </c>
      <c r="L118" s="162">
        <f>F4A!L118+F4B!L118</f>
        <v>3.1</v>
      </c>
      <c r="M118" s="162">
        <f>F4A!M118+F4B!M118</f>
        <v>3.2031999999999998</v>
      </c>
      <c r="N118" s="162">
        <f>F4A!N118+F4B!N118</f>
        <v>3.8</v>
      </c>
      <c r="O118" s="162">
        <f>F4A!O118+F4B!O118</f>
        <v>4.3365999999999998</v>
      </c>
      <c r="P118" s="162">
        <f>F4A!P118+F4B!P118</f>
        <v>2.9054000000000002</v>
      </c>
      <c r="Q118" s="167">
        <f t="shared" si="3"/>
        <v>41.513199999999998</v>
      </c>
      <c r="R118" s="166"/>
      <c r="S118" s="166"/>
    </row>
    <row r="119" spans="3:19" hidden="1" x14ac:dyDescent="0.25">
      <c r="C119" s="17" t="s">
        <v>233</v>
      </c>
      <c r="D119" s="17" t="s">
        <v>197</v>
      </c>
      <c r="E119" s="162">
        <f>F4A!E119+F4B!E119</f>
        <v>1.652123</v>
      </c>
      <c r="F119" s="162">
        <f>F4A!F119+F4B!F119</f>
        <v>1.8480080000000001</v>
      </c>
      <c r="G119" s="162">
        <f>F4A!G119+F4B!G119</f>
        <v>1.265703</v>
      </c>
      <c r="H119" s="162">
        <f>F4A!H119+F4B!H119</f>
        <v>0.79645100000000002</v>
      </c>
      <c r="I119" s="162">
        <f>F4A!I119+F4B!I119</f>
        <v>0.76189399999999996</v>
      </c>
      <c r="J119" s="162">
        <f>F4A!J119+F4B!J119</f>
        <v>0.88816300000000004</v>
      </c>
      <c r="K119" s="162">
        <f>F4A!K119+F4B!K119</f>
        <v>0.72735099999999986</v>
      </c>
      <c r="L119" s="162">
        <f>F4A!L119+F4B!L119</f>
        <v>0.7883</v>
      </c>
      <c r="M119" s="162">
        <f>F4A!M119+F4B!M119</f>
        <v>0.73735700000000004</v>
      </c>
      <c r="N119" s="162">
        <f>F4A!N119+F4B!N119</f>
        <v>0.822488</v>
      </c>
      <c r="O119" s="162">
        <f>F4A!O119+F4B!O119</f>
        <v>0.94354499999999986</v>
      </c>
      <c r="P119" s="162">
        <f>F4A!P119+F4B!P119</f>
        <v>0.88638900000000009</v>
      </c>
      <c r="Q119" s="167">
        <f t="shared" si="3"/>
        <v>12.117771999999999</v>
      </c>
      <c r="R119" s="166"/>
      <c r="S119" s="166"/>
    </row>
    <row r="120" spans="3:19" hidden="1" x14ac:dyDescent="0.25">
      <c r="C120" s="17" t="s">
        <v>198</v>
      </c>
      <c r="D120" s="17" t="s">
        <v>199</v>
      </c>
      <c r="E120" s="162">
        <f>F4A!E120+F4B!E120</f>
        <v>0</v>
      </c>
      <c r="F120" s="162">
        <f>F4A!F120+F4B!F120</f>
        <v>0</v>
      </c>
      <c r="G120" s="162">
        <f>F4A!G120+F4B!G120</f>
        <v>0</v>
      </c>
      <c r="H120" s="162">
        <f>F4A!H120+F4B!H120</f>
        <v>0</v>
      </c>
      <c r="I120" s="162">
        <f>F4A!I120+F4B!I120</f>
        <v>0</v>
      </c>
      <c r="J120" s="162">
        <f>F4A!J120+F4B!J120</f>
        <v>0</v>
      </c>
      <c r="K120" s="162">
        <f>F4A!K120+F4B!K120</f>
        <v>0</v>
      </c>
      <c r="L120" s="162">
        <f>F4A!L120+F4B!L120</f>
        <v>0</v>
      </c>
      <c r="M120" s="162">
        <f>F4A!M120+F4B!M120</f>
        <v>0</v>
      </c>
      <c r="N120" s="162">
        <f>F4A!N120+F4B!N120</f>
        <v>0</v>
      </c>
      <c r="O120" s="162">
        <f>F4A!O120+F4B!O120</f>
        <v>0</v>
      </c>
      <c r="P120" s="162">
        <f>F4A!P120+F4B!P120</f>
        <v>0</v>
      </c>
      <c r="Q120" s="167">
        <f t="shared" si="3"/>
        <v>0</v>
      </c>
      <c r="R120" s="166"/>
      <c r="S120" s="166"/>
    </row>
    <row r="121" spans="3:19" hidden="1" x14ac:dyDescent="0.25">
      <c r="C121" s="17" t="s">
        <v>200</v>
      </c>
      <c r="D121" s="17" t="s">
        <v>201</v>
      </c>
      <c r="E121" s="162">
        <f>F4A!E121+F4B!E121</f>
        <v>0</v>
      </c>
      <c r="F121" s="162">
        <f>F4A!F121+F4B!F121</f>
        <v>0</v>
      </c>
      <c r="G121" s="162">
        <f>F4A!G121+F4B!G121</f>
        <v>0</v>
      </c>
      <c r="H121" s="162">
        <f>F4A!H121+F4B!H121</f>
        <v>0</v>
      </c>
      <c r="I121" s="162">
        <f>F4A!I121+F4B!I121</f>
        <v>0</v>
      </c>
      <c r="J121" s="162">
        <f>F4A!J121+F4B!J121</f>
        <v>0</v>
      </c>
      <c r="K121" s="162">
        <f>F4A!K121+F4B!K121</f>
        <v>0</v>
      </c>
      <c r="L121" s="162">
        <f>F4A!L121+F4B!L121</f>
        <v>0</v>
      </c>
      <c r="M121" s="162">
        <f>F4A!M121+F4B!M121</f>
        <v>0</v>
      </c>
      <c r="N121" s="162">
        <f>F4A!N121+F4B!N121</f>
        <v>0</v>
      </c>
      <c r="O121" s="162">
        <f>F4A!O121+F4B!O121</f>
        <v>0</v>
      </c>
      <c r="P121" s="162">
        <f>F4A!P121+F4B!P121</f>
        <v>0</v>
      </c>
      <c r="Q121" s="167">
        <f t="shared" si="3"/>
        <v>0</v>
      </c>
      <c r="R121" s="166"/>
      <c r="S121" s="166"/>
    </row>
    <row r="122" spans="3:19" hidden="1" x14ac:dyDescent="0.25">
      <c r="C122" s="17" t="s">
        <v>202</v>
      </c>
      <c r="D122" s="17" t="s">
        <v>203</v>
      </c>
      <c r="E122" s="162">
        <f>F4A!E122+F4B!E122</f>
        <v>3.1728399999999999</v>
      </c>
      <c r="F122" s="162">
        <f>F4A!F122+F4B!F122</f>
        <v>0.12335</v>
      </c>
      <c r="G122" s="162">
        <f>F4A!G122+F4B!G122</f>
        <v>7.6094999999999996E-2</v>
      </c>
      <c r="H122" s="162">
        <f>F4A!H122+F4B!H122</f>
        <v>7.4950000000000003E-2</v>
      </c>
      <c r="I122" s="162">
        <f>F4A!I122+F4B!I122</f>
        <v>4.5009199999999998</v>
      </c>
      <c r="J122" s="162">
        <f>F4A!J122+F4B!J122</f>
        <v>5.1381750000000004</v>
      </c>
      <c r="K122" s="162">
        <f>F4A!K122+F4B!K122</f>
        <v>5.4124150000000002</v>
      </c>
      <c r="L122" s="162">
        <f>F4A!L122+F4B!L122</f>
        <v>7.6682949999999996</v>
      </c>
      <c r="M122" s="162">
        <f>F4A!M122+F4B!M122</f>
        <v>2.6615799999999998</v>
      </c>
      <c r="N122" s="162">
        <f>F4A!N122+F4B!N122</f>
        <v>5.2675999999999998</v>
      </c>
      <c r="O122" s="162">
        <f>F4A!O122+F4B!O122</f>
        <v>7.7697450000000003</v>
      </c>
      <c r="P122" s="162">
        <f>F4A!P122+F4B!P122</f>
        <v>4.6405500000000002</v>
      </c>
      <c r="Q122" s="167">
        <f t="shared" si="3"/>
        <v>46.506515</v>
      </c>
      <c r="R122" s="166"/>
      <c r="S122" s="166"/>
    </row>
    <row r="123" spans="3:19" hidden="1" x14ac:dyDescent="0.25">
      <c r="C123" s="17" t="s">
        <v>204</v>
      </c>
      <c r="D123" s="17" t="s">
        <v>205</v>
      </c>
      <c r="E123" s="162">
        <f>F4A!E123+F4B!E123</f>
        <v>18.938918999999999</v>
      </c>
      <c r="F123" s="162">
        <f>F4A!F123+F4B!F123</f>
        <v>18.259281000000001</v>
      </c>
      <c r="G123" s="162">
        <f>F4A!G123+F4B!G123</f>
        <v>18.228034000000001</v>
      </c>
      <c r="H123" s="162">
        <f>F4A!H123+F4B!H123</f>
        <v>16.132538</v>
      </c>
      <c r="I123" s="162">
        <f>F4A!I123+F4B!I123</f>
        <v>16.673590999999998</v>
      </c>
      <c r="J123" s="162">
        <f>F4A!J123+F4B!J123</f>
        <v>18.097655</v>
      </c>
      <c r="K123" s="162">
        <f>F4A!K123+F4B!K123</f>
        <v>17.143504</v>
      </c>
      <c r="L123" s="162">
        <f>F4A!L123+F4B!L123</f>
        <v>18.497422</v>
      </c>
      <c r="M123" s="162">
        <f>F4A!M123+F4B!M123</f>
        <v>18.72852</v>
      </c>
      <c r="N123" s="162">
        <f>F4A!N123+F4B!N123</f>
        <v>19.212741999999999</v>
      </c>
      <c r="O123" s="162">
        <f>F4A!O123+F4B!O123</f>
        <v>19.688081</v>
      </c>
      <c r="P123" s="162">
        <f>F4A!P123+F4B!P123</f>
        <v>19.604049</v>
      </c>
      <c r="Q123" s="167">
        <f t="shared" si="3"/>
        <v>219.20433600000001</v>
      </c>
      <c r="R123" s="166"/>
      <c r="S123" s="166"/>
    </row>
    <row r="124" spans="3:19" hidden="1" x14ac:dyDescent="0.25">
      <c r="C124" s="17" t="s">
        <v>206</v>
      </c>
      <c r="D124" s="17" t="s">
        <v>207</v>
      </c>
      <c r="E124" s="162">
        <f>F4A!E124+F4B!E124</f>
        <v>3.83982</v>
      </c>
      <c r="F124" s="162">
        <f>F4A!F124+F4B!F124</f>
        <v>4.2133050000000001</v>
      </c>
      <c r="G124" s="162">
        <f>F4A!G124+F4B!G124</f>
        <v>4.8246650000000004</v>
      </c>
      <c r="H124" s="162">
        <f>F4A!H124+F4B!H124</f>
        <v>3.909395</v>
      </c>
      <c r="I124" s="162">
        <f>F4A!I124+F4B!I124</f>
        <v>3.6659799999999998</v>
      </c>
      <c r="J124" s="162">
        <f>F4A!J124+F4B!J124</f>
        <v>3.7956599999999998</v>
      </c>
      <c r="K124" s="162">
        <f>F4A!K124+F4B!K124</f>
        <v>3.6556850000000001</v>
      </c>
      <c r="L124" s="162">
        <f>F4A!L124+F4B!L124</f>
        <v>3.3792300000000002</v>
      </c>
      <c r="M124" s="162">
        <f>F4A!M124+F4B!M124</f>
        <v>2.9880450000000001</v>
      </c>
      <c r="N124" s="162">
        <f>F4A!N124+F4B!N124</f>
        <v>3.0089899999999998</v>
      </c>
      <c r="O124" s="162">
        <f>F4A!O124+F4B!O124</f>
        <v>1.5994649999999999</v>
      </c>
      <c r="P124" s="162">
        <f>F4A!P124+F4B!P124</f>
        <v>3.1214</v>
      </c>
      <c r="Q124" s="167">
        <f t="shared" si="3"/>
        <v>42.001640000000002</v>
      </c>
      <c r="R124" s="166"/>
      <c r="S124" s="166"/>
    </row>
    <row r="125" spans="3:19" hidden="1" x14ac:dyDescent="0.25">
      <c r="C125" s="17" t="s">
        <v>214</v>
      </c>
      <c r="D125" s="17" t="s">
        <v>187</v>
      </c>
      <c r="E125" s="162">
        <f>F4A!E125+F4B!E125</f>
        <v>0</v>
      </c>
      <c r="F125" s="162">
        <f>F4A!F125+F4B!F125</f>
        <v>0</v>
      </c>
      <c r="G125" s="162">
        <f>F4A!G125+F4B!G125</f>
        <v>0</v>
      </c>
      <c r="H125" s="162">
        <f>F4A!H125+F4B!H125</f>
        <v>0.76778999999999997</v>
      </c>
      <c r="I125" s="162">
        <f>F4A!I125+F4B!I125</f>
        <v>0.56309600000000004</v>
      </c>
      <c r="J125" s="162">
        <f>F4A!J125+F4B!J125</f>
        <v>0.55469500000000005</v>
      </c>
      <c r="K125" s="162">
        <f>F4A!K125+F4B!K125</f>
        <v>0.56428900000000004</v>
      </c>
      <c r="L125" s="162">
        <f>F4A!L125+F4B!L125</f>
        <v>1.1236809999999999</v>
      </c>
      <c r="M125" s="162">
        <f>F4A!M125+F4B!M125</f>
        <v>1.3206519999999999</v>
      </c>
      <c r="N125" s="162">
        <f>F4A!N125+F4B!N125</f>
        <v>1.3516300000000001</v>
      </c>
      <c r="O125" s="162">
        <f>F4A!O125+F4B!O125</f>
        <v>1.5111749999999999</v>
      </c>
      <c r="P125" s="162">
        <f>F4A!P125+F4B!P125</f>
        <v>1.252456</v>
      </c>
      <c r="Q125" s="167">
        <f t="shared" si="3"/>
        <v>9.0094639999999995</v>
      </c>
      <c r="R125" s="166"/>
      <c r="S125" s="166"/>
    </row>
    <row r="126" spans="3:19" hidden="1" x14ac:dyDescent="0.25">
      <c r="C126" s="17" t="s">
        <v>209</v>
      </c>
      <c r="D126" s="17" t="s">
        <v>210</v>
      </c>
      <c r="E126" s="162">
        <f>F4A!E126+F4B!E126</f>
        <v>0</v>
      </c>
      <c r="F126" s="162">
        <f>F4A!F126+F4B!F126</f>
        <v>0</v>
      </c>
      <c r="G126" s="162">
        <f>F4A!G126+F4B!G126</f>
        <v>0</v>
      </c>
      <c r="H126" s="162">
        <f>F4A!H126+F4B!H126</f>
        <v>0</v>
      </c>
      <c r="I126" s="162">
        <f>F4A!I126+F4B!I126</f>
        <v>0</v>
      </c>
      <c r="J126" s="162">
        <f>F4A!J126+F4B!J126</f>
        <v>0</v>
      </c>
      <c r="K126" s="162">
        <f>F4A!K126+F4B!K126</f>
        <v>0</v>
      </c>
      <c r="L126" s="162">
        <f>F4A!L126+F4B!L126</f>
        <v>0</v>
      </c>
      <c r="M126" s="162">
        <f>F4A!M126+F4B!M126</f>
        <v>0</v>
      </c>
      <c r="N126" s="162">
        <f>F4A!N126+F4B!N126</f>
        <v>0</v>
      </c>
      <c r="O126" s="162">
        <f>F4A!O126+F4B!O126</f>
        <v>0</v>
      </c>
      <c r="P126" s="162">
        <f>F4A!P126+F4B!P126</f>
        <v>0</v>
      </c>
      <c r="Q126" s="167">
        <f t="shared" si="3"/>
        <v>0</v>
      </c>
      <c r="R126" s="166"/>
      <c r="S126" s="166"/>
    </row>
    <row r="127" spans="3:19" hidden="1" x14ac:dyDescent="0.25">
      <c r="C127" s="17" t="s">
        <v>211</v>
      </c>
      <c r="D127" s="17" t="s">
        <v>189</v>
      </c>
      <c r="E127" s="162">
        <f>F4A!E127+F4B!E127</f>
        <v>0</v>
      </c>
      <c r="F127" s="162">
        <f>F4A!F127+F4B!F127</f>
        <v>0</v>
      </c>
      <c r="G127" s="162">
        <f>F4A!G127+F4B!G127</f>
        <v>0</v>
      </c>
      <c r="H127" s="162">
        <f>F4A!H127+F4B!H127</f>
        <v>0</v>
      </c>
      <c r="I127" s="162">
        <f>F4A!I127+F4B!I127</f>
        <v>0</v>
      </c>
      <c r="J127" s="162">
        <f>F4A!J127+F4B!J127</f>
        <v>0</v>
      </c>
      <c r="K127" s="162">
        <f>F4A!K127+F4B!K127</f>
        <v>0</v>
      </c>
      <c r="L127" s="162">
        <f>F4A!L127+F4B!L127</f>
        <v>0</v>
      </c>
      <c r="M127" s="162">
        <f>F4A!M127+F4B!M127</f>
        <v>0</v>
      </c>
      <c r="N127" s="162">
        <f>F4A!N127+F4B!N127</f>
        <v>0</v>
      </c>
      <c r="O127" s="162">
        <f>F4A!O127+F4B!O127</f>
        <v>0</v>
      </c>
      <c r="P127" s="162">
        <f>F4A!P127+F4B!P127</f>
        <v>0</v>
      </c>
      <c r="Q127" s="167">
        <f t="shared" si="3"/>
        <v>0</v>
      </c>
      <c r="R127" s="166"/>
      <c r="S127" s="166"/>
    </row>
    <row r="128" spans="3:19" hidden="1" x14ac:dyDescent="0.25">
      <c r="C128" s="17"/>
      <c r="D128" s="17"/>
      <c r="E128" s="162">
        <f>F4A!E128+F4B!E128</f>
        <v>0</v>
      </c>
      <c r="F128" s="162">
        <f>F4A!F128+F4B!F128</f>
        <v>0</v>
      </c>
      <c r="G128" s="162">
        <f>F4A!G128+F4B!G128</f>
        <v>0</v>
      </c>
      <c r="H128" s="162">
        <f>F4A!H128+F4B!H128</f>
        <v>0</v>
      </c>
      <c r="I128" s="162">
        <f>F4A!I128+F4B!I128</f>
        <v>0</v>
      </c>
      <c r="J128" s="162">
        <f>F4A!J128+F4B!J128</f>
        <v>0</v>
      </c>
      <c r="K128" s="162">
        <f>F4A!K128+F4B!K128</f>
        <v>0</v>
      </c>
      <c r="L128" s="162">
        <f>F4A!L128+F4B!L128</f>
        <v>0</v>
      </c>
      <c r="M128" s="162">
        <f>F4A!M128+F4B!M128</f>
        <v>0</v>
      </c>
      <c r="N128" s="162">
        <f>F4A!N128+F4B!N128</f>
        <v>0</v>
      </c>
      <c r="O128" s="162">
        <f>F4A!O128+F4B!O128</f>
        <v>0</v>
      </c>
      <c r="P128" s="162">
        <f>F4A!P128+F4B!P128</f>
        <v>0</v>
      </c>
      <c r="Q128" s="167">
        <f t="shared" si="3"/>
        <v>0</v>
      </c>
      <c r="R128" s="166"/>
      <c r="S128" s="166"/>
    </row>
    <row r="129" spans="3:19" hidden="1" x14ac:dyDescent="0.25">
      <c r="C129" s="17"/>
      <c r="D129" s="17"/>
      <c r="E129" s="162">
        <f>F4A!E129+F4B!E129</f>
        <v>0</v>
      </c>
      <c r="F129" s="162">
        <f>F4A!F129+F4B!F129</f>
        <v>0</v>
      </c>
      <c r="G129" s="162">
        <f>F4A!G129+F4B!G129</f>
        <v>0</v>
      </c>
      <c r="H129" s="162">
        <f>F4A!H129+F4B!H129</f>
        <v>0</v>
      </c>
      <c r="I129" s="162">
        <f>F4A!I129+F4B!I129</f>
        <v>0</v>
      </c>
      <c r="J129" s="162">
        <f>F4A!J129+F4B!J129</f>
        <v>0</v>
      </c>
      <c r="K129" s="162">
        <f>F4A!K129+F4B!K129</f>
        <v>0</v>
      </c>
      <c r="L129" s="162">
        <f>F4A!L129+F4B!L129</f>
        <v>0</v>
      </c>
      <c r="M129" s="162">
        <f>F4A!M129+F4B!M129</f>
        <v>0</v>
      </c>
      <c r="N129" s="162">
        <f>F4A!N129+F4B!N129</f>
        <v>0</v>
      </c>
      <c r="O129" s="162">
        <f>F4A!O129+F4B!O129</f>
        <v>0</v>
      </c>
      <c r="P129" s="162">
        <f>F4A!P129+F4B!P129</f>
        <v>0</v>
      </c>
      <c r="Q129" s="167">
        <f t="shared" si="3"/>
        <v>0</v>
      </c>
      <c r="R129" s="166"/>
      <c r="S129" s="166"/>
    </row>
    <row r="130" spans="3:19" hidden="1" x14ac:dyDescent="0.25">
      <c r="C130" s="17"/>
      <c r="D130" s="17"/>
      <c r="E130" s="162">
        <f>F4A!E130+F4B!E130</f>
        <v>0</v>
      </c>
      <c r="F130" s="162">
        <f>F4A!F130+F4B!F130</f>
        <v>0</v>
      </c>
      <c r="G130" s="162">
        <f>F4A!G130+F4B!G130</f>
        <v>0</v>
      </c>
      <c r="H130" s="162">
        <f>F4A!H130+F4B!H130</f>
        <v>0</v>
      </c>
      <c r="I130" s="162">
        <f>F4A!I130+F4B!I130</f>
        <v>0</v>
      </c>
      <c r="J130" s="162">
        <f>F4A!J130+F4B!J130</f>
        <v>0</v>
      </c>
      <c r="K130" s="162">
        <f>F4A!K130+F4B!K130</f>
        <v>0</v>
      </c>
      <c r="L130" s="162">
        <f>F4A!L130+F4B!L130</f>
        <v>0</v>
      </c>
      <c r="M130" s="162">
        <f>F4A!M130+F4B!M130</f>
        <v>0</v>
      </c>
      <c r="N130" s="162">
        <f>F4A!N130+F4B!N130</f>
        <v>0</v>
      </c>
      <c r="O130" s="162">
        <f>F4A!O130+F4B!O130</f>
        <v>0</v>
      </c>
      <c r="P130" s="162">
        <f>F4A!P130+F4B!P130</f>
        <v>0</v>
      </c>
      <c r="Q130" s="167">
        <f t="shared" si="3"/>
        <v>0</v>
      </c>
      <c r="R130" s="166"/>
      <c r="S130" s="166"/>
    </row>
    <row r="131" spans="3:19" hidden="1" x14ac:dyDescent="0.25">
      <c r="C131" s="17" t="s">
        <v>226</v>
      </c>
      <c r="D131" s="17" t="s">
        <v>226</v>
      </c>
      <c r="E131" s="162">
        <f>F4A!E131+F4B!E131</f>
        <v>0</v>
      </c>
      <c r="F131" s="162">
        <f>F4A!F131+F4B!F131</f>
        <v>0</v>
      </c>
      <c r="G131" s="162">
        <f>F4A!G131+F4B!G131</f>
        <v>0</v>
      </c>
      <c r="H131" s="162">
        <f>F4A!H131+F4B!H131</f>
        <v>0</v>
      </c>
      <c r="I131" s="162">
        <f>F4A!I131+F4B!I131</f>
        <v>0</v>
      </c>
      <c r="J131" s="162">
        <f>F4A!J131+F4B!J131</f>
        <v>0</v>
      </c>
      <c r="K131" s="162">
        <f>F4A!K131+F4B!K131</f>
        <v>0</v>
      </c>
      <c r="L131" s="162">
        <f>F4A!L131+F4B!L131</f>
        <v>0</v>
      </c>
      <c r="M131" s="162">
        <f>F4A!M131+F4B!M131</f>
        <v>0</v>
      </c>
      <c r="N131" s="162">
        <f>F4A!N131+F4B!N131</f>
        <v>0</v>
      </c>
      <c r="O131" s="162">
        <f>F4A!O131+F4B!O131</f>
        <v>0</v>
      </c>
      <c r="P131" s="162">
        <f>F4A!P131+F4B!P131</f>
        <v>0</v>
      </c>
      <c r="Q131" s="167">
        <f t="shared" si="3"/>
        <v>0</v>
      </c>
      <c r="R131" s="166"/>
      <c r="S131" s="166"/>
    </row>
    <row r="132" spans="3:19" hidden="1" x14ac:dyDescent="0.25">
      <c r="C132" s="751" t="s">
        <v>212</v>
      </c>
      <c r="D132" s="752"/>
      <c r="E132" s="167">
        <f t="shared" ref="E132:P132" si="4">SUM(E117:E131)</f>
        <v>49.958353000000002</v>
      </c>
      <c r="F132" s="167">
        <f t="shared" si="4"/>
        <v>44.755448999999992</v>
      </c>
      <c r="G132" s="167">
        <f t="shared" si="4"/>
        <v>45.349677</v>
      </c>
      <c r="H132" s="167">
        <f t="shared" si="4"/>
        <v>39.833452000000001</v>
      </c>
      <c r="I132" s="167">
        <f t="shared" si="4"/>
        <v>44.799002999999999</v>
      </c>
      <c r="J132" s="167">
        <f t="shared" si="4"/>
        <v>48.785312999999995</v>
      </c>
      <c r="K132" s="167">
        <f t="shared" si="4"/>
        <v>45.284736000000002</v>
      </c>
      <c r="L132" s="167">
        <f t="shared" si="4"/>
        <v>50.756752999999996</v>
      </c>
      <c r="M132" s="167">
        <f t="shared" si="4"/>
        <v>47.067605</v>
      </c>
      <c r="N132" s="167">
        <f t="shared" si="4"/>
        <v>50.358178999999993</v>
      </c>
      <c r="O132" s="167">
        <f t="shared" si="4"/>
        <v>53.220565000000008</v>
      </c>
      <c r="P132" s="167">
        <f t="shared" si="4"/>
        <v>48.206643000000007</v>
      </c>
      <c r="Q132" s="167">
        <f t="shared" si="3"/>
        <v>568.37572799999998</v>
      </c>
      <c r="R132" s="166"/>
      <c r="S132" s="166"/>
    </row>
    <row r="133" spans="3:19" hidden="1" x14ac:dyDescent="0.25">
      <c r="C133" s="753" t="s">
        <v>215</v>
      </c>
      <c r="D133" s="754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7">
        <f t="shared" si="3"/>
        <v>0</v>
      </c>
      <c r="R133" s="166"/>
      <c r="S133" s="166"/>
    </row>
    <row r="134" spans="3:19" hidden="1" x14ac:dyDescent="0.25">
      <c r="C134" s="17" t="s">
        <v>192</v>
      </c>
      <c r="D134" s="17" t="s">
        <v>193</v>
      </c>
      <c r="E134" s="162">
        <f>F4A!E134+F4B!E134</f>
        <v>70.925246799999996</v>
      </c>
      <c r="F134" s="162">
        <f>F4A!F134+F4B!F134</f>
        <v>71.525693700000005</v>
      </c>
      <c r="G134" s="162">
        <f>F4A!G134+F4B!G134</f>
        <v>70.670426699999993</v>
      </c>
      <c r="H134" s="162">
        <f>F4A!H134+F4B!H134</f>
        <v>73.908498899999955</v>
      </c>
      <c r="I134" s="162">
        <f>F4A!I134+F4B!I134</f>
        <v>68.722937299999927</v>
      </c>
      <c r="J134" s="162">
        <f>F4A!J134+F4B!J134</f>
        <v>77.02211803000003</v>
      </c>
      <c r="K134" s="162">
        <f>F4A!K134+F4B!K134</f>
        <v>67.631266679999982</v>
      </c>
      <c r="L134" s="162">
        <f>F4A!L134+F4B!L134</f>
        <v>70.813809230000089</v>
      </c>
      <c r="M134" s="162">
        <f>F4A!M134+F4B!M134</f>
        <v>76.570389470000038</v>
      </c>
      <c r="N134" s="162">
        <f>F4A!N134+F4B!N134</f>
        <v>73.010892740000074</v>
      </c>
      <c r="O134" s="162">
        <f>F4A!O134+F4B!O134</f>
        <v>76.616702629999992</v>
      </c>
      <c r="P134" s="162">
        <f>F4A!P134+F4B!P134</f>
        <v>76.591291180000098</v>
      </c>
      <c r="Q134" s="167">
        <f t="shared" si="3"/>
        <v>874.00927335999995</v>
      </c>
      <c r="R134" s="166"/>
      <c r="S134" s="166"/>
    </row>
    <row r="135" spans="3:19" hidden="1" x14ac:dyDescent="0.25">
      <c r="C135" s="17" t="s">
        <v>194</v>
      </c>
      <c r="D135" s="17" t="s">
        <v>195</v>
      </c>
      <c r="E135" s="162">
        <f>F4A!E135+F4B!E135</f>
        <v>0</v>
      </c>
      <c r="F135" s="162">
        <f>F4A!F135+F4B!F135</f>
        <v>0</v>
      </c>
      <c r="G135" s="162">
        <f>F4A!G135+F4B!G135</f>
        <v>0</v>
      </c>
      <c r="H135" s="162">
        <f>F4A!H135+F4B!H135</f>
        <v>0</v>
      </c>
      <c r="I135" s="162">
        <f>F4A!I135+F4B!I135</f>
        <v>0</v>
      </c>
      <c r="J135" s="162">
        <f>F4A!J135+F4B!J135</f>
        <v>0</v>
      </c>
      <c r="K135" s="162">
        <f>F4A!K135+F4B!K135</f>
        <v>0</v>
      </c>
      <c r="L135" s="162">
        <f>F4A!L135+F4B!L135</f>
        <v>0</v>
      </c>
      <c r="M135" s="162">
        <f>F4A!M135+F4B!M135</f>
        <v>0</v>
      </c>
      <c r="N135" s="162">
        <f>F4A!N135+F4B!N135</f>
        <v>0</v>
      </c>
      <c r="O135" s="162">
        <f>F4A!O135+F4B!O135</f>
        <v>0</v>
      </c>
      <c r="P135" s="162">
        <f>F4A!P135+F4B!P135</f>
        <v>0</v>
      </c>
      <c r="Q135" s="167">
        <f t="shared" si="3"/>
        <v>0</v>
      </c>
      <c r="R135" s="166"/>
      <c r="S135" s="166"/>
    </row>
    <row r="136" spans="3:19" hidden="1" x14ac:dyDescent="0.25">
      <c r="C136" s="17" t="s">
        <v>233</v>
      </c>
      <c r="D136" s="17" t="s">
        <v>197</v>
      </c>
      <c r="E136" s="162">
        <f>F4A!E136+F4B!E136</f>
        <v>0.12939999999999999</v>
      </c>
      <c r="F136" s="162">
        <f>F4A!F136+F4B!F136</f>
        <v>0.59850000000000003</v>
      </c>
      <c r="G136" s="162">
        <f>F4A!G136+F4B!G136</f>
        <v>0.1394</v>
      </c>
      <c r="H136" s="162">
        <f>F4A!H136+F4B!H136</f>
        <v>0.3473</v>
      </c>
      <c r="I136" s="162">
        <f>F4A!I136+F4B!I136</f>
        <v>0.48849999999999993</v>
      </c>
      <c r="J136" s="162">
        <f>F4A!J136+F4B!J136</f>
        <v>0.74729999999999996</v>
      </c>
      <c r="K136" s="162">
        <f>F4A!K136+F4B!K136</f>
        <v>0.59060000000000001</v>
      </c>
      <c r="L136" s="162">
        <f>F4A!L136+F4B!L136</f>
        <v>0.40280000000000005</v>
      </c>
      <c r="M136" s="162">
        <f>F4A!M136+F4B!M136</f>
        <v>0.47215000000000001</v>
      </c>
      <c r="N136" s="162">
        <f>F4A!N136+F4B!N136</f>
        <v>6.9099999999999995E-2</v>
      </c>
      <c r="O136" s="162">
        <f>F4A!O136+F4B!O136</f>
        <v>0.1013</v>
      </c>
      <c r="P136" s="162">
        <f>F4A!P136+F4B!P136</f>
        <v>4.5499999999999999E-2</v>
      </c>
      <c r="Q136" s="167">
        <f t="shared" si="3"/>
        <v>4.1318499999999991</v>
      </c>
      <c r="R136" s="166"/>
      <c r="S136" s="166"/>
    </row>
    <row r="137" spans="3:19" hidden="1" x14ac:dyDescent="0.25">
      <c r="C137" s="17" t="s">
        <v>198</v>
      </c>
      <c r="D137" s="17" t="s">
        <v>199</v>
      </c>
      <c r="E137" s="162">
        <f>F4A!E137+F4B!E137</f>
        <v>0</v>
      </c>
      <c r="F137" s="162">
        <f>F4A!F137+F4B!F137</f>
        <v>0</v>
      </c>
      <c r="G137" s="162">
        <f>F4A!G137+F4B!G137</f>
        <v>0</v>
      </c>
      <c r="H137" s="162">
        <f>F4A!H137+F4B!H137</f>
        <v>0</v>
      </c>
      <c r="I137" s="162">
        <f>F4A!I137+F4B!I137</f>
        <v>0</v>
      </c>
      <c r="J137" s="162">
        <f>F4A!J137+F4B!J137</f>
        <v>0</v>
      </c>
      <c r="K137" s="162">
        <f>F4A!K137+F4B!K137</f>
        <v>0</v>
      </c>
      <c r="L137" s="162">
        <f>F4A!L137+F4B!L137</f>
        <v>0</v>
      </c>
      <c r="M137" s="162">
        <f>F4A!M137+F4B!M137</f>
        <v>0</v>
      </c>
      <c r="N137" s="162">
        <f>F4A!N137+F4B!N137</f>
        <v>0</v>
      </c>
      <c r="O137" s="162">
        <f>F4A!O137+F4B!O137</f>
        <v>0</v>
      </c>
      <c r="P137" s="162">
        <f>F4A!P137+F4B!P137</f>
        <v>0</v>
      </c>
      <c r="Q137" s="167">
        <f t="shared" si="3"/>
        <v>0</v>
      </c>
      <c r="R137" s="166"/>
      <c r="S137" s="166"/>
    </row>
    <row r="138" spans="3:19" hidden="1" x14ac:dyDescent="0.25">
      <c r="C138" s="17" t="s">
        <v>200</v>
      </c>
      <c r="D138" s="17" t="s">
        <v>201</v>
      </c>
      <c r="E138" s="162">
        <f>F4A!E138+F4B!E138</f>
        <v>0</v>
      </c>
      <c r="F138" s="162">
        <f>F4A!F138+F4B!F138</f>
        <v>0</v>
      </c>
      <c r="G138" s="162">
        <f>F4A!G138+F4B!G138</f>
        <v>0</v>
      </c>
      <c r="H138" s="162">
        <f>F4A!H138+F4B!H138</f>
        <v>0</v>
      </c>
      <c r="I138" s="162">
        <f>F4A!I138+F4B!I138</f>
        <v>0</v>
      </c>
      <c r="J138" s="162">
        <f>F4A!J138+F4B!J138</f>
        <v>0</v>
      </c>
      <c r="K138" s="162">
        <f>F4A!K138+F4B!K138</f>
        <v>0</v>
      </c>
      <c r="L138" s="162">
        <f>F4A!L138+F4B!L138</f>
        <v>0</v>
      </c>
      <c r="M138" s="162">
        <f>F4A!M138+F4B!M138</f>
        <v>0</v>
      </c>
      <c r="N138" s="162">
        <f>F4A!N138+F4B!N138</f>
        <v>0</v>
      </c>
      <c r="O138" s="162">
        <f>F4A!O138+F4B!O138</f>
        <v>0</v>
      </c>
      <c r="P138" s="162">
        <f>F4A!P138+F4B!P138</f>
        <v>0</v>
      </c>
      <c r="Q138" s="167">
        <f t="shared" si="3"/>
        <v>0</v>
      </c>
      <c r="R138" s="166"/>
      <c r="S138" s="166"/>
    </row>
    <row r="139" spans="3:19" hidden="1" x14ac:dyDescent="0.25">
      <c r="C139" s="17" t="s">
        <v>202</v>
      </c>
      <c r="D139" s="17" t="s">
        <v>234</v>
      </c>
      <c r="E139" s="162">
        <f>F4A!E139+F4B!E139</f>
        <v>62.468595000000001</v>
      </c>
      <c r="F139" s="162">
        <f>F4A!F139+F4B!F139</f>
        <v>2.746848</v>
      </c>
      <c r="G139" s="162">
        <f>F4A!G139+F4B!G139</f>
        <v>2.2680980000000002</v>
      </c>
      <c r="H139" s="162">
        <f>F4A!H139+F4B!H139</f>
        <v>49.945179000000003</v>
      </c>
      <c r="I139" s="162">
        <f>F4A!I139+F4B!I139</f>
        <v>203.90710100000001</v>
      </c>
      <c r="J139" s="162">
        <f>F4A!J139+F4B!J139</f>
        <v>326.82459999999998</v>
      </c>
      <c r="K139" s="162">
        <f>F4A!K139+F4B!K139</f>
        <v>87.171548999999999</v>
      </c>
      <c r="L139" s="162">
        <f>F4A!L139+F4B!L139</f>
        <v>350.16360400000002</v>
      </c>
      <c r="M139" s="162">
        <f>F4A!M139+F4B!M139</f>
        <v>536.13238000000001</v>
      </c>
      <c r="N139" s="162">
        <f>F4A!N139+F4B!N139</f>
        <v>203.301896</v>
      </c>
      <c r="O139" s="162">
        <f>F4A!O139+F4B!O139</f>
        <v>336.787037</v>
      </c>
      <c r="P139" s="162">
        <f>F4A!P139+F4B!P139</f>
        <v>439.74920700000001</v>
      </c>
      <c r="Q139" s="167">
        <f t="shared" si="3"/>
        <v>2601.4660939999999</v>
      </c>
      <c r="R139" s="166"/>
      <c r="S139" s="166"/>
    </row>
    <row r="140" spans="3:19" hidden="1" x14ac:dyDescent="0.25">
      <c r="C140" s="17" t="s">
        <v>204</v>
      </c>
      <c r="D140" s="17" t="s">
        <v>216</v>
      </c>
      <c r="E140" s="162">
        <f>F4A!E140+F4B!E140</f>
        <v>1.50264</v>
      </c>
      <c r="F140" s="162">
        <f>F4A!F140+F4B!F140</f>
        <v>1.9023479999999999</v>
      </c>
      <c r="G140" s="162">
        <f>F4A!G140+F4B!G140</f>
        <v>1.7531639999999999</v>
      </c>
      <c r="H140" s="162">
        <f>F4A!H140+F4B!H140</f>
        <v>2.198016</v>
      </c>
      <c r="I140" s="162">
        <f>F4A!I140+F4B!I140</f>
        <v>1.81962</v>
      </c>
      <c r="J140" s="162">
        <f>F4A!J140+F4B!J140</f>
        <v>1.897416</v>
      </c>
      <c r="K140" s="162">
        <f>F4A!K140+F4B!K140</f>
        <v>1.7224200000000001</v>
      </c>
      <c r="L140" s="162">
        <f>F4A!L140+F4B!L140</f>
        <v>1.8457920000000001</v>
      </c>
      <c r="M140" s="162">
        <f>F4A!M140+F4B!M140</f>
        <v>2.1028319999999998</v>
      </c>
      <c r="N140" s="162">
        <f>F4A!N140+F4B!N140</f>
        <v>1.8180719999999999</v>
      </c>
      <c r="O140" s="162">
        <f>F4A!O140+F4B!O140</f>
        <v>1.5806880000000001</v>
      </c>
      <c r="P140" s="162">
        <f>F4A!P140+F4B!P140</f>
        <v>2.149416</v>
      </c>
      <c r="Q140" s="167">
        <f t="shared" si="3"/>
        <v>22.292423999999997</v>
      </c>
      <c r="R140" s="166"/>
      <c r="S140" s="166"/>
    </row>
    <row r="141" spans="3:19" hidden="1" x14ac:dyDescent="0.25">
      <c r="C141" s="17" t="s">
        <v>217</v>
      </c>
      <c r="D141" s="17" t="s">
        <v>218</v>
      </c>
      <c r="E141" s="162">
        <f>F4A!E141+F4B!E141</f>
        <v>37.905616199999997</v>
      </c>
      <c r="F141" s="162">
        <f>F4A!F141+F4B!F141</f>
        <v>36.024020300000004</v>
      </c>
      <c r="G141" s="162">
        <f>F4A!G141+F4B!G141</f>
        <v>36.9660273</v>
      </c>
      <c r="H141" s="162">
        <f>F4A!H141+F4B!H141</f>
        <v>38.362291100000007</v>
      </c>
      <c r="I141" s="162">
        <f>F4A!I141+F4B!I141</f>
        <v>37.225089699999998</v>
      </c>
      <c r="J141" s="162">
        <f>F4A!J141+F4B!J141</f>
        <v>35.259374000000001</v>
      </c>
      <c r="K141" s="162">
        <f>F4A!K141+F4B!K141</f>
        <v>34.641901400000009</v>
      </c>
      <c r="L141" s="162">
        <f>F4A!L141+F4B!L141</f>
        <v>37.923777700000002</v>
      </c>
      <c r="M141" s="162">
        <f>F4A!M141+F4B!M141</f>
        <v>36.617589500000001</v>
      </c>
      <c r="N141" s="162">
        <f>F4A!N141+F4B!N141</f>
        <v>38.578350399999998</v>
      </c>
      <c r="O141" s="162">
        <f>F4A!O141+F4B!O141</f>
        <v>40.992595100000003</v>
      </c>
      <c r="P141" s="162">
        <f>F4A!P141+F4B!P141</f>
        <v>36.5916706</v>
      </c>
      <c r="Q141" s="167">
        <f t="shared" si="3"/>
        <v>447.08830330000006</v>
      </c>
      <c r="R141" s="166"/>
      <c r="S141" s="166"/>
    </row>
    <row r="142" spans="3:19" hidden="1" x14ac:dyDescent="0.25">
      <c r="C142" s="17" t="s">
        <v>252</v>
      </c>
      <c r="D142" s="17" t="s">
        <v>236</v>
      </c>
      <c r="E142" s="162">
        <f>F4A!E142+F4B!E142</f>
        <v>0</v>
      </c>
      <c r="F142" s="162">
        <f>F4A!F142+F4B!F142</f>
        <v>0</v>
      </c>
      <c r="G142" s="162">
        <f>F4A!G142+F4B!G142</f>
        <v>0</v>
      </c>
      <c r="H142" s="162">
        <f>F4A!H142+F4B!H142</f>
        <v>0</v>
      </c>
      <c r="I142" s="162">
        <f>F4A!I142+F4B!I142</f>
        <v>0</v>
      </c>
      <c r="J142" s="162">
        <f>F4A!J142+F4B!J142</f>
        <v>0</v>
      </c>
      <c r="K142" s="162">
        <f>F4A!K142+F4B!K142</f>
        <v>0</v>
      </c>
      <c r="L142" s="162">
        <f>F4A!L142+F4B!L142</f>
        <v>0</v>
      </c>
      <c r="M142" s="162">
        <f>F4A!M142+F4B!M142</f>
        <v>0</v>
      </c>
      <c r="N142" s="162">
        <f>F4A!N142+F4B!N142</f>
        <v>0</v>
      </c>
      <c r="O142" s="162">
        <f>F4A!O142+F4B!O142</f>
        <v>0</v>
      </c>
      <c r="P142" s="162">
        <f>F4A!P142+F4B!P142</f>
        <v>0</v>
      </c>
      <c r="Q142" s="167">
        <f t="shared" si="3"/>
        <v>0</v>
      </c>
      <c r="R142" s="166"/>
      <c r="S142" s="166"/>
    </row>
    <row r="143" spans="3:19" hidden="1" x14ac:dyDescent="0.25">
      <c r="C143" s="17" t="s">
        <v>206</v>
      </c>
      <c r="D143" s="17" t="s">
        <v>207</v>
      </c>
      <c r="E143" s="162">
        <f>F4A!E143+F4B!E143</f>
        <v>9.0972000000000008</v>
      </c>
      <c r="F143" s="162">
        <f>F4A!F143+F4B!F143</f>
        <v>10.1577</v>
      </c>
      <c r="G143" s="162">
        <f>F4A!G143+F4B!G143</f>
        <v>10.091100000000001</v>
      </c>
      <c r="H143" s="162">
        <f>F4A!H143+F4B!H143</f>
        <v>9.0021000000000004</v>
      </c>
      <c r="I143" s="162">
        <f>F4A!I143+F4B!I143</f>
        <v>8.1705000000000005</v>
      </c>
      <c r="J143" s="162">
        <f>F4A!J143+F4B!J143</f>
        <v>9.1242000000000001</v>
      </c>
      <c r="K143" s="162">
        <f>F4A!K143+F4B!K143</f>
        <v>8.4570000000000007</v>
      </c>
      <c r="L143" s="162">
        <f>F4A!L143+F4B!L143</f>
        <v>7.7321999999999997</v>
      </c>
      <c r="M143" s="162">
        <f>F4A!M143+F4B!M143</f>
        <v>7.1966999999999999</v>
      </c>
      <c r="N143" s="162">
        <f>F4A!N143+F4B!N143</f>
        <v>6.8792999999999997</v>
      </c>
      <c r="O143" s="162">
        <f>F4A!O143+F4B!O143</f>
        <v>6.9786000000000001</v>
      </c>
      <c r="P143" s="162">
        <f>F4A!P143+F4B!P143</f>
        <v>8.0321999999999996</v>
      </c>
      <c r="Q143" s="167">
        <f t="shared" si="3"/>
        <v>100.91880000000002</v>
      </c>
      <c r="R143" s="166"/>
      <c r="S143" s="166"/>
    </row>
    <row r="144" spans="3:19" hidden="1" x14ac:dyDescent="0.25">
      <c r="C144" s="17" t="s">
        <v>208</v>
      </c>
      <c r="D144" s="17" t="s">
        <v>187</v>
      </c>
      <c r="E144" s="162">
        <f>F4A!E144+F4B!E144</f>
        <v>0</v>
      </c>
      <c r="F144" s="162">
        <f>F4A!F144+F4B!F144</f>
        <v>0</v>
      </c>
      <c r="G144" s="162">
        <f>F4A!G144+F4B!G144</f>
        <v>0</v>
      </c>
      <c r="H144" s="162">
        <f>F4A!H144+F4B!H144</f>
        <v>0.38</v>
      </c>
      <c r="I144" s="162">
        <f>F4A!I144+F4B!I144</f>
        <v>0.70799999999999996</v>
      </c>
      <c r="J144" s="162">
        <f>F4A!J144+F4B!J144</f>
        <v>1.2629999999999999</v>
      </c>
      <c r="K144" s="162">
        <f>F4A!K144+F4B!K144</f>
        <v>1.498</v>
      </c>
      <c r="L144" s="162">
        <f>F4A!L144+F4B!L144</f>
        <v>1.508</v>
      </c>
      <c r="M144" s="162">
        <f>F4A!M144+F4B!M144</f>
        <v>2.8490000000000002</v>
      </c>
      <c r="N144" s="162">
        <f>F4A!N144+F4B!N144</f>
        <v>2.9390000000000001</v>
      </c>
      <c r="O144" s="162">
        <f>F4A!O144+F4B!O144</f>
        <v>5.1710000000000003</v>
      </c>
      <c r="P144" s="162">
        <f>F4A!P144+F4B!P144</f>
        <v>5.0549999999999997</v>
      </c>
      <c r="Q144" s="167">
        <f t="shared" si="3"/>
        <v>21.370999999999999</v>
      </c>
      <c r="R144" s="166"/>
      <c r="S144" s="166"/>
    </row>
    <row r="145" spans="3:19" hidden="1" x14ac:dyDescent="0.25">
      <c r="C145" s="17" t="s">
        <v>209</v>
      </c>
      <c r="D145" s="17" t="s">
        <v>210</v>
      </c>
      <c r="E145" s="162">
        <f>F4A!E145+F4B!E145</f>
        <v>0</v>
      </c>
      <c r="F145" s="162">
        <f>F4A!F145+F4B!F145</f>
        <v>0</v>
      </c>
      <c r="G145" s="162">
        <f>F4A!G145+F4B!G145</f>
        <v>0</v>
      </c>
      <c r="H145" s="162">
        <f>F4A!H145+F4B!H145</f>
        <v>0</v>
      </c>
      <c r="I145" s="162">
        <f>F4A!I145+F4B!I145</f>
        <v>0</v>
      </c>
      <c r="J145" s="162">
        <f>F4A!J145+F4B!J145</f>
        <v>0</v>
      </c>
      <c r="K145" s="162">
        <f>F4A!K145+F4B!K145</f>
        <v>0</v>
      </c>
      <c r="L145" s="162">
        <f>F4A!L145+F4B!L145</f>
        <v>0</v>
      </c>
      <c r="M145" s="162">
        <f>F4A!M145+F4B!M145</f>
        <v>0</v>
      </c>
      <c r="N145" s="162">
        <f>F4A!N145+F4B!N145</f>
        <v>0</v>
      </c>
      <c r="O145" s="162">
        <f>F4A!O145+F4B!O145</f>
        <v>0</v>
      </c>
      <c r="P145" s="162">
        <f>F4A!P145+F4B!P145</f>
        <v>0</v>
      </c>
      <c r="Q145" s="167">
        <f t="shared" si="3"/>
        <v>0</v>
      </c>
      <c r="R145" s="166"/>
      <c r="S145" s="166"/>
    </row>
    <row r="146" spans="3:19" hidden="1" x14ac:dyDescent="0.25">
      <c r="C146" s="17" t="s">
        <v>211</v>
      </c>
      <c r="D146" s="17" t="s">
        <v>189</v>
      </c>
      <c r="E146" s="162">
        <f>F4A!E146+F4B!E146</f>
        <v>0</v>
      </c>
      <c r="F146" s="162">
        <f>F4A!F146+F4B!F146</f>
        <v>0</v>
      </c>
      <c r="G146" s="162">
        <f>F4A!G146+F4B!G146</f>
        <v>0</v>
      </c>
      <c r="H146" s="162">
        <f>F4A!H146+F4B!H146</f>
        <v>0</v>
      </c>
      <c r="I146" s="162">
        <f>F4A!I146+F4B!I146</f>
        <v>0</v>
      </c>
      <c r="J146" s="162">
        <f>F4A!J146+F4B!J146</f>
        <v>0</v>
      </c>
      <c r="K146" s="162">
        <f>F4A!K146+F4B!K146</f>
        <v>0</v>
      </c>
      <c r="L146" s="162">
        <f>F4A!L146+F4B!L146</f>
        <v>0</v>
      </c>
      <c r="M146" s="162">
        <f>F4A!M146+F4B!M146</f>
        <v>0</v>
      </c>
      <c r="N146" s="162">
        <f>F4A!N146+F4B!N146</f>
        <v>0</v>
      </c>
      <c r="O146" s="162">
        <f>F4A!O146+F4B!O146</f>
        <v>0</v>
      </c>
      <c r="P146" s="162">
        <f>F4A!P146+F4B!P146</f>
        <v>0</v>
      </c>
      <c r="Q146" s="167">
        <f t="shared" si="3"/>
        <v>0</v>
      </c>
      <c r="R146" s="166"/>
      <c r="S146" s="166"/>
    </row>
    <row r="147" spans="3:19" hidden="1" x14ac:dyDescent="0.25">
      <c r="C147" s="17"/>
      <c r="D147" s="17"/>
      <c r="E147" s="162">
        <f>F4A!E147+F4B!E147</f>
        <v>0</v>
      </c>
      <c r="F147" s="162">
        <f>F4A!F147+F4B!F147</f>
        <v>0</v>
      </c>
      <c r="G147" s="162">
        <f>F4A!G147+F4B!G147</f>
        <v>0</v>
      </c>
      <c r="H147" s="162">
        <f>F4A!H147+F4B!H147</f>
        <v>0</v>
      </c>
      <c r="I147" s="162">
        <f>F4A!I147+F4B!I147</f>
        <v>0</v>
      </c>
      <c r="J147" s="162">
        <f>F4A!J147+F4B!J147</f>
        <v>0</v>
      </c>
      <c r="K147" s="162">
        <f>F4A!K147+F4B!K147</f>
        <v>0</v>
      </c>
      <c r="L147" s="162">
        <f>F4A!L147+F4B!L147</f>
        <v>0</v>
      </c>
      <c r="M147" s="162">
        <f>F4A!M147+F4B!M147</f>
        <v>0</v>
      </c>
      <c r="N147" s="162">
        <f>F4A!N147+F4B!N147</f>
        <v>0</v>
      </c>
      <c r="O147" s="162">
        <f>F4A!O147+F4B!O147</f>
        <v>0</v>
      </c>
      <c r="P147" s="162">
        <f>F4A!P147+F4B!P147</f>
        <v>0</v>
      </c>
      <c r="Q147" s="167">
        <f t="shared" si="3"/>
        <v>0</v>
      </c>
      <c r="R147" s="166"/>
      <c r="S147" s="166"/>
    </row>
    <row r="148" spans="3:19" hidden="1" x14ac:dyDescent="0.25">
      <c r="C148" s="17"/>
      <c r="D148" s="17"/>
      <c r="E148" s="162">
        <f>F4A!E148+F4B!E148</f>
        <v>0</v>
      </c>
      <c r="F148" s="162">
        <f>F4A!F148+F4B!F148</f>
        <v>0</v>
      </c>
      <c r="G148" s="162">
        <f>F4A!G148+F4B!G148</f>
        <v>0</v>
      </c>
      <c r="H148" s="162">
        <f>F4A!H148+F4B!H148</f>
        <v>0</v>
      </c>
      <c r="I148" s="162">
        <f>F4A!I148+F4B!I148</f>
        <v>0</v>
      </c>
      <c r="J148" s="162">
        <f>F4A!J148+F4B!J148</f>
        <v>0</v>
      </c>
      <c r="K148" s="162">
        <f>F4A!K148+F4B!K148</f>
        <v>0</v>
      </c>
      <c r="L148" s="162">
        <f>F4A!L148+F4B!L148</f>
        <v>0</v>
      </c>
      <c r="M148" s="162">
        <f>F4A!M148+F4B!M148</f>
        <v>0</v>
      </c>
      <c r="N148" s="162">
        <f>F4A!N148+F4B!N148</f>
        <v>0</v>
      </c>
      <c r="O148" s="162">
        <f>F4A!O148+F4B!O148</f>
        <v>0</v>
      </c>
      <c r="P148" s="162">
        <f>F4A!P148+F4B!P148</f>
        <v>0</v>
      </c>
      <c r="Q148" s="167">
        <f t="shared" ref="Q148:Q153" si="5">SUM(E148:P148)</f>
        <v>0</v>
      </c>
      <c r="R148" s="166"/>
      <c r="S148" s="166"/>
    </row>
    <row r="149" spans="3:19" hidden="1" x14ac:dyDescent="0.25">
      <c r="C149" s="17"/>
      <c r="D149" s="17"/>
      <c r="E149" s="162">
        <f>F4A!E149+F4B!E149</f>
        <v>0</v>
      </c>
      <c r="F149" s="162">
        <f>F4A!F149+F4B!F149</f>
        <v>0</v>
      </c>
      <c r="G149" s="162">
        <f>F4A!G149+F4B!G149</f>
        <v>0</v>
      </c>
      <c r="H149" s="162">
        <f>F4A!H149+F4B!H149</f>
        <v>0</v>
      </c>
      <c r="I149" s="162">
        <f>F4A!I149+F4B!I149</f>
        <v>0</v>
      </c>
      <c r="J149" s="162">
        <f>F4A!J149+F4B!J149</f>
        <v>0</v>
      </c>
      <c r="K149" s="162">
        <f>F4A!K149+F4B!K149</f>
        <v>0</v>
      </c>
      <c r="L149" s="162">
        <f>F4A!L149+F4B!L149</f>
        <v>0</v>
      </c>
      <c r="M149" s="162">
        <f>F4A!M149+F4B!M149</f>
        <v>0</v>
      </c>
      <c r="N149" s="162">
        <f>F4A!N149+F4B!N149</f>
        <v>0</v>
      </c>
      <c r="O149" s="162">
        <f>F4A!O149+F4B!O149</f>
        <v>0</v>
      </c>
      <c r="P149" s="162">
        <f>F4A!P149+F4B!P149</f>
        <v>0</v>
      </c>
      <c r="Q149" s="167">
        <f t="shared" si="5"/>
        <v>0</v>
      </c>
      <c r="R149" s="166"/>
      <c r="S149" s="166"/>
    </row>
    <row r="150" spans="3:19" hidden="1" x14ac:dyDescent="0.25">
      <c r="C150" s="17" t="s">
        <v>226</v>
      </c>
      <c r="D150" s="17" t="s">
        <v>226</v>
      </c>
      <c r="E150" s="162">
        <f>F4A!E150+F4B!E150</f>
        <v>0</v>
      </c>
      <c r="F150" s="162">
        <f>F4A!F150+F4B!F150</f>
        <v>0</v>
      </c>
      <c r="G150" s="162">
        <f>F4A!G150+F4B!G150</f>
        <v>0</v>
      </c>
      <c r="H150" s="162">
        <f>F4A!H150+F4B!H150</f>
        <v>0</v>
      </c>
      <c r="I150" s="162">
        <f>F4A!I150+F4B!I150</f>
        <v>0</v>
      </c>
      <c r="J150" s="162">
        <f>F4A!J150+F4B!J150</f>
        <v>0</v>
      </c>
      <c r="K150" s="162">
        <f>F4A!K150+F4B!K150</f>
        <v>0</v>
      </c>
      <c r="L150" s="162">
        <f>F4A!L150+F4B!L150</f>
        <v>0</v>
      </c>
      <c r="M150" s="162">
        <f>F4A!M150+F4B!M150</f>
        <v>0</v>
      </c>
      <c r="N150" s="162">
        <f>F4A!N150+F4B!N150</f>
        <v>0</v>
      </c>
      <c r="O150" s="162">
        <f>F4A!O150+F4B!O150</f>
        <v>0</v>
      </c>
      <c r="P150" s="162">
        <f>F4A!P150+F4B!P150</f>
        <v>0</v>
      </c>
      <c r="Q150" s="167">
        <f t="shared" si="5"/>
        <v>0</v>
      </c>
      <c r="R150" s="166"/>
      <c r="S150" s="166"/>
    </row>
    <row r="151" spans="3:19" hidden="1" x14ac:dyDescent="0.25">
      <c r="C151" s="751" t="s">
        <v>212</v>
      </c>
      <c r="D151" s="752"/>
      <c r="E151" s="167">
        <f t="shared" ref="E151:P151" si="6">SUM(E134:E150)</f>
        <v>182.02869800000002</v>
      </c>
      <c r="F151" s="167">
        <f t="shared" si="6"/>
        <v>122.95511000000002</v>
      </c>
      <c r="G151" s="167">
        <f t="shared" si="6"/>
        <v>121.88821599999999</v>
      </c>
      <c r="H151" s="167">
        <f t="shared" si="6"/>
        <v>174.14338499999999</v>
      </c>
      <c r="I151" s="167">
        <f t="shared" si="6"/>
        <v>321.04174799999998</v>
      </c>
      <c r="J151" s="167">
        <f t="shared" si="6"/>
        <v>452.13800802999998</v>
      </c>
      <c r="K151" s="167">
        <f t="shared" si="6"/>
        <v>201.71273707999995</v>
      </c>
      <c r="L151" s="167">
        <f t="shared" si="6"/>
        <v>470.38998293000009</v>
      </c>
      <c r="M151" s="167">
        <f t="shared" si="6"/>
        <v>661.94104097000013</v>
      </c>
      <c r="N151" s="167">
        <f t="shared" si="6"/>
        <v>326.59661114000005</v>
      </c>
      <c r="O151" s="167">
        <f t="shared" si="6"/>
        <v>468.22792272999999</v>
      </c>
      <c r="P151" s="167">
        <f t="shared" si="6"/>
        <v>568.21428478000007</v>
      </c>
      <c r="Q151" s="167">
        <f t="shared" si="5"/>
        <v>4071.2777446600003</v>
      </c>
      <c r="R151" s="166"/>
      <c r="S151" s="166"/>
    </row>
    <row r="152" spans="3:19" hidden="1" x14ac:dyDescent="0.25">
      <c r="C152" s="751" t="s">
        <v>219</v>
      </c>
      <c r="D152" s="752"/>
      <c r="E152" s="167">
        <f t="shared" ref="E152:P152" si="7">E115+E132+E151</f>
        <v>417.41251999000002</v>
      </c>
      <c r="F152" s="167">
        <f t="shared" si="7"/>
        <v>291.49803714999996</v>
      </c>
      <c r="G152" s="167">
        <f t="shared" si="7"/>
        <v>296.47855537999999</v>
      </c>
      <c r="H152" s="167">
        <f t="shared" si="7"/>
        <v>353.66049916000003</v>
      </c>
      <c r="I152" s="167">
        <f t="shared" si="7"/>
        <v>517.56578912000009</v>
      </c>
      <c r="J152" s="167">
        <f t="shared" si="7"/>
        <v>666.56115238999996</v>
      </c>
      <c r="K152" s="167">
        <f t="shared" si="7"/>
        <v>377.04296483999997</v>
      </c>
      <c r="L152" s="167">
        <f t="shared" si="7"/>
        <v>643.54055102999996</v>
      </c>
      <c r="M152" s="167">
        <f t="shared" si="7"/>
        <v>866.86570434000009</v>
      </c>
      <c r="N152" s="167">
        <f t="shared" si="7"/>
        <v>578.34626650999996</v>
      </c>
      <c r="O152" s="167">
        <f t="shared" si="7"/>
        <v>724.66145475999997</v>
      </c>
      <c r="P152" s="167">
        <f t="shared" si="7"/>
        <v>813.90361991000009</v>
      </c>
      <c r="Q152" s="167">
        <f t="shared" si="5"/>
        <v>6547.53711458</v>
      </c>
      <c r="R152" s="166"/>
      <c r="S152" s="166"/>
    </row>
    <row r="153" spans="3:19" hidden="1" x14ac:dyDescent="0.25">
      <c r="C153" s="751" t="s">
        <v>220</v>
      </c>
      <c r="D153" s="752"/>
      <c r="E153" s="167">
        <f t="shared" ref="E153:P153" si="8">E152+E98</f>
        <v>1467.1915310899999</v>
      </c>
      <c r="F153" s="167">
        <f t="shared" si="8"/>
        <v>1099.1445030499999</v>
      </c>
      <c r="G153" s="167">
        <f t="shared" si="8"/>
        <v>1023.4078702799998</v>
      </c>
      <c r="H153" s="167">
        <f t="shared" si="8"/>
        <v>1293.0151207961501</v>
      </c>
      <c r="I153" s="167">
        <f t="shared" si="8"/>
        <v>1577.1605194857059</v>
      </c>
      <c r="J153" s="167">
        <f t="shared" si="8"/>
        <v>1536.8188321253929</v>
      </c>
      <c r="K153" s="167">
        <f t="shared" si="8"/>
        <v>1193.4143988400001</v>
      </c>
      <c r="L153" s="167">
        <f t="shared" si="8"/>
        <v>1349.3198809199998</v>
      </c>
      <c r="M153" s="167">
        <f t="shared" si="8"/>
        <v>1828.30476684</v>
      </c>
      <c r="N153" s="167">
        <f t="shared" si="8"/>
        <v>1760.4967290099999</v>
      </c>
      <c r="O153" s="167">
        <f t="shared" si="8"/>
        <v>2041.9525092600002</v>
      </c>
      <c r="P153" s="167">
        <f t="shared" si="8"/>
        <v>2442.1417495125825</v>
      </c>
      <c r="Q153" s="167">
        <f t="shared" si="5"/>
        <v>18612.368411209827</v>
      </c>
      <c r="R153" s="166"/>
      <c r="S153" s="166"/>
    </row>
    <row r="154" spans="3:19" hidden="1" x14ac:dyDescent="0.25">
      <c r="C154" s="25"/>
      <c r="D154" s="25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</row>
    <row r="155" spans="3:19" hidden="1" x14ac:dyDescent="0.25">
      <c r="C155" s="14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9" t="s">
        <v>229</v>
      </c>
      <c r="R155" s="166"/>
      <c r="S155" s="166"/>
    </row>
    <row r="156" spans="3:19" hidden="1" x14ac:dyDescent="0.25">
      <c r="C156" s="760" t="s">
        <v>163</v>
      </c>
      <c r="D156" s="760"/>
      <c r="E156" s="761" t="s">
        <v>253</v>
      </c>
      <c r="F156" s="761"/>
      <c r="G156" s="761"/>
      <c r="H156" s="761"/>
      <c r="I156" s="761"/>
      <c r="J156" s="761"/>
      <c r="K156" s="761"/>
      <c r="L156" s="761"/>
      <c r="M156" s="761"/>
      <c r="N156" s="761"/>
      <c r="O156" s="761"/>
      <c r="P156" s="761"/>
      <c r="Q156" s="761"/>
      <c r="R156" s="166"/>
      <c r="S156" s="166"/>
    </row>
    <row r="157" spans="3:19" hidden="1" x14ac:dyDescent="0.25">
      <c r="C157" s="760"/>
      <c r="D157" s="760"/>
      <c r="E157" s="168" t="s">
        <v>239</v>
      </c>
      <c r="F157" s="168" t="s">
        <v>240</v>
      </c>
      <c r="G157" s="168" t="s">
        <v>241</v>
      </c>
      <c r="H157" s="168" t="s">
        <v>242</v>
      </c>
      <c r="I157" s="168" t="s">
        <v>243</v>
      </c>
      <c r="J157" s="168" t="s">
        <v>244</v>
      </c>
      <c r="K157" s="168" t="s">
        <v>245</v>
      </c>
      <c r="L157" s="168" t="s">
        <v>246</v>
      </c>
      <c r="M157" s="168" t="s">
        <v>247</v>
      </c>
      <c r="N157" s="168" t="s">
        <v>248</v>
      </c>
      <c r="O157" s="168" t="s">
        <v>249</v>
      </c>
      <c r="P157" s="168" t="s">
        <v>250</v>
      </c>
      <c r="Q157" s="168" t="s">
        <v>251</v>
      </c>
      <c r="R157" s="166"/>
      <c r="S157" s="166"/>
    </row>
    <row r="158" spans="3:19" hidden="1" x14ac:dyDescent="0.25">
      <c r="C158" s="753" t="s">
        <v>171</v>
      </c>
      <c r="D158" s="754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7">
        <f t="shared" ref="Q158:Q189" si="9">SUM(E158:P158)</f>
        <v>0</v>
      </c>
      <c r="R158" s="166"/>
      <c r="S158" s="166"/>
    </row>
    <row r="159" spans="3:19" hidden="1" x14ac:dyDescent="0.25">
      <c r="C159" s="59" t="s">
        <v>172</v>
      </c>
      <c r="D159" s="59" t="s">
        <v>173</v>
      </c>
      <c r="E159" s="162">
        <f>F4A!E159+F4B!E159</f>
        <v>311.84614900000008</v>
      </c>
      <c r="F159" s="162">
        <f>F4A!F159+F4B!F159</f>
        <v>379.03850799999998</v>
      </c>
      <c r="G159" s="162">
        <f>F4A!G159+F4B!G159</f>
        <v>370.61</v>
      </c>
      <c r="H159" s="162">
        <f>F4A!H159+F4B!H159</f>
        <v>362.45415000000003</v>
      </c>
      <c r="I159" s="162">
        <f>F4A!I159+F4B!I159</f>
        <v>376.81800699999997</v>
      </c>
      <c r="J159" s="162">
        <f>F4A!J159+F4B!J159</f>
        <v>327.016368</v>
      </c>
      <c r="K159" s="162">
        <f>F4A!K159+F4B!K159</f>
        <v>329.117639</v>
      </c>
      <c r="L159" s="162">
        <f>F4A!L159+F4B!L159</f>
        <v>309.05405100000007</v>
      </c>
      <c r="M159" s="162">
        <f>F4A!M159+F4B!M159</f>
        <v>262.97836800000005</v>
      </c>
      <c r="N159" s="162">
        <f>F4A!N159+F4B!N159</f>
        <v>236.54878200000002</v>
      </c>
      <c r="O159" s="162">
        <f>F4A!O159+F4B!O159</f>
        <v>246.71503300000001</v>
      </c>
      <c r="P159" s="162">
        <f>F4A!P159+F4B!P159</f>
        <v>257.23450200000002</v>
      </c>
      <c r="Q159" s="167">
        <f t="shared" si="9"/>
        <v>3769.4315569999999</v>
      </c>
      <c r="R159" s="166"/>
      <c r="S159" s="166"/>
    </row>
    <row r="160" spans="3:19" hidden="1" x14ac:dyDescent="0.25">
      <c r="C160" s="17" t="s">
        <v>174</v>
      </c>
      <c r="D160" s="17" t="s">
        <v>175</v>
      </c>
      <c r="E160" s="162">
        <f>F4A!E160+F4B!E160</f>
        <v>35.176163000000003</v>
      </c>
      <c r="F160" s="162">
        <f>F4A!F160+F4B!F160</f>
        <v>53.605699000000008</v>
      </c>
      <c r="G160" s="162">
        <f>F4A!G160+F4B!G160</f>
        <v>72.327473000000012</v>
      </c>
      <c r="H160" s="162">
        <f>F4A!H160+F4B!H160</f>
        <v>60.488019700000002</v>
      </c>
      <c r="I160" s="162">
        <f>F4A!I160+F4B!I160</f>
        <v>56.282000000000004</v>
      </c>
      <c r="J160" s="162">
        <f>F4A!J160+F4B!J160</f>
        <v>49.557588000000003</v>
      </c>
      <c r="K160" s="162">
        <f>F4A!K160+F4B!K160</f>
        <v>53.151333000000001</v>
      </c>
      <c r="L160" s="162">
        <f>F4A!L160+F4B!L160</f>
        <v>55.091808999999998</v>
      </c>
      <c r="M160" s="162">
        <f>F4A!M160+F4B!M160</f>
        <v>52.085960999999998</v>
      </c>
      <c r="N160" s="162">
        <f>F4A!N160+F4B!N160</f>
        <v>52.334663999999997</v>
      </c>
      <c r="O160" s="162">
        <f>F4A!O160+F4B!O160</f>
        <v>53.860999999999997</v>
      </c>
      <c r="P160" s="162">
        <f>F4A!P160+F4B!P160</f>
        <v>55.022025000000006</v>
      </c>
      <c r="Q160" s="167">
        <f t="shared" si="9"/>
        <v>648.98373470000001</v>
      </c>
      <c r="R160" s="166"/>
      <c r="S160" s="166"/>
    </row>
    <row r="161" spans="3:19" hidden="1" x14ac:dyDescent="0.25">
      <c r="C161" s="17" t="s">
        <v>176</v>
      </c>
      <c r="D161" s="17" t="s">
        <v>177</v>
      </c>
      <c r="E161" s="162">
        <f>F4A!E161+F4B!E161</f>
        <v>11.298350000000001</v>
      </c>
      <c r="F161" s="162">
        <f>F4A!F161+F4B!F161</f>
        <v>30.92435369</v>
      </c>
      <c r="G161" s="162">
        <f>F4A!G161+F4B!G161</f>
        <v>17.304302999999997</v>
      </c>
      <c r="H161" s="162">
        <f>F4A!H161+F4B!H161</f>
        <v>17.803953</v>
      </c>
      <c r="I161" s="162">
        <f>F4A!I161+F4B!I161</f>
        <v>16.564038000000004</v>
      </c>
      <c r="J161" s="162">
        <f>F4A!J161+F4B!J161</f>
        <v>15.126946000000002</v>
      </c>
      <c r="K161" s="162">
        <f>F4A!K161+F4B!K161</f>
        <v>16.9489695</v>
      </c>
      <c r="L161" s="162">
        <f>F4A!L161+F4B!L161</f>
        <v>17.702435500000004</v>
      </c>
      <c r="M161" s="162">
        <f>F4A!M161+F4B!M161</f>
        <v>24.540845832999999</v>
      </c>
      <c r="N161" s="162">
        <f>F4A!N161+F4B!N161</f>
        <v>29.408604500000006</v>
      </c>
      <c r="O161" s="162">
        <f>F4A!O161+F4B!O161</f>
        <v>26.233616499999997</v>
      </c>
      <c r="P161" s="162">
        <f>F4A!P161+F4B!P161</f>
        <v>22.138976499999998</v>
      </c>
      <c r="Q161" s="167">
        <f t="shared" si="9"/>
        <v>245.99539202300002</v>
      </c>
      <c r="R161" s="166"/>
      <c r="S161" s="166"/>
    </row>
    <row r="162" spans="3:19" hidden="1" x14ac:dyDescent="0.25">
      <c r="C162" s="17" t="s">
        <v>178</v>
      </c>
      <c r="D162" s="17" t="s">
        <v>179</v>
      </c>
      <c r="E162" s="162">
        <f>F4A!E162+F4B!E162</f>
        <v>0.33437699999999992</v>
      </c>
      <c r="F162" s="162">
        <f>F4A!F162+F4B!F162</f>
        <v>1.063121</v>
      </c>
      <c r="G162" s="162">
        <f>F4A!G162+F4B!G162</f>
        <v>0.57316000000000011</v>
      </c>
      <c r="H162" s="162">
        <f>F4A!H162+F4B!H162</f>
        <v>0.65056400000000003</v>
      </c>
      <c r="I162" s="162">
        <f>F4A!I162+F4B!I162</f>
        <v>0.68563200000000013</v>
      </c>
      <c r="J162" s="162">
        <f>F4A!J162+F4B!J162</f>
        <v>0.65619200000000011</v>
      </c>
      <c r="K162" s="162">
        <f>F4A!K162+F4B!K162</f>
        <v>0.67054900000000006</v>
      </c>
      <c r="L162" s="162">
        <f>F4A!L162+F4B!L162</f>
        <v>0.64065400000000017</v>
      </c>
      <c r="M162" s="162">
        <f>F4A!M162+F4B!M162</f>
        <v>0.6086950000000001</v>
      </c>
      <c r="N162" s="162">
        <f>F4A!N162+F4B!N162</f>
        <v>0.64811499999999989</v>
      </c>
      <c r="O162" s="162">
        <f>F4A!O162+F4B!O162</f>
        <v>0.63627100000000003</v>
      </c>
      <c r="P162" s="162">
        <f>F4A!P162+F4B!P162</f>
        <v>0.6115020000000001</v>
      </c>
      <c r="Q162" s="167">
        <f t="shared" si="9"/>
        <v>7.7788320000000004</v>
      </c>
      <c r="R162" s="166"/>
      <c r="S162" s="166"/>
    </row>
    <row r="163" spans="3:19" hidden="1" x14ac:dyDescent="0.25">
      <c r="C163" s="17" t="s">
        <v>180</v>
      </c>
      <c r="D163" s="17" t="s">
        <v>181</v>
      </c>
      <c r="E163" s="162">
        <f>F4A!E163+F4B!E163</f>
        <v>624.1913486553259</v>
      </c>
      <c r="F163" s="162">
        <f>F4A!F163+F4B!F163</f>
        <v>314.57673899999998</v>
      </c>
      <c r="G163" s="162">
        <f>F4A!G163+F4B!G163</f>
        <v>280.79460809699998</v>
      </c>
      <c r="H163" s="162">
        <f>F4A!H163+F4B!H163</f>
        <v>692.3452537154966</v>
      </c>
      <c r="I163" s="162">
        <f>F4A!I163+F4B!I163</f>
        <v>463.42997005184077</v>
      </c>
      <c r="J163" s="162">
        <f>F4A!J163+F4B!J163</f>
        <v>603.20720335099998</v>
      </c>
      <c r="K163" s="162">
        <f>F4A!K163+F4B!K163</f>
        <v>378.06094000000007</v>
      </c>
      <c r="L163" s="162">
        <f>F4A!L163+F4B!L163</f>
        <v>283.10512799999998</v>
      </c>
      <c r="M163" s="162">
        <f>F4A!M163+F4B!M163</f>
        <v>749.01518999999985</v>
      </c>
      <c r="N163" s="162">
        <f>F4A!N163+F4B!N163</f>
        <v>1057.9919984700002</v>
      </c>
      <c r="O163" s="162">
        <f>F4A!O163+F4B!O163</f>
        <v>946.61866032589</v>
      </c>
      <c r="P163" s="162">
        <f>F4A!P163+F4B!P163</f>
        <v>1510.68239857411</v>
      </c>
      <c r="Q163" s="167">
        <f t="shared" si="9"/>
        <v>7904.0194382406644</v>
      </c>
      <c r="R163" s="166"/>
      <c r="S163" s="166"/>
    </row>
    <row r="164" spans="3:19" hidden="1" x14ac:dyDescent="0.25">
      <c r="C164" s="17" t="s">
        <v>182</v>
      </c>
      <c r="D164" s="17" t="s">
        <v>183</v>
      </c>
      <c r="E164" s="162">
        <f>F4A!E164+F4B!E164</f>
        <v>27.912628999999995</v>
      </c>
      <c r="F164" s="162">
        <f>F4A!F164+F4B!F164</f>
        <v>27.897113000000001</v>
      </c>
      <c r="G164" s="162">
        <f>F4A!G164+F4B!G164</f>
        <v>21.340533999999998</v>
      </c>
      <c r="H164" s="162">
        <f>F4A!H164+F4B!H164</f>
        <v>28.68272</v>
      </c>
      <c r="I164" s="162">
        <f>F4A!I164+F4B!I164</f>
        <v>28.291920999999999</v>
      </c>
      <c r="J164" s="162">
        <f>F4A!J164+F4B!J164</f>
        <v>25.611475999999996</v>
      </c>
      <c r="K164" s="162">
        <f>F4A!K164+F4B!K164</f>
        <v>24.822144999999999</v>
      </c>
      <c r="L164" s="162">
        <f>F4A!L164+F4B!L164</f>
        <v>26.713840999999999</v>
      </c>
      <c r="M164" s="162">
        <f>F4A!M164+F4B!M164</f>
        <v>26.874872000000003</v>
      </c>
      <c r="N164" s="162">
        <f>F4A!N164+F4B!N164</f>
        <v>28.519701000000005</v>
      </c>
      <c r="O164" s="162">
        <f>F4A!O164+F4B!O164</f>
        <v>28.753270999999998</v>
      </c>
      <c r="P164" s="162">
        <f>F4A!P164+F4B!P164</f>
        <v>26.891283999999999</v>
      </c>
      <c r="Q164" s="167">
        <f t="shared" si="9"/>
        <v>322.31150699999995</v>
      </c>
      <c r="R164" s="166"/>
      <c r="S164" s="166"/>
    </row>
    <row r="165" spans="3:19" hidden="1" x14ac:dyDescent="0.25">
      <c r="C165" s="17" t="s">
        <v>184</v>
      </c>
      <c r="D165" s="17" t="s">
        <v>185</v>
      </c>
      <c r="E165" s="162">
        <f>F4A!E165+F4B!E165</f>
        <v>2.6896989999999996</v>
      </c>
      <c r="F165" s="162">
        <f>F4A!F165+F4B!F165</f>
        <v>2.2072579999999995</v>
      </c>
      <c r="G165" s="162">
        <f>F4A!G165+F4B!G165</f>
        <v>3.2276069999999999</v>
      </c>
      <c r="H165" s="162">
        <f>F4A!H165+F4B!H165</f>
        <v>2.5312039999999998</v>
      </c>
      <c r="I165" s="162">
        <f>F4A!I165+F4B!I165</f>
        <v>2.3262549999999997</v>
      </c>
      <c r="J165" s="162">
        <f>F4A!J165+F4B!J165</f>
        <v>1.4563630000000001</v>
      </c>
      <c r="K165" s="162">
        <f>F4A!K165+F4B!K165</f>
        <v>1.857291</v>
      </c>
      <c r="L165" s="162">
        <f>F4A!L165+F4B!L165</f>
        <v>1.810352</v>
      </c>
      <c r="M165" s="162">
        <f>F4A!M165+F4B!M165</f>
        <v>1.7571650000000001</v>
      </c>
      <c r="N165" s="162">
        <f>F4A!N165+F4B!N165</f>
        <v>1.8028659999999999</v>
      </c>
      <c r="O165" s="162">
        <f>F4A!O165+F4B!O165</f>
        <v>1.997449</v>
      </c>
      <c r="P165" s="162">
        <f>F4A!P165+F4B!P165</f>
        <v>3.3781499999999998</v>
      </c>
      <c r="Q165" s="167">
        <f t="shared" si="9"/>
        <v>27.041659000000003</v>
      </c>
      <c r="R165" s="166"/>
      <c r="S165" s="166"/>
    </row>
    <row r="166" spans="3:19" hidden="1" x14ac:dyDescent="0.25">
      <c r="C166" s="17" t="s">
        <v>186</v>
      </c>
      <c r="D166" s="17" t="s">
        <v>187</v>
      </c>
      <c r="E166" s="162">
        <f>F4A!E166+F4B!E166</f>
        <v>7.8401999999999999E-2</v>
      </c>
      <c r="F166" s="162">
        <f>F4A!F166+F4B!F166</f>
        <v>0.21665699999999999</v>
      </c>
      <c r="G166" s="162">
        <f>F4A!G166+F4B!G166</f>
        <v>0.57315500000000008</v>
      </c>
      <c r="H166" s="162">
        <f>F4A!H166+F4B!H166</f>
        <v>-0.21894000000000002</v>
      </c>
      <c r="I166" s="162">
        <f>F4A!I166+F4B!I166</f>
        <v>0.15238699999999999</v>
      </c>
      <c r="J166" s="162">
        <f>F4A!J166+F4B!J166</f>
        <v>0.154304</v>
      </c>
      <c r="K166" s="162">
        <f>F4A!K166+F4B!K166</f>
        <v>0.17577399999999999</v>
      </c>
      <c r="L166" s="162">
        <f>F4A!L166+F4B!L166</f>
        <v>0.18290299999999998</v>
      </c>
      <c r="M166" s="162">
        <f>F4A!M166+F4B!M166</f>
        <v>0.17532400000000001</v>
      </c>
      <c r="N166" s="162">
        <f>F4A!N166+F4B!N166</f>
        <v>0.23052999999999998</v>
      </c>
      <c r="O166" s="162">
        <f>F4A!O166+F4B!O166</f>
        <v>0.33547400000000005</v>
      </c>
      <c r="P166" s="162">
        <f>F4A!P166+F4B!P166</f>
        <v>0.20351900000000003</v>
      </c>
      <c r="Q166" s="167">
        <f t="shared" si="9"/>
        <v>2.2594890000000003</v>
      </c>
      <c r="R166" s="166"/>
      <c r="S166" s="166"/>
    </row>
    <row r="167" spans="3:19" hidden="1" x14ac:dyDescent="0.25">
      <c r="C167" s="17" t="s">
        <v>188</v>
      </c>
      <c r="D167" s="17" t="s">
        <v>189</v>
      </c>
      <c r="E167" s="162">
        <f>F4A!E167+F4B!E167</f>
        <v>0</v>
      </c>
      <c r="F167" s="162">
        <f>F4A!F167+F4B!F167</f>
        <v>0</v>
      </c>
      <c r="G167" s="162">
        <f>F4A!G167+F4B!G167</f>
        <v>0</v>
      </c>
      <c r="H167" s="162">
        <f>F4A!H167+F4B!H167</f>
        <v>0</v>
      </c>
      <c r="I167" s="162">
        <f>F4A!I167+F4B!I167</f>
        <v>0</v>
      </c>
      <c r="J167" s="162">
        <f>F4A!J167+F4B!J167</f>
        <v>0</v>
      </c>
      <c r="K167" s="162">
        <f>F4A!K167+F4B!K167</f>
        <v>0</v>
      </c>
      <c r="L167" s="162">
        <f>F4A!L167+F4B!L167</f>
        <v>0</v>
      </c>
      <c r="M167" s="162">
        <f>F4A!M167+F4B!M167</f>
        <v>0</v>
      </c>
      <c r="N167" s="162">
        <f>F4A!N167+F4B!N167</f>
        <v>0</v>
      </c>
      <c r="O167" s="162">
        <f>F4A!O167+F4B!O167</f>
        <v>0</v>
      </c>
      <c r="P167" s="162">
        <f>F4A!P167+F4B!P167</f>
        <v>0</v>
      </c>
      <c r="Q167" s="167">
        <f t="shared" si="9"/>
        <v>0</v>
      </c>
      <c r="R167" s="166"/>
      <c r="S167" s="166"/>
    </row>
    <row r="168" spans="3:19" hidden="1" x14ac:dyDescent="0.25">
      <c r="C168" s="17"/>
      <c r="D168" s="17"/>
      <c r="E168" s="162">
        <f>F4A!E168+F4B!E168</f>
        <v>0</v>
      </c>
      <c r="F168" s="162">
        <f>F4A!F168+F4B!F168</f>
        <v>0</v>
      </c>
      <c r="G168" s="162">
        <f>F4A!G168+F4B!G168</f>
        <v>0</v>
      </c>
      <c r="H168" s="162">
        <f>F4A!H168+F4B!H168</f>
        <v>0</v>
      </c>
      <c r="I168" s="162">
        <f>F4A!I168+F4B!I168</f>
        <v>0</v>
      </c>
      <c r="J168" s="162">
        <f>F4A!J168+F4B!J168</f>
        <v>0</v>
      </c>
      <c r="K168" s="162">
        <f>F4A!K168+F4B!K168</f>
        <v>0</v>
      </c>
      <c r="L168" s="162">
        <f>F4A!L168+F4B!L168</f>
        <v>0</v>
      </c>
      <c r="M168" s="162">
        <f>F4A!M168+F4B!M168</f>
        <v>0</v>
      </c>
      <c r="N168" s="162">
        <f>F4A!N168+F4B!N168</f>
        <v>0</v>
      </c>
      <c r="O168" s="162">
        <f>F4A!O168+F4B!O168</f>
        <v>0</v>
      </c>
      <c r="P168" s="162">
        <f>F4A!P168+F4B!P168</f>
        <v>0</v>
      </c>
      <c r="Q168" s="167">
        <f t="shared" si="9"/>
        <v>0</v>
      </c>
      <c r="R168" s="166"/>
      <c r="S168" s="166"/>
    </row>
    <row r="169" spans="3:19" hidden="1" x14ac:dyDescent="0.25">
      <c r="C169" s="17"/>
      <c r="D169" s="17"/>
      <c r="E169" s="162">
        <f>F4A!E169+F4B!E169</f>
        <v>0</v>
      </c>
      <c r="F169" s="162">
        <f>F4A!F169+F4B!F169</f>
        <v>0</v>
      </c>
      <c r="G169" s="162">
        <f>F4A!G169+F4B!G169</f>
        <v>0</v>
      </c>
      <c r="H169" s="162">
        <f>F4A!H169+F4B!H169</f>
        <v>0</v>
      </c>
      <c r="I169" s="162">
        <f>F4A!I169+F4B!I169</f>
        <v>0</v>
      </c>
      <c r="J169" s="162">
        <f>F4A!J169+F4B!J169</f>
        <v>0</v>
      </c>
      <c r="K169" s="162">
        <f>F4A!K169+F4B!K169</f>
        <v>0</v>
      </c>
      <c r="L169" s="162">
        <f>F4A!L169+F4B!L169</f>
        <v>0</v>
      </c>
      <c r="M169" s="162">
        <f>F4A!M169+F4B!M169</f>
        <v>0</v>
      </c>
      <c r="N169" s="162">
        <f>F4A!N169+F4B!N169</f>
        <v>0</v>
      </c>
      <c r="O169" s="162">
        <f>F4A!O169+F4B!O169</f>
        <v>0</v>
      </c>
      <c r="P169" s="162">
        <f>F4A!P169+F4B!P169</f>
        <v>0</v>
      </c>
      <c r="Q169" s="167">
        <f t="shared" si="9"/>
        <v>0</v>
      </c>
      <c r="R169" s="166"/>
      <c r="S169" s="166"/>
    </row>
    <row r="170" spans="3:19" hidden="1" x14ac:dyDescent="0.25">
      <c r="C170" s="17"/>
      <c r="D170" s="17"/>
      <c r="E170" s="162">
        <f>F4A!E170+F4B!E170</f>
        <v>0</v>
      </c>
      <c r="F170" s="162">
        <f>F4A!F170+F4B!F170</f>
        <v>0</v>
      </c>
      <c r="G170" s="162">
        <f>F4A!G170+F4B!G170</f>
        <v>0</v>
      </c>
      <c r="H170" s="162">
        <f>F4A!H170+F4B!H170</f>
        <v>0</v>
      </c>
      <c r="I170" s="162">
        <f>F4A!I170+F4B!I170</f>
        <v>0</v>
      </c>
      <c r="J170" s="162">
        <f>F4A!J170+F4B!J170</f>
        <v>0</v>
      </c>
      <c r="K170" s="162">
        <f>F4A!K170+F4B!K170</f>
        <v>0</v>
      </c>
      <c r="L170" s="162">
        <f>F4A!L170+F4B!L170</f>
        <v>0</v>
      </c>
      <c r="M170" s="162">
        <f>F4A!M170+F4B!M170</f>
        <v>0</v>
      </c>
      <c r="N170" s="162">
        <f>F4A!N170+F4B!N170</f>
        <v>0</v>
      </c>
      <c r="O170" s="162">
        <f>F4A!O170+F4B!O170</f>
        <v>0</v>
      </c>
      <c r="P170" s="162">
        <f>F4A!P170+F4B!P170</f>
        <v>0</v>
      </c>
      <c r="Q170" s="167">
        <f t="shared" si="9"/>
        <v>0</v>
      </c>
      <c r="R170" s="166"/>
      <c r="S170" s="166"/>
    </row>
    <row r="171" spans="3:19" hidden="1" x14ac:dyDescent="0.25">
      <c r="C171" s="17" t="s">
        <v>226</v>
      </c>
      <c r="D171" s="17" t="s">
        <v>226</v>
      </c>
      <c r="E171" s="162">
        <f>F4A!E171+F4B!E171</f>
        <v>0</v>
      </c>
      <c r="F171" s="162">
        <f>F4A!F171+F4B!F171</f>
        <v>0</v>
      </c>
      <c r="G171" s="162">
        <f>F4A!G171+F4B!G171</f>
        <v>0</v>
      </c>
      <c r="H171" s="162">
        <f>F4A!H171+F4B!H171</f>
        <v>0</v>
      </c>
      <c r="I171" s="162">
        <f>F4A!I171+F4B!I171</f>
        <v>0</v>
      </c>
      <c r="J171" s="162">
        <f>F4A!J171+F4B!J171</f>
        <v>0</v>
      </c>
      <c r="K171" s="162">
        <f>F4A!K171+F4B!K171</f>
        <v>0</v>
      </c>
      <c r="L171" s="162">
        <f>F4A!L171+F4B!L171</f>
        <v>0</v>
      </c>
      <c r="M171" s="162">
        <f>F4A!M171+F4B!M171</f>
        <v>0</v>
      </c>
      <c r="N171" s="162">
        <f>F4A!N171+F4B!N171</f>
        <v>0</v>
      </c>
      <c r="O171" s="162">
        <f>F4A!O171+F4B!O171</f>
        <v>0</v>
      </c>
      <c r="P171" s="162">
        <f>F4A!P171+F4B!P171</f>
        <v>0</v>
      </c>
      <c r="Q171" s="167">
        <f t="shared" si="9"/>
        <v>0</v>
      </c>
      <c r="R171" s="166"/>
      <c r="S171" s="166"/>
    </row>
    <row r="172" spans="3:19" hidden="1" x14ac:dyDescent="0.25">
      <c r="C172" s="751" t="s">
        <v>190</v>
      </c>
      <c r="D172" s="752"/>
      <c r="E172" s="167">
        <f t="shared" ref="E172:P172" si="10">SUM(E159:E171)</f>
        <v>1013.527117655326</v>
      </c>
      <c r="F172" s="167">
        <f t="shared" si="10"/>
        <v>809.52944868999998</v>
      </c>
      <c r="G172" s="167">
        <f t="shared" si="10"/>
        <v>766.75084009700015</v>
      </c>
      <c r="H172" s="167">
        <f t="shared" si="10"/>
        <v>1164.7369244154966</v>
      </c>
      <c r="I172" s="167">
        <f t="shared" si="10"/>
        <v>944.55021005184062</v>
      </c>
      <c r="J172" s="167">
        <f t="shared" si="10"/>
        <v>1022.786440351</v>
      </c>
      <c r="K172" s="167">
        <f t="shared" si="10"/>
        <v>804.80464050000012</v>
      </c>
      <c r="L172" s="167">
        <f t="shared" si="10"/>
        <v>694.3011735</v>
      </c>
      <c r="M172" s="167">
        <f t="shared" si="10"/>
        <v>1118.036420833</v>
      </c>
      <c r="N172" s="167">
        <f t="shared" si="10"/>
        <v>1407.4852609700001</v>
      </c>
      <c r="O172" s="167">
        <f t="shared" si="10"/>
        <v>1305.15077482589</v>
      </c>
      <c r="P172" s="167">
        <f t="shared" si="10"/>
        <v>1876.1623570741099</v>
      </c>
      <c r="Q172" s="167">
        <f t="shared" si="9"/>
        <v>12927.821608963664</v>
      </c>
      <c r="R172" s="166"/>
      <c r="S172" s="166"/>
    </row>
    <row r="173" spans="3:19" hidden="1" x14ac:dyDescent="0.25">
      <c r="C173" s="753" t="s">
        <v>191</v>
      </c>
      <c r="D173" s="754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7">
        <f t="shared" si="9"/>
        <v>0</v>
      </c>
      <c r="R173" s="166"/>
      <c r="S173" s="166"/>
    </row>
    <row r="174" spans="3:19" hidden="1" x14ac:dyDescent="0.25">
      <c r="C174" s="17" t="s">
        <v>192</v>
      </c>
      <c r="D174" s="17" t="s">
        <v>193</v>
      </c>
      <c r="E174" s="162">
        <f>F4A!E174+F4B!E174</f>
        <v>32.037228380000016</v>
      </c>
      <c r="F174" s="162">
        <f>F4A!F174+F4B!F174</f>
        <v>34.631701579999998</v>
      </c>
      <c r="G174" s="162">
        <f>F4A!G174+F4B!G174</f>
        <v>45.791985260000033</v>
      </c>
      <c r="H174" s="162">
        <f>F4A!H174+F4B!H174</f>
        <v>56.663668990000033</v>
      </c>
      <c r="I174" s="162">
        <f>F4A!I174+F4B!I174</f>
        <v>62.371997399999813</v>
      </c>
      <c r="J174" s="162">
        <f>F4A!J174+F4B!J174</f>
        <v>68.961149320000033</v>
      </c>
      <c r="K174" s="162">
        <f>F4A!K174+F4B!K174</f>
        <v>123.36903284999995</v>
      </c>
      <c r="L174" s="162">
        <f>F4A!L174+F4B!L174</f>
        <v>79.717829880000039</v>
      </c>
      <c r="M174" s="162">
        <f>F4A!M174+F4B!M174</f>
        <v>86.918338105000018</v>
      </c>
      <c r="N174" s="162">
        <f>F4A!N174+F4B!N174</f>
        <v>74.379382728333368</v>
      </c>
      <c r="O174" s="162">
        <f>F4A!O174+F4B!O174</f>
        <v>71.610245478333383</v>
      </c>
      <c r="P174" s="162">
        <f>F4A!P174+F4B!P174</f>
        <v>35.182592068664427</v>
      </c>
      <c r="Q174" s="167">
        <f t="shared" si="9"/>
        <v>771.63515204033104</v>
      </c>
      <c r="R174" s="166"/>
      <c r="S174" s="166"/>
    </row>
    <row r="175" spans="3:19" hidden="1" x14ac:dyDescent="0.25">
      <c r="C175" s="17" t="s">
        <v>194</v>
      </c>
      <c r="D175" s="17" t="s">
        <v>195</v>
      </c>
      <c r="E175" s="162">
        <f>F4A!E175+F4B!E175</f>
        <v>0</v>
      </c>
      <c r="F175" s="162">
        <f>F4A!F175+F4B!F175</f>
        <v>0</v>
      </c>
      <c r="G175" s="162">
        <f>F4A!G175+F4B!G175</f>
        <v>0</v>
      </c>
      <c r="H175" s="162">
        <f>F4A!H175+F4B!H175</f>
        <v>0</v>
      </c>
      <c r="I175" s="162">
        <f>F4A!I175+F4B!I175</f>
        <v>0</v>
      </c>
      <c r="J175" s="162">
        <f>F4A!J175+F4B!J175</f>
        <v>0</v>
      </c>
      <c r="K175" s="162">
        <f>F4A!K175+F4B!K175</f>
        <v>0</v>
      </c>
      <c r="L175" s="162">
        <f>F4A!L175+F4B!L175</f>
        <v>0</v>
      </c>
      <c r="M175" s="162">
        <f>F4A!M175+F4B!M175</f>
        <v>0</v>
      </c>
      <c r="N175" s="162">
        <f>F4A!N175+F4B!N175</f>
        <v>0</v>
      </c>
      <c r="O175" s="162">
        <f>F4A!O175+F4B!O175</f>
        <v>0</v>
      </c>
      <c r="P175" s="162">
        <f>F4A!P175+F4B!P175</f>
        <v>0</v>
      </c>
      <c r="Q175" s="167">
        <f t="shared" si="9"/>
        <v>0</v>
      </c>
      <c r="R175" s="166"/>
      <c r="S175" s="166"/>
    </row>
    <row r="176" spans="3:19" hidden="1" x14ac:dyDescent="0.25">
      <c r="C176" s="17" t="s">
        <v>233</v>
      </c>
      <c r="D176" s="17" t="s">
        <v>197</v>
      </c>
      <c r="E176" s="162">
        <f>F4A!E176+F4B!E176</f>
        <v>5.8179927500000002</v>
      </c>
      <c r="F176" s="162">
        <f>F4A!F176+F4B!F176</f>
        <v>7.0237724000000004</v>
      </c>
      <c r="G176" s="162">
        <f>F4A!G176+F4B!G176</f>
        <v>9.1010533500000008</v>
      </c>
      <c r="H176" s="162">
        <f>F4A!H176+F4B!H176</f>
        <v>8.086951599999999</v>
      </c>
      <c r="I176" s="162">
        <f>F4A!I176+F4B!I176</f>
        <v>7.7262547300000008</v>
      </c>
      <c r="J176" s="162">
        <f>F4A!J176+F4B!J176</f>
        <v>8.2851254500000007</v>
      </c>
      <c r="K176" s="162">
        <f>F4A!K176+F4B!K176</f>
        <v>8.4932269699999985</v>
      </c>
      <c r="L176" s="162">
        <f>F4A!L176+F4B!L176</f>
        <v>8.4416537699999985</v>
      </c>
      <c r="M176" s="162">
        <f>F4A!M176+F4B!M176</f>
        <v>7.3805216999999992</v>
      </c>
      <c r="N176" s="162">
        <f>F4A!N176+F4B!N176</f>
        <v>7.5312930999999992</v>
      </c>
      <c r="O176" s="162">
        <f>F4A!O176+F4B!O176</f>
        <v>8.6311232199999992</v>
      </c>
      <c r="P176" s="162">
        <f>F4A!P176+F4B!P176</f>
        <v>9.5028571500000005</v>
      </c>
      <c r="Q176" s="167">
        <f t="shared" si="9"/>
        <v>96.021826189999999</v>
      </c>
      <c r="R176" s="166"/>
      <c r="S176" s="166"/>
    </row>
    <row r="177" spans="3:19" hidden="1" x14ac:dyDescent="0.25">
      <c r="C177" s="17" t="s">
        <v>198</v>
      </c>
      <c r="D177" s="17" t="s">
        <v>199</v>
      </c>
      <c r="E177" s="162">
        <f>F4A!E177+F4B!E177</f>
        <v>0</v>
      </c>
      <c r="F177" s="162">
        <f>F4A!F177+F4B!F177</f>
        <v>0</v>
      </c>
      <c r="G177" s="162">
        <f>F4A!G177+F4B!G177</f>
        <v>0</v>
      </c>
      <c r="H177" s="162">
        <f>F4A!H177+F4B!H177</f>
        <v>0</v>
      </c>
      <c r="I177" s="162">
        <f>F4A!I177+F4B!I177</f>
        <v>0</v>
      </c>
      <c r="J177" s="162">
        <f>F4A!J177+F4B!J177</f>
        <v>0</v>
      </c>
      <c r="K177" s="162">
        <f>F4A!K177+F4B!K177</f>
        <v>0</v>
      </c>
      <c r="L177" s="162">
        <f>F4A!L177+F4B!L177</f>
        <v>0</v>
      </c>
      <c r="M177" s="162">
        <f>F4A!M177+F4B!M177</f>
        <v>0</v>
      </c>
      <c r="N177" s="162">
        <f>F4A!N177+F4B!N177</f>
        <v>0</v>
      </c>
      <c r="O177" s="162">
        <f>F4A!O177+F4B!O177</f>
        <v>0</v>
      </c>
      <c r="P177" s="162">
        <f>F4A!P177+F4B!P177</f>
        <v>0</v>
      </c>
      <c r="Q177" s="167">
        <f t="shared" si="9"/>
        <v>0</v>
      </c>
      <c r="R177" s="166"/>
      <c r="S177" s="166"/>
    </row>
    <row r="178" spans="3:19" hidden="1" x14ac:dyDescent="0.25">
      <c r="C178" s="17" t="s">
        <v>200</v>
      </c>
      <c r="D178" s="17" t="s">
        <v>201</v>
      </c>
      <c r="E178" s="162">
        <f>F4A!E178+F4B!E178</f>
        <v>0.53764400000000001</v>
      </c>
      <c r="F178" s="162">
        <f>F4A!F178+F4B!F178</f>
        <v>0.55998400000000004</v>
      </c>
      <c r="G178" s="162">
        <f>F4A!G178+F4B!G178</f>
        <v>0.58434600000000003</v>
      </c>
      <c r="H178" s="162">
        <f>F4A!H178+F4B!H178</f>
        <v>0.532663</v>
      </c>
      <c r="I178" s="162">
        <f>F4A!I178+F4B!I178</f>
        <v>0.52655300000000005</v>
      </c>
      <c r="J178" s="162">
        <f>F4A!J178+F4B!J178</f>
        <v>0.532945</v>
      </c>
      <c r="K178" s="162">
        <f>F4A!K178+F4B!K178</f>
        <v>0.52189799999999997</v>
      </c>
      <c r="L178" s="162">
        <f>F4A!L178+F4B!L178</f>
        <v>0.49521499999999996</v>
      </c>
      <c r="M178" s="162">
        <f>F4A!M178+F4B!M178</f>
        <v>0.46724500000000002</v>
      </c>
      <c r="N178" s="162">
        <f>F4A!N178+F4B!N178</f>
        <v>0.45640899999999995</v>
      </c>
      <c r="O178" s="162">
        <f>F4A!O178+F4B!O178</f>
        <v>0.49933400000000006</v>
      </c>
      <c r="P178" s="162">
        <f>F4A!P178+F4B!P178</f>
        <v>0.48656600000000005</v>
      </c>
      <c r="Q178" s="167">
        <f t="shared" si="9"/>
        <v>6.2008020000000004</v>
      </c>
      <c r="R178" s="166"/>
      <c r="S178" s="166"/>
    </row>
    <row r="179" spans="3:19" hidden="1" x14ac:dyDescent="0.25">
      <c r="C179" s="17" t="s">
        <v>202</v>
      </c>
      <c r="D179" s="17" t="s">
        <v>203</v>
      </c>
      <c r="E179" s="162">
        <f>F4A!E179+F4B!E179</f>
        <v>4.8261699099999849</v>
      </c>
      <c r="F179" s="162">
        <f>F4A!F179+F4B!F179</f>
        <v>0.97720500000001054</v>
      </c>
      <c r="G179" s="162">
        <f>F4A!G179+F4B!G179</f>
        <v>0.72237499999999233</v>
      </c>
      <c r="H179" s="162">
        <f>F4A!H179+F4B!H179</f>
        <v>1.8892469099999805</v>
      </c>
      <c r="I179" s="162">
        <f>F4A!I179+F4B!I179</f>
        <v>2.7376400000001602</v>
      </c>
      <c r="J179" s="162">
        <f>F4A!J179+F4B!J179</f>
        <v>2.4940890000000002</v>
      </c>
      <c r="K179" s="162">
        <f>F4A!K179+F4B!K179</f>
        <v>1.1308950000000035</v>
      </c>
      <c r="L179" s="162">
        <f>F4A!L179+F4B!L179</f>
        <v>1.3840512500000113</v>
      </c>
      <c r="M179" s="162">
        <f>F4A!M179+F4B!M179</f>
        <v>1.5312244999999989</v>
      </c>
      <c r="N179" s="162">
        <f>F4A!N179+F4B!N179</f>
        <v>4.1464109999999916</v>
      </c>
      <c r="O179" s="162">
        <f>F4A!O179+F4B!O179</f>
        <v>5.5994969999999551</v>
      </c>
      <c r="P179" s="162">
        <f>F4A!P179+F4B!P179</f>
        <v>5.9826660000000054</v>
      </c>
      <c r="Q179" s="167">
        <f t="shared" si="9"/>
        <v>33.421470570000096</v>
      </c>
      <c r="R179" s="166"/>
      <c r="S179" s="166"/>
    </row>
    <row r="180" spans="3:19" hidden="1" x14ac:dyDescent="0.25">
      <c r="C180" s="17" t="s">
        <v>204</v>
      </c>
      <c r="D180" s="17" t="s">
        <v>205</v>
      </c>
      <c r="E180" s="162">
        <f>F4A!E180+F4B!E180</f>
        <v>11.0481835</v>
      </c>
      <c r="F180" s="162">
        <f>F4A!F180+F4B!F180</f>
        <v>10.826720999999999</v>
      </c>
      <c r="G180" s="162">
        <f>F4A!G180+F4B!G180</f>
        <v>11.760232</v>
      </c>
      <c r="H180" s="162">
        <f>F4A!H180+F4B!H180</f>
        <v>11.0379413</v>
      </c>
      <c r="I180" s="162">
        <f>F4A!I180+F4B!I180</f>
        <v>11.311246000000001</v>
      </c>
      <c r="J180" s="162">
        <f>F4A!J180+F4B!J180</f>
        <v>11.106309</v>
      </c>
      <c r="K180" s="162">
        <f>F4A!K180+F4B!K180</f>
        <v>11.230182449999999</v>
      </c>
      <c r="L180" s="162">
        <f>F4A!L180+F4B!L180</f>
        <v>12.053718999999999</v>
      </c>
      <c r="M180" s="162">
        <f>F4A!M180+F4B!M180</f>
        <v>11.853188250000001</v>
      </c>
      <c r="N180" s="162">
        <f>F4A!N180+F4B!N180</f>
        <v>11.88758595</v>
      </c>
      <c r="O180" s="162">
        <f>F4A!O180+F4B!O180</f>
        <v>11.491752999999999</v>
      </c>
      <c r="P180" s="162">
        <f>F4A!P180+F4B!P180</f>
        <v>10.861017</v>
      </c>
      <c r="Q180" s="167">
        <f t="shared" si="9"/>
        <v>136.46807845000001</v>
      </c>
      <c r="R180" s="166"/>
      <c r="S180" s="166"/>
    </row>
    <row r="181" spans="3:19" hidden="1" x14ac:dyDescent="0.25">
      <c r="C181" s="17" t="s">
        <v>206</v>
      </c>
      <c r="D181" s="17" t="s">
        <v>207</v>
      </c>
      <c r="E181" s="162">
        <f>F4A!E181+F4B!E181</f>
        <v>0.75789200000000001</v>
      </c>
      <c r="F181" s="162">
        <f>F4A!F181+F4B!F181</f>
        <v>0.82631500000000002</v>
      </c>
      <c r="G181" s="162">
        <f>F4A!G181+F4B!G181</f>
        <v>0.91620199999999996</v>
      </c>
      <c r="H181" s="162">
        <f>F4A!H181+F4B!H181</f>
        <v>0.84402728000000005</v>
      </c>
      <c r="I181" s="162">
        <f>F4A!I181+F4B!I181</f>
        <v>0.82439200000000001</v>
      </c>
      <c r="J181" s="162">
        <f>F4A!J181+F4B!J181</f>
        <v>0.77902800000000005</v>
      </c>
      <c r="K181" s="162">
        <f>F4A!K181+F4B!K181</f>
        <v>0.77795599999999998</v>
      </c>
      <c r="L181" s="162">
        <f>F4A!L181+F4B!L181</f>
        <v>0.64490999999999998</v>
      </c>
      <c r="M181" s="162">
        <f>F4A!M181+F4B!M181</f>
        <v>0.58454300000000003</v>
      </c>
      <c r="N181" s="162">
        <f>F4A!N181+F4B!N181</f>
        <v>0.58322200000000002</v>
      </c>
      <c r="O181" s="162">
        <f>F4A!O181+F4B!O181</f>
        <v>0.60407200000000005</v>
      </c>
      <c r="P181" s="162">
        <f>F4A!P181+F4B!P181</f>
        <v>0.63801799999999997</v>
      </c>
      <c r="Q181" s="167">
        <f t="shared" si="9"/>
        <v>8.780577280000001</v>
      </c>
      <c r="R181" s="166"/>
      <c r="S181" s="166"/>
    </row>
    <row r="182" spans="3:19" hidden="1" x14ac:dyDescent="0.25">
      <c r="C182" s="17" t="s">
        <v>208</v>
      </c>
      <c r="D182" s="17" t="s">
        <v>187</v>
      </c>
      <c r="E182" s="162">
        <f>F4A!E182+F4B!E182</f>
        <v>2.1111960000000001</v>
      </c>
      <c r="F182" s="162">
        <f>F4A!F182+F4B!F182</f>
        <v>1.9591540000000001</v>
      </c>
      <c r="G182" s="162">
        <f>F4A!G182+F4B!G182</f>
        <v>2.106293</v>
      </c>
      <c r="H182" s="162">
        <f>F4A!H182+F4B!H182</f>
        <v>2.096819</v>
      </c>
      <c r="I182" s="162">
        <f>F4A!I182+F4B!I182</f>
        <v>2.0013839999999998</v>
      </c>
      <c r="J182" s="162">
        <f>F4A!J182+F4B!J182</f>
        <v>2.329666</v>
      </c>
      <c r="K182" s="162">
        <f>F4A!K182+F4B!K182</f>
        <v>2.075796</v>
      </c>
      <c r="L182" s="162">
        <f>F4A!L182+F4B!L182</f>
        <v>2.1038610000000002</v>
      </c>
      <c r="M182" s="162">
        <f>F4A!M182+F4B!M182</f>
        <v>1.881329</v>
      </c>
      <c r="N182" s="162">
        <f>F4A!N182+F4B!N182</f>
        <v>1.7059150000000001</v>
      </c>
      <c r="O182" s="162">
        <f>F4A!O182+F4B!O182</f>
        <v>1.75376</v>
      </c>
      <c r="P182" s="162">
        <f>F4A!P182+F4B!P182</f>
        <v>1.6113960000000001</v>
      </c>
      <c r="Q182" s="167">
        <f t="shared" si="9"/>
        <v>23.736568999999999</v>
      </c>
      <c r="R182" s="166"/>
      <c r="S182" s="166"/>
    </row>
    <row r="183" spans="3:19" hidden="1" x14ac:dyDescent="0.25">
      <c r="C183" s="17" t="s">
        <v>209</v>
      </c>
      <c r="D183" s="17" t="s">
        <v>210</v>
      </c>
      <c r="E183" s="162">
        <f>F4A!E183+F4B!E183</f>
        <v>98.315128000000001</v>
      </c>
      <c r="F183" s="162">
        <f>F4A!F183+F4B!F183</f>
        <v>40.329764470000001</v>
      </c>
      <c r="G183" s="162">
        <f>F4A!G183+F4B!G183</f>
        <v>49.983177659999996</v>
      </c>
      <c r="H183" s="162">
        <f>F4A!H183+F4B!H183</f>
        <v>87.848506</v>
      </c>
      <c r="I183" s="162">
        <f>F4A!I183+F4B!I183</f>
        <v>84.704957870000001</v>
      </c>
      <c r="J183" s="162">
        <f>F4A!J183+F4B!J183</f>
        <v>78.185614000000001</v>
      </c>
      <c r="K183" s="162">
        <f>F4A!K183+F4B!K183</f>
        <v>53.198448999999997</v>
      </c>
      <c r="L183" s="162">
        <f>F4A!L183+F4B!L183</f>
        <v>43.873797000000003</v>
      </c>
      <c r="M183" s="162">
        <f>F4A!M183+F4B!M183</f>
        <v>68.876333000000002</v>
      </c>
      <c r="N183" s="162">
        <f>F4A!N183+F4B!N183</f>
        <v>114.321118</v>
      </c>
      <c r="O183" s="162">
        <f>F4A!O183+F4B!O183</f>
        <v>102.93013000000001</v>
      </c>
      <c r="P183" s="162">
        <f>F4A!P183+F4B!P183</f>
        <v>115.68003499999999</v>
      </c>
      <c r="Q183" s="167">
        <f t="shared" si="9"/>
        <v>938.24700999999993</v>
      </c>
      <c r="R183" s="166"/>
      <c r="S183" s="166"/>
    </row>
    <row r="184" spans="3:19" hidden="1" x14ac:dyDescent="0.25">
      <c r="C184" s="17" t="s">
        <v>211</v>
      </c>
      <c r="D184" s="17" t="s">
        <v>189</v>
      </c>
      <c r="E184" s="162">
        <f>F4A!E184+F4B!E184</f>
        <v>0</v>
      </c>
      <c r="F184" s="162">
        <f>F4A!F184+F4B!F184</f>
        <v>0</v>
      </c>
      <c r="G184" s="162">
        <f>F4A!G184+F4B!G184</f>
        <v>0</v>
      </c>
      <c r="H184" s="162">
        <f>F4A!H184+F4B!H184</f>
        <v>0</v>
      </c>
      <c r="I184" s="162">
        <f>F4A!I184+F4B!I184</f>
        <v>0</v>
      </c>
      <c r="J184" s="162">
        <f>F4A!J184+F4B!J184</f>
        <v>0</v>
      </c>
      <c r="K184" s="162">
        <f>F4A!K184+F4B!K184</f>
        <v>0</v>
      </c>
      <c r="L184" s="162">
        <f>F4A!L184+F4B!L184</f>
        <v>0</v>
      </c>
      <c r="M184" s="162">
        <f>F4A!M184+F4B!M184</f>
        <v>0</v>
      </c>
      <c r="N184" s="162">
        <f>F4A!N184+F4B!N184</f>
        <v>0</v>
      </c>
      <c r="O184" s="162">
        <f>F4A!O184+F4B!O184</f>
        <v>0</v>
      </c>
      <c r="P184" s="162">
        <f>F4A!P184+F4B!P184</f>
        <v>0</v>
      </c>
      <c r="Q184" s="167">
        <f t="shared" si="9"/>
        <v>0</v>
      </c>
      <c r="R184" s="166"/>
      <c r="S184" s="166"/>
    </row>
    <row r="185" spans="3:19" hidden="1" x14ac:dyDescent="0.25">
      <c r="C185" s="17"/>
      <c r="D185" s="17"/>
      <c r="E185" s="162">
        <f>F4A!E185+F4B!E185</f>
        <v>0</v>
      </c>
      <c r="F185" s="162">
        <f>F4A!F185+F4B!F185</f>
        <v>0</v>
      </c>
      <c r="G185" s="162">
        <f>F4A!G185+F4B!G185</f>
        <v>0</v>
      </c>
      <c r="H185" s="162">
        <f>F4A!H185+F4B!H185</f>
        <v>0</v>
      </c>
      <c r="I185" s="162">
        <f>F4A!I185+F4B!I185</f>
        <v>0</v>
      </c>
      <c r="J185" s="162">
        <f>F4A!J185+F4B!J185</f>
        <v>0</v>
      </c>
      <c r="K185" s="162">
        <f>F4A!K185+F4B!K185</f>
        <v>0</v>
      </c>
      <c r="L185" s="162">
        <f>F4A!L185+F4B!L185</f>
        <v>0</v>
      </c>
      <c r="M185" s="162">
        <f>F4A!M185+F4B!M185</f>
        <v>0</v>
      </c>
      <c r="N185" s="162">
        <f>F4A!N185+F4B!N185</f>
        <v>0</v>
      </c>
      <c r="O185" s="162">
        <f>F4A!O185+F4B!O185</f>
        <v>0</v>
      </c>
      <c r="P185" s="162">
        <f>F4A!P185+F4B!P185</f>
        <v>0</v>
      </c>
      <c r="Q185" s="167">
        <f t="shared" si="9"/>
        <v>0</v>
      </c>
      <c r="R185" s="166"/>
      <c r="S185" s="166"/>
    </row>
    <row r="186" spans="3:19" hidden="1" x14ac:dyDescent="0.25">
      <c r="C186" s="17"/>
      <c r="D186" s="17"/>
      <c r="E186" s="162">
        <f>F4A!E186+F4B!E186</f>
        <v>0</v>
      </c>
      <c r="F186" s="162">
        <f>F4A!F186+F4B!F186</f>
        <v>0</v>
      </c>
      <c r="G186" s="162">
        <f>F4A!G186+F4B!G186</f>
        <v>0</v>
      </c>
      <c r="H186" s="162">
        <f>F4A!H186+F4B!H186</f>
        <v>0</v>
      </c>
      <c r="I186" s="162">
        <f>F4A!I186+F4B!I186</f>
        <v>0</v>
      </c>
      <c r="J186" s="162">
        <f>F4A!J186+F4B!J186</f>
        <v>0</v>
      </c>
      <c r="K186" s="162">
        <f>F4A!K186+F4B!K186</f>
        <v>0</v>
      </c>
      <c r="L186" s="162">
        <f>F4A!L186+F4B!L186</f>
        <v>0</v>
      </c>
      <c r="M186" s="162">
        <f>F4A!M186+F4B!M186</f>
        <v>0</v>
      </c>
      <c r="N186" s="162">
        <f>F4A!N186+F4B!N186</f>
        <v>0</v>
      </c>
      <c r="O186" s="162">
        <f>F4A!O186+F4B!O186</f>
        <v>0</v>
      </c>
      <c r="P186" s="162">
        <f>F4A!P186+F4B!P186</f>
        <v>0</v>
      </c>
      <c r="Q186" s="167">
        <f t="shared" si="9"/>
        <v>0</v>
      </c>
      <c r="R186" s="166"/>
      <c r="S186" s="166"/>
    </row>
    <row r="187" spans="3:19" hidden="1" x14ac:dyDescent="0.25">
      <c r="C187" s="17"/>
      <c r="D187" s="17"/>
      <c r="E187" s="162">
        <f>F4A!E187+F4B!E187</f>
        <v>0</v>
      </c>
      <c r="F187" s="162">
        <f>F4A!F187+F4B!F187</f>
        <v>0</v>
      </c>
      <c r="G187" s="162">
        <f>F4A!G187+F4B!G187</f>
        <v>0</v>
      </c>
      <c r="H187" s="162">
        <f>F4A!H187+F4B!H187</f>
        <v>0</v>
      </c>
      <c r="I187" s="162">
        <f>F4A!I187+F4B!I187</f>
        <v>0</v>
      </c>
      <c r="J187" s="162">
        <f>F4A!J187+F4B!J187</f>
        <v>0</v>
      </c>
      <c r="K187" s="162">
        <f>F4A!K187+F4B!K187</f>
        <v>0</v>
      </c>
      <c r="L187" s="162">
        <f>F4A!L187+F4B!L187</f>
        <v>0</v>
      </c>
      <c r="M187" s="162">
        <f>F4A!M187+F4B!M187</f>
        <v>0</v>
      </c>
      <c r="N187" s="162">
        <f>F4A!N187+F4B!N187</f>
        <v>0</v>
      </c>
      <c r="O187" s="162">
        <f>F4A!O187+F4B!O187</f>
        <v>0</v>
      </c>
      <c r="P187" s="162">
        <f>F4A!P187+F4B!P187</f>
        <v>0</v>
      </c>
      <c r="Q187" s="167">
        <f t="shared" si="9"/>
        <v>0</v>
      </c>
      <c r="R187" s="166"/>
      <c r="S187" s="166"/>
    </row>
    <row r="188" spans="3:19" hidden="1" x14ac:dyDescent="0.25">
      <c r="C188" s="17" t="s">
        <v>226</v>
      </c>
      <c r="D188" s="17" t="s">
        <v>226</v>
      </c>
      <c r="E188" s="162">
        <f>F4A!E188+F4B!E188</f>
        <v>0</v>
      </c>
      <c r="F188" s="162">
        <f>F4A!F188+F4B!F188</f>
        <v>0</v>
      </c>
      <c r="G188" s="162">
        <f>F4A!G188+F4B!G188</f>
        <v>0</v>
      </c>
      <c r="H188" s="162">
        <f>F4A!H188+F4B!H188</f>
        <v>0</v>
      </c>
      <c r="I188" s="162">
        <f>F4A!I188+F4B!I188</f>
        <v>0</v>
      </c>
      <c r="J188" s="162">
        <f>F4A!J188+F4B!J188</f>
        <v>0</v>
      </c>
      <c r="K188" s="162">
        <f>F4A!K188+F4B!K188</f>
        <v>0</v>
      </c>
      <c r="L188" s="162">
        <f>F4A!L188+F4B!L188</f>
        <v>0</v>
      </c>
      <c r="M188" s="162">
        <f>F4A!M188+F4B!M188</f>
        <v>0</v>
      </c>
      <c r="N188" s="162">
        <f>F4A!N188+F4B!N188</f>
        <v>0</v>
      </c>
      <c r="O188" s="162">
        <f>F4A!O188+F4B!O188</f>
        <v>0</v>
      </c>
      <c r="P188" s="162">
        <f>F4A!P188+F4B!P188</f>
        <v>0</v>
      </c>
      <c r="Q188" s="167">
        <f t="shared" si="9"/>
        <v>0</v>
      </c>
      <c r="R188" s="166"/>
      <c r="S188" s="166"/>
    </row>
    <row r="189" spans="3:19" hidden="1" x14ac:dyDescent="0.25">
      <c r="C189" s="751" t="s">
        <v>212</v>
      </c>
      <c r="D189" s="752"/>
      <c r="E189" s="167">
        <f t="shared" ref="E189:P189" si="11">SUM(E174:E188)</f>
        <v>155.45143454000001</v>
      </c>
      <c r="F189" s="167">
        <f t="shared" si="11"/>
        <v>97.134617450000007</v>
      </c>
      <c r="G189" s="167">
        <f t="shared" si="11"/>
        <v>120.96566427</v>
      </c>
      <c r="H189" s="167">
        <f t="shared" si="11"/>
        <v>168.99982408000002</v>
      </c>
      <c r="I189" s="167">
        <f t="shared" si="11"/>
        <v>172.20442499999999</v>
      </c>
      <c r="J189" s="167">
        <f t="shared" si="11"/>
        <v>172.67392577000004</v>
      </c>
      <c r="K189" s="167">
        <f t="shared" si="11"/>
        <v>200.79743626999993</v>
      </c>
      <c r="L189" s="167">
        <f t="shared" si="11"/>
        <v>148.71503690000006</v>
      </c>
      <c r="M189" s="167">
        <f t="shared" si="11"/>
        <v>179.492722555</v>
      </c>
      <c r="N189" s="167">
        <f t="shared" si="11"/>
        <v>215.01133677833337</v>
      </c>
      <c r="O189" s="167">
        <f t="shared" si="11"/>
        <v>203.11991469833336</v>
      </c>
      <c r="P189" s="167">
        <f t="shared" si="11"/>
        <v>179.94514721866443</v>
      </c>
      <c r="Q189" s="167">
        <f t="shared" si="9"/>
        <v>2014.5114855303314</v>
      </c>
      <c r="R189" s="166"/>
      <c r="S189" s="166"/>
    </row>
    <row r="190" spans="3:19" hidden="1" x14ac:dyDescent="0.25">
      <c r="C190" s="753" t="s">
        <v>213</v>
      </c>
      <c r="D190" s="754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7">
        <f t="shared" ref="Q190:Q221" si="12">SUM(E190:P190)</f>
        <v>0</v>
      </c>
      <c r="R190" s="166"/>
      <c r="S190" s="166"/>
    </row>
    <row r="191" spans="3:19" hidden="1" x14ac:dyDescent="0.25">
      <c r="C191" s="17" t="s">
        <v>192</v>
      </c>
      <c r="D191" s="17" t="s">
        <v>193</v>
      </c>
      <c r="E191" s="162">
        <f>F4A!E191+F4B!E191</f>
        <v>9.5842649996688589</v>
      </c>
      <c r="F191" s="162">
        <f>F4A!F191+F4B!F191</f>
        <v>10.317535999999999</v>
      </c>
      <c r="G191" s="162">
        <f>F4A!G191+F4B!G191</f>
        <v>15.144151999999998</v>
      </c>
      <c r="H191" s="162">
        <f>F4A!H191+F4B!H191</f>
        <v>15.063948999999997</v>
      </c>
      <c r="I191" s="162">
        <f>F4A!I191+F4B!I191</f>
        <v>15.564939000000001</v>
      </c>
      <c r="J191" s="162">
        <f>F4A!J191+F4B!J191</f>
        <v>15.931827150000002</v>
      </c>
      <c r="K191" s="162">
        <f>F4A!K191+F4B!K191</f>
        <v>16.095714999999998</v>
      </c>
      <c r="L191" s="162">
        <f>F4A!L191+F4B!L191</f>
        <v>16.452584000000002</v>
      </c>
      <c r="M191" s="162">
        <f>F4A!M191+F4B!M191</f>
        <v>17.0116783</v>
      </c>
      <c r="N191" s="162">
        <f>F4A!N191+F4B!N191</f>
        <v>18.43723000000001</v>
      </c>
      <c r="O191" s="162">
        <f>F4A!O191+F4B!O191</f>
        <v>18.073442</v>
      </c>
      <c r="P191" s="162">
        <f>F4A!P191+F4B!P191</f>
        <v>20.537865840000006</v>
      </c>
      <c r="Q191" s="167">
        <f t="shared" si="12"/>
        <v>188.21518328966886</v>
      </c>
      <c r="R191" s="166"/>
      <c r="S191" s="166"/>
    </row>
    <row r="192" spans="3:19" hidden="1" x14ac:dyDescent="0.25">
      <c r="C192" s="17" t="s">
        <v>194</v>
      </c>
      <c r="D192" s="17" t="s">
        <v>195</v>
      </c>
      <c r="E192" s="162">
        <f>F4A!E192+F4B!E192</f>
        <v>1.2976000000000001</v>
      </c>
      <c r="F192" s="162">
        <f>F4A!F192+F4B!F192</f>
        <v>1.6434</v>
      </c>
      <c r="G192" s="162">
        <f>F4A!G192+F4B!G192</f>
        <v>2.2686000000000002</v>
      </c>
      <c r="H192" s="162">
        <f>F4A!H192+F4B!H192</f>
        <v>3.5619999999999998</v>
      </c>
      <c r="I192" s="162">
        <f>F4A!I192+F4B!I192</f>
        <v>4.0523999999999996</v>
      </c>
      <c r="J192" s="162">
        <f>F4A!J192+F4B!J192</f>
        <v>3.7856000000000001</v>
      </c>
      <c r="K192" s="162">
        <f>F4A!K192+F4B!K192</f>
        <v>3.0543999999999998</v>
      </c>
      <c r="L192" s="162">
        <f>F4A!L192+F4B!L192</f>
        <v>3.0682</v>
      </c>
      <c r="M192" s="162">
        <f>F4A!M192+F4B!M192</f>
        <v>3.2804000000000002</v>
      </c>
      <c r="N192" s="162">
        <f>F4A!N192+F4B!N192</f>
        <v>3.5649999999999999</v>
      </c>
      <c r="O192" s="162">
        <f>F4A!O192+F4B!O192</f>
        <v>3.8460000000000001</v>
      </c>
      <c r="P192" s="162">
        <f>F4A!P192+F4B!P192</f>
        <v>3.5564</v>
      </c>
      <c r="Q192" s="167">
        <f t="shared" si="12"/>
        <v>36.980000000000004</v>
      </c>
      <c r="R192" s="166"/>
      <c r="S192" s="166"/>
    </row>
    <row r="193" spans="3:19" hidden="1" x14ac:dyDescent="0.25">
      <c r="C193" s="17" t="s">
        <v>233</v>
      </c>
      <c r="D193" s="17" t="s">
        <v>197</v>
      </c>
      <c r="E193" s="162">
        <f>F4A!E193+F4B!E193</f>
        <v>0.64555866000000006</v>
      </c>
      <c r="F193" s="162">
        <f>F4A!F193+F4B!F193</f>
        <v>0.81172900000000003</v>
      </c>
      <c r="G193" s="162">
        <f>F4A!G193+F4B!G193</f>
        <v>0.80044400000000004</v>
      </c>
      <c r="H193" s="162">
        <f>F4A!H193+F4B!H193</f>
        <v>0.76925900000000003</v>
      </c>
      <c r="I193" s="162">
        <f>F4A!I193+F4B!I193</f>
        <v>0.86277400000000015</v>
      </c>
      <c r="J193" s="162">
        <f>F4A!J193+F4B!J193</f>
        <v>1.4165920000000001</v>
      </c>
      <c r="K193" s="162">
        <f>F4A!K193+F4B!K193</f>
        <v>0.85290100000000002</v>
      </c>
      <c r="L193" s="162">
        <f>F4A!L193+F4B!L193</f>
        <v>0.72000799999999998</v>
      </c>
      <c r="M193" s="162">
        <f>F4A!M193+F4B!M193</f>
        <v>0.58941100000000002</v>
      </c>
      <c r="N193" s="162">
        <f>F4A!N193+F4B!N193</f>
        <v>0.64684300000000006</v>
      </c>
      <c r="O193" s="162">
        <f>F4A!O193+F4B!O193</f>
        <v>0.66332400000000002</v>
      </c>
      <c r="P193" s="162">
        <f>F4A!P193+F4B!P193</f>
        <v>0.78271800000000002</v>
      </c>
      <c r="Q193" s="167">
        <f t="shared" si="12"/>
        <v>9.5615616599999989</v>
      </c>
      <c r="R193" s="166"/>
      <c r="S193" s="166"/>
    </row>
    <row r="194" spans="3:19" hidden="1" x14ac:dyDescent="0.25">
      <c r="C194" s="17" t="s">
        <v>198</v>
      </c>
      <c r="D194" s="17" t="s">
        <v>199</v>
      </c>
      <c r="E194" s="162">
        <f>F4A!E194+F4B!E194</f>
        <v>0</v>
      </c>
      <c r="F194" s="162">
        <f>F4A!F194+F4B!F194</f>
        <v>0</v>
      </c>
      <c r="G194" s="162">
        <f>F4A!G194+F4B!G194</f>
        <v>0</v>
      </c>
      <c r="H194" s="162">
        <f>F4A!H194+F4B!H194</f>
        <v>0</v>
      </c>
      <c r="I194" s="162">
        <f>F4A!I194+F4B!I194</f>
        <v>0</v>
      </c>
      <c r="J194" s="162">
        <f>F4A!J194+F4B!J194</f>
        <v>0</v>
      </c>
      <c r="K194" s="162">
        <f>F4A!K194+F4B!K194</f>
        <v>0</v>
      </c>
      <c r="L194" s="162">
        <f>F4A!L194+F4B!L194</f>
        <v>0</v>
      </c>
      <c r="M194" s="162">
        <f>F4A!M194+F4B!M194</f>
        <v>0</v>
      </c>
      <c r="N194" s="162">
        <f>F4A!N194+F4B!N194</f>
        <v>0</v>
      </c>
      <c r="O194" s="162">
        <f>F4A!O194+F4B!O194</f>
        <v>0</v>
      </c>
      <c r="P194" s="162">
        <f>F4A!P194+F4B!P194</f>
        <v>0</v>
      </c>
      <c r="Q194" s="167">
        <f t="shared" si="12"/>
        <v>0</v>
      </c>
      <c r="R194" s="166"/>
      <c r="S194" s="166"/>
    </row>
    <row r="195" spans="3:19" hidden="1" x14ac:dyDescent="0.25">
      <c r="C195" s="17" t="s">
        <v>200</v>
      </c>
      <c r="D195" s="17" t="s">
        <v>201</v>
      </c>
      <c r="E195" s="162">
        <f>F4A!E195+F4B!E195</f>
        <v>0</v>
      </c>
      <c r="F195" s="162">
        <f>F4A!F195+F4B!F195</f>
        <v>0</v>
      </c>
      <c r="G195" s="162">
        <f>F4A!G195+F4B!G195</f>
        <v>0</v>
      </c>
      <c r="H195" s="162">
        <f>F4A!H195+F4B!H195</f>
        <v>0</v>
      </c>
      <c r="I195" s="162">
        <f>F4A!I195+F4B!I195</f>
        <v>0</v>
      </c>
      <c r="J195" s="162">
        <f>F4A!J195+F4B!J195</f>
        <v>0</v>
      </c>
      <c r="K195" s="162">
        <f>F4A!K195+F4B!K195</f>
        <v>0</v>
      </c>
      <c r="L195" s="162">
        <f>F4A!L195+F4B!L195</f>
        <v>0</v>
      </c>
      <c r="M195" s="162">
        <f>F4A!M195+F4B!M195</f>
        <v>0</v>
      </c>
      <c r="N195" s="162">
        <f>F4A!N195+F4B!N195</f>
        <v>0</v>
      </c>
      <c r="O195" s="162">
        <f>F4A!O195+F4B!O195</f>
        <v>0</v>
      </c>
      <c r="P195" s="162">
        <f>F4A!P195+F4B!P195</f>
        <v>0</v>
      </c>
      <c r="Q195" s="167">
        <f t="shared" si="12"/>
        <v>0</v>
      </c>
      <c r="R195" s="166"/>
      <c r="S195" s="166"/>
    </row>
    <row r="196" spans="3:19" hidden="1" x14ac:dyDescent="0.25">
      <c r="C196" s="17" t="s">
        <v>202</v>
      </c>
      <c r="D196" s="17" t="s">
        <v>203</v>
      </c>
      <c r="E196" s="162">
        <f>F4A!E196+F4B!E196</f>
        <v>4.6002049999999999</v>
      </c>
      <c r="F196" s="162">
        <f>F4A!F196+F4B!F196</f>
        <v>0.334698</v>
      </c>
      <c r="G196" s="162">
        <f>F4A!G196+F4B!G196</f>
        <v>1.566408</v>
      </c>
      <c r="H196" s="162">
        <f>F4A!H196+F4B!H196</f>
        <v>1.134215</v>
      </c>
      <c r="I196" s="162">
        <f>F4A!I196+F4B!I196</f>
        <v>8.4346449999999997</v>
      </c>
      <c r="J196" s="162">
        <f>F4A!J196+F4B!J196</f>
        <v>2.5698850000000002</v>
      </c>
      <c r="K196" s="162">
        <f>F4A!K196+F4B!K196</f>
        <v>0.61824999999999997</v>
      </c>
      <c r="L196" s="162">
        <f>F4A!L196+F4B!L196</f>
        <v>0.35964000000000002</v>
      </c>
      <c r="M196" s="162">
        <f>F4A!M196+F4B!M196</f>
        <v>0.87379499999999999</v>
      </c>
      <c r="N196" s="162">
        <f>F4A!N196+F4B!N196</f>
        <v>2.8809399999999998</v>
      </c>
      <c r="O196" s="162">
        <f>F4A!O196+F4B!O196</f>
        <v>4.0917149999999998</v>
      </c>
      <c r="P196" s="162">
        <f>F4A!P196+F4B!P196</f>
        <v>4.7710499999999998</v>
      </c>
      <c r="Q196" s="167">
        <f t="shared" si="12"/>
        <v>32.235446000000003</v>
      </c>
      <c r="R196" s="166"/>
      <c r="S196" s="166"/>
    </row>
    <row r="197" spans="3:19" hidden="1" x14ac:dyDescent="0.25">
      <c r="C197" s="17" t="s">
        <v>204</v>
      </c>
      <c r="D197" s="17" t="s">
        <v>205</v>
      </c>
      <c r="E197" s="162">
        <f>F4A!E197+F4B!E197</f>
        <v>22.488665000000001</v>
      </c>
      <c r="F197" s="162">
        <f>F4A!F197+F4B!F197</f>
        <v>22.298304000000002</v>
      </c>
      <c r="G197" s="162">
        <f>F4A!G197+F4B!G197</f>
        <v>24.454535</v>
      </c>
      <c r="H197" s="162">
        <f>F4A!H197+F4B!H197</f>
        <v>22.353332999999999</v>
      </c>
      <c r="I197" s="162">
        <f>F4A!I197+F4B!I197</f>
        <v>23.166979999999999</v>
      </c>
      <c r="J197" s="162">
        <f>F4A!J197+F4B!J197</f>
        <v>23.925360000000001</v>
      </c>
      <c r="K197" s="162">
        <f>F4A!K197+F4B!K197</f>
        <v>23.673648</v>
      </c>
      <c r="L197" s="162">
        <f>F4A!L197+F4B!L197</f>
        <v>25.764773000000002</v>
      </c>
      <c r="M197" s="162">
        <f>F4A!M197+F4B!M197</f>
        <v>24.703056</v>
      </c>
      <c r="N197" s="162">
        <f>F4A!N197+F4B!N197</f>
        <v>24.326359</v>
      </c>
      <c r="O197" s="162">
        <f>F4A!O197+F4B!O197</f>
        <v>26.180620999999999</v>
      </c>
      <c r="P197" s="162">
        <f>F4A!P197+F4B!P197</f>
        <v>24.825789</v>
      </c>
      <c r="Q197" s="167">
        <f t="shared" si="12"/>
        <v>288.16142299999996</v>
      </c>
      <c r="R197" s="166"/>
      <c r="S197" s="166"/>
    </row>
    <row r="198" spans="3:19" hidden="1" x14ac:dyDescent="0.25">
      <c r="C198" s="17" t="s">
        <v>206</v>
      </c>
      <c r="D198" s="17" t="s">
        <v>207</v>
      </c>
      <c r="E198" s="162">
        <f>F4A!E198+F4B!E198</f>
        <v>4.2295699999999998</v>
      </c>
      <c r="F198" s="162">
        <f>F4A!F198+F4B!F198</f>
        <v>4.3643049999999999</v>
      </c>
      <c r="G198" s="162">
        <f>F4A!G198+F4B!G198</f>
        <v>4.6145050000000003</v>
      </c>
      <c r="H198" s="162">
        <f>F4A!H198+F4B!H198</f>
        <v>3.9552350000000001</v>
      </c>
      <c r="I198" s="162">
        <f>F4A!I198+F4B!I198</f>
        <v>3.9897749999999998</v>
      </c>
      <c r="J198" s="162">
        <f>F4A!J198+F4B!J198</f>
        <v>4.1771599999999998</v>
      </c>
      <c r="K198" s="162">
        <f>F4A!K198+F4B!K198</f>
        <v>3.6726200000000002</v>
      </c>
      <c r="L198" s="162">
        <f>F4A!L198+F4B!L198</f>
        <v>3.4201199999999998</v>
      </c>
      <c r="M198" s="162">
        <f>F4A!M198+F4B!M198</f>
        <v>2.9274849999999999</v>
      </c>
      <c r="N198" s="162">
        <f>F4A!N198+F4B!N198</f>
        <v>2.7462880000000003</v>
      </c>
      <c r="O198" s="162">
        <f>F4A!O198+F4B!O198</f>
        <v>2.2417280000000002</v>
      </c>
      <c r="P198" s="162">
        <f>F4A!P198+F4B!P198</f>
        <v>2.233943</v>
      </c>
      <c r="Q198" s="167">
        <f t="shared" si="12"/>
        <v>42.572733999999997</v>
      </c>
      <c r="R198" s="166"/>
      <c r="S198" s="166"/>
    </row>
    <row r="199" spans="3:19" hidden="1" x14ac:dyDescent="0.25">
      <c r="C199" s="17" t="s">
        <v>214</v>
      </c>
      <c r="D199" s="17" t="s">
        <v>187</v>
      </c>
      <c r="E199" s="162">
        <f>F4A!E199+F4B!E199</f>
        <v>0.69891000000000003</v>
      </c>
      <c r="F199" s="162">
        <f>F4A!F199+F4B!F199</f>
        <v>0.80654300000000001</v>
      </c>
      <c r="G199" s="162">
        <f>F4A!G199+F4B!G199</f>
        <v>0.97218000000000004</v>
      </c>
      <c r="H199" s="162">
        <f>F4A!H199+F4B!H199</f>
        <v>0.81362299999999999</v>
      </c>
      <c r="I199" s="162">
        <f>F4A!I199+F4B!I199</f>
        <v>0.76725100000000002</v>
      </c>
      <c r="J199" s="162">
        <f>F4A!J199+F4B!J199</f>
        <v>1.0407280000000001</v>
      </c>
      <c r="K199" s="162">
        <f>F4A!K199+F4B!K199</f>
        <v>1.1957469999999999</v>
      </c>
      <c r="L199" s="162">
        <f>F4A!L199+F4B!L199</f>
        <v>1.3605370000000001</v>
      </c>
      <c r="M199" s="162">
        <f>F4A!M199+F4B!M199</f>
        <v>1.346568</v>
      </c>
      <c r="N199" s="162">
        <f>F4A!N199+F4B!N199</f>
        <v>1.4047460000000001</v>
      </c>
      <c r="O199" s="162">
        <f>F4A!O199+F4B!O199</f>
        <v>1.386717</v>
      </c>
      <c r="P199" s="162">
        <f>F4A!P199+F4B!P199</f>
        <v>1.27291</v>
      </c>
      <c r="Q199" s="167">
        <f t="shared" si="12"/>
        <v>13.066459999999999</v>
      </c>
      <c r="R199" s="166"/>
      <c r="S199" s="166"/>
    </row>
    <row r="200" spans="3:19" hidden="1" x14ac:dyDescent="0.25">
      <c r="C200" s="17" t="s">
        <v>209</v>
      </c>
      <c r="D200" s="17" t="s">
        <v>210</v>
      </c>
      <c r="E200" s="162">
        <f>F4A!E200+F4B!E200</f>
        <v>0</v>
      </c>
      <c r="F200" s="162">
        <f>F4A!F200+F4B!F200</f>
        <v>0</v>
      </c>
      <c r="G200" s="162">
        <f>F4A!G200+F4B!G200</f>
        <v>0</v>
      </c>
      <c r="H200" s="162">
        <f>F4A!H200+F4B!H200</f>
        <v>0</v>
      </c>
      <c r="I200" s="162">
        <f>F4A!I200+F4B!I200</f>
        <v>0</v>
      </c>
      <c r="J200" s="162">
        <f>F4A!J200+F4B!J200</f>
        <v>0</v>
      </c>
      <c r="K200" s="162">
        <f>F4A!K200+F4B!K200</f>
        <v>0</v>
      </c>
      <c r="L200" s="162">
        <f>F4A!L200+F4B!L200</f>
        <v>0</v>
      </c>
      <c r="M200" s="162">
        <f>F4A!M200+F4B!M200</f>
        <v>0</v>
      </c>
      <c r="N200" s="162">
        <f>F4A!N200+F4B!N200</f>
        <v>0</v>
      </c>
      <c r="O200" s="162">
        <f>F4A!O200+F4B!O200</f>
        <v>0</v>
      </c>
      <c r="P200" s="162">
        <f>F4A!P200+F4B!P200</f>
        <v>0</v>
      </c>
      <c r="Q200" s="167">
        <f t="shared" si="12"/>
        <v>0</v>
      </c>
      <c r="R200" s="166"/>
      <c r="S200" s="166"/>
    </row>
    <row r="201" spans="3:19" hidden="1" x14ac:dyDescent="0.25">
      <c r="C201" s="17" t="s">
        <v>211</v>
      </c>
      <c r="D201" s="17" t="s">
        <v>189</v>
      </c>
      <c r="E201" s="162">
        <f>F4A!E201+F4B!E201</f>
        <v>0</v>
      </c>
      <c r="F201" s="162">
        <f>F4A!F201+F4B!F201</f>
        <v>0</v>
      </c>
      <c r="G201" s="162">
        <f>F4A!G201+F4B!G201</f>
        <v>0</v>
      </c>
      <c r="H201" s="162">
        <f>F4A!H201+F4B!H201</f>
        <v>0</v>
      </c>
      <c r="I201" s="162">
        <f>F4A!I201+F4B!I201</f>
        <v>0</v>
      </c>
      <c r="J201" s="162">
        <f>F4A!J201+F4B!J201</f>
        <v>0</v>
      </c>
      <c r="K201" s="162">
        <f>F4A!K201+F4B!K201</f>
        <v>0</v>
      </c>
      <c r="L201" s="162">
        <f>F4A!L201+F4B!L201</f>
        <v>0</v>
      </c>
      <c r="M201" s="162">
        <f>F4A!M201+F4B!M201</f>
        <v>0</v>
      </c>
      <c r="N201" s="162">
        <f>F4A!N201+F4B!N201</f>
        <v>0</v>
      </c>
      <c r="O201" s="162">
        <f>F4A!O201+F4B!O201</f>
        <v>0</v>
      </c>
      <c r="P201" s="162">
        <f>F4A!P201+F4B!P201</f>
        <v>0</v>
      </c>
      <c r="Q201" s="167">
        <f t="shared" si="12"/>
        <v>0</v>
      </c>
      <c r="R201" s="166"/>
      <c r="S201" s="166"/>
    </row>
    <row r="202" spans="3:19" hidden="1" x14ac:dyDescent="0.25">
      <c r="C202" s="17"/>
      <c r="D202" s="17"/>
      <c r="E202" s="162">
        <f>F4A!E202+F4B!E202</f>
        <v>0</v>
      </c>
      <c r="F202" s="162">
        <f>F4A!F202+F4B!F202</f>
        <v>0</v>
      </c>
      <c r="G202" s="162">
        <f>F4A!G202+F4B!G202</f>
        <v>0</v>
      </c>
      <c r="H202" s="162">
        <f>F4A!H202+F4B!H202</f>
        <v>0</v>
      </c>
      <c r="I202" s="162">
        <f>F4A!I202+F4B!I202</f>
        <v>0</v>
      </c>
      <c r="J202" s="162">
        <f>F4A!J202+F4B!J202</f>
        <v>0</v>
      </c>
      <c r="K202" s="162">
        <f>F4A!K202+F4B!K202</f>
        <v>0</v>
      </c>
      <c r="L202" s="162">
        <f>F4A!L202+F4B!L202</f>
        <v>0</v>
      </c>
      <c r="M202" s="162">
        <f>F4A!M202+F4B!M202</f>
        <v>0</v>
      </c>
      <c r="N202" s="162">
        <f>F4A!N202+F4B!N202</f>
        <v>0</v>
      </c>
      <c r="O202" s="162">
        <f>F4A!O202+F4B!O202</f>
        <v>0</v>
      </c>
      <c r="P202" s="162">
        <f>F4A!P202+F4B!P202</f>
        <v>0</v>
      </c>
      <c r="Q202" s="167">
        <f t="shared" si="12"/>
        <v>0</v>
      </c>
      <c r="R202" s="166"/>
      <c r="S202" s="166"/>
    </row>
    <row r="203" spans="3:19" hidden="1" x14ac:dyDescent="0.25">
      <c r="C203" s="17"/>
      <c r="D203" s="17"/>
      <c r="E203" s="162">
        <f>F4A!E203+F4B!E203</f>
        <v>0</v>
      </c>
      <c r="F203" s="162">
        <f>F4A!F203+F4B!F203</f>
        <v>0</v>
      </c>
      <c r="G203" s="162">
        <f>F4A!G203+F4B!G203</f>
        <v>0</v>
      </c>
      <c r="H203" s="162">
        <f>F4A!H203+F4B!H203</f>
        <v>0</v>
      </c>
      <c r="I203" s="162">
        <f>F4A!I203+F4B!I203</f>
        <v>0</v>
      </c>
      <c r="J203" s="162">
        <f>F4A!J203+F4B!J203</f>
        <v>0</v>
      </c>
      <c r="K203" s="162">
        <f>F4A!K203+F4B!K203</f>
        <v>0</v>
      </c>
      <c r="L203" s="162">
        <f>F4A!L203+F4B!L203</f>
        <v>0</v>
      </c>
      <c r="M203" s="162">
        <f>F4A!M203+F4B!M203</f>
        <v>0</v>
      </c>
      <c r="N203" s="162">
        <f>F4A!N203+F4B!N203</f>
        <v>0</v>
      </c>
      <c r="O203" s="162">
        <f>F4A!O203+F4B!O203</f>
        <v>0</v>
      </c>
      <c r="P203" s="162">
        <f>F4A!P203+F4B!P203</f>
        <v>0</v>
      </c>
      <c r="Q203" s="167">
        <f t="shared" si="12"/>
        <v>0</v>
      </c>
      <c r="R203" s="166"/>
      <c r="S203" s="166"/>
    </row>
    <row r="204" spans="3:19" hidden="1" x14ac:dyDescent="0.25">
      <c r="C204" s="17"/>
      <c r="D204" s="17"/>
      <c r="E204" s="162">
        <f>F4A!E204+F4B!E204</f>
        <v>0</v>
      </c>
      <c r="F204" s="162">
        <f>F4A!F204+F4B!F204</f>
        <v>0</v>
      </c>
      <c r="G204" s="162">
        <f>F4A!G204+F4B!G204</f>
        <v>0</v>
      </c>
      <c r="H204" s="162">
        <f>F4A!H204+F4B!H204</f>
        <v>0</v>
      </c>
      <c r="I204" s="162">
        <f>F4A!I204+F4B!I204</f>
        <v>0</v>
      </c>
      <c r="J204" s="162">
        <f>F4A!J204+F4B!J204</f>
        <v>0</v>
      </c>
      <c r="K204" s="162">
        <f>F4A!K204+F4B!K204</f>
        <v>0</v>
      </c>
      <c r="L204" s="162">
        <f>F4A!L204+F4B!L204</f>
        <v>0</v>
      </c>
      <c r="M204" s="162">
        <f>F4A!M204+F4B!M204</f>
        <v>0</v>
      </c>
      <c r="N204" s="162">
        <f>F4A!N204+F4B!N204</f>
        <v>0</v>
      </c>
      <c r="O204" s="162">
        <f>F4A!O204+F4B!O204</f>
        <v>0</v>
      </c>
      <c r="P204" s="162">
        <f>F4A!P204+F4B!P204</f>
        <v>0</v>
      </c>
      <c r="Q204" s="167">
        <f t="shared" si="12"/>
        <v>0</v>
      </c>
      <c r="R204" s="166"/>
      <c r="S204" s="166"/>
    </row>
    <row r="205" spans="3:19" hidden="1" x14ac:dyDescent="0.25">
      <c r="C205" s="17" t="s">
        <v>226</v>
      </c>
      <c r="D205" s="17" t="s">
        <v>226</v>
      </c>
      <c r="E205" s="162">
        <f>F4A!E205+F4B!E205</f>
        <v>0</v>
      </c>
      <c r="F205" s="162">
        <f>F4A!F205+F4B!F205</f>
        <v>0</v>
      </c>
      <c r="G205" s="162">
        <f>F4A!G205+F4B!G205</f>
        <v>0</v>
      </c>
      <c r="H205" s="162">
        <f>F4A!H205+F4B!H205</f>
        <v>0</v>
      </c>
      <c r="I205" s="162">
        <f>F4A!I205+F4B!I205</f>
        <v>0</v>
      </c>
      <c r="J205" s="162">
        <f>F4A!J205+F4B!J205</f>
        <v>0</v>
      </c>
      <c r="K205" s="162">
        <f>F4A!K205+F4B!K205</f>
        <v>0</v>
      </c>
      <c r="L205" s="162">
        <f>F4A!L205+F4B!L205</f>
        <v>0</v>
      </c>
      <c r="M205" s="162">
        <f>F4A!M205+F4B!M205</f>
        <v>0</v>
      </c>
      <c r="N205" s="162">
        <f>F4A!N205+F4B!N205</f>
        <v>0</v>
      </c>
      <c r="O205" s="162">
        <f>F4A!O205+F4B!O205</f>
        <v>0</v>
      </c>
      <c r="P205" s="162">
        <f>F4A!P205+F4B!P205</f>
        <v>0</v>
      </c>
      <c r="Q205" s="167">
        <f t="shared" si="12"/>
        <v>0</v>
      </c>
      <c r="R205" s="166"/>
      <c r="S205" s="166"/>
    </row>
    <row r="206" spans="3:19" hidden="1" x14ac:dyDescent="0.25">
      <c r="C206" s="751" t="s">
        <v>212</v>
      </c>
      <c r="D206" s="752"/>
      <c r="E206" s="167">
        <f t="shared" ref="E206:P206" si="13">SUM(E191:E205)</f>
        <v>43.544773659668863</v>
      </c>
      <c r="F206" s="167">
        <f t="shared" si="13"/>
        <v>40.576515000000001</v>
      </c>
      <c r="G206" s="167">
        <f t="shared" si="13"/>
        <v>49.820824000000002</v>
      </c>
      <c r="H206" s="167">
        <f t="shared" si="13"/>
        <v>47.651614000000002</v>
      </c>
      <c r="I206" s="167">
        <f t="shared" si="13"/>
        <v>56.838764000000005</v>
      </c>
      <c r="J206" s="167">
        <f t="shared" si="13"/>
        <v>52.847152150000007</v>
      </c>
      <c r="K206" s="167">
        <f t="shared" si="13"/>
        <v>49.163280999999998</v>
      </c>
      <c r="L206" s="167">
        <f t="shared" si="13"/>
        <v>51.145862000000001</v>
      </c>
      <c r="M206" s="167">
        <f t="shared" si="13"/>
        <v>50.732393299999998</v>
      </c>
      <c r="N206" s="167">
        <f t="shared" si="13"/>
        <v>54.00740600000001</v>
      </c>
      <c r="O206" s="167">
        <f t="shared" si="13"/>
        <v>56.483547000000002</v>
      </c>
      <c r="P206" s="167">
        <f t="shared" si="13"/>
        <v>57.980675840000011</v>
      </c>
      <c r="Q206" s="167">
        <f t="shared" si="12"/>
        <v>610.79280794966894</v>
      </c>
      <c r="R206" s="166"/>
      <c r="S206" s="166"/>
    </row>
    <row r="207" spans="3:19" hidden="1" x14ac:dyDescent="0.25">
      <c r="C207" s="753" t="s">
        <v>215</v>
      </c>
      <c r="D207" s="754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7">
        <f t="shared" si="12"/>
        <v>0</v>
      </c>
      <c r="R207" s="166"/>
      <c r="S207" s="166"/>
    </row>
    <row r="208" spans="3:19" hidden="1" x14ac:dyDescent="0.25">
      <c r="C208" s="17" t="s">
        <v>192</v>
      </c>
      <c r="D208" s="17" t="s">
        <v>193</v>
      </c>
      <c r="E208" s="162">
        <f>F4A!E208+F4B!E208</f>
        <v>63.436564659999938</v>
      </c>
      <c r="F208" s="162">
        <f>F4A!F208+F4B!F208</f>
        <v>61.603072900000036</v>
      </c>
      <c r="G208" s="162">
        <f>F4A!G208+F4B!G208</f>
        <v>68.930464350000008</v>
      </c>
      <c r="H208" s="162">
        <f>F4A!H208+F4B!H208</f>
        <v>63.219351599999975</v>
      </c>
      <c r="I208" s="162">
        <f>F4A!I208+F4B!I208</f>
        <v>70.039538550000032</v>
      </c>
      <c r="J208" s="162">
        <f>F4A!J208+F4B!J208</f>
        <v>68.180314099999961</v>
      </c>
      <c r="K208" s="162">
        <f>F4A!K208+F4B!K208</f>
        <v>68.388285299999993</v>
      </c>
      <c r="L208" s="162">
        <f>F4A!L208+F4B!L208</f>
        <v>70.690649000000008</v>
      </c>
      <c r="M208" s="162">
        <f>F4A!M208+F4B!M208</f>
        <v>69.774895070000014</v>
      </c>
      <c r="N208" s="162">
        <f>F4A!N208+F4B!N208</f>
        <v>69.725390400000023</v>
      </c>
      <c r="O208" s="162">
        <f>F4A!O208+F4B!O208</f>
        <v>70.876534999999876</v>
      </c>
      <c r="P208" s="162">
        <f>F4A!P208+F4B!P208</f>
        <v>62.251465000000024</v>
      </c>
      <c r="Q208" s="167">
        <f t="shared" si="12"/>
        <v>807.11652592999997</v>
      </c>
      <c r="R208" s="166"/>
      <c r="S208" s="166"/>
    </row>
    <row r="209" spans="3:19" hidden="1" x14ac:dyDescent="0.25">
      <c r="C209" s="17" t="s">
        <v>194</v>
      </c>
      <c r="D209" s="17" t="s">
        <v>195</v>
      </c>
      <c r="E209" s="162">
        <f>F4A!E209+F4B!E209</f>
        <v>0</v>
      </c>
      <c r="F209" s="162">
        <f>F4A!F209+F4B!F209</f>
        <v>0</v>
      </c>
      <c r="G209" s="162">
        <f>F4A!G209+F4B!G209</f>
        <v>0</v>
      </c>
      <c r="H209" s="162">
        <f>F4A!H209+F4B!H209</f>
        <v>0</v>
      </c>
      <c r="I209" s="162">
        <f>F4A!I209+F4B!I209</f>
        <v>0</v>
      </c>
      <c r="J209" s="162">
        <f>F4A!J209+F4B!J209</f>
        <v>0</v>
      </c>
      <c r="K209" s="162">
        <f>F4A!K209+F4B!K209</f>
        <v>0</v>
      </c>
      <c r="L209" s="162">
        <f>F4A!L209+F4B!L209</f>
        <v>0</v>
      </c>
      <c r="M209" s="162">
        <f>F4A!M209+F4B!M209</f>
        <v>0</v>
      </c>
      <c r="N209" s="162">
        <f>F4A!N209+F4B!N209</f>
        <v>0</v>
      </c>
      <c r="O209" s="162">
        <f>F4A!O209+F4B!O209</f>
        <v>0</v>
      </c>
      <c r="P209" s="162">
        <f>F4A!P209+F4B!P209</f>
        <v>0</v>
      </c>
      <c r="Q209" s="167">
        <f t="shared" si="12"/>
        <v>0</v>
      </c>
      <c r="R209" s="166"/>
      <c r="S209" s="166"/>
    </row>
    <row r="210" spans="3:19" hidden="1" x14ac:dyDescent="0.25">
      <c r="C210" s="17" t="s">
        <v>233</v>
      </c>
      <c r="D210" s="17" t="s">
        <v>197</v>
      </c>
      <c r="E210" s="162">
        <f>F4A!E210+F4B!E210</f>
        <v>2.0345183400000004</v>
      </c>
      <c r="F210" s="162">
        <f>F4A!F210+F4B!F210</f>
        <v>1.9636581</v>
      </c>
      <c r="G210" s="162">
        <f>F4A!G210+F4B!G210</f>
        <v>0.47038165000000021</v>
      </c>
      <c r="H210" s="162">
        <f>F4A!H210+F4B!H210</f>
        <v>0.39545040000000109</v>
      </c>
      <c r="I210" s="162">
        <f>F4A!I210+F4B!I210</f>
        <v>1.2444004499999979</v>
      </c>
      <c r="J210" s="162">
        <f>F4A!J210+F4B!J210</f>
        <v>0.48928989999999872</v>
      </c>
      <c r="K210" s="162">
        <f>F4A!K210+F4B!K210</f>
        <v>0.44616070000000141</v>
      </c>
      <c r="L210" s="162">
        <f>F4A!L210+F4B!L210</f>
        <v>0.2916650000000009</v>
      </c>
      <c r="M210" s="162">
        <f>F4A!M210+F4B!M210</f>
        <v>0.35418993000000232</v>
      </c>
      <c r="N210" s="162">
        <f>F4A!N210+F4B!N210</f>
        <v>0.31939160000000166</v>
      </c>
      <c r="O210" s="162">
        <f>F4A!O210+F4B!O210</f>
        <v>0.56704900000000136</v>
      </c>
      <c r="P210" s="162">
        <f>F4A!P210+F4B!P210</f>
        <v>0.35802300000000087</v>
      </c>
      <c r="Q210" s="167">
        <f t="shared" si="12"/>
        <v>8.9341780700000069</v>
      </c>
      <c r="R210" s="166"/>
      <c r="S210" s="166"/>
    </row>
    <row r="211" spans="3:19" hidden="1" x14ac:dyDescent="0.25">
      <c r="C211" s="17" t="s">
        <v>198</v>
      </c>
      <c r="D211" s="17" t="s">
        <v>199</v>
      </c>
      <c r="E211" s="162">
        <f>F4A!E211+F4B!E211</f>
        <v>0</v>
      </c>
      <c r="F211" s="162">
        <f>F4A!F211+F4B!F211</f>
        <v>0</v>
      </c>
      <c r="G211" s="162">
        <f>F4A!G211+F4B!G211</f>
        <v>0</v>
      </c>
      <c r="H211" s="162">
        <f>F4A!H211+F4B!H211</f>
        <v>0</v>
      </c>
      <c r="I211" s="162">
        <f>F4A!I211+F4B!I211</f>
        <v>0</v>
      </c>
      <c r="J211" s="162">
        <f>F4A!J211+F4B!J211</f>
        <v>0</v>
      </c>
      <c r="K211" s="162">
        <f>F4A!K211+F4B!K211</f>
        <v>0</v>
      </c>
      <c r="L211" s="162">
        <f>F4A!L211+F4B!L211</f>
        <v>0</v>
      </c>
      <c r="M211" s="162">
        <f>F4A!M211+F4B!M211</f>
        <v>0</v>
      </c>
      <c r="N211" s="162">
        <f>F4A!N211+F4B!N211</f>
        <v>0</v>
      </c>
      <c r="O211" s="162">
        <f>F4A!O211+F4B!O211</f>
        <v>0</v>
      </c>
      <c r="P211" s="162">
        <f>F4A!P211+F4B!P211</f>
        <v>0</v>
      </c>
      <c r="Q211" s="167">
        <f t="shared" si="12"/>
        <v>0</v>
      </c>
      <c r="R211" s="166"/>
      <c r="S211" s="166"/>
    </row>
    <row r="212" spans="3:19" hidden="1" x14ac:dyDescent="0.25">
      <c r="C212" s="17" t="s">
        <v>200</v>
      </c>
      <c r="D212" s="17" t="s">
        <v>201</v>
      </c>
      <c r="E212" s="162">
        <f>F4A!E212+F4B!E212</f>
        <v>0</v>
      </c>
      <c r="F212" s="162">
        <f>F4A!F212+F4B!F212</f>
        <v>0</v>
      </c>
      <c r="G212" s="162">
        <f>F4A!G212+F4B!G212</f>
        <v>0</v>
      </c>
      <c r="H212" s="162">
        <f>F4A!H212+F4B!H212</f>
        <v>0</v>
      </c>
      <c r="I212" s="162">
        <f>F4A!I212+F4B!I212</f>
        <v>0</v>
      </c>
      <c r="J212" s="162">
        <f>F4A!J212+F4B!J212</f>
        <v>0</v>
      </c>
      <c r="K212" s="162">
        <f>F4A!K212+F4B!K212</f>
        <v>0</v>
      </c>
      <c r="L212" s="162">
        <f>F4A!L212+F4B!L212</f>
        <v>0</v>
      </c>
      <c r="M212" s="162">
        <f>F4A!M212+F4B!M212</f>
        <v>0</v>
      </c>
      <c r="N212" s="162">
        <f>F4A!N212+F4B!N212</f>
        <v>0</v>
      </c>
      <c r="O212" s="162">
        <f>F4A!O212+F4B!O212</f>
        <v>0</v>
      </c>
      <c r="P212" s="162">
        <f>F4A!P212+F4B!P212</f>
        <v>0</v>
      </c>
      <c r="Q212" s="167">
        <f t="shared" si="12"/>
        <v>0</v>
      </c>
      <c r="R212" s="166"/>
      <c r="S212" s="166"/>
    </row>
    <row r="213" spans="3:19" hidden="1" x14ac:dyDescent="0.25">
      <c r="C213" s="17" t="s">
        <v>202</v>
      </c>
      <c r="D213" s="17" t="s">
        <v>234</v>
      </c>
      <c r="E213" s="162">
        <f>F4A!E213+F4B!E213</f>
        <v>222.02933884000001</v>
      </c>
      <c r="F213" s="162">
        <f>F4A!F213+F4B!F213</f>
        <v>68.903187129999992</v>
      </c>
      <c r="G213" s="162">
        <f>F4A!G213+F4B!G213</f>
        <v>74.872352000000006</v>
      </c>
      <c r="H213" s="162">
        <f>F4A!H213+F4B!H213</f>
        <v>59.80789017</v>
      </c>
      <c r="I213" s="162">
        <f>F4A!I213+F4B!I213</f>
        <v>494.28448944000002</v>
      </c>
      <c r="J213" s="162">
        <f>F4A!J213+F4B!J213</f>
        <v>54.78697854</v>
      </c>
      <c r="K213" s="162">
        <f>F4A!K213+F4B!K213</f>
        <v>7.7220339999999998</v>
      </c>
      <c r="L213" s="162">
        <f>F4A!L213+F4B!L213</f>
        <v>3.1130719999999998</v>
      </c>
      <c r="M213" s="162">
        <f>F4A!M213+F4B!M213</f>
        <v>3.468712</v>
      </c>
      <c r="N213" s="162">
        <f>F4A!N213+F4B!N213</f>
        <v>87.519681599999998</v>
      </c>
      <c r="O213" s="162">
        <f>F4A!O213+F4B!O213</f>
        <v>629.94031032000009</v>
      </c>
      <c r="P213" s="162">
        <f>F4A!P213+F4B!P213</f>
        <v>185.939808</v>
      </c>
      <c r="Q213" s="167">
        <f t="shared" si="12"/>
        <v>1892.3878540400001</v>
      </c>
      <c r="R213" s="166"/>
      <c r="S213" s="166"/>
    </row>
    <row r="214" spans="3:19" hidden="1" x14ac:dyDescent="0.25">
      <c r="C214" s="17" t="s">
        <v>204</v>
      </c>
      <c r="D214" s="17" t="s">
        <v>216</v>
      </c>
      <c r="E214" s="162">
        <f>F4A!E214+F4B!E214</f>
        <v>1.9768319999999999</v>
      </c>
      <c r="F214" s="162">
        <f>F4A!F214+F4B!F214</f>
        <v>2.1512519999999999</v>
      </c>
      <c r="G214" s="162">
        <f>F4A!G214+F4B!G214</f>
        <v>2.2210920000000001</v>
      </c>
      <c r="H214" s="162">
        <f>F4A!H214+F4B!H214</f>
        <v>2.0117159999999998</v>
      </c>
      <c r="I214" s="162">
        <f>F4A!I214+F4B!I214</f>
        <v>1.9902960000000001</v>
      </c>
      <c r="J214" s="162">
        <f>F4A!J214+F4B!J214</f>
        <v>1.9007639999999999</v>
      </c>
      <c r="K214" s="162">
        <f>F4A!K214+F4B!K214</f>
        <v>1.8685080000000001</v>
      </c>
      <c r="L214" s="162">
        <f>F4A!L214+F4B!L214</f>
        <v>2.1167639999999999</v>
      </c>
      <c r="M214" s="162">
        <f>F4A!M214+F4B!M214</f>
        <v>1.906488</v>
      </c>
      <c r="N214" s="162">
        <f>F4A!N214+F4B!N214</f>
        <v>2.0625840000000002</v>
      </c>
      <c r="O214" s="162">
        <f>F4A!O214+F4B!O214</f>
        <v>2.259792</v>
      </c>
      <c r="P214" s="162">
        <f>F4A!P214+F4B!P214</f>
        <v>1.8145439999999999</v>
      </c>
      <c r="Q214" s="167">
        <f t="shared" si="12"/>
        <v>24.280632000000004</v>
      </c>
      <c r="R214" s="166"/>
      <c r="S214" s="166"/>
    </row>
    <row r="215" spans="3:19" hidden="1" x14ac:dyDescent="0.25">
      <c r="C215" s="17" t="s">
        <v>217</v>
      </c>
      <c r="D215" s="17" t="s">
        <v>218</v>
      </c>
      <c r="E215" s="162">
        <f>F4A!E215+F4B!E215</f>
        <v>16.1116931</v>
      </c>
      <c r="F215" s="162">
        <f>F4A!F215+F4B!F215</f>
        <v>18.642124299999999</v>
      </c>
      <c r="G215" s="162">
        <f>F4A!G215+F4B!G215</f>
        <v>24.070616400000002</v>
      </c>
      <c r="H215" s="162">
        <f>F4A!H215+F4B!H215</f>
        <v>17.4473281</v>
      </c>
      <c r="I215" s="162">
        <f>F4A!I215+F4B!I215</f>
        <v>20.104613700000002</v>
      </c>
      <c r="J215" s="162">
        <f>F4A!J215+F4B!J215</f>
        <v>23.027841900000002</v>
      </c>
      <c r="K215" s="162">
        <f>F4A!K215+F4B!K215</f>
        <v>22.512025000000005</v>
      </c>
      <c r="L215" s="162">
        <f>F4A!L215+F4B!L215</f>
        <v>28.350425900000001</v>
      </c>
      <c r="M215" s="162">
        <f>F4A!M215+F4B!M215</f>
        <v>33.231368400000001</v>
      </c>
      <c r="N215" s="162">
        <f>F4A!N215+F4B!N215</f>
        <v>37.119526</v>
      </c>
      <c r="O215" s="162">
        <f>F4A!O215+F4B!O215</f>
        <v>39.895040699999996</v>
      </c>
      <c r="P215" s="162">
        <f>F4A!P215+F4B!P215</f>
        <v>37.974158299999999</v>
      </c>
      <c r="Q215" s="167">
        <f t="shared" si="12"/>
        <v>318.48676180000001</v>
      </c>
      <c r="R215" s="166"/>
      <c r="S215" s="166"/>
    </row>
    <row r="216" spans="3:19" hidden="1" x14ac:dyDescent="0.25">
      <c r="C216" s="17" t="s">
        <v>252</v>
      </c>
      <c r="D216" s="17" t="s">
        <v>236</v>
      </c>
      <c r="E216" s="162">
        <f>F4A!E216+F4B!E216</f>
        <v>0</v>
      </c>
      <c r="F216" s="162">
        <f>F4A!F216+F4B!F216</f>
        <v>0</v>
      </c>
      <c r="G216" s="162">
        <f>F4A!G216+F4B!G216</f>
        <v>0</v>
      </c>
      <c r="H216" s="162">
        <f>F4A!H216+F4B!H216</f>
        <v>0</v>
      </c>
      <c r="I216" s="162">
        <f>F4A!I216+F4B!I216</f>
        <v>0</v>
      </c>
      <c r="J216" s="162">
        <f>F4A!J216+F4B!J216</f>
        <v>0</v>
      </c>
      <c r="K216" s="162">
        <f>F4A!K216+F4B!K216</f>
        <v>0</v>
      </c>
      <c r="L216" s="162">
        <f>F4A!L216+F4B!L216</f>
        <v>0</v>
      </c>
      <c r="M216" s="162">
        <f>F4A!M216+F4B!M216</f>
        <v>0</v>
      </c>
      <c r="N216" s="162">
        <f>F4A!N216+F4B!N216</f>
        <v>0</v>
      </c>
      <c r="O216" s="162">
        <f>F4A!O216+F4B!O216</f>
        <v>0</v>
      </c>
      <c r="P216" s="162">
        <f>F4A!P216+F4B!P216</f>
        <v>0</v>
      </c>
      <c r="Q216" s="167">
        <f t="shared" si="12"/>
        <v>0</v>
      </c>
      <c r="R216" s="166"/>
      <c r="S216" s="166"/>
    </row>
    <row r="217" spans="3:19" hidden="1" x14ac:dyDescent="0.25">
      <c r="C217" s="17" t="s">
        <v>206</v>
      </c>
      <c r="D217" s="17" t="s">
        <v>207</v>
      </c>
      <c r="E217" s="162">
        <f>F4A!E217+F4B!E217</f>
        <v>9.5126560000000016</v>
      </c>
      <c r="F217" s="162">
        <f>F4A!F217+F4B!F217</f>
        <v>10.893533999999999</v>
      </c>
      <c r="G217" s="162">
        <f>F4A!G217+F4B!G217</f>
        <v>9.7494189999999996</v>
      </c>
      <c r="H217" s="162">
        <f>F4A!H217+F4B!H217</f>
        <v>9.7355999999999998</v>
      </c>
      <c r="I217" s="162">
        <f>F4A!I217+F4B!I217</f>
        <v>9.0271360000000005</v>
      </c>
      <c r="J217" s="162">
        <f>F4A!J217+F4B!J217</f>
        <v>7.2849500000000011</v>
      </c>
      <c r="K217" s="162">
        <f>F4A!K217+F4B!K217</f>
        <v>6.7387959999999989</v>
      </c>
      <c r="L217" s="162">
        <f>F4A!L217+F4B!L217</f>
        <v>7.5572330000000001</v>
      </c>
      <c r="M217" s="162">
        <f>F4A!M217+F4B!M217</f>
        <v>7.0223479999999974</v>
      </c>
      <c r="N217" s="162">
        <f>F4A!N217+F4B!N217</f>
        <v>7.022358999999998</v>
      </c>
      <c r="O217" s="162">
        <f>F4A!O217+F4B!O217</f>
        <v>7.3451390000000005</v>
      </c>
      <c r="P217" s="162">
        <f>F4A!P217+F4B!P217</f>
        <v>7.3611379999999995</v>
      </c>
      <c r="Q217" s="167">
        <f t="shared" si="12"/>
        <v>99.25030799999999</v>
      </c>
      <c r="R217" s="166"/>
      <c r="S217" s="166"/>
    </row>
    <row r="218" spans="3:19" hidden="1" x14ac:dyDescent="0.25">
      <c r="C218" s="17" t="s">
        <v>208</v>
      </c>
      <c r="D218" s="17" t="s">
        <v>187</v>
      </c>
      <c r="E218" s="162">
        <f>F4A!E218+F4B!E218</f>
        <v>3.8690549999999995</v>
      </c>
      <c r="F218" s="162">
        <f>F4A!F218+F4B!F218</f>
        <v>4.1993979999999995</v>
      </c>
      <c r="G218" s="162">
        <f>F4A!G218+F4B!G218</f>
        <v>5.8456280000000005</v>
      </c>
      <c r="H218" s="162">
        <f>F4A!H218+F4B!H218</f>
        <v>5.1069779999999998</v>
      </c>
      <c r="I218" s="162">
        <f>F4A!I218+F4B!I218</f>
        <v>1.9542559999999995</v>
      </c>
      <c r="J218" s="162">
        <f>F4A!J218+F4B!J218</f>
        <v>3.945511999999999</v>
      </c>
      <c r="K218" s="162">
        <f>F4A!K218+F4B!K218</f>
        <v>6.4216050000000005</v>
      </c>
      <c r="L218" s="162">
        <f>F4A!L218+F4B!L218</f>
        <v>7.0992319999999998</v>
      </c>
      <c r="M218" s="162">
        <f>F4A!M218+F4B!M218</f>
        <v>10.739398</v>
      </c>
      <c r="N218" s="162">
        <f>F4A!N218+F4B!N218</f>
        <v>6.7186950000000012</v>
      </c>
      <c r="O218" s="162">
        <f>F4A!O218+F4B!O218</f>
        <v>10.391020000000001</v>
      </c>
      <c r="P218" s="162">
        <f>F4A!P218+F4B!P218</f>
        <v>4.0639320000000003</v>
      </c>
      <c r="Q218" s="167">
        <f t="shared" si="12"/>
        <v>70.354709</v>
      </c>
      <c r="R218" s="166"/>
      <c r="S218" s="166"/>
    </row>
    <row r="219" spans="3:19" hidden="1" x14ac:dyDescent="0.25">
      <c r="C219" s="17" t="s">
        <v>209</v>
      </c>
      <c r="D219" s="17" t="s">
        <v>210</v>
      </c>
      <c r="E219" s="162">
        <f>F4A!E219+F4B!E219</f>
        <v>0</v>
      </c>
      <c r="F219" s="162">
        <f>F4A!F219+F4B!F219</f>
        <v>0</v>
      </c>
      <c r="G219" s="162">
        <f>F4A!G219+F4B!G219</f>
        <v>0</v>
      </c>
      <c r="H219" s="162">
        <f>F4A!H219+F4B!H219</f>
        <v>0</v>
      </c>
      <c r="I219" s="162">
        <f>F4A!I219+F4B!I219</f>
        <v>0</v>
      </c>
      <c r="J219" s="162">
        <f>F4A!J219+F4B!J219</f>
        <v>0</v>
      </c>
      <c r="K219" s="162">
        <f>F4A!K219+F4B!K219</f>
        <v>0</v>
      </c>
      <c r="L219" s="162">
        <f>F4A!L219+F4B!L219</f>
        <v>0</v>
      </c>
      <c r="M219" s="162">
        <f>F4A!M219+F4B!M219</f>
        <v>0</v>
      </c>
      <c r="N219" s="162">
        <f>F4A!N219+F4B!N219</f>
        <v>0</v>
      </c>
      <c r="O219" s="162">
        <f>F4A!O219+F4B!O219</f>
        <v>0</v>
      </c>
      <c r="P219" s="162">
        <f>F4A!P219+F4B!P219</f>
        <v>0</v>
      </c>
      <c r="Q219" s="167">
        <f t="shared" si="12"/>
        <v>0</v>
      </c>
      <c r="R219" s="166"/>
      <c r="S219" s="166"/>
    </row>
    <row r="220" spans="3:19" hidden="1" x14ac:dyDescent="0.25">
      <c r="C220" s="17" t="s">
        <v>211</v>
      </c>
      <c r="D220" s="17" t="s">
        <v>189</v>
      </c>
      <c r="E220" s="162">
        <f>F4A!E220+F4B!E220</f>
        <v>0</v>
      </c>
      <c r="F220" s="162">
        <f>F4A!F220+F4B!F220</f>
        <v>0</v>
      </c>
      <c r="G220" s="162">
        <f>F4A!G220+F4B!G220</f>
        <v>0</v>
      </c>
      <c r="H220" s="162">
        <f>F4A!H220+F4B!H220</f>
        <v>0</v>
      </c>
      <c r="I220" s="162">
        <f>F4A!I220+F4B!I220</f>
        <v>0</v>
      </c>
      <c r="J220" s="162">
        <f>F4A!J220+F4B!J220</f>
        <v>0</v>
      </c>
      <c r="K220" s="162">
        <f>F4A!K220+F4B!K220</f>
        <v>0</v>
      </c>
      <c r="L220" s="162">
        <f>F4A!L220+F4B!L220</f>
        <v>0</v>
      </c>
      <c r="M220" s="162">
        <f>F4A!M220+F4B!M220</f>
        <v>0</v>
      </c>
      <c r="N220" s="162">
        <f>F4A!N220+F4B!N220</f>
        <v>0</v>
      </c>
      <c r="O220" s="162">
        <f>F4A!O220+F4B!O220</f>
        <v>0</v>
      </c>
      <c r="P220" s="162">
        <f>F4A!P220+F4B!P220</f>
        <v>0</v>
      </c>
      <c r="Q220" s="167">
        <f t="shared" si="12"/>
        <v>0</v>
      </c>
      <c r="R220" s="166"/>
      <c r="S220" s="166"/>
    </row>
    <row r="221" spans="3:19" hidden="1" x14ac:dyDescent="0.25">
      <c r="C221" s="17"/>
      <c r="D221" s="17"/>
      <c r="E221" s="162">
        <f>F4A!E221+F4B!E221</f>
        <v>0</v>
      </c>
      <c r="F221" s="162">
        <f>F4A!F221+F4B!F221</f>
        <v>0</v>
      </c>
      <c r="G221" s="162">
        <f>F4A!G221+F4B!G221</f>
        <v>0</v>
      </c>
      <c r="H221" s="162">
        <f>F4A!H221+F4B!H221</f>
        <v>0</v>
      </c>
      <c r="I221" s="162">
        <f>F4A!I221+F4B!I221</f>
        <v>0</v>
      </c>
      <c r="J221" s="162">
        <f>F4A!J221+F4B!J221</f>
        <v>0</v>
      </c>
      <c r="K221" s="162">
        <f>F4A!K221+F4B!K221</f>
        <v>0</v>
      </c>
      <c r="L221" s="162">
        <f>F4A!L221+F4B!L221</f>
        <v>0</v>
      </c>
      <c r="M221" s="162">
        <f>F4A!M221+F4B!M221</f>
        <v>0</v>
      </c>
      <c r="N221" s="162">
        <f>F4A!N221+F4B!N221</f>
        <v>0</v>
      </c>
      <c r="O221" s="162">
        <f>F4A!O221+F4B!O221</f>
        <v>0</v>
      </c>
      <c r="P221" s="162">
        <f>F4A!P221+F4B!P221</f>
        <v>0</v>
      </c>
      <c r="Q221" s="167">
        <f t="shared" si="12"/>
        <v>0</v>
      </c>
      <c r="R221" s="166"/>
      <c r="S221" s="166"/>
    </row>
    <row r="222" spans="3:19" hidden="1" x14ac:dyDescent="0.25">
      <c r="C222" s="17"/>
      <c r="D222" s="17"/>
      <c r="E222" s="162">
        <f>F4A!E222+F4B!E222</f>
        <v>0</v>
      </c>
      <c r="F222" s="162">
        <f>F4A!F222+F4B!F222</f>
        <v>0</v>
      </c>
      <c r="G222" s="162">
        <f>F4A!G222+F4B!G222</f>
        <v>0</v>
      </c>
      <c r="H222" s="162">
        <f>F4A!H222+F4B!H222</f>
        <v>0</v>
      </c>
      <c r="I222" s="162">
        <f>F4A!I222+F4B!I222</f>
        <v>0</v>
      </c>
      <c r="J222" s="162">
        <f>F4A!J222+F4B!J222</f>
        <v>0</v>
      </c>
      <c r="K222" s="162">
        <f>F4A!K222+F4B!K222</f>
        <v>0</v>
      </c>
      <c r="L222" s="162">
        <f>F4A!L222+F4B!L222</f>
        <v>0</v>
      </c>
      <c r="M222" s="162">
        <f>F4A!M222+F4B!M222</f>
        <v>0</v>
      </c>
      <c r="N222" s="162">
        <f>F4A!N222+F4B!N222</f>
        <v>0</v>
      </c>
      <c r="O222" s="162">
        <f>F4A!O222+F4B!O222</f>
        <v>0</v>
      </c>
      <c r="P222" s="162">
        <f>F4A!P222+F4B!P222</f>
        <v>0</v>
      </c>
      <c r="Q222" s="167">
        <f t="shared" ref="Q222:Q226" si="14">SUM(E222:P222)</f>
        <v>0</v>
      </c>
      <c r="R222" s="166"/>
      <c r="S222" s="166"/>
    </row>
    <row r="223" spans="3:19" hidden="1" x14ac:dyDescent="0.25">
      <c r="C223" s="17" t="s">
        <v>226</v>
      </c>
      <c r="D223" s="17" t="s">
        <v>226</v>
      </c>
      <c r="E223" s="162">
        <f>F4A!E223+F4B!E223</f>
        <v>0</v>
      </c>
      <c r="F223" s="162">
        <f>F4A!F223+F4B!F223</f>
        <v>0</v>
      </c>
      <c r="G223" s="162">
        <f>F4A!G223+F4B!G223</f>
        <v>0</v>
      </c>
      <c r="H223" s="162">
        <f>F4A!H223+F4B!H223</f>
        <v>0</v>
      </c>
      <c r="I223" s="162">
        <f>F4A!I223+F4B!I223</f>
        <v>0</v>
      </c>
      <c r="J223" s="162">
        <f>F4A!J223+F4B!J223</f>
        <v>0</v>
      </c>
      <c r="K223" s="162">
        <f>F4A!K223+F4B!K223</f>
        <v>0</v>
      </c>
      <c r="L223" s="162">
        <f>F4A!L223+F4B!L223</f>
        <v>0</v>
      </c>
      <c r="M223" s="162">
        <f>F4A!M223+F4B!M223</f>
        <v>0</v>
      </c>
      <c r="N223" s="162">
        <f>F4A!N223+F4B!N223</f>
        <v>0</v>
      </c>
      <c r="O223" s="162">
        <f>F4A!O223+F4B!O223</f>
        <v>0</v>
      </c>
      <c r="P223" s="162">
        <f>F4A!P223+F4B!P223</f>
        <v>0</v>
      </c>
      <c r="Q223" s="167">
        <f t="shared" si="14"/>
        <v>0</v>
      </c>
      <c r="R223" s="166"/>
      <c r="S223" s="166"/>
    </row>
    <row r="224" spans="3:19" hidden="1" x14ac:dyDescent="0.25">
      <c r="C224" s="751" t="s">
        <v>212</v>
      </c>
      <c r="D224" s="752"/>
      <c r="E224" s="167">
        <f t="shared" ref="E224:P224" si="15">SUM(E208:E223)</f>
        <v>318.97065793999997</v>
      </c>
      <c r="F224" s="167">
        <f t="shared" si="15"/>
        <v>168.35622643000002</v>
      </c>
      <c r="G224" s="167">
        <f t="shared" si="15"/>
        <v>186.15995340000001</v>
      </c>
      <c r="H224" s="167">
        <f t="shared" si="15"/>
        <v>157.72431426999998</v>
      </c>
      <c r="I224" s="167">
        <f t="shared" si="15"/>
        <v>598.64473013999998</v>
      </c>
      <c r="J224" s="167">
        <f t="shared" si="15"/>
        <v>159.61565044</v>
      </c>
      <c r="K224" s="167">
        <f t="shared" si="15"/>
        <v>114.097414</v>
      </c>
      <c r="L224" s="167">
        <f t="shared" si="15"/>
        <v>119.21904090000001</v>
      </c>
      <c r="M224" s="167">
        <f t="shared" si="15"/>
        <v>126.49739940000001</v>
      </c>
      <c r="N224" s="167">
        <f t="shared" si="15"/>
        <v>210.4876276</v>
      </c>
      <c r="O224" s="167">
        <f t="shared" si="15"/>
        <v>761.27488601999994</v>
      </c>
      <c r="P224" s="167">
        <f t="shared" si="15"/>
        <v>299.76306830000004</v>
      </c>
      <c r="Q224" s="167">
        <f t="shared" si="14"/>
        <v>3220.81096884</v>
      </c>
      <c r="R224" s="166"/>
      <c r="S224" s="166"/>
    </row>
    <row r="225" spans="3:19" hidden="1" x14ac:dyDescent="0.25">
      <c r="C225" s="751" t="s">
        <v>219</v>
      </c>
      <c r="D225" s="752"/>
      <c r="E225" s="167">
        <f t="shared" ref="E225:P225" si="16">E224+E206+E189</f>
        <v>517.96686613966881</v>
      </c>
      <c r="F225" s="167">
        <f t="shared" si="16"/>
        <v>306.06735888000003</v>
      </c>
      <c r="G225" s="167">
        <f t="shared" si="16"/>
        <v>356.94644167000001</v>
      </c>
      <c r="H225" s="167">
        <f t="shared" si="16"/>
        <v>374.37575234999997</v>
      </c>
      <c r="I225" s="167">
        <f t="shared" si="16"/>
        <v>827.68791913999996</v>
      </c>
      <c r="J225" s="167">
        <f t="shared" si="16"/>
        <v>385.13672836000001</v>
      </c>
      <c r="K225" s="167">
        <f t="shared" si="16"/>
        <v>364.05813126999993</v>
      </c>
      <c r="L225" s="167">
        <f t="shared" si="16"/>
        <v>319.07993980000003</v>
      </c>
      <c r="M225" s="167">
        <f t="shared" si="16"/>
        <v>356.72251525500002</v>
      </c>
      <c r="N225" s="167">
        <f t="shared" si="16"/>
        <v>479.50637037833337</v>
      </c>
      <c r="O225" s="167">
        <f t="shared" si="16"/>
        <v>1020.8783477183333</v>
      </c>
      <c r="P225" s="167">
        <f t="shared" si="16"/>
        <v>537.68889135866448</v>
      </c>
      <c r="Q225" s="167">
        <f t="shared" si="14"/>
        <v>5846.1152623199996</v>
      </c>
      <c r="R225" s="166"/>
      <c r="S225" s="166"/>
    </row>
    <row r="226" spans="3:19" hidden="1" x14ac:dyDescent="0.25">
      <c r="C226" s="751" t="s">
        <v>220</v>
      </c>
      <c r="D226" s="752"/>
      <c r="E226" s="167">
        <f t="shared" ref="E226:P226" si="17">E225+E172</f>
        <v>1531.4939837949948</v>
      </c>
      <c r="F226" s="167">
        <f t="shared" si="17"/>
        <v>1115.59680757</v>
      </c>
      <c r="G226" s="167">
        <f t="shared" si="17"/>
        <v>1123.6972817670003</v>
      </c>
      <c r="H226" s="167">
        <f t="shared" si="17"/>
        <v>1539.1126767654964</v>
      </c>
      <c r="I226" s="167">
        <f t="shared" si="17"/>
        <v>1772.2381291918405</v>
      </c>
      <c r="J226" s="167">
        <f t="shared" si="17"/>
        <v>1407.923168711</v>
      </c>
      <c r="K226" s="167">
        <f t="shared" si="17"/>
        <v>1168.8627717700001</v>
      </c>
      <c r="L226" s="167">
        <f t="shared" si="17"/>
        <v>1013.3811133</v>
      </c>
      <c r="M226" s="167">
        <f t="shared" si="17"/>
        <v>1474.7589360879999</v>
      </c>
      <c r="N226" s="167">
        <f t="shared" si="17"/>
        <v>1886.9916313483336</v>
      </c>
      <c r="O226" s="167">
        <f t="shared" si="17"/>
        <v>2326.0291225442234</v>
      </c>
      <c r="P226" s="167">
        <f t="shared" si="17"/>
        <v>2413.8512484327744</v>
      </c>
      <c r="Q226" s="167">
        <f t="shared" si="14"/>
        <v>18773.936871283662</v>
      </c>
      <c r="R226" s="166"/>
      <c r="S226" s="166"/>
    </row>
    <row r="227" spans="3:19" hidden="1" x14ac:dyDescent="0.25">
      <c r="C227" s="25"/>
      <c r="D227" s="25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</row>
    <row r="228" spans="3:19" hidden="1" x14ac:dyDescent="0.25">
      <c r="C228" s="14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9" t="s">
        <v>229</v>
      </c>
      <c r="R228" s="166"/>
      <c r="S228" s="166"/>
    </row>
    <row r="229" spans="3:19" hidden="1" x14ac:dyDescent="0.25">
      <c r="C229" s="760" t="s">
        <v>163</v>
      </c>
      <c r="D229" s="760"/>
      <c r="E229" s="761" t="s">
        <v>254</v>
      </c>
      <c r="F229" s="761"/>
      <c r="G229" s="761"/>
      <c r="H229" s="761"/>
      <c r="I229" s="761"/>
      <c r="J229" s="761"/>
      <c r="K229" s="761"/>
      <c r="L229" s="761"/>
      <c r="M229" s="761"/>
      <c r="N229" s="761"/>
      <c r="O229" s="761"/>
      <c r="P229" s="761"/>
      <c r="Q229" s="761"/>
      <c r="R229" s="166"/>
      <c r="S229" s="166"/>
    </row>
    <row r="230" spans="3:19" hidden="1" x14ac:dyDescent="0.25">
      <c r="C230" s="760"/>
      <c r="D230" s="760"/>
      <c r="E230" s="168" t="s">
        <v>239</v>
      </c>
      <c r="F230" s="168" t="s">
        <v>240</v>
      </c>
      <c r="G230" s="168" t="s">
        <v>241</v>
      </c>
      <c r="H230" s="168" t="s">
        <v>242</v>
      </c>
      <c r="I230" s="168" t="s">
        <v>243</v>
      </c>
      <c r="J230" s="168" t="s">
        <v>244</v>
      </c>
      <c r="K230" s="168" t="s">
        <v>245</v>
      </c>
      <c r="L230" s="168" t="s">
        <v>246</v>
      </c>
      <c r="M230" s="168" t="s">
        <v>247</v>
      </c>
      <c r="N230" s="168" t="s">
        <v>248</v>
      </c>
      <c r="O230" s="168" t="s">
        <v>249</v>
      </c>
      <c r="P230" s="168" t="s">
        <v>250</v>
      </c>
      <c r="Q230" s="168" t="s">
        <v>251</v>
      </c>
      <c r="R230" s="166"/>
      <c r="S230" s="166"/>
    </row>
    <row r="231" spans="3:19" hidden="1" x14ac:dyDescent="0.25">
      <c r="C231" s="753" t="s">
        <v>171</v>
      </c>
      <c r="D231" s="754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7">
        <f t="shared" ref="Q231:Q262" si="18">SUM(E231:P231)</f>
        <v>0</v>
      </c>
      <c r="R231" s="166"/>
      <c r="S231" s="166"/>
    </row>
    <row r="232" spans="3:19" hidden="1" x14ac:dyDescent="0.25">
      <c r="C232" s="59" t="s">
        <v>172</v>
      </c>
      <c r="D232" s="59" t="s">
        <v>173</v>
      </c>
      <c r="E232" s="162">
        <f>F4A!E232+F4B!E232</f>
        <v>333.62933812389008</v>
      </c>
      <c r="F232" s="162">
        <f>F4A!F232+F4B!F232</f>
        <v>399.94714199999999</v>
      </c>
      <c r="G232" s="162">
        <f>F4A!G232+F4B!G232</f>
        <v>405.39577099999997</v>
      </c>
      <c r="H232" s="162">
        <f>F4A!H232+F4B!H232</f>
        <v>358.41199999999992</v>
      </c>
      <c r="I232" s="162">
        <f>F4A!I232+F4B!I232</f>
        <v>372.15892899999994</v>
      </c>
      <c r="J232" s="162">
        <f>F4A!J232+F4B!J232</f>
        <v>350.02704699999992</v>
      </c>
      <c r="K232" s="162">
        <f>F4A!K232+F4B!K232</f>
        <v>339.12101499999994</v>
      </c>
      <c r="L232" s="162">
        <f>F4A!L232+F4B!L232</f>
        <v>316.38501516999997</v>
      </c>
      <c r="M232" s="162">
        <f>F4A!M232+F4B!M232</f>
        <v>272.18700000000001</v>
      </c>
      <c r="N232" s="162">
        <f>F4A!N232+F4B!N232</f>
        <v>234.19050299999998</v>
      </c>
      <c r="O232" s="162">
        <f>F4A!O232+F4B!O232</f>
        <v>229.74135010999998</v>
      </c>
      <c r="P232" s="162">
        <f>F4A!P232+F4B!P232</f>
        <v>252.22675699999996</v>
      </c>
      <c r="Q232" s="167">
        <f t="shared" si="18"/>
        <v>3863.4218674038889</v>
      </c>
      <c r="R232" s="166"/>
      <c r="S232" s="166"/>
    </row>
    <row r="233" spans="3:19" hidden="1" x14ac:dyDescent="0.25">
      <c r="C233" s="17" t="s">
        <v>174</v>
      </c>
      <c r="D233" s="17" t="s">
        <v>175</v>
      </c>
      <c r="E233" s="162">
        <f>F4A!E233+F4B!E233</f>
        <v>65.146134619481018</v>
      </c>
      <c r="F233" s="162">
        <f>F4A!F233+F4B!F233</f>
        <v>65.877068000000008</v>
      </c>
      <c r="G233" s="162">
        <f>F4A!G233+F4B!G233</f>
        <v>57.862479000000022</v>
      </c>
      <c r="H233" s="162">
        <f>F4A!H233+F4B!H233</f>
        <v>60.416999999999994</v>
      </c>
      <c r="I233" s="162">
        <f>F4A!I233+F4B!I233</f>
        <v>63.616415000000003</v>
      </c>
      <c r="J233" s="162">
        <f>F4A!J233+F4B!J233</f>
        <v>65.255687000000009</v>
      </c>
      <c r="K233" s="162">
        <f>F4A!K233+F4B!K233</f>
        <v>63.981610000000011</v>
      </c>
      <c r="L233" s="162">
        <f>F4A!L233+F4B!L233</f>
        <v>66.002808000000016</v>
      </c>
      <c r="M233" s="162">
        <f>F4A!M233+F4B!M233</f>
        <v>62.628730000000019</v>
      </c>
      <c r="N233" s="162">
        <f>F4A!N233+F4B!N233</f>
        <v>58.422727000000023</v>
      </c>
      <c r="O233" s="162">
        <f>F4A!O233+F4B!O233</f>
        <v>55.084436560000022</v>
      </c>
      <c r="P233" s="162">
        <f>F4A!P233+F4B!P233</f>
        <v>59.562203000000011</v>
      </c>
      <c r="Q233" s="167">
        <f t="shared" si="18"/>
        <v>743.85729817948095</v>
      </c>
      <c r="R233" s="166"/>
      <c r="S233" s="166"/>
    </row>
    <row r="234" spans="3:19" hidden="1" x14ac:dyDescent="0.25">
      <c r="C234" s="17" t="s">
        <v>176</v>
      </c>
      <c r="D234" s="17" t="s">
        <v>177</v>
      </c>
      <c r="E234" s="162">
        <f>F4A!E234+F4B!E234</f>
        <v>23.036509254418004</v>
      </c>
      <c r="F234" s="162">
        <f>F4A!F234+F4B!F234</f>
        <v>18.583062000000005</v>
      </c>
      <c r="G234" s="162">
        <f>F4A!G234+F4B!G234</f>
        <v>17.507388000000002</v>
      </c>
      <c r="H234" s="162">
        <f>F4A!H234+F4B!H234</f>
        <v>18.530999999999995</v>
      </c>
      <c r="I234" s="162">
        <f>F4A!I234+F4B!I234</f>
        <v>17.383475000000001</v>
      </c>
      <c r="J234" s="162">
        <f>F4A!J234+F4B!J234</f>
        <v>17.238634999999995</v>
      </c>
      <c r="K234" s="162">
        <f>F4A!K234+F4B!K234</f>
        <v>16.238274000000001</v>
      </c>
      <c r="L234" s="162">
        <f>F4A!L234+F4B!L234</f>
        <v>16.492170000000002</v>
      </c>
      <c r="M234" s="162">
        <f>F4A!M234+F4B!M234</f>
        <v>20.195349999999998</v>
      </c>
      <c r="N234" s="162">
        <f>F4A!N234+F4B!N234</f>
        <v>26.320556</v>
      </c>
      <c r="O234" s="162">
        <f>F4A!O234+F4B!O234</f>
        <v>24.047546000000004</v>
      </c>
      <c r="P234" s="162">
        <f>F4A!P234+F4B!P234</f>
        <v>20.162482999999995</v>
      </c>
      <c r="Q234" s="167">
        <f t="shared" si="18"/>
        <v>235.73644825441801</v>
      </c>
      <c r="R234" s="166"/>
      <c r="S234" s="166"/>
    </row>
    <row r="235" spans="3:19" hidden="1" x14ac:dyDescent="0.25">
      <c r="C235" s="17" t="s">
        <v>178</v>
      </c>
      <c r="D235" s="17" t="s">
        <v>179</v>
      </c>
      <c r="E235" s="162">
        <f>F4A!E235+F4B!E235</f>
        <v>0.71030101199000006</v>
      </c>
      <c r="F235" s="162">
        <f>F4A!F235+F4B!F235</f>
        <v>0.68848900000000013</v>
      </c>
      <c r="G235" s="162">
        <f>F4A!G235+F4B!G235</f>
        <v>0.69644300000000015</v>
      </c>
      <c r="H235" s="162">
        <f>F4A!H235+F4B!H235</f>
        <v>0.68543200000000026</v>
      </c>
      <c r="I235" s="162">
        <f>F4A!I235+F4B!I235</f>
        <v>0.69957899999999995</v>
      </c>
      <c r="J235" s="162">
        <f>F4A!J235+F4B!J235</f>
        <v>0.72765200000000008</v>
      </c>
      <c r="K235" s="162">
        <f>F4A!K235+F4B!K235</f>
        <v>0.69283699999999993</v>
      </c>
      <c r="L235" s="162">
        <f>F4A!L235+F4B!L235</f>
        <v>0.69324099999999989</v>
      </c>
      <c r="M235" s="162">
        <f>F4A!M235+F4B!M235</f>
        <v>0.67070200000000013</v>
      </c>
      <c r="N235" s="162">
        <f>F4A!N235+F4B!N235</f>
        <v>0.6683300000000002</v>
      </c>
      <c r="O235" s="162">
        <f>F4A!O235+F4B!O235</f>
        <v>0.636459</v>
      </c>
      <c r="P235" s="162">
        <f>F4A!P235+F4B!P235</f>
        <v>0.61001399999999995</v>
      </c>
      <c r="Q235" s="167">
        <f t="shared" si="18"/>
        <v>8.1794790119900007</v>
      </c>
      <c r="R235" s="166"/>
      <c r="S235" s="166"/>
    </row>
    <row r="236" spans="3:19" hidden="1" x14ac:dyDescent="0.25">
      <c r="C236" s="17" t="s">
        <v>180</v>
      </c>
      <c r="D236" s="17" t="s">
        <v>181</v>
      </c>
      <c r="E236" s="162">
        <f>F4A!E236+F4B!E236</f>
        <v>712.65321404124018</v>
      </c>
      <c r="F236" s="162">
        <f>F4A!F236+F4B!F236</f>
        <v>246.541964529018</v>
      </c>
      <c r="G236" s="162">
        <f>F4A!G236+F4B!G236</f>
        <v>202.74297569999996</v>
      </c>
      <c r="H236" s="162">
        <f>F4A!H236+F4B!H236</f>
        <v>553.61921999999993</v>
      </c>
      <c r="I236" s="162">
        <f>F4A!I236+F4B!I236</f>
        <v>777.05700000000013</v>
      </c>
      <c r="J236" s="162">
        <f>F4A!J236+F4B!J236</f>
        <v>445.22429999999991</v>
      </c>
      <c r="K236" s="162">
        <f>F4A!K236+F4B!K236</f>
        <v>644.33299999999986</v>
      </c>
      <c r="L236" s="162">
        <f>F4A!L236+F4B!L236</f>
        <v>246.53799999999998</v>
      </c>
      <c r="M236" s="162">
        <f>F4A!M236+F4B!M236</f>
        <v>598.60400000000004</v>
      </c>
      <c r="N236" s="162">
        <f>F4A!N236+F4B!N236</f>
        <v>763.60999999999979</v>
      </c>
      <c r="O236" s="162">
        <f>F4A!O236+F4B!O236</f>
        <v>868.09800000000007</v>
      </c>
      <c r="P236" s="162">
        <f>F4A!P236+F4B!P236</f>
        <v>1360.4870000000001</v>
      </c>
      <c r="Q236" s="167">
        <f t="shared" si="18"/>
        <v>7419.5086742702579</v>
      </c>
      <c r="R236" s="166"/>
      <c r="S236" s="166"/>
    </row>
    <row r="237" spans="3:19" hidden="1" x14ac:dyDescent="0.25">
      <c r="C237" s="17" t="s">
        <v>182</v>
      </c>
      <c r="D237" s="17" t="s">
        <v>183</v>
      </c>
      <c r="E237" s="162">
        <f>F4A!E237+F4B!E237</f>
        <v>28.166138466491997</v>
      </c>
      <c r="F237" s="162">
        <f>F4A!F237+F4B!F237</f>
        <v>29.299648000000005</v>
      </c>
      <c r="G237" s="162">
        <f>F4A!G237+F4B!G237</f>
        <v>29.700022000000004</v>
      </c>
      <c r="H237" s="162">
        <f>F4A!H237+F4B!H237</f>
        <v>27.23252699999999</v>
      </c>
      <c r="I237" s="162">
        <f>F4A!I237+F4B!I237</f>
        <v>27.382190000000001</v>
      </c>
      <c r="J237" s="162">
        <f>F4A!J237+F4B!J237</f>
        <v>27.498260999999996</v>
      </c>
      <c r="K237" s="162">
        <f>F4A!K237+F4B!K237</f>
        <v>26.829956999999997</v>
      </c>
      <c r="L237" s="162">
        <f>F4A!L237+F4B!L237</f>
        <v>29.974435999999997</v>
      </c>
      <c r="M237" s="162">
        <f>F4A!M237+F4B!M237</f>
        <v>29.114890999999993</v>
      </c>
      <c r="N237" s="162">
        <f>F4A!N237+F4B!N237</f>
        <v>30.831655999999995</v>
      </c>
      <c r="O237" s="162">
        <f>F4A!O237+F4B!O237</f>
        <v>29.642448999999999</v>
      </c>
      <c r="P237" s="162">
        <f>F4A!P237+F4B!P237</f>
        <v>28.848711999999992</v>
      </c>
      <c r="Q237" s="167">
        <f t="shared" si="18"/>
        <v>344.52088746649196</v>
      </c>
      <c r="R237" s="166"/>
      <c r="S237" s="166"/>
    </row>
    <row r="238" spans="3:19" hidden="1" x14ac:dyDescent="0.25">
      <c r="C238" s="17" t="s">
        <v>184</v>
      </c>
      <c r="D238" s="17" t="s">
        <v>185</v>
      </c>
      <c r="E238" s="162">
        <f>F4A!E238+F4B!E238</f>
        <v>3.2874220416490001</v>
      </c>
      <c r="F238" s="162">
        <f>F4A!F238+F4B!F238</f>
        <v>2.4221669999999995</v>
      </c>
      <c r="G238" s="162">
        <f>F4A!G238+F4B!G238</f>
        <v>1.9482400000000004</v>
      </c>
      <c r="H238" s="162">
        <f>F4A!H238+F4B!H238</f>
        <v>1.8334930000000003</v>
      </c>
      <c r="I238" s="162">
        <f>F4A!I238+F4B!I238</f>
        <v>2.1785360000000003</v>
      </c>
      <c r="J238" s="162">
        <f>F4A!J238+F4B!J238</f>
        <v>2.310384</v>
      </c>
      <c r="K238" s="162">
        <f>F4A!K238+F4B!K238</f>
        <v>2.3578010000000011</v>
      </c>
      <c r="L238" s="162">
        <f>F4A!L238+F4B!L238</f>
        <v>3.0700069999999995</v>
      </c>
      <c r="M238" s="162">
        <f>F4A!M238+F4B!M238</f>
        <v>4.3293220000000012</v>
      </c>
      <c r="N238" s="162">
        <f>F4A!N238+F4B!N238</f>
        <v>3.6286029999999996</v>
      </c>
      <c r="O238" s="162">
        <f>F4A!O238+F4B!O238</f>
        <v>2.3092009999999998</v>
      </c>
      <c r="P238" s="162">
        <f>F4A!P238+F4B!P238</f>
        <v>4.1169799999999999</v>
      </c>
      <c r="Q238" s="167">
        <f t="shared" si="18"/>
        <v>33.792156041649001</v>
      </c>
      <c r="R238" s="166"/>
      <c r="S238" s="166"/>
    </row>
    <row r="239" spans="3:19" hidden="1" x14ac:dyDescent="0.25">
      <c r="C239" s="17" t="s">
        <v>186</v>
      </c>
      <c r="D239" s="17" t="s">
        <v>187</v>
      </c>
      <c r="E239" s="162">
        <f>F4A!E239+F4B!E239</f>
        <v>0.36868000000000001</v>
      </c>
      <c r="F239" s="162">
        <f>F4A!F239+F4B!F239</f>
        <v>0.37394200000000005</v>
      </c>
      <c r="G239" s="162">
        <f>F4A!G239+F4B!G239</f>
        <v>0.34373004660000001</v>
      </c>
      <c r="H239" s="162">
        <f>F4A!H239+F4B!H239</f>
        <v>0.34805799999999998</v>
      </c>
      <c r="I239" s="162">
        <f>F4A!I239+F4B!I239</f>
        <v>0.38521399999999995</v>
      </c>
      <c r="J239" s="162">
        <f>F4A!J239+F4B!J239</f>
        <v>0.41604599999999997</v>
      </c>
      <c r="K239" s="162">
        <f>F4A!K239+F4B!K239</f>
        <v>0.42059200000000002</v>
      </c>
      <c r="L239" s="162">
        <f>F4A!L239+F4B!L239</f>
        <v>0.43863600000000003</v>
      </c>
      <c r="M239" s="162">
        <f>F4A!M239+F4B!M239</f>
        <v>0.38350499999999998</v>
      </c>
      <c r="N239" s="162">
        <f>F4A!N239+F4B!N239</f>
        <v>0.50382899999999997</v>
      </c>
      <c r="O239" s="162">
        <f>F4A!O239+F4B!O239</f>
        <v>0.485815</v>
      </c>
      <c r="P239" s="162">
        <f>F4A!P239+F4B!P239</f>
        <v>0.53981199999999996</v>
      </c>
      <c r="Q239" s="167">
        <f t="shared" si="18"/>
        <v>5.0078590466000001</v>
      </c>
      <c r="R239" s="166"/>
      <c r="S239" s="166"/>
    </row>
    <row r="240" spans="3:19" hidden="1" x14ac:dyDescent="0.25">
      <c r="C240" s="17" t="s">
        <v>188</v>
      </c>
      <c r="D240" s="17" t="s">
        <v>189</v>
      </c>
      <c r="E240" s="162">
        <f>F4A!E240+F4B!E240</f>
        <v>0</v>
      </c>
      <c r="F240" s="162">
        <f>F4A!F240+F4B!F240</f>
        <v>0</v>
      </c>
      <c r="G240" s="162">
        <f>F4A!G240+F4B!G240</f>
        <v>0</v>
      </c>
      <c r="H240" s="162">
        <f>F4A!H240+F4B!H240</f>
        <v>0</v>
      </c>
      <c r="I240" s="162">
        <f>F4A!I240+F4B!I240</f>
        <v>0</v>
      </c>
      <c r="J240" s="162">
        <f>F4A!J240+F4B!J240</f>
        <v>0</v>
      </c>
      <c r="K240" s="162">
        <f>F4A!K240+F4B!K240</f>
        <v>0</v>
      </c>
      <c r="L240" s="162">
        <f>F4A!L240+F4B!L240</f>
        <v>0</v>
      </c>
      <c r="M240" s="162">
        <f>F4A!M240+F4B!M240</f>
        <v>0</v>
      </c>
      <c r="N240" s="162">
        <f>F4A!N240+F4B!N240</f>
        <v>0</v>
      </c>
      <c r="O240" s="162">
        <f>F4A!O240+F4B!O240</f>
        <v>0</v>
      </c>
      <c r="P240" s="162">
        <f>F4A!P240+F4B!P240</f>
        <v>0</v>
      </c>
      <c r="Q240" s="167">
        <f t="shared" si="18"/>
        <v>0</v>
      </c>
      <c r="R240" s="166"/>
      <c r="S240" s="166"/>
    </row>
    <row r="241" spans="3:19" hidden="1" x14ac:dyDescent="0.25">
      <c r="C241" s="17"/>
      <c r="D241" s="17"/>
      <c r="E241" s="162">
        <f>F4A!E241+F4B!E241</f>
        <v>0</v>
      </c>
      <c r="F241" s="162">
        <f>F4A!F241+F4B!F241</f>
        <v>0</v>
      </c>
      <c r="G241" s="162">
        <f>F4A!G241+F4B!G241</f>
        <v>0</v>
      </c>
      <c r="H241" s="162">
        <f>F4A!H241+F4B!H241</f>
        <v>0</v>
      </c>
      <c r="I241" s="162">
        <f>F4A!I241+F4B!I241</f>
        <v>0</v>
      </c>
      <c r="J241" s="162">
        <f>F4A!J241+F4B!J241</f>
        <v>0</v>
      </c>
      <c r="K241" s="162">
        <f>F4A!K241+F4B!K241</f>
        <v>0</v>
      </c>
      <c r="L241" s="162">
        <f>F4A!L241+F4B!L241</f>
        <v>0</v>
      </c>
      <c r="M241" s="162">
        <f>F4A!M241+F4B!M241</f>
        <v>0</v>
      </c>
      <c r="N241" s="162">
        <f>F4A!N241+F4B!N241</f>
        <v>0</v>
      </c>
      <c r="O241" s="162">
        <f>F4A!O241+F4B!O241</f>
        <v>0</v>
      </c>
      <c r="P241" s="162">
        <f>F4A!P241+F4B!P241</f>
        <v>0</v>
      </c>
      <c r="Q241" s="167">
        <f t="shared" si="18"/>
        <v>0</v>
      </c>
      <c r="R241" s="166"/>
      <c r="S241" s="166"/>
    </row>
    <row r="242" spans="3:19" hidden="1" x14ac:dyDescent="0.25">
      <c r="C242" s="17"/>
      <c r="D242" s="17"/>
      <c r="E242" s="162">
        <f>F4A!E242+F4B!E242</f>
        <v>0</v>
      </c>
      <c r="F242" s="162">
        <f>F4A!F242+F4B!F242</f>
        <v>0</v>
      </c>
      <c r="G242" s="162">
        <f>F4A!G242+F4B!G242</f>
        <v>0</v>
      </c>
      <c r="H242" s="162">
        <f>F4A!H242+F4B!H242</f>
        <v>0</v>
      </c>
      <c r="I242" s="162">
        <f>F4A!I242+F4B!I242</f>
        <v>0</v>
      </c>
      <c r="J242" s="162">
        <f>F4A!J242+F4B!J242</f>
        <v>0</v>
      </c>
      <c r="K242" s="162">
        <f>F4A!K242+F4B!K242</f>
        <v>0</v>
      </c>
      <c r="L242" s="162">
        <f>F4A!L242+F4B!L242</f>
        <v>0</v>
      </c>
      <c r="M242" s="162">
        <f>F4A!M242+F4B!M242</f>
        <v>0</v>
      </c>
      <c r="N242" s="162">
        <f>F4A!N242+F4B!N242</f>
        <v>0</v>
      </c>
      <c r="O242" s="162">
        <f>F4A!O242+F4B!O242</f>
        <v>0</v>
      </c>
      <c r="P242" s="162">
        <f>F4A!P242+F4B!P242</f>
        <v>0</v>
      </c>
      <c r="Q242" s="167">
        <f t="shared" si="18"/>
        <v>0</v>
      </c>
      <c r="R242" s="166"/>
      <c r="S242" s="166"/>
    </row>
    <row r="243" spans="3:19" hidden="1" x14ac:dyDescent="0.25">
      <c r="C243" s="17"/>
      <c r="D243" s="17"/>
      <c r="E243" s="162">
        <f>F4A!E243+F4B!E243</f>
        <v>0</v>
      </c>
      <c r="F243" s="162">
        <f>F4A!F243+F4B!F243</f>
        <v>0</v>
      </c>
      <c r="G243" s="162">
        <f>F4A!G243+F4B!G243</f>
        <v>0</v>
      </c>
      <c r="H243" s="162">
        <f>F4A!H243+F4B!H243</f>
        <v>0</v>
      </c>
      <c r="I243" s="162">
        <f>F4A!I243+F4B!I243</f>
        <v>0</v>
      </c>
      <c r="J243" s="162">
        <f>F4A!J243+F4B!J243</f>
        <v>0</v>
      </c>
      <c r="K243" s="162">
        <f>F4A!K243+F4B!K243</f>
        <v>0</v>
      </c>
      <c r="L243" s="162">
        <f>F4A!L243+F4B!L243</f>
        <v>0</v>
      </c>
      <c r="M243" s="162">
        <f>F4A!M243+F4B!M243</f>
        <v>0</v>
      </c>
      <c r="N243" s="162">
        <f>F4A!N243+F4B!N243</f>
        <v>0</v>
      </c>
      <c r="O243" s="162">
        <f>F4A!O243+F4B!O243</f>
        <v>0</v>
      </c>
      <c r="P243" s="162">
        <f>F4A!P243+F4B!P243</f>
        <v>0</v>
      </c>
      <c r="Q243" s="167">
        <f t="shared" si="18"/>
        <v>0</v>
      </c>
      <c r="R243" s="166"/>
      <c r="S243" s="166"/>
    </row>
    <row r="244" spans="3:19" hidden="1" x14ac:dyDescent="0.25">
      <c r="C244" s="17" t="s">
        <v>226</v>
      </c>
      <c r="D244" s="17" t="s">
        <v>226</v>
      </c>
      <c r="E244" s="162">
        <f>F4A!E244+F4B!E244</f>
        <v>0</v>
      </c>
      <c r="F244" s="162">
        <f>F4A!F244+F4B!F244</f>
        <v>0</v>
      </c>
      <c r="G244" s="162">
        <f>F4A!G244+F4B!G244</f>
        <v>0</v>
      </c>
      <c r="H244" s="162">
        <f>F4A!H244+F4B!H244</f>
        <v>0</v>
      </c>
      <c r="I244" s="162">
        <f>F4A!I244+F4B!I244</f>
        <v>0</v>
      </c>
      <c r="J244" s="162">
        <f>F4A!J244+F4B!J244</f>
        <v>0</v>
      </c>
      <c r="K244" s="162">
        <f>F4A!K244+F4B!K244</f>
        <v>0</v>
      </c>
      <c r="L244" s="162">
        <f>F4A!L244+F4B!L244</f>
        <v>0</v>
      </c>
      <c r="M244" s="162">
        <f>F4A!M244+F4B!M244</f>
        <v>0</v>
      </c>
      <c r="N244" s="162">
        <f>F4A!N244+F4B!N244</f>
        <v>0</v>
      </c>
      <c r="O244" s="162">
        <f>F4A!O244+F4B!O244</f>
        <v>0</v>
      </c>
      <c r="P244" s="162">
        <f>F4A!P244+F4B!P244</f>
        <v>0</v>
      </c>
      <c r="Q244" s="167">
        <f t="shared" si="18"/>
        <v>0</v>
      </c>
      <c r="R244" s="166"/>
      <c r="S244" s="166"/>
    </row>
    <row r="245" spans="3:19" hidden="1" x14ac:dyDescent="0.25">
      <c r="C245" s="751" t="s">
        <v>190</v>
      </c>
      <c r="D245" s="752"/>
      <c r="E245" s="167">
        <f t="shared" ref="E245:P245" si="19">SUM(E232:E244)</f>
        <v>1166.9977375591602</v>
      </c>
      <c r="F245" s="167">
        <f t="shared" si="19"/>
        <v>763.73348252901803</v>
      </c>
      <c r="G245" s="167">
        <f t="shared" si="19"/>
        <v>716.19704874659988</v>
      </c>
      <c r="H245" s="167">
        <f t="shared" si="19"/>
        <v>1021.0787299999998</v>
      </c>
      <c r="I245" s="167">
        <f t="shared" si="19"/>
        <v>1260.8613379999999</v>
      </c>
      <c r="J245" s="167">
        <f t="shared" si="19"/>
        <v>908.69801199999984</v>
      </c>
      <c r="K245" s="167">
        <f t="shared" si="19"/>
        <v>1093.9750859999997</v>
      </c>
      <c r="L245" s="167">
        <f t="shared" si="19"/>
        <v>679.59431316999996</v>
      </c>
      <c r="M245" s="167">
        <f t="shared" si="19"/>
        <v>988.11350000000016</v>
      </c>
      <c r="N245" s="167">
        <f t="shared" si="19"/>
        <v>1118.1762039999999</v>
      </c>
      <c r="O245" s="167">
        <f t="shared" si="19"/>
        <v>1210.0452566700001</v>
      </c>
      <c r="P245" s="167">
        <f t="shared" si="19"/>
        <v>1726.5539610000001</v>
      </c>
      <c r="Q245" s="167">
        <f t="shared" si="18"/>
        <v>12654.024669674776</v>
      </c>
      <c r="R245" s="166"/>
      <c r="S245" s="166"/>
    </row>
    <row r="246" spans="3:19" hidden="1" x14ac:dyDescent="0.25">
      <c r="C246" s="753" t="s">
        <v>191</v>
      </c>
      <c r="D246" s="754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7">
        <f t="shared" si="18"/>
        <v>0</v>
      </c>
      <c r="R246" s="166"/>
      <c r="S246" s="166"/>
    </row>
    <row r="247" spans="3:19" hidden="1" x14ac:dyDescent="0.25">
      <c r="C247" s="17" t="s">
        <v>192</v>
      </c>
      <c r="D247" s="17" t="s">
        <v>193</v>
      </c>
      <c r="E247" s="162">
        <f>F4A!E247+F4B!E247</f>
        <v>68.332021150000031</v>
      </c>
      <c r="F247" s="162">
        <f>F4A!F247+F4B!F247</f>
        <v>60.097860459999993</v>
      </c>
      <c r="G247" s="162">
        <f>F4A!G247+F4B!G247</f>
        <v>62.587564149999984</v>
      </c>
      <c r="H247" s="162">
        <f>F4A!H247+F4B!H247</f>
        <v>73.453788549999857</v>
      </c>
      <c r="I247" s="162">
        <f>F4A!I247+F4B!I247</f>
        <v>77.151604639999988</v>
      </c>
      <c r="J247" s="162">
        <f>F4A!J247+F4B!J247</f>
        <v>80.27341746000009</v>
      </c>
      <c r="K247" s="162">
        <f>F4A!K247+F4B!K247</f>
        <v>70.641215869999996</v>
      </c>
      <c r="L247" s="162">
        <f>F4A!L247+F4B!L247</f>
        <v>88.638909880000028</v>
      </c>
      <c r="M247" s="162">
        <f>F4A!M247+F4B!M247</f>
        <v>90.427725529999989</v>
      </c>
      <c r="N247" s="162">
        <f>F4A!N247+F4B!N247</f>
        <v>90.268448349999986</v>
      </c>
      <c r="O247" s="162">
        <f>F4A!O247+F4B!O247</f>
        <v>89.293378559999979</v>
      </c>
      <c r="P247" s="162">
        <f>F4A!P247+F4B!P247</f>
        <v>73.245769979999977</v>
      </c>
      <c r="Q247" s="167">
        <f t="shared" si="18"/>
        <v>924.41170457999988</v>
      </c>
      <c r="R247" s="166"/>
      <c r="S247" s="166"/>
    </row>
    <row r="248" spans="3:19" hidden="1" x14ac:dyDescent="0.25">
      <c r="C248" s="17" t="s">
        <v>194</v>
      </c>
      <c r="D248" s="17" t="s">
        <v>195</v>
      </c>
      <c r="E248" s="162">
        <f>F4A!E248+F4B!E248</f>
        <v>0</v>
      </c>
      <c r="F248" s="162">
        <f>F4A!F248+F4B!F248</f>
        <v>0</v>
      </c>
      <c r="G248" s="162">
        <f>F4A!G248+F4B!G248</f>
        <v>0</v>
      </c>
      <c r="H248" s="162">
        <f>F4A!H248+F4B!H248</f>
        <v>0</v>
      </c>
      <c r="I248" s="162">
        <f>F4A!I248+F4B!I248</f>
        <v>0</v>
      </c>
      <c r="J248" s="162">
        <f>F4A!J248+F4B!J248</f>
        <v>0</v>
      </c>
      <c r="K248" s="162">
        <f>F4A!K248+F4B!K248</f>
        <v>0</v>
      </c>
      <c r="L248" s="162">
        <f>F4A!L248+F4B!L248</f>
        <v>0</v>
      </c>
      <c r="M248" s="162">
        <f>F4A!M248+F4B!M248</f>
        <v>0</v>
      </c>
      <c r="N248" s="162">
        <f>F4A!N248+F4B!N248</f>
        <v>0</v>
      </c>
      <c r="O248" s="162">
        <f>F4A!O248+F4B!O248</f>
        <v>0</v>
      </c>
      <c r="P248" s="162">
        <f>F4A!P248+F4B!P248</f>
        <v>0</v>
      </c>
      <c r="Q248" s="167">
        <f t="shared" si="18"/>
        <v>0</v>
      </c>
      <c r="R248" s="166"/>
      <c r="S248" s="166"/>
    </row>
    <row r="249" spans="3:19" hidden="1" x14ac:dyDescent="0.25">
      <c r="C249" s="17" t="s">
        <v>233</v>
      </c>
      <c r="D249" s="17" t="s">
        <v>197</v>
      </c>
      <c r="E249" s="162">
        <f>F4A!E249+F4B!E249</f>
        <v>11.828464940000002</v>
      </c>
      <c r="F249" s="162">
        <f>F4A!F249+F4B!F249</f>
        <v>10.288450010000002</v>
      </c>
      <c r="G249" s="162">
        <f>F4A!G249+F4B!G249</f>
        <v>9.2660659999999986</v>
      </c>
      <c r="H249" s="162">
        <f>F4A!H249+F4B!H249</f>
        <v>10.502140579999999</v>
      </c>
      <c r="I249" s="162">
        <f>F4A!I249+F4B!I249</f>
        <v>11.412323390000003</v>
      </c>
      <c r="J249" s="162">
        <f>F4A!J249+F4B!J249</f>
        <v>11.789798239999996</v>
      </c>
      <c r="K249" s="162">
        <f>F4A!K249+F4B!K249</f>
        <v>12.123981369999999</v>
      </c>
      <c r="L249" s="162">
        <f>F4A!L249+F4B!L249</f>
        <v>12.333854779999999</v>
      </c>
      <c r="M249" s="162">
        <f>F4A!M249+F4B!M249</f>
        <v>10.856400879999999</v>
      </c>
      <c r="N249" s="162">
        <f>F4A!N249+F4B!N249</f>
        <v>9.7124504999999992</v>
      </c>
      <c r="O249" s="162">
        <f>F4A!O249+F4B!O249</f>
        <v>9.7844310099999987</v>
      </c>
      <c r="P249" s="162">
        <f>F4A!P249+F4B!P249</f>
        <v>11.829013659999999</v>
      </c>
      <c r="Q249" s="167">
        <f t="shared" si="18"/>
        <v>131.72737535999997</v>
      </c>
      <c r="R249" s="166"/>
      <c r="S249" s="166"/>
    </row>
    <row r="250" spans="3:19" hidden="1" x14ac:dyDescent="0.25">
      <c r="C250" s="17" t="s">
        <v>198</v>
      </c>
      <c r="D250" s="17" t="s">
        <v>199</v>
      </c>
      <c r="E250" s="162">
        <f>F4A!E250+F4B!E250</f>
        <v>1.3370000000000001E-3</v>
      </c>
      <c r="F250" s="162">
        <f>F4A!F250+F4B!F250</f>
        <v>2.13E-4</v>
      </c>
      <c r="G250" s="162">
        <f>F4A!G250+F4B!G250</f>
        <v>8.8699999999999998E-4</v>
      </c>
      <c r="H250" s="162">
        <f>F4A!H250+F4B!H250</f>
        <v>1.4429999999999998E-3</v>
      </c>
      <c r="I250" s="162">
        <f>F4A!I250+F4B!I250</f>
        <v>2.0990000000000002E-3</v>
      </c>
      <c r="J250" s="162">
        <f>F4A!J250+F4B!J250</f>
        <v>2.3259999999999999E-3</v>
      </c>
      <c r="K250" s="162">
        <f>F4A!K250+F4B!K250</f>
        <v>1.4470000000000002E-3</v>
      </c>
      <c r="L250" s="162">
        <f>F4A!L250+F4B!L250</f>
        <v>4.0430000000000006E-3</v>
      </c>
      <c r="M250" s="162">
        <f>F4A!M250+F4B!M250</f>
        <v>3.0000000000000001E-6</v>
      </c>
      <c r="N250" s="162">
        <f>F4A!N250+F4B!N250</f>
        <v>0</v>
      </c>
      <c r="O250" s="162">
        <f>F4A!O250+F4B!O250</f>
        <v>0</v>
      </c>
      <c r="P250" s="162">
        <f>F4A!P250+F4B!P250</f>
        <v>0</v>
      </c>
      <c r="Q250" s="167">
        <f t="shared" si="18"/>
        <v>1.3798000000000001E-2</v>
      </c>
      <c r="R250" s="166"/>
      <c r="S250" s="166"/>
    </row>
    <row r="251" spans="3:19" hidden="1" x14ac:dyDescent="0.25">
      <c r="C251" s="17" t="s">
        <v>200</v>
      </c>
      <c r="D251" s="17" t="s">
        <v>201</v>
      </c>
      <c r="E251" s="162">
        <f>F4A!E251+F4B!E251</f>
        <v>0.65305499999999994</v>
      </c>
      <c r="F251" s="162">
        <f>F4A!F251+F4B!F251</f>
        <v>0.62700400000000001</v>
      </c>
      <c r="G251" s="162">
        <f>F4A!G251+F4B!G251</f>
        <v>0.63368200000000008</v>
      </c>
      <c r="H251" s="162">
        <f>F4A!H251+F4B!H251</f>
        <v>0.62324000000000002</v>
      </c>
      <c r="I251" s="162">
        <f>F4A!I251+F4B!I251</f>
        <v>0.67883700000000002</v>
      </c>
      <c r="J251" s="162">
        <f>F4A!J251+F4B!J251</f>
        <v>0.60566299999999995</v>
      </c>
      <c r="K251" s="162">
        <f>F4A!K251+F4B!K251</f>
        <v>0.61026900000000006</v>
      </c>
      <c r="L251" s="162">
        <f>F4A!L251+F4B!L251</f>
        <v>0.60705200000000004</v>
      </c>
      <c r="M251" s="162">
        <f>F4A!M251+F4B!M251</f>
        <v>0.51773400000000003</v>
      </c>
      <c r="N251" s="162">
        <f>F4A!N251+F4B!N251</f>
        <v>0.50910200000000005</v>
      </c>
      <c r="O251" s="162">
        <f>F4A!O251+F4B!O251</f>
        <v>0.50259399999999999</v>
      </c>
      <c r="P251" s="162">
        <f>F4A!P251+F4B!P251</f>
        <v>0.57650199999999996</v>
      </c>
      <c r="Q251" s="167">
        <f t="shared" si="18"/>
        <v>7.1447340000000006</v>
      </c>
      <c r="R251" s="166"/>
      <c r="S251" s="166"/>
    </row>
    <row r="252" spans="3:19" hidden="1" x14ac:dyDescent="0.25">
      <c r="C252" s="17" t="s">
        <v>202</v>
      </c>
      <c r="D252" s="17" t="s">
        <v>203</v>
      </c>
      <c r="E252" s="162">
        <f>F4A!E252+F4B!E252</f>
        <v>5.1358470000000001</v>
      </c>
      <c r="F252" s="162">
        <f>F4A!F252+F4B!F252</f>
        <v>0.63705299999999998</v>
      </c>
      <c r="G252" s="162">
        <f>F4A!G252+F4B!G252</f>
        <v>0.116093</v>
      </c>
      <c r="H252" s="162">
        <f>F4A!H252+F4B!H252</f>
        <v>1.160372</v>
      </c>
      <c r="I252" s="162">
        <f>F4A!I252+F4B!I252</f>
        <v>2.4884940000000002</v>
      </c>
      <c r="J252" s="162">
        <f>F4A!J252+F4B!J252</f>
        <v>1.6531659999999999</v>
      </c>
      <c r="K252" s="162">
        <f>F4A!K252+F4B!K252</f>
        <v>1.1940729999999999</v>
      </c>
      <c r="L252" s="162">
        <f>F4A!L252+F4B!L252</f>
        <v>1.276931</v>
      </c>
      <c r="M252" s="162">
        <f>F4A!M252+F4B!M252</f>
        <v>1.1273089999999999</v>
      </c>
      <c r="N252" s="162">
        <f>F4A!N252+F4B!N252</f>
        <v>2.3760569999999999</v>
      </c>
      <c r="O252" s="162">
        <f>F4A!O252+F4B!O252</f>
        <v>3.5362990000000001</v>
      </c>
      <c r="P252" s="162">
        <f>F4A!P252+F4B!P252</f>
        <v>3.9061520000000001</v>
      </c>
      <c r="Q252" s="167">
        <f t="shared" si="18"/>
        <v>24.607845999999999</v>
      </c>
      <c r="R252" s="166"/>
      <c r="S252" s="166"/>
    </row>
    <row r="253" spans="3:19" hidden="1" x14ac:dyDescent="0.25">
      <c r="C253" s="17" t="s">
        <v>204</v>
      </c>
      <c r="D253" s="17" t="s">
        <v>205</v>
      </c>
      <c r="E253" s="162">
        <f>F4A!E253+F4B!E253</f>
        <v>12.197381999999971</v>
      </c>
      <c r="F253" s="162">
        <f>F4A!F253+F4B!F253</f>
        <v>11.891512000000015</v>
      </c>
      <c r="G253" s="162">
        <f>F4A!G253+F4B!G253</f>
        <v>11.887722</v>
      </c>
      <c r="H253" s="162">
        <f>F4A!H253+F4B!H253</f>
        <v>10.889535000000029</v>
      </c>
      <c r="I253" s="162">
        <f>F4A!I253+F4B!I253</f>
        <v>11.21411899999997</v>
      </c>
      <c r="J253" s="162">
        <f>F4A!J253+F4B!J253</f>
        <v>11.542954999999999</v>
      </c>
      <c r="K253" s="162">
        <f>F4A!K253+F4B!K253</f>
        <v>11.558496999999999</v>
      </c>
      <c r="L253" s="162">
        <f>F4A!L253+F4B!L253</f>
        <v>12.320057</v>
      </c>
      <c r="M253" s="162">
        <f>F4A!M253+F4B!M253</f>
        <v>11.720464</v>
      </c>
      <c r="N253" s="162">
        <f>F4A!N253+F4B!N253</f>
        <v>12.197487999999971</v>
      </c>
      <c r="O253" s="162">
        <f>F4A!O253+F4B!O253</f>
        <v>12.871324000000014</v>
      </c>
      <c r="P253" s="162">
        <f>F4A!P253+F4B!P253</f>
        <v>11.911370999999988</v>
      </c>
      <c r="Q253" s="167">
        <f t="shared" si="18"/>
        <v>142.20242599999995</v>
      </c>
      <c r="R253" s="166"/>
      <c r="S253" s="166"/>
    </row>
    <row r="254" spans="3:19" hidden="1" x14ac:dyDescent="0.25">
      <c r="C254" s="17" t="s">
        <v>206</v>
      </c>
      <c r="D254" s="17" t="s">
        <v>207</v>
      </c>
      <c r="E254" s="162">
        <f>F4A!E254+F4B!E254</f>
        <v>0.83529899999999746</v>
      </c>
      <c r="F254" s="162">
        <f>F4A!F254+F4B!F254</f>
        <v>0.8875059999999978</v>
      </c>
      <c r="G254" s="162">
        <f>F4A!G254+F4B!G254</f>
        <v>0.9442309999999996</v>
      </c>
      <c r="H254" s="162">
        <f>F4A!H254+F4B!H254</f>
        <v>0.77263300000000257</v>
      </c>
      <c r="I254" s="162">
        <f>F4A!I254+F4B!I254</f>
        <v>0.75954600000000005</v>
      </c>
      <c r="J254" s="162">
        <f>F4A!J254+F4B!J254</f>
        <v>0.71976399999999874</v>
      </c>
      <c r="K254" s="162">
        <f>F4A!K254+F4B!K254</f>
        <v>0.72651900000000025</v>
      </c>
      <c r="L254" s="162">
        <f>F4A!L254+F4B!L254</f>
        <v>0.69849199999999867</v>
      </c>
      <c r="M254" s="162">
        <f>F4A!M254+F4B!M254</f>
        <v>0.5943849999999995</v>
      </c>
      <c r="N254" s="162">
        <f>F4A!N254+F4B!N254</f>
        <v>0.56391999999999998</v>
      </c>
      <c r="O254" s="162">
        <f>F4A!O254+F4B!O254</f>
        <v>0.61146900000000004</v>
      </c>
      <c r="P254" s="162">
        <f>F4A!P254+F4B!P254</f>
        <v>0.62881099999999834</v>
      </c>
      <c r="Q254" s="167">
        <f t="shared" si="18"/>
        <v>8.7425749999999933</v>
      </c>
      <c r="R254" s="166"/>
      <c r="S254" s="166"/>
    </row>
    <row r="255" spans="3:19" hidden="1" x14ac:dyDescent="0.25">
      <c r="C255" s="17" t="s">
        <v>208</v>
      </c>
      <c r="D255" s="17" t="s">
        <v>187</v>
      </c>
      <c r="E255" s="162">
        <f>F4A!E255+F4B!E255</f>
        <v>1.6241329999999983</v>
      </c>
      <c r="F255" s="162">
        <f>F4A!F255+F4B!F255</f>
        <v>1.4420339999999994</v>
      </c>
      <c r="G255" s="162">
        <f>F4A!G255+F4B!G255</f>
        <v>1.4725390000000007</v>
      </c>
      <c r="H255" s="162">
        <f>F4A!H255+F4B!H255</f>
        <v>1.8422610000000004</v>
      </c>
      <c r="I255" s="162">
        <f>F4A!I255+F4B!I255</f>
        <v>1.9370440000000007</v>
      </c>
      <c r="J255" s="162">
        <f>F4A!J255+F4B!J255</f>
        <v>1.9811120000000002</v>
      </c>
      <c r="K255" s="162">
        <f>F4A!K255+F4B!K255</f>
        <v>1.9845060000000003</v>
      </c>
      <c r="L255" s="162">
        <f>F4A!L255+F4B!L255</f>
        <v>1.8872150000000008</v>
      </c>
      <c r="M255" s="162">
        <f>F4A!M255+F4B!M255</f>
        <v>1.7339420000000005</v>
      </c>
      <c r="N255" s="162">
        <f>F4A!N255+F4B!N255</f>
        <v>1.8822789999999998</v>
      </c>
      <c r="O255" s="162">
        <f>F4A!O255+F4B!O255</f>
        <v>1.9439190000000002</v>
      </c>
      <c r="P255" s="162">
        <f>F4A!P255+F4B!P255</f>
        <v>1.5312850000000002</v>
      </c>
      <c r="Q255" s="167">
        <f t="shared" si="18"/>
        <v>21.262269</v>
      </c>
      <c r="R255" s="166"/>
      <c r="S255" s="166"/>
    </row>
    <row r="256" spans="3:19" hidden="1" x14ac:dyDescent="0.25">
      <c r="C256" s="17" t="s">
        <v>209</v>
      </c>
      <c r="D256" s="17" t="s">
        <v>210</v>
      </c>
      <c r="E256" s="162">
        <f>F4A!E256+F4B!E256</f>
        <v>130.82248300000001</v>
      </c>
      <c r="F256" s="162">
        <f>F4A!F256+F4B!F256</f>
        <v>49.029578000000001</v>
      </c>
      <c r="G256" s="162">
        <f>F4A!G256+F4B!G256</f>
        <v>46.295816000000002</v>
      </c>
      <c r="H256" s="162">
        <f>F4A!H256+F4B!H256</f>
        <v>79.510699000000002</v>
      </c>
      <c r="I256" s="162">
        <f>F4A!I256+F4B!I256</f>
        <v>96.421060999999995</v>
      </c>
      <c r="J256" s="162">
        <f>F4A!J256+F4B!J256</f>
        <v>69.279307000000003</v>
      </c>
      <c r="K256" s="162">
        <f>F4A!K256+F4B!K256</f>
        <v>62.181607999999997</v>
      </c>
      <c r="L256" s="162">
        <f>F4A!L256+F4B!L256</f>
        <v>39.609403</v>
      </c>
      <c r="M256" s="162">
        <f>F4A!M256+F4B!M256</f>
        <v>59.647077000000003</v>
      </c>
      <c r="N256" s="162">
        <f>F4A!N256+F4B!N256</f>
        <v>88.616050000000001</v>
      </c>
      <c r="O256" s="162">
        <f>F4A!O256+F4B!O256</f>
        <v>101.484881</v>
      </c>
      <c r="P256" s="162">
        <f>F4A!P256+F4B!P256</f>
        <v>101.001637</v>
      </c>
      <c r="Q256" s="167">
        <f t="shared" si="18"/>
        <v>923.89959999999996</v>
      </c>
      <c r="R256" s="166"/>
      <c r="S256" s="166"/>
    </row>
    <row r="257" spans="3:19" hidden="1" x14ac:dyDescent="0.25">
      <c r="C257" s="17" t="s">
        <v>211</v>
      </c>
      <c r="D257" s="17" t="s">
        <v>189</v>
      </c>
      <c r="E257" s="162">
        <f>F4A!E257+F4B!E257</f>
        <v>0</v>
      </c>
      <c r="F257" s="162">
        <f>F4A!F257+F4B!F257</f>
        <v>0</v>
      </c>
      <c r="G257" s="162">
        <f>F4A!G257+F4B!G257</f>
        <v>0</v>
      </c>
      <c r="H257" s="162">
        <f>F4A!H257+F4B!H257</f>
        <v>0</v>
      </c>
      <c r="I257" s="162">
        <f>F4A!I257+F4B!I257</f>
        <v>0</v>
      </c>
      <c r="J257" s="162">
        <f>F4A!J257+F4B!J257</f>
        <v>0</v>
      </c>
      <c r="K257" s="162">
        <f>F4A!K257+F4B!K257</f>
        <v>0</v>
      </c>
      <c r="L257" s="162">
        <f>F4A!L257+F4B!L257</f>
        <v>0</v>
      </c>
      <c r="M257" s="162">
        <f>F4A!M257+F4B!M257</f>
        <v>0</v>
      </c>
      <c r="N257" s="162">
        <f>F4A!N257+F4B!N257</f>
        <v>0</v>
      </c>
      <c r="O257" s="162">
        <f>F4A!O257+F4B!O257</f>
        <v>0</v>
      </c>
      <c r="P257" s="162">
        <f>F4A!P257+F4B!P257</f>
        <v>0</v>
      </c>
      <c r="Q257" s="167">
        <f t="shared" si="18"/>
        <v>0</v>
      </c>
      <c r="R257" s="166"/>
      <c r="S257" s="166"/>
    </row>
    <row r="258" spans="3:19" hidden="1" x14ac:dyDescent="0.25">
      <c r="C258" s="17"/>
      <c r="D258" s="17"/>
      <c r="E258" s="162">
        <f>F4A!E258+F4B!E258</f>
        <v>0</v>
      </c>
      <c r="F258" s="162">
        <f>F4A!F258+F4B!F258</f>
        <v>0</v>
      </c>
      <c r="G258" s="162">
        <f>F4A!G258+F4B!G258</f>
        <v>0</v>
      </c>
      <c r="H258" s="162">
        <f>F4A!H258+F4B!H258</f>
        <v>0</v>
      </c>
      <c r="I258" s="162">
        <f>F4A!I258+F4B!I258</f>
        <v>0</v>
      </c>
      <c r="J258" s="162">
        <f>F4A!J258+F4B!J258</f>
        <v>0</v>
      </c>
      <c r="K258" s="162">
        <f>F4A!K258+F4B!K258</f>
        <v>0</v>
      </c>
      <c r="L258" s="162">
        <f>F4A!L258+F4B!L258</f>
        <v>0</v>
      </c>
      <c r="M258" s="162">
        <f>F4A!M258+F4B!M258</f>
        <v>0</v>
      </c>
      <c r="N258" s="162">
        <f>F4A!N258+F4B!N258</f>
        <v>0</v>
      </c>
      <c r="O258" s="162">
        <f>F4A!O258+F4B!O258</f>
        <v>0</v>
      </c>
      <c r="P258" s="162">
        <f>F4A!P258+F4B!P258</f>
        <v>0</v>
      </c>
      <c r="Q258" s="167">
        <f t="shared" si="18"/>
        <v>0</v>
      </c>
      <c r="R258" s="166"/>
      <c r="S258" s="166"/>
    </row>
    <row r="259" spans="3:19" hidden="1" x14ac:dyDescent="0.25">
      <c r="C259" s="17"/>
      <c r="D259" s="17"/>
      <c r="E259" s="162">
        <f>F4A!E259+F4B!E259</f>
        <v>0</v>
      </c>
      <c r="F259" s="162">
        <f>F4A!F259+F4B!F259</f>
        <v>0</v>
      </c>
      <c r="G259" s="162">
        <f>F4A!G259+F4B!G259</f>
        <v>0</v>
      </c>
      <c r="H259" s="162">
        <f>F4A!H259+F4B!H259</f>
        <v>0</v>
      </c>
      <c r="I259" s="162">
        <f>F4A!I259+F4B!I259</f>
        <v>0</v>
      </c>
      <c r="J259" s="162">
        <f>F4A!J259+F4B!J259</f>
        <v>0</v>
      </c>
      <c r="K259" s="162">
        <f>F4A!K259+F4B!K259</f>
        <v>0</v>
      </c>
      <c r="L259" s="162">
        <f>F4A!L259+F4B!L259</f>
        <v>0</v>
      </c>
      <c r="M259" s="162">
        <f>F4A!M259+F4B!M259</f>
        <v>0</v>
      </c>
      <c r="N259" s="162">
        <f>F4A!N259+F4B!N259</f>
        <v>0</v>
      </c>
      <c r="O259" s="162">
        <f>F4A!O259+F4B!O259</f>
        <v>0</v>
      </c>
      <c r="P259" s="162">
        <f>F4A!P259+F4B!P259</f>
        <v>0</v>
      </c>
      <c r="Q259" s="167">
        <f t="shared" si="18"/>
        <v>0</v>
      </c>
      <c r="R259" s="166"/>
      <c r="S259" s="166"/>
    </row>
    <row r="260" spans="3:19" hidden="1" x14ac:dyDescent="0.25">
      <c r="C260" s="17"/>
      <c r="D260" s="17"/>
      <c r="E260" s="162">
        <f>F4A!E260+F4B!E260</f>
        <v>0</v>
      </c>
      <c r="F260" s="162">
        <f>F4A!F260+F4B!F260</f>
        <v>0</v>
      </c>
      <c r="G260" s="162">
        <f>F4A!G260+F4B!G260</f>
        <v>0</v>
      </c>
      <c r="H260" s="162">
        <f>F4A!H260+F4B!H260</f>
        <v>0</v>
      </c>
      <c r="I260" s="162">
        <f>F4A!I260+F4B!I260</f>
        <v>0</v>
      </c>
      <c r="J260" s="162">
        <f>F4A!J260+F4B!J260</f>
        <v>0</v>
      </c>
      <c r="K260" s="162">
        <f>F4A!K260+F4B!K260</f>
        <v>0</v>
      </c>
      <c r="L260" s="162">
        <f>F4A!L260+F4B!L260</f>
        <v>0</v>
      </c>
      <c r="M260" s="162">
        <f>F4A!M260+F4B!M260</f>
        <v>0</v>
      </c>
      <c r="N260" s="162">
        <f>F4A!N260+F4B!N260</f>
        <v>0</v>
      </c>
      <c r="O260" s="162">
        <f>F4A!O260+F4B!O260</f>
        <v>0</v>
      </c>
      <c r="P260" s="162">
        <f>F4A!P260+F4B!P260</f>
        <v>0</v>
      </c>
      <c r="Q260" s="167">
        <f t="shared" si="18"/>
        <v>0</v>
      </c>
      <c r="R260" s="166"/>
      <c r="S260" s="166"/>
    </row>
    <row r="261" spans="3:19" hidden="1" x14ac:dyDescent="0.25">
      <c r="C261" s="17" t="s">
        <v>226</v>
      </c>
      <c r="D261" s="17" t="s">
        <v>226</v>
      </c>
      <c r="E261" s="162">
        <f>F4A!E261+F4B!E261</f>
        <v>0</v>
      </c>
      <c r="F261" s="162">
        <f>F4A!F261+F4B!F261</f>
        <v>0</v>
      </c>
      <c r="G261" s="162">
        <f>F4A!G261+F4B!G261</f>
        <v>0</v>
      </c>
      <c r="H261" s="162">
        <f>F4A!H261+F4B!H261</f>
        <v>0</v>
      </c>
      <c r="I261" s="162">
        <f>F4A!I261+F4B!I261</f>
        <v>0</v>
      </c>
      <c r="J261" s="162">
        <f>F4A!J261+F4B!J261</f>
        <v>0</v>
      </c>
      <c r="K261" s="162">
        <f>F4A!K261+F4B!K261</f>
        <v>0</v>
      </c>
      <c r="L261" s="162">
        <f>F4A!L261+F4B!L261</f>
        <v>0</v>
      </c>
      <c r="M261" s="162">
        <f>F4A!M261+F4B!M261</f>
        <v>0</v>
      </c>
      <c r="N261" s="162">
        <f>F4A!N261+F4B!N261</f>
        <v>0</v>
      </c>
      <c r="O261" s="162">
        <f>F4A!O261+F4B!O261</f>
        <v>0</v>
      </c>
      <c r="P261" s="162">
        <f>F4A!P261+F4B!P261</f>
        <v>0</v>
      </c>
      <c r="Q261" s="167">
        <f t="shared" si="18"/>
        <v>0</v>
      </c>
      <c r="R261" s="166"/>
      <c r="S261" s="166"/>
    </row>
    <row r="262" spans="3:19" hidden="1" x14ac:dyDescent="0.25">
      <c r="C262" s="751" t="s">
        <v>212</v>
      </c>
      <c r="D262" s="752"/>
      <c r="E262" s="167">
        <f t="shared" ref="E262:P262" si="20">SUM(E247:E261)</f>
        <v>231.43002209000002</v>
      </c>
      <c r="F262" s="167">
        <f t="shared" si="20"/>
        <v>134.90121047000002</v>
      </c>
      <c r="G262" s="167">
        <f t="shared" si="20"/>
        <v>133.20460014999998</v>
      </c>
      <c r="H262" s="167">
        <f t="shared" si="20"/>
        <v>178.75611212999985</v>
      </c>
      <c r="I262" s="167">
        <f t="shared" si="20"/>
        <v>202.06512802999995</v>
      </c>
      <c r="J262" s="167">
        <f t="shared" si="20"/>
        <v>177.84750870000011</v>
      </c>
      <c r="K262" s="167">
        <f t="shared" si="20"/>
        <v>161.02211624</v>
      </c>
      <c r="L262" s="167">
        <f t="shared" si="20"/>
        <v>157.37595766000004</v>
      </c>
      <c r="M262" s="167">
        <f t="shared" si="20"/>
        <v>176.62504041</v>
      </c>
      <c r="N262" s="167">
        <f t="shared" si="20"/>
        <v>206.12579484999998</v>
      </c>
      <c r="O262" s="167">
        <f t="shared" si="20"/>
        <v>220.02829556999998</v>
      </c>
      <c r="P262" s="167">
        <f t="shared" si="20"/>
        <v>204.63054163999999</v>
      </c>
      <c r="Q262" s="167">
        <f t="shared" si="18"/>
        <v>2184.0123279399995</v>
      </c>
      <c r="R262" s="166"/>
      <c r="S262" s="166"/>
    </row>
    <row r="263" spans="3:19" hidden="1" x14ac:dyDescent="0.25">
      <c r="C263" s="753" t="s">
        <v>213</v>
      </c>
      <c r="D263" s="754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7">
        <f t="shared" ref="Q263:Q294" si="21">SUM(E263:P263)</f>
        <v>0</v>
      </c>
      <c r="R263" s="166"/>
      <c r="S263" s="166"/>
    </row>
    <row r="264" spans="3:19" hidden="1" x14ac:dyDescent="0.25">
      <c r="C264" s="17" t="s">
        <v>192</v>
      </c>
      <c r="D264" s="17" t="s">
        <v>193</v>
      </c>
      <c r="E264" s="162">
        <f>F4A!E264+F4B!E264</f>
        <v>19.639009000000033</v>
      </c>
      <c r="F264" s="162">
        <f>F4A!F264+F4B!F264</f>
        <v>14.828383000000048</v>
      </c>
      <c r="G264" s="162">
        <f>F4A!G264+F4B!G264</f>
        <v>15.052427000000023</v>
      </c>
      <c r="H264" s="162">
        <f>F4A!H264+F4B!H264</f>
        <v>18.091589990000124</v>
      </c>
      <c r="I264" s="162">
        <f>F4A!I264+F4B!I264</f>
        <v>14.795680999999995</v>
      </c>
      <c r="J264" s="162">
        <f>F4A!J264+F4B!J264</f>
        <v>17.304750999999989</v>
      </c>
      <c r="K264" s="162">
        <f>F4A!K264+F4B!K264</f>
        <v>17.173650000000002</v>
      </c>
      <c r="L264" s="162">
        <f>F4A!L264+F4B!L264</f>
        <v>16.680862000000005</v>
      </c>
      <c r="M264" s="162">
        <f>F4A!M264+F4B!M264</f>
        <v>15.499290000000011</v>
      </c>
      <c r="N264" s="162">
        <f>F4A!N264+F4B!N264</f>
        <v>15.191394000000003</v>
      </c>
      <c r="O264" s="162">
        <f>F4A!O264+F4B!O264</f>
        <v>14.232786000000001</v>
      </c>
      <c r="P264" s="162">
        <f>F4A!P264+F4B!P264</f>
        <v>12.736807000000011</v>
      </c>
      <c r="Q264" s="167">
        <f t="shared" si="21"/>
        <v>191.22662999000022</v>
      </c>
      <c r="R264" s="166"/>
      <c r="S264" s="166"/>
    </row>
    <row r="265" spans="3:19" hidden="1" x14ac:dyDescent="0.25">
      <c r="C265" s="17" t="s">
        <v>194</v>
      </c>
      <c r="D265" s="17" t="s">
        <v>195</v>
      </c>
      <c r="E265" s="162">
        <f>F4A!E265+F4B!E265</f>
        <v>4.9742879999999996</v>
      </c>
      <c r="F265" s="162">
        <f>F4A!F265+F4B!F265</f>
        <v>6.3639809999999999</v>
      </c>
      <c r="G265" s="162">
        <f>F4A!G265+F4B!G265</f>
        <v>6.582821</v>
      </c>
      <c r="H265" s="162">
        <f>F4A!H265+F4B!H265</f>
        <v>6.35921</v>
      </c>
      <c r="I265" s="162">
        <f>F4A!I265+F4B!I265</f>
        <v>6.6521169999999996</v>
      </c>
      <c r="J265" s="162">
        <f>F4A!J265+F4B!J265</f>
        <v>6.3527880000000003</v>
      </c>
      <c r="K265" s="162">
        <f>F4A!K265+F4B!K265</f>
        <v>5.9101650000000001</v>
      </c>
      <c r="L265" s="162">
        <f>F4A!L265+F4B!L265</f>
        <v>6.3403600000000004</v>
      </c>
      <c r="M265" s="162">
        <f>F4A!M265+F4B!M265</f>
        <v>6.1535570000000002</v>
      </c>
      <c r="N265" s="162">
        <f>F4A!N265+F4B!N265</f>
        <v>4.572203</v>
      </c>
      <c r="O265" s="162">
        <f>F4A!O265+F4B!O265</f>
        <v>6.6435399999999998</v>
      </c>
      <c r="P265" s="162">
        <f>F4A!P265+F4B!P265</f>
        <v>6.2701399999999996</v>
      </c>
      <c r="Q265" s="167">
        <f t="shared" si="21"/>
        <v>73.175169999999994</v>
      </c>
      <c r="R265" s="166"/>
      <c r="S265" s="166"/>
    </row>
    <row r="266" spans="3:19" hidden="1" x14ac:dyDescent="0.25">
      <c r="C266" s="17" t="s">
        <v>233</v>
      </c>
      <c r="D266" s="17" t="s">
        <v>197</v>
      </c>
      <c r="E266" s="162">
        <f>F4A!E266+F4B!E266</f>
        <v>0.74189759999999993</v>
      </c>
      <c r="F266" s="162">
        <f>F4A!F266+F4B!F266</f>
        <v>0.77186049999999995</v>
      </c>
      <c r="G266" s="162">
        <f>F4A!G266+F4B!G266</f>
        <v>0.81665200000000004</v>
      </c>
      <c r="H266" s="162">
        <f>F4A!H266+F4B!H266</f>
        <v>0.87150099999999986</v>
      </c>
      <c r="I266" s="162">
        <f>F4A!I266+F4B!I266</f>
        <v>0.83592</v>
      </c>
      <c r="J266" s="162">
        <f>F4A!J266+F4B!J266</f>
        <v>1.0332140000000001</v>
      </c>
      <c r="K266" s="162">
        <f>F4A!K266+F4B!K266</f>
        <v>1.0150574299999999</v>
      </c>
      <c r="L266" s="162">
        <f>F4A!L266+F4B!L266</f>
        <v>0.94171099999999974</v>
      </c>
      <c r="M266" s="162">
        <f>F4A!M266+F4B!M266</f>
        <v>0.80182014000000001</v>
      </c>
      <c r="N266" s="162">
        <f>F4A!N266+F4B!N266</f>
        <v>0.76309499999999997</v>
      </c>
      <c r="O266" s="162">
        <f>F4A!O266+F4B!O266</f>
        <v>0.73846699999999998</v>
      </c>
      <c r="P266" s="162">
        <f>F4A!P266+F4B!P266</f>
        <v>0.83583800000000008</v>
      </c>
      <c r="Q266" s="167">
        <f t="shared" si="21"/>
        <v>10.16703367</v>
      </c>
      <c r="R266" s="166"/>
      <c r="S266" s="166"/>
    </row>
    <row r="267" spans="3:19" hidden="1" x14ac:dyDescent="0.25">
      <c r="C267" s="17" t="s">
        <v>198</v>
      </c>
      <c r="D267" s="17" t="s">
        <v>199</v>
      </c>
      <c r="E267" s="162">
        <f>F4A!E267+F4B!E267</f>
        <v>0</v>
      </c>
      <c r="F267" s="162">
        <f>F4A!F267+F4B!F267</f>
        <v>0</v>
      </c>
      <c r="G267" s="162">
        <f>F4A!G267+F4B!G267</f>
        <v>0</v>
      </c>
      <c r="H267" s="162">
        <f>F4A!H267+F4B!H267</f>
        <v>0</v>
      </c>
      <c r="I267" s="162">
        <f>F4A!I267+F4B!I267</f>
        <v>0</v>
      </c>
      <c r="J267" s="162">
        <f>F4A!J267+F4B!J267</f>
        <v>0</v>
      </c>
      <c r="K267" s="162">
        <f>F4A!K267+F4B!K267</f>
        <v>0</v>
      </c>
      <c r="L267" s="162">
        <f>F4A!L267+F4B!L267</f>
        <v>0</v>
      </c>
      <c r="M267" s="162">
        <f>F4A!M267+F4B!M267</f>
        <v>0</v>
      </c>
      <c r="N267" s="162">
        <f>F4A!N267+F4B!N267</f>
        <v>0</v>
      </c>
      <c r="O267" s="162">
        <f>F4A!O267+F4B!O267</f>
        <v>0</v>
      </c>
      <c r="P267" s="162">
        <f>F4A!P267+F4B!P267</f>
        <v>0</v>
      </c>
      <c r="Q267" s="167">
        <f t="shared" si="21"/>
        <v>0</v>
      </c>
      <c r="R267" s="166"/>
      <c r="S267" s="166"/>
    </row>
    <row r="268" spans="3:19" hidden="1" x14ac:dyDescent="0.25">
      <c r="C268" s="17" t="s">
        <v>200</v>
      </c>
      <c r="D268" s="17" t="s">
        <v>201</v>
      </c>
      <c r="E268" s="162">
        <f>F4A!E268+F4B!E268</f>
        <v>0</v>
      </c>
      <c r="F268" s="162">
        <f>F4A!F268+F4B!F268</f>
        <v>0</v>
      </c>
      <c r="G268" s="162">
        <f>F4A!G268+F4B!G268</f>
        <v>0</v>
      </c>
      <c r="H268" s="162">
        <f>F4A!H268+F4B!H268</f>
        <v>0</v>
      </c>
      <c r="I268" s="162">
        <f>F4A!I268+F4B!I268</f>
        <v>0</v>
      </c>
      <c r="J268" s="162">
        <f>F4A!J268+F4B!J268</f>
        <v>0</v>
      </c>
      <c r="K268" s="162">
        <f>F4A!K268+F4B!K268</f>
        <v>0</v>
      </c>
      <c r="L268" s="162">
        <f>F4A!L268+F4B!L268</f>
        <v>0</v>
      </c>
      <c r="M268" s="162">
        <f>F4A!M268+F4B!M268</f>
        <v>0</v>
      </c>
      <c r="N268" s="162">
        <f>F4A!N268+F4B!N268</f>
        <v>0</v>
      </c>
      <c r="O268" s="162">
        <f>F4A!O268+F4B!O268</f>
        <v>0</v>
      </c>
      <c r="P268" s="162">
        <f>F4A!P268+F4B!P268</f>
        <v>0</v>
      </c>
      <c r="Q268" s="167">
        <f t="shared" si="21"/>
        <v>0</v>
      </c>
      <c r="R268" s="166"/>
      <c r="S268" s="166"/>
    </row>
    <row r="269" spans="3:19" hidden="1" x14ac:dyDescent="0.25">
      <c r="C269" s="17" t="s">
        <v>202</v>
      </c>
      <c r="D269" s="17" t="s">
        <v>203</v>
      </c>
      <c r="E269" s="162">
        <f>F4A!E269+F4B!E269</f>
        <v>5.5148859999999651</v>
      </c>
      <c r="F269" s="162">
        <f>F4A!F269+F4B!F269</f>
        <v>2.6083209999999597</v>
      </c>
      <c r="G269" s="162">
        <f>F4A!G269+F4B!G269</f>
        <v>0.49303899999997858</v>
      </c>
      <c r="H269" s="162">
        <f>F4A!H269+F4B!H269</f>
        <v>0.68750700999988301</v>
      </c>
      <c r="I269" s="162">
        <f>F4A!I269+F4B!I269</f>
        <v>2.8849740000000033</v>
      </c>
      <c r="J269" s="162">
        <f>F4A!J269+F4B!J269</f>
        <v>1.4878870000000102</v>
      </c>
      <c r="K269" s="162">
        <f>F4A!K269+F4B!K269</f>
        <v>0.79404300000000527</v>
      </c>
      <c r="L269" s="162">
        <f>F4A!L269+F4B!L269</f>
        <v>0.24658399999999631</v>
      </c>
      <c r="M269" s="162">
        <f>F4A!M269+F4B!M269</f>
        <v>0.18308699999999714</v>
      </c>
      <c r="N269" s="162">
        <f>F4A!N269+F4B!N269</f>
        <v>1.3422350000000001</v>
      </c>
      <c r="O269" s="162">
        <f>F4A!O269+F4B!O269</f>
        <v>1.5001500000000001</v>
      </c>
      <c r="P269" s="162">
        <f>F4A!P269+F4B!P269</f>
        <v>3.1013250000000001</v>
      </c>
      <c r="Q269" s="167">
        <f t="shared" si="21"/>
        <v>20.844038009999799</v>
      </c>
      <c r="R269" s="166"/>
      <c r="S269" s="166"/>
    </row>
    <row r="270" spans="3:19" hidden="1" x14ac:dyDescent="0.25">
      <c r="C270" s="17" t="s">
        <v>204</v>
      </c>
      <c r="D270" s="17" t="s">
        <v>205</v>
      </c>
      <c r="E270" s="162">
        <f>F4A!E270+F4B!E270</f>
        <v>26.407066</v>
      </c>
      <c r="F270" s="162">
        <f>F4A!F270+F4B!F270</f>
        <v>26.702625999999999</v>
      </c>
      <c r="G270" s="162">
        <f>F4A!G270+F4B!G270</f>
        <v>28.235897000000001</v>
      </c>
      <c r="H270" s="162">
        <f>F4A!H270+F4B!H270</f>
        <v>26.832384999999999</v>
      </c>
      <c r="I270" s="162">
        <f>F4A!I270+F4B!I270</f>
        <v>26.736487</v>
      </c>
      <c r="J270" s="162">
        <f>F4A!J270+F4B!J270</f>
        <v>27.203068999999999</v>
      </c>
      <c r="K270" s="162">
        <f>F4A!K270+F4B!K270</f>
        <v>27.846831000000002</v>
      </c>
      <c r="L270" s="162">
        <f>F4A!L270+F4B!L270</f>
        <v>27.331779000000001</v>
      </c>
      <c r="M270" s="162">
        <f>F4A!M270+F4B!M270</f>
        <v>25.931901</v>
      </c>
      <c r="N270" s="162">
        <f>F4A!N270+F4B!N270</f>
        <v>27.741489000000001</v>
      </c>
      <c r="O270" s="162">
        <f>F4A!O270+F4B!O270</f>
        <v>28.80771</v>
      </c>
      <c r="P270" s="162">
        <f>F4A!P270+F4B!P270</f>
        <v>26.501930000000002</v>
      </c>
      <c r="Q270" s="167">
        <f t="shared" si="21"/>
        <v>326.27917000000002</v>
      </c>
      <c r="R270" s="166"/>
      <c r="S270" s="166"/>
    </row>
    <row r="271" spans="3:19" hidden="1" x14ac:dyDescent="0.25">
      <c r="C271" s="17" t="s">
        <v>206</v>
      </c>
      <c r="D271" s="17" t="s">
        <v>207</v>
      </c>
      <c r="E271" s="162">
        <f>F4A!E271+F4B!E271</f>
        <v>3.272008</v>
      </c>
      <c r="F271" s="162">
        <f>F4A!F271+F4B!F271</f>
        <v>3.3961259999999998</v>
      </c>
      <c r="G271" s="162">
        <f>F4A!G271+F4B!G271</f>
        <v>3.510062</v>
      </c>
      <c r="H271" s="162">
        <f>F4A!H271+F4B!H271</f>
        <v>3.0472260000000002</v>
      </c>
      <c r="I271" s="162">
        <f>F4A!I271+F4B!I271</f>
        <v>1.7207440000000003</v>
      </c>
      <c r="J271" s="162">
        <f>F4A!J271+F4B!J271</f>
        <v>2.8198859999999999</v>
      </c>
      <c r="K271" s="162">
        <f>F4A!K271+F4B!K271</f>
        <v>2.9253850000000003</v>
      </c>
      <c r="L271" s="162">
        <f>F4A!L271+F4B!L271</f>
        <v>2.3857799999999996</v>
      </c>
      <c r="M271" s="162">
        <f>F4A!M271+F4B!M271</f>
        <v>2.092921</v>
      </c>
      <c r="N271" s="162">
        <f>F4A!N271+F4B!N271</f>
        <v>2.0874989999999998</v>
      </c>
      <c r="O271" s="162">
        <f>F4A!O271+F4B!O271</f>
        <v>1.2779129999999999</v>
      </c>
      <c r="P271" s="162">
        <f>F4A!P271+F4B!P271</f>
        <v>1.4445440000000003</v>
      </c>
      <c r="Q271" s="167">
        <f t="shared" si="21"/>
        <v>29.980094000000001</v>
      </c>
      <c r="R271" s="166"/>
      <c r="S271" s="166"/>
    </row>
    <row r="272" spans="3:19" hidden="1" x14ac:dyDescent="0.25">
      <c r="C272" s="17" t="s">
        <v>214</v>
      </c>
      <c r="D272" s="17" t="s">
        <v>187</v>
      </c>
      <c r="E272" s="162">
        <f>F4A!E272+F4B!E272</f>
        <v>1.377194</v>
      </c>
      <c r="F272" s="162">
        <f>F4A!F272+F4B!F272</f>
        <v>1.2922370000000001</v>
      </c>
      <c r="G272" s="162">
        <f>F4A!G272+F4B!G272</f>
        <v>1.09443</v>
      </c>
      <c r="H272" s="162">
        <f>F4A!H272+F4B!H272</f>
        <v>0.94864999999999999</v>
      </c>
      <c r="I272" s="162">
        <f>F4A!I272+F4B!I272</f>
        <v>1.0529759999999999</v>
      </c>
      <c r="J272" s="162">
        <f>F4A!J272+F4B!J272</f>
        <v>1.078168</v>
      </c>
      <c r="K272" s="162">
        <f>F4A!K272+F4B!K272</f>
        <v>0.91212499999999996</v>
      </c>
      <c r="L272" s="162">
        <f>F4A!L272+F4B!L272</f>
        <v>1.0034019999999999</v>
      </c>
      <c r="M272" s="162">
        <f>F4A!M272+F4B!M272</f>
        <v>0.89849699999999999</v>
      </c>
      <c r="N272" s="162">
        <f>F4A!N272+F4B!N272</f>
        <v>0.89423850000000005</v>
      </c>
      <c r="O272" s="162">
        <f>F4A!O272+F4B!O272</f>
        <v>0.96807100000000001</v>
      </c>
      <c r="P272" s="162">
        <f>F4A!P272+F4B!P272</f>
        <v>0.72716499999999995</v>
      </c>
      <c r="Q272" s="167">
        <f t="shared" si="21"/>
        <v>12.2471535</v>
      </c>
      <c r="R272" s="166"/>
      <c r="S272" s="166"/>
    </row>
    <row r="273" spans="3:19" hidden="1" x14ac:dyDescent="0.25">
      <c r="C273" s="17" t="s">
        <v>209</v>
      </c>
      <c r="D273" s="17" t="s">
        <v>210</v>
      </c>
      <c r="E273" s="162">
        <f>F4A!E273+F4B!E273</f>
        <v>0</v>
      </c>
      <c r="F273" s="162">
        <f>F4A!F273+F4B!F273</f>
        <v>0</v>
      </c>
      <c r="G273" s="162">
        <f>F4A!G273+F4B!G273</f>
        <v>0</v>
      </c>
      <c r="H273" s="162">
        <f>F4A!H273+F4B!H273</f>
        <v>0</v>
      </c>
      <c r="I273" s="162">
        <f>F4A!I273+F4B!I273</f>
        <v>0</v>
      </c>
      <c r="J273" s="162">
        <f>F4A!J273+F4B!J273</f>
        <v>0</v>
      </c>
      <c r="K273" s="162">
        <f>F4A!K273+F4B!K273</f>
        <v>0</v>
      </c>
      <c r="L273" s="162">
        <f>F4A!L273+F4B!L273</f>
        <v>0</v>
      </c>
      <c r="M273" s="162">
        <f>F4A!M273+F4B!M273</f>
        <v>0</v>
      </c>
      <c r="N273" s="162">
        <f>F4A!N273+F4B!N273</f>
        <v>0</v>
      </c>
      <c r="O273" s="162">
        <f>F4A!O273+F4B!O273</f>
        <v>0</v>
      </c>
      <c r="P273" s="162">
        <f>F4A!P273+F4B!P273</f>
        <v>0</v>
      </c>
      <c r="Q273" s="167">
        <f t="shared" si="21"/>
        <v>0</v>
      </c>
      <c r="R273" s="166"/>
      <c r="S273" s="166"/>
    </row>
    <row r="274" spans="3:19" hidden="1" x14ac:dyDescent="0.25">
      <c r="C274" s="17" t="s">
        <v>211</v>
      </c>
      <c r="D274" s="17" t="s">
        <v>189</v>
      </c>
      <c r="E274" s="162">
        <f>F4A!E274+F4B!E274</f>
        <v>0</v>
      </c>
      <c r="F274" s="162">
        <f>F4A!F274+F4B!F274</f>
        <v>0</v>
      </c>
      <c r="G274" s="162">
        <f>F4A!G274+F4B!G274</f>
        <v>0</v>
      </c>
      <c r="H274" s="162">
        <f>F4A!H274+F4B!H274</f>
        <v>0</v>
      </c>
      <c r="I274" s="162">
        <f>F4A!I274+F4B!I274</f>
        <v>0</v>
      </c>
      <c r="J274" s="162">
        <f>F4A!J274+F4B!J274</f>
        <v>0</v>
      </c>
      <c r="K274" s="162">
        <f>F4A!K274+F4B!K274</f>
        <v>0</v>
      </c>
      <c r="L274" s="162">
        <f>F4A!L274+F4B!L274</f>
        <v>0</v>
      </c>
      <c r="M274" s="162">
        <f>F4A!M274+F4B!M274</f>
        <v>0</v>
      </c>
      <c r="N274" s="162">
        <f>F4A!N274+F4B!N274</f>
        <v>0</v>
      </c>
      <c r="O274" s="162">
        <f>F4A!O274+F4B!O274</f>
        <v>0</v>
      </c>
      <c r="P274" s="162">
        <f>F4A!P274+F4B!P274</f>
        <v>0</v>
      </c>
      <c r="Q274" s="167">
        <f t="shared" si="21"/>
        <v>0</v>
      </c>
      <c r="R274" s="166"/>
      <c r="S274" s="166"/>
    </row>
    <row r="275" spans="3:19" hidden="1" x14ac:dyDescent="0.25">
      <c r="C275" s="17"/>
      <c r="D275" s="17"/>
      <c r="E275" s="162">
        <f>F4A!E275+F4B!E275</f>
        <v>0</v>
      </c>
      <c r="F275" s="162">
        <f>F4A!F275+F4B!F275</f>
        <v>0</v>
      </c>
      <c r="G275" s="162">
        <f>F4A!G275+F4B!G275</f>
        <v>0</v>
      </c>
      <c r="H275" s="162">
        <f>F4A!H275+F4B!H275</f>
        <v>0</v>
      </c>
      <c r="I275" s="162">
        <f>F4A!I275+F4B!I275</f>
        <v>0</v>
      </c>
      <c r="J275" s="162">
        <f>F4A!J275+F4B!J275</f>
        <v>0</v>
      </c>
      <c r="K275" s="162">
        <f>F4A!K275+F4B!K275</f>
        <v>0</v>
      </c>
      <c r="L275" s="162">
        <f>F4A!L275+F4B!L275</f>
        <v>0</v>
      </c>
      <c r="M275" s="162">
        <f>F4A!M275+F4B!M275</f>
        <v>0</v>
      </c>
      <c r="N275" s="162">
        <f>F4A!N275+F4B!N275</f>
        <v>0</v>
      </c>
      <c r="O275" s="162">
        <f>F4A!O275+F4B!O275</f>
        <v>0</v>
      </c>
      <c r="P275" s="162">
        <f>F4A!P275+F4B!P275</f>
        <v>0</v>
      </c>
      <c r="Q275" s="167">
        <f t="shared" si="21"/>
        <v>0</v>
      </c>
      <c r="R275" s="166"/>
      <c r="S275" s="166"/>
    </row>
    <row r="276" spans="3:19" hidden="1" x14ac:dyDescent="0.25">
      <c r="C276" s="17"/>
      <c r="D276" s="17"/>
      <c r="E276" s="162">
        <f>F4A!E276+F4B!E276</f>
        <v>0</v>
      </c>
      <c r="F276" s="162">
        <f>F4A!F276+F4B!F276</f>
        <v>0</v>
      </c>
      <c r="G276" s="162">
        <f>F4A!G276+F4B!G276</f>
        <v>0</v>
      </c>
      <c r="H276" s="162">
        <f>F4A!H276+F4B!H276</f>
        <v>0</v>
      </c>
      <c r="I276" s="162">
        <f>F4A!I276+F4B!I276</f>
        <v>0</v>
      </c>
      <c r="J276" s="162">
        <f>F4A!J276+F4B!J276</f>
        <v>0</v>
      </c>
      <c r="K276" s="162">
        <f>F4A!K276+F4B!K276</f>
        <v>0</v>
      </c>
      <c r="L276" s="162">
        <f>F4A!L276+F4B!L276</f>
        <v>0</v>
      </c>
      <c r="M276" s="162">
        <f>F4A!M276+F4B!M276</f>
        <v>0</v>
      </c>
      <c r="N276" s="162">
        <f>F4A!N276+F4B!N276</f>
        <v>0</v>
      </c>
      <c r="O276" s="162">
        <f>F4A!O276+F4B!O276</f>
        <v>0</v>
      </c>
      <c r="P276" s="162">
        <f>F4A!P276+F4B!P276</f>
        <v>0</v>
      </c>
      <c r="Q276" s="167">
        <f t="shared" si="21"/>
        <v>0</v>
      </c>
      <c r="R276" s="166"/>
      <c r="S276" s="166"/>
    </row>
    <row r="277" spans="3:19" hidden="1" x14ac:dyDescent="0.25">
      <c r="C277" s="17"/>
      <c r="D277" s="17"/>
      <c r="E277" s="162">
        <f>F4A!E277+F4B!E277</f>
        <v>0</v>
      </c>
      <c r="F277" s="162">
        <f>F4A!F277+F4B!F277</f>
        <v>0</v>
      </c>
      <c r="G277" s="162">
        <f>F4A!G277+F4B!G277</f>
        <v>0</v>
      </c>
      <c r="H277" s="162">
        <f>F4A!H277+F4B!H277</f>
        <v>0</v>
      </c>
      <c r="I277" s="162">
        <f>F4A!I277+F4B!I277</f>
        <v>0</v>
      </c>
      <c r="J277" s="162">
        <f>F4A!J277+F4B!J277</f>
        <v>0</v>
      </c>
      <c r="K277" s="162">
        <f>F4A!K277+F4B!K277</f>
        <v>0</v>
      </c>
      <c r="L277" s="162">
        <f>F4A!L277+F4B!L277</f>
        <v>0</v>
      </c>
      <c r="M277" s="162">
        <f>F4A!M277+F4B!M277</f>
        <v>0</v>
      </c>
      <c r="N277" s="162">
        <f>F4A!N277+F4B!N277</f>
        <v>0</v>
      </c>
      <c r="O277" s="162">
        <f>F4A!O277+F4B!O277</f>
        <v>0</v>
      </c>
      <c r="P277" s="162">
        <f>F4A!P277+F4B!P277</f>
        <v>0</v>
      </c>
      <c r="Q277" s="167">
        <f t="shared" si="21"/>
        <v>0</v>
      </c>
      <c r="R277" s="166"/>
      <c r="S277" s="166"/>
    </row>
    <row r="278" spans="3:19" hidden="1" x14ac:dyDescent="0.25">
      <c r="C278" s="17" t="s">
        <v>226</v>
      </c>
      <c r="D278" s="17" t="s">
        <v>226</v>
      </c>
      <c r="E278" s="162">
        <f>F4A!E278+F4B!E278</f>
        <v>0</v>
      </c>
      <c r="F278" s="162">
        <f>F4A!F278+F4B!F278</f>
        <v>0</v>
      </c>
      <c r="G278" s="162">
        <f>F4A!G278+F4B!G278</f>
        <v>0</v>
      </c>
      <c r="H278" s="162">
        <f>F4A!H278+F4B!H278</f>
        <v>0</v>
      </c>
      <c r="I278" s="162">
        <f>F4A!I278+F4B!I278</f>
        <v>0</v>
      </c>
      <c r="J278" s="162">
        <f>F4A!J278+F4B!J278</f>
        <v>0</v>
      </c>
      <c r="K278" s="162">
        <f>F4A!K278+F4B!K278</f>
        <v>0</v>
      </c>
      <c r="L278" s="162">
        <f>F4A!L278+F4B!L278</f>
        <v>0</v>
      </c>
      <c r="M278" s="162">
        <f>F4A!M278+F4B!M278</f>
        <v>0</v>
      </c>
      <c r="N278" s="162">
        <f>F4A!N278+F4B!N278</f>
        <v>0</v>
      </c>
      <c r="O278" s="162">
        <f>F4A!O278+F4B!O278</f>
        <v>0</v>
      </c>
      <c r="P278" s="162">
        <f>F4A!P278+F4B!P278</f>
        <v>0</v>
      </c>
      <c r="Q278" s="167">
        <f t="shared" si="21"/>
        <v>0</v>
      </c>
      <c r="R278" s="166"/>
      <c r="S278" s="166"/>
    </row>
    <row r="279" spans="3:19" hidden="1" x14ac:dyDescent="0.25">
      <c r="C279" s="751" t="s">
        <v>212</v>
      </c>
      <c r="D279" s="752"/>
      <c r="E279" s="167">
        <f t="shared" ref="E279:P279" si="22">SUM(E264:E278)</f>
        <v>61.926348599999997</v>
      </c>
      <c r="F279" s="167">
        <f t="shared" si="22"/>
        <v>55.963534500000009</v>
      </c>
      <c r="G279" s="167">
        <f t="shared" si="22"/>
        <v>55.785328</v>
      </c>
      <c r="H279" s="167">
        <f t="shared" si="22"/>
        <v>56.838069000000011</v>
      </c>
      <c r="I279" s="167">
        <f t="shared" si="22"/>
        <v>54.678899000000008</v>
      </c>
      <c r="J279" s="167">
        <f t="shared" si="22"/>
        <v>57.279762999999996</v>
      </c>
      <c r="K279" s="167">
        <f t="shared" si="22"/>
        <v>56.577256430000013</v>
      </c>
      <c r="L279" s="167">
        <f t="shared" si="22"/>
        <v>54.930478000000001</v>
      </c>
      <c r="M279" s="167">
        <f t="shared" si="22"/>
        <v>51.561073140000005</v>
      </c>
      <c r="N279" s="167">
        <f t="shared" si="22"/>
        <v>52.592153500000002</v>
      </c>
      <c r="O279" s="167">
        <f t="shared" si="22"/>
        <v>54.168636999999997</v>
      </c>
      <c r="P279" s="167">
        <f t="shared" si="22"/>
        <v>51.617749000000011</v>
      </c>
      <c r="Q279" s="167">
        <f t="shared" si="21"/>
        <v>663.91928917000007</v>
      </c>
      <c r="R279" s="166"/>
      <c r="S279" s="166"/>
    </row>
    <row r="280" spans="3:19" hidden="1" x14ac:dyDescent="0.25">
      <c r="C280" s="753" t="s">
        <v>215</v>
      </c>
      <c r="D280" s="754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7">
        <f t="shared" si="21"/>
        <v>0</v>
      </c>
      <c r="R280" s="166"/>
      <c r="S280" s="166"/>
    </row>
    <row r="281" spans="3:19" hidden="1" x14ac:dyDescent="0.25">
      <c r="C281" s="17" t="s">
        <v>192</v>
      </c>
      <c r="D281" s="17" t="s">
        <v>193</v>
      </c>
      <c r="E281" s="162">
        <f>F4A!E281+F4B!E281</f>
        <v>64.960934999999992</v>
      </c>
      <c r="F281" s="162">
        <f>F4A!F281+F4B!F281</f>
        <v>64.658098889999991</v>
      </c>
      <c r="G281" s="162">
        <f>F4A!G281+F4B!G281</f>
        <v>69.07692400000002</v>
      </c>
      <c r="H281" s="162">
        <f>F4A!H281+F4B!H281</f>
        <v>61.231445000000001</v>
      </c>
      <c r="I281" s="162">
        <f>F4A!I281+F4B!I281</f>
        <v>65.645136999999977</v>
      </c>
      <c r="J281" s="162">
        <f>F4A!J281+F4B!J281</f>
        <v>54.294128000000001</v>
      </c>
      <c r="K281" s="162">
        <f>F4A!K281+F4B!K281</f>
        <v>58.232085199999993</v>
      </c>
      <c r="L281" s="162">
        <f>F4A!L281+F4B!L281</f>
        <v>67.324345811460603</v>
      </c>
      <c r="M281" s="162">
        <f>F4A!M281+F4B!M281</f>
        <v>56.586655071791284</v>
      </c>
      <c r="N281" s="162">
        <f>F4A!N281+F4B!N281</f>
        <v>57.817802700000001</v>
      </c>
      <c r="O281" s="162">
        <f>F4A!O281+F4B!O281</f>
        <v>58.268298750000007</v>
      </c>
      <c r="P281" s="162">
        <f>F4A!P281+F4B!P281</f>
        <v>48.069096940000009</v>
      </c>
      <c r="Q281" s="167">
        <f t="shared" si="21"/>
        <v>726.16495236325181</v>
      </c>
      <c r="R281" s="166"/>
      <c r="S281" s="166"/>
    </row>
    <row r="282" spans="3:19" hidden="1" x14ac:dyDescent="0.25">
      <c r="C282" s="17" t="s">
        <v>194</v>
      </c>
      <c r="D282" s="17" t="s">
        <v>195</v>
      </c>
      <c r="E282" s="162">
        <f>F4A!E282+F4B!E282</f>
        <v>0</v>
      </c>
      <c r="F282" s="162">
        <f>F4A!F282+F4B!F282</f>
        <v>0</v>
      </c>
      <c r="G282" s="162">
        <f>F4A!G282+F4B!G282</f>
        <v>0</v>
      </c>
      <c r="H282" s="162">
        <f>F4A!H282+F4B!H282</f>
        <v>0</v>
      </c>
      <c r="I282" s="162">
        <f>F4A!I282+F4B!I282</f>
        <v>0</v>
      </c>
      <c r="J282" s="162">
        <f>F4A!J282+F4B!J282</f>
        <v>0</v>
      </c>
      <c r="K282" s="162">
        <f>F4A!K282+F4B!K282</f>
        <v>0</v>
      </c>
      <c r="L282" s="162">
        <f>F4A!L282+F4B!L282</f>
        <v>0</v>
      </c>
      <c r="M282" s="162">
        <f>F4A!M282+F4B!M282</f>
        <v>0</v>
      </c>
      <c r="N282" s="162">
        <f>F4A!N282+F4B!N282</f>
        <v>0</v>
      </c>
      <c r="O282" s="162">
        <f>F4A!O282+F4B!O282</f>
        <v>0</v>
      </c>
      <c r="P282" s="162">
        <f>F4A!P282+F4B!P282</f>
        <v>0</v>
      </c>
      <c r="Q282" s="167">
        <f t="shared" si="21"/>
        <v>0</v>
      </c>
      <c r="R282" s="166"/>
      <c r="S282" s="166"/>
    </row>
    <row r="283" spans="3:19" hidden="1" x14ac:dyDescent="0.25">
      <c r="C283" s="17" t="s">
        <v>233</v>
      </c>
      <c r="D283" s="17" t="s">
        <v>197</v>
      </c>
      <c r="E283" s="162">
        <f>F4A!E283+F4B!E283</f>
        <v>0.16100000000000003</v>
      </c>
      <c r="F283" s="162">
        <f>F4A!F283+F4B!F283</f>
        <v>0.24560000000000001</v>
      </c>
      <c r="G283" s="162">
        <f>F4A!G283+F4B!G283</f>
        <v>0.57569999999999999</v>
      </c>
      <c r="H283" s="162">
        <f>F4A!H283+F4B!H283</f>
        <v>0.29039999999999999</v>
      </c>
      <c r="I283" s="162">
        <f>F4A!I283+F4B!I283</f>
        <v>0.13730000000000001</v>
      </c>
      <c r="J283" s="162">
        <f>F4A!J283+F4B!J283</f>
        <v>0.24399999999999999</v>
      </c>
      <c r="K283" s="162">
        <f>F4A!K283+F4B!K283</f>
        <v>0.27983999999999998</v>
      </c>
      <c r="L283" s="162">
        <f>F4A!L283+F4B!L283</f>
        <v>0.53549999999999998</v>
      </c>
      <c r="M283" s="162">
        <f>F4A!M283+F4B!M283</f>
        <v>0.43369999999999997</v>
      </c>
      <c r="N283" s="162">
        <f>F4A!N283+F4B!N283</f>
        <v>0.46340000000000003</v>
      </c>
      <c r="O283" s="162">
        <f>F4A!O283+F4B!O283</f>
        <v>0.69340000000000002</v>
      </c>
      <c r="P283" s="162">
        <f>F4A!P283+F4B!P283</f>
        <v>0.28162799999999927</v>
      </c>
      <c r="Q283" s="167">
        <f t="shared" si="21"/>
        <v>4.341467999999999</v>
      </c>
      <c r="R283" s="166"/>
      <c r="S283" s="166"/>
    </row>
    <row r="284" spans="3:19" hidden="1" x14ac:dyDescent="0.25">
      <c r="C284" s="17" t="s">
        <v>198</v>
      </c>
      <c r="D284" s="17" t="s">
        <v>199</v>
      </c>
      <c r="E284" s="162">
        <f>F4A!E284+F4B!E284</f>
        <v>0</v>
      </c>
      <c r="F284" s="162">
        <f>F4A!F284+F4B!F284</f>
        <v>0</v>
      </c>
      <c r="G284" s="162">
        <f>F4A!G284+F4B!G284</f>
        <v>0</v>
      </c>
      <c r="H284" s="162">
        <f>F4A!H284+F4B!H284</f>
        <v>0</v>
      </c>
      <c r="I284" s="162">
        <f>F4A!I284+F4B!I284</f>
        <v>0</v>
      </c>
      <c r="J284" s="162">
        <f>F4A!J284+F4B!J284</f>
        <v>0</v>
      </c>
      <c r="K284" s="162">
        <f>F4A!K284+F4B!K284</f>
        <v>0</v>
      </c>
      <c r="L284" s="162">
        <f>F4A!L284+F4B!L284</f>
        <v>0</v>
      </c>
      <c r="M284" s="162">
        <f>F4A!M284+F4B!M284</f>
        <v>0</v>
      </c>
      <c r="N284" s="162">
        <f>F4A!N284+F4B!N284</f>
        <v>0</v>
      </c>
      <c r="O284" s="162">
        <f>F4A!O284+F4B!O284</f>
        <v>0</v>
      </c>
      <c r="P284" s="162">
        <f>F4A!P284+F4B!P284</f>
        <v>0</v>
      </c>
      <c r="Q284" s="167">
        <f t="shared" si="21"/>
        <v>0</v>
      </c>
      <c r="R284" s="166"/>
      <c r="S284" s="166"/>
    </row>
    <row r="285" spans="3:19" hidden="1" x14ac:dyDescent="0.25">
      <c r="C285" s="17" t="s">
        <v>200</v>
      </c>
      <c r="D285" s="17" t="s">
        <v>201</v>
      </c>
      <c r="E285" s="162">
        <f>F4A!E285+F4B!E285</f>
        <v>0</v>
      </c>
      <c r="F285" s="162">
        <f>F4A!F285+F4B!F285</f>
        <v>0</v>
      </c>
      <c r="G285" s="162">
        <f>F4A!G285+F4B!G285</f>
        <v>0</v>
      </c>
      <c r="H285" s="162">
        <f>F4A!H285+F4B!H285</f>
        <v>0</v>
      </c>
      <c r="I285" s="162">
        <f>F4A!I285+F4B!I285</f>
        <v>0</v>
      </c>
      <c r="J285" s="162">
        <f>F4A!J285+F4B!J285</f>
        <v>0</v>
      </c>
      <c r="K285" s="162">
        <f>F4A!K285+F4B!K285</f>
        <v>0</v>
      </c>
      <c r="L285" s="162">
        <f>F4A!L285+F4B!L285</f>
        <v>0</v>
      </c>
      <c r="M285" s="162">
        <f>F4A!M285+F4B!M285</f>
        <v>0</v>
      </c>
      <c r="N285" s="162">
        <f>F4A!N285+F4B!N285</f>
        <v>0</v>
      </c>
      <c r="O285" s="162">
        <f>F4A!O285+F4B!O285</f>
        <v>0</v>
      </c>
      <c r="P285" s="162">
        <f>F4A!P285+F4B!P285</f>
        <v>0</v>
      </c>
      <c r="Q285" s="167">
        <f t="shared" si="21"/>
        <v>0</v>
      </c>
      <c r="R285" s="166"/>
      <c r="S285" s="166"/>
    </row>
    <row r="286" spans="3:19" hidden="1" x14ac:dyDescent="0.25">
      <c r="C286" s="17" t="s">
        <v>202</v>
      </c>
      <c r="D286" s="17" t="s">
        <v>234</v>
      </c>
      <c r="E286" s="162">
        <f>F4A!E286+F4B!E286</f>
        <v>269.06556899999998</v>
      </c>
      <c r="F286" s="162">
        <f>F4A!F286+F4B!F286</f>
        <v>62.920482</v>
      </c>
      <c r="G286" s="162">
        <f>F4A!G286+F4B!G286</f>
        <v>165.49462299999999</v>
      </c>
      <c r="H286" s="162">
        <f>F4A!H286+F4B!H286</f>
        <v>662.74608699000009</v>
      </c>
      <c r="I286" s="162">
        <f>F4A!I286+F4B!I286</f>
        <v>65.861003000000025</v>
      </c>
      <c r="J286" s="162">
        <f>F4A!J286+F4B!J286</f>
        <v>69.368162369999993</v>
      </c>
      <c r="K286" s="162">
        <f>F4A!K286+F4B!K286</f>
        <v>47.390408000000001</v>
      </c>
      <c r="L286" s="162">
        <f>F4A!L286+F4B!L286</f>
        <v>4.546200479999996</v>
      </c>
      <c r="M286" s="162">
        <f>F4A!M286+F4B!M286</f>
        <v>6.6711900000000002</v>
      </c>
      <c r="N286" s="162">
        <f>F4A!N286+F4B!N286</f>
        <v>79.029255000000006</v>
      </c>
      <c r="O286" s="162">
        <f>F4A!O286+F4B!O286</f>
        <v>67.069014559999999</v>
      </c>
      <c r="P286" s="162">
        <f>F4A!P286+F4B!P286</f>
        <v>292.48373117</v>
      </c>
      <c r="Q286" s="167">
        <f t="shared" si="21"/>
        <v>1792.6457255699997</v>
      </c>
      <c r="R286" s="166"/>
      <c r="S286" s="166"/>
    </row>
    <row r="287" spans="3:19" hidden="1" x14ac:dyDescent="0.25">
      <c r="C287" s="17" t="s">
        <v>204</v>
      </c>
      <c r="D287" s="17" t="s">
        <v>216</v>
      </c>
      <c r="E287" s="162">
        <f>F4A!E287+F4B!E287</f>
        <v>2.1949559999999999</v>
      </c>
      <c r="F287" s="162">
        <f>F4A!F287+F4B!F287</f>
        <v>2.1782879999999998</v>
      </c>
      <c r="G287" s="162">
        <f>F4A!G287+F4B!G287</f>
        <v>2.2931279999999998</v>
      </c>
      <c r="H287" s="162">
        <f>F4A!H287+F4B!H287</f>
        <v>2.3157359999999998</v>
      </c>
      <c r="I287" s="162">
        <f>F4A!I287+F4B!I287</f>
        <v>1.856808</v>
      </c>
      <c r="J287" s="162">
        <f>F4A!J287+F4B!J287</f>
        <v>2.282184</v>
      </c>
      <c r="K287" s="162">
        <f>F4A!K287+F4B!K287</f>
        <v>1.9198440000000001</v>
      </c>
      <c r="L287" s="162">
        <f>F4A!L287+F4B!L287</f>
        <v>2.3172839999999999</v>
      </c>
      <c r="M287" s="162">
        <f>F4A!M287+F4B!M287</f>
        <v>2.3000039999999999</v>
      </c>
      <c r="N287" s="162">
        <f>F4A!N287+F4B!N287</f>
        <v>2.3787720000000001</v>
      </c>
      <c r="O287" s="162">
        <f>F4A!O287+F4B!O287</f>
        <v>2.2408199999999998</v>
      </c>
      <c r="P287" s="162">
        <f>F4A!P287+F4B!P287</f>
        <v>1.9256040000000001</v>
      </c>
      <c r="Q287" s="167">
        <f t="shared" si="21"/>
        <v>26.203427999999999</v>
      </c>
      <c r="R287" s="166"/>
      <c r="S287" s="166"/>
    </row>
    <row r="288" spans="3:19" hidden="1" x14ac:dyDescent="0.25">
      <c r="C288" s="17" t="s">
        <v>217</v>
      </c>
      <c r="D288" s="17" t="s">
        <v>218</v>
      </c>
      <c r="E288" s="162">
        <f>F4A!E288+F4B!E288</f>
        <v>40.344869299999999</v>
      </c>
      <c r="F288" s="162">
        <f>F4A!F288+F4B!F288</f>
        <v>37.970936100000003</v>
      </c>
      <c r="G288" s="162">
        <f>F4A!G288+F4B!G288</f>
        <v>40.797838200000001</v>
      </c>
      <c r="H288" s="162">
        <f>F4A!H288+F4B!H288</f>
        <v>38.461032100000004</v>
      </c>
      <c r="I288" s="162">
        <f>F4A!I288+F4B!I288</f>
        <v>38.101239399999997</v>
      </c>
      <c r="J288" s="162">
        <f>F4A!J288+F4B!J288</f>
        <v>40.774827700000003</v>
      </c>
      <c r="K288" s="162">
        <f>F4A!K288+F4B!K288</f>
        <v>40.325548099999999</v>
      </c>
      <c r="L288" s="162">
        <f>F4A!L288+F4B!L288</f>
        <v>40.066469300000001</v>
      </c>
      <c r="M288" s="162">
        <f>F4A!M288+F4B!M288</f>
        <v>38.241601299999999</v>
      </c>
      <c r="N288" s="162">
        <f>F4A!N288+F4B!N288</f>
        <v>43.807163200000005</v>
      </c>
      <c r="O288" s="162">
        <f>F4A!O288+F4B!O288</f>
        <v>42.544015999999999</v>
      </c>
      <c r="P288" s="162">
        <f>F4A!P288+F4B!P288</f>
        <v>40.6378956</v>
      </c>
      <c r="Q288" s="167">
        <f t="shared" si="21"/>
        <v>482.07343629999997</v>
      </c>
      <c r="R288" s="166"/>
      <c r="S288" s="166"/>
    </row>
    <row r="289" spans="3:19" hidden="1" x14ac:dyDescent="0.25">
      <c r="C289" s="17" t="s">
        <v>252</v>
      </c>
      <c r="D289" s="17" t="s">
        <v>236</v>
      </c>
      <c r="E289" s="162">
        <f>F4A!E289+F4B!E289</f>
        <v>0</v>
      </c>
      <c r="F289" s="162">
        <f>F4A!F289+F4B!F289</f>
        <v>0</v>
      </c>
      <c r="G289" s="162">
        <f>F4A!G289+F4B!G289</f>
        <v>0</v>
      </c>
      <c r="H289" s="162">
        <f>F4A!H289+F4B!H289</f>
        <v>0</v>
      </c>
      <c r="I289" s="162">
        <f>F4A!I289+F4B!I289</f>
        <v>0</v>
      </c>
      <c r="J289" s="162">
        <f>F4A!J289+F4B!J289</f>
        <v>0</v>
      </c>
      <c r="K289" s="162">
        <f>F4A!K289+F4B!K289</f>
        <v>0</v>
      </c>
      <c r="L289" s="162">
        <f>F4A!L289+F4B!L289</f>
        <v>0</v>
      </c>
      <c r="M289" s="162">
        <f>F4A!M289+F4B!M289</f>
        <v>0</v>
      </c>
      <c r="N289" s="162">
        <f>F4A!N289+F4B!N289</f>
        <v>0</v>
      </c>
      <c r="O289" s="162">
        <f>F4A!O289+F4B!O289</f>
        <v>0</v>
      </c>
      <c r="P289" s="162">
        <f>F4A!P289+F4B!P289</f>
        <v>0</v>
      </c>
      <c r="Q289" s="167">
        <f t="shared" si="21"/>
        <v>0</v>
      </c>
      <c r="R289" s="166"/>
      <c r="S289" s="166"/>
    </row>
    <row r="290" spans="3:19" hidden="1" x14ac:dyDescent="0.25">
      <c r="C290" s="17" t="s">
        <v>206</v>
      </c>
      <c r="D290" s="17" t="s">
        <v>207</v>
      </c>
      <c r="E290" s="162">
        <f>F4A!E290+F4B!E290</f>
        <v>8.2769999999999992</v>
      </c>
      <c r="F290" s="162">
        <f>F4A!F290+F4B!F290</f>
        <v>10.845599999999999</v>
      </c>
      <c r="G290" s="162">
        <f>F4A!G290+F4B!G290</f>
        <v>9.2159999999999993</v>
      </c>
      <c r="H290" s="162">
        <f>F4A!H290+F4B!H290</f>
        <v>9.4044000000000008</v>
      </c>
      <c r="I290" s="162">
        <f>F4A!I290+F4B!I290</f>
        <v>9.2951999999999995</v>
      </c>
      <c r="J290" s="162">
        <f>F4A!J290+F4B!J290</f>
        <v>9.1898999999999997</v>
      </c>
      <c r="K290" s="162">
        <f>F4A!K290+F4B!K290</f>
        <v>8.4441000000000006</v>
      </c>
      <c r="L290" s="162">
        <f>F4A!L290+F4B!L290</f>
        <v>7.7625000000000002</v>
      </c>
      <c r="M290" s="162">
        <f>F4A!M290+F4B!M290</f>
        <v>6.7077020000000003</v>
      </c>
      <c r="N290" s="162">
        <f>F4A!N290+F4B!N290</f>
        <v>6.2515900000000002</v>
      </c>
      <c r="O290" s="162">
        <f>F4A!O290+F4B!O290</f>
        <v>6.7982909999999999</v>
      </c>
      <c r="P290" s="162">
        <f>F4A!P290+F4B!P290</f>
        <v>7.6851349999999998</v>
      </c>
      <c r="Q290" s="167">
        <f t="shared" si="21"/>
        <v>99.877418000000006</v>
      </c>
      <c r="R290" s="166"/>
      <c r="S290" s="166"/>
    </row>
    <row r="291" spans="3:19" hidden="1" x14ac:dyDescent="0.25">
      <c r="C291" s="17" t="s">
        <v>208</v>
      </c>
      <c r="D291" s="17" t="s">
        <v>187</v>
      </c>
      <c r="E291" s="162">
        <f>F4A!E291+F4B!E291</f>
        <v>8.5570000000000004</v>
      </c>
      <c r="F291" s="162">
        <f>F4A!F291+F4B!F291</f>
        <v>0</v>
      </c>
      <c r="G291" s="162">
        <f>F4A!G291+F4B!G291</f>
        <v>0</v>
      </c>
      <c r="H291" s="162">
        <f>F4A!H291+F4B!H291</f>
        <v>0</v>
      </c>
      <c r="I291" s="162">
        <f>F4A!I291+F4B!I291</f>
        <v>0</v>
      </c>
      <c r="J291" s="162">
        <f>F4A!J291+F4B!J291</f>
        <v>0</v>
      </c>
      <c r="K291" s="162">
        <f>F4A!K291+F4B!K291</f>
        <v>0</v>
      </c>
      <c r="L291" s="162">
        <f>F4A!L291+F4B!L291</f>
        <v>0</v>
      </c>
      <c r="M291" s="162">
        <f>F4A!M291+F4B!M291</f>
        <v>0</v>
      </c>
      <c r="N291" s="162">
        <f>F4A!N291+F4B!N291</f>
        <v>0</v>
      </c>
      <c r="O291" s="162">
        <f>F4A!O291+F4B!O291</f>
        <v>0</v>
      </c>
      <c r="P291" s="162">
        <f>F4A!P291+F4B!P291</f>
        <v>0</v>
      </c>
      <c r="Q291" s="167">
        <f t="shared" si="21"/>
        <v>8.5570000000000004</v>
      </c>
      <c r="R291" s="166"/>
      <c r="S291" s="166"/>
    </row>
    <row r="292" spans="3:19" hidden="1" x14ac:dyDescent="0.25">
      <c r="C292" s="17" t="s">
        <v>209</v>
      </c>
      <c r="D292" s="17" t="s">
        <v>210</v>
      </c>
      <c r="E292" s="162">
        <f>F4A!E292+F4B!E292</f>
        <v>0</v>
      </c>
      <c r="F292" s="162">
        <f>F4A!F292+F4B!F292</f>
        <v>0</v>
      </c>
      <c r="G292" s="162">
        <f>F4A!G292+F4B!G292</f>
        <v>0</v>
      </c>
      <c r="H292" s="162">
        <f>F4A!H292+F4B!H292</f>
        <v>0</v>
      </c>
      <c r="I292" s="162">
        <f>F4A!I292+F4B!I292</f>
        <v>0</v>
      </c>
      <c r="J292" s="162">
        <f>F4A!J292+F4B!J292</f>
        <v>0</v>
      </c>
      <c r="K292" s="162">
        <f>F4A!K292+F4B!K292</f>
        <v>0</v>
      </c>
      <c r="L292" s="162">
        <f>F4A!L292+F4B!L292</f>
        <v>0</v>
      </c>
      <c r="M292" s="162">
        <f>F4A!M292+F4B!M292</f>
        <v>0</v>
      </c>
      <c r="N292" s="162">
        <f>F4A!N292+F4B!N292</f>
        <v>0</v>
      </c>
      <c r="O292" s="162">
        <f>F4A!O292+F4B!O292</f>
        <v>0</v>
      </c>
      <c r="P292" s="162">
        <f>F4A!P292+F4B!P292</f>
        <v>0</v>
      </c>
      <c r="Q292" s="167">
        <f t="shared" si="21"/>
        <v>0</v>
      </c>
      <c r="R292" s="166"/>
      <c r="S292" s="166"/>
    </row>
    <row r="293" spans="3:19" hidden="1" x14ac:dyDescent="0.25">
      <c r="C293" s="17" t="s">
        <v>211</v>
      </c>
      <c r="D293" s="17" t="s">
        <v>189</v>
      </c>
      <c r="E293" s="162">
        <f>F4A!E293+F4B!E293</f>
        <v>0</v>
      </c>
      <c r="F293" s="162">
        <f>F4A!F293+F4B!F293</f>
        <v>0</v>
      </c>
      <c r="G293" s="162">
        <f>F4A!G293+F4B!G293</f>
        <v>0</v>
      </c>
      <c r="H293" s="162">
        <f>F4A!H293+F4B!H293</f>
        <v>0</v>
      </c>
      <c r="I293" s="162">
        <f>F4A!I293+F4B!I293</f>
        <v>0</v>
      </c>
      <c r="J293" s="162">
        <f>F4A!J293+F4B!J293</f>
        <v>0</v>
      </c>
      <c r="K293" s="162">
        <f>F4A!K293+F4B!K293</f>
        <v>0</v>
      </c>
      <c r="L293" s="162">
        <f>F4A!L293+F4B!L293</f>
        <v>0</v>
      </c>
      <c r="M293" s="162">
        <f>F4A!M293+F4B!M293</f>
        <v>0</v>
      </c>
      <c r="N293" s="162">
        <f>F4A!N293+F4B!N293</f>
        <v>0</v>
      </c>
      <c r="O293" s="162">
        <f>F4A!O293+F4B!O293</f>
        <v>0</v>
      </c>
      <c r="P293" s="162">
        <f>F4A!P293+F4B!P293</f>
        <v>0</v>
      </c>
      <c r="Q293" s="167">
        <f t="shared" si="21"/>
        <v>0</v>
      </c>
      <c r="R293" s="166"/>
      <c r="S293" s="166"/>
    </row>
    <row r="294" spans="3:19" hidden="1" x14ac:dyDescent="0.25">
      <c r="C294" s="17"/>
      <c r="D294" s="17"/>
      <c r="E294" s="162">
        <f>F4A!E294+F4B!E294</f>
        <v>0</v>
      </c>
      <c r="F294" s="162">
        <f>F4A!F294+F4B!F294</f>
        <v>0</v>
      </c>
      <c r="G294" s="162">
        <f>F4A!G294+F4B!G294</f>
        <v>0</v>
      </c>
      <c r="H294" s="162">
        <f>F4A!H294+F4B!H294</f>
        <v>0</v>
      </c>
      <c r="I294" s="162">
        <f>F4A!I294+F4B!I294</f>
        <v>0</v>
      </c>
      <c r="J294" s="162">
        <f>F4A!J294+F4B!J294</f>
        <v>0</v>
      </c>
      <c r="K294" s="162">
        <f>F4A!K294+F4B!K294</f>
        <v>0</v>
      </c>
      <c r="L294" s="162">
        <f>F4A!L294+F4B!L294</f>
        <v>0</v>
      </c>
      <c r="M294" s="162">
        <f>F4A!M294+F4B!M294</f>
        <v>0</v>
      </c>
      <c r="N294" s="162">
        <f>F4A!N294+F4B!N294</f>
        <v>0</v>
      </c>
      <c r="O294" s="162">
        <f>F4A!O294+F4B!O294</f>
        <v>0</v>
      </c>
      <c r="P294" s="162">
        <f>F4A!P294+F4B!P294</f>
        <v>0</v>
      </c>
      <c r="Q294" s="167">
        <f t="shared" si="21"/>
        <v>0</v>
      </c>
      <c r="R294" s="166"/>
      <c r="S294" s="166"/>
    </row>
    <row r="295" spans="3:19" hidden="1" x14ac:dyDescent="0.25">
      <c r="C295" s="17"/>
      <c r="D295" s="17"/>
      <c r="E295" s="162">
        <f>F4A!E295+F4B!E295</f>
        <v>0</v>
      </c>
      <c r="F295" s="162">
        <f>F4A!F295+F4B!F295</f>
        <v>0</v>
      </c>
      <c r="G295" s="162">
        <f>F4A!G295+F4B!G295</f>
        <v>0</v>
      </c>
      <c r="H295" s="162">
        <f>F4A!H295+F4B!H295</f>
        <v>0</v>
      </c>
      <c r="I295" s="162">
        <f>F4A!I295+F4B!I295</f>
        <v>0</v>
      </c>
      <c r="J295" s="162">
        <f>F4A!J295+F4B!J295</f>
        <v>0</v>
      </c>
      <c r="K295" s="162">
        <f>F4A!K295+F4B!K295</f>
        <v>0</v>
      </c>
      <c r="L295" s="162">
        <f>F4A!L295+F4B!L295</f>
        <v>0</v>
      </c>
      <c r="M295" s="162">
        <f>F4A!M295+F4B!M295</f>
        <v>0</v>
      </c>
      <c r="N295" s="162">
        <f>F4A!N295+F4B!N295</f>
        <v>0</v>
      </c>
      <c r="O295" s="162">
        <f>F4A!O295+F4B!O295</f>
        <v>0</v>
      </c>
      <c r="P295" s="162">
        <f>F4A!P295+F4B!P295</f>
        <v>0</v>
      </c>
      <c r="Q295" s="167">
        <f t="shared" ref="Q295:Q300" si="23">SUM(E295:P295)</f>
        <v>0</v>
      </c>
      <c r="R295" s="166"/>
      <c r="S295" s="166"/>
    </row>
    <row r="296" spans="3:19" hidden="1" x14ac:dyDescent="0.25">
      <c r="C296" s="17"/>
      <c r="D296" s="17"/>
      <c r="E296" s="162">
        <f>F4A!E296+F4B!E296</f>
        <v>0</v>
      </c>
      <c r="F296" s="162">
        <f>F4A!F296+F4B!F296</f>
        <v>0</v>
      </c>
      <c r="G296" s="162">
        <f>F4A!G296+F4B!G296</f>
        <v>0</v>
      </c>
      <c r="H296" s="162">
        <f>F4A!H296+F4B!H296</f>
        <v>0</v>
      </c>
      <c r="I296" s="162">
        <f>F4A!I296+F4B!I296</f>
        <v>0</v>
      </c>
      <c r="J296" s="162">
        <f>F4A!J296+F4B!J296</f>
        <v>0</v>
      </c>
      <c r="K296" s="162">
        <f>F4A!K296+F4B!K296</f>
        <v>0</v>
      </c>
      <c r="L296" s="162">
        <f>F4A!L296+F4B!L296</f>
        <v>0</v>
      </c>
      <c r="M296" s="162">
        <f>F4A!M296+F4B!M296</f>
        <v>0</v>
      </c>
      <c r="N296" s="162">
        <f>F4A!N296+F4B!N296</f>
        <v>0</v>
      </c>
      <c r="O296" s="162">
        <f>F4A!O296+F4B!O296</f>
        <v>0</v>
      </c>
      <c r="P296" s="162">
        <f>F4A!P296+F4B!P296</f>
        <v>0</v>
      </c>
      <c r="Q296" s="167">
        <f t="shared" si="23"/>
        <v>0</v>
      </c>
      <c r="R296" s="166"/>
      <c r="S296" s="166"/>
    </row>
    <row r="297" spans="3:19" hidden="1" x14ac:dyDescent="0.25">
      <c r="C297" s="17" t="s">
        <v>226</v>
      </c>
      <c r="D297" s="17" t="s">
        <v>226</v>
      </c>
      <c r="E297" s="162">
        <f>F4A!E297+F4B!E297</f>
        <v>0</v>
      </c>
      <c r="F297" s="162">
        <f>F4A!F297+F4B!F297</f>
        <v>0</v>
      </c>
      <c r="G297" s="162">
        <f>F4A!G297+F4B!G297</f>
        <v>0</v>
      </c>
      <c r="H297" s="162">
        <f>F4A!H297+F4B!H297</f>
        <v>0</v>
      </c>
      <c r="I297" s="162">
        <f>F4A!I297+F4B!I297</f>
        <v>0</v>
      </c>
      <c r="J297" s="162">
        <f>F4A!J297+F4B!J297</f>
        <v>0</v>
      </c>
      <c r="K297" s="162">
        <f>F4A!K297+F4B!K297</f>
        <v>0</v>
      </c>
      <c r="L297" s="162">
        <f>F4A!L297+F4B!L297</f>
        <v>0</v>
      </c>
      <c r="M297" s="162">
        <f>F4A!M297+F4B!M297</f>
        <v>0</v>
      </c>
      <c r="N297" s="162">
        <f>F4A!N297+F4B!N297</f>
        <v>0</v>
      </c>
      <c r="O297" s="162">
        <f>F4A!O297+F4B!O297</f>
        <v>0</v>
      </c>
      <c r="P297" s="162">
        <f>F4A!P297+F4B!P297</f>
        <v>0</v>
      </c>
      <c r="Q297" s="167">
        <f t="shared" si="23"/>
        <v>0</v>
      </c>
      <c r="R297" s="166"/>
      <c r="S297" s="166"/>
    </row>
    <row r="298" spans="3:19" hidden="1" x14ac:dyDescent="0.25">
      <c r="C298" s="751" t="s">
        <v>212</v>
      </c>
      <c r="D298" s="752"/>
      <c r="E298" s="167">
        <f t="shared" ref="E298:P298" si="24">SUM(E281:E297)</f>
        <v>393.56132929999995</v>
      </c>
      <c r="F298" s="167">
        <f t="shared" si="24"/>
        <v>178.81900499</v>
      </c>
      <c r="G298" s="167">
        <f t="shared" si="24"/>
        <v>287.45421320000003</v>
      </c>
      <c r="H298" s="167">
        <f t="shared" si="24"/>
        <v>774.44910009000012</v>
      </c>
      <c r="I298" s="167">
        <f t="shared" si="24"/>
        <v>180.89668739999999</v>
      </c>
      <c r="J298" s="167">
        <f t="shared" si="24"/>
        <v>176.15320206999999</v>
      </c>
      <c r="K298" s="167">
        <f t="shared" si="24"/>
        <v>156.59182529999998</v>
      </c>
      <c r="L298" s="167">
        <f t="shared" si="24"/>
        <v>122.5522995914606</v>
      </c>
      <c r="M298" s="167">
        <f t="shared" si="24"/>
        <v>110.94085237179128</v>
      </c>
      <c r="N298" s="167">
        <f t="shared" si="24"/>
        <v>189.74798289999998</v>
      </c>
      <c r="O298" s="167">
        <f t="shared" si="24"/>
        <v>177.61384031000003</v>
      </c>
      <c r="P298" s="167">
        <f t="shared" si="24"/>
        <v>391.08309071000002</v>
      </c>
      <c r="Q298" s="167">
        <f t="shared" si="23"/>
        <v>3139.8634282332514</v>
      </c>
      <c r="R298" s="166"/>
      <c r="S298" s="166"/>
    </row>
    <row r="299" spans="3:19" hidden="1" x14ac:dyDescent="0.25">
      <c r="C299" s="751" t="s">
        <v>219</v>
      </c>
      <c r="D299" s="752"/>
      <c r="E299" s="167">
        <f t="shared" ref="E299:P299" si="25">E298+E279+E262</f>
        <v>686.91769998999996</v>
      </c>
      <c r="F299" s="167">
        <f t="shared" si="25"/>
        <v>369.68374996</v>
      </c>
      <c r="G299" s="167">
        <f t="shared" si="25"/>
        <v>476.44414135</v>
      </c>
      <c r="H299" s="167">
        <f t="shared" si="25"/>
        <v>1010.0432812199999</v>
      </c>
      <c r="I299" s="167">
        <f t="shared" si="25"/>
        <v>437.64071442999995</v>
      </c>
      <c r="J299" s="167">
        <f t="shared" si="25"/>
        <v>411.28047377000007</v>
      </c>
      <c r="K299" s="167">
        <f t="shared" si="25"/>
        <v>374.19119796999996</v>
      </c>
      <c r="L299" s="167">
        <f t="shared" si="25"/>
        <v>334.85873525146064</v>
      </c>
      <c r="M299" s="167">
        <f t="shared" si="25"/>
        <v>339.12696592179128</v>
      </c>
      <c r="N299" s="167">
        <f t="shared" si="25"/>
        <v>448.46593124999993</v>
      </c>
      <c r="O299" s="167">
        <f t="shared" si="25"/>
        <v>451.81077288</v>
      </c>
      <c r="P299" s="167">
        <f t="shared" si="25"/>
        <v>647.33138135000002</v>
      </c>
      <c r="Q299" s="167">
        <f t="shared" si="23"/>
        <v>5987.7950453432513</v>
      </c>
      <c r="R299" s="166"/>
      <c r="S299" s="166"/>
    </row>
    <row r="300" spans="3:19" hidden="1" x14ac:dyDescent="0.25">
      <c r="C300" s="751" t="s">
        <v>220</v>
      </c>
      <c r="D300" s="752"/>
      <c r="E300" s="167">
        <f t="shared" ref="E300:P300" si="26">E299+E245</f>
        <v>1853.9154375491603</v>
      </c>
      <c r="F300" s="167">
        <f t="shared" si="26"/>
        <v>1133.417232489018</v>
      </c>
      <c r="G300" s="167">
        <f t="shared" si="26"/>
        <v>1192.6411900966</v>
      </c>
      <c r="H300" s="167">
        <f t="shared" si="26"/>
        <v>2031.1220112199999</v>
      </c>
      <c r="I300" s="167">
        <f t="shared" si="26"/>
        <v>1698.5020524299998</v>
      </c>
      <c r="J300" s="167">
        <f t="shared" si="26"/>
        <v>1319.9784857699999</v>
      </c>
      <c r="K300" s="167">
        <f t="shared" si="26"/>
        <v>1468.1662839699998</v>
      </c>
      <c r="L300" s="167">
        <f t="shared" si="26"/>
        <v>1014.4530484214606</v>
      </c>
      <c r="M300" s="167">
        <f t="shared" si="26"/>
        <v>1327.2404659217914</v>
      </c>
      <c r="N300" s="167">
        <f t="shared" si="26"/>
        <v>1566.6421352499997</v>
      </c>
      <c r="O300" s="167">
        <f t="shared" si="26"/>
        <v>1661.8560295500001</v>
      </c>
      <c r="P300" s="167">
        <f t="shared" si="26"/>
        <v>2373.88534235</v>
      </c>
      <c r="Q300" s="167">
        <f t="shared" si="23"/>
        <v>18641.819715018031</v>
      </c>
      <c r="R300" s="166"/>
      <c r="S300" s="166"/>
    </row>
    <row r="301" spans="3:19" hidden="1" x14ac:dyDescent="0.25">
      <c r="C301" s="14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9" t="s">
        <v>229</v>
      </c>
      <c r="R301" s="166"/>
      <c r="S301" s="166"/>
    </row>
    <row r="302" spans="3:19" hidden="1" x14ac:dyDescent="0.25">
      <c r="C302" s="760" t="s">
        <v>163</v>
      </c>
      <c r="D302" s="760"/>
      <c r="E302" s="761" t="s">
        <v>255</v>
      </c>
      <c r="F302" s="761"/>
      <c r="G302" s="761"/>
      <c r="H302" s="761"/>
      <c r="I302" s="761"/>
      <c r="J302" s="761"/>
      <c r="K302" s="761"/>
      <c r="L302" s="761"/>
      <c r="M302" s="761"/>
      <c r="N302" s="761"/>
      <c r="O302" s="761"/>
      <c r="P302" s="761"/>
      <c r="Q302" s="761"/>
      <c r="R302" s="166"/>
      <c r="S302" s="166"/>
    </row>
    <row r="303" spans="3:19" hidden="1" x14ac:dyDescent="0.25">
      <c r="C303" s="760"/>
      <c r="D303" s="760"/>
      <c r="E303" s="168" t="s">
        <v>239</v>
      </c>
      <c r="F303" s="168" t="s">
        <v>240</v>
      </c>
      <c r="G303" s="168" t="s">
        <v>241</v>
      </c>
      <c r="H303" s="168" t="s">
        <v>242</v>
      </c>
      <c r="I303" s="168" t="s">
        <v>243</v>
      </c>
      <c r="J303" s="168" t="s">
        <v>244</v>
      </c>
      <c r="K303" s="168" t="s">
        <v>245</v>
      </c>
      <c r="L303" s="168" t="s">
        <v>246</v>
      </c>
      <c r="M303" s="168" t="s">
        <v>247</v>
      </c>
      <c r="N303" s="168" t="s">
        <v>248</v>
      </c>
      <c r="O303" s="168" t="s">
        <v>249</v>
      </c>
      <c r="P303" s="168" t="s">
        <v>250</v>
      </c>
      <c r="Q303" s="168" t="s">
        <v>251</v>
      </c>
      <c r="R303" s="166"/>
      <c r="S303" s="166"/>
    </row>
    <row r="304" spans="3:19" hidden="1" x14ac:dyDescent="0.25">
      <c r="C304" s="753" t="s">
        <v>171</v>
      </c>
      <c r="D304" s="754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7">
        <f t="shared" ref="Q304:Q335" si="27">SUM(E304:P304)</f>
        <v>0</v>
      </c>
      <c r="R304" s="166"/>
      <c r="S304" s="166"/>
    </row>
    <row r="305" spans="3:19" hidden="1" x14ac:dyDescent="0.25">
      <c r="C305" s="59" t="s">
        <v>172</v>
      </c>
      <c r="D305" s="59" t="s">
        <v>173</v>
      </c>
      <c r="E305" s="162">
        <f>F4A!E305+F4B!E305</f>
        <v>365.610254</v>
      </c>
      <c r="F305" s="162">
        <f>F4A!F305+F4B!F305</f>
        <v>421.796719</v>
      </c>
      <c r="G305" s="162">
        <f>F4A!G305+F4B!G305</f>
        <v>440.76467699999995</v>
      </c>
      <c r="H305" s="162">
        <f>F4A!H305+F4B!H305</f>
        <v>373.50165099999992</v>
      </c>
      <c r="I305" s="162">
        <f>F4A!I305+F4B!I305</f>
        <v>313.20398829999999</v>
      </c>
      <c r="J305" s="162">
        <f>F4A!J305+F4B!J305</f>
        <v>346.03150899999997</v>
      </c>
      <c r="K305" s="162">
        <f>F4A!K305+F4B!K305</f>
        <v>328.04758299999992</v>
      </c>
      <c r="L305" s="162">
        <f>F4A!L305+F4B!L305</f>
        <v>290.00077999999991</v>
      </c>
      <c r="M305" s="162">
        <f>F4A!M305+F4B!M305</f>
        <v>245.65373099999996</v>
      </c>
      <c r="N305" s="162">
        <f>F4A!N305+F4B!N305</f>
        <v>255.37288599999999</v>
      </c>
      <c r="O305" s="162">
        <f>F4A!O305+F4B!O305</f>
        <v>252.529065</v>
      </c>
      <c r="P305" s="162">
        <f>F4A!P305+F4B!P305</f>
        <v>259.34137300000003</v>
      </c>
      <c r="Q305" s="167">
        <f t="shared" si="27"/>
        <v>3891.8542163000002</v>
      </c>
      <c r="R305" s="166"/>
      <c r="S305" s="166"/>
    </row>
    <row r="306" spans="3:19" hidden="1" x14ac:dyDescent="0.25">
      <c r="C306" s="17" t="s">
        <v>174</v>
      </c>
      <c r="D306" s="17" t="s">
        <v>175</v>
      </c>
      <c r="E306" s="162">
        <f>F4A!E306+F4B!E306</f>
        <v>79.94304799999999</v>
      </c>
      <c r="F306" s="162">
        <f>F4A!F306+F4B!F306</f>
        <v>86.530002999999994</v>
      </c>
      <c r="G306" s="162">
        <f>F4A!G306+F4B!G306</f>
        <v>90.612987000000004</v>
      </c>
      <c r="H306" s="162">
        <f>F4A!H306+F4B!H306</f>
        <v>78.423677999999995</v>
      </c>
      <c r="I306" s="162">
        <f>F4A!I306+F4B!I306</f>
        <v>68.017126000000005</v>
      </c>
      <c r="J306" s="162">
        <f>F4A!J306+F4B!J306</f>
        <v>73.683937</v>
      </c>
      <c r="K306" s="162">
        <f>F4A!K306+F4B!K306</f>
        <v>70.613885000000025</v>
      </c>
      <c r="L306" s="162">
        <f>F4A!L306+F4B!L306</f>
        <v>67.335615000000004</v>
      </c>
      <c r="M306" s="162">
        <f>F4A!M306+F4B!M306</f>
        <v>62.238168000000002</v>
      </c>
      <c r="N306" s="162">
        <f>F4A!N306+F4B!N306</f>
        <v>66.536774999999992</v>
      </c>
      <c r="O306" s="162">
        <f>F4A!O306+F4B!O306</f>
        <v>65.036568000000017</v>
      </c>
      <c r="P306" s="162">
        <f>F4A!P306+F4B!P306</f>
        <v>66.165188999999998</v>
      </c>
      <c r="Q306" s="167">
        <f t="shared" si="27"/>
        <v>875.13697900000011</v>
      </c>
      <c r="R306" s="166"/>
      <c r="S306" s="166"/>
    </row>
    <row r="307" spans="3:19" hidden="1" x14ac:dyDescent="0.25">
      <c r="C307" s="17" t="s">
        <v>176</v>
      </c>
      <c r="D307" s="17" t="s">
        <v>177</v>
      </c>
      <c r="E307" s="162">
        <f>F4A!E307+F4B!E307</f>
        <v>21.277899999999995</v>
      </c>
      <c r="F307" s="162">
        <f>F4A!F307+F4B!F307</f>
        <v>21.101853000000002</v>
      </c>
      <c r="G307" s="162">
        <f>F4A!G307+F4B!G307</f>
        <v>21.908694999999994</v>
      </c>
      <c r="H307" s="162">
        <f>F4A!H307+F4B!H307</f>
        <v>17.595610999999998</v>
      </c>
      <c r="I307" s="162">
        <f>F4A!I307+F4B!I307</f>
        <v>14.882455500000001</v>
      </c>
      <c r="J307" s="162">
        <f>F4A!J307+F4B!J307</f>
        <v>16.780107999999998</v>
      </c>
      <c r="K307" s="162">
        <f>F4A!K307+F4B!K307</f>
        <v>15.748473999999998</v>
      </c>
      <c r="L307" s="162">
        <f>F4A!L307+F4B!L307</f>
        <v>17.335014000000001</v>
      </c>
      <c r="M307" s="162">
        <f>F4A!M307+F4B!M307</f>
        <v>21.366014000000003</v>
      </c>
      <c r="N307" s="162">
        <f>F4A!N307+F4B!N307</f>
        <v>24.650779000000004</v>
      </c>
      <c r="O307" s="162">
        <f>F4A!O307+F4B!O307</f>
        <v>23.489951999999999</v>
      </c>
      <c r="P307" s="162">
        <f>F4A!P307+F4B!P307</f>
        <v>20.878366999999997</v>
      </c>
      <c r="Q307" s="167">
        <f t="shared" si="27"/>
        <v>237.01522249999996</v>
      </c>
      <c r="R307" s="166"/>
      <c r="S307" s="166"/>
    </row>
    <row r="308" spans="3:19" hidden="1" x14ac:dyDescent="0.25">
      <c r="C308" s="17" t="s">
        <v>178</v>
      </c>
      <c r="D308" s="17" t="s">
        <v>179</v>
      </c>
      <c r="E308" s="162">
        <f>F4A!E308+F4B!E308</f>
        <v>0.73176899999999989</v>
      </c>
      <c r="F308" s="162">
        <f>F4A!F308+F4B!F308</f>
        <v>0.73470000000000002</v>
      </c>
      <c r="G308" s="162">
        <f>F4A!G308+F4B!G308</f>
        <v>0.78040200000000004</v>
      </c>
      <c r="H308" s="162">
        <f>F4A!H308+F4B!H308</f>
        <v>0.73809799999999992</v>
      </c>
      <c r="I308" s="162">
        <f>F4A!I308+F4B!I308</f>
        <v>0.66727099999999995</v>
      </c>
      <c r="J308" s="162">
        <f>F4A!J308+F4B!J308</f>
        <v>0.71270800000000001</v>
      </c>
      <c r="K308" s="162">
        <f>F4A!K308+F4B!K308</f>
        <v>0.69061799999999995</v>
      </c>
      <c r="L308" s="162">
        <f>F4A!L308+F4B!L308</f>
        <v>0.66414100000000009</v>
      </c>
      <c r="M308" s="162">
        <f>F4A!M308+F4B!M308</f>
        <v>0.65244599999999997</v>
      </c>
      <c r="N308" s="162">
        <f>F4A!N308+F4B!N308</f>
        <v>0.64971500000000004</v>
      </c>
      <c r="O308" s="162">
        <f>F4A!O308+F4B!O308</f>
        <v>0.70571099999999987</v>
      </c>
      <c r="P308" s="162">
        <f>F4A!P308+F4B!P308</f>
        <v>0.60979899999999998</v>
      </c>
      <c r="Q308" s="167">
        <f t="shared" si="27"/>
        <v>8.3373779999999993</v>
      </c>
      <c r="R308" s="166"/>
      <c r="S308" s="166"/>
    </row>
    <row r="309" spans="3:19" hidden="1" x14ac:dyDescent="0.25">
      <c r="C309" s="17" t="s">
        <v>180</v>
      </c>
      <c r="D309" s="17" t="s">
        <v>181</v>
      </c>
      <c r="E309" s="162">
        <f>F4A!E309+F4B!E309</f>
        <v>828.53600000000006</v>
      </c>
      <c r="F309" s="162">
        <f>F4A!F309+F4B!F309</f>
        <v>261.16199999999998</v>
      </c>
      <c r="G309" s="162">
        <f>F4A!G309+F4B!G309</f>
        <v>165.48500000000001</v>
      </c>
      <c r="H309" s="162">
        <f>F4A!H309+F4B!H309</f>
        <v>248.60799999999998</v>
      </c>
      <c r="I309" s="162">
        <f>F4A!I309+F4B!I309</f>
        <v>708.66100000000006</v>
      </c>
      <c r="J309" s="162">
        <f>F4A!J309+F4B!J309</f>
        <v>596.26299999999981</v>
      </c>
      <c r="K309" s="162">
        <f>F4A!K309+F4B!K309</f>
        <v>473.45</v>
      </c>
      <c r="L309" s="162">
        <f>F4A!L309+F4B!L309</f>
        <v>362.08399999999995</v>
      </c>
      <c r="M309" s="162">
        <f>F4A!M309+F4B!M309</f>
        <v>798.97</v>
      </c>
      <c r="N309" s="162">
        <f>F4A!N309+F4B!N309</f>
        <v>972.32460000000003</v>
      </c>
      <c r="O309" s="162">
        <f>F4A!O309+F4B!O309</f>
        <v>1123.4839999999997</v>
      </c>
      <c r="P309" s="162">
        <f>F4A!P309+F4B!P309</f>
        <v>1328.9909999999998</v>
      </c>
      <c r="Q309" s="167">
        <f t="shared" si="27"/>
        <v>7868.0185999999994</v>
      </c>
      <c r="R309" s="166"/>
      <c r="S309" s="166"/>
    </row>
    <row r="310" spans="3:19" hidden="1" x14ac:dyDescent="0.25">
      <c r="C310" s="17" t="s">
        <v>182</v>
      </c>
      <c r="D310" s="17" t="s">
        <v>183</v>
      </c>
      <c r="E310" s="162">
        <f>F4A!E310+F4B!E310</f>
        <v>31.785612</v>
      </c>
      <c r="F310" s="162">
        <f>F4A!F310+F4B!F310</f>
        <v>31.768662999999997</v>
      </c>
      <c r="G310" s="162">
        <f>F4A!G310+F4B!G310</f>
        <v>31.456674000000003</v>
      </c>
      <c r="H310" s="162">
        <f>F4A!H310+F4B!H310</f>
        <v>27.883637</v>
      </c>
      <c r="I310" s="162">
        <f>F4A!I310+F4B!I310</f>
        <v>25.881440999999999</v>
      </c>
      <c r="J310" s="162">
        <f>F4A!J310+F4B!J310</f>
        <v>28.289197999999995</v>
      </c>
      <c r="K310" s="162">
        <f>F4A!K310+F4B!K310</f>
        <v>28.254200999999998</v>
      </c>
      <c r="L310" s="162">
        <f>F4A!L310+F4B!L310</f>
        <v>29.715046999999998</v>
      </c>
      <c r="M310" s="162">
        <f>F4A!M310+F4B!M310</f>
        <v>29.465969999999995</v>
      </c>
      <c r="N310" s="162">
        <f>F4A!N310+F4B!N310</f>
        <v>30.596094000000001</v>
      </c>
      <c r="O310" s="162">
        <f>F4A!O310+F4B!O310</f>
        <v>30.893644999999999</v>
      </c>
      <c r="P310" s="162">
        <f>F4A!P310+F4B!P310</f>
        <v>28.798748000000003</v>
      </c>
      <c r="Q310" s="167">
        <f t="shared" si="27"/>
        <v>354.78892999999994</v>
      </c>
      <c r="R310" s="166"/>
      <c r="S310" s="166"/>
    </row>
    <row r="311" spans="3:19" hidden="1" x14ac:dyDescent="0.25">
      <c r="C311" s="17" t="s">
        <v>184</v>
      </c>
      <c r="D311" s="17" t="s">
        <v>185</v>
      </c>
      <c r="E311" s="162">
        <f>F4A!E311+F4B!E311</f>
        <v>5.7321319999999991</v>
      </c>
      <c r="F311" s="162">
        <f>F4A!F311+F4B!F311</f>
        <v>5.657654</v>
      </c>
      <c r="G311" s="162">
        <f>F4A!G311+F4B!G311</f>
        <v>4.3044739999999999</v>
      </c>
      <c r="H311" s="162">
        <f>F4A!H311+F4B!H311</f>
        <v>4.3690720000000001</v>
      </c>
      <c r="I311" s="162">
        <f>F4A!I311+F4B!I311</f>
        <v>4.6829459999999994</v>
      </c>
      <c r="J311" s="162">
        <f>F4A!J311+F4B!J311</f>
        <v>5.5055700000000005</v>
      </c>
      <c r="K311" s="162">
        <f>F4A!K311+F4B!K311</f>
        <v>4.3103030000000002</v>
      </c>
      <c r="L311" s="162">
        <f>F4A!L311+F4B!L311</f>
        <v>4.7415019999999997</v>
      </c>
      <c r="M311" s="162">
        <f>F4A!M311+F4B!M311</f>
        <v>4.7951060000000005</v>
      </c>
      <c r="N311" s="162">
        <f>F4A!N311+F4B!N311</f>
        <v>5.0926150000000003</v>
      </c>
      <c r="O311" s="162">
        <f>F4A!O311+F4B!O311</f>
        <v>4.3589139999999995</v>
      </c>
      <c r="P311" s="162">
        <f>F4A!P311+F4B!P311</f>
        <v>5.1018340000000002</v>
      </c>
      <c r="Q311" s="167">
        <f t="shared" si="27"/>
        <v>58.652121999999991</v>
      </c>
      <c r="R311" s="166"/>
      <c r="S311" s="166"/>
    </row>
    <row r="312" spans="3:19" hidden="1" x14ac:dyDescent="0.25">
      <c r="C312" s="17" t="s">
        <v>186</v>
      </c>
      <c r="D312" s="17" t="s">
        <v>187</v>
      </c>
      <c r="E312" s="162">
        <f>F4A!E312+F4B!E312</f>
        <v>0.68999500000000002</v>
      </c>
      <c r="F312" s="162">
        <f>F4A!F312+F4B!F312</f>
        <v>0.743668</v>
      </c>
      <c r="G312" s="162">
        <f>F4A!G312+F4B!G312</f>
        <v>0.88549500000000003</v>
      </c>
      <c r="H312" s="162">
        <f>F4A!H312+F4B!H312</f>
        <v>0.79413700000000009</v>
      </c>
      <c r="I312" s="162">
        <f>F4A!I312+F4B!I312</f>
        <v>0.79022599999999987</v>
      </c>
      <c r="J312" s="162">
        <f>F4A!J312+F4B!J312</f>
        <v>0.8682970000000001</v>
      </c>
      <c r="K312" s="162">
        <f>F4A!K312+F4B!K312</f>
        <v>0.82492799999999999</v>
      </c>
      <c r="L312" s="162">
        <f>F4A!L312+F4B!L312</f>
        <v>0.87514599999999998</v>
      </c>
      <c r="M312" s="162">
        <f>F4A!M312+F4B!M312</f>
        <v>0.880714</v>
      </c>
      <c r="N312" s="162">
        <f>F4A!N312+F4B!N312</f>
        <v>0.99453700000000012</v>
      </c>
      <c r="O312" s="162">
        <f>F4A!O312+F4B!O312</f>
        <v>1.003514</v>
      </c>
      <c r="P312" s="162">
        <f>F4A!P312+F4B!P312</f>
        <v>0.94001000000000012</v>
      </c>
      <c r="Q312" s="167">
        <f t="shared" si="27"/>
        <v>10.290667000000003</v>
      </c>
      <c r="R312" s="166"/>
      <c r="S312" s="166"/>
    </row>
    <row r="313" spans="3:19" hidden="1" x14ac:dyDescent="0.25">
      <c r="C313" s="17" t="s">
        <v>188</v>
      </c>
      <c r="D313" s="17" t="s">
        <v>189</v>
      </c>
      <c r="E313" s="162">
        <f>F4A!E313+F4B!E313</f>
        <v>0</v>
      </c>
      <c r="F313" s="162">
        <f>F4A!F313+F4B!F313</f>
        <v>0</v>
      </c>
      <c r="G313" s="162">
        <f>F4A!G313+F4B!G313</f>
        <v>2.23E-4</v>
      </c>
      <c r="H313" s="162">
        <f>F4A!H313+F4B!H313</f>
        <v>4.7199999999999998E-4</v>
      </c>
      <c r="I313" s="162">
        <f>F4A!I313+F4B!I313</f>
        <v>6.3000000000000003E-4</v>
      </c>
      <c r="J313" s="162">
        <f>F4A!J313+F4B!J313</f>
        <v>5.8299999999999997E-4</v>
      </c>
      <c r="K313" s="162">
        <f>F4A!K313+F4B!K313</f>
        <v>6.2E-4</v>
      </c>
      <c r="L313" s="162">
        <f>F4A!L313+F4B!L313</f>
        <v>1.611E-3</v>
      </c>
      <c r="M313" s="162">
        <f>F4A!M313+F4B!M313</f>
        <v>3.3289999999999999E-3</v>
      </c>
      <c r="N313" s="162">
        <f>F4A!N313+F4B!N313</f>
        <v>4.1399999999999996E-3</v>
      </c>
      <c r="O313" s="162">
        <f>F4A!O313+F4B!O313</f>
        <v>5.5069999999999997E-3</v>
      </c>
      <c r="P313" s="162">
        <f>F4A!P313+F4B!P313</f>
        <v>5.3930000000000002E-3</v>
      </c>
      <c r="Q313" s="167">
        <f t="shared" si="27"/>
        <v>2.2508E-2</v>
      </c>
      <c r="R313" s="166"/>
      <c r="S313" s="166"/>
    </row>
    <row r="314" spans="3:19" hidden="1" x14ac:dyDescent="0.25">
      <c r="C314" s="17"/>
      <c r="D314" s="17"/>
      <c r="E314" s="162">
        <f>F4A!E314+F4B!E314</f>
        <v>0</v>
      </c>
      <c r="F314" s="162">
        <f>F4A!F314+F4B!F314</f>
        <v>0</v>
      </c>
      <c r="G314" s="162">
        <f>F4A!G314+F4B!G314</f>
        <v>0</v>
      </c>
      <c r="H314" s="162">
        <f>F4A!H314+F4B!H314</f>
        <v>0</v>
      </c>
      <c r="I314" s="162">
        <f>F4A!I314+F4B!I314</f>
        <v>0</v>
      </c>
      <c r="J314" s="162">
        <f>F4A!J314+F4B!J314</f>
        <v>0</v>
      </c>
      <c r="K314" s="162">
        <f>F4A!K314+F4B!K314</f>
        <v>0</v>
      </c>
      <c r="L314" s="162">
        <f>F4A!L314+F4B!L314</f>
        <v>0</v>
      </c>
      <c r="M314" s="162">
        <f>F4A!M314+F4B!M314</f>
        <v>0</v>
      </c>
      <c r="N314" s="162">
        <f>F4A!N314+F4B!N314</f>
        <v>0</v>
      </c>
      <c r="O314" s="162">
        <f>F4A!O314+F4B!O314</f>
        <v>0</v>
      </c>
      <c r="P314" s="162">
        <f>F4A!P314+F4B!P314</f>
        <v>0</v>
      </c>
      <c r="Q314" s="167">
        <f t="shared" si="27"/>
        <v>0</v>
      </c>
      <c r="R314" s="166"/>
      <c r="S314" s="166"/>
    </row>
    <row r="315" spans="3:19" hidden="1" x14ac:dyDescent="0.25">
      <c r="C315" s="17"/>
      <c r="D315" s="17"/>
      <c r="E315" s="162">
        <f>F4A!E315+F4B!E315</f>
        <v>0</v>
      </c>
      <c r="F315" s="162">
        <f>F4A!F315+F4B!F315</f>
        <v>0</v>
      </c>
      <c r="G315" s="162">
        <f>F4A!G315+F4B!G315</f>
        <v>0</v>
      </c>
      <c r="H315" s="162">
        <f>F4A!H315+F4B!H315</f>
        <v>0</v>
      </c>
      <c r="I315" s="162">
        <f>F4A!I315+F4B!I315</f>
        <v>0</v>
      </c>
      <c r="J315" s="162">
        <f>F4A!J315+F4B!J315</f>
        <v>0</v>
      </c>
      <c r="K315" s="162">
        <f>F4A!K315+F4B!K315</f>
        <v>0</v>
      </c>
      <c r="L315" s="162">
        <f>F4A!L315+F4B!L315</f>
        <v>0</v>
      </c>
      <c r="M315" s="162">
        <f>F4A!M315+F4B!M315</f>
        <v>0</v>
      </c>
      <c r="N315" s="162">
        <f>F4A!N315+F4B!N315</f>
        <v>0</v>
      </c>
      <c r="O315" s="162">
        <f>F4A!O315+F4B!O315</f>
        <v>0</v>
      </c>
      <c r="P315" s="162">
        <f>F4A!P315+F4B!P315</f>
        <v>0</v>
      </c>
      <c r="Q315" s="167">
        <f t="shared" si="27"/>
        <v>0</v>
      </c>
      <c r="R315" s="166"/>
      <c r="S315" s="166"/>
    </row>
    <row r="316" spans="3:19" hidden="1" x14ac:dyDescent="0.25">
      <c r="C316" s="17"/>
      <c r="D316" s="17"/>
      <c r="E316" s="162">
        <f>F4A!E316+F4B!E316</f>
        <v>0</v>
      </c>
      <c r="F316" s="162">
        <f>F4A!F316+F4B!F316</f>
        <v>0</v>
      </c>
      <c r="G316" s="162">
        <f>F4A!G316+F4B!G316</f>
        <v>0</v>
      </c>
      <c r="H316" s="162">
        <f>F4A!H316+F4B!H316</f>
        <v>0</v>
      </c>
      <c r="I316" s="162">
        <f>F4A!I316+F4B!I316</f>
        <v>0</v>
      </c>
      <c r="J316" s="162">
        <f>F4A!J316+F4B!J316</f>
        <v>0</v>
      </c>
      <c r="K316" s="162">
        <f>F4A!K316+F4B!K316</f>
        <v>0</v>
      </c>
      <c r="L316" s="162">
        <f>F4A!L316+F4B!L316</f>
        <v>0</v>
      </c>
      <c r="M316" s="162">
        <f>F4A!M316+F4B!M316</f>
        <v>0</v>
      </c>
      <c r="N316" s="162">
        <f>F4A!N316+F4B!N316</f>
        <v>0</v>
      </c>
      <c r="O316" s="162">
        <f>F4A!O316+F4B!O316</f>
        <v>0</v>
      </c>
      <c r="P316" s="162">
        <f>F4A!P316+F4B!P316</f>
        <v>0</v>
      </c>
      <c r="Q316" s="167">
        <f t="shared" si="27"/>
        <v>0</v>
      </c>
      <c r="R316" s="166"/>
      <c r="S316" s="166"/>
    </row>
    <row r="317" spans="3:19" hidden="1" x14ac:dyDescent="0.25">
      <c r="C317" s="17" t="s">
        <v>226</v>
      </c>
      <c r="D317" s="17" t="s">
        <v>226</v>
      </c>
      <c r="E317" s="162">
        <f>F4A!E317+F4B!E317</f>
        <v>0</v>
      </c>
      <c r="F317" s="162">
        <f>F4A!F317+F4B!F317</f>
        <v>0</v>
      </c>
      <c r="G317" s="162">
        <f>F4A!G317+F4B!G317</f>
        <v>0</v>
      </c>
      <c r="H317" s="162">
        <f>F4A!H317+F4B!H317</f>
        <v>0</v>
      </c>
      <c r="I317" s="162">
        <f>F4A!I317+F4B!I317</f>
        <v>0</v>
      </c>
      <c r="J317" s="162">
        <f>F4A!J317+F4B!J317</f>
        <v>0</v>
      </c>
      <c r="K317" s="162">
        <f>F4A!K317+F4B!K317</f>
        <v>0</v>
      </c>
      <c r="L317" s="162">
        <f>F4A!L317+F4B!L317</f>
        <v>0</v>
      </c>
      <c r="M317" s="162">
        <f>F4A!M317+F4B!M317</f>
        <v>0</v>
      </c>
      <c r="N317" s="162">
        <f>F4A!N317+F4B!N317</f>
        <v>0</v>
      </c>
      <c r="O317" s="162">
        <f>F4A!O317+F4B!O317</f>
        <v>0</v>
      </c>
      <c r="P317" s="162">
        <f>F4A!P317+F4B!P317</f>
        <v>0</v>
      </c>
      <c r="Q317" s="167">
        <f t="shared" si="27"/>
        <v>0</v>
      </c>
      <c r="R317" s="166"/>
      <c r="S317" s="166"/>
    </row>
    <row r="318" spans="3:19" hidden="1" x14ac:dyDescent="0.25">
      <c r="C318" s="751" t="s">
        <v>190</v>
      </c>
      <c r="D318" s="752"/>
      <c r="E318" s="167">
        <f t="shared" ref="E318:P318" si="28">SUM(E305:E317)</f>
        <v>1334.3067099999998</v>
      </c>
      <c r="F318" s="167">
        <f t="shared" si="28"/>
        <v>829.4952599999998</v>
      </c>
      <c r="G318" s="167">
        <f t="shared" si="28"/>
        <v>756.19862699999999</v>
      </c>
      <c r="H318" s="167">
        <f t="shared" si="28"/>
        <v>751.91435599999977</v>
      </c>
      <c r="I318" s="167">
        <f t="shared" si="28"/>
        <v>1136.7870838000001</v>
      </c>
      <c r="J318" s="167">
        <f t="shared" si="28"/>
        <v>1068.1349099999998</v>
      </c>
      <c r="K318" s="167">
        <f t="shared" si="28"/>
        <v>921.94061199999987</v>
      </c>
      <c r="L318" s="167">
        <f t="shared" si="28"/>
        <v>772.75285599999984</v>
      </c>
      <c r="M318" s="167">
        <f t="shared" si="28"/>
        <v>1164.0254779999998</v>
      </c>
      <c r="N318" s="167">
        <f t="shared" si="28"/>
        <v>1356.2221410000002</v>
      </c>
      <c r="O318" s="167">
        <f t="shared" si="28"/>
        <v>1501.5068759999999</v>
      </c>
      <c r="P318" s="167">
        <f t="shared" si="28"/>
        <v>1710.8317129999998</v>
      </c>
      <c r="Q318" s="167">
        <f t="shared" si="27"/>
        <v>13304.116622799998</v>
      </c>
      <c r="R318" s="166"/>
      <c r="S318" s="166"/>
    </row>
    <row r="319" spans="3:19" hidden="1" x14ac:dyDescent="0.25">
      <c r="C319" s="753" t="s">
        <v>191</v>
      </c>
      <c r="D319" s="754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7">
        <f t="shared" si="27"/>
        <v>0</v>
      </c>
      <c r="R319" s="166"/>
      <c r="S319" s="166"/>
    </row>
    <row r="320" spans="3:19" hidden="1" x14ac:dyDescent="0.25">
      <c r="C320" s="17" t="s">
        <v>192</v>
      </c>
      <c r="D320" s="17" t="s">
        <v>193</v>
      </c>
      <c r="E320" s="162">
        <f>F4A!E320+F4B!E320</f>
        <v>77.789666020000013</v>
      </c>
      <c r="F320" s="162">
        <f>F4A!F320+F4B!F320</f>
        <v>70.895851340000036</v>
      </c>
      <c r="G320" s="162">
        <f>F4A!G320+F4B!G320</f>
        <v>85.950862359999988</v>
      </c>
      <c r="H320" s="162">
        <f>F4A!H320+F4B!H320</f>
        <v>64.314094339999983</v>
      </c>
      <c r="I320" s="162">
        <f>F4A!I320+F4B!I320</f>
        <v>73.657067320000024</v>
      </c>
      <c r="J320" s="162">
        <f>F4A!J320+F4B!J320</f>
        <v>80.300633949999963</v>
      </c>
      <c r="K320" s="162">
        <f>F4A!K320+F4B!K320</f>
        <v>80.318811969999985</v>
      </c>
      <c r="L320" s="162">
        <f>F4A!L320+F4B!L320</f>
        <v>90.892152339999953</v>
      </c>
      <c r="M320" s="162">
        <f>F4A!M320+F4B!M320</f>
        <v>90.709997320000028</v>
      </c>
      <c r="N320" s="162">
        <f>F4A!N320+F4B!N320</f>
        <v>89.381892520000051</v>
      </c>
      <c r="O320" s="162">
        <f>F4A!O320+F4B!O320</f>
        <v>93.820094499999996</v>
      </c>
      <c r="P320" s="162">
        <f>F4A!P320+F4B!P320</f>
        <v>110.0792537029032</v>
      </c>
      <c r="Q320" s="167">
        <f t="shared" si="27"/>
        <v>1008.1103776829033</v>
      </c>
      <c r="R320" s="166">
        <f>Q320+Q321+Q337+Q338+Q354+Q355</f>
        <v>1904.7141216429034</v>
      </c>
      <c r="S320" s="166"/>
    </row>
    <row r="321" spans="3:19" hidden="1" x14ac:dyDescent="0.25">
      <c r="C321" s="17" t="s">
        <v>194</v>
      </c>
      <c r="D321" s="17" t="s">
        <v>195</v>
      </c>
      <c r="E321" s="162">
        <f>F4A!E321+F4B!E321</f>
        <v>0</v>
      </c>
      <c r="F321" s="162">
        <f>F4A!F321+F4B!F321</f>
        <v>0</v>
      </c>
      <c r="G321" s="162">
        <f>F4A!G321+F4B!G321</f>
        <v>0</v>
      </c>
      <c r="H321" s="162">
        <f>F4A!H321+F4B!H321</f>
        <v>0</v>
      </c>
      <c r="I321" s="162">
        <f>F4A!I321+F4B!I321</f>
        <v>0</v>
      </c>
      <c r="J321" s="162">
        <f>F4A!J321+F4B!J321</f>
        <v>0</v>
      </c>
      <c r="K321" s="162">
        <f>F4A!K321+F4B!K321</f>
        <v>0</v>
      </c>
      <c r="L321" s="162">
        <f>F4A!L321+F4B!L321</f>
        <v>0</v>
      </c>
      <c r="M321" s="162">
        <f>F4A!M321+F4B!M321</f>
        <v>0</v>
      </c>
      <c r="N321" s="162">
        <f>F4A!N321+F4B!N321</f>
        <v>0</v>
      </c>
      <c r="O321" s="162">
        <f>F4A!O321+F4B!O321</f>
        <v>0</v>
      </c>
      <c r="P321" s="162">
        <f>F4A!P321+F4B!P321</f>
        <v>0</v>
      </c>
      <c r="Q321" s="167">
        <f t="shared" si="27"/>
        <v>0</v>
      </c>
      <c r="R321" s="166"/>
      <c r="S321" s="166"/>
    </row>
    <row r="322" spans="3:19" hidden="1" x14ac:dyDescent="0.25">
      <c r="C322" s="17" t="s">
        <v>233</v>
      </c>
      <c r="D322" s="17" t="s">
        <v>197</v>
      </c>
      <c r="E322" s="162">
        <f>F4A!E322+F4B!E322</f>
        <v>16.28860358</v>
      </c>
      <c r="F322" s="162">
        <f>F4A!F322+F4B!F322</f>
        <v>18.212672770000005</v>
      </c>
      <c r="G322" s="162">
        <f>F4A!G322+F4B!G322</f>
        <v>19.239188990000002</v>
      </c>
      <c r="H322" s="162">
        <f>F4A!H322+F4B!H322</f>
        <v>14.196081060000001</v>
      </c>
      <c r="I322" s="162">
        <f>F4A!I322+F4B!I322</f>
        <v>15.91609704</v>
      </c>
      <c r="J322" s="162">
        <f>F4A!J322+F4B!J322</f>
        <v>16.546066719999999</v>
      </c>
      <c r="K322" s="162">
        <f>F4A!K322+F4B!K322</f>
        <v>14.99262006</v>
      </c>
      <c r="L322" s="162">
        <f>F4A!L322+F4B!L322</f>
        <v>14.22078273</v>
      </c>
      <c r="M322" s="162">
        <f>F4A!M322+F4B!M322</f>
        <v>12.12550525</v>
      </c>
      <c r="N322" s="162">
        <f>F4A!N322+F4B!N322</f>
        <v>12.592844550000002</v>
      </c>
      <c r="O322" s="162">
        <f>F4A!O322+F4B!O322</f>
        <v>13.28100532</v>
      </c>
      <c r="P322" s="162">
        <f>F4A!P322+F4B!P322</f>
        <v>19.159180120000009</v>
      </c>
      <c r="Q322" s="167">
        <f t="shared" si="27"/>
        <v>186.77064819</v>
      </c>
      <c r="R322" s="166">
        <f>Q322+Q323+Q339+Q340+Q356+Q357</f>
        <v>200.04241899000002</v>
      </c>
      <c r="S322" s="166"/>
    </row>
    <row r="323" spans="3:19" hidden="1" x14ac:dyDescent="0.25">
      <c r="C323" s="17" t="s">
        <v>198</v>
      </c>
      <c r="D323" s="17" t="s">
        <v>199</v>
      </c>
      <c r="E323" s="162">
        <f>F4A!E323+F4B!E323</f>
        <v>5.836E-3</v>
      </c>
      <c r="F323" s="162">
        <f>F4A!F323+F4B!F323</f>
        <v>4.1529999999999996E-3</v>
      </c>
      <c r="G323" s="162">
        <f>F4A!G323+F4B!G323</f>
        <v>5.4739999999999988E-3</v>
      </c>
      <c r="H323" s="162">
        <f>F4A!H323+F4B!H323</f>
        <v>3.1120000000000002E-3</v>
      </c>
      <c r="I323" s="162">
        <f>F4A!I323+F4B!I323</f>
        <v>2.97E-3</v>
      </c>
      <c r="J323" s="162">
        <f>F4A!J323+F4B!J323</f>
        <v>2.2980000000000001E-3</v>
      </c>
      <c r="K323" s="162">
        <f>F4A!K323+F4B!K323</f>
        <v>3.9769999999999996E-3</v>
      </c>
      <c r="L323" s="162">
        <f>F4A!L323+F4B!L323</f>
        <v>3.1289999999999998E-3</v>
      </c>
      <c r="M323" s="162">
        <f>F4A!M323+F4B!M323</f>
        <v>2.813E-3</v>
      </c>
      <c r="N323" s="162">
        <f>F4A!N323+F4B!N323</f>
        <v>2.6440000000000001E-3</v>
      </c>
      <c r="O323" s="162">
        <f>F4A!O323+F4B!O323</f>
        <v>5.7169999999999999E-3</v>
      </c>
      <c r="P323" s="162">
        <f>F4A!P323+F4B!P323</f>
        <v>4.6860000000000009E-3</v>
      </c>
      <c r="Q323" s="167">
        <f t="shared" si="27"/>
        <v>4.6809000000000003E-2</v>
      </c>
      <c r="R323" s="166"/>
      <c r="S323" s="166"/>
    </row>
    <row r="324" spans="3:19" hidden="1" x14ac:dyDescent="0.25">
      <c r="C324" s="17" t="s">
        <v>200</v>
      </c>
      <c r="D324" s="17" t="s">
        <v>201</v>
      </c>
      <c r="E324" s="162">
        <f>F4A!E324+F4B!E324</f>
        <v>0.7438499999999999</v>
      </c>
      <c r="F324" s="162">
        <f>F4A!F324+F4B!F324</f>
        <v>0.75676699999999997</v>
      </c>
      <c r="G324" s="162">
        <f>F4A!G324+F4B!G324</f>
        <v>0.83868300000000007</v>
      </c>
      <c r="H324" s="162">
        <f>F4A!H324+F4B!H324</f>
        <v>0.64944299999999999</v>
      </c>
      <c r="I324" s="162">
        <f>F4A!I324+F4B!I324</f>
        <v>0.66115999999999997</v>
      </c>
      <c r="J324" s="162">
        <f>F4A!J324+F4B!J324</f>
        <v>0.652721</v>
      </c>
      <c r="K324" s="162">
        <f>F4A!K324+F4B!K324</f>
        <v>0.63852200000000003</v>
      </c>
      <c r="L324" s="162">
        <f>F4A!L324+F4B!L324</f>
        <v>0.58532299999999993</v>
      </c>
      <c r="M324" s="162">
        <f>F4A!M324+F4B!M324</f>
        <v>0.56166499999999997</v>
      </c>
      <c r="N324" s="162">
        <f>F4A!N324+F4B!N324</f>
        <v>0.58918199999999998</v>
      </c>
      <c r="O324" s="162">
        <f>F4A!O324+F4B!O324</f>
        <v>0.59768299999999996</v>
      </c>
      <c r="P324" s="162">
        <f>F4A!P324+F4B!P324</f>
        <v>0.85122399999999998</v>
      </c>
      <c r="Q324" s="167">
        <f t="shared" si="27"/>
        <v>8.1262229999999978</v>
      </c>
      <c r="R324" s="166"/>
      <c r="S324" s="166"/>
    </row>
    <row r="325" spans="3:19" hidden="1" x14ac:dyDescent="0.25">
      <c r="C325" s="17" t="s">
        <v>202</v>
      </c>
      <c r="D325" s="17" t="s">
        <v>203</v>
      </c>
      <c r="E325" s="162">
        <f>F4A!E325+F4B!E325</f>
        <v>3.934545</v>
      </c>
      <c r="F325" s="162">
        <f>F4A!F325+F4B!F325</f>
        <v>0.65493699999999999</v>
      </c>
      <c r="G325" s="162">
        <f>F4A!G325+F4B!G325</f>
        <v>0.27963700000000002</v>
      </c>
      <c r="H325" s="162">
        <f>F4A!H325+F4B!H325</f>
        <v>1.219358999999999</v>
      </c>
      <c r="I325" s="162">
        <f>F4A!I325+F4B!I325</f>
        <v>1.2801870000000051</v>
      </c>
      <c r="J325" s="162">
        <f>F4A!J325+F4B!J325</f>
        <v>1.8026124999999995</v>
      </c>
      <c r="K325" s="162">
        <f>F4A!K325+F4B!K325</f>
        <v>1.116174</v>
      </c>
      <c r="L325" s="162">
        <f>F4A!L325+F4B!L325</f>
        <v>0.978545</v>
      </c>
      <c r="M325" s="162">
        <f>F4A!M325+F4B!M325</f>
        <v>1.218175</v>
      </c>
      <c r="N325" s="162">
        <f>F4A!N325+F4B!N325</f>
        <v>3.8245879999999999</v>
      </c>
      <c r="O325" s="162">
        <f>F4A!O325+F4B!O325</f>
        <v>4.598440000000001</v>
      </c>
      <c r="P325" s="162">
        <f>F4A!P325+F4B!P325</f>
        <v>5.3856970438871858</v>
      </c>
      <c r="Q325" s="167">
        <f t="shared" si="27"/>
        <v>26.292896543887188</v>
      </c>
      <c r="R325" s="166"/>
      <c r="S325" s="166"/>
    </row>
    <row r="326" spans="3:19" hidden="1" x14ac:dyDescent="0.25">
      <c r="C326" s="17" t="s">
        <v>204</v>
      </c>
      <c r="D326" s="17" t="s">
        <v>205</v>
      </c>
      <c r="E326" s="162">
        <f>F4A!E326+F4B!E326</f>
        <v>13.283893390000026</v>
      </c>
      <c r="F326" s="162">
        <f>F4A!F326+F4B!F326</f>
        <v>8.2592244499999801</v>
      </c>
      <c r="G326" s="162">
        <f>F4A!G326+F4B!G326</f>
        <v>13.884098000000078</v>
      </c>
      <c r="H326" s="162">
        <f>F4A!H326+F4B!H326</f>
        <v>10.963228000000022</v>
      </c>
      <c r="I326" s="162">
        <f>F4A!I326+F4B!I326</f>
        <v>11.677500299999998</v>
      </c>
      <c r="J326" s="162">
        <f>F4A!J326+F4B!J326</f>
        <v>12.315385460000076</v>
      </c>
      <c r="K326" s="162">
        <f>F4A!K326+F4B!K326</f>
        <v>12.050159770000029</v>
      </c>
      <c r="L326" s="162">
        <f>F4A!L326+F4B!L326</f>
        <v>13.936143999999999</v>
      </c>
      <c r="M326" s="162">
        <f>F4A!M326+F4B!M326</f>
        <v>13.032609999999989</v>
      </c>
      <c r="N326" s="162">
        <f>F4A!N326+F4B!N326</f>
        <v>13.774529499999973</v>
      </c>
      <c r="O326" s="162">
        <f>F4A!O326+F4B!O326</f>
        <v>13.968702000000041</v>
      </c>
      <c r="P326" s="162">
        <f>F4A!P326+F4B!P326</f>
        <v>16.813908423209668</v>
      </c>
      <c r="Q326" s="167">
        <f t="shared" si="27"/>
        <v>153.9593832932099</v>
      </c>
      <c r="R326" s="166"/>
      <c r="S326" s="166"/>
    </row>
    <row r="327" spans="3:19" hidden="1" x14ac:dyDescent="0.25">
      <c r="C327" s="17" t="s">
        <v>206</v>
      </c>
      <c r="D327" s="17" t="s">
        <v>207</v>
      </c>
      <c r="E327" s="162">
        <f>F4A!E327+F4B!E327</f>
        <v>0.88521799999999995</v>
      </c>
      <c r="F327" s="162">
        <f>F4A!F327+F4B!F327</f>
        <v>0.84296899999999997</v>
      </c>
      <c r="G327" s="162">
        <f>F4A!G327+F4B!G327</f>
        <v>0.96179700000000001</v>
      </c>
      <c r="H327" s="162">
        <f>F4A!H327+F4B!H327</f>
        <v>0.65316099999999999</v>
      </c>
      <c r="I327" s="162">
        <f>F4A!I327+F4B!I327</f>
        <v>0.71056400000000053</v>
      </c>
      <c r="J327" s="162">
        <f>F4A!J327+F4B!J327</f>
        <v>0.75368599999999997</v>
      </c>
      <c r="K327" s="162">
        <f>F4A!K327+F4B!K327</f>
        <v>0.742363</v>
      </c>
      <c r="L327" s="162">
        <f>F4A!L327+F4B!L327</f>
        <v>0.64513100000000001</v>
      </c>
      <c r="M327" s="162">
        <f>F4A!M327+F4B!M327</f>
        <v>0.56318800000000002</v>
      </c>
      <c r="N327" s="162">
        <f>F4A!N327+F4B!N327</f>
        <v>0.60026900000000005</v>
      </c>
      <c r="O327" s="162">
        <f>F4A!O327+F4B!O327</f>
        <v>0.596302</v>
      </c>
      <c r="P327" s="162">
        <f>F4A!P327+F4B!P327</f>
        <v>0.86318500000000054</v>
      </c>
      <c r="Q327" s="167">
        <f t="shared" si="27"/>
        <v>8.8178330000000003</v>
      </c>
      <c r="R327" s="166"/>
      <c r="S327" s="166"/>
    </row>
    <row r="328" spans="3:19" hidden="1" x14ac:dyDescent="0.25">
      <c r="C328" s="17" t="s">
        <v>208</v>
      </c>
      <c r="D328" s="17" t="s">
        <v>187</v>
      </c>
      <c r="E328" s="162">
        <f>F4A!E328+F4B!E328</f>
        <v>1.761344</v>
      </c>
      <c r="F328" s="162">
        <f>F4A!F328+F4B!F328</f>
        <v>2.312039</v>
      </c>
      <c r="G328" s="162">
        <f>F4A!G328+F4B!G328</f>
        <v>2.2836340000000002</v>
      </c>
      <c r="H328" s="162">
        <f>F4A!H328+F4B!H328</f>
        <v>2.0574159999999999</v>
      </c>
      <c r="I328" s="162">
        <f>F4A!I328+F4B!I328</f>
        <v>2.8118210000000001</v>
      </c>
      <c r="J328" s="162">
        <f>F4A!J328+F4B!J328</f>
        <v>3.132584</v>
      </c>
      <c r="K328" s="162">
        <f>F4A!K328+F4B!K328</f>
        <v>2.4602130000000004</v>
      </c>
      <c r="L328" s="162">
        <f>F4A!L328+F4B!L328</f>
        <v>2.5777129999999997</v>
      </c>
      <c r="M328" s="162">
        <f>F4A!M328+F4B!M328</f>
        <v>1.7902239999999991</v>
      </c>
      <c r="N328" s="162">
        <f>F4A!N328+F4B!N328</f>
        <v>1.7816160000000001</v>
      </c>
      <c r="O328" s="162">
        <f>F4A!O328+F4B!O328</f>
        <v>1.8400560000000001</v>
      </c>
      <c r="P328" s="162">
        <f>F4A!P328+F4B!P328</f>
        <v>1.9580679999999997</v>
      </c>
      <c r="Q328" s="167">
        <f t="shared" si="27"/>
        <v>26.766727999999997</v>
      </c>
      <c r="R328" s="166"/>
      <c r="S328" s="166"/>
    </row>
    <row r="329" spans="3:19" hidden="1" x14ac:dyDescent="0.25">
      <c r="C329" s="17" t="s">
        <v>209</v>
      </c>
      <c r="D329" s="17" t="s">
        <v>210</v>
      </c>
      <c r="E329" s="162">
        <f>F4A!E329+F4B!E329</f>
        <v>122.476922</v>
      </c>
      <c r="F329" s="162">
        <f>F4A!F329+F4B!F329</f>
        <v>53.506596999999999</v>
      </c>
      <c r="G329" s="162">
        <f>F4A!G329+F4B!G329</f>
        <v>55.273127000000002</v>
      </c>
      <c r="H329" s="162">
        <f>F4A!H329+F4B!H329</f>
        <v>60.668765</v>
      </c>
      <c r="I329" s="162">
        <f>F4A!I329+F4B!I329</f>
        <v>71.755230999999995</v>
      </c>
      <c r="J329" s="162">
        <f>F4A!J329+F4B!J329</f>
        <v>91.557015000000007</v>
      </c>
      <c r="K329" s="162">
        <f>F4A!K329+F4B!K329</f>
        <v>69.690771999999996</v>
      </c>
      <c r="L329" s="162">
        <f>F4A!L329+F4B!L329</f>
        <v>39.101453999999997</v>
      </c>
      <c r="M329" s="162">
        <f>F4A!M329+F4B!M329</f>
        <v>84.216633999999999</v>
      </c>
      <c r="N329" s="162">
        <f>F4A!N329+F4B!N329</f>
        <v>108.261852</v>
      </c>
      <c r="O329" s="162">
        <f>F4A!O329+F4B!O329</f>
        <v>105.14416900000001</v>
      </c>
      <c r="P329" s="162">
        <f>F4A!P329+F4B!P329</f>
        <v>174.65912</v>
      </c>
      <c r="Q329" s="167">
        <f t="shared" si="27"/>
        <v>1036.3116580000001</v>
      </c>
      <c r="R329" s="166"/>
      <c r="S329" s="166"/>
    </row>
    <row r="330" spans="3:19" hidden="1" x14ac:dyDescent="0.25">
      <c r="C330" s="17" t="s">
        <v>211</v>
      </c>
      <c r="D330" s="17" t="s">
        <v>189</v>
      </c>
      <c r="E330" s="162">
        <f>F4A!E330+F4B!E330</f>
        <v>0</v>
      </c>
      <c r="F330" s="162">
        <f>F4A!F330+F4B!F330</f>
        <v>0</v>
      </c>
      <c r="G330" s="162">
        <f>F4A!G330+F4B!G330</f>
        <v>0</v>
      </c>
      <c r="H330" s="162">
        <f>F4A!H330+F4B!H330</f>
        <v>0</v>
      </c>
      <c r="I330" s="162">
        <f>F4A!I330+F4B!I330</f>
        <v>0</v>
      </c>
      <c r="J330" s="162">
        <f>F4A!J330+F4B!J330</f>
        <v>0</v>
      </c>
      <c r="K330" s="162">
        <f>F4A!K330+F4B!K330</f>
        <v>0</v>
      </c>
      <c r="L330" s="162">
        <f>F4A!L330+F4B!L330</f>
        <v>0</v>
      </c>
      <c r="M330" s="162">
        <f>F4A!M330+F4B!M330</f>
        <v>0</v>
      </c>
      <c r="N330" s="162">
        <f>F4A!N330+F4B!N330</f>
        <v>0</v>
      </c>
      <c r="O330" s="162">
        <f>F4A!O330+F4B!O330</f>
        <v>0</v>
      </c>
      <c r="P330" s="162">
        <f>F4A!P330+F4B!P330</f>
        <v>0</v>
      </c>
      <c r="Q330" s="167">
        <f t="shared" si="27"/>
        <v>0</v>
      </c>
      <c r="R330" s="166"/>
      <c r="S330" s="166"/>
    </row>
    <row r="331" spans="3:19" hidden="1" x14ac:dyDescent="0.25">
      <c r="C331" s="17"/>
      <c r="D331" s="17"/>
      <c r="E331" s="162">
        <f>F4A!E331+F4B!E331</f>
        <v>0</v>
      </c>
      <c r="F331" s="162">
        <f>F4A!F331+F4B!F331</f>
        <v>0</v>
      </c>
      <c r="G331" s="162">
        <f>F4A!G331+F4B!G331</f>
        <v>0</v>
      </c>
      <c r="H331" s="162">
        <f>F4A!H331+F4B!H331</f>
        <v>0</v>
      </c>
      <c r="I331" s="162">
        <f>F4A!I331+F4B!I331</f>
        <v>0</v>
      </c>
      <c r="J331" s="162">
        <f>F4A!J331+F4B!J331</f>
        <v>0</v>
      </c>
      <c r="K331" s="162">
        <f>F4A!K331+F4B!K331</f>
        <v>0</v>
      </c>
      <c r="L331" s="162">
        <f>F4A!L331+F4B!L331</f>
        <v>0</v>
      </c>
      <c r="M331" s="162">
        <f>F4A!M331+F4B!M331</f>
        <v>0</v>
      </c>
      <c r="N331" s="162">
        <f>F4A!N331+F4B!N331</f>
        <v>0</v>
      </c>
      <c r="O331" s="162">
        <f>F4A!O331+F4B!O331</f>
        <v>0</v>
      </c>
      <c r="P331" s="162">
        <f>F4A!P331+F4B!P331</f>
        <v>0</v>
      </c>
      <c r="Q331" s="167">
        <f t="shared" si="27"/>
        <v>0</v>
      </c>
      <c r="R331" s="166"/>
      <c r="S331" s="166"/>
    </row>
    <row r="332" spans="3:19" hidden="1" x14ac:dyDescent="0.25">
      <c r="C332" s="17"/>
      <c r="D332" s="17"/>
      <c r="E332" s="162">
        <f>F4A!E332+F4B!E332</f>
        <v>0</v>
      </c>
      <c r="F332" s="162">
        <f>F4A!F332+F4B!F332</f>
        <v>0</v>
      </c>
      <c r="G332" s="162">
        <f>F4A!G332+F4B!G332</f>
        <v>0</v>
      </c>
      <c r="H332" s="162">
        <f>F4A!H332+F4B!H332</f>
        <v>0</v>
      </c>
      <c r="I332" s="162">
        <f>F4A!I332+F4B!I332</f>
        <v>0</v>
      </c>
      <c r="J332" s="162">
        <f>F4A!J332+F4B!J332</f>
        <v>0</v>
      </c>
      <c r="K332" s="162">
        <f>F4A!K332+F4B!K332</f>
        <v>0</v>
      </c>
      <c r="L332" s="162">
        <f>F4A!L332+F4B!L332</f>
        <v>0</v>
      </c>
      <c r="M332" s="162">
        <f>F4A!M332+F4B!M332</f>
        <v>0</v>
      </c>
      <c r="N332" s="162">
        <f>F4A!N332+F4B!N332</f>
        <v>0</v>
      </c>
      <c r="O332" s="162">
        <f>F4A!O332+F4B!O332</f>
        <v>0</v>
      </c>
      <c r="P332" s="162">
        <f>F4A!P332+F4B!P332</f>
        <v>0</v>
      </c>
      <c r="Q332" s="167">
        <f t="shared" si="27"/>
        <v>0</v>
      </c>
      <c r="R332" s="166"/>
      <c r="S332" s="166"/>
    </row>
    <row r="333" spans="3:19" hidden="1" x14ac:dyDescent="0.25">
      <c r="C333" s="17"/>
      <c r="D333" s="17"/>
      <c r="E333" s="162">
        <f>F4A!E333+F4B!E333</f>
        <v>0</v>
      </c>
      <c r="F333" s="162">
        <f>F4A!F333+F4B!F333</f>
        <v>0</v>
      </c>
      <c r="G333" s="162">
        <f>F4A!G333+F4B!G333</f>
        <v>0</v>
      </c>
      <c r="H333" s="162">
        <f>F4A!H333+F4B!H333</f>
        <v>0</v>
      </c>
      <c r="I333" s="162">
        <f>F4A!I333+F4B!I333</f>
        <v>0</v>
      </c>
      <c r="J333" s="162">
        <f>F4A!J333+F4B!J333</f>
        <v>0</v>
      </c>
      <c r="K333" s="162">
        <f>F4A!K333+F4B!K333</f>
        <v>0</v>
      </c>
      <c r="L333" s="162">
        <f>F4A!L333+F4B!L333</f>
        <v>0</v>
      </c>
      <c r="M333" s="162">
        <f>F4A!M333+F4B!M333</f>
        <v>0</v>
      </c>
      <c r="N333" s="162">
        <f>F4A!N333+F4B!N333</f>
        <v>0</v>
      </c>
      <c r="O333" s="162">
        <f>F4A!O333+F4B!O333</f>
        <v>0</v>
      </c>
      <c r="P333" s="162">
        <f>F4A!P333+F4B!P333</f>
        <v>0</v>
      </c>
      <c r="Q333" s="167">
        <f t="shared" si="27"/>
        <v>0</v>
      </c>
      <c r="R333" s="166"/>
      <c r="S333" s="166"/>
    </row>
    <row r="334" spans="3:19" hidden="1" x14ac:dyDescent="0.25">
      <c r="C334" s="17" t="s">
        <v>226</v>
      </c>
      <c r="D334" s="17" t="s">
        <v>226</v>
      </c>
      <c r="E334" s="162">
        <f>F4A!E334+F4B!E334</f>
        <v>0</v>
      </c>
      <c r="F334" s="162">
        <f>F4A!F334+F4B!F334</f>
        <v>0</v>
      </c>
      <c r="G334" s="162">
        <f>F4A!G334+F4B!G334</f>
        <v>0</v>
      </c>
      <c r="H334" s="162">
        <f>F4A!H334+F4B!H334</f>
        <v>0</v>
      </c>
      <c r="I334" s="162">
        <f>F4A!I334+F4B!I334</f>
        <v>0</v>
      </c>
      <c r="J334" s="162">
        <f>F4A!J334+F4B!J334</f>
        <v>0</v>
      </c>
      <c r="K334" s="162">
        <f>F4A!K334+F4B!K334</f>
        <v>0</v>
      </c>
      <c r="L334" s="162">
        <f>F4A!L334+F4B!L334</f>
        <v>0</v>
      </c>
      <c r="M334" s="162">
        <f>F4A!M334+F4B!M334</f>
        <v>0</v>
      </c>
      <c r="N334" s="162">
        <f>F4A!N334+F4B!N334</f>
        <v>0</v>
      </c>
      <c r="O334" s="162">
        <f>F4A!O334+F4B!O334</f>
        <v>0</v>
      </c>
      <c r="P334" s="162">
        <f>F4A!P334+F4B!P334</f>
        <v>0</v>
      </c>
      <c r="Q334" s="167">
        <f t="shared" si="27"/>
        <v>0</v>
      </c>
      <c r="R334" s="166"/>
      <c r="S334" s="166"/>
    </row>
    <row r="335" spans="3:19" hidden="1" x14ac:dyDescent="0.25">
      <c r="C335" s="751" t="s">
        <v>212</v>
      </c>
      <c r="D335" s="752"/>
      <c r="E335" s="167">
        <f t="shared" ref="E335:P335" si="29">SUM(E320:E334)</f>
        <v>237.16987799000003</v>
      </c>
      <c r="F335" s="167">
        <f t="shared" si="29"/>
        <v>155.44521056000002</v>
      </c>
      <c r="G335" s="167">
        <f t="shared" si="29"/>
        <v>178.7165013500001</v>
      </c>
      <c r="H335" s="167">
        <f t="shared" si="29"/>
        <v>154.72465940000001</v>
      </c>
      <c r="I335" s="167">
        <f t="shared" si="29"/>
        <v>178.47259766000002</v>
      </c>
      <c r="J335" s="167">
        <f t="shared" si="29"/>
        <v>207.06300263000003</v>
      </c>
      <c r="K335" s="167">
        <f t="shared" si="29"/>
        <v>182.01361280000003</v>
      </c>
      <c r="L335" s="167">
        <f t="shared" si="29"/>
        <v>162.94037406999996</v>
      </c>
      <c r="M335" s="167">
        <f t="shared" si="29"/>
        <v>204.22081157000002</v>
      </c>
      <c r="N335" s="167">
        <f t="shared" si="29"/>
        <v>230.80941757000005</v>
      </c>
      <c r="O335" s="167">
        <f t="shared" si="29"/>
        <v>233.85216882000003</v>
      </c>
      <c r="P335" s="167">
        <f t="shared" si="29"/>
        <v>329.77432229000004</v>
      </c>
      <c r="Q335" s="167">
        <f t="shared" si="27"/>
        <v>2455.2025567100004</v>
      </c>
      <c r="R335" s="166"/>
      <c r="S335" s="166"/>
    </row>
    <row r="336" spans="3:19" hidden="1" x14ac:dyDescent="0.25">
      <c r="C336" s="753" t="s">
        <v>213</v>
      </c>
      <c r="D336" s="754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7">
        <f t="shared" ref="Q336:Q367" si="30">SUM(E336:P336)</f>
        <v>0</v>
      </c>
      <c r="R336" s="166"/>
      <c r="S336" s="166"/>
    </row>
    <row r="337" spans="3:19" hidden="1" x14ac:dyDescent="0.25">
      <c r="C337" s="17" t="s">
        <v>192</v>
      </c>
      <c r="D337" s="17" t="s">
        <v>193</v>
      </c>
      <c r="E337" s="162">
        <f>F4A!E337+F4B!E337</f>
        <v>14.316629000000002</v>
      </c>
      <c r="F337" s="162">
        <f>F4A!F337+F4B!F337</f>
        <v>9.6975449999999999</v>
      </c>
      <c r="G337" s="162">
        <f>F4A!G337+F4B!G337</f>
        <v>9.1965570000000003</v>
      </c>
      <c r="H337" s="162">
        <f>F4A!H337+F4B!H337</f>
        <v>8.6207069999999995</v>
      </c>
      <c r="I337" s="162">
        <f>F4A!I337+F4B!I337</f>
        <v>10.412011</v>
      </c>
      <c r="J337" s="162">
        <f>F4A!J337+F4B!J337</f>
        <v>11.599526000000001</v>
      </c>
      <c r="K337" s="162">
        <f>F4A!K337+F4B!K337</f>
        <v>11.246956999999998</v>
      </c>
      <c r="L337" s="162">
        <f>F4A!L337+F4B!L337</f>
        <v>12.163435</v>
      </c>
      <c r="M337" s="162">
        <f>F4A!M337+F4B!M337</f>
        <v>14.641942999999999</v>
      </c>
      <c r="N337" s="162">
        <f>F4A!N337+F4B!N337</f>
        <v>13.027376</v>
      </c>
      <c r="O337" s="162">
        <f>F4A!O337+F4B!O337</f>
        <v>15.299692</v>
      </c>
      <c r="P337" s="162">
        <f>F4A!P337+F4B!P337</f>
        <v>19.650424000000001</v>
      </c>
      <c r="Q337" s="167">
        <f t="shared" si="30"/>
        <v>149.87280199999998</v>
      </c>
      <c r="R337" s="166"/>
      <c r="S337" s="166"/>
    </row>
    <row r="338" spans="3:19" hidden="1" x14ac:dyDescent="0.25">
      <c r="C338" s="17" t="s">
        <v>194</v>
      </c>
      <c r="D338" s="17" t="s">
        <v>195</v>
      </c>
      <c r="E338" s="162">
        <f>F4A!E338+F4B!E338</f>
        <v>6.5736350000000003</v>
      </c>
      <c r="F338" s="162">
        <f>F4A!F338+F4B!F338</f>
        <v>5.6210060000000004</v>
      </c>
      <c r="G338" s="162">
        <f>F4A!G338+F4B!G338</f>
        <v>4.0812429999999997</v>
      </c>
      <c r="H338" s="162">
        <f>F4A!H338+F4B!H338</f>
        <v>3.7191540000000001</v>
      </c>
      <c r="I338" s="162">
        <f>F4A!I338+F4B!I338</f>
        <v>0.85794000000000004</v>
      </c>
      <c r="J338" s="162">
        <f>F4A!J338+F4B!J338</f>
        <v>3.0349999999999999E-3</v>
      </c>
      <c r="K338" s="162">
        <f>F4A!K338+F4B!K338</f>
        <v>2.7539999999999999E-3</v>
      </c>
      <c r="L338" s="162">
        <f>F4A!L338+F4B!L338</f>
        <v>2.6649999999999998E-3</v>
      </c>
      <c r="M338" s="162">
        <f>F4A!M338+F4B!M338</f>
        <v>2.8E-3</v>
      </c>
      <c r="N338" s="162">
        <f>F4A!N338+F4B!N338</f>
        <v>2.8999999999999998E-3</v>
      </c>
      <c r="O338" s="162">
        <f>F4A!O338+F4B!O338</f>
        <v>3.0000000000000001E-3</v>
      </c>
      <c r="P338" s="162">
        <f>F4A!P338+F4B!P338</f>
        <v>3.8909999999999999E-3</v>
      </c>
      <c r="Q338" s="167">
        <f t="shared" si="30"/>
        <v>20.874023000000001</v>
      </c>
      <c r="R338" s="166"/>
      <c r="S338" s="166"/>
    </row>
    <row r="339" spans="3:19" hidden="1" x14ac:dyDescent="0.25">
      <c r="C339" s="17" t="s">
        <v>233</v>
      </c>
      <c r="D339" s="17" t="s">
        <v>197</v>
      </c>
      <c r="E339" s="162">
        <f>F4A!E339+F4B!E339</f>
        <v>1.0914178000000001</v>
      </c>
      <c r="F339" s="162">
        <f>F4A!F339+F4B!F339</f>
        <v>2.1794000000000001E-2</v>
      </c>
      <c r="G339" s="162">
        <f>F4A!G339+F4B!G339</f>
        <v>2.3578999999999996E-2</v>
      </c>
      <c r="H339" s="162">
        <f>F4A!H339+F4B!H339</f>
        <v>4.4541999999999998E-2</v>
      </c>
      <c r="I339" s="162">
        <f>F4A!I339+F4B!I339</f>
        <v>8.7797E-2</v>
      </c>
      <c r="J339" s="162">
        <f>F4A!J339+F4B!J339</f>
        <v>9.6714999999999995E-2</v>
      </c>
      <c r="K339" s="162">
        <f>F4A!K339+F4B!K339</f>
        <v>8.7956000000000006E-2</v>
      </c>
      <c r="L339" s="162">
        <f>F4A!L339+F4B!L339</f>
        <v>7.0082000000000005E-2</v>
      </c>
      <c r="M339" s="162">
        <f>F4A!M339+F4B!M339</f>
        <v>1.2226669999999999</v>
      </c>
      <c r="N339" s="162">
        <f>F4A!N339+F4B!N339</f>
        <v>0.96880200000000016</v>
      </c>
      <c r="O339" s="162">
        <f>F4A!O339+F4B!O339</f>
        <v>1.0750790000000001</v>
      </c>
      <c r="P339" s="162">
        <f>F4A!P339+F4B!P339</f>
        <v>1.5027980000000001</v>
      </c>
      <c r="Q339" s="167">
        <f t="shared" si="30"/>
        <v>6.2932288000000005</v>
      </c>
      <c r="R339" s="166"/>
      <c r="S339" s="166"/>
    </row>
    <row r="340" spans="3:19" hidden="1" x14ac:dyDescent="0.25">
      <c r="C340" s="17" t="s">
        <v>198</v>
      </c>
      <c r="D340" s="17" t="s">
        <v>199</v>
      </c>
      <c r="E340" s="162">
        <f>F4A!E340+F4B!E340</f>
        <v>0</v>
      </c>
      <c r="F340" s="162">
        <f>F4A!F340+F4B!F340</f>
        <v>0</v>
      </c>
      <c r="G340" s="162">
        <f>F4A!G340+F4B!G340</f>
        <v>0</v>
      </c>
      <c r="H340" s="162">
        <f>F4A!H340+F4B!H340</f>
        <v>0</v>
      </c>
      <c r="I340" s="162">
        <f>F4A!I340+F4B!I340</f>
        <v>0</v>
      </c>
      <c r="J340" s="162">
        <f>F4A!J340+F4B!J340</f>
        <v>0</v>
      </c>
      <c r="K340" s="162">
        <f>F4A!K340+F4B!K340</f>
        <v>0</v>
      </c>
      <c r="L340" s="162">
        <f>F4A!L340+F4B!L340</f>
        <v>0</v>
      </c>
      <c r="M340" s="162">
        <f>F4A!M340+F4B!M340</f>
        <v>0</v>
      </c>
      <c r="N340" s="162">
        <f>F4A!N340+F4B!N340</f>
        <v>0</v>
      </c>
      <c r="O340" s="162">
        <f>F4A!O340+F4B!O340</f>
        <v>0</v>
      </c>
      <c r="P340" s="162">
        <f>F4A!P340+F4B!P340</f>
        <v>0</v>
      </c>
      <c r="Q340" s="167">
        <f t="shared" si="30"/>
        <v>0</v>
      </c>
      <c r="R340" s="166"/>
      <c r="S340" s="166"/>
    </row>
    <row r="341" spans="3:19" hidden="1" x14ac:dyDescent="0.25">
      <c r="C341" s="17" t="s">
        <v>200</v>
      </c>
      <c r="D341" s="17" t="s">
        <v>201</v>
      </c>
      <c r="E341" s="162">
        <f>F4A!E341+F4B!E341</f>
        <v>0</v>
      </c>
      <c r="F341" s="162">
        <f>F4A!F341+F4B!F341</f>
        <v>0</v>
      </c>
      <c r="G341" s="162">
        <f>F4A!G341+F4B!G341</f>
        <v>0</v>
      </c>
      <c r="H341" s="162">
        <f>F4A!H341+F4B!H341</f>
        <v>0</v>
      </c>
      <c r="I341" s="162">
        <f>F4A!I341+F4B!I341</f>
        <v>0</v>
      </c>
      <c r="J341" s="162">
        <f>F4A!J341+F4B!J341</f>
        <v>0</v>
      </c>
      <c r="K341" s="162">
        <f>F4A!K341+F4B!K341</f>
        <v>0</v>
      </c>
      <c r="L341" s="162">
        <f>F4A!L341+F4B!L341</f>
        <v>0</v>
      </c>
      <c r="M341" s="162">
        <f>F4A!M341+F4B!M341</f>
        <v>0</v>
      </c>
      <c r="N341" s="162">
        <f>F4A!N341+F4B!N341</f>
        <v>0</v>
      </c>
      <c r="O341" s="162">
        <f>F4A!O341+F4B!O341</f>
        <v>0</v>
      </c>
      <c r="P341" s="162">
        <f>F4A!P341+F4B!P341</f>
        <v>0</v>
      </c>
      <c r="Q341" s="167">
        <f t="shared" si="30"/>
        <v>0</v>
      </c>
      <c r="R341" s="166"/>
      <c r="S341" s="166"/>
    </row>
    <row r="342" spans="3:19" hidden="1" x14ac:dyDescent="0.25">
      <c r="C342" s="17" t="s">
        <v>202</v>
      </c>
      <c r="D342" s="17" t="s">
        <v>203</v>
      </c>
      <c r="E342" s="162">
        <f>F4A!E342+F4B!E342</f>
        <v>2.6386449999999999</v>
      </c>
      <c r="F342" s="162">
        <f>F4A!F342+F4B!F342</f>
        <v>0.75601499999999999</v>
      </c>
      <c r="G342" s="162">
        <f>F4A!G342+F4B!G342</f>
        <v>0.20072499999999999</v>
      </c>
      <c r="H342" s="162">
        <f>F4A!H342+F4B!H342</f>
        <v>0.141182</v>
      </c>
      <c r="I342" s="162">
        <f>F4A!I342+F4B!I342</f>
        <v>2.2359490000000002</v>
      </c>
      <c r="J342" s="162">
        <f>F4A!J342+F4B!J342</f>
        <v>1.5393490000000001</v>
      </c>
      <c r="K342" s="162">
        <f>F4A!K342+F4B!K342</f>
        <v>1.067885</v>
      </c>
      <c r="L342" s="162">
        <f>F4A!L342+F4B!L342</f>
        <v>0.32733000000000001</v>
      </c>
      <c r="M342" s="162">
        <f>F4A!M342+F4B!M342</f>
        <v>0.52414499999999997</v>
      </c>
      <c r="N342" s="162">
        <f>F4A!N342+F4B!N342</f>
        <v>2.1111499999999999</v>
      </c>
      <c r="O342" s="162">
        <f>F4A!O342+F4B!O342</f>
        <v>1.9835750000000001</v>
      </c>
      <c r="P342" s="162">
        <f>F4A!P342+F4B!P342</f>
        <v>4.1314799999999998</v>
      </c>
      <c r="Q342" s="167">
        <f t="shared" si="30"/>
        <v>17.657430000000002</v>
      </c>
      <c r="R342" s="166"/>
      <c r="S342" s="166"/>
    </row>
    <row r="343" spans="3:19" hidden="1" x14ac:dyDescent="0.25">
      <c r="C343" s="17" t="s">
        <v>204</v>
      </c>
      <c r="D343" s="17" t="s">
        <v>205</v>
      </c>
      <c r="E343" s="162">
        <f>F4A!E343+F4B!E343</f>
        <v>30.429439609999974</v>
      </c>
      <c r="F343" s="162">
        <f>F4A!F343+F4B!F343</f>
        <v>34.000480550000013</v>
      </c>
      <c r="G343" s="162">
        <f>F4A!G343+F4B!G343</f>
        <v>29.675747999999906</v>
      </c>
      <c r="H343" s="162">
        <f>F4A!H343+F4B!H343</f>
        <v>25.664591999999971</v>
      </c>
      <c r="I343" s="162">
        <f>F4A!I343+F4B!I343</f>
        <v>27.869703700000002</v>
      </c>
      <c r="J343" s="162">
        <f>F4A!J343+F4B!J343</f>
        <v>27.626550539999922</v>
      </c>
      <c r="K343" s="162">
        <f>F4A!K343+F4B!K343</f>
        <v>27.673644229999972</v>
      </c>
      <c r="L343" s="162">
        <f>F4A!L343+F4B!L343</f>
        <v>30.004687000000001</v>
      </c>
      <c r="M343" s="162">
        <f>F4A!M343+F4B!M343</f>
        <v>28.124777000000012</v>
      </c>
      <c r="N343" s="162">
        <f>F4A!N343+F4B!N343</f>
        <v>29.326507500000027</v>
      </c>
      <c r="O343" s="162">
        <f>F4A!O343+F4B!O343</f>
        <v>28.960403999999958</v>
      </c>
      <c r="P343" s="162">
        <f>F4A!P343+F4B!P343</f>
        <v>34.556197883871</v>
      </c>
      <c r="Q343" s="167">
        <f t="shared" si="30"/>
        <v>353.91273201387082</v>
      </c>
      <c r="R343" s="166"/>
      <c r="S343" s="166"/>
    </row>
    <row r="344" spans="3:19" hidden="1" x14ac:dyDescent="0.25">
      <c r="C344" s="17" t="s">
        <v>206</v>
      </c>
      <c r="D344" s="17" t="s">
        <v>207</v>
      </c>
      <c r="E344" s="162">
        <f>F4A!E344+F4B!E344</f>
        <v>2.3074500000000002</v>
      </c>
      <c r="F344" s="162">
        <f>F4A!F344+F4B!F344</f>
        <v>2.5877129999999999</v>
      </c>
      <c r="G344" s="162">
        <f>F4A!G344+F4B!G344</f>
        <v>2.7680840000000004</v>
      </c>
      <c r="H344" s="162">
        <f>F4A!H344+F4B!H344</f>
        <v>2.2111200000000002</v>
      </c>
      <c r="I344" s="162">
        <f>F4A!I344+F4B!I344</f>
        <v>2.0965889999999998</v>
      </c>
      <c r="J344" s="162">
        <f>F4A!J344+F4B!J344</f>
        <v>2.1213509999999998</v>
      </c>
      <c r="K344" s="162">
        <f>F4A!K344+F4B!K344</f>
        <v>2.1289879999999997</v>
      </c>
      <c r="L344" s="162">
        <f>F4A!L344+F4B!L344</f>
        <v>1.030762</v>
      </c>
      <c r="M344" s="162">
        <f>F4A!M344+F4B!M344</f>
        <v>1.7055799999999999</v>
      </c>
      <c r="N344" s="162">
        <f>F4A!N344+F4B!N344</f>
        <v>1.7011539999999998</v>
      </c>
      <c r="O344" s="162">
        <f>F4A!O344+F4B!O344</f>
        <v>2.412493</v>
      </c>
      <c r="P344" s="162">
        <f>F4A!P344+F4B!P344</f>
        <v>2.56284</v>
      </c>
      <c r="Q344" s="167">
        <f t="shared" si="30"/>
        <v>25.634124</v>
      </c>
      <c r="R344" s="166"/>
      <c r="S344" s="166"/>
    </row>
    <row r="345" spans="3:19" hidden="1" x14ac:dyDescent="0.25">
      <c r="C345" s="17" t="s">
        <v>214</v>
      </c>
      <c r="D345" s="17" t="s">
        <v>187</v>
      </c>
      <c r="E345" s="162">
        <f>F4A!E345+F4B!E345</f>
        <v>0.95831299999999997</v>
      </c>
      <c r="F345" s="162">
        <f>F4A!F345+F4B!F345</f>
        <v>9.6839999999999996E-2</v>
      </c>
      <c r="G345" s="162">
        <f>F4A!G345+F4B!G345</f>
        <v>8.5879999999999998E-2</v>
      </c>
      <c r="H345" s="162">
        <f>F4A!H345+F4B!H345</f>
        <v>4.8759999999999998E-2</v>
      </c>
      <c r="I345" s="162">
        <f>F4A!I345+F4B!I345</f>
        <v>5.7389999999999997E-2</v>
      </c>
      <c r="J345" s="162">
        <f>F4A!J345+F4B!J345</f>
        <v>6.0109999999999997E-2</v>
      </c>
      <c r="K345" s="162">
        <f>F4A!K345+F4B!K345</f>
        <v>4.2029999999999998E-2</v>
      </c>
      <c r="L345" s="162">
        <f>F4A!L345+F4B!L345</f>
        <v>6.0449999999999997E-2</v>
      </c>
      <c r="M345" s="162">
        <f>F4A!M345+F4B!M345</f>
        <v>0.52714499999999997</v>
      </c>
      <c r="N345" s="162">
        <f>F4A!N345+F4B!N345</f>
        <v>0.54735199999999995</v>
      </c>
      <c r="O345" s="162">
        <f>F4A!O345+F4B!O345</f>
        <v>0.52817099999999995</v>
      </c>
      <c r="P345" s="162">
        <f>F4A!P345+F4B!P345</f>
        <v>0.63680800000000004</v>
      </c>
      <c r="Q345" s="167">
        <f t="shared" si="30"/>
        <v>3.6492490000000002</v>
      </c>
      <c r="R345" s="166"/>
      <c r="S345" s="166"/>
    </row>
    <row r="346" spans="3:19" hidden="1" x14ac:dyDescent="0.25">
      <c r="C346" s="17" t="s">
        <v>209</v>
      </c>
      <c r="D346" s="17" t="s">
        <v>210</v>
      </c>
      <c r="E346" s="162">
        <f>F4A!E346+F4B!E346</f>
        <v>0</v>
      </c>
      <c r="F346" s="162">
        <f>F4A!F346+F4B!F346</f>
        <v>0</v>
      </c>
      <c r="G346" s="162">
        <f>F4A!G346+F4B!G346</f>
        <v>0</v>
      </c>
      <c r="H346" s="162">
        <f>F4A!H346+F4B!H346</f>
        <v>0</v>
      </c>
      <c r="I346" s="162">
        <f>F4A!I346+F4B!I346</f>
        <v>0</v>
      </c>
      <c r="J346" s="162">
        <f>F4A!J346+F4B!J346</f>
        <v>0</v>
      </c>
      <c r="K346" s="162">
        <f>F4A!K346+F4B!K346</f>
        <v>0</v>
      </c>
      <c r="L346" s="162">
        <f>F4A!L346+F4B!L346</f>
        <v>0</v>
      </c>
      <c r="M346" s="162">
        <f>F4A!M346+F4B!M346</f>
        <v>0</v>
      </c>
      <c r="N346" s="162">
        <f>F4A!N346+F4B!N346</f>
        <v>0</v>
      </c>
      <c r="O346" s="162">
        <f>F4A!O346+F4B!O346</f>
        <v>0</v>
      </c>
      <c r="P346" s="162">
        <f>F4A!P346+F4B!P346</f>
        <v>0</v>
      </c>
      <c r="Q346" s="167">
        <f t="shared" si="30"/>
        <v>0</v>
      </c>
      <c r="R346" s="166"/>
      <c r="S346" s="166"/>
    </row>
    <row r="347" spans="3:19" hidden="1" x14ac:dyDescent="0.25">
      <c r="C347" s="17" t="s">
        <v>211</v>
      </c>
      <c r="D347" s="17" t="s">
        <v>189</v>
      </c>
      <c r="E347" s="162">
        <f>F4A!E347+F4B!E347</f>
        <v>0</v>
      </c>
      <c r="F347" s="162">
        <f>F4A!F347+F4B!F347</f>
        <v>0</v>
      </c>
      <c r="G347" s="162">
        <f>F4A!G347+F4B!G347</f>
        <v>0</v>
      </c>
      <c r="H347" s="162">
        <f>F4A!H347+F4B!H347</f>
        <v>0</v>
      </c>
      <c r="I347" s="162">
        <f>F4A!I347+F4B!I347</f>
        <v>0</v>
      </c>
      <c r="J347" s="162">
        <f>F4A!J347+F4B!J347</f>
        <v>0</v>
      </c>
      <c r="K347" s="162">
        <f>F4A!K347+F4B!K347</f>
        <v>0</v>
      </c>
      <c r="L347" s="162">
        <f>F4A!L347+F4B!L347</f>
        <v>0</v>
      </c>
      <c r="M347" s="162">
        <f>F4A!M347+F4B!M347</f>
        <v>0</v>
      </c>
      <c r="N347" s="162">
        <f>F4A!N347+F4B!N347</f>
        <v>0</v>
      </c>
      <c r="O347" s="162">
        <f>F4A!O347+F4B!O347</f>
        <v>0</v>
      </c>
      <c r="P347" s="162">
        <f>F4A!P347+F4B!P347</f>
        <v>0</v>
      </c>
      <c r="Q347" s="167">
        <f t="shared" si="30"/>
        <v>0</v>
      </c>
      <c r="R347" s="166"/>
      <c r="S347" s="166"/>
    </row>
    <row r="348" spans="3:19" hidden="1" x14ac:dyDescent="0.25">
      <c r="C348" s="17"/>
      <c r="D348" s="17"/>
      <c r="E348" s="162">
        <f>F4A!E348+F4B!E348</f>
        <v>0</v>
      </c>
      <c r="F348" s="162">
        <f>F4A!F348+F4B!F348</f>
        <v>0</v>
      </c>
      <c r="G348" s="162">
        <f>F4A!G348+F4B!G348</f>
        <v>0</v>
      </c>
      <c r="H348" s="162">
        <f>F4A!H348+F4B!H348</f>
        <v>0</v>
      </c>
      <c r="I348" s="162">
        <f>F4A!I348+F4B!I348</f>
        <v>0</v>
      </c>
      <c r="J348" s="162">
        <f>F4A!J348+F4B!J348</f>
        <v>0</v>
      </c>
      <c r="K348" s="162">
        <f>F4A!K348+F4B!K348</f>
        <v>0</v>
      </c>
      <c r="L348" s="162">
        <f>F4A!L348+F4B!L348</f>
        <v>0</v>
      </c>
      <c r="M348" s="162">
        <f>F4A!M348+F4B!M348</f>
        <v>0</v>
      </c>
      <c r="N348" s="162">
        <f>F4A!N348+F4B!N348</f>
        <v>0</v>
      </c>
      <c r="O348" s="162">
        <f>F4A!O348+F4B!O348</f>
        <v>0</v>
      </c>
      <c r="P348" s="162">
        <f>F4A!P348+F4B!P348</f>
        <v>0</v>
      </c>
      <c r="Q348" s="167">
        <f t="shared" si="30"/>
        <v>0</v>
      </c>
      <c r="R348" s="166"/>
      <c r="S348" s="166"/>
    </row>
    <row r="349" spans="3:19" hidden="1" x14ac:dyDescent="0.25">
      <c r="C349" s="17"/>
      <c r="D349" s="17"/>
      <c r="E349" s="162">
        <f>F4A!E349+F4B!E349</f>
        <v>0</v>
      </c>
      <c r="F349" s="162">
        <f>F4A!F349+F4B!F349</f>
        <v>0</v>
      </c>
      <c r="G349" s="162">
        <f>F4A!G349+F4B!G349</f>
        <v>0</v>
      </c>
      <c r="H349" s="162">
        <f>F4A!H349+F4B!H349</f>
        <v>0</v>
      </c>
      <c r="I349" s="162">
        <f>F4A!I349+F4B!I349</f>
        <v>0</v>
      </c>
      <c r="J349" s="162">
        <f>F4A!J349+F4B!J349</f>
        <v>0</v>
      </c>
      <c r="K349" s="162">
        <f>F4A!K349+F4B!K349</f>
        <v>0</v>
      </c>
      <c r="L349" s="162">
        <f>F4A!L349+F4B!L349</f>
        <v>0</v>
      </c>
      <c r="M349" s="162">
        <f>F4A!M349+F4B!M349</f>
        <v>0</v>
      </c>
      <c r="N349" s="162">
        <f>F4A!N349+F4B!N349</f>
        <v>0</v>
      </c>
      <c r="O349" s="162">
        <f>F4A!O349+F4B!O349</f>
        <v>0</v>
      </c>
      <c r="P349" s="162">
        <f>F4A!P349+F4B!P349</f>
        <v>0</v>
      </c>
      <c r="Q349" s="167">
        <f t="shared" si="30"/>
        <v>0</v>
      </c>
      <c r="R349" s="166"/>
      <c r="S349" s="166"/>
    </row>
    <row r="350" spans="3:19" hidden="1" x14ac:dyDescent="0.25">
      <c r="C350" s="17"/>
      <c r="D350" s="17"/>
      <c r="E350" s="162">
        <f>F4A!E350+F4B!E350</f>
        <v>0</v>
      </c>
      <c r="F350" s="162">
        <f>F4A!F350+F4B!F350</f>
        <v>0</v>
      </c>
      <c r="G350" s="162">
        <f>F4A!G350+F4B!G350</f>
        <v>0</v>
      </c>
      <c r="H350" s="162">
        <f>F4A!H350+F4B!H350</f>
        <v>0</v>
      </c>
      <c r="I350" s="162">
        <f>F4A!I350+F4B!I350</f>
        <v>0</v>
      </c>
      <c r="J350" s="162">
        <f>F4A!J350+F4B!J350</f>
        <v>0</v>
      </c>
      <c r="K350" s="162">
        <f>F4A!K350+F4B!K350</f>
        <v>0</v>
      </c>
      <c r="L350" s="162">
        <f>F4A!L350+F4B!L350</f>
        <v>0</v>
      </c>
      <c r="M350" s="162">
        <f>F4A!M350+F4B!M350</f>
        <v>0</v>
      </c>
      <c r="N350" s="162">
        <f>F4A!N350+F4B!N350</f>
        <v>0</v>
      </c>
      <c r="O350" s="162">
        <f>F4A!O350+F4B!O350</f>
        <v>0</v>
      </c>
      <c r="P350" s="162">
        <f>F4A!P350+F4B!P350</f>
        <v>0</v>
      </c>
      <c r="Q350" s="167">
        <f t="shared" si="30"/>
        <v>0</v>
      </c>
      <c r="R350" s="166"/>
      <c r="S350" s="166"/>
    </row>
    <row r="351" spans="3:19" hidden="1" x14ac:dyDescent="0.25">
      <c r="C351" s="17" t="s">
        <v>226</v>
      </c>
      <c r="D351" s="17" t="s">
        <v>226</v>
      </c>
      <c r="E351" s="162">
        <f>F4A!E351+F4B!E351</f>
        <v>0</v>
      </c>
      <c r="F351" s="162">
        <f>F4A!F351+F4B!F351</f>
        <v>0</v>
      </c>
      <c r="G351" s="162">
        <f>F4A!G351+F4B!G351</f>
        <v>0</v>
      </c>
      <c r="H351" s="162">
        <f>F4A!H351+F4B!H351</f>
        <v>0</v>
      </c>
      <c r="I351" s="162">
        <f>F4A!I351+F4B!I351</f>
        <v>0</v>
      </c>
      <c r="J351" s="162">
        <f>F4A!J351+F4B!J351</f>
        <v>0</v>
      </c>
      <c r="K351" s="162">
        <f>F4A!K351+F4B!K351</f>
        <v>0</v>
      </c>
      <c r="L351" s="162">
        <f>F4A!L351+F4B!L351</f>
        <v>0</v>
      </c>
      <c r="M351" s="162">
        <f>F4A!M351+F4B!M351</f>
        <v>0</v>
      </c>
      <c r="N351" s="162">
        <f>F4A!N351+F4B!N351</f>
        <v>0</v>
      </c>
      <c r="O351" s="162">
        <f>F4A!O351+F4B!O351</f>
        <v>0</v>
      </c>
      <c r="P351" s="162">
        <f>F4A!P351+F4B!P351</f>
        <v>0</v>
      </c>
      <c r="Q351" s="167">
        <f t="shared" si="30"/>
        <v>0</v>
      </c>
      <c r="R351" s="166"/>
      <c r="S351" s="166"/>
    </row>
    <row r="352" spans="3:19" hidden="1" x14ac:dyDescent="0.25">
      <c r="C352" s="751" t="s">
        <v>212</v>
      </c>
      <c r="D352" s="752"/>
      <c r="E352" s="167">
        <f t="shared" ref="E352:P352" si="31">SUM(E337:E351)</f>
        <v>58.315529409999975</v>
      </c>
      <c r="F352" s="167">
        <f t="shared" si="31"/>
        <v>52.781393550000011</v>
      </c>
      <c r="G352" s="167">
        <f t="shared" si="31"/>
        <v>46.031815999999907</v>
      </c>
      <c r="H352" s="167">
        <f t="shared" si="31"/>
        <v>40.450056999999973</v>
      </c>
      <c r="I352" s="167">
        <f t="shared" si="31"/>
        <v>43.617379700000001</v>
      </c>
      <c r="J352" s="167">
        <f t="shared" si="31"/>
        <v>43.046636539999923</v>
      </c>
      <c r="K352" s="167">
        <f t="shared" si="31"/>
        <v>42.250214229999969</v>
      </c>
      <c r="L352" s="167">
        <f t="shared" si="31"/>
        <v>43.659411000000006</v>
      </c>
      <c r="M352" s="167">
        <f t="shared" si="31"/>
        <v>46.749057000000008</v>
      </c>
      <c r="N352" s="167">
        <f t="shared" si="31"/>
        <v>47.685241500000025</v>
      </c>
      <c r="O352" s="167">
        <f t="shared" si="31"/>
        <v>50.26241399999995</v>
      </c>
      <c r="P352" s="167">
        <f t="shared" si="31"/>
        <v>63.044438883871003</v>
      </c>
      <c r="Q352" s="167">
        <f t="shared" si="30"/>
        <v>577.89358881387068</v>
      </c>
      <c r="R352" s="166"/>
      <c r="S352" s="166"/>
    </row>
    <row r="353" spans="3:19" hidden="1" x14ac:dyDescent="0.25">
      <c r="C353" s="753" t="s">
        <v>215</v>
      </c>
      <c r="D353" s="754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7">
        <f t="shared" si="30"/>
        <v>0</v>
      </c>
      <c r="R353" s="166"/>
      <c r="S353" s="166"/>
    </row>
    <row r="354" spans="3:19" hidden="1" x14ac:dyDescent="0.25">
      <c r="C354" s="17" t="s">
        <v>192</v>
      </c>
      <c r="D354" s="17" t="s">
        <v>193</v>
      </c>
      <c r="E354" s="162">
        <f>F4A!E354+F4B!E354</f>
        <v>56.178757380000008</v>
      </c>
      <c r="F354" s="162">
        <f>F4A!F354+F4B!F354</f>
        <v>63.717885720000012</v>
      </c>
      <c r="G354" s="162">
        <f>F4A!G354+F4B!G354</f>
        <v>60.418775720000014</v>
      </c>
      <c r="H354" s="162">
        <f>F4A!H354+F4B!H354</f>
        <v>59.607905389999999</v>
      </c>
      <c r="I354" s="162">
        <f>F4A!I354+F4B!I354</f>
        <v>59.204581390000001</v>
      </c>
      <c r="J354" s="162">
        <f>F4A!J354+F4B!J354</f>
        <v>63.079951629999996</v>
      </c>
      <c r="K354" s="162">
        <f>F4A!K354+F4B!K354</f>
        <v>65.43516305</v>
      </c>
      <c r="L354" s="162">
        <f>F4A!L354+F4B!L354</f>
        <v>60.858149689999991</v>
      </c>
      <c r="M354" s="162">
        <f>F4A!M354+F4B!M354</f>
        <v>64.721838430000005</v>
      </c>
      <c r="N354" s="162">
        <f>F4A!N354+F4B!N354</f>
        <v>55.874640450000001</v>
      </c>
      <c r="O354" s="162">
        <f>F4A!O354+F4B!O354</f>
        <v>57.208315060000011</v>
      </c>
      <c r="P354" s="162">
        <f>F4A!P354+F4B!P354</f>
        <v>59.550955050000006</v>
      </c>
      <c r="Q354" s="167">
        <f t="shared" si="30"/>
        <v>725.85691896000003</v>
      </c>
      <c r="R354" s="166"/>
      <c r="S354" s="166"/>
    </row>
    <row r="355" spans="3:19" hidden="1" x14ac:dyDescent="0.25">
      <c r="C355" s="17" t="s">
        <v>194</v>
      </c>
      <c r="D355" s="17" t="s">
        <v>195</v>
      </c>
      <c r="E355" s="162">
        <f>F4A!E355+F4B!E355</f>
        <v>0</v>
      </c>
      <c r="F355" s="162">
        <f>F4A!F355+F4B!F355</f>
        <v>0</v>
      </c>
      <c r="G355" s="162">
        <f>F4A!G355+F4B!G355</f>
        <v>0</v>
      </c>
      <c r="H355" s="162">
        <f>F4A!H355+F4B!H355</f>
        <v>0</v>
      </c>
      <c r="I355" s="162">
        <f>F4A!I355+F4B!I355</f>
        <v>0</v>
      </c>
      <c r="J355" s="162">
        <f>F4A!J355+F4B!J355</f>
        <v>0</v>
      </c>
      <c r="K355" s="162">
        <f>F4A!K355+F4B!K355</f>
        <v>0</v>
      </c>
      <c r="L355" s="162">
        <f>F4A!L355+F4B!L355</f>
        <v>0</v>
      </c>
      <c r="M355" s="162">
        <f>F4A!M355+F4B!M355</f>
        <v>0</v>
      </c>
      <c r="N355" s="162">
        <f>F4A!N355+F4B!N355</f>
        <v>0</v>
      </c>
      <c r="O355" s="162">
        <f>F4A!O355+F4B!O355</f>
        <v>0</v>
      </c>
      <c r="P355" s="162">
        <f>F4A!P355+F4B!P355</f>
        <v>0</v>
      </c>
      <c r="Q355" s="167">
        <f t="shared" si="30"/>
        <v>0</v>
      </c>
      <c r="R355" s="166"/>
      <c r="S355" s="166"/>
    </row>
    <row r="356" spans="3:19" hidden="1" x14ac:dyDescent="0.25">
      <c r="C356" s="17" t="s">
        <v>233</v>
      </c>
      <c r="D356" s="17" t="s">
        <v>197</v>
      </c>
      <c r="E356" s="162">
        <f>F4A!E356+F4B!E356</f>
        <v>0.21229999999999999</v>
      </c>
      <c r="F356" s="162">
        <f>F4A!F356+F4B!F356</f>
        <v>0.65210000000000001</v>
      </c>
      <c r="G356" s="162">
        <f>F4A!G356+F4B!G356</f>
        <v>0.33579999999999999</v>
      </c>
      <c r="H356" s="162">
        <f>F4A!H356+F4B!H356</f>
        <v>0.61839999999999995</v>
      </c>
      <c r="I356" s="162">
        <f>F4A!I356+F4B!I356</f>
        <v>0.42820000000000003</v>
      </c>
      <c r="J356" s="162">
        <f>F4A!J356+F4B!J356</f>
        <v>0.53920000000000001</v>
      </c>
      <c r="K356" s="162">
        <f>F4A!K356+F4B!K356</f>
        <v>0.47249999999999998</v>
      </c>
      <c r="L356" s="162">
        <f>F4A!L356+F4B!L356</f>
        <v>0.58820000000000006</v>
      </c>
      <c r="M356" s="162">
        <f>F4A!M356+F4B!M356</f>
        <v>0.55640000000000001</v>
      </c>
      <c r="N356" s="162">
        <f>F4A!N356+F4B!N356</f>
        <v>0.53500000000000003</v>
      </c>
      <c r="O356" s="162">
        <f>F4A!O356+F4B!O356</f>
        <v>0.58709999999999996</v>
      </c>
      <c r="P356" s="162">
        <f>F4A!P356+F4B!P356</f>
        <v>1.406533</v>
      </c>
      <c r="Q356" s="167">
        <f t="shared" si="30"/>
        <v>6.9317329999999995</v>
      </c>
      <c r="R356" s="166"/>
      <c r="S356" s="166"/>
    </row>
    <row r="357" spans="3:19" hidden="1" x14ac:dyDescent="0.25">
      <c r="C357" s="17" t="s">
        <v>198</v>
      </c>
      <c r="D357" s="17" t="s">
        <v>199</v>
      </c>
      <c r="E357" s="162">
        <f>F4A!E357+F4B!E357</f>
        <v>0</v>
      </c>
      <c r="F357" s="162">
        <f>F4A!F357+F4B!F357</f>
        <v>0</v>
      </c>
      <c r="G357" s="162">
        <f>F4A!G357+F4B!G357</f>
        <v>0</v>
      </c>
      <c r="H357" s="162">
        <f>F4A!H357+F4B!H357</f>
        <v>0</v>
      </c>
      <c r="I357" s="162">
        <f>F4A!I357+F4B!I357</f>
        <v>0</v>
      </c>
      <c r="J357" s="162">
        <f>F4A!J357+F4B!J357</f>
        <v>0</v>
      </c>
      <c r="K357" s="162">
        <f>F4A!K357+F4B!K357</f>
        <v>0</v>
      </c>
      <c r="L357" s="162">
        <f>F4A!L357+F4B!L357</f>
        <v>0</v>
      </c>
      <c r="M357" s="162">
        <f>F4A!M357+F4B!M357</f>
        <v>0</v>
      </c>
      <c r="N357" s="162">
        <f>F4A!N357+F4B!N357</f>
        <v>0</v>
      </c>
      <c r="O357" s="162">
        <f>F4A!O357+F4B!O357</f>
        <v>0</v>
      </c>
      <c r="P357" s="162">
        <f>F4A!P357+F4B!P357</f>
        <v>0</v>
      </c>
      <c r="Q357" s="167">
        <f t="shared" si="30"/>
        <v>0</v>
      </c>
      <c r="R357" s="166"/>
      <c r="S357" s="166"/>
    </row>
    <row r="358" spans="3:19" hidden="1" x14ac:dyDescent="0.25">
      <c r="C358" s="17" t="s">
        <v>200</v>
      </c>
      <c r="D358" s="17" t="s">
        <v>201</v>
      </c>
      <c r="E358" s="162">
        <f>F4A!E358+F4B!E358</f>
        <v>0</v>
      </c>
      <c r="F358" s="162">
        <f>F4A!F358+F4B!F358</f>
        <v>0</v>
      </c>
      <c r="G358" s="162">
        <f>F4A!G358+F4B!G358</f>
        <v>0</v>
      </c>
      <c r="H358" s="162">
        <f>F4A!H358+F4B!H358</f>
        <v>0</v>
      </c>
      <c r="I358" s="162">
        <f>F4A!I358+F4B!I358</f>
        <v>0</v>
      </c>
      <c r="J358" s="162">
        <f>F4A!J358+F4B!J358</f>
        <v>0</v>
      </c>
      <c r="K358" s="162">
        <f>F4A!K358+F4B!K358</f>
        <v>0</v>
      </c>
      <c r="L358" s="162">
        <f>F4A!L358+F4B!L358</f>
        <v>0</v>
      </c>
      <c r="M358" s="162">
        <f>F4A!M358+F4B!M358</f>
        <v>0</v>
      </c>
      <c r="N358" s="162">
        <f>F4A!N358+F4B!N358</f>
        <v>0</v>
      </c>
      <c r="O358" s="162">
        <f>F4A!O358+F4B!O358</f>
        <v>0</v>
      </c>
      <c r="P358" s="162">
        <f>F4A!P358+F4B!P358</f>
        <v>0</v>
      </c>
      <c r="Q358" s="167">
        <f t="shared" si="30"/>
        <v>0</v>
      </c>
      <c r="R358" s="166"/>
      <c r="S358" s="166"/>
    </row>
    <row r="359" spans="3:19" hidden="1" x14ac:dyDescent="0.25">
      <c r="C359" s="17" t="s">
        <v>202</v>
      </c>
      <c r="D359" s="17" t="s">
        <v>234</v>
      </c>
      <c r="E359" s="162">
        <f>F4A!E359+F4B!E359</f>
        <v>169.728328</v>
      </c>
      <c r="F359" s="162">
        <f>F4A!F359+F4B!F359</f>
        <v>129.80947649999999</v>
      </c>
      <c r="G359" s="162">
        <f>F4A!G359+F4B!G359</f>
        <v>3.8146089999999999</v>
      </c>
      <c r="H359" s="162">
        <f>F4A!H359+F4B!H359</f>
        <v>16.506423000000002</v>
      </c>
      <c r="I359" s="162">
        <f>F4A!I359+F4B!I359</f>
        <v>74.924600999999996</v>
      </c>
      <c r="J359" s="162">
        <f>F4A!J359+F4B!J359</f>
        <v>15.246607350000001</v>
      </c>
      <c r="K359" s="162">
        <f>F4A!K359+F4B!K359</f>
        <v>36.055034999999997</v>
      </c>
      <c r="L359" s="162">
        <f>F4A!L359+F4B!L359</f>
        <v>8.5424600000000002</v>
      </c>
      <c r="M359" s="162">
        <f>F4A!M359+F4B!M359</f>
        <v>4.848433</v>
      </c>
      <c r="N359" s="162">
        <f>F4A!N359+F4B!N359</f>
        <v>95.552763999999996</v>
      </c>
      <c r="O359" s="162">
        <f>F4A!O359+F4B!O359</f>
        <v>273.25341300000002</v>
      </c>
      <c r="P359" s="162">
        <f>F4A!P359+F4B!P359</f>
        <v>661.37833499999999</v>
      </c>
      <c r="Q359" s="167">
        <f t="shared" si="30"/>
        <v>1489.6604848500001</v>
      </c>
      <c r="R359" s="166"/>
      <c r="S359" s="166"/>
    </row>
    <row r="360" spans="3:19" hidden="1" x14ac:dyDescent="0.25">
      <c r="C360" s="17" t="s">
        <v>204</v>
      </c>
      <c r="D360" s="17" t="s">
        <v>216</v>
      </c>
      <c r="E360" s="162">
        <f>F4A!E360+F4B!E360</f>
        <v>2.1058919999999999</v>
      </c>
      <c r="F360" s="162">
        <f>F4A!F360+F4B!F360</f>
        <v>2.1477480000000173</v>
      </c>
      <c r="G360" s="162">
        <f>F4A!G360+F4B!G360</f>
        <v>2.2087439999999998</v>
      </c>
      <c r="H360" s="162">
        <f>F4A!H360+F4B!H360</f>
        <v>2.1501000000000001</v>
      </c>
      <c r="I360" s="162">
        <f>F4A!I360+F4B!I360</f>
        <v>2.355264</v>
      </c>
      <c r="J360" s="162">
        <f>F4A!J360+F4B!J360</f>
        <v>2.4240240000000002</v>
      </c>
      <c r="K360" s="162">
        <f>F4A!K360+F4B!K360</f>
        <v>2.1406679999999998</v>
      </c>
      <c r="L360" s="162">
        <f>F4A!L360+F4B!L360</f>
        <v>2.084724</v>
      </c>
      <c r="M360" s="162">
        <f>F4A!M360+F4B!M360</f>
        <v>2.4571800000000001</v>
      </c>
      <c r="N360" s="162">
        <f>F4A!N360+F4B!N360</f>
        <v>1.9652400000000001</v>
      </c>
      <c r="O360" s="162">
        <f>F4A!O360+F4B!O360</f>
        <v>2.0790359999999999</v>
      </c>
      <c r="P360" s="162">
        <f>F4A!P360+F4B!P360</f>
        <v>3.0744606929193483</v>
      </c>
      <c r="Q360" s="167">
        <f t="shared" si="30"/>
        <v>27.193080692919366</v>
      </c>
      <c r="R360" s="166"/>
      <c r="S360" s="166"/>
    </row>
    <row r="361" spans="3:19" hidden="1" x14ac:dyDescent="0.25">
      <c r="C361" s="17" t="s">
        <v>217</v>
      </c>
      <c r="D361" s="17" t="s">
        <v>218</v>
      </c>
      <c r="E361" s="162">
        <f>F4A!E361+F4B!E361</f>
        <v>45.418767600000002</v>
      </c>
      <c r="F361" s="162">
        <f>F4A!F361+F4B!F361</f>
        <v>45.396074599999999</v>
      </c>
      <c r="G361" s="162">
        <f>F4A!G361+F4B!G361</f>
        <v>47.124330700000002</v>
      </c>
      <c r="H361" s="162">
        <f>F4A!H361+F4B!H361</f>
        <v>40.830919700000003</v>
      </c>
      <c r="I361" s="162">
        <f>F4A!I361+F4B!I361</f>
        <v>43.693420799999998</v>
      </c>
      <c r="J361" s="162">
        <f>F4A!J361+F4B!J361</f>
        <v>45.592782499999998</v>
      </c>
      <c r="K361" s="162">
        <f>F4A!K361+F4B!K361</f>
        <v>45.0480655</v>
      </c>
      <c r="L361" s="162">
        <f>F4A!L361+F4B!L361</f>
        <v>46.9569343</v>
      </c>
      <c r="M361" s="162">
        <f>F4A!M361+F4B!M361</f>
        <v>47.965062500000002</v>
      </c>
      <c r="N361" s="162">
        <f>F4A!N361+F4B!N361</f>
        <v>48.855157900000002</v>
      </c>
      <c r="O361" s="162">
        <f>F4A!O361+F4B!O361</f>
        <v>50.706708999999996</v>
      </c>
      <c r="P361" s="162">
        <f>F4A!P361+F4B!P361</f>
        <v>63.071943900000001</v>
      </c>
      <c r="Q361" s="167">
        <f t="shared" si="30"/>
        <v>570.660169</v>
      </c>
      <c r="R361" s="166"/>
      <c r="S361" s="166"/>
    </row>
    <row r="362" spans="3:19" hidden="1" x14ac:dyDescent="0.25">
      <c r="C362" s="17" t="s">
        <v>252</v>
      </c>
      <c r="D362" s="17" t="s">
        <v>236</v>
      </c>
      <c r="E362" s="162">
        <f>F4A!E362+F4B!E362</f>
        <v>0</v>
      </c>
      <c r="F362" s="162">
        <f>F4A!F362+F4B!F362</f>
        <v>0</v>
      </c>
      <c r="G362" s="162">
        <f>F4A!G362+F4B!G362</f>
        <v>0</v>
      </c>
      <c r="H362" s="162">
        <f>F4A!H362+F4B!H362</f>
        <v>0</v>
      </c>
      <c r="I362" s="162">
        <f>F4A!I362+F4B!I362</f>
        <v>0</v>
      </c>
      <c r="J362" s="162">
        <f>F4A!J362+F4B!J362</f>
        <v>0</v>
      </c>
      <c r="K362" s="162">
        <f>F4A!K362+F4B!K362</f>
        <v>0</v>
      </c>
      <c r="L362" s="162">
        <f>F4A!L362+F4B!L362</f>
        <v>0</v>
      </c>
      <c r="M362" s="162">
        <f>F4A!M362+F4B!M362</f>
        <v>0</v>
      </c>
      <c r="N362" s="162">
        <f>F4A!N362+F4B!N362</f>
        <v>0</v>
      </c>
      <c r="O362" s="162">
        <f>F4A!O362+F4B!O362</f>
        <v>0</v>
      </c>
      <c r="P362" s="162">
        <f>F4A!P362+F4B!P362</f>
        <v>0</v>
      </c>
      <c r="Q362" s="167">
        <f t="shared" si="30"/>
        <v>0</v>
      </c>
      <c r="R362" s="166"/>
      <c r="S362" s="166"/>
    </row>
    <row r="363" spans="3:19" hidden="1" x14ac:dyDescent="0.25">
      <c r="C363" s="17" t="s">
        <v>206</v>
      </c>
      <c r="D363" s="17" t="s">
        <v>207</v>
      </c>
      <c r="E363" s="162">
        <f>F4A!E363+F4B!E363</f>
        <v>10.126234999999999</v>
      </c>
      <c r="F363" s="162">
        <f>F4A!F363+F4B!F363</f>
        <v>11.268202</v>
      </c>
      <c r="G363" s="162">
        <f>F4A!G363+F4B!G363</f>
        <v>10.74935</v>
      </c>
      <c r="H363" s="162">
        <f>F4A!H363+F4B!H363</f>
        <v>8.5791579999999996</v>
      </c>
      <c r="I363" s="162">
        <f>F4A!I363+F4B!I363</f>
        <v>9.3699999999999992</v>
      </c>
      <c r="J363" s="162">
        <f>F4A!J363+F4B!J363</f>
        <v>8.6935680000000009</v>
      </c>
      <c r="K363" s="162">
        <f>F4A!K363+F4B!K363</f>
        <v>8.3216900000000003</v>
      </c>
      <c r="L363" s="162">
        <f>F4A!L363+F4B!L363</f>
        <v>6.0786220000000002</v>
      </c>
      <c r="M363" s="162">
        <f>F4A!M363+F4B!M363</f>
        <v>5.7707090000000001</v>
      </c>
      <c r="N363" s="162">
        <f>F4A!N363+F4B!N363</f>
        <v>4.1226800000000008</v>
      </c>
      <c r="O363" s="162">
        <f>F4A!O363+F4B!O363</f>
        <v>3.5558490000000003</v>
      </c>
      <c r="P363" s="162">
        <f>F4A!P363+F4B!P363</f>
        <v>4.8382269999999998</v>
      </c>
      <c r="Q363" s="167">
        <f t="shared" si="30"/>
        <v>91.474289999999996</v>
      </c>
      <c r="R363" s="166"/>
      <c r="S363" s="166"/>
    </row>
    <row r="364" spans="3:19" hidden="1" x14ac:dyDescent="0.25">
      <c r="C364" s="17" t="s">
        <v>208</v>
      </c>
      <c r="D364" s="17" t="s">
        <v>187</v>
      </c>
      <c r="E364" s="162">
        <f>F4A!E364+F4B!E364</f>
        <v>0</v>
      </c>
      <c r="F364" s="162">
        <f>F4A!F364+F4B!F364</f>
        <v>3.3000000000000002E-2</v>
      </c>
      <c r="G364" s="162">
        <f>F4A!G364+F4B!G364</f>
        <v>0.10970000000000001</v>
      </c>
      <c r="H364" s="162">
        <f>F4A!H364+F4B!H364</f>
        <v>9.06E-2</v>
      </c>
      <c r="I364" s="162">
        <f>F4A!I364+F4B!I364</f>
        <v>9.7299999999999998E-2</v>
      </c>
      <c r="J364" s="162">
        <f>F4A!J364+F4B!J364</f>
        <v>0.1132</v>
      </c>
      <c r="K364" s="162">
        <f>F4A!K364+F4B!K364</f>
        <v>0.108</v>
      </c>
      <c r="L364" s="162">
        <f>F4A!L364+F4B!L364</f>
        <v>0.1019</v>
      </c>
      <c r="M364" s="162">
        <f>F4A!M364+F4B!M364</f>
        <v>0</v>
      </c>
      <c r="N364" s="162">
        <f>F4A!N364+F4B!N364</f>
        <v>5.0799999999999998E-2</v>
      </c>
      <c r="O364" s="162">
        <f>F4A!O364+F4B!O364</f>
        <v>0.12790000000000001</v>
      </c>
      <c r="P364" s="162">
        <f>F4A!P364+F4B!P364</f>
        <v>0.12955</v>
      </c>
      <c r="Q364" s="167">
        <f t="shared" si="30"/>
        <v>0.96194999999999986</v>
      </c>
      <c r="R364" s="166"/>
      <c r="S364" s="166"/>
    </row>
    <row r="365" spans="3:19" hidden="1" x14ac:dyDescent="0.25">
      <c r="C365" s="17" t="s">
        <v>209</v>
      </c>
      <c r="D365" s="17" t="s">
        <v>210</v>
      </c>
      <c r="E365" s="162">
        <f>F4A!E365+F4B!E365</f>
        <v>0</v>
      </c>
      <c r="F365" s="162">
        <f>F4A!F365+F4B!F365</f>
        <v>0</v>
      </c>
      <c r="G365" s="162">
        <f>F4A!G365+F4B!G365</f>
        <v>0</v>
      </c>
      <c r="H365" s="162">
        <f>F4A!H365+F4B!H365</f>
        <v>0</v>
      </c>
      <c r="I365" s="162">
        <f>F4A!I365+F4B!I365</f>
        <v>0</v>
      </c>
      <c r="J365" s="162">
        <f>F4A!J365+F4B!J365</f>
        <v>0</v>
      </c>
      <c r="K365" s="162">
        <f>F4A!K365+F4B!K365</f>
        <v>0</v>
      </c>
      <c r="L365" s="162">
        <f>F4A!L365+F4B!L365</f>
        <v>0</v>
      </c>
      <c r="M365" s="162">
        <f>F4A!M365+F4B!M365</f>
        <v>0</v>
      </c>
      <c r="N365" s="162">
        <f>F4A!N365+F4B!N365</f>
        <v>0</v>
      </c>
      <c r="O365" s="162">
        <f>F4A!O365+F4B!O365</f>
        <v>0</v>
      </c>
      <c r="P365" s="162">
        <f>F4A!P365+F4B!P365</f>
        <v>0</v>
      </c>
      <c r="Q365" s="167">
        <f t="shared" si="30"/>
        <v>0</v>
      </c>
      <c r="R365" s="166"/>
      <c r="S365" s="166"/>
    </row>
    <row r="366" spans="3:19" hidden="1" x14ac:dyDescent="0.25">
      <c r="C366" s="17" t="s">
        <v>211</v>
      </c>
      <c r="D366" s="17" t="s">
        <v>189</v>
      </c>
      <c r="E366" s="162">
        <f>F4A!E366+F4B!E366</f>
        <v>0</v>
      </c>
      <c r="F366" s="162">
        <f>F4A!F366+F4B!F366</f>
        <v>0</v>
      </c>
      <c r="G366" s="162">
        <f>F4A!G366+F4B!G366</f>
        <v>0</v>
      </c>
      <c r="H366" s="162">
        <f>F4A!H366+F4B!H366</f>
        <v>0</v>
      </c>
      <c r="I366" s="162">
        <f>F4A!I366+F4B!I366</f>
        <v>0</v>
      </c>
      <c r="J366" s="162">
        <f>F4A!J366+F4B!J366</f>
        <v>0</v>
      </c>
      <c r="K366" s="162">
        <f>F4A!K366+F4B!K366</f>
        <v>0</v>
      </c>
      <c r="L366" s="162">
        <f>F4A!L366+F4B!L366</f>
        <v>0</v>
      </c>
      <c r="M366" s="162">
        <f>F4A!M366+F4B!M366</f>
        <v>0</v>
      </c>
      <c r="N366" s="162">
        <f>F4A!N366+F4B!N366</f>
        <v>0</v>
      </c>
      <c r="O366" s="162">
        <f>F4A!O366+F4B!O366</f>
        <v>0</v>
      </c>
      <c r="P366" s="162">
        <f>F4A!P366+F4B!P366</f>
        <v>0</v>
      </c>
      <c r="Q366" s="167">
        <f t="shared" si="30"/>
        <v>0</v>
      </c>
      <c r="R366" s="166"/>
      <c r="S366" s="166"/>
    </row>
    <row r="367" spans="3:19" hidden="1" x14ac:dyDescent="0.25">
      <c r="C367" s="17"/>
      <c r="D367" s="17"/>
      <c r="E367" s="162">
        <f>F4A!E367+F4B!E367</f>
        <v>0</v>
      </c>
      <c r="F367" s="162">
        <f>F4A!F367+F4B!F367</f>
        <v>0</v>
      </c>
      <c r="G367" s="162">
        <f>F4A!G367+F4B!G367</f>
        <v>0</v>
      </c>
      <c r="H367" s="162">
        <f>F4A!H367+F4B!H367</f>
        <v>0</v>
      </c>
      <c r="I367" s="162">
        <f>F4A!I367+F4B!I367</f>
        <v>0</v>
      </c>
      <c r="J367" s="162">
        <f>F4A!J367+F4B!J367</f>
        <v>0</v>
      </c>
      <c r="K367" s="162">
        <f>F4A!K367+F4B!K367</f>
        <v>0</v>
      </c>
      <c r="L367" s="162">
        <f>F4A!L367+F4B!L367</f>
        <v>0</v>
      </c>
      <c r="M367" s="162">
        <f>F4A!M367+F4B!M367</f>
        <v>0</v>
      </c>
      <c r="N367" s="162">
        <f>F4A!N367+F4B!N367</f>
        <v>0</v>
      </c>
      <c r="O367" s="162">
        <f>F4A!O367+F4B!O367</f>
        <v>0</v>
      </c>
      <c r="P367" s="162">
        <f>F4A!P367+F4B!P367</f>
        <v>0</v>
      </c>
      <c r="Q367" s="167">
        <f t="shared" si="30"/>
        <v>0</v>
      </c>
      <c r="R367" s="166"/>
      <c r="S367" s="166"/>
    </row>
    <row r="368" spans="3:19" hidden="1" x14ac:dyDescent="0.25">
      <c r="C368" s="17"/>
      <c r="D368" s="17"/>
      <c r="E368" s="162">
        <f>F4A!E368+F4B!E368</f>
        <v>0</v>
      </c>
      <c r="F368" s="162">
        <f>F4A!F368+F4B!F368</f>
        <v>0</v>
      </c>
      <c r="G368" s="162">
        <f>F4A!G368+F4B!G368</f>
        <v>0</v>
      </c>
      <c r="H368" s="162">
        <f>F4A!H368+F4B!H368</f>
        <v>0</v>
      </c>
      <c r="I368" s="162">
        <f>F4A!I368+F4B!I368</f>
        <v>0</v>
      </c>
      <c r="J368" s="162">
        <f>F4A!J368+F4B!J368</f>
        <v>0</v>
      </c>
      <c r="K368" s="162">
        <f>F4A!K368+F4B!K368</f>
        <v>0</v>
      </c>
      <c r="L368" s="162">
        <f>F4A!L368+F4B!L368</f>
        <v>0</v>
      </c>
      <c r="M368" s="162">
        <f>F4A!M368+F4B!M368</f>
        <v>0</v>
      </c>
      <c r="N368" s="162">
        <f>F4A!N368+F4B!N368</f>
        <v>0</v>
      </c>
      <c r="O368" s="162">
        <f>F4A!O368+F4B!O368</f>
        <v>0</v>
      </c>
      <c r="P368" s="162">
        <f>F4A!P368+F4B!P368</f>
        <v>0</v>
      </c>
      <c r="Q368" s="167">
        <f t="shared" ref="Q368:Q373" si="32">SUM(E368:P368)</f>
        <v>0</v>
      </c>
      <c r="R368" s="166"/>
      <c r="S368" s="166"/>
    </row>
    <row r="369" spans="3:19" hidden="1" x14ac:dyDescent="0.25">
      <c r="C369" s="17"/>
      <c r="D369" s="17"/>
      <c r="E369" s="162">
        <f>F4A!E369+F4B!E369</f>
        <v>0</v>
      </c>
      <c r="F369" s="162">
        <f>F4A!F369+F4B!F369</f>
        <v>0</v>
      </c>
      <c r="G369" s="162">
        <f>F4A!G369+F4B!G369</f>
        <v>0</v>
      </c>
      <c r="H369" s="162">
        <f>F4A!H369+F4B!H369</f>
        <v>0</v>
      </c>
      <c r="I369" s="162">
        <f>F4A!I369+F4B!I369</f>
        <v>0</v>
      </c>
      <c r="J369" s="162">
        <f>F4A!J369+F4B!J369</f>
        <v>0</v>
      </c>
      <c r="K369" s="162">
        <f>F4A!K369+F4B!K369</f>
        <v>0</v>
      </c>
      <c r="L369" s="162">
        <f>F4A!L369+F4B!L369</f>
        <v>0</v>
      </c>
      <c r="M369" s="162">
        <f>F4A!M369+F4B!M369</f>
        <v>0</v>
      </c>
      <c r="N369" s="162">
        <f>F4A!N369+F4B!N369</f>
        <v>0</v>
      </c>
      <c r="O369" s="162">
        <f>F4A!O369+F4B!O369</f>
        <v>0</v>
      </c>
      <c r="P369" s="162">
        <f>F4A!P369+F4B!P369</f>
        <v>0</v>
      </c>
      <c r="Q369" s="167">
        <f t="shared" si="32"/>
        <v>0</v>
      </c>
      <c r="R369" s="166"/>
      <c r="S369" s="166"/>
    </row>
    <row r="370" spans="3:19" hidden="1" x14ac:dyDescent="0.25">
      <c r="C370" s="17" t="s">
        <v>226</v>
      </c>
      <c r="D370" s="17" t="s">
        <v>226</v>
      </c>
      <c r="E370" s="162">
        <f>F4A!E370+F4B!E370</f>
        <v>0</v>
      </c>
      <c r="F370" s="162">
        <f>F4A!F370+F4B!F370</f>
        <v>0</v>
      </c>
      <c r="G370" s="162">
        <f>F4A!G370+F4B!G370</f>
        <v>0</v>
      </c>
      <c r="H370" s="162">
        <f>F4A!H370+F4B!H370</f>
        <v>0</v>
      </c>
      <c r="I370" s="162">
        <f>F4A!I370+F4B!I370</f>
        <v>0</v>
      </c>
      <c r="J370" s="162">
        <f>F4A!J370+F4B!J370</f>
        <v>0</v>
      </c>
      <c r="K370" s="162">
        <f>F4A!K370+F4B!K370</f>
        <v>0</v>
      </c>
      <c r="L370" s="162">
        <f>F4A!L370+F4B!L370</f>
        <v>0</v>
      </c>
      <c r="M370" s="162">
        <f>F4A!M370+F4B!M370</f>
        <v>0</v>
      </c>
      <c r="N370" s="162">
        <f>F4A!N370+F4B!N370</f>
        <v>0</v>
      </c>
      <c r="O370" s="162">
        <f>F4A!O370+F4B!O370</f>
        <v>0</v>
      </c>
      <c r="P370" s="162">
        <f>F4A!P370+F4B!P370</f>
        <v>0</v>
      </c>
      <c r="Q370" s="167">
        <f t="shared" si="32"/>
        <v>0</v>
      </c>
      <c r="R370" s="166"/>
      <c r="S370" s="166"/>
    </row>
    <row r="371" spans="3:19" hidden="1" x14ac:dyDescent="0.25">
      <c r="C371" s="751" t="s">
        <v>212</v>
      </c>
      <c r="D371" s="752"/>
      <c r="E371" s="167">
        <f t="shared" ref="E371:P371" si="33">SUM(E354:E370)</f>
        <v>283.77027998000005</v>
      </c>
      <c r="F371" s="167">
        <f t="shared" si="33"/>
        <v>253.02448681999999</v>
      </c>
      <c r="G371" s="167">
        <f t="shared" si="33"/>
        <v>124.76130942</v>
      </c>
      <c r="H371" s="167">
        <f t="shared" si="33"/>
        <v>128.38350609</v>
      </c>
      <c r="I371" s="167">
        <f t="shared" si="33"/>
        <v>190.07336718999997</v>
      </c>
      <c r="J371" s="167">
        <f t="shared" si="33"/>
        <v>135.68933348000002</v>
      </c>
      <c r="K371" s="167">
        <f t="shared" si="33"/>
        <v>157.58112155000001</v>
      </c>
      <c r="L371" s="167">
        <f t="shared" si="33"/>
        <v>125.21098998999999</v>
      </c>
      <c r="M371" s="167">
        <f t="shared" si="33"/>
        <v>126.31962292999999</v>
      </c>
      <c r="N371" s="167">
        <f t="shared" si="33"/>
        <v>206.95628235000001</v>
      </c>
      <c r="O371" s="167">
        <f t="shared" si="33"/>
        <v>387.51832206</v>
      </c>
      <c r="P371" s="167">
        <f t="shared" si="33"/>
        <v>793.45000464291934</v>
      </c>
      <c r="Q371" s="167">
        <f t="shared" si="32"/>
        <v>2912.7386265029195</v>
      </c>
      <c r="R371" s="166"/>
      <c r="S371" s="166"/>
    </row>
    <row r="372" spans="3:19" hidden="1" x14ac:dyDescent="0.25">
      <c r="C372" s="751" t="s">
        <v>219</v>
      </c>
      <c r="D372" s="752"/>
      <c r="E372" s="167">
        <f t="shared" ref="E372:P372" si="34">E371+E352+E335</f>
        <v>579.25568738000004</v>
      </c>
      <c r="F372" s="167">
        <f t="shared" si="34"/>
        <v>461.25109093000003</v>
      </c>
      <c r="G372" s="167">
        <f t="shared" si="34"/>
        <v>349.50962677000001</v>
      </c>
      <c r="H372" s="167">
        <f t="shared" si="34"/>
        <v>323.55822248999999</v>
      </c>
      <c r="I372" s="167">
        <f t="shared" si="34"/>
        <v>412.16334454999998</v>
      </c>
      <c r="J372" s="167">
        <f t="shared" si="34"/>
        <v>385.79897265</v>
      </c>
      <c r="K372" s="167">
        <f t="shared" si="34"/>
        <v>381.84494857999999</v>
      </c>
      <c r="L372" s="167">
        <f t="shared" si="34"/>
        <v>331.81077505999997</v>
      </c>
      <c r="M372" s="167">
        <f t="shared" si="34"/>
        <v>377.28949150000005</v>
      </c>
      <c r="N372" s="167">
        <f t="shared" si="34"/>
        <v>485.45094142000005</v>
      </c>
      <c r="O372" s="167">
        <f t="shared" si="34"/>
        <v>671.63290488000007</v>
      </c>
      <c r="P372" s="167">
        <f t="shared" si="34"/>
        <v>1186.2687658167904</v>
      </c>
      <c r="Q372" s="167">
        <f t="shared" si="32"/>
        <v>5945.8347720267911</v>
      </c>
      <c r="R372" s="166"/>
      <c r="S372" s="166"/>
    </row>
    <row r="373" spans="3:19" hidden="1" x14ac:dyDescent="0.25">
      <c r="C373" s="751" t="s">
        <v>220</v>
      </c>
      <c r="D373" s="752"/>
      <c r="E373" s="167">
        <f t="shared" ref="E373:P373" si="35">E372+E318</f>
        <v>1913.5623973799998</v>
      </c>
      <c r="F373" s="167">
        <f t="shared" si="35"/>
        <v>1290.7463509299998</v>
      </c>
      <c r="G373" s="167">
        <f t="shared" si="35"/>
        <v>1105.7082537700001</v>
      </c>
      <c r="H373" s="167">
        <f t="shared" si="35"/>
        <v>1075.4725784899997</v>
      </c>
      <c r="I373" s="167">
        <f t="shared" si="35"/>
        <v>1548.95042835</v>
      </c>
      <c r="J373" s="167">
        <f t="shared" si="35"/>
        <v>1453.9338826499998</v>
      </c>
      <c r="K373" s="167">
        <f t="shared" si="35"/>
        <v>1303.7855605799998</v>
      </c>
      <c r="L373" s="167">
        <f t="shared" si="35"/>
        <v>1104.5636310599998</v>
      </c>
      <c r="M373" s="167">
        <f t="shared" si="35"/>
        <v>1541.3149694999997</v>
      </c>
      <c r="N373" s="167">
        <f t="shared" si="35"/>
        <v>1841.6730824200004</v>
      </c>
      <c r="O373" s="167">
        <f t="shared" si="35"/>
        <v>2173.1397808800002</v>
      </c>
      <c r="P373" s="167">
        <f t="shared" si="35"/>
        <v>2897.1004788167902</v>
      </c>
      <c r="Q373" s="167">
        <f t="shared" si="32"/>
        <v>19249.951394826792</v>
      </c>
      <c r="R373" s="166"/>
      <c r="S373" s="166"/>
    </row>
    <row r="374" spans="3:19" hidden="1" x14ac:dyDescent="0.25">
      <c r="C374" s="25"/>
      <c r="D374" s="25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</row>
    <row r="375" spans="3:19" hidden="1" x14ac:dyDescent="0.25">
      <c r="C375" s="14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9" t="s">
        <v>229</v>
      </c>
      <c r="R375" s="166"/>
      <c r="S375" s="166"/>
    </row>
    <row r="376" spans="3:19" x14ac:dyDescent="0.25">
      <c r="C376" s="743" t="s">
        <v>163</v>
      </c>
      <c r="D376" s="744"/>
      <c r="E376" s="769" t="s">
        <v>1218</v>
      </c>
      <c r="F376" s="769"/>
      <c r="G376" s="769"/>
      <c r="H376" s="769"/>
      <c r="I376" s="769"/>
      <c r="J376" s="769"/>
      <c r="K376" s="769"/>
      <c r="L376" s="769"/>
      <c r="M376" s="769"/>
      <c r="N376" s="769"/>
      <c r="O376" s="769"/>
      <c r="P376" s="769"/>
      <c r="Q376" s="769"/>
      <c r="R376" s="166"/>
      <c r="S376" s="166"/>
    </row>
    <row r="377" spans="3:19" x14ac:dyDescent="0.25">
      <c r="C377" s="745"/>
      <c r="D377" s="746"/>
      <c r="E377" s="560" t="s">
        <v>239</v>
      </c>
      <c r="F377" s="560" t="s">
        <v>240</v>
      </c>
      <c r="G377" s="560" t="s">
        <v>241</v>
      </c>
      <c r="H377" s="560" t="s">
        <v>242</v>
      </c>
      <c r="I377" s="560" t="s">
        <v>243</v>
      </c>
      <c r="J377" s="560" t="s">
        <v>244</v>
      </c>
      <c r="K377" s="560" t="s">
        <v>245</v>
      </c>
      <c r="L377" s="560" t="s">
        <v>246</v>
      </c>
      <c r="M377" s="560" t="s">
        <v>247</v>
      </c>
      <c r="N377" s="560" t="s">
        <v>248</v>
      </c>
      <c r="O377" s="560" t="s">
        <v>249</v>
      </c>
      <c r="P377" s="560" t="s">
        <v>250</v>
      </c>
      <c r="Q377" s="560" t="s">
        <v>251</v>
      </c>
      <c r="R377" s="166"/>
      <c r="S377" s="166"/>
    </row>
    <row r="378" spans="3:19" x14ac:dyDescent="0.25">
      <c r="C378" s="747"/>
      <c r="D378" s="748"/>
      <c r="E378" s="560" t="s">
        <v>24</v>
      </c>
      <c r="F378" s="560" t="s">
        <v>24</v>
      </c>
      <c r="G378" s="560" t="s">
        <v>24</v>
      </c>
      <c r="H378" s="560" t="s">
        <v>24</v>
      </c>
      <c r="I378" s="560" t="s">
        <v>24</v>
      </c>
      <c r="J378" s="560" t="s">
        <v>24</v>
      </c>
      <c r="K378" s="560" t="s">
        <v>24</v>
      </c>
      <c r="L378" s="560" t="s">
        <v>24</v>
      </c>
      <c r="M378" s="560" t="s">
        <v>24</v>
      </c>
      <c r="N378" s="560" t="s">
        <v>24</v>
      </c>
      <c r="O378" s="560" t="s">
        <v>24</v>
      </c>
      <c r="P378" s="560" t="s">
        <v>24</v>
      </c>
      <c r="Q378" s="560" t="s">
        <v>24</v>
      </c>
      <c r="R378" s="166"/>
      <c r="S378" s="166"/>
    </row>
    <row r="379" spans="3:19" x14ac:dyDescent="0.25">
      <c r="C379" s="739" t="s">
        <v>171</v>
      </c>
      <c r="D379" s="740"/>
      <c r="E379" s="553"/>
      <c r="F379" s="553"/>
      <c r="G379" s="553"/>
      <c r="H379" s="553"/>
      <c r="I379" s="553"/>
      <c r="J379" s="553"/>
      <c r="K379" s="553"/>
      <c r="L379" s="553"/>
      <c r="M379" s="553"/>
      <c r="N379" s="553"/>
      <c r="O379" s="553"/>
      <c r="P379" s="553"/>
      <c r="Q379" s="561">
        <f t="shared" ref="Q379:Q410" si="36">SUM(E379:P379)</f>
        <v>0</v>
      </c>
      <c r="R379" s="166"/>
      <c r="S379" s="166"/>
    </row>
    <row r="380" spans="3:19" x14ac:dyDescent="0.25">
      <c r="C380" s="556" t="s">
        <v>172</v>
      </c>
      <c r="D380" s="556" t="s">
        <v>173</v>
      </c>
      <c r="E380" s="553">
        <f>F4A!E380+F4B!E380</f>
        <v>337.61115799999993</v>
      </c>
      <c r="F380" s="553">
        <f>F4A!F380+F4B!F380</f>
        <v>369.44492999999994</v>
      </c>
      <c r="G380" s="553">
        <f>F4A!G380+F4B!G380</f>
        <v>463.25779699999998</v>
      </c>
      <c r="H380" s="553">
        <f>F4A!H380+F4B!H380</f>
        <v>409.38024099999996</v>
      </c>
      <c r="I380" s="553">
        <f>F4A!I380+F4B!I380</f>
        <v>335.71168599999999</v>
      </c>
      <c r="J380" s="553">
        <f>F4A!J380+F4B!J380</f>
        <v>375.87584900000002</v>
      </c>
      <c r="K380" s="553">
        <f>F4A!K380+F4B!K380</f>
        <v>344.005742</v>
      </c>
      <c r="L380" s="553">
        <f>F4A!L380+F4B!L380</f>
        <v>341.45521200000002</v>
      </c>
      <c r="M380" s="553">
        <f>F4A!M380+F4B!M380</f>
        <v>291.04520300000001</v>
      </c>
      <c r="N380" s="553">
        <f>F4A!N380+F4B!N380</f>
        <v>236.07568600000002</v>
      </c>
      <c r="O380" s="553">
        <f>F4A!O380+F4B!O380</f>
        <v>284.42436199999997</v>
      </c>
      <c r="P380" s="553">
        <f>F4A!P380+F4B!P380</f>
        <v>291.71708599999999</v>
      </c>
      <c r="Q380" s="561">
        <f t="shared" si="36"/>
        <v>4080.0049519999998</v>
      </c>
      <c r="R380" s="166"/>
      <c r="S380" s="166"/>
    </row>
    <row r="381" spans="3:19" x14ac:dyDescent="0.25">
      <c r="C381" s="556" t="s">
        <v>174</v>
      </c>
      <c r="D381" s="556" t="s">
        <v>175</v>
      </c>
      <c r="E381" s="553">
        <f>F4A!E381+F4B!E381</f>
        <v>79.114322999999999</v>
      </c>
      <c r="F381" s="553">
        <f>F4A!F381+F4B!F381</f>
        <v>81.664203999999998</v>
      </c>
      <c r="G381" s="553">
        <f>F4A!G381+F4B!G381</f>
        <v>97.534172000000012</v>
      </c>
      <c r="H381" s="553">
        <f>F4A!H381+F4B!H381</f>
        <v>88.424800000000019</v>
      </c>
      <c r="I381" s="553">
        <f>F4A!I381+F4B!I381</f>
        <v>75.685324999999992</v>
      </c>
      <c r="J381" s="553">
        <f>F4A!J381+F4B!J381</f>
        <v>84.373867999999987</v>
      </c>
      <c r="K381" s="553">
        <f>F4A!K381+F4B!K381</f>
        <v>78.419490999999994</v>
      </c>
      <c r="L381" s="553">
        <f>F4A!L381+F4B!L381</f>
        <v>81.137627000000009</v>
      </c>
      <c r="M381" s="553">
        <f>F4A!M381+F4B!M381</f>
        <v>74.032184999999984</v>
      </c>
      <c r="N381" s="553">
        <f>F4A!N381+F4B!N381</f>
        <v>66.940488999999999</v>
      </c>
      <c r="O381" s="553">
        <f>F4A!O381+F4B!O381</f>
        <v>72.828187999999997</v>
      </c>
      <c r="P381" s="553">
        <f>F4A!P381+F4B!P381</f>
        <v>75.904477999999983</v>
      </c>
      <c r="Q381" s="561">
        <f t="shared" si="36"/>
        <v>956.05915000000005</v>
      </c>
      <c r="R381" s="166"/>
      <c r="S381" s="166"/>
    </row>
    <row r="382" spans="3:19" x14ac:dyDescent="0.25">
      <c r="C382" s="556" t="s">
        <v>176</v>
      </c>
      <c r="D382" s="556" t="s">
        <v>177</v>
      </c>
      <c r="E382" s="553">
        <f>F4A!E382+F4B!E382</f>
        <v>21.064056000000004</v>
      </c>
      <c r="F382" s="553">
        <f>F4A!F382+F4B!F382</f>
        <v>20.522403999999998</v>
      </c>
      <c r="G382" s="553">
        <f>F4A!G382+F4B!G382</f>
        <v>22.623596999999993</v>
      </c>
      <c r="H382" s="553">
        <f>F4A!H382+F4B!H382</f>
        <v>19.063603999999991</v>
      </c>
      <c r="I382" s="553">
        <f>F4A!I382+F4B!I382</f>
        <v>16.437371000000002</v>
      </c>
      <c r="J382" s="553">
        <f>F4A!J382+F4B!J382</f>
        <v>18.034071000000001</v>
      </c>
      <c r="K382" s="553">
        <f>F4A!K382+F4B!K382</f>
        <v>15.926697999999998</v>
      </c>
      <c r="L382" s="553">
        <f>F4A!L382+F4B!L382</f>
        <v>18.406926999999996</v>
      </c>
      <c r="M382" s="553">
        <f>F4A!M382+F4B!M382</f>
        <v>19.662627000000004</v>
      </c>
      <c r="N382" s="553">
        <f>F4A!N382+F4B!N382</f>
        <v>25.262725999999994</v>
      </c>
      <c r="O382" s="553">
        <f>F4A!O382+F4B!O382</f>
        <v>23.718239000000004</v>
      </c>
      <c r="P382" s="553">
        <f>F4A!P382+F4B!P382</f>
        <v>19.545201000000006</v>
      </c>
      <c r="Q382" s="561">
        <f t="shared" si="36"/>
        <v>240.26752099999999</v>
      </c>
      <c r="R382" s="166"/>
      <c r="S382" s="166"/>
    </row>
    <row r="383" spans="3:19" x14ac:dyDescent="0.25">
      <c r="C383" s="556" t="s">
        <v>178</v>
      </c>
      <c r="D383" s="556" t="s">
        <v>179</v>
      </c>
      <c r="E383" s="553">
        <f>F4A!E383+F4B!E383</f>
        <v>0.69751499999999989</v>
      </c>
      <c r="F383" s="553">
        <f>F4A!F383+F4B!F383</f>
        <v>0.69328000000000012</v>
      </c>
      <c r="G383" s="553">
        <f>F4A!G383+F4B!G383</f>
        <v>0.80247900000000016</v>
      </c>
      <c r="H383" s="553">
        <f>F4A!H383+F4B!H383</f>
        <v>0.74271299999999996</v>
      </c>
      <c r="I383" s="553">
        <f>F4A!I383+F4B!I383</f>
        <v>0.71364099999999997</v>
      </c>
      <c r="J383" s="553">
        <f>F4A!J383+F4B!J383</f>
        <v>0.76668500000000017</v>
      </c>
      <c r="K383" s="553">
        <f>F4A!K383+F4B!K383</f>
        <v>0.68058399999999997</v>
      </c>
      <c r="L383" s="553">
        <f>F4A!L383+F4B!L383</f>
        <v>0.66631600000000002</v>
      </c>
      <c r="M383" s="553">
        <f>F4A!M383+F4B!M383</f>
        <v>0.64500900000000017</v>
      </c>
      <c r="N383" s="553">
        <f>F4A!N383+F4B!N383</f>
        <v>0.61515299999999995</v>
      </c>
      <c r="O383" s="553">
        <f>F4A!O383+F4B!O383</f>
        <v>0.64616599999999991</v>
      </c>
      <c r="P383" s="553">
        <f>F4A!P383+F4B!P383</f>
        <v>0.65661599999999998</v>
      </c>
      <c r="Q383" s="561">
        <f t="shared" si="36"/>
        <v>8.3261570000000003</v>
      </c>
      <c r="R383" s="166"/>
      <c r="S383" s="166"/>
    </row>
    <row r="384" spans="3:19" x14ac:dyDescent="0.25">
      <c r="C384" s="556" t="s">
        <v>180</v>
      </c>
      <c r="D384" s="556" t="s">
        <v>181</v>
      </c>
      <c r="E384" s="553">
        <f>F4A!E384+F4B!E384</f>
        <v>727.85154749842286</v>
      </c>
      <c r="F384" s="553">
        <f>F4A!F384+F4B!F384</f>
        <v>259.20800000000003</v>
      </c>
      <c r="G384" s="553">
        <f>F4A!G384+F4B!G384</f>
        <v>305.685</v>
      </c>
      <c r="H384" s="553">
        <f>F4A!H384+F4B!H384</f>
        <v>410.39100000000002</v>
      </c>
      <c r="I384" s="553">
        <f>F4A!I384+F4B!I384</f>
        <v>996.88799999999992</v>
      </c>
      <c r="J384" s="553">
        <f>F4A!J384+F4B!J384</f>
        <v>623.03300000000002</v>
      </c>
      <c r="K384" s="553">
        <f>F4A!K384+F4B!K384</f>
        <v>1124.2699999999998</v>
      </c>
      <c r="L384" s="553">
        <f>F4A!L384+F4B!L384</f>
        <v>478.21299999999991</v>
      </c>
      <c r="M384" s="553">
        <f>F4A!M384+F4B!M384</f>
        <v>688.51599999999996</v>
      </c>
      <c r="N384" s="553">
        <f>F4A!N384+F4B!N384</f>
        <v>1125.3499999999999</v>
      </c>
      <c r="O384" s="553">
        <f>F4A!O384+F4B!O384</f>
        <v>1226.6969999999997</v>
      </c>
      <c r="P384" s="553">
        <f>F4A!P384+F4B!P384</f>
        <v>1480.9286346352885</v>
      </c>
      <c r="Q384" s="561">
        <f t="shared" si="36"/>
        <v>9447.0311821337109</v>
      </c>
      <c r="R384" s="166"/>
      <c r="S384" s="166"/>
    </row>
    <row r="385" spans="3:19" x14ac:dyDescent="0.25">
      <c r="C385" s="556" t="s">
        <v>182</v>
      </c>
      <c r="D385" s="556" t="s">
        <v>183</v>
      </c>
      <c r="E385" s="553">
        <f>F4A!E385+F4B!E385</f>
        <v>31.970800000000004</v>
      </c>
      <c r="F385" s="553">
        <f>F4A!F385+F4B!F385</f>
        <v>29.647422000000002</v>
      </c>
      <c r="G385" s="553">
        <f>F4A!G385+F4B!G385</f>
        <v>31.611483</v>
      </c>
      <c r="H385" s="553">
        <f>F4A!H385+F4B!H385</f>
        <v>29.750737999999998</v>
      </c>
      <c r="I385" s="553">
        <f>F4A!I385+F4B!I385</f>
        <v>27.828939000000005</v>
      </c>
      <c r="J385" s="553">
        <f>F4A!J385+F4B!J385</f>
        <v>29.305672000000001</v>
      </c>
      <c r="K385" s="553">
        <f>F4A!K385+F4B!K385</f>
        <v>28.820459000000003</v>
      </c>
      <c r="L385" s="553">
        <f>F4A!L385+F4B!L385</f>
        <v>32.300114999999998</v>
      </c>
      <c r="M385" s="553">
        <f>F4A!M385+F4B!M385</f>
        <v>31.642415</v>
      </c>
      <c r="N385" s="553">
        <f>F4A!N385+F4B!N385</f>
        <v>31.586566000000001</v>
      </c>
      <c r="O385" s="553">
        <f>F4A!O385+F4B!O385</f>
        <v>32.458660999999999</v>
      </c>
      <c r="P385" s="553">
        <f>F4A!P385+F4B!P385</f>
        <v>30.868248000000001</v>
      </c>
      <c r="Q385" s="561">
        <f t="shared" si="36"/>
        <v>367.791518</v>
      </c>
      <c r="R385" s="166"/>
      <c r="S385" s="166"/>
    </row>
    <row r="386" spans="3:19" x14ac:dyDescent="0.25">
      <c r="C386" s="556" t="s">
        <v>184</v>
      </c>
      <c r="D386" s="556" t="s">
        <v>185</v>
      </c>
      <c r="E386" s="553">
        <f>F4A!E386+F4B!E386</f>
        <v>6.1874949999999993</v>
      </c>
      <c r="F386" s="553">
        <f>F4A!F386+F4B!F386</f>
        <v>4.6810619999999998</v>
      </c>
      <c r="G386" s="553">
        <f>F4A!G386+F4B!G386</f>
        <v>3.297283999999999</v>
      </c>
      <c r="H386" s="553">
        <f>F4A!H386+F4B!H386</f>
        <v>4.6932879999999999</v>
      </c>
      <c r="I386" s="553">
        <f>F4A!I386+F4B!I386</f>
        <v>5.5355599999999994</v>
      </c>
      <c r="J386" s="553">
        <f>F4A!J386+F4B!J386</f>
        <v>6.3873689999999996</v>
      </c>
      <c r="K386" s="553">
        <f>F4A!K386+F4B!K386</f>
        <v>6.2720549999999999</v>
      </c>
      <c r="L386" s="553">
        <f>F4A!L386+F4B!L386</f>
        <v>4.6147600000000004</v>
      </c>
      <c r="M386" s="553">
        <f>F4A!M386+F4B!M386</f>
        <v>5.71915</v>
      </c>
      <c r="N386" s="553">
        <f>F4A!N386+F4B!N386</f>
        <v>4.8563859999999988</v>
      </c>
      <c r="O386" s="553">
        <f>F4A!O386+F4B!O386</f>
        <v>4.7530290000000006</v>
      </c>
      <c r="P386" s="553">
        <f>F4A!P386+F4B!P386</f>
        <v>5.9142509999999984</v>
      </c>
      <c r="Q386" s="561">
        <f t="shared" si="36"/>
        <v>62.911689000000003</v>
      </c>
      <c r="R386" s="166"/>
      <c r="S386" s="166"/>
    </row>
    <row r="387" spans="3:19" x14ac:dyDescent="0.25">
      <c r="C387" s="556" t="s">
        <v>186</v>
      </c>
      <c r="D387" s="556" t="s">
        <v>187</v>
      </c>
      <c r="E387" s="553">
        <f>F4A!E387+F4B!E387</f>
        <v>1.1198210000000002</v>
      </c>
      <c r="F387" s="553">
        <f>F4A!F387+F4B!F387</f>
        <v>1.1130349999999998</v>
      </c>
      <c r="G387" s="553">
        <f>F4A!G387+F4B!G387</f>
        <v>1.347539</v>
      </c>
      <c r="H387" s="553">
        <f>F4A!H387+F4B!H387</f>
        <v>1.2584259999999998</v>
      </c>
      <c r="I387" s="553">
        <f>F4A!I387+F4B!I387</f>
        <v>1.135866</v>
      </c>
      <c r="J387" s="553">
        <f>F4A!J387+F4B!J387</f>
        <v>1.2681900000000002</v>
      </c>
      <c r="K387" s="553">
        <f>F4A!K387+F4B!K387</f>
        <v>1.2276680000000002</v>
      </c>
      <c r="L387" s="553">
        <f>F4A!L387+F4B!L387</f>
        <v>1.263682</v>
      </c>
      <c r="M387" s="553">
        <f>F4A!M387+F4B!M387</f>
        <v>1.0292410000000001</v>
      </c>
      <c r="N387" s="553">
        <f>F4A!N387+F4B!N387</f>
        <v>1.049382</v>
      </c>
      <c r="O387" s="553">
        <f>F4A!O387+F4B!O387</f>
        <v>1.1728370000000001</v>
      </c>
      <c r="P387" s="553">
        <f>F4A!P387+F4B!P387</f>
        <v>1.1699809999999999</v>
      </c>
      <c r="Q387" s="561">
        <f t="shared" si="36"/>
        <v>14.155667999999999</v>
      </c>
      <c r="R387" s="166"/>
      <c r="S387" s="166"/>
    </row>
    <row r="388" spans="3:19" x14ac:dyDescent="0.25">
      <c r="C388" s="556" t="s">
        <v>188</v>
      </c>
      <c r="D388" s="556" t="s">
        <v>189</v>
      </c>
      <c r="E388" s="553">
        <f>F4A!E388+F4B!E388</f>
        <v>5.5849999999999997E-3</v>
      </c>
      <c r="F388" s="553">
        <f>F4A!F388+F4B!F388</f>
        <v>7.6960000000000006E-3</v>
      </c>
      <c r="G388" s="553">
        <f>F4A!G388+F4B!G388</f>
        <v>1.0221000000000001E-2</v>
      </c>
      <c r="H388" s="553">
        <f>F4A!H388+F4B!H388</f>
        <v>9.3200000000000002E-3</v>
      </c>
      <c r="I388" s="553">
        <f>F4A!I388+F4B!I388</f>
        <v>9.6819999999999996E-3</v>
      </c>
      <c r="J388" s="553">
        <f>F4A!J388+F4B!J388</f>
        <v>1.0625000000000001E-2</v>
      </c>
      <c r="K388" s="553">
        <f>F4A!K388+F4B!K388</f>
        <v>9.0099999999999989E-3</v>
      </c>
      <c r="L388" s="553">
        <f>F4A!L388+F4B!L388</f>
        <v>1.4904000000000001E-2</v>
      </c>
      <c r="M388" s="553">
        <f>F4A!M388+F4B!M388</f>
        <v>1.2573000000000001E-2</v>
      </c>
      <c r="N388" s="553">
        <f>F4A!N388+F4B!N388</f>
        <v>1.3364000000000001E-2</v>
      </c>
      <c r="O388" s="553">
        <f>F4A!O388+F4B!O388</f>
        <v>1.5465000000000003E-2</v>
      </c>
      <c r="P388" s="553">
        <f>F4A!P388+F4B!P388</f>
        <v>1.4304999999999998E-2</v>
      </c>
      <c r="Q388" s="561">
        <f t="shared" si="36"/>
        <v>0.13275000000000001</v>
      </c>
      <c r="R388" s="166"/>
      <c r="S388" s="166"/>
    </row>
    <row r="389" spans="3:19" hidden="1" x14ac:dyDescent="0.25">
      <c r="C389" s="556"/>
      <c r="D389" s="556"/>
      <c r="E389" s="553">
        <f>F4A!E389+F4B!E389</f>
        <v>0</v>
      </c>
      <c r="F389" s="553">
        <f>F4A!F389+F4B!F389</f>
        <v>0</v>
      </c>
      <c r="G389" s="553">
        <f>F4A!G389+F4B!G389</f>
        <v>0</v>
      </c>
      <c r="H389" s="553">
        <f>F4A!H389+F4B!H389</f>
        <v>0</v>
      </c>
      <c r="I389" s="553">
        <f>F4A!I389+F4B!I389</f>
        <v>0</v>
      </c>
      <c r="J389" s="553">
        <f>F4A!J389+F4B!J389</f>
        <v>0</v>
      </c>
      <c r="K389" s="553">
        <f>F4A!K389+F4B!K389</f>
        <v>0</v>
      </c>
      <c r="L389" s="553">
        <f>F4A!L389+F4B!L389</f>
        <v>0</v>
      </c>
      <c r="M389" s="553">
        <f>F4A!M389+F4B!M389</f>
        <v>0</v>
      </c>
      <c r="N389" s="553">
        <f>F4A!N389+F4B!N389</f>
        <v>0</v>
      </c>
      <c r="O389" s="553">
        <f>F4A!O389+F4B!O389</f>
        <v>0</v>
      </c>
      <c r="P389" s="553">
        <f>F4A!P389+F4B!P389</f>
        <v>0</v>
      </c>
      <c r="Q389" s="561">
        <f t="shared" si="36"/>
        <v>0</v>
      </c>
      <c r="R389" s="166"/>
      <c r="S389" s="166"/>
    </row>
    <row r="390" spans="3:19" hidden="1" x14ac:dyDescent="0.25">
      <c r="C390" s="556"/>
      <c r="D390" s="556"/>
      <c r="E390" s="553">
        <f>F4A!E390+F4B!E390</f>
        <v>0</v>
      </c>
      <c r="F390" s="553">
        <f>F4A!F390+F4B!F390</f>
        <v>0</v>
      </c>
      <c r="G390" s="553">
        <f>F4A!G390+F4B!G390</f>
        <v>0</v>
      </c>
      <c r="H390" s="553">
        <f>F4A!H390+F4B!H390</f>
        <v>0</v>
      </c>
      <c r="I390" s="553">
        <f>F4A!I390+F4B!I390</f>
        <v>0</v>
      </c>
      <c r="J390" s="553">
        <f>F4A!J390+F4B!J390</f>
        <v>0</v>
      </c>
      <c r="K390" s="553">
        <f>F4A!K390+F4B!K390</f>
        <v>0</v>
      </c>
      <c r="L390" s="553">
        <f>F4A!L390+F4B!L390</f>
        <v>0</v>
      </c>
      <c r="M390" s="553">
        <f>F4A!M390+F4B!M390</f>
        <v>0</v>
      </c>
      <c r="N390" s="553">
        <f>F4A!N390+F4B!N390</f>
        <v>0</v>
      </c>
      <c r="O390" s="553">
        <f>F4A!O390+F4B!O390</f>
        <v>0</v>
      </c>
      <c r="P390" s="553">
        <f>F4A!P390+F4B!P390</f>
        <v>0</v>
      </c>
      <c r="Q390" s="561">
        <f t="shared" si="36"/>
        <v>0</v>
      </c>
      <c r="R390" s="166"/>
      <c r="S390" s="166"/>
    </row>
    <row r="391" spans="3:19" hidden="1" x14ac:dyDescent="0.25">
      <c r="C391" s="556"/>
      <c r="D391" s="556"/>
      <c r="E391" s="553">
        <f>F4A!E391+F4B!E391</f>
        <v>0</v>
      </c>
      <c r="F391" s="553">
        <f>F4A!F391+F4B!F391</f>
        <v>0</v>
      </c>
      <c r="G391" s="553">
        <f>F4A!G391+F4B!G391</f>
        <v>0</v>
      </c>
      <c r="H391" s="553">
        <f>F4A!H391+F4B!H391</f>
        <v>0</v>
      </c>
      <c r="I391" s="553">
        <f>F4A!I391+F4B!I391</f>
        <v>0</v>
      </c>
      <c r="J391" s="553">
        <f>F4A!J391+F4B!J391</f>
        <v>0</v>
      </c>
      <c r="K391" s="553">
        <f>F4A!K391+F4B!K391</f>
        <v>0</v>
      </c>
      <c r="L391" s="553">
        <f>F4A!L391+F4B!L391</f>
        <v>0</v>
      </c>
      <c r="M391" s="553">
        <f>F4A!M391+F4B!M391</f>
        <v>0</v>
      </c>
      <c r="N391" s="553">
        <f>F4A!N391+F4B!N391</f>
        <v>0</v>
      </c>
      <c r="O391" s="553">
        <f>F4A!O391+F4B!O391</f>
        <v>0</v>
      </c>
      <c r="P391" s="553">
        <f>F4A!P391+F4B!P391</f>
        <v>0</v>
      </c>
      <c r="Q391" s="561">
        <f t="shared" si="36"/>
        <v>0</v>
      </c>
      <c r="R391" s="166"/>
      <c r="S391" s="166"/>
    </row>
    <row r="392" spans="3:19" hidden="1" x14ac:dyDescent="0.25">
      <c r="C392" s="556" t="s">
        <v>226</v>
      </c>
      <c r="D392" s="556" t="s">
        <v>226</v>
      </c>
      <c r="E392" s="553">
        <f>F4A!E392+F4B!E392</f>
        <v>0</v>
      </c>
      <c r="F392" s="553">
        <f>F4A!F392+F4B!F392</f>
        <v>0</v>
      </c>
      <c r="G392" s="553">
        <f>F4A!G392+F4B!G392</f>
        <v>0</v>
      </c>
      <c r="H392" s="553">
        <f>F4A!H392+F4B!H392</f>
        <v>0</v>
      </c>
      <c r="I392" s="553">
        <f>F4A!I392+F4B!I392</f>
        <v>0</v>
      </c>
      <c r="J392" s="553">
        <f>F4A!J392+F4B!J392</f>
        <v>0</v>
      </c>
      <c r="K392" s="553">
        <f>F4A!K392+F4B!K392</f>
        <v>0</v>
      </c>
      <c r="L392" s="553">
        <f>F4A!L392+F4B!L392</f>
        <v>0</v>
      </c>
      <c r="M392" s="553">
        <f>F4A!M392+F4B!M392</f>
        <v>0</v>
      </c>
      <c r="N392" s="553">
        <f>F4A!N392+F4B!N392</f>
        <v>0</v>
      </c>
      <c r="O392" s="553">
        <f>F4A!O392+F4B!O392</f>
        <v>0</v>
      </c>
      <c r="P392" s="553">
        <f>F4A!P392+F4B!P392</f>
        <v>0</v>
      </c>
      <c r="Q392" s="561">
        <f t="shared" si="36"/>
        <v>0</v>
      </c>
      <c r="R392" s="166"/>
      <c r="S392" s="166"/>
    </row>
    <row r="393" spans="3:19" x14ac:dyDescent="0.25">
      <c r="C393" s="739" t="s">
        <v>190</v>
      </c>
      <c r="D393" s="740"/>
      <c r="E393" s="561">
        <f t="shared" ref="E393:P393" si="37">SUM(E380:E392)</f>
        <v>1205.6223004984229</v>
      </c>
      <c r="F393" s="561">
        <f t="shared" si="37"/>
        <v>766.98203299999989</v>
      </c>
      <c r="G393" s="561">
        <f t="shared" si="37"/>
        <v>926.16957200000002</v>
      </c>
      <c r="H393" s="561">
        <f t="shared" si="37"/>
        <v>963.71412999999995</v>
      </c>
      <c r="I393" s="561">
        <f t="shared" si="37"/>
        <v>1459.94607</v>
      </c>
      <c r="J393" s="561">
        <f t="shared" si="37"/>
        <v>1139.055329</v>
      </c>
      <c r="K393" s="561">
        <f t="shared" si="37"/>
        <v>1599.6317069999998</v>
      </c>
      <c r="L393" s="561">
        <f t="shared" si="37"/>
        <v>958.072543</v>
      </c>
      <c r="M393" s="561">
        <f t="shared" si="37"/>
        <v>1112.3044029999999</v>
      </c>
      <c r="N393" s="561">
        <f t="shared" si="37"/>
        <v>1491.7497519999997</v>
      </c>
      <c r="O393" s="561">
        <f t="shared" si="37"/>
        <v>1646.7139469999995</v>
      </c>
      <c r="P393" s="561">
        <f t="shared" si="37"/>
        <v>1906.7188006352883</v>
      </c>
      <c r="Q393" s="561">
        <f t="shared" si="36"/>
        <v>15176.680587133711</v>
      </c>
      <c r="R393" s="166"/>
      <c r="S393" s="166"/>
    </row>
    <row r="394" spans="3:19" x14ac:dyDescent="0.25">
      <c r="C394" s="739" t="s">
        <v>191</v>
      </c>
      <c r="D394" s="740"/>
      <c r="E394" s="553"/>
      <c r="F394" s="553"/>
      <c r="G394" s="553"/>
      <c r="H394" s="553"/>
      <c r="I394" s="553"/>
      <c r="J394" s="553"/>
      <c r="K394" s="553"/>
      <c r="L394" s="553"/>
      <c r="M394" s="553"/>
      <c r="N394" s="553"/>
      <c r="O394" s="553"/>
      <c r="P394" s="553"/>
      <c r="Q394" s="561">
        <f t="shared" si="36"/>
        <v>0</v>
      </c>
      <c r="R394" s="166"/>
      <c r="S394" s="166"/>
    </row>
    <row r="395" spans="3:19" x14ac:dyDescent="0.25">
      <c r="C395" s="556" t="s">
        <v>192</v>
      </c>
      <c r="D395" s="556" t="s">
        <v>193</v>
      </c>
      <c r="E395" s="553">
        <f>F4A!E395+F4B!E395</f>
        <v>85.739670240000024</v>
      </c>
      <c r="F395" s="553">
        <f>F4A!F395+F4B!F395</f>
        <v>76.865275039999986</v>
      </c>
      <c r="G395" s="553">
        <f>F4A!G395+F4B!G395</f>
        <v>83.143414240000013</v>
      </c>
      <c r="H395" s="553">
        <f>F4A!H395+F4B!H395</f>
        <v>82.555034509999999</v>
      </c>
      <c r="I395" s="553">
        <f>F4A!I395+F4B!I395</f>
        <v>86.001242780000013</v>
      </c>
      <c r="J395" s="553">
        <f>F4A!J395+F4B!J395</f>
        <v>82.233624880000008</v>
      </c>
      <c r="K395" s="553">
        <f>F4A!K395+F4B!K395</f>
        <v>86.029680110000001</v>
      </c>
      <c r="L395" s="553">
        <f>F4A!L395+F4B!L395</f>
        <v>90.210195560000003</v>
      </c>
      <c r="M395" s="553">
        <f>F4A!M395+F4B!M395</f>
        <v>101.46957083999999</v>
      </c>
      <c r="N395" s="553">
        <f>F4A!N395+F4B!N395</f>
        <v>107.12371061999998</v>
      </c>
      <c r="O395" s="553">
        <f>F4A!O395+F4B!O395</f>
        <v>96.801977619999988</v>
      </c>
      <c r="P395" s="553">
        <f>F4A!P395+F4B!P395</f>
        <v>83.81168765000001</v>
      </c>
      <c r="Q395" s="561">
        <f t="shared" si="36"/>
        <v>1061.9850840899999</v>
      </c>
      <c r="R395" s="166"/>
      <c r="S395" s="166"/>
    </row>
    <row r="396" spans="3:19" x14ac:dyDescent="0.25">
      <c r="C396" s="556" t="s">
        <v>194</v>
      </c>
      <c r="D396" s="556" t="s">
        <v>195</v>
      </c>
      <c r="E396" s="553">
        <f>F4A!E396+F4B!E396</f>
        <v>0</v>
      </c>
      <c r="F396" s="553">
        <f>F4A!F396+F4B!F396</f>
        <v>0</v>
      </c>
      <c r="G396" s="553">
        <f>F4A!G396+F4B!G396</f>
        <v>0</v>
      </c>
      <c r="H396" s="553">
        <f>F4A!H396+F4B!H396</f>
        <v>0</v>
      </c>
      <c r="I396" s="553">
        <f>F4A!I396+F4B!I396</f>
        <v>0</v>
      </c>
      <c r="J396" s="553">
        <f>F4A!J396+F4B!J396</f>
        <v>0</v>
      </c>
      <c r="K396" s="553">
        <f>F4A!K396+F4B!K396</f>
        <v>0</v>
      </c>
      <c r="L396" s="553">
        <f>F4A!L396+F4B!L396</f>
        <v>0</v>
      </c>
      <c r="M396" s="553">
        <f>F4A!M396+F4B!M396</f>
        <v>0</v>
      </c>
      <c r="N396" s="553">
        <f>F4A!N396+F4B!N396</f>
        <v>0</v>
      </c>
      <c r="O396" s="553">
        <f>F4A!O396+F4B!O396</f>
        <v>0</v>
      </c>
      <c r="P396" s="553">
        <f>F4A!P396+F4B!P396</f>
        <v>0</v>
      </c>
      <c r="Q396" s="561">
        <f t="shared" si="36"/>
        <v>0</v>
      </c>
      <c r="R396" s="166"/>
      <c r="S396" s="166"/>
    </row>
    <row r="397" spans="3:19" x14ac:dyDescent="0.25">
      <c r="C397" s="556" t="s">
        <v>233</v>
      </c>
      <c r="D397" s="556" t="s">
        <v>197</v>
      </c>
      <c r="E397" s="553">
        <f>F4A!E397+F4B!E397</f>
        <v>17.046831500000003</v>
      </c>
      <c r="F397" s="553">
        <f>F4A!F397+F4B!F397</f>
        <v>18.408123860000003</v>
      </c>
      <c r="G397" s="553">
        <f>F4A!G397+F4B!G397</f>
        <v>20.34227284</v>
      </c>
      <c r="H397" s="553">
        <f>F4A!H397+F4B!H397</f>
        <v>16.383497050000003</v>
      </c>
      <c r="I397" s="553">
        <f>F4A!I397+F4B!I397</f>
        <v>17.707839999999997</v>
      </c>
      <c r="J397" s="553">
        <f>F4A!J397+F4B!J397</f>
        <v>17.318968999999999</v>
      </c>
      <c r="K397" s="553">
        <f>F4A!K397+F4B!K397</f>
        <v>18.158021259999998</v>
      </c>
      <c r="L397" s="553">
        <f>F4A!L397+F4B!L397</f>
        <v>16.235536750000001</v>
      </c>
      <c r="M397" s="553">
        <f>F4A!M397+F4B!M397</f>
        <v>13.913398800000001</v>
      </c>
      <c r="N397" s="553">
        <f>F4A!N397+F4B!N397</f>
        <v>14.525394</v>
      </c>
      <c r="O397" s="553">
        <f>F4A!O397+F4B!O397</f>
        <v>15.7582805</v>
      </c>
      <c r="P397" s="553">
        <f>F4A!P397+F4B!P397</f>
        <v>18.481182830000002</v>
      </c>
      <c r="Q397" s="561">
        <f t="shared" si="36"/>
        <v>204.27934839000002</v>
      </c>
      <c r="R397" s="166"/>
      <c r="S397" s="166"/>
    </row>
    <row r="398" spans="3:19" x14ac:dyDescent="0.25">
      <c r="C398" s="556" t="s">
        <v>198</v>
      </c>
      <c r="D398" s="556" t="s">
        <v>199</v>
      </c>
      <c r="E398" s="553">
        <f>F4A!E398+F4B!E398</f>
        <v>6.1190000000000003E-3</v>
      </c>
      <c r="F398" s="553">
        <f>F4A!F398+F4B!F398</f>
        <v>2.8101999999999999E-2</v>
      </c>
      <c r="G398" s="553">
        <f>F4A!G398+F4B!G398</f>
        <v>2.2585999999999995E-2</v>
      </c>
      <c r="H398" s="553">
        <f>F4A!H398+F4B!H398</f>
        <v>2.1766000000000001E-2</v>
      </c>
      <c r="I398" s="553">
        <f>F4A!I398+F4B!I398</f>
        <v>2.4339E-2</v>
      </c>
      <c r="J398" s="553">
        <f>F4A!J398+F4B!J398</f>
        <v>2.2033000000000004E-2</v>
      </c>
      <c r="K398" s="553">
        <f>F4A!K398+F4B!K398</f>
        <v>2.1436999999999998E-2</v>
      </c>
      <c r="L398" s="553">
        <f>F4A!L398+F4B!L398</f>
        <v>1.7954000000000001E-2</v>
      </c>
      <c r="M398" s="553">
        <f>F4A!M398+F4B!M398</f>
        <v>1.9971000000000003E-2</v>
      </c>
      <c r="N398" s="553">
        <f>F4A!N398+F4B!N398</f>
        <v>2.6127999999999998E-2</v>
      </c>
      <c r="O398" s="553">
        <f>F4A!O398+F4B!O398</f>
        <v>2.5822000000000001E-2</v>
      </c>
      <c r="P398" s="553">
        <f>F4A!P398+F4B!P398</f>
        <v>3.1118E-2</v>
      </c>
      <c r="Q398" s="561">
        <f t="shared" si="36"/>
        <v>0.26737499999999997</v>
      </c>
      <c r="R398" s="166"/>
      <c r="S398" s="166"/>
    </row>
    <row r="399" spans="3:19" x14ac:dyDescent="0.25">
      <c r="C399" s="556" t="s">
        <v>200</v>
      </c>
      <c r="D399" s="556" t="s">
        <v>201</v>
      </c>
      <c r="E399" s="553">
        <f>F4A!E399+F4B!E399</f>
        <v>0.72348499999999993</v>
      </c>
      <c r="F399" s="553">
        <f>F4A!F399+F4B!F399</f>
        <v>0.78592300000000004</v>
      </c>
      <c r="G399" s="553">
        <f>F4A!G399+F4B!G399</f>
        <v>0.86079450000000013</v>
      </c>
      <c r="H399" s="553">
        <f>F4A!H399+F4B!H399</f>
        <v>0.72595949999999998</v>
      </c>
      <c r="I399" s="553">
        <f>F4A!I399+F4B!I399</f>
        <v>0.69113500000000005</v>
      </c>
      <c r="J399" s="553">
        <f>F4A!J399+F4B!J399</f>
        <v>0.71928000000000003</v>
      </c>
      <c r="K399" s="553">
        <f>F4A!K399+F4B!K399</f>
        <v>0.72035899999999997</v>
      </c>
      <c r="L399" s="553">
        <f>F4A!L399+F4B!L399</f>
        <v>0.63071600000000005</v>
      </c>
      <c r="M399" s="553">
        <f>F4A!M399+F4B!M399</f>
        <v>0.57216800000000001</v>
      </c>
      <c r="N399" s="553">
        <f>F4A!N399+F4B!N399</f>
        <v>0.60181099999999987</v>
      </c>
      <c r="O399" s="553">
        <f>F4A!O399+F4B!O399</f>
        <v>0.61883999999999995</v>
      </c>
      <c r="P399" s="553">
        <f>F4A!P399+F4B!P399</f>
        <v>0.67726500000000001</v>
      </c>
      <c r="Q399" s="561">
        <f t="shared" si="36"/>
        <v>8.3277359999999998</v>
      </c>
      <c r="R399" s="166"/>
      <c r="S399" s="166"/>
    </row>
    <row r="400" spans="3:19" x14ac:dyDescent="0.25">
      <c r="C400" s="556" t="s">
        <v>202</v>
      </c>
      <c r="D400" s="556" t="s">
        <v>203</v>
      </c>
      <c r="E400" s="553">
        <f>F4A!E400+F4B!E400</f>
        <v>2.8694959999999998</v>
      </c>
      <c r="F400" s="553">
        <f>F4A!F400+F4B!F400</f>
        <v>0.30124899999999999</v>
      </c>
      <c r="G400" s="553">
        <f>F4A!G400+F4B!G400</f>
        <v>0.413267</v>
      </c>
      <c r="H400" s="553">
        <f>F4A!H400+F4B!H400</f>
        <v>0.96440700000000001</v>
      </c>
      <c r="I400" s="553">
        <f>F4A!I400+F4B!I400</f>
        <v>1.9552339999999999</v>
      </c>
      <c r="J400" s="553">
        <f>F4A!J400+F4B!J400</f>
        <v>1.343798</v>
      </c>
      <c r="K400" s="553">
        <f>F4A!K400+F4B!K400</f>
        <v>2.7922435999999999</v>
      </c>
      <c r="L400" s="553">
        <f>F4A!L400+F4B!L400</f>
        <v>1.195738</v>
      </c>
      <c r="M400" s="553">
        <f>F4A!M400+F4B!M400</f>
        <v>1.4618586999999998</v>
      </c>
      <c r="N400" s="553">
        <f>F4A!N400+F4B!N400</f>
        <v>3.7515427999999997</v>
      </c>
      <c r="O400" s="553">
        <f>F4A!O400+F4B!O400</f>
        <v>4.0852820000000003</v>
      </c>
      <c r="P400" s="553">
        <f>F4A!P400+F4B!P400</f>
        <v>4.5289510000000002</v>
      </c>
      <c r="Q400" s="561">
        <f t="shared" si="36"/>
        <v>25.663067099999999</v>
      </c>
      <c r="R400" s="166"/>
      <c r="S400" s="166"/>
    </row>
    <row r="401" spans="3:19" x14ac:dyDescent="0.25">
      <c r="C401" s="556" t="s">
        <v>204</v>
      </c>
      <c r="D401" s="556" t="s">
        <v>205</v>
      </c>
      <c r="E401" s="553">
        <f>F4A!E401+F4B!E401</f>
        <v>13.275296000000001</v>
      </c>
      <c r="F401" s="553">
        <f>F4A!F401+F4B!F401</f>
        <v>13.138759</v>
      </c>
      <c r="G401" s="553">
        <f>F4A!G401+F4B!G401</f>
        <v>13.034138</v>
      </c>
      <c r="H401" s="553">
        <f>F4A!H401+F4B!H401</f>
        <v>12.020168999999999</v>
      </c>
      <c r="I401" s="553">
        <f>F4A!I401+F4B!I401</f>
        <v>12.351711999999999</v>
      </c>
      <c r="J401" s="553">
        <f>F4A!J401+F4B!J401</f>
        <v>12.598532000000001</v>
      </c>
      <c r="K401" s="553">
        <f>F4A!K401+F4B!K401</f>
        <v>13.023673</v>
      </c>
      <c r="L401" s="553">
        <f>F4A!L401+F4B!L401</f>
        <v>12.731928</v>
      </c>
      <c r="M401" s="553">
        <f>F4A!M401+F4B!M401</f>
        <v>12.847969000000001</v>
      </c>
      <c r="N401" s="553">
        <f>F4A!N401+F4B!N401</f>
        <v>13.610018999999999</v>
      </c>
      <c r="O401" s="553">
        <f>F4A!O401+F4B!O401</f>
        <v>12.640878000000001</v>
      </c>
      <c r="P401" s="553">
        <f>F4A!P401+F4B!P401</f>
        <v>13.548292</v>
      </c>
      <c r="Q401" s="561">
        <f t="shared" si="36"/>
        <v>154.82136500000001</v>
      </c>
      <c r="R401" s="166"/>
      <c r="S401" s="166"/>
    </row>
    <row r="402" spans="3:19" x14ac:dyDescent="0.25">
      <c r="C402" s="556" t="s">
        <v>206</v>
      </c>
      <c r="D402" s="556" t="s">
        <v>207</v>
      </c>
      <c r="E402" s="553">
        <f>F4A!E402+F4B!E402</f>
        <v>0.77688599999999997</v>
      </c>
      <c r="F402" s="553">
        <f>F4A!F402+F4B!F402</f>
        <v>0.83904000000000001</v>
      </c>
      <c r="G402" s="553">
        <f>F4A!G402+F4B!G402</f>
        <v>0.93410400000000005</v>
      </c>
      <c r="H402" s="553">
        <f>F4A!H402+F4B!H402</f>
        <v>0.71230000000000004</v>
      </c>
      <c r="I402" s="553">
        <f>F4A!I402+F4B!I402</f>
        <v>0.764567</v>
      </c>
      <c r="J402" s="553">
        <f>F4A!J402+F4B!J402</f>
        <v>0.71884599999999998</v>
      </c>
      <c r="K402" s="553">
        <f>F4A!K402+F4B!K402</f>
        <v>0.73038000000000003</v>
      </c>
      <c r="L402" s="553">
        <f>F4A!L402+F4B!L402</f>
        <v>0.66359299999999999</v>
      </c>
      <c r="M402" s="553">
        <f>F4A!M402+F4B!M402</f>
        <v>0.55238299999999996</v>
      </c>
      <c r="N402" s="553">
        <f>F4A!N402+F4B!N402</f>
        <v>0.62448300000000001</v>
      </c>
      <c r="O402" s="553">
        <f>F4A!O402+F4B!O402</f>
        <v>0.637571</v>
      </c>
      <c r="P402" s="553">
        <f>F4A!P402+F4B!P402</f>
        <v>0.74855300000000002</v>
      </c>
      <c r="Q402" s="561">
        <f t="shared" si="36"/>
        <v>8.7027059999999992</v>
      </c>
      <c r="R402" s="166"/>
      <c r="S402" s="166"/>
    </row>
    <row r="403" spans="3:19" x14ac:dyDescent="0.25">
      <c r="C403" s="556" t="s">
        <v>208</v>
      </c>
      <c r="D403" s="556" t="s">
        <v>187</v>
      </c>
      <c r="E403" s="553">
        <f>F4A!E403+F4B!E403</f>
        <v>1.5610999999999999</v>
      </c>
      <c r="F403" s="553">
        <f>F4A!F403+F4B!F403</f>
        <v>1.462845</v>
      </c>
      <c r="G403" s="553">
        <f>F4A!G403+F4B!G403</f>
        <v>1.394908</v>
      </c>
      <c r="H403" s="553">
        <f>F4A!H403+F4B!H403</f>
        <v>1.353515</v>
      </c>
      <c r="I403" s="553">
        <f>F4A!I403+F4B!I403</f>
        <v>1.490027</v>
      </c>
      <c r="J403" s="553">
        <f>F4A!J403+F4B!J403</f>
        <v>1.473875</v>
      </c>
      <c r="K403" s="553">
        <f>F4A!K403+F4B!K403</f>
        <v>1.4299949999999999</v>
      </c>
      <c r="L403" s="553">
        <f>F4A!L403+F4B!L403</f>
        <v>1.3612569999999999</v>
      </c>
      <c r="M403" s="553">
        <f>F4A!M403+F4B!M403</f>
        <v>1.364538</v>
      </c>
      <c r="N403" s="553">
        <f>F4A!N403+F4B!N403</f>
        <v>1.374131</v>
      </c>
      <c r="O403" s="553">
        <f>F4A!O403+F4B!O403</f>
        <v>1.2489410000000001</v>
      </c>
      <c r="P403" s="553">
        <f>F4A!P403+F4B!P403</f>
        <v>1.1490670000000001</v>
      </c>
      <c r="Q403" s="561">
        <f t="shared" si="36"/>
        <v>16.664199</v>
      </c>
      <c r="R403" s="166"/>
      <c r="S403" s="166"/>
    </row>
    <row r="404" spans="3:19" x14ac:dyDescent="0.25">
      <c r="C404" s="556" t="s">
        <v>209</v>
      </c>
      <c r="D404" s="556" t="s">
        <v>210</v>
      </c>
      <c r="E404" s="553">
        <f>F4A!E404+F4B!E404</f>
        <v>80.023948000000004</v>
      </c>
      <c r="F404" s="553">
        <f>F4A!F404+F4B!F404</f>
        <v>39.971445000000003</v>
      </c>
      <c r="G404" s="553">
        <f>F4A!G404+F4B!G404</f>
        <v>67.803726999999995</v>
      </c>
      <c r="H404" s="553">
        <f>F4A!H404+F4B!H404</f>
        <v>95.462288999999998</v>
      </c>
      <c r="I404" s="553">
        <f>F4A!I404+F4B!I404</f>
        <v>103.812484</v>
      </c>
      <c r="J404" s="553">
        <f>F4A!J404+F4B!J404</f>
        <v>92.310203000000001</v>
      </c>
      <c r="K404" s="553">
        <f>F4A!K404+F4B!K404</f>
        <v>94.214755999999994</v>
      </c>
      <c r="L404" s="553">
        <f>F4A!L404+F4B!L404</f>
        <v>52.971626540000003</v>
      </c>
      <c r="M404" s="553">
        <f>F4A!M404+F4B!M404</f>
        <v>107.46443259999999</v>
      </c>
      <c r="N404" s="553">
        <f>F4A!N404+F4B!N404</f>
        <v>115.04643153999999</v>
      </c>
      <c r="O404" s="553">
        <f>F4A!O404+F4B!O404</f>
        <v>125.28935593999999</v>
      </c>
      <c r="P404" s="553">
        <f>F4A!P404+F4B!P404</f>
        <v>137.0658675</v>
      </c>
      <c r="Q404" s="561">
        <f t="shared" si="36"/>
        <v>1111.43656612</v>
      </c>
      <c r="R404" s="166"/>
      <c r="S404" s="166"/>
    </row>
    <row r="405" spans="3:19" x14ac:dyDescent="0.25">
      <c r="C405" s="556" t="s">
        <v>211</v>
      </c>
      <c r="D405" s="556" t="s">
        <v>189</v>
      </c>
      <c r="E405" s="553">
        <f>F4A!E405+F4B!E405</f>
        <v>0</v>
      </c>
      <c r="F405" s="553">
        <f>F4A!F405+F4B!F405</f>
        <v>0</v>
      </c>
      <c r="G405" s="553">
        <f>F4A!G405+F4B!G405</f>
        <v>0</v>
      </c>
      <c r="H405" s="553">
        <f>F4A!H405+F4B!H405</f>
        <v>0</v>
      </c>
      <c r="I405" s="553">
        <f>F4A!I405+F4B!I405</f>
        <v>0</v>
      </c>
      <c r="J405" s="553">
        <f>F4A!J405+F4B!J405</f>
        <v>0</v>
      </c>
      <c r="K405" s="553">
        <f>F4A!K405+F4B!K405</f>
        <v>0</v>
      </c>
      <c r="L405" s="553">
        <f>F4A!L405+F4B!L405</f>
        <v>0</v>
      </c>
      <c r="M405" s="553">
        <f>F4A!M405+F4B!M405</f>
        <v>0</v>
      </c>
      <c r="N405" s="553">
        <f>F4A!N405+F4B!N405</f>
        <v>0</v>
      </c>
      <c r="O405" s="553">
        <f>F4A!O405+F4B!O405</f>
        <v>0</v>
      </c>
      <c r="P405" s="553">
        <f>F4A!P405+F4B!P405</f>
        <v>0</v>
      </c>
      <c r="Q405" s="561">
        <f t="shared" si="36"/>
        <v>0</v>
      </c>
      <c r="R405" s="166"/>
      <c r="S405" s="166"/>
    </row>
    <row r="406" spans="3:19" hidden="1" x14ac:dyDescent="0.25">
      <c r="C406" s="556"/>
      <c r="D406" s="556"/>
      <c r="E406" s="553">
        <f>F4A!E406+F4B!E406</f>
        <v>0</v>
      </c>
      <c r="F406" s="553">
        <f>F4A!F406+F4B!F406</f>
        <v>0</v>
      </c>
      <c r="G406" s="553">
        <f>F4A!G406+F4B!G406</f>
        <v>0</v>
      </c>
      <c r="H406" s="553">
        <f>F4A!H406+F4B!H406</f>
        <v>0</v>
      </c>
      <c r="I406" s="553">
        <f>F4A!I406+F4B!I406</f>
        <v>0</v>
      </c>
      <c r="J406" s="553">
        <f>F4A!J406+F4B!J406</f>
        <v>0</v>
      </c>
      <c r="K406" s="553">
        <f>F4A!K406+F4B!K406</f>
        <v>0</v>
      </c>
      <c r="L406" s="553">
        <f>F4A!L406+F4B!L406</f>
        <v>0</v>
      </c>
      <c r="M406" s="553">
        <f>F4A!M406+F4B!M406</f>
        <v>0</v>
      </c>
      <c r="N406" s="553">
        <f>F4A!N406+F4B!N406</f>
        <v>0</v>
      </c>
      <c r="O406" s="553">
        <f>F4A!O406+F4B!O406</f>
        <v>0</v>
      </c>
      <c r="P406" s="553">
        <f>F4A!P406+F4B!P406</f>
        <v>0</v>
      </c>
      <c r="Q406" s="561">
        <f t="shared" si="36"/>
        <v>0</v>
      </c>
      <c r="R406" s="166"/>
      <c r="S406" s="166"/>
    </row>
    <row r="407" spans="3:19" hidden="1" x14ac:dyDescent="0.25">
      <c r="C407" s="556"/>
      <c r="D407" s="556"/>
      <c r="E407" s="553">
        <f>F4A!E407+F4B!E407</f>
        <v>0</v>
      </c>
      <c r="F407" s="553">
        <f>F4A!F407+F4B!F407</f>
        <v>0</v>
      </c>
      <c r="G407" s="553">
        <f>F4A!G407+F4B!G407</f>
        <v>0</v>
      </c>
      <c r="H407" s="553">
        <f>F4A!H407+F4B!H407</f>
        <v>0</v>
      </c>
      <c r="I407" s="553">
        <f>F4A!I407+F4B!I407</f>
        <v>0</v>
      </c>
      <c r="J407" s="553">
        <f>F4A!J407+F4B!J407</f>
        <v>0</v>
      </c>
      <c r="K407" s="553">
        <f>F4A!K407+F4B!K407</f>
        <v>0</v>
      </c>
      <c r="L407" s="553">
        <f>F4A!L407+F4B!L407</f>
        <v>0</v>
      </c>
      <c r="M407" s="553">
        <f>F4A!M407+F4B!M407</f>
        <v>0</v>
      </c>
      <c r="N407" s="553">
        <f>F4A!N407+F4B!N407</f>
        <v>0</v>
      </c>
      <c r="O407" s="553">
        <f>F4A!O407+F4B!O407</f>
        <v>0</v>
      </c>
      <c r="P407" s="553">
        <f>F4A!P407+F4B!P407</f>
        <v>0</v>
      </c>
      <c r="Q407" s="561">
        <f t="shared" si="36"/>
        <v>0</v>
      </c>
      <c r="R407" s="166"/>
      <c r="S407" s="166"/>
    </row>
    <row r="408" spans="3:19" hidden="1" x14ac:dyDescent="0.25">
      <c r="C408" s="556"/>
      <c r="D408" s="556"/>
      <c r="E408" s="553">
        <f>F4A!E408+F4B!E408</f>
        <v>0</v>
      </c>
      <c r="F408" s="553">
        <f>F4A!F408+F4B!F408</f>
        <v>0</v>
      </c>
      <c r="G408" s="553">
        <f>F4A!G408+F4B!G408</f>
        <v>0</v>
      </c>
      <c r="H408" s="553">
        <f>F4A!H408+F4B!H408</f>
        <v>0</v>
      </c>
      <c r="I408" s="553">
        <f>F4A!I408+F4B!I408</f>
        <v>0</v>
      </c>
      <c r="J408" s="553">
        <f>F4A!J408+F4B!J408</f>
        <v>0</v>
      </c>
      <c r="K408" s="553">
        <f>F4A!K408+F4B!K408</f>
        <v>0</v>
      </c>
      <c r="L408" s="553">
        <f>F4A!L408+F4B!L408</f>
        <v>0</v>
      </c>
      <c r="M408" s="553">
        <f>F4A!M408+F4B!M408</f>
        <v>0</v>
      </c>
      <c r="N408" s="553">
        <f>F4A!N408+F4B!N408</f>
        <v>0</v>
      </c>
      <c r="O408" s="553">
        <f>F4A!O408+F4B!O408</f>
        <v>0</v>
      </c>
      <c r="P408" s="553">
        <f>F4A!P408+F4B!P408</f>
        <v>0</v>
      </c>
      <c r="Q408" s="561">
        <f t="shared" si="36"/>
        <v>0</v>
      </c>
      <c r="R408" s="166"/>
      <c r="S408" s="166"/>
    </row>
    <row r="409" spans="3:19" hidden="1" x14ac:dyDescent="0.25">
      <c r="C409" s="556" t="s">
        <v>226</v>
      </c>
      <c r="D409" s="556" t="s">
        <v>226</v>
      </c>
      <c r="E409" s="553">
        <f>F4A!E409+F4B!E409</f>
        <v>0</v>
      </c>
      <c r="F409" s="553">
        <f>F4A!F409+F4B!F409</f>
        <v>0</v>
      </c>
      <c r="G409" s="553">
        <f>F4A!G409+F4B!G409</f>
        <v>0</v>
      </c>
      <c r="H409" s="553">
        <f>F4A!H409+F4B!H409</f>
        <v>0</v>
      </c>
      <c r="I409" s="553">
        <f>F4A!I409+F4B!I409</f>
        <v>0</v>
      </c>
      <c r="J409" s="553">
        <f>F4A!J409+F4B!J409</f>
        <v>0</v>
      </c>
      <c r="K409" s="553">
        <f>F4A!K409+F4B!K409</f>
        <v>0</v>
      </c>
      <c r="L409" s="553">
        <f>F4A!L409+F4B!L409</f>
        <v>0</v>
      </c>
      <c r="M409" s="553">
        <f>F4A!M409+F4B!M409</f>
        <v>0</v>
      </c>
      <c r="N409" s="553">
        <f>F4A!N409+F4B!N409</f>
        <v>0</v>
      </c>
      <c r="O409" s="553">
        <f>F4A!O409+F4B!O409</f>
        <v>0</v>
      </c>
      <c r="P409" s="553">
        <f>F4A!P409+F4B!P409</f>
        <v>0</v>
      </c>
      <c r="Q409" s="561">
        <f t="shared" si="36"/>
        <v>0</v>
      </c>
      <c r="R409" s="166"/>
      <c r="S409" s="166"/>
    </row>
    <row r="410" spans="3:19" x14ac:dyDescent="0.25">
      <c r="C410" s="739" t="s">
        <v>212</v>
      </c>
      <c r="D410" s="740"/>
      <c r="E410" s="561">
        <f t="shared" ref="E410:P410" si="38">SUM(E395:E409)</f>
        <v>202.02283174000002</v>
      </c>
      <c r="F410" s="561">
        <f t="shared" si="38"/>
        <v>151.8007619</v>
      </c>
      <c r="G410" s="561">
        <f t="shared" si="38"/>
        <v>187.94921158000002</v>
      </c>
      <c r="H410" s="561">
        <f t="shared" si="38"/>
        <v>210.19893705999999</v>
      </c>
      <c r="I410" s="561">
        <f t="shared" si="38"/>
        <v>224.79858078000001</v>
      </c>
      <c r="J410" s="561">
        <f t="shared" si="38"/>
        <v>208.73916088000001</v>
      </c>
      <c r="K410" s="561">
        <f t="shared" si="38"/>
        <v>217.12054497000003</v>
      </c>
      <c r="L410" s="561">
        <f t="shared" si="38"/>
        <v>176.01854485000001</v>
      </c>
      <c r="M410" s="561">
        <f t="shared" si="38"/>
        <v>239.66628993999996</v>
      </c>
      <c r="N410" s="561">
        <f t="shared" si="38"/>
        <v>256.68365095999997</v>
      </c>
      <c r="O410" s="561">
        <f t="shared" si="38"/>
        <v>257.10694805999998</v>
      </c>
      <c r="P410" s="561">
        <f t="shared" si="38"/>
        <v>260.04198398000005</v>
      </c>
      <c r="Q410" s="561">
        <f t="shared" si="36"/>
        <v>2592.1474466999998</v>
      </c>
      <c r="R410" s="166"/>
      <c r="S410" s="166"/>
    </row>
    <row r="411" spans="3:19" x14ac:dyDescent="0.25">
      <c r="C411" s="739" t="s">
        <v>213</v>
      </c>
      <c r="D411" s="740"/>
      <c r="E411" s="553"/>
      <c r="F411" s="553"/>
      <c r="G411" s="553"/>
      <c r="H411" s="553"/>
      <c r="I411" s="553"/>
      <c r="J411" s="553"/>
      <c r="K411" s="553"/>
      <c r="L411" s="553"/>
      <c r="M411" s="553"/>
      <c r="N411" s="553"/>
      <c r="O411" s="553"/>
      <c r="P411" s="553"/>
      <c r="Q411" s="561">
        <f t="shared" ref="Q411:Q442" si="39">SUM(E411:P411)</f>
        <v>0</v>
      </c>
      <c r="R411" s="166"/>
      <c r="S411" s="166"/>
    </row>
    <row r="412" spans="3:19" x14ac:dyDescent="0.25">
      <c r="C412" s="556" t="s">
        <v>192</v>
      </c>
      <c r="D412" s="556" t="s">
        <v>193</v>
      </c>
      <c r="E412" s="553">
        <f>F4A!E412+F4B!E412</f>
        <v>17.536552</v>
      </c>
      <c r="F412" s="553">
        <f>F4A!F412+F4B!F412</f>
        <v>17.226063999999997</v>
      </c>
      <c r="G412" s="553">
        <f>F4A!G412+F4B!G412</f>
        <v>14.994312000000001</v>
      </c>
      <c r="H412" s="553">
        <f>F4A!H412+F4B!H412</f>
        <v>15.336771000000002</v>
      </c>
      <c r="I412" s="553">
        <f>F4A!I412+F4B!I412</f>
        <v>15.405141999999998</v>
      </c>
      <c r="J412" s="553">
        <f>F4A!J412+F4B!J412</f>
        <v>15.820698</v>
      </c>
      <c r="K412" s="553">
        <f>F4A!K412+F4B!K412</f>
        <v>14.220012999999998</v>
      </c>
      <c r="L412" s="553">
        <f>F4A!L412+F4B!L412</f>
        <v>15.975750000000001</v>
      </c>
      <c r="M412" s="553">
        <f>F4A!M412+F4B!M412</f>
        <v>16.345948</v>
      </c>
      <c r="N412" s="553">
        <f>F4A!N412+F4B!N412</f>
        <v>17.395820000000001</v>
      </c>
      <c r="O412" s="553">
        <f>F4A!O412+F4B!O412</f>
        <v>17.587019999999995</v>
      </c>
      <c r="P412" s="553">
        <f>F4A!P412+F4B!P412</f>
        <v>18.278010689655172</v>
      </c>
      <c r="Q412" s="561">
        <f t="shared" si="39"/>
        <v>196.12210068965516</v>
      </c>
      <c r="R412" s="166"/>
      <c r="S412" s="166"/>
    </row>
    <row r="413" spans="3:19" x14ac:dyDescent="0.25">
      <c r="C413" s="556" t="s">
        <v>194</v>
      </c>
      <c r="D413" s="556" t="s">
        <v>195</v>
      </c>
      <c r="E413" s="553">
        <f>F4A!E413+F4B!E413</f>
        <v>3.8089999999999999E-3</v>
      </c>
      <c r="F413" s="553">
        <f>F4A!F413+F4B!F413</f>
        <v>2.5000000000000001E-3</v>
      </c>
      <c r="G413" s="553">
        <f>F4A!G413+F4B!G413</f>
        <v>2.0999999999999999E-3</v>
      </c>
      <c r="H413" s="553">
        <f>F4A!H413+F4B!H413</f>
        <v>2.5000000000000001E-3</v>
      </c>
      <c r="I413" s="553">
        <f>F4A!I413+F4B!I413</f>
        <v>2.2000000000000001E-3</v>
      </c>
      <c r="J413" s="553">
        <f>F4A!J413+F4B!J413</f>
        <v>2.5999999999999999E-3</v>
      </c>
      <c r="K413" s="553">
        <f>F4A!K413+F4B!K413</f>
        <v>2.3999999999999998E-3</v>
      </c>
      <c r="L413" s="553">
        <f>F4A!L413+F4B!L413</f>
        <v>2.5000000000000001E-3</v>
      </c>
      <c r="M413" s="553">
        <f>F4A!M413+F4B!M413</f>
        <v>1.8E-3</v>
      </c>
      <c r="N413" s="553">
        <f>F4A!N413+F4B!N413</f>
        <v>2.0999999999999999E-3</v>
      </c>
      <c r="O413" s="553">
        <f>F4A!O413+F4B!O413</f>
        <v>2.0000000000000001E-4</v>
      </c>
      <c r="P413" s="553">
        <f>F4A!P413+F4B!P413</f>
        <v>8.0000000000000004E-4</v>
      </c>
      <c r="Q413" s="561">
        <f t="shared" si="39"/>
        <v>2.5508999999999997E-2</v>
      </c>
      <c r="R413" s="166"/>
      <c r="S413" s="166"/>
    </row>
    <row r="414" spans="3:19" x14ac:dyDescent="0.25">
      <c r="C414" s="556" t="s">
        <v>233</v>
      </c>
      <c r="D414" s="556" t="s">
        <v>197</v>
      </c>
      <c r="E414" s="553">
        <f>F4A!E414+F4B!E414</f>
        <v>1.3505850000000001</v>
      </c>
      <c r="F414" s="553">
        <f>F4A!F414+F4B!F414</f>
        <v>1.2136980000000002</v>
      </c>
      <c r="G414" s="553">
        <f>F4A!G414+F4B!G414</f>
        <v>1.3289810000000002</v>
      </c>
      <c r="H414" s="553">
        <f>F4A!H414+F4B!H414</f>
        <v>1.415751</v>
      </c>
      <c r="I414" s="553">
        <f>F4A!I414+F4B!I414</f>
        <v>1.7655989999999999</v>
      </c>
      <c r="J414" s="553">
        <f>F4A!J414+F4B!J414</f>
        <v>1.5897550000000003</v>
      </c>
      <c r="K414" s="553">
        <f>F4A!K414+F4B!K414</f>
        <v>1.6683060000000001</v>
      </c>
      <c r="L414" s="553">
        <f>F4A!L414+F4B!L414</f>
        <v>1.4183939999999999</v>
      </c>
      <c r="M414" s="553">
        <f>F4A!M414+F4B!M414</f>
        <v>1.1224308000000001</v>
      </c>
      <c r="N414" s="553">
        <f>F4A!N414+F4B!N414</f>
        <v>1.044789</v>
      </c>
      <c r="O414" s="553">
        <f>F4A!O414+F4B!O414</f>
        <v>1.1721890000000001</v>
      </c>
      <c r="P414" s="553">
        <f>F4A!P414+F4B!P414</f>
        <v>1.2964910000000001</v>
      </c>
      <c r="Q414" s="561">
        <f t="shared" si="39"/>
        <v>16.386968799999998</v>
      </c>
      <c r="R414" s="166"/>
      <c r="S414" s="166"/>
    </row>
    <row r="415" spans="3:19" x14ac:dyDescent="0.25">
      <c r="C415" s="556" t="s">
        <v>198</v>
      </c>
      <c r="D415" s="556" t="s">
        <v>199</v>
      </c>
      <c r="E415" s="553">
        <f>F4A!E415+F4B!E415</f>
        <v>0</v>
      </c>
      <c r="F415" s="553">
        <f>F4A!F415+F4B!F415</f>
        <v>0</v>
      </c>
      <c r="G415" s="553">
        <f>F4A!G415+F4B!G415</f>
        <v>0</v>
      </c>
      <c r="H415" s="553">
        <f>F4A!H415+F4B!H415</f>
        <v>0</v>
      </c>
      <c r="I415" s="553">
        <f>F4A!I415+F4B!I415</f>
        <v>0</v>
      </c>
      <c r="J415" s="553">
        <f>F4A!J415+F4B!J415</f>
        <v>0</v>
      </c>
      <c r="K415" s="553">
        <f>F4A!K415+F4B!K415</f>
        <v>0</v>
      </c>
      <c r="L415" s="553">
        <f>F4A!L415+F4B!L415</f>
        <v>0</v>
      </c>
      <c r="M415" s="553">
        <f>F4A!M415+F4B!M415</f>
        <v>0</v>
      </c>
      <c r="N415" s="553">
        <f>F4A!N415+F4B!N415</f>
        <v>0</v>
      </c>
      <c r="O415" s="553">
        <f>F4A!O415+F4B!O415</f>
        <v>0</v>
      </c>
      <c r="P415" s="553">
        <f>F4A!P415+F4B!P415</f>
        <v>0</v>
      </c>
      <c r="Q415" s="561">
        <f t="shared" si="39"/>
        <v>0</v>
      </c>
      <c r="R415" s="166"/>
      <c r="S415" s="166"/>
    </row>
    <row r="416" spans="3:19" x14ac:dyDescent="0.25">
      <c r="C416" s="556" t="s">
        <v>200</v>
      </c>
      <c r="D416" s="556" t="s">
        <v>201</v>
      </c>
      <c r="E416" s="553">
        <f>F4A!E416+F4B!E416</f>
        <v>0</v>
      </c>
      <c r="F416" s="553">
        <f>F4A!F416+F4B!F416</f>
        <v>0</v>
      </c>
      <c r="G416" s="553">
        <f>F4A!G416+F4B!G416</f>
        <v>0</v>
      </c>
      <c r="H416" s="553">
        <f>F4A!H416+F4B!H416</f>
        <v>0</v>
      </c>
      <c r="I416" s="553">
        <f>F4A!I416+F4B!I416</f>
        <v>0</v>
      </c>
      <c r="J416" s="553">
        <f>F4A!J416+F4B!J416</f>
        <v>0</v>
      </c>
      <c r="K416" s="553">
        <f>F4A!K416+F4B!K416</f>
        <v>0</v>
      </c>
      <c r="L416" s="553">
        <f>F4A!L416+F4B!L416</f>
        <v>0</v>
      </c>
      <c r="M416" s="553">
        <f>F4A!M416+F4B!M416</f>
        <v>0</v>
      </c>
      <c r="N416" s="553">
        <f>F4A!N416+F4B!N416</f>
        <v>0</v>
      </c>
      <c r="O416" s="553">
        <f>F4A!O416+F4B!O416</f>
        <v>0</v>
      </c>
      <c r="P416" s="553">
        <f>F4A!P416+F4B!P416</f>
        <v>0</v>
      </c>
      <c r="Q416" s="561">
        <f t="shared" si="39"/>
        <v>0</v>
      </c>
      <c r="R416" s="166"/>
      <c r="S416" s="166"/>
    </row>
    <row r="417" spans="3:19" x14ac:dyDescent="0.25">
      <c r="C417" s="556" t="s">
        <v>202</v>
      </c>
      <c r="D417" s="556" t="s">
        <v>203</v>
      </c>
      <c r="E417" s="553">
        <f>F4A!E417+F4B!E417</f>
        <v>3.3807849999999999</v>
      </c>
      <c r="F417" s="553">
        <f>F4A!F417+F4B!F417</f>
        <v>3.3518249999999998</v>
      </c>
      <c r="G417" s="553">
        <f>F4A!G417+F4B!G417</f>
        <v>0.1234</v>
      </c>
      <c r="H417" s="553">
        <f>F4A!H417+F4B!H417</f>
        <v>0.45871499999999998</v>
      </c>
      <c r="I417" s="553">
        <f>F4A!I417+F4B!I417</f>
        <v>0.404395</v>
      </c>
      <c r="J417" s="553">
        <f>F4A!J417+F4B!J417</f>
        <v>3.3472</v>
      </c>
      <c r="K417" s="553">
        <f>F4A!K417+F4B!K417</f>
        <v>2.06528</v>
      </c>
      <c r="L417" s="553">
        <f>F4A!L417+F4B!L417</f>
        <v>1.0924499999999999</v>
      </c>
      <c r="M417" s="553">
        <f>F4A!M417+F4B!M417</f>
        <v>0.46172000000000002</v>
      </c>
      <c r="N417" s="553">
        <f>F4A!N417+F4B!N417</f>
        <v>7.4367049999999999</v>
      </c>
      <c r="O417" s="553">
        <f>F4A!O417+F4B!O417</f>
        <v>6.0677500000000002</v>
      </c>
      <c r="P417" s="553">
        <f>F4A!P417+F4B!P417</f>
        <v>4.4021249999999998</v>
      </c>
      <c r="Q417" s="561">
        <f t="shared" si="39"/>
        <v>32.592349999999996</v>
      </c>
      <c r="R417" s="166"/>
      <c r="S417" s="166"/>
    </row>
    <row r="418" spans="3:19" x14ac:dyDescent="0.25">
      <c r="C418" s="556" t="s">
        <v>204</v>
      </c>
      <c r="D418" s="556" t="s">
        <v>205</v>
      </c>
      <c r="E418" s="553">
        <f>F4A!E418+F4B!E418</f>
        <v>28.867612000000001</v>
      </c>
      <c r="F418" s="553">
        <f>F4A!F418+F4B!F418</f>
        <v>29.581188000000001</v>
      </c>
      <c r="G418" s="553">
        <f>F4A!G418+F4B!G418</f>
        <v>29.633278000000001</v>
      </c>
      <c r="H418" s="553">
        <f>F4A!H418+F4B!H418</f>
        <v>28.537329</v>
      </c>
      <c r="I418" s="553">
        <f>F4A!I418+F4B!I418</f>
        <v>29.241343000000001</v>
      </c>
      <c r="J418" s="553">
        <f>F4A!J418+F4B!J418</f>
        <v>26.658668500000001</v>
      </c>
      <c r="K418" s="553">
        <f>F4A!K418+F4B!K418</f>
        <v>29.788055</v>
      </c>
      <c r="L418" s="553">
        <f>F4A!L418+F4B!L418</f>
        <v>29.806920000000002</v>
      </c>
      <c r="M418" s="553">
        <f>F4A!M418+F4B!M418</f>
        <v>29.513055000000001</v>
      </c>
      <c r="N418" s="553">
        <f>F4A!N418+F4B!N418</f>
        <v>30.772010000000002</v>
      </c>
      <c r="O418" s="553">
        <f>F4A!O418+F4B!O418</f>
        <v>27.696558</v>
      </c>
      <c r="P418" s="553">
        <f>F4A!P418+F4B!P418</f>
        <v>36.922083000000001</v>
      </c>
      <c r="Q418" s="561">
        <f t="shared" si="39"/>
        <v>357.01809950000001</v>
      </c>
      <c r="R418" s="166"/>
      <c r="S418" s="166"/>
    </row>
    <row r="419" spans="3:19" x14ac:dyDescent="0.25">
      <c r="C419" s="556" t="s">
        <v>206</v>
      </c>
      <c r="D419" s="556" t="s">
        <v>207</v>
      </c>
      <c r="E419" s="553">
        <f>F4A!E419+F4B!E419</f>
        <v>3.0141620000000002</v>
      </c>
      <c r="F419" s="553">
        <f>F4A!F419+F4B!F419</f>
        <v>3.743404</v>
      </c>
      <c r="G419" s="553">
        <f>F4A!G419+F4B!G419</f>
        <v>3.9980290000000003</v>
      </c>
      <c r="H419" s="553">
        <f>F4A!H419+F4B!H419</f>
        <v>3.2130929999999998</v>
      </c>
      <c r="I419" s="553">
        <f>F4A!I419+F4B!I419</f>
        <v>3.1807370000000001</v>
      </c>
      <c r="J419" s="553">
        <f>F4A!J419+F4B!J419</f>
        <v>3.2625140000000004</v>
      </c>
      <c r="K419" s="553">
        <f>F4A!K419+F4B!K419</f>
        <v>1.7436400000000001</v>
      </c>
      <c r="L419" s="553">
        <f>F4A!L419+F4B!L419</f>
        <v>1.2835639999999999</v>
      </c>
      <c r="M419" s="553">
        <f>F4A!M419+F4B!M419</f>
        <v>0.63641499999999995</v>
      </c>
      <c r="N419" s="553">
        <f>F4A!N419+F4B!N419</f>
        <v>1.765506</v>
      </c>
      <c r="O419" s="553">
        <f>F4A!O419+F4B!O419</f>
        <v>2.2222189999999999</v>
      </c>
      <c r="P419" s="553">
        <f>F4A!P419+F4B!P419</f>
        <v>3.2211628965517245</v>
      </c>
      <c r="Q419" s="561">
        <f t="shared" si="39"/>
        <v>31.28444589655172</v>
      </c>
      <c r="R419" s="166"/>
      <c r="S419" s="166"/>
    </row>
    <row r="420" spans="3:19" x14ac:dyDescent="0.25">
      <c r="C420" s="556" t="s">
        <v>214</v>
      </c>
      <c r="D420" s="556" t="s">
        <v>187</v>
      </c>
      <c r="E420" s="553">
        <f>F4A!E420+F4B!E420</f>
        <v>0.52256899999999995</v>
      </c>
      <c r="F420" s="553">
        <f>F4A!F420+F4B!F420</f>
        <v>0.41805799999999999</v>
      </c>
      <c r="G420" s="553">
        <f>F4A!G420+F4B!G420</f>
        <v>0.48759999999999998</v>
      </c>
      <c r="H420" s="553">
        <f>F4A!H420+F4B!H420</f>
        <v>0.41524499999999998</v>
      </c>
      <c r="I420" s="553">
        <f>F4A!I420+F4B!I420</f>
        <v>0.44621899999999998</v>
      </c>
      <c r="J420" s="553">
        <f>F4A!J420+F4B!J420</f>
        <v>0.59886499999999998</v>
      </c>
      <c r="K420" s="553">
        <f>F4A!K420+F4B!K420</f>
        <v>0.64257799999999998</v>
      </c>
      <c r="L420" s="553">
        <f>F4A!L420+F4B!L420</f>
        <v>0.65287700000000004</v>
      </c>
      <c r="M420" s="553">
        <f>F4A!M420+F4B!M420</f>
        <v>0.77142100000000002</v>
      </c>
      <c r="N420" s="553">
        <f>F4A!N420+F4B!N420</f>
        <v>0.721055</v>
      </c>
      <c r="O420" s="553">
        <f>F4A!O420+F4B!O420</f>
        <v>0.67944899999999997</v>
      </c>
      <c r="P420" s="553">
        <f>F4A!P420+F4B!P420</f>
        <v>0.66636499999999999</v>
      </c>
      <c r="Q420" s="561">
        <f t="shared" si="39"/>
        <v>7.0223009999999997</v>
      </c>
      <c r="R420" s="166"/>
      <c r="S420" s="166"/>
    </row>
    <row r="421" spans="3:19" x14ac:dyDescent="0.25">
      <c r="C421" s="556" t="s">
        <v>209</v>
      </c>
      <c r="D421" s="556" t="s">
        <v>210</v>
      </c>
      <c r="E421" s="553">
        <f>F4A!E421+F4B!E421</f>
        <v>0</v>
      </c>
      <c r="F421" s="553">
        <f>F4A!F421+F4B!F421</f>
        <v>0</v>
      </c>
      <c r="G421" s="553">
        <f>F4A!G421+F4B!G421</f>
        <v>0</v>
      </c>
      <c r="H421" s="553">
        <f>F4A!H421+F4B!H421</f>
        <v>0</v>
      </c>
      <c r="I421" s="553">
        <f>F4A!I421+F4B!I421</f>
        <v>0</v>
      </c>
      <c r="J421" s="553">
        <f>F4A!J421+F4B!J421</f>
        <v>0</v>
      </c>
      <c r="K421" s="553">
        <f>F4A!K421+F4B!K421</f>
        <v>0</v>
      </c>
      <c r="L421" s="553">
        <f>F4A!L421+F4B!L421</f>
        <v>0</v>
      </c>
      <c r="M421" s="553">
        <f>F4A!M421+F4B!M421</f>
        <v>0</v>
      </c>
      <c r="N421" s="553">
        <f>F4A!N421+F4B!N421</f>
        <v>0</v>
      </c>
      <c r="O421" s="553">
        <f>F4A!O421+F4B!O421</f>
        <v>0</v>
      </c>
      <c r="P421" s="553">
        <f>F4A!P421+F4B!P421</f>
        <v>0</v>
      </c>
      <c r="Q421" s="561">
        <f t="shared" si="39"/>
        <v>0</v>
      </c>
      <c r="R421" s="166"/>
      <c r="S421" s="166"/>
    </row>
    <row r="422" spans="3:19" x14ac:dyDescent="0.25">
      <c r="C422" s="556" t="s">
        <v>211</v>
      </c>
      <c r="D422" s="556" t="s">
        <v>189</v>
      </c>
      <c r="E422" s="553">
        <f>F4A!E422+F4B!E422</f>
        <v>0</v>
      </c>
      <c r="F422" s="553">
        <f>F4A!F422+F4B!F422</f>
        <v>0</v>
      </c>
      <c r="G422" s="553">
        <f>F4A!G422+F4B!G422</f>
        <v>0</v>
      </c>
      <c r="H422" s="553">
        <f>F4A!H422+F4B!H422</f>
        <v>0</v>
      </c>
      <c r="I422" s="553">
        <f>F4A!I422+F4B!I422</f>
        <v>0</v>
      </c>
      <c r="J422" s="553">
        <f>F4A!J422+F4B!J422</f>
        <v>0</v>
      </c>
      <c r="K422" s="553">
        <f>F4A!K422+F4B!K422</f>
        <v>0</v>
      </c>
      <c r="L422" s="553">
        <f>F4A!L422+F4B!L422</f>
        <v>0</v>
      </c>
      <c r="M422" s="553">
        <f>F4A!M422+F4B!M422</f>
        <v>0</v>
      </c>
      <c r="N422" s="553">
        <f>F4A!N422+F4B!N422</f>
        <v>0</v>
      </c>
      <c r="O422" s="553">
        <f>F4A!O422+F4B!O422</f>
        <v>0</v>
      </c>
      <c r="P422" s="553">
        <f>F4A!P422+F4B!P422</f>
        <v>0</v>
      </c>
      <c r="Q422" s="561">
        <f t="shared" si="39"/>
        <v>0</v>
      </c>
      <c r="R422" s="166"/>
      <c r="S422" s="166"/>
    </row>
    <row r="423" spans="3:19" hidden="1" x14ac:dyDescent="0.25">
      <c r="C423" s="556"/>
      <c r="D423" s="556"/>
      <c r="E423" s="553">
        <f>F4A!E423+F4B!E423</f>
        <v>0</v>
      </c>
      <c r="F423" s="553">
        <f>F4A!F423+F4B!F423</f>
        <v>0</v>
      </c>
      <c r="G423" s="553">
        <f>F4A!G423+F4B!G423</f>
        <v>0</v>
      </c>
      <c r="H423" s="553">
        <f>F4A!H423+F4B!H423</f>
        <v>0</v>
      </c>
      <c r="I423" s="553">
        <f>F4A!I423+F4B!I423</f>
        <v>0</v>
      </c>
      <c r="J423" s="553">
        <f>F4A!J423+F4B!J423</f>
        <v>0</v>
      </c>
      <c r="K423" s="553">
        <f>F4A!K423+F4B!K423</f>
        <v>0</v>
      </c>
      <c r="L423" s="553">
        <f>F4A!L423+F4B!L423</f>
        <v>0</v>
      </c>
      <c r="M423" s="553">
        <f>F4A!M423+F4B!M423</f>
        <v>0</v>
      </c>
      <c r="N423" s="553">
        <f>F4A!N423+F4B!N423</f>
        <v>0</v>
      </c>
      <c r="O423" s="553">
        <f>F4A!O423+F4B!O423</f>
        <v>0</v>
      </c>
      <c r="P423" s="553">
        <f>F4A!P423+F4B!P423</f>
        <v>0</v>
      </c>
      <c r="Q423" s="561">
        <f t="shared" si="39"/>
        <v>0</v>
      </c>
      <c r="R423" s="166"/>
      <c r="S423" s="166"/>
    </row>
    <row r="424" spans="3:19" hidden="1" x14ac:dyDescent="0.25">
      <c r="C424" s="556"/>
      <c r="D424" s="556"/>
      <c r="E424" s="553">
        <f>F4A!E424+F4B!E424</f>
        <v>0</v>
      </c>
      <c r="F424" s="553">
        <f>F4A!F424+F4B!F424</f>
        <v>0</v>
      </c>
      <c r="G424" s="553">
        <f>F4A!G424+F4B!G424</f>
        <v>0</v>
      </c>
      <c r="H424" s="553">
        <f>F4A!H424+F4B!H424</f>
        <v>0</v>
      </c>
      <c r="I424" s="553">
        <f>F4A!I424+F4B!I424</f>
        <v>0</v>
      </c>
      <c r="J424" s="553">
        <f>F4A!J424+F4B!J424</f>
        <v>0</v>
      </c>
      <c r="K424" s="553">
        <f>F4A!K424+F4B!K424</f>
        <v>0</v>
      </c>
      <c r="L424" s="553">
        <f>F4A!L424+F4B!L424</f>
        <v>0</v>
      </c>
      <c r="M424" s="553">
        <f>F4A!M424+F4B!M424</f>
        <v>0</v>
      </c>
      <c r="N424" s="553">
        <f>F4A!N424+F4B!N424</f>
        <v>0</v>
      </c>
      <c r="O424" s="553">
        <f>F4A!O424+F4B!O424</f>
        <v>0</v>
      </c>
      <c r="P424" s="553">
        <f>F4A!P424+F4B!P424</f>
        <v>0</v>
      </c>
      <c r="Q424" s="561">
        <f t="shared" si="39"/>
        <v>0</v>
      </c>
      <c r="R424" s="166"/>
      <c r="S424" s="166"/>
    </row>
    <row r="425" spans="3:19" hidden="1" x14ac:dyDescent="0.25">
      <c r="C425" s="556"/>
      <c r="D425" s="556"/>
      <c r="E425" s="553">
        <f>F4A!E425+F4B!E425</f>
        <v>0</v>
      </c>
      <c r="F425" s="553">
        <f>F4A!F425+F4B!F425</f>
        <v>0</v>
      </c>
      <c r="G425" s="553">
        <f>F4A!G425+F4B!G425</f>
        <v>0</v>
      </c>
      <c r="H425" s="553">
        <f>F4A!H425+F4B!H425</f>
        <v>0</v>
      </c>
      <c r="I425" s="553">
        <f>F4A!I425+F4B!I425</f>
        <v>0</v>
      </c>
      <c r="J425" s="553">
        <f>F4A!J425+F4B!J425</f>
        <v>0</v>
      </c>
      <c r="K425" s="553">
        <f>F4A!K425+F4B!K425</f>
        <v>0</v>
      </c>
      <c r="L425" s="553">
        <f>F4A!L425+F4B!L425</f>
        <v>0</v>
      </c>
      <c r="M425" s="553">
        <f>F4A!M425+F4B!M425</f>
        <v>0</v>
      </c>
      <c r="N425" s="553">
        <f>F4A!N425+F4B!N425</f>
        <v>0</v>
      </c>
      <c r="O425" s="553">
        <f>F4A!O425+F4B!O425</f>
        <v>0</v>
      </c>
      <c r="P425" s="553">
        <f>F4A!P425+F4B!P425</f>
        <v>0</v>
      </c>
      <c r="Q425" s="561">
        <f t="shared" si="39"/>
        <v>0</v>
      </c>
      <c r="R425" s="166"/>
      <c r="S425" s="166"/>
    </row>
    <row r="426" spans="3:19" hidden="1" x14ac:dyDescent="0.25">
      <c r="C426" s="556" t="s">
        <v>226</v>
      </c>
      <c r="D426" s="556" t="s">
        <v>226</v>
      </c>
      <c r="E426" s="553">
        <f>F4A!E426+F4B!E426</f>
        <v>0</v>
      </c>
      <c r="F426" s="553">
        <f>F4A!F426+F4B!F426</f>
        <v>0</v>
      </c>
      <c r="G426" s="553">
        <f>F4A!G426+F4B!G426</f>
        <v>0</v>
      </c>
      <c r="H426" s="553">
        <f>F4A!H426+F4B!H426</f>
        <v>0</v>
      </c>
      <c r="I426" s="553">
        <f>F4A!I426+F4B!I426</f>
        <v>0</v>
      </c>
      <c r="J426" s="553">
        <f>F4A!J426+F4B!J426</f>
        <v>0</v>
      </c>
      <c r="K426" s="553">
        <f>F4A!K426+F4B!K426</f>
        <v>0</v>
      </c>
      <c r="L426" s="553">
        <f>F4A!L426+F4B!L426</f>
        <v>0</v>
      </c>
      <c r="M426" s="553">
        <f>F4A!M426+F4B!M426</f>
        <v>0</v>
      </c>
      <c r="N426" s="553">
        <f>F4A!N426+F4B!N426</f>
        <v>0</v>
      </c>
      <c r="O426" s="553">
        <f>F4A!O426+F4B!O426</f>
        <v>0</v>
      </c>
      <c r="P426" s="553">
        <f>F4A!P426+F4B!P426</f>
        <v>0</v>
      </c>
      <c r="Q426" s="561">
        <f t="shared" si="39"/>
        <v>0</v>
      </c>
      <c r="R426" s="166"/>
      <c r="S426" s="166"/>
    </row>
    <row r="427" spans="3:19" x14ac:dyDescent="0.25">
      <c r="C427" s="739" t="s">
        <v>212</v>
      </c>
      <c r="D427" s="740"/>
      <c r="E427" s="561">
        <f t="shared" ref="E427:P427" si="40">SUM(E412:E426)</f>
        <v>54.676073999999993</v>
      </c>
      <c r="F427" s="561">
        <f t="shared" si="40"/>
        <v>55.536737000000002</v>
      </c>
      <c r="G427" s="561">
        <f t="shared" si="40"/>
        <v>50.567700000000002</v>
      </c>
      <c r="H427" s="561">
        <f t="shared" si="40"/>
        <v>49.379404000000001</v>
      </c>
      <c r="I427" s="561">
        <f t="shared" si="40"/>
        <v>50.445635000000003</v>
      </c>
      <c r="J427" s="561">
        <f t="shared" si="40"/>
        <v>51.280300499999996</v>
      </c>
      <c r="K427" s="561">
        <f t="shared" si="40"/>
        <v>50.130271999999998</v>
      </c>
      <c r="L427" s="561">
        <f t="shared" si="40"/>
        <v>50.232454999999995</v>
      </c>
      <c r="M427" s="561">
        <f t="shared" si="40"/>
        <v>48.852789799999996</v>
      </c>
      <c r="N427" s="561">
        <f t="shared" si="40"/>
        <v>59.137985000000008</v>
      </c>
      <c r="O427" s="561">
        <f t="shared" si="40"/>
        <v>55.425384999999991</v>
      </c>
      <c r="P427" s="561">
        <f t="shared" si="40"/>
        <v>64.787037586206893</v>
      </c>
      <c r="Q427" s="561">
        <f t="shared" si="39"/>
        <v>640.45177488620686</v>
      </c>
      <c r="R427" s="166"/>
      <c r="S427" s="166"/>
    </row>
    <row r="428" spans="3:19" x14ac:dyDescent="0.25">
      <c r="C428" s="739" t="s">
        <v>215</v>
      </c>
      <c r="D428" s="740"/>
      <c r="E428" s="553"/>
      <c r="F428" s="553"/>
      <c r="G428" s="553"/>
      <c r="H428" s="553"/>
      <c r="I428" s="553"/>
      <c r="J428" s="553"/>
      <c r="K428" s="553"/>
      <c r="L428" s="553"/>
      <c r="M428" s="553"/>
      <c r="N428" s="553"/>
      <c r="O428" s="553"/>
      <c r="P428" s="553"/>
      <c r="Q428" s="561">
        <f t="shared" si="39"/>
        <v>0</v>
      </c>
      <c r="R428" s="166"/>
      <c r="S428" s="166"/>
    </row>
    <row r="429" spans="3:19" x14ac:dyDescent="0.25">
      <c r="C429" s="556" t="s">
        <v>192</v>
      </c>
      <c r="D429" s="556" t="s">
        <v>193</v>
      </c>
      <c r="E429" s="553">
        <f>F4A!E429+F4B!E429</f>
        <v>50.060616019999998</v>
      </c>
      <c r="F429" s="553">
        <f>F4A!F429+F4B!F429</f>
        <v>46.879794380000007</v>
      </c>
      <c r="G429" s="553">
        <f>F4A!G429+F4B!G429</f>
        <v>52.76143106</v>
      </c>
      <c r="H429" s="553">
        <f>F4A!H429+F4B!H429</f>
        <v>51.902225390000005</v>
      </c>
      <c r="I429" s="553">
        <f>F4A!I429+F4B!I429</f>
        <v>55.301880720000021</v>
      </c>
      <c r="J429" s="553">
        <f>F4A!J429+F4B!J429</f>
        <v>61.64216639</v>
      </c>
      <c r="K429" s="553">
        <f>F4A!K429+F4B!K429</f>
        <v>57.797519720000011</v>
      </c>
      <c r="L429" s="553">
        <f>F4A!L429+F4B!L429</f>
        <v>59.026331719999995</v>
      </c>
      <c r="M429" s="553">
        <f>F4A!M429+F4B!M429</f>
        <v>52.049582389999998</v>
      </c>
      <c r="N429" s="553">
        <f>F4A!N429+F4B!N429</f>
        <v>55.736774050000001</v>
      </c>
      <c r="O429" s="553">
        <f>F4A!O429+F4B!O429</f>
        <v>52.402986720000001</v>
      </c>
      <c r="P429" s="553">
        <f>F4A!P429+F4B!P429</f>
        <v>52.981075370344826</v>
      </c>
      <c r="Q429" s="561">
        <f t="shared" si="39"/>
        <v>648.54238393034484</v>
      </c>
      <c r="R429" s="166"/>
      <c r="S429" s="166"/>
    </row>
    <row r="430" spans="3:19" x14ac:dyDescent="0.25">
      <c r="C430" s="556" t="s">
        <v>194</v>
      </c>
      <c r="D430" s="556" t="s">
        <v>195</v>
      </c>
      <c r="E430" s="553">
        <f>F4A!E430+F4B!E430</f>
        <v>0</v>
      </c>
      <c r="F430" s="553">
        <f>F4A!F430+F4B!F430</f>
        <v>0</v>
      </c>
      <c r="G430" s="553">
        <f>F4A!G430+F4B!G430</f>
        <v>0</v>
      </c>
      <c r="H430" s="553">
        <f>F4A!H430+F4B!H430</f>
        <v>0</v>
      </c>
      <c r="I430" s="553">
        <f>F4A!I430+F4B!I430</f>
        <v>0</v>
      </c>
      <c r="J430" s="553">
        <f>F4A!J430+F4B!J430</f>
        <v>0</v>
      </c>
      <c r="K430" s="553">
        <f>F4A!K430+F4B!K430</f>
        <v>0</v>
      </c>
      <c r="L430" s="553">
        <f>F4A!L430+F4B!L430</f>
        <v>0</v>
      </c>
      <c r="M430" s="553">
        <f>F4A!M430+F4B!M430</f>
        <v>0</v>
      </c>
      <c r="N430" s="553">
        <f>F4A!N430+F4B!N430</f>
        <v>0</v>
      </c>
      <c r="O430" s="553">
        <f>F4A!O430+F4B!O430</f>
        <v>0</v>
      </c>
      <c r="P430" s="553">
        <f>F4A!P430+F4B!P430</f>
        <v>0</v>
      </c>
      <c r="Q430" s="561">
        <f t="shared" si="39"/>
        <v>0</v>
      </c>
      <c r="R430" s="166"/>
      <c r="S430" s="166"/>
    </row>
    <row r="431" spans="3:19" x14ac:dyDescent="0.25">
      <c r="C431" s="556" t="s">
        <v>233</v>
      </c>
      <c r="D431" s="556" t="s">
        <v>197</v>
      </c>
      <c r="E431" s="553">
        <f>F4A!E431+F4B!E431</f>
        <v>1.1470670000000003</v>
      </c>
      <c r="F431" s="553">
        <f>F4A!F431+F4B!F431</f>
        <v>0.67890000000000006</v>
      </c>
      <c r="G431" s="553">
        <f>F4A!G431+F4B!G431</f>
        <v>0.6421</v>
      </c>
      <c r="H431" s="553">
        <f>F4A!H431+F4B!H431</f>
        <v>0.65960000000000019</v>
      </c>
      <c r="I431" s="553">
        <f>F4A!I431+F4B!I431</f>
        <v>0.14149999999999999</v>
      </c>
      <c r="J431" s="553">
        <f>F4A!J431+F4B!J431</f>
        <v>0.29430000000000001</v>
      </c>
      <c r="K431" s="553">
        <f>F4A!K431+F4B!K431</f>
        <v>0.25009999999999999</v>
      </c>
      <c r="L431" s="553">
        <f>F4A!L431+F4B!L431</f>
        <v>0.33629999999999999</v>
      </c>
      <c r="M431" s="553">
        <f>F4A!M431+F4B!M431</f>
        <v>0.36739999999999995</v>
      </c>
      <c r="N431" s="553">
        <f>F4A!N431+F4B!N431</f>
        <v>0.62139999999999995</v>
      </c>
      <c r="O431" s="553">
        <f>F4A!O431+F4B!O431</f>
        <v>0.26619999999999999</v>
      </c>
      <c r="P431" s="553">
        <f>F4A!P431+F4B!P431</f>
        <v>0.23020000000000002</v>
      </c>
      <c r="Q431" s="561">
        <f t="shared" si="39"/>
        <v>5.6350669999999994</v>
      </c>
      <c r="R431" s="166"/>
      <c r="S431" s="166"/>
    </row>
    <row r="432" spans="3:19" x14ac:dyDescent="0.25">
      <c r="C432" s="556" t="s">
        <v>198</v>
      </c>
      <c r="D432" s="556" t="s">
        <v>199</v>
      </c>
      <c r="E432" s="553">
        <f>F4A!E432+F4B!E432</f>
        <v>0</v>
      </c>
      <c r="F432" s="553">
        <f>F4A!F432+F4B!F432</f>
        <v>0</v>
      </c>
      <c r="G432" s="553">
        <f>F4A!G432+F4B!G432</f>
        <v>0</v>
      </c>
      <c r="H432" s="553">
        <f>F4A!H432+F4B!H432</f>
        <v>0</v>
      </c>
      <c r="I432" s="553">
        <f>F4A!I432+F4B!I432</f>
        <v>0</v>
      </c>
      <c r="J432" s="553">
        <f>F4A!J432+F4B!J432</f>
        <v>0</v>
      </c>
      <c r="K432" s="553">
        <f>F4A!K432+F4B!K432</f>
        <v>0</v>
      </c>
      <c r="L432" s="553">
        <f>F4A!L432+F4B!L432</f>
        <v>0</v>
      </c>
      <c r="M432" s="553">
        <f>F4A!M432+F4B!M432</f>
        <v>0</v>
      </c>
      <c r="N432" s="553">
        <f>F4A!N432+F4B!N432</f>
        <v>0</v>
      </c>
      <c r="O432" s="553">
        <f>F4A!O432+F4B!O432</f>
        <v>0</v>
      </c>
      <c r="P432" s="553">
        <f>F4A!P432+F4B!P432</f>
        <v>0</v>
      </c>
      <c r="Q432" s="561">
        <f t="shared" si="39"/>
        <v>0</v>
      </c>
      <c r="R432" s="166"/>
      <c r="S432" s="166"/>
    </row>
    <row r="433" spans="3:19" x14ac:dyDescent="0.25">
      <c r="C433" s="556" t="s">
        <v>200</v>
      </c>
      <c r="D433" s="556" t="s">
        <v>201</v>
      </c>
      <c r="E433" s="553">
        <f>F4A!E433+F4B!E433</f>
        <v>0</v>
      </c>
      <c r="F433" s="553">
        <f>F4A!F433+F4B!F433</f>
        <v>0</v>
      </c>
      <c r="G433" s="553">
        <f>F4A!G433+F4B!G433</f>
        <v>0</v>
      </c>
      <c r="H433" s="553">
        <f>F4A!H433+F4B!H433</f>
        <v>0</v>
      </c>
      <c r="I433" s="553">
        <f>F4A!I433+F4B!I433</f>
        <v>0</v>
      </c>
      <c r="J433" s="553">
        <f>F4A!J433+F4B!J433</f>
        <v>0</v>
      </c>
      <c r="K433" s="553">
        <f>F4A!K433+F4B!K433</f>
        <v>0</v>
      </c>
      <c r="L433" s="553">
        <f>F4A!L433+F4B!L433</f>
        <v>0</v>
      </c>
      <c r="M433" s="553">
        <f>F4A!M433+F4B!M433</f>
        <v>0</v>
      </c>
      <c r="N433" s="553">
        <f>F4A!N433+F4B!N433</f>
        <v>0</v>
      </c>
      <c r="O433" s="553">
        <f>F4A!O433+F4B!O433</f>
        <v>0</v>
      </c>
      <c r="P433" s="553">
        <f>F4A!P433+F4B!P433</f>
        <v>0</v>
      </c>
      <c r="Q433" s="561">
        <f t="shared" si="39"/>
        <v>0</v>
      </c>
      <c r="R433" s="166"/>
      <c r="S433" s="166"/>
    </row>
    <row r="434" spans="3:19" x14ac:dyDescent="0.25">
      <c r="C434" s="556" t="s">
        <v>202</v>
      </c>
      <c r="D434" s="556" t="s">
        <v>234</v>
      </c>
      <c r="E434" s="553">
        <f>F4A!E434+F4B!E434</f>
        <v>245.62884000000003</v>
      </c>
      <c r="F434" s="553">
        <f>F4A!F434+F4B!F434</f>
        <v>61.091186999999998</v>
      </c>
      <c r="G434" s="553">
        <f>F4A!G434+F4B!G434</f>
        <v>14.910439</v>
      </c>
      <c r="H434" s="553">
        <f>F4A!H434+F4B!H434</f>
        <v>268.40174139999999</v>
      </c>
      <c r="I434" s="553">
        <f>F4A!I434+F4B!I434</f>
        <v>10.977345</v>
      </c>
      <c r="J434" s="553">
        <f>F4A!J434+F4B!J434</f>
        <v>56.271777450000002</v>
      </c>
      <c r="K434" s="553">
        <f>F4A!K434+F4B!K434</f>
        <v>74.385187999999999</v>
      </c>
      <c r="L434" s="553">
        <f>F4A!L434+F4B!L434</f>
        <v>138.6304978</v>
      </c>
      <c r="M434" s="553">
        <f>F4A!M434+F4B!M434</f>
        <v>24.626479</v>
      </c>
      <c r="N434" s="553">
        <f>F4A!N434+F4B!N434</f>
        <v>115.738292</v>
      </c>
      <c r="O434" s="553">
        <f>F4A!O434+F4B!O434</f>
        <v>135.818702</v>
      </c>
      <c r="P434" s="553">
        <f>F4A!P434+F4B!P434</f>
        <v>145.34598400000002</v>
      </c>
      <c r="Q434" s="561">
        <f t="shared" si="39"/>
        <v>1291.8264726500001</v>
      </c>
      <c r="R434" s="166"/>
      <c r="S434" s="166"/>
    </row>
    <row r="435" spans="3:19" x14ac:dyDescent="0.25">
      <c r="C435" s="556" t="s">
        <v>204</v>
      </c>
      <c r="D435" s="556" t="s">
        <v>216</v>
      </c>
      <c r="E435" s="553">
        <f>F4A!E435+F4B!E435</f>
        <v>2.275318</v>
      </c>
      <c r="F435" s="553">
        <f>F4A!F435+F4B!F435</f>
        <v>2.3300640000000001</v>
      </c>
      <c r="G435" s="553">
        <f>F4A!G435+F4B!G435</f>
        <v>2.2835519999999998</v>
      </c>
      <c r="H435" s="553">
        <f>F4A!H435+F4B!H435</f>
        <v>2.2257359999999999</v>
      </c>
      <c r="I435" s="553">
        <f>F4A!I435+F4B!I435</f>
        <v>2.3238720000000002</v>
      </c>
      <c r="J435" s="553">
        <f>F4A!J435+F4B!J435</f>
        <v>2.3504040000000002</v>
      </c>
      <c r="K435" s="553">
        <f>F4A!K435+F4B!K435</f>
        <v>2.2852440000000001</v>
      </c>
      <c r="L435" s="553">
        <f>F4A!L435+F4B!L435</f>
        <v>2.2156199999999999</v>
      </c>
      <c r="M435" s="553">
        <f>F4A!M435+F4B!M435</f>
        <v>2.3844959999999999</v>
      </c>
      <c r="N435" s="553">
        <f>F4A!N435+F4B!N435</f>
        <v>2.4319799999999998</v>
      </c>
      <c r="O435" s="553">
        <f>F4A!O435+F4B!O435</f>
        <v>2.2608359999999998</v>
      </c>
      <c r="P435" s="553">
        <f>F4A!P435+F4B!P435</f>
        <v>2.5938720000000002</v>
      </c>
      <c r="Q435" s="561">
        <f t="shared" si="39"/>
        <v>27.960993999999999</v>
      </c>
      <c r="R435" s="166"/>
      <c r="S435" s="166"/>
    </row>
    <row r="436" spans="3:19" x14ac:dyDescent="0.25">
      <c r="C436" s="556" t="s">
        <v>217</v>
      </c>
      <c r="D436" s="556" t="s">
        <v>218</v>
      </c>
      <c r="E436" s="553">
        <f>F4A!E436+F4B!E436</f>
        <v>52.380434100000002</v>
      </c>
      <c r="F436" s="553">
        <f>F4A!F436+F4B!F436</f>
        <v>50.951533399999995</v>
      </c>
      <c r="G436" s="553">
        <f>F4A!G436+F4B!G436</f>
        <v>49.920386399999998</v>
      </c>
      <c r="H436" s="553">
        <f>F4A!H436+F4B!H436</f>
        <v>50.325516999999998</v>
      </c>
      <c r="I436" s="553">
        <f>F4A!I436+F4B!I436</f>
        <v>50.944802100000004</v>
      </c>
      <c r="J436" s="553">
        <f>F4A!J436+F4B!J436</f>
        <v>48.377898399999999</v>
      </c>
      <c r="K436" s="553">
        <f>F4A!K436+F4B!K436</f>
        <v>51.080441899999997</v>
      </c>
      <c r="L436" s="553">
        <f>F4A!L436+F4B!L436</f>
        <v>51.8477994</v>
      </c>
      <c r="M436" s="553">
        <f>F4A!M436+F4B!M436</f>
        <v>50.947680499999997</v>
      </c>
      <c r="N436" s="553">
        <f>F4A!N436+F4B!N436</f>
        <v>52.801384899999995</v>
      </c>
      <c r="O436" s="553">
        <f>F4A!O436+F4B!O436</f>
        <v>50.062151100000001</v>
      </c>
      <c r="P436" s="553">
        <f>F4A!P436+F4B!P436</f>
        <v>54.032003200000005</v>
      </c>
      <c r="Q436" s="561">
        <f t="shared" si="39"/>
        <v>613.67203239999992</v>
      </c>
      <c r="R436" s="166"/>
      <c r="S436" s="166"/>
    </row>
    <row r="437" spans="3:19" x14ac:dyDescent="0.25">
      <c r="C437" s="556" t="s">
        <v>252</v>
      </c>
      <c r="D437" s="556" t="s">
        <v>236</v>
      </c>
      <c r="E437" s="553">
        <f>F4A!E437+F4B!E437</f>
        <v>0</v>
      </c>
      <c r="F437" s="553">
        <f>F4A!F437+F4B!F437</f>
        <v>0</v>
      </c>
      <c r="G437" s="553">
        <f>F4A!G437+F4B!G437</f>
        <v>0</v>
      </c>
      <c r="H437" s="553">
        <f>F4A!H437+F4B!H437</f>
        <v>0</v>
      </c>
      <c r="I437" s="553">
        <f>F4A!I437+F4B!I437</f>
        <v>0</v>
      </c>
      <c r="J437" s="553">
        <f>F4A!J437+F4B!J437</f>
        <v>0</v>
      </c>
      <c r="K437" s="553">
        <f>F4A!K437+F4B!K437</f>
        <v>0</v>
      </c>
      <c r="L437" s="553">
        <f>F4A!L437+F4B!L437</f>
        <v>0</v>
      </c>
      <c r="M437" s="553">
        <f>F4A!M437+F4B!M437</f>
        <v>0</v>
      </c>
      <c r="N437" s="553">
        <f>F4A!N437+F4B!N437</f>
        <v>0</v>
      </c>
      <c r="O437" s="553">
        <f>F4A!O437+F4B!O437</f>
        <v>0</v>
      </c>
      <c r="P437" s="553">
        <f>F4A!P437+F4B!P437</f>
        <v>0</v>
      </c>
      <c r="Q437" s="561">
        <f t="shared" si="39"/>
        <v>0</v>
      </c>
      <c r="R437" s="166"/>
      <c r="S437" s="166"/>
    </row>
    <row r="438" spans="3:19" x14ac:dyDescent="0.25">
      <c r="C438" s="556" t="s">
        <v>206</v>
      </c>
      <c r="D438" s="556" t="s">
        <v>207</v>
      </c>
      <c r="E438" s="553">
        <f>F4A!E438+F4B!E438</f>
        <v>6.0300630000000002</v>
      </c>
      <c r="F438" s="553">
        <f>F4A!F438+F4B!F438</f>
        <v>7.4215529999999994</v>
      </c>
      <c r="G438" s="553">
        <f>F4A!G438+F4B!G438</f>
        <v>6.9074059999999999</v>
      </c>
      <c r="H438" s="553">
        <f>F4A!H438+F4B!H438</f>
        <v>6.6595540000000009</v>
      </c>
      <c r="I438" s="553">
        <f>F4A!I438+F4B!I438</f>
        <v>6.5525560000000009</v>
      </c>
      <c r="J438" s="553">
        <f>F4A!J438+F4B!J438</f>
        <v>6.0851669999999993</v>
      </c>
      <c r="K438" s="553">
        <f>F4A!K438+F4B!K438</f>
        <v>5.3285729999999996</v>
      </c>
      <c r="L438" s="553">
        <f>F4A!L438+F4B!L438</f>
        <v>4.6946779999999997</v>
      </c>
      <c r="M438" s="553">
        <f>F4A!M438+F4B!M438</f>
        <v>2.9676140000000002</v>
      </c>
      <c r="N438" s="553">
        <f>F4A!N438+F4B!N438</f>
        <v>3.2173480000000003</v>
      </c>
      <c r="O438" s="553">
        <f>F4A!O438+F4B!O438</f>
        <v>3.8677219999999997</v>
      </c>
      <c r="P438" s="553">
        <f>F4A!P438+F4B!P438</f>
        <v>5.7141391034482751</v>
      </c>
      <c r="Q438" s="561">
        <f t="shared" si="39"/>
        <v>65.446373103448266</v>
      </c>
      <c r="R438" s="166"/>
      <c r="S438" s="166"/>
    </row>
    <row r="439" spans="3:19" x14ac:dyDescent="0.25">
      <c r="C439" s="556" t="s">
        <v>208</v>
      </c>
      <c r="D439" s="556" t="s">
        <v>187</v>
      </c>
      <c r="E439" s="553">
        <f>F4A!E439+F4B!E439</f>
        <v>0.12095</v>
      </c>
      <c r="F439" s="553">
        <f>F4A!F439+F4B!F439</f>
        <v>0.1176</v>
      </c>
      <c r="G439" s="553">
        <f>F4A!G439+F4B!G439</f>
        <v>0.12</v>
      </c>
      <c r="H439" s="553">
        <f>F4A!H439+F4B!H439</f>
        <v>8.6900000000000005E-2</v>
      </c>
      <c r="I439" s="553">
        <f>F4A!I439+F4B!I439</f>
        <v>0.1118</v>
      </c>
      <c r="J439" s="553">
        <f>F4A!J439+F4B!J439</f>
        <v>0.1172</v>
      </c>
      <c r="K439" s="553">
        <f>F4A!K439+F4B!K439</f>
        <v>0.11700000000000001</v>
      </c>
      <c r="L439" s="553">
        <f>F4A!L439+F4B!L439</f>
        <v>7.6799999999999993E-2</v>
      </c>
      <c r="M439" s="553">
        <f>F4A!M439+F4B!M439</f>
        <v>4.6300000000000001E-2</v>
      </c>
      <c r="N439" s="553">
        <f>F4A!N439+F4B!N439</f>
        <v>8.6E-3</v>
      </c>
      <c r="O439" s="553">
        <f>F4A!O439+F4B!O439</f>
        <v>0.1103</v>
      </c>
      <c r="P439" s="553">
        <f>F4A!P439+F4B!P439</f>
        <v>0.1057</v>
      </c>
      <c r="Q439" s="561">
        <f t="shared" si="39"/>
        <v>1.1391499999999999</v>
      </c>
      <c r="R439" s="166"/>
      <c r="S439" s="166"/>
    </row>
    <row r="440" spans="3:19" x14ac:dyDescent="0.25">
      <c r="C440" s="556" t="s">
        <v>209</v>
      </c>
      <c r="D440" s="556" t="s">
        <v>210</v>
      </c>
      <c r="E440" s="553">
        <f>F4A!E440+F4B!E440</f>
        <v>0</v>
      </c>
      <c r="F440" s="553">
        <f>F4A!F440+F4B!F440</f>
        <v>0</v>
      </c>
      <c r="G440" s="553">
        <f>F4A!G440+F4B!G440</f>
        <v>0</v>
      </c>
      <c r="H440" s="553">
        <f>F4A!H440+F4B!H440</f>
        <v>0</v>
      </c>
      <c r="I440" s="553">
        <f>F4A!I440+F4B!I440</f>
        <v>0</v>
      </c>
      <c r="J440" s="553">
        <f>F4A!J440+F4B!J440</f>
        <v>0</v>
      </c>
      <c r="K440" s="553">
        <f>F4A!K440+F4B!K440</f>
        <v>0</v>
      </c>
      <c r="L440" s="553">
        <f>F4A!L440+F4B!L440</f>
        <v>0</v>
      </c>
      <c r="M440" s="553">
        <f>F4A!M440+F4B!M440</f>
        <v>0</v>
      </c>
      <c r="N440" s="553">
        <f>F4A!N440+F4B!N440</f>
        <v>0</v>
      </c>
      <c r="O440" s="553">
        <f>F4A!O440+F4B!O440</f>
        <v>0</v>
      </c>
      <c r="P440" s="553">
        <f>F4A!P440+F4B!P440</f>
        <v>0</v>
      </c>
      <c r="Q440" s="561">
        <f t="shared" si="39"/>
        <v>0</v>
      </c>
      <c r="R440" s="166"/>
      <c r="S440" s="166"/>
    </row>
    <row r="441" spans="3:19" x14ac:dyDescent="0.25">
      <c r="C441" s="556" t="s">
        <v>211</v>
      </c>
      <c r="D441" s="556" t="s">
        <v>189</v>
      </c>
      <c r="E441" s="553">
        <f>F4A!E441+F4B!E441</f>
        <v>0</v>
      </c>
      <c r="F441" s="553">
        <f>F4A!F441+F4B!F441</f>
        <v>0</v>
      </c>
      <c r="G441" s="553">
        <f>F4A!G441+F4B!G441</f>
        <v>0</v>
      </c>
      <c r="H441" s="553">
        <f>F4A!H441+F4B!H441</f>
        <v>0</v>
      </c>
      <c r="I441" s="553">
        <f>F4A!I441+F4B!I441</f>
        <v>0</v>
      </c>
      <c r="J441" s="553">
        <f>F4A!J441+F4B!J441</f>
        <v>0</v>
      </c>
      <c r="K441" s="553">
        <f>F4A!K441+F4B!K441</f>
        <v>0</v>
      </c>
      <c r="L441" s="553">
        <f>F4A!L441+F4B!L441</f>
        <v>0</v>
      </c>
      <c r="M441" s="553">
        <f>F4A!M441+F4B!M441</f>
        <v>0</v>
      </c>
      <c r="N441" s="553">
        <f>F4A!N441+F4B!N441</f>
        <v>0</v>
      </c>
      <c r="O441" s="553">
        <f>F4A!O441+F4B!O441</f>
        <v>0</v>
      </c>
      <c r="P441" s="553">
        <f>F4A!P441+F4B!P441</f>
        <v>0</v>
      </c>
      <c r="Q441" s="561">
        <f t="shared" si="39"/>
        <v>0</v>
      </c>
      <c r="R441" s="166"/>
      <c r="S441" s="166"/>
    </row>
    <row r="442" spans="3:19" hidden="1" x14ac:dyDescent="0.25">
      <c r="C442" s="556"/>
      <c r="D442" s="556"/>
      <c r="E442" s="553">
        <f>F4A!E442+F4B!E442</f>
        <v>0</v>
      </c>
      <c r="F442" s="553">
        <f>F4A!F442+F4B!F442</f>
        <v>0</v>
      </c>
      <c r="G442" s="553">
        <f>F4A!G442+F4B!G442</f>
        <v>0</v>
      </c>
      <c r="H442" s="553">
        <f>F4A!H442+F4B!H442</f>
        <v>0</v>
      </c>
      <c r="I442" s="553">
        <f>F4A!I442+F4B!I442</f>
        <v>0</v>
      </c>
      <c r="J442" s="553">
        <f>F4A!J442+F4B!J442</f>
        <v>0</v>
      </c>
      <c r="K442" s="553">
        <f>F4A!K442+F4B!K442</f>
        <v>0</v>
      </c>
      <c r="L442" s="553">
        <f>F4A!L442+F4B!L442</f>
        <v>0</v>
      </c>
      <c r="M442" s="553">
        <f>F4A!M442+F4B!M442</f>
        <v>0</v>
      </c>
      <c r="N442" s="553">
        <f>F4A!N442+F4B!N442</f>
        <v>0</v>
      </c>
      <c r="O442" s="553">
        <f>F4A!O442+F4B!O442</f>
        <v>0</v>
      </c>
      <c r="P442" s="553">
        <f>F4A!P442+F4B!P442</f>
        <v>0</v>
      </c>
      <c r="Q442" s="561">
        <f t="shared" si="39"/>
        <v>0</v>
      </c>
      <c r="R442" s="166"/>
      <c r="S442" s="166"/>
    </row>
    <row r="443" spans="3:19" hidden="1" x14ac:dyDescent="0.25">
      <c r="C443" s="556"/>
      <c r="D443" s="556"/>
      <c r="E443" s="553">
        <f>F4A!E443+F4B!E443</f>
        <v>0</v>
      </c>
      <c r="F443" s="553">
        <f>F4A!F443+F4B!F443</f>
        <v>0</v>
      </c>
      <c r="G443" s="553">
        <f>F4A!G443+F4B!G443</f>
        <v>0</v>
      </c>
      <c r="H443" s="553">
        <f>F4A!H443+F4B!H443</f>
        <v>0</v>
      </c>
      <c r="I443" s="553">
        <f>F4A!I443+F4B!I443</f>
        <v>0</v>
      </c>
      <c r="J443" s="553">
        <f>F4A!J443+F4B!J443</f>
        <v>0</v>
      </c>
      <c r="K443" s="553">
        <f>F4A!K443+F4B!K443</f>
        <v>0</v>
      </c>
      <c r="L443" s="553">
        <f>F4A!L443+F4B!L443</f>
        <v>0</v>
      </c>
      <c r="M443" s="553">
        <f>F4A!M443+F4B!M443</f>
        <v>0</v>
      </c>
      <c r="N443" s="553">
        <f>F4A!N443+F4B!N443</f>
        <v>0</v>
      </c>
      <c r="O443" s="553">
        <f>F4A!O443+F4B!O443</f>
        <v>0</v>
      </c>
      <c r="P443" s="553">
        <f>F4A!P443+F4B!P443</f>
        <v>0</v>
      </c>
      <c r="Q443" s="561">
        <f t="shared" ref="Q443:Q448" si="41">SUM(E443:P443)</f>
        <v>0</v>
      </c>
      <c r="R443" s="166"/>
      <c r="S443" s="166"/>
    </row>
    <row r="444" spans="3:19" hidden="1" x14ac:dyDescent="0.25">
      <c r="C444" s="556"/>
      <c r="D444" s="556"/>
      <c r="E444" s="553">
        <f>F4A!E444+F4B!E444</f>
        <v>0</v>
      </c>
      <c r="F444" s="553">
        <f>F4A!F444+F4B!F444</f>
        <v>0</v>
      </c>
      <c r="G444" s="553">
        <f>F4A!G444+F4B!G444</f>
        <v>0</v>
      </c>
      <c r="H444" s="553">
        <f>F4A!H444+F4B!H444</f>
        <v>0</v>
      </c>
      <c r="I444" s="553">
        <f>F4A!I444+F4B!I444</f>
        <v>0</v>
      </c>
      <c r="J444" s="553">
        <f>F4A!J444+F4B!J444</f>
        <v>0</v>
      </c>
      <c r="K444" s="553">
        <f>F4A!K444+F4B!K444</f>
        <v>0</v>
      </c>
      <c r="L444" s="553">
        <f>F4A!L444+F4B!L444</f>
        <v>0</v>
      </c>
      <c r="M444" s="553">
        <f>F4A!M444+F4B!M444</f>
        <v>0</v>
      </c>
      <c r="N444" s="553">
        <f>F4A!N444+F4B!N444</f>
        <v>0</v>
      </c>
      <c r="O444" s="553">
        <f>F4A!O444+F4B!O444</f>
        <v>0</v>
      </c>
      <c r="P444" s="553">
        <f>F4A!P444+F4B!P444</f>
        <v>0</v>
      </c>
      <c r="Q444" s="561">
        <f t="shared" si="41"/>
        <v>0</v>
      </c>
      <c r="R444" s="166"/>
      <c r="S444" s="166"/>
    </row>
    <row r="445" spans="3:19" hidden="1" x14ac:dyDescent="0.25">
      <c r="C445" s="556" t="s">
        <v>226</v>
      </c>
      <c r="D445" s="556" t="s">
        <v>226</v>
      </c>
      <c r="E445" s="553">
        <f>F4A!E445+F4B!E445</f>
        <v>0</v>
      </c>
      <c r="F445" s="553">
        <f>F4A!F445+F4B!F445</f>
        <v>0</v>
      </c>
      <c r="G445" s="553">
        <f>F4A!G445+F4B!G445</f>
        <v>0</v>
      </c>
      <c r="H445" s="553">
        <f>F4A!H445+F4B!H445</f>
        <v>0</v>
      </c>
      <c r="I445" s="553">
        <f>F4A!I445+F4B!I445</f>
        <v>0</v>
      </c>
      <c r="J445" s="553">
        <f>F4A!J445+F4B!J445</f>
        <v>0</v>
      </c>
      <c r="K445" s="553">
        <f>F4A!K445+F4B!K445</f>
        <v>0</v>
      </c>
      <c r="L445" s="553">
        <f>F4A!L445+F4B!L445</f>
        <v>0</v>
      </c>
      <c r="M445" s="553">
        <f>F4A!M445+F4B!M445</f>
        <v>0</v>
      </c>
      <c r="N445" s="553">
        <f>F4A!N445+F4B!N445</f>
        <v>0</v>
      </c>
      <c r="O445" s="553">
        <f>F4A!O445+F4B!O445</f>
        <v>0</v>
      </c>
      <c r="P445" s="553">
        <f>F4A!P445+F4B!P445</f>
        <v>0</v>
      </c>
      <c r="Q445" s="561">
        <f t="shared" si="41"/>
        <v>0</v>
      </c>
      <c r="R445" s="166"/>
      <c r="S445" s="166"/>
    </row>
    <row r="446" spans="3:19" x14ac:dyDescent="0.25">
      <c r="C446" s="739" t="s">
        <v>212</v>
      </c>
      <c r="D446" s="740"/>
      <c r="E446" s="561">
        <f t="shared" ref="E446:P446" si="42">SUM(E429:E445)</f>
        <v>357.64328812000002</v>
      </c>
      <c r="F446" s="561">
        <f t="shared" si="42"/>
        <v>169.47063177999999</v>
      </c>
      <c r="G446" s="561">
        <f t="shared" si="42"/>
        <v>127.54531446</v>
      </c>
      <c r="H446" s="561">
        <f t="shared" si="42"/>
        <v>380.26127379000002</v>
      </c>
      <c r="I446" s="561">
        <f t="shared" si="42"/>
        <v>126.35375582000002</v>
      </c>
      <c r="J446" s="561">
        <f t="shared" si="42"/>
        <v>175.13891323999999</v>
      </c>
      <c r="K446" s="561">
        <f t="shared" si="42"/>
        <v>191.24406662000004</v>
      </c>
      <c r="L446" s="561">
        <f t="shared" si="42"/>
        <v>256.82802692000001</v>
      </c>
      <c r="M446" s="561">
        <f t="shared" si="42"/>
        <v>133.38955189000001</v>
      </c>
      <c r="N446" s="561">
        <f t="shared" si="42"/>
        <v>230.55577894999999</v>
      </c>
      <c r="O446" s="561">
        <f t="shared" si="42"/>
        <v>244.78889781999999</v>
      </c>
      <c r="P446" s="561">
        <f t="shared" si="42"/>
        <v>261.00297367379318</v>
      </c>
      <c r="Q446" s="561">
        <f t="shared" si="41"/>
        <v>2654.2224730837929</v>
      </c>
      <c r="R446" s="166"/>
      <c r="S446" s="166"/>
    </row>
    <row r="447" spans="3:19" x14ac:dyDescent="0.25">
      <c r="C447" s="739" t="s">
        <v>219</v>
      </c>
      <c r="D447" s="740"/>
      <c r="E447" s="561">
        <f t="shared" ref="E447:P447" si="43">E446+E427+E410</f>
        <v>614.34219385999995</v>
      </c>
      <c r="F447" s="561">
        <f t="shared" si="43"/>
        <v>376.80813067999998</v>
      </c>
      <c r="G447" s="561">
        <f t="shared" si="43"/>
        <v>366.06222604000004</v>
      </c>
      <c r="H447" s="561">
        <f t="shared" si="43"/>
        <v>639.83961485000009</v>
      </c>
      <c r="I447" s="561">
        <f t="shared" si="43"/>
        <v>401.59797160000005</v>
      </c>
      <c r="J447" s="561">
        <f t="shared" si="43"/>
        <v>435.15837462000002</v>
      </c>
      <c r="K447" s="561">
        <f t="shared" si="43"/>
        <v>458.49488359000009</v>
      </c>
      <c r="L447" s="561">
        <f t="shared" si="43"/>
        <v>483.07902677000004</v>
      </c>
      <c r="M447" s="561">
        <f t="shared" si="43"/>
        <v>421.90863162999995</v>
      </c>
      <c r="N447" s="561">
        <f t="shared" si="43"/>
        <v>546.37741490999997</v>
      </c>
      <c r="O447" s="561">
        <f t="shared" si="43"/>
        <v>557.32123088000003</v>
      </c>
      <c r="P447" s="561">
        <f t="shared" si="43"/>
        <v>585.8319952400002</v>
      </c>
      <c r="Q447" s="561">
        <f t="shared" si="41"/>
        <v>5886.8216946699995</v>
      </c>
      <c r="R447" s="166"/>
      <c r="S447" s="166"/>
    </row>
    <row r="448" spans="3:19" x14ac:dyDescent="0.25">
      <c r="C448" s="739" t="s">
        <v>220</v>
      </c>
      <c r="D448" s="740"/>
      <c r="E448" s="561">
        <f t="shared" ref="E448:P448" si="44">E447+E393</f>
        <v>1819.9644943584228</v>
      </c>
      <c r="F448" s="561">
        <f t="shared" si="44"/>
        <v>1143.7901636799998</v>
      </c>
      <c r="G448" s="561">
        <f t="shared" si="44"/>
        <v>1292.2317980400001</v>
      </c>
      <c r="H448" s="561">
        <f t="shared" si="44"/>
        <v>1603.5537448499999</v>
      </c>
      <c r="I448" s="561">
        <f t="shared" si="44"/>
        <v>1861.5440416000001</v>
      </c>
      <c r="J448" s="561">
        <f t="shared" si="44"/>
        <v>1574.2137036200002</v>
      </c>
      <c r="K448" s="561">
        <f t="shared" si="44"/>
        <v>2058.12659059</v>
      </c>
      <c r="L448" s="561">
        <f t="shared" si="44"/>
        <v>1441.1515697700002</v>
      </c>
      <c r="M448" s="561">
        <f t="shared" si="44"/>
        <v>1534.2130346299998</v>
      </c>
      <c r="N448" s="561">
        <f t="shared" si="44"/>
        <v>2038.1271669099997</v>
      </c>
      <c r="O448" s="561">
        <f t="shared" si="44"/>
        <v>2204.0351778799995</v>
      </c>
      <c r="P448" s="561">
        <f t="shared" si="44"/>
        <v>2492.5507958752887</v>
      </c>
      <c r="Q448" s="561">
        <f t="shared" si="41"/>
        <v>21063.502281803711</v>
      </c>
      <c r="R448" s="166"/>
      <c r="S448" s="166"/>
    </row>
    <row r="449" spans="3:19" x14ac:dyDescent="0.25">
      <c r="C449" s="559"/>
      <c r="D449" s="559"/>
      <c r="E449" s="562"/>
      <c r="F449" s="562"/>
      <c r="G449" s="562"/>
      <c r="H449" s="562"/>
      <c r="I449" s="562"/>
      <c r="J449" s="562"/>
      <c r="K449" s="562"/>
      <c r="L449" s="562"/>
      <c r="M449" s="562"/>
      <c r="N449" s="562"/>
      <c r="O449" s="562"/>
      <c r="P449" s="562"/>
      <c r="Q449" s="562"/>
      <c r="R449" s="166"/>
      <c r="S449" s="166"/>
    </row>
    <row r="450" spans="3:19" x14ac:dyDescent="0.25">
      <c r="C450" s="563"/>
      <c r="D450" s="559"/>
      <c r="E450" s="562"/>
      <c r="F450" s="562"/>
      <c r="G450" s="562"/>
      <c r="H450" s="562"/>
      <c r="I450" s="562"/>
      <c r="J450" s="562"/>
      <c r="K450" s="562"/>
      <c r="L450" s="562"/>
      <c r="M450" s="562"/>
      <c r="N450" s="562"/>
      <c r="O450" s="562"/>
      <c r="P450" s="562"/>
      <c r="Q450" s="564" t="s">
        <v>229</v>
      </c>
      <c r="R450" s="166"/>
      <c r="S450" s="166"/>
    </row>
    <row r="451" spans="3:19" x14ac:dyDescent="0.25">
      <c r="C451" s="734" t="s">
        <v>163</v>
      </c>
      <c r="D451" s="734"/>
      <c r="E451" s="769" t="s">
        <v>1221</v>
      </c>
      <c r="F451" s="769"/>
      <c r="G451" s="769"/>
      <c r="H451" s="769"/>
      <c r="I451" s="769"/>
      <c r="J451" s="769"/>
      <c r="K451" s="769"/>
      <c r="L451" s="769"/>
      <c r="M451" s="769"/>
      <c r="N451" s="769"/>
      <c r="O451" s="769"/>
      <c r="P451" s="769"/>
      <c r="Q451" s="769"/>
      <c r="R451" s="166"/>
      <c r="S451" s="166"/>
    </row>
    <row r="452" spans="3:19" x14ac:dyDescent="0.25">
      <c r="C452" s="734"/>
      <c r="D452" s="734"/>
      <c r="E452" s="560" t="s">
        <v>239</v>
      </c>
      <c r="F452" s="560" t="s">
        <v>240</v>
      </c>
      <c r="G452" s="560" t="s">
        <v>241</v>
      </c>
      <c r="H452" s="560" t="s">
        <v>242</v>
      </c>
      <c r="I452" s="560" t="s">
        <v>243</v>
      </c>
      <c r="J452" s="560" t="s">
        <v>244</v>
      </c>
      <c r="K452" s="560" t="s">
        <v>245</v>
      </c>
      <c r="L452" s="560" t="s">
        <v>246</v>
      </c>
      <c r="M452" s="560" t="s">
        <v>247</v>
      </c>
      <c r="N452" s="560" t="s">
        <v>248</v>
      </c>
      <c r="O452" s="560" t="s">
        <v>249</v>
      </c>
      <c r="P452" s="560" t="s">
        <v>250</v>
      </c>
      <c r="Q452" s="560" t="s">
        <v>251</v>
      </c>
      <c r="R452" s="166"/>
      <c r="S452" s="166"/>
    </row>
    <row r="453" spans="3:19" x14ac:dyDescent="0.25">
      <c r="C453" s="739" t="s">
        <v>171</v>
      </c>
      <c r="D453" s="740"/>
      <c r="E453" s="553"/>
      <c r="F453" s="553"/>
      <c r="G453" s="553"/>
      <c r="H453" s="553"/>
      <c r="I453" s="553"/>
      <c r="J453" s="553"/>
      <c r="K453" s="553"/>
      <c r="L453" s="553"/>
      <c r="M453" s="553"/>
      <c r="N453" s="553"/>
      <c r="O453" s="553"/>
      <c r="P453" s="553"/>
      <c r="Q453" s="561">
        <f t="shared" ref="Q453:Q484" si="45">SUM(E453:P453)</f>
        <v>0</v>
      </c>
      <c r="R453" s="166"/>
      <c r="S453" s="166"/>
    </row>
    <row r="454" spans="3:19" x14ac:dyDescent="0.25">
      <c r="C454" s="556" t="s">
        <v>172</v>
      </c>
      <c r="D454" s="556" t="s">
        <v>173</v>
      </c>
      <c r="E454" s="553">
        <f>F4A!E454+F4B!E454</f>
        <v>385.71098199999994</v>
      </c>
      <c r="F454" s="553">
        <f>F4A!F454+F4B!F454</f>
        <v>463.19762000000003</v>
      </c>
      <c r="G454" s="553">
        <f>F4A!G454+F4B!G454</f>
        <v>492.18432900000005</v>
      </c>
      <c r="H454" s="553">
        <f>F4A!H454+F4B!H454</f>
        <v>423.90121800000003</v>
      </c>
      <c r="I454" s="553">
        <f>F4A!I454+F4B!I454</f>
        <v>379.95671099999993</v>
      </c>
      <c r="J454" s="553">
        <f>F4A!J454+F4B!J454</f>
        <v>411.79402400000004</v>
      </c>
      <c r="K454" s="553">
        <f>F4A!K454+F4B!K454</f>
        <v>377.28490246332501</v>
      </c>
      <c r="L454" s="553">
        <f>F4A!L454+F4B!L454</f>
        <v>374.48763385761737</v>
      </c>
      <c r="M454" s="553">
        <f>F4A!M454+F4B!M454</f>
        <v>319.20095399533659</v>
      </c>
      <c r="N454" s="553">
        <f>F4A!N454+F4B!N454</f>
        <v>258.91367873293393</v>
      </c>
      <c r="O454" s="553">
        <f>F4A!O454+F4B!O454</f>
        <v>311.93961197125441</v>
      </c>
      <c r="P454" s="553">
        <f>F4A!P454+F4B!P454</f>
        <v>319.93783504461214</v>
      </c>
      <c r="Q454" s="561">
        <f t="shared" si="45"/>
        <v>4518.509500065079</v>
      </c>
      <c r="R454" s="166"/>
      <c r="S454" s="166"/>
    </row>
    <row r="455" spans="3:19" x14ac:dyDescent="0.25">
      <c r="C455" s="556" t="s">
        <v>174</v>
      </c>
      <c r="D455" s="556" t="s">
        <v>175</v>
      </c>
      <c r="E455" s="553">
        <f>F4A!E455+F4B!E455</f>
        <v>89.531622999999982</v>
      </c>
      <c r="F455" s="553">
        <f>F4A!F455+F4B!F455</f>
        <v>97.91225900000002</v>
      </c>
      <c r="G455" s="553">
        <f>F4A!G455+F4B!G455</f>
        <v>99.268553999999995</v>
      </c>
      <c r="H455" s="553">
        <f>F4A!H455+F4B!H455</f>
        <v>89.213927000000027</v>
      </c>
      <c r="I455" s="553">
        <f>F4A!I455+F4B!I455</f>
        <v>84.157735000000002</v>
      </c>
      <c r="J455" s="553">
        <f>F4A!J455+F4B!J455</f>
        <v>88.745399000000006</v>
      </c>
      <c r="K455" s="553">
        <f>F4A!K455+F4B!K455</f>
        <v>84.125964798125565</v>
      </c>
      <c r="L455" s="553">
        <f>F4A!L455+F4B!L455</f>
        <v>87.041895653281443</v>
      </c>
      <c r="M455" s="553">
        <f>F4A!M455+F4B!M455</f>
        <v>79.419400837966663</v>
      </c>
      <c r="N455" s="553">
        <f>F4A!N455+F4B!N455</f>
        <v>71.811652299341119</v>
      </c>
      <c r="O455" s="553">
        <f>F4A!O455+F4B!O455</f>
        <v>78.127790704472559</v>
      </c>
      <c r="P455" s="553">
        <f>F4A!P455+F4B!P455</f>
        <v>81.427937912120541</v>
      </c>
      <c r="Q455" s="561">
        <f t="shared" si="45"/>
        <v>1030.7841392053081</v>
      </c>
      <c r="R455" s="166"/>
      <c r="S455" s="166"/>
    </row>
    <row r="456" spans="3:19" x14ac:dyDescent="0.25">
      <c r="C456" s="556" t="s">
        <v>176</v>
      </c>
      <c r="D456" s="556" t="s">
        <v>177</v>
      </c>
      <c r="E456" s="553">
        <f>F4A!E456+F4B!E456</f>
        <v>20.214950999999996</v>
      </c>
      <c r="F456" s="553">
        <f>F4A!F456+F4B!F456</f>
        <v>21.266035000000002</v>
      </c>
      <c r="G456" s="553">
        <f>F4A!G456+F4B!G456</f>
        <v>21.9161</v>
      </c>
      <c r="H456" s="553">
        <f>F4A!H456+F4B!H456</f>
        <v>18.541379999999997</v>
      </c>
      <c r="I456" s="553">
        <f>F4A!I456+F4B!I456</f>
        <v>16.205666999999998</v>
      </c>
      <c r="J456" s="553">
        <f>F4A!J456+F4B!J456</f>
        <v>16.194275000000001</v>
      </c>
      <c r="K456" s="553">
        <f>F4A!K456+F4B!K456</f>
        <v>16.245231959999998</v>
      </c>
      <c r="L456" s="553">
        <f>F4A!L456+F4B!L456</f>
        <v>18.77506554</v>
      </c>
      <c r="M456" s="553">
        <f>F4A!M456+F4B!M456</f>
        <v>20.055879540000007</v>
      </c>
      <c r="N456" s="553">
        <f>F4A!N456+F4B!N456</f>
        <v>25.767980519999995</v>
      </c>
      <c r="O456" s="553">
        <f>F4A!O456+F4B!O456</f>
        <v>24.192603780000006</v>
      </c>
      <c r="P456" s="553">
        <f>F4A!P456+F4B!P456</f>
        <v>19.936105020000003</v>
      </c>
      <c r="Q456" s="561">
        <f t="shared" si="45"/>
        <v>239.31127436000008</v>
      </c>
      <c r="R456" s="166"/>
      <c r="S456" s="166"/>
    </row>
    <row r="457" spans="3:19" x14ac:dyDescent="0.25">
      <c r="C457" s="556" t="s">
        <v>178</v>
      </c>
      <c r="D457" s="556" t="s">
        <v>179</v>
      </c>
      <c r="E457" s="553">
        <f>F4A!E457+F4B!E457</f>
        <v>0.71792399999999978</v>
      </c>
      <c r="F457" s="553">
        <f>F4A!F457+F4B!F457</f>
        <v>0.74621400000000004</v>
      </c>
      <c r="G457" s="553">
        <f>F4A!G457+F4B!G457</f>
        <v>0.74058299999999999</v>
      </c>
      <c r="H457" s="553">
        <f>F4A!H457+F4B!H457</f>
        <v>0.67259199999999997</v>
      </c>
      <c r="I457" s="553">
        <f>F4A!I457+F4B!I457</f>
        <v>0.65379700000000018</v>
      </c>
      <c r="J457" s="553">
        <f>F4A!J457+F4B!J457</f>
        <v>0.69088899999999998</v>
      </c>
      <c r="K457" s="553">
        <f>F4A!K457+F4B!K457</f>
        <v>0.69751083642922396</v>
      </c>
      <c r="L457" s="553">
        <f>F4A!L457+F4B!L457</f>
        <v>0.68288797633528664</v>
      </c>
      <c r="M457" s="553">
        <f>F4A!M457+F4B!M457</f>
        <v>0.66105104894381506</v>
      </c>
      <c r="N457" s="553">
        <f>F4A!N457+F4B!N457</f>
        <v>0.63045249897433131</v>
      </c>
      <c r="O457" s="553">
        <f>F4A!O457+F4B!O457</f>
        <v>0.66223682474481593</v>
      </c>
      <c r="P457" s="553">
        <f>F4A!P457+F4B!P457</f>
        <v>0.67294672718255388</v>
      </c>
      <c r="Q457" s="561">
        <f t="shared" si="45"/>
        <v>8.2290849126100269</v>
      </c>
      <c r="R457" s="166"/>
      <c r="S457" s="166"/>
    </row>
    <row r="458" spans="3:19" x14ac:dyDescent="0.25">
      <c r="C458" s="556" t="s">
        <v>180</v>
      </c>
      <c r="D458" s="556" t="s">
        <v>181</v>
      </c>
      <c r="E458" s="553">
        <f>F4A!E458+F4B!E458</f>
        <v>714.06399999999996</v>
      </c>
      <c r="F458" s="553">
        <f>F4A!F458+F4B!F458</f>
        <v>264.87499999999994</v>
      </c>
      <c r="G458" s="553">
        <f>F4A!G458+F4B!G458</f>
        <v>299.49699999999996</v>
      </c>
      <c r="H458" s="553">
        <f>F4A!H458+F4B!H458</f>
        <v>528.07299999999998</v>
      </c>
      <c r="I458" s="553">
        <f>F4A!I458+F4B!I458</f>
        <v>765.63200000000018</v>
      </c>
      <c r="J458" s="553">
        <f>F4A!J458+F4B!J458</f>
        <v>655.23199999999997</v>
      </c>
      <c r="K458" s="553">
        <f>F4A!K458+F4B!K458</f>
        <v>1208.9241786113096</v>
      </c>
      <c r="L458" s="553">
        <f>F4A!L458+F4B!L458</f>
        <v>514.22101294729043</v>
      </c>
      <c r="M458" s="553">
        <f>F4A!M458+F4B!M458</f>
        <v>740.35920175824708</v>
      </c>
      <c r="N458" s="553">
        <f>F4A!N458+F4B!N458</f>
        <v>1210.0854993909265</v>
      </c>
      <c r="O458" s="553">
        <f>F4A!O458+F4B!O458</f>
        <v>1319.0636262907999</v>
      </c>
      <c r="P458" s="553">
        <f>F4A!P458+F4B!P458</f>
        <v>1592.438144937101</v>
      </c>
      <c r="Q458" s="561">
        <f t="shared" si="45"/>
        <v>9812.4646639356743</v>
      </c>
      <c r="R458" s="166"/>
      <c r="S458" s="166"/>
    </row>
    <row r="459" spans="3:19" x14ac:dyDescent="0.25">
      <c r="C459" s="556" t="s">
        <v>182</v>
      </c>
      <c r="D459" s="556" t="s">
        <v>183</v>
      </c>
      <c r="E459" s="553">
        <f>F4A!E459+F4B!E459</f>
        <v>32.502114999999989</v>
      </c>
      <c r="F459" s="553">
        <f>F4A!F459+F4B!F459</f>
        <v>32.542159999999996</v>
      </c>
      <c r="G459" s="553">
        <f>F4A!G459+F4B!G459</f>
        <v>32.640613000000002</v>
      </c>
      <c r="H459" s="553">
        <f>F4A!H459+F4B!H459</f>
        <v>28.829748000000002</v>
      </c>
      <c r="I459" s="553">
        <f>F4A!I459+F4B!I459</f>
        <v>28.951825999999993</v>
      </c>
      <c r="J459" s="553">
        <f>F4A!J459+F4B!J459</f>
        <v>29.353164999999997</v>
      </c>
      <c r="K459" s="553">
        <f>F4A!K459+F4B!K459</f>
        <v>29.992966452489167</v>
      </c>
      <c r="L459" s="553">
        <f>F4A!L459+F4B!L459</f>
        <v>33.61418586728761</v>
      </c>
      <c r="M459" s="553">
        <f>F4A!M459+F4B!M459</f>
        <v>32.929728550497408</v>
      </c>
      <c r="N459" s="553">
        <f>F4A!N459+F4B!N459</f>
        <v>32.871607436485831</v>
      </c>
      <c r="O459" s="553">
        <f>F4A!O459+F4B!O459</f>
        <v>33.77918202016555</v>
      </c>
      <c r="P459" s="553">
        <f>F4A!P459+F4B!P459</f>
        <v>32.124065987676175</v>
      </c>
      <c r="Q459" s="561">
        <f t="shared" si="45"/>
        <v>380.13136331460169</v>
      </c>
      <c r="R459" s="166"/>
      <c r="S459" s="166"/>
    </row>
    <row r="460" spans="3:19" x14ac:dyDescent="0.25">
      <c r="C460" s="556" t="s">
        <v>184</v>
      </c>
      <c r="D460" s="556" t="s">
        <v>185</v>
      </c>
      <c r="E460" s="553">
        <f>F4A!E460+F4B!E460</f>
        <v>6.7563279999999999</v>
      </c>
      <c r="F460" s="553">
        <f>F4A!F460+F4B!F460</f>
        <v>5.1689550000000004</v>
      </c>
      <c r="G460" s="553">
        <f>F4A!G460+F4B!G460</f>
        <v>3.6585529999999995</v>
      </c>
      <c r="H460" s="553">
        <f>F4A!H460+F4B!H460</f>
        <v>5.1230949999999993</v>
      </c>
      <c r="I460" s="553">
        <f>F4A!I460+F4B!I460</f>
        <v>6.9326870000000005</v>
      </c>
      <c r="J460" s="553">
        <f>F4A!J460+F4B!J460</f>
        <v>7.2515500000000008</v>
      </c>
      <c r="K460" s="553">
        <f>F4A!K460+F4B!K460</f>
        <v>6.515053727615804</v>
      </c>
      <c r="L460" s="553">
        <f>F4A!L460+F4B!L460</f>
        <v>4.7935500151150316</v>
      </c>
      <c r="M460" s="553">
        <f>F4A!M460+F4B!M460</f>
        <v>5.9407274850577565</v>
      </c>
      <c r="N460" s="553">
        <f>F4A!N460+F4B!N460</f>
        <v>5.0445373505240623</v>
      </c>
      <c r="O460" s="553">
        <f>F4A!O460+F4B!O460</f>
        <v>4.9371759820212073</v>
      </c>
      <c r="P460" s="553">
        <f>F4A!P460+F4B!P460</f>
        <v>6.1433872986773057</v>
      </c>
      <c r="Q460" s="561">
        <f t="shared" si="45"/>
        <v>68.265599859011161</v>
      </c>
      <c r="R460" s="166"/>
      <c r="S460" s="166"/>
    </row>
    <row r="461" spans="3:19" x14ac:dyDescent="0.25">
      <c r="C461" s="556" t="s">
        <v>186</v>
      </c>
      <c r="D461" s="556" t="s">
        <v>187</v>
      </c>
      <c r="E461" s="553">
        <f>F4A!E461+F4B!E461</f>
        <v>1.2602660000000001</v>
      </c>
      <c r="F461" s="553">
        <f>F4A!F461+F4B!F461</f>
        <v>1.385839</v>
      </c>
      <c r="G461" s="553">
        <f>F4A!G461+F4B!G461</f>
        <v>1.438409</v>
      </c>
      <c r="H461" s="553">
        <f>F4A!H461+F4B!H461</f>
        <v>1.2869579999999998</v>
      </c>
      <c r="I461" s="553">
        <f>F4A!I461+F4B!I461</f>
        <v>1.295342</v>
      </c>
      <c r="J461" s="553">
        <f>F4A!J461+F4B!J461</f>
        <v>1.2992269999999999</v>
      </c>
      <c r="K461" s="553">
        <f>F4A!K461+F4B!K461</f>
        <v>1.2890514000000002</v>
      </c>
      <c r="L461" s="553">
        <f>F4A!L461+F4B!L461</f>
        <v>1.3268660999999999</v>
      </c>
      <c r="M461" s="553">
        <f>F4A!M461+F4B!M461</f>
        <v>1.0807030500000001</v>
      </c>
      <c r="N461" s="553">
        <f>F4A!N461+F4B!N461</f>
        <v>1.1018511000000002</v>
      </c>
      <c r="O461" s="553">
        <f>F4A!O461+F4B!O461</f>
        <v>1.2314788500000002</v>
      </c>
      <c r="P461" s="553">
        <f>F4A!P461+F4B!P461</f>
        <v>1.2284800499999999</v>
      </c>
      <c r="Q461" s="561">
        <f t="shared" si="45"/>
        <v>15.224471550000001</v>
      </c>
      <c r="R461" s="166"/>
      <c r="S461" s="166"/>
    </row>
    <row r="462" spans="3:19" x14ac:dyDescent="0.25">
      <c r="C462" s="556" t="s">
        <v>188</v>
      </c>
      <c r="D462" s="556" t="s">
        <v>189</v>
      </c>
      <c r="E462" s="553">
        <f>F4A!E462+F4B!E462</f>
        <v>1.4302000000000002E-2</v>
      </c>
      <c r="F462" s="553">
        <f>F4A!F462+F4B!F462</f>
        <v>1.1467E-2</v>
      </c>
      <c r="G462" s="553">
        <f>F4A!G462+F4B!G462</f>
        <v>1.5811000000000002E-2</v>
      </c>
      <c r="H462" s="553">
        <f>F4A!H462+F4B!H462</f>
        <v>1.3339999999999999E-2</v>
      </c>
      <c r="I462" s="553">
        <f>F4A!I462+F4B!I462</f>
        <v>1.4573000000000001E-2</v>
      </c>
      <c r="J462" s="553">
        <f>F4A!J462+F4B!J462</f>
        <v>1.4573000000000001E-2</v>
      </c>
      <c r="K462" s="553">
        <f>F4A!K462+F4B!K462</f>
        <v>9.4604999999999984E-3</v>
      </c>
      <c r="L462" s="553">
        <f>F4A!L462+F4B!L462</f>
        <v>1.5649200000000002E-2</v>
      </c>
      <c r="M462" s="553">
        <f>F4A!M462+F4B!M462</f>
        <v>1.3201650000000002E-2</v>
      </c>
      <c r="N462" s="553">
        <f>F4A!N462+F4B!N462</f>
        <v>1.4032200000000002E-2</v>
      </c>
      <c r="O462" s="553">
        <f>F4A!O462+F4B!O462</f>
        <v>1.6238250000000003E-2</v>
      </c>
      <c r="P462" s="553">
        <f>F4A!P462+F4B!P462</f>
        <v>1.5020249999999999E-2</v>
      </c>
      <c r="Q462" s="561">
        <f t="shared" si="45"/>
        <v>0.16766805000000001</v>
      </c>
      <c r="R462" s="166"/>
      <c r="S462" s="166"/>
    </row>
    <row r="463" spans="3:19" hidden="1" x14ac:dyDescent="0.25">
      <c r="C463" s="556"/>
      <c r="D463" s="556"/>
      <c r="E463" s="553">
        <f>F4A!E463+F4B!E463</f>
        <v>0</v>
      </c>
      <c r="F463" s="553">
        <f>F4A!F463+F4B!F463</f>
        <v>0</v>
      </c>
      <c r="G463" s="553">
        <f>F4A!G463+F4B!G463</f>
        <v>0</v>
      </c>
      <c r="H463" s="553">
        <f>F4A!H463+F4B!H463</f>
        <v>0</v>
      </c>
      <c r="I463" s="553">
        <f>F4A!I463+F4B!I463</f>
        <v>0</v>
      </c>
      <c r="J463" s="553">
        <f>F4A!J463+F4B!J463</f>
        <v>0</v>
      </c>
      <c r="K463" s="553">
        <f>F4A!K463+F4B!K463</f>
        <v>0</v>
      </c>
      <c r="L463" s="553">
        <f>F4A!L463+F4B!L463</f>
        <v>0</v>
      </c>
      <c r="M463" s="553">
        <f>F4A!M463+F4B!M463</f>
        <v>0</v>
      </c>
      <c r="N463" s="553">
        <f>F4A!N463+F4B!N463</f>
        <v>0</v>
      </c>
      <c r="O463" s="553">
        <f>F4A!O463+F4B!O463</f>
        <v>0</v>
      </c>
      <c r="P463" s="553">
        <f>F4A!P463+F4B!P463</f>
        <v>0</v>
      </c>
      <c r="Q463" s="561">
        <f t="shared" si="45"/>
        <v>0</v>
      </c>
      <c r="R463" s="166"/>
      <c r="S463" s="166"/>
    </row>
    <row r="464" spans="3:19" hidden="1" x14ac:dyDescent="0.25">
      <c r="C464" s="556"/>
      <c r="D464" s="556"/>
      <c r="E464" s="553">
        <f>F4A!E464+F4B!E464</f>
        <v>0</v>
      </c>
      <c r="F464" s="553">
        <f>F4A!F464+F4B!F464</f>
        <v>0</v>
      </c>
      <c r="G464" s="553">
        <f>F4A!G464+F4B!G464</f>
        <v>0</v>
      </c>
      <c r="H464" s="553">
        <f>F4A!H464+F4B!H464</f>
        <v>0</v>
      </c>
      <c r="I464" s="553">
        <f>F4A!I464+F4B!I464</f>
        <v>0</v>
      </c>
      <c r="J464" s="553">
        <f>F4A!J464+F4B!J464</f>
        <v>0</v>
      </c>
      <c r="K464" s="553">
        <f>F4A!K464+F4B!K464</f>
        <v>0</v>
      </c>
      <c r="L464" s="553">
        <f>F4A!L464+F4B!L464</f>
        <v>0</v>
      </c>
      <c r="M464" s="553">
        <f>F4A!M464+F4B!M464</f>
        <v>0</v>
      </c>
      <c r="N464" s="553">
        <f>F4A!N464+F4B!N464</f>
        <v>0</v>
      </c>
      <c r="O464" s="553">
        <f>F4A!O464+F4B!O464</f>
        <v>0</v>
      </c>
      <c r="P464" s="553">
        <f>F4A!P464+F4B!P464</f>
        <v>0</v>
      </c>
      <c r="Q464" s="561">
        <f t="shared" si="45"/>
        <v>0</v>
      </c>
      <c r="R464" s="166"/>
      <c r="S464" s="166"/>
    </row>
    <row r="465" spans="3:19" hidden="1" x14ac:dyDescent="0.25">
      <c r="C465" s="556"/>
      <c r="D465" s="556"/>
      <c r="E465" s="553">
        <f>F4A!E465+F4B!E465</f>
        <v>0</v>
      </c>
      <c r="F465" s="553">
        <f>F4A!F465+F4B!F465</f>
        <v>0</v>
      </c>
      <c r="G465" s="553">
        <f>F4A!G465+F4B!G465</f>
        <v>0</v>
      </c>
      <c r="H465" s="553">
        <f>F4A!H465+F4B!H465</f>
        <v>0</v>
      </c>
      <c r="I465" s="553">
        <f>F4A!I465+F4B!I465</f>
        <v>0</v>
      </c>
      <c r="J465" s="553">
        <f>F4A!J465+F4B!J465</f>
        <v>0</v>
      </c>
      <c r="K465" s="553">
        <f>F4A!K465+F4B!K465</f>
        <v>0</v>
      </c>
      <c r="L465" s="553">
        <f>F4A!L465+F4B!L465</f>
        <v>0</v>
      </c>
      <c r="M465" s="553">
        <f>F4A!M465+F4B!M465</f>
        <v>0</v>
      </c>
      <c r="N465" s="553">
        <f>F4A!N465+F4B!N465</f>
        <v>0</v>
      </c>
      <c r="O465" s="553">
        <f>F4A!O465+F4B!O465</f>
        <v>0</v>
      </c>
      <c r="P465" s="553">
        <f>F4A!P465+F4B!P465</f>
        <v>0</v>
      </c>
      <c r="Q465" s="561">
        <f t="shared" si="45"/>
        <v>0</v>
      </c>
      <c r="R465" s="166"/>
      <c r="S465" s="166"/>
    </row>
    <row r="466" spans="3:19" hidden="1" x14ac:dyDescent="0.25">
      <c r="C466" s="556" t="s">
        <v>226</v>
      </c>
      <c r="D466" s="556" t="s">
        <v>226</v>
      </c>
      <c r="E466" s="553">
        <f>F4A!E466+F4B!E466</f>
        <v>0</v>
      </c>
      <c r="F466" s="553">
        <f>F4A!F466+F4B!F466</f>
        <v>0</v>
      </c>
      <c r="G466" s="553">
        <f>F4A!G466+F4B!G466</f>
        <v>0</v>
      </c>
      <c r="H466" s="553">
        <f>F4A!H466+F4B!H466</f>
        <v>0</v>
      </c>
      <c r="I466" s="553">
        <f>F4A!I466+F4B!I466</f>
        <v>0</v>
      </c>
      <c r="J466" s="553">
        <f>F4A!J466+F4B!J466</f>
        <v>0</v>
      </c>
      <c r="K466" s="553">
        <f>F4A!K466+F4B!K466</f>
        <v>0</v>
      </c>
      <c r="L466" s="553">
        <f>F4A!L466+F4B!L466</f>
        <v>0</v>
      </c>
      <c r="M466" s="553">
        <f>F4A!M466+F4B!M466</f>
        <v>0</v>
      </c>
      <c r="N466" s="553">
        <f>F4A!N466+F4B!N466</f>
        <v>0</v>
      </c>
      <c r="O466" s="553">
        <f>F4A!O466+F4B!O466</f>
        <v>0</v>
      </c>
      <c r="P466" s="553">
        <f>F4A!P466+F4B!P466</f>
        <v>0</v>
      </c>
      <c r="Q466" s="561">
        <f t="shared" si="45"/>
        <v>0</v>
      </c>
      <c r="R466" s="166"/>
      <c r="S466" s="166"/>
    </row>
    <row r="467" spans="3:19" x14ac:dyDescent="0.25">
      <c r="C467" s="739" t="s">
        <v>190</v>
      </c>
      <c r="D467" s="740"/>
      <c r="E467" s="561">
        <f t="shared" ref="E467:P467" si="46">SUM(E454:E466)</f>
        <v>1250.7724909999997</v>
      </c>
      <c r="F467" s="561">
        <f t="shared" si="46"/>
        <v>887.105549</v>
      </c>
      <c r="G467" s="561">
        <f t="shared" si="46"/>
        <v>951.35995200000002</v>
      </c>
      <c r="H467" s="561">
        <f t="shared" si="46"/>
        <v>1095.655258</v>
      </c>
      <c r="I467" s="561">
        <f t="shared" si="46"/>
        <v>1283.800338</v>
      </c>
      <c r="J467" s="561">
        <f t="shared" si="46"/>
        <v>1210.5751019999998</v>
      </c>
      <c r="K467" s="561">
        <f t="shared" si="46"/>
        <v>1725.0843207492942</v>
      </c>
      <c r="L467" s="561">
        <f t="shared" si="46"/>
        <v>1034.9587471569273</v>
      </c>
      <c r="M467" s="561">
        <f t="shared" si="46"/>
        <v>1199.6608479160493</v>
      </c>
      <c r="N467" s="561">
        <f t="shared" si="46"/>
        <v>1606.2412915291857</v>
      </c>
      <c r="O467" s="561">
        <f t="shared" si="46"/>
        <v>1773.9499446734585</v>
      </c>
      <c r="P467" s="561">
        <f t="shared" si="46"/>
        <v>2053.9239232273699</v>
      </c>
      <c r="Q467" s="561">
        <f t="shared" si="45"/>
        <v>16073.087765252285</v>
      </c>
      <c r="R467" s="166"/>
      <c r="S467" s="166"/>
    </row>
    <row r="468" spans="3:19" x14ac:dyDescent="0.25">
      <c r="C468" s="739" t="s">
        <v>191</v>
      </c>
      <c r="D468" s="740"/>
      <c r="E468" s="553"/>
      <c r="F468" s="553"/>
      <c r="G468" s="553"/>
      <c r="H468" s="553"/>
      <c r="I468" s="553"/>
      <c r="J468" s="553"/>
      <c r="K468" s="553"/>
      <c r="L468" s="553"/>
      <c r="M468" s="553"/>
      <c r="N468" s="553"/>
      <c r="O468" s="553"/>
      <c r="P468" s="553"/>
      <c r="Q468" s="561">
        <f t="shared" si="45"/>
        <v>0</v>
      </c>
      <c r="R468" s="166"/>
      <c r="S468" s="166"/>
    </row>
    <row r="469" spans="3:19" x14ac:dyDescent="0.25">
      <c r="C469" s="556" t="s">
        <v>192</v>
      </c>
      <c r="D469" s="556" t="s">
        <v>193</v>
      </c>
      <c r="E469" s="553">
        <f>F4A!E469+F4B!E469</f>
        <v>88.02666619999998</v>
      </c>
      <c r="F469" s="553">
        <f>F4A!F469+F4B!F469</f>
        <v>86.918028469999982</v>
      </c>
      <c r="G469" s="553">
        <f>F4A!G469+F4B!G469</f>
        <v>89.602586140000014</v>
      </c>
      <c r="H469" s="553">
        <f>F4A!H469+F4B!H469</f>
        <v>90.254908659999998</v>
      </c>
      <c r="I469" s="553">
        <f>F4A!I469+F4B!I469</f>
        <v>90.519578640000006</v>
      </c>
      <c r="J469" s="553">
        <f>F4A!J469+F4B!J469</f>
        <v>87.068890299999978</v>
      </c>
      <c r="K469" s="553">
        <f>F4A!K469+F4B!K469</f>
        <v>91.257692527602615</v>
      </c>
      <c r="L469" s="553">
        <f>F4A!L469+F4B!L469</f>
        <v>95.692257355173624</v>
      </c>
      <c r="M469" s="553">
        <f>F4A!M469+F4B!M469</f>
        <v>107.63586339952171</v>
      </c>
      <c r="N469" s="553">
        <f>F4A!N469+F4B!N469</f>
        <v>113.63360451504806</v>
      </c>
      <c r="O469" s="553">
        <f>F4A!O469+F4B!O469</f>
        <v>102.68462114952098</v>
      </c>
      <c r="P469" s="553">
        <f>F4A!P469+F4B!P469</f>
        <v>88.904912955664017</v>
      </c>
      <c r="Q469" s="561">
        <f t="shared" si="45"/>
        <v>1132.1996103125309</v>
      </c>
      <c r="R469" s="166"/>
      <c r="S469" s="166"/>
    </row>
    <row r="470" spans="3:19" x14ac:dyDescent="0.25">
      <c r="C470" s="556" t="s">
        <v>194</v>
      </c>
      <c r="D470" s="556" t="s">
        <v>195</v>
      </c>
      <c r="E470" s="553">
        <f>F4A!E470+F4B!E470</f>
        <v>0</v>
      </c>
      <c r="F470" s="553">
        <f>F4A!F470+F4B!F470</f>
        <v>0</v>
      </c>
      <c r="G470" s="553">
        <f>F4A!G470+F4B!G470</f>
        <v>0</v>
      </c>
      <c r="H470" s="553">
        <f>F4A!H470+F4B!H470</f>
        <v>0</v>
      </c>
      <c r="I470" s="553">
        <f>F4A!I470+F4B!I470</f>
        <v>0</v>
      </c>
      <c r="J470" s="553">
        <f>F4A!J470+F4B!J470</f>
        <v>0</v>
      </c>
      <c r="K470" s="553">
        <f>F4A!K470+F4B!K470</f>
        <v>0</v>
      </c>
      <c r="L470" s="553">
        <f>F4A!L470+F4B!L470</f>
        <v>0</v>
      </c>
      <c r="M470" s="553">
        <f>F4A!M470+F4B!M470</f>
        <v>0</v>
      </c>
      <c r="N470" s="553">
        <f>F4A!N470+F4B!N470</f>
        <v>0</v>
      </c>
      <c r="O470" s="553">
        <f>F4A!O470+F4B!O470</f>
        <v>0</v>
      </c>
      <c r="P470" s="553">
        <f>F4A!P470+F4B!P470</f>
        <v>0</v>
      </c>
      <c r="Q470" s="561">
        <f t="shared" si="45"/>
        <v>0</v>
      </c>
      <c r="R470" s="166"/>
      <c r="S470" s="166"/>
    </row>
    <row r="471" spans="3:19" x14ac:dyDescent="0.25">
      <c r="C471" s="556" t="s">
        <v>233</v>
      </c>
      <c r="D471" s="556" t="s">
        <v>197</v>
      </c>
      <c r="E471" s="553">
        <f>F4A!E471+F4B!E471</f>
        <v>22.455763939999997</v>
      </c>
      <c r="F471" s="553">
        <f>F4A!F471+F4B!F471</f>
        <v>21.99384521</v>
      </c>
      <c r="G471" s="553">
        <f>F4A!G471+F4B!G471</f>
        <v>21.525164899999996</v>
      </c>
      <c r="H471" s="553">
        <f>F4A!H471+F4B!H471</f>
        <v>19.2761365</v>
      </c>
      <c r="I471" s="553">
        <f>F4A!I471+F4B!I471</f>
        <v>20.729245550000005</v>
      </c>
      <c r="J471" s="553">
        <f>F4A!J471+F4B!J471</f>
        <v>18.979559789999996</v>
      </c>
      <c r="K471" s="553">
        <f>F4A!K471+F4B!K471</f>
        <v>19.373382624997795</v>
      </c>
      <c r="L471" s="553">
        <f>F4A!L471+F4B!L471</f>
        <v>17.322221462139826</v>
      </c>
      <c r="M471" s="553">
        <f>F4A!M471+F4B!M471</f>
        <v>14.844657064058598</v>
      </c>
      <c r="N471" s="553">
        <f>F4A!N471+F4B!N471</f>
        <v>15.497614619537416</v>
      </c>
      <c r="O471" s="553">
        <f>F4A!O471+F4B!O471</f>
        <v>16.813021268515772</v>
      </c>
      <c r="P471" s="553">
        <f>F4A!P471+F4B!P471</f>
        <v>19.718174199787757</v>
      </c>
      <c r="Q471" s="561">
        <f t="shared" si="45"/>
        <v>228.52878712903714</v>
      </c>
      <c r="R471" s="166"/>
      <c r="S471" s="166"/>
    </row>
    <row r="472" spans="3:19" x14ac:dyDescent="0.25">
      <c r="C472" s="556" t="s">
        <v>198</v>
      </c>
      <c r="D472" s="556" t="s">
        <v>199</v>
      </c>
      <c r="E472" s="553">
        <f>F4A!E472+F4B!E472</f>
        <v>3.3565999999999999E-2</v>
      </c>
      <c r="F472" s="553">
        <f>F4A!F472+F4B!F472</f>
        <v>3.7803000000000003E-2</v>
      </c>
      <c r="G472" s="553">
        <f>F4A!G472+F4B!G472</f>
        <v>3.2315000000000003E-2</v>
      </c>
      <c r="H472" s="553">
        <f>F4A!H472+F4B!H472</f>
        <v>2.9323999999999999E-2</v>
      </c>
      <c r="I472" s="553">
        <f>F4A!I472+F4B!I472</f>
        <v>2.6544999999999999E-2</v>
      </c>
      <c r="J472" s="553">
        <f>F4A!J472+F4B!J472</f>
        <v>2.6194999999999996E-2</v>
      </c>
      <c r="K472" s="553">
        <f>F4A!K472+F4B!K472</f>
        <v>2.1865740000000002E-2</v>
      </c>
      <c r="L472" s="553">
        <f>F4A!L472+F4B!L472</f>
        <v>1.8313080000000002E-2</v>
      </c>
      <c r="M472" s="553">
        <f>F4A!M472+F4B!M472</f>
        <v>2.037042E-2</v>
      </c>
      <c r="N472" s="553">
        <f>F4A!N472+F4B!N472</f>
        <v>2.6650559999999997E-2</v>
      </c>
      <c r="O472" s="553">
        <f>F4A!O472+F4B!O472</f>
        <v>2.6338439999999998E-2</v>
      </c>
      <c r="P472" s="553">
        <f>F4A!P472+F4B!P472</f>
        <v>3.1740360000000002E-2</v>
      </c>
      <c r="Q472" s="561">
        <f t="shared" si="45"/>
        <v>0.33102660000000006</v>
      </c>
      <c r="R472" s="166"/>
      <c r="S472" s="166"/>
    </row>
    <row r="473" spans="3:19" x14ac:dyDescent="0.25">
      <c r="C473" s="556" t="s">
        <v>200</v>
      </c>
      <c r="D473" s="556" t="s">
        <v>201</v>
      </c>
      <c r="E473" s="553">
        <f>F4A!E473+F4B!E473</f>
        <v>0.81062999999999996</v>
      </c>
      <c r="F473" s="553">
        <f>F4A!F473+F4B!F473</f>
        <v>0.85855800000000004</v>
      </c>
      <c r="G473" s="553">
        <f>F4A!G473+F4B!G473</f>
        <v>0.80576300000000001</v>
      </c>
      <c r="H473" s="553">
        <f>F4A!H473+F4B!H473</f>
        <v>0.69171099999999985</v>
      </c>
      <c r="I473" s="553">
        <f>F4A!I473+F4B!I473</f>
        <v>0.69565500000000002</v>
      </c>
      <c r="J473" s="553">
        <f>F4A!J473+F4B!J473</f>
        <v>0.64584350000000001</v>
      </c>
      <c r="K473" s="553">
        <f>F4A!K473+F4B!K473</f>
        <v>0.73879502077230552</v>
      </c>
      <c r="L473" s="553">
        <f>F4A!L473+F4B!L473</f>
        <v>0.64685780329172737</v>
      </c>
      <c r="M473" s="553">
        <f>F4A!M473+F4B!M473</f>
        <v>0.58681139465911925</v>
      </c>
      <c r="N473" s="553">
        <f>F4A!N473+F4B!N473</f>
        <v>0.61721304272730948</v>
      </c>
      <c r="O473" s="553">
        <f>F4A!O473+F4B!O473</f>
        <v>0.63467786291936856</v>
      </c>
      <c r="P473" s="553">
        <f>F4A!P473+F4B!P473</f>
        <v>0.69459812363468143</v>
      </c>
      <c r="Q473" s="561">
        <f t="shared" si="45"/>
        <v>8.427113748004512</v>
      </c>
      <c r="R473" s="166"/>
      <c r="S473" s="166"/>
    </row>
    <row r="474" spans="3:19" x14ac:dyDescent="0.25">
      <c r="C474" s="556" t="s">
        <v>202</v>
      </c>
      <c r="D474" s="556" t="s">
        <v>203</v>
      </c>
      <c r="E474" s="553">
        <f>F4A!E474+F4B!E474</f>
        <v>1.8810929999999999</v>
      </c>
      <c r="F474" s="553">
        <f>F4A!F474+F4B!F474</f>
        <v>0.25292900000000001</v>
      </c>
      <c r="G474" s="553">
        <f>F4A!G474+F4B!G474</f>
        <v>0.246472</v>
      </c>
      <c r="H474" s="553">
        <f>F4A!H474+F4B!H474</f>
        <v>1.0268710000000001</v>
      </c>
      <c r="I474" s="553">
        <f>F4A!I474+F4B!I474</f>
        <v>1.7964720000000001</v>
      </c>
      <c r="J474" s="553">
        <f>F4A!J474+F4B!J474</f>
        <v>1.5432570000000001</v>
      </c>
      <c r="K474" s="553">
        <f>F4A!K474+F4B!K474</f>
        <v>2.7922435999999999</v>
      </c>
      <c r="L474" s="553">
        <f>F4A!L474+F4B!L474</f>
        <v>1.195738</v>
      </c>
      <c r="M474" s="553">
        <f>F4A!M474+F4B!M474</f>
        <v>1.4618586999999998</v>
      </c>
      <c r="N474" s="553">
        <f>F4A!N474+F4B!N474</f>
        <v>3.7515427999999997</v>
      </c>
      <c r="O474" s="553">
        <f>F4A!O474+F4B!O474</f>
        <v>4.0852820000000003</v>
      </c>
      <c r="P474" s="553">
        <f>F4A!P474+F4B!P474</f>
        <v>4.5289510000000002</v>
      </c>
      <c r="Q474" s="561">
        <f t="shared" si="45"/>
        <v>24.5627101</v>
      </c>
      <c r="R474" s="166"/>
      <c r="S474" s="166"/>
    </row>
    <row r="475" spans="3:19" x14ac:dyDescent="0.25">
      <c r="C475" s="556" t="s">
        <v>204</v>
      </c>
      <c r="D475" s="556" t="s">
        <v>205</v>
      </c>
      <c r="E475" s="553">
        <f>F4A!E475+F4B!E475</f>
        <v>14.13611</v>
      </c>
      <c r="F475" s="553">
        <f>F4A!F475+F4B!F475</f>
        <v>13.819861660000001</v>
      </c>
      <c r="G475" s="553">
        <f>F4A!G475+F4B!G475</f>
        <v>13.385196000000001</v>
      </c>
      <c r="H475" s="553">
        <f>F4A!H475+F4B!H475</f>
        <v>12.128666000000001</v>
      </c>
      <c r="I475" s="553">
        <f>F4A!I475+F4B!I475</f>
        <v>12.54369133</v>
      </c>
      <c r="J475" s="553">
        <f>F4A!J475+F4B!J475</f>
        <v>11.636266000000001</v>
      </c>
      <c r="K475" s="553">
        <f>F4A!K475+F4B!K475</f>
        <v>13.53608474954156</v>
      </c>
      <c r="L475" s="553">
        <f>F4A!L475+F4B!L475</f>
        <v>13.232861147009848</v>
      </c>
      <c r="M475" s="553">
        <f>F4A!M475+F4B!M475</f>
        <v>13.353467738592849</v>
      </c>
      <c r="N475" s="553">
        <f>F4A!N475+F4B!N475</f>
        <v>14.145500322902063</v>
      </c>
      <c r="O475" s="553">
        <f>F4A!O475+F4B!O475</f>
        <v>13.138228817370909</v>
      </c>
      <c r="P475" s="553">
        <f>F4A!P475+F4B!P475</f>
        <v>14.081344696195606</v>
      </c>
      <c r="Q475" s="561">
        <f t="shared" si="45"/>
        <v>159.13727846161282</v>
      </c>
      <c r="R475" s="166"/>
      <c r="S475" s="166"/>
    </row>
    <row r="476" spans="3:19" x14ac:dyDescent="0.25">
      <c r="C476" s="556" t="s">
        <v>206</v>
      </c>
      <c r="D476" s="556" t="s">
        <v>207</v>
      </c>
      <c r="E476" s="553">
        <f>F4A!E476+F4B!E476</f>
        <v>0.92873700000000003</v>
      </c>
      <c r="F476" s="553">
        <f>F4A!F476+F4B!F476</f>
        <v>0.96299999999999997</v>
      </c>
      <c r="G476" s="553">
        <f>F4A!G476+F4B!G476</f>
        <v>0.91133799999999998</v>
      </c>
      <c r="H476" s="553">
        <f>F4A!H476+F4B!H476</f>
        <v>0.76014099999999996</v>
      </c>
      <c r="I476" s="553">
        <f>F4A!I476+F4B!I476</f>
        <v>0.79836600000000002</v>
      </c>
      <c r="J476" s="553">
        <f>F4A!J476+F4B!J476</f>
        <v>0.74847399999999997</v>
      </c>
      <c r="K476" s="553">
        <f>F4A!K476+F4B!K476</f>
        <v>0.73818825906948671</v>
      </c>
      <c r="L476" s="553">
        <f>F4A!L476+F4B!L476</f>
        <v>0.67068726060502459</v>
      </c>
      <c r="M476" s="553">
        <f>F4A!M476+F4B!M476</f>
        <v>0.55828835005008381</v>
      </c>
      <c r="N476" s="553">
        <f>F4A!N476+F4B!N476</f>
        <v>0.63115914809892149</v>
      </c>
      <c r="O476" s="553">
        <f>F4A!O476+F4B!O476</f>
        <v>0.64438706772254406</v>
      </c>
      <c r="P476" s="553">
        <f>F4A!P476+F4B!P476</f>
        <v>0.75655554080237886</v>
      </c>
      <c r="Q476" s="561">
        <f t="shared" si="45"/>
        <v>9.1093216263484411</v>
      </c>
      <c r="R476" s="166"/>
      <c r="S476" s="166"/>
    </row>
    <row r="477" spans="3:19" x14ac:dyDescent="0.25">
      <c r="C477" s="556" t="s">
        <v>208</v>
      </c>
      <c r="D477" s="556" t="s">
        <v>187</v>
      </c>
      <c r="E477" s="553">
        <f>F4A!E477+F4B!E477</f>
        <v>1.101181</v>
      </c>
      <c r="F477" s="553">
        <f>F4A!F477+F4B!F477</f>
        <v>1.0717239999999999</v>
      </c>
      <c r="G477" s="553">
        <f>F4A!G477+F4B!G477</f>
        <v>1.084025</v>
      </c>
      <c r="H477" s="553">
        <f>F4A!H477+F4B!H477</f>
        <v>1.0250300000000001</v>
      </c>
      <c r="I477" s="553">
        <f>F4A!I477+F4B!I477</f>
        <v>1.213595</v>
      </c>
      <c r="J477" s="553">
        <f>F4A!J477+F4B!J477</f>
        <v>1.1878</v>
      </c>
      <c r="K477" s="553">
        <f>F4A!K477+F4B!K477</f>
        <v>1.4299949999999999</v>
      </c>
      <c r="L477" s="553">
        <f>F4A!L477+F4B!L477</f>
        <v>1.3612569999999999</v>
      </c>
      <c r="M477" s="553">
        <f>F4A!M477+F4B!M477</f>
        <v>1.364538</v>
      </c>
      <c r="N477" s="553">
        <f>F4A!N477+F4B!N477</f>
        <v>1.374131</v>
      </c>
      <c r="O477" s="553">
        <f>F4A!O477+F4B!O477</f>
        <v>1.2489410000000001</v>
      </c>
      <c r="P477" s="553">
        <f>F4A!P477+F4B!P477</f>
        <v>1.1490670000000001</v>
      </c>
      <c r="Q477" s="561">
        <f t="shared" si="45"/>
        <v>14.611284000000001</v>
      </c>
      <c r="R477" s="166"/>
      <c r="S477" s="166"/>
    </row>
    <row r="478" spans="3:19" x14ac:dyDescent="0.25">
      <c r="C478" s="556" t="s">
        <v>209</v>
      </c>
      <c r="D478" s="556" t="s">
        <v>210</v>
      </c>
      <c r="E478" s="553">
        <f>F4A!E478+F4B!E478</f>
        <v>74.935330099999987</v>
      </c>
      <c r="F478" s="553">
        <f>F4A!F478+F4B!F478</f>
        <v>50.249909000000002</v>
      </c>
      <c r="G478" s="553">
        <f>F4A!G478+F4B!G478</f>
        <v>70.708532019999993</v>
      </c>
      <c r="H478" s="553">
        <f>F4A!H478+F4B!H478</f>
        <v>101.04559681000001</v>
      </c>
      <c r="I478" s="553">
        <f>F4A!I478+F4B!I478</f>
        <v>93.933269940000017</v>
      </c>
      <c r="J478" s="553">
        <f>F4A!J478+F4B!J478</f>
        <v>86.487805000000009</v>
      </c>
      <c r="K478" s="553">
        <f>F4A!K478+F4B!K478</f>
        <v>102.48035387760032</v>
      </c>
      <c r="L478" s="553">
        <f>F4A!L478+F4B!L478</f>
        <v>57.618904551334673</v>
      </c>
      <c r="M478" s="553">
        <f>F4A!M478+F4B!M478</f>
        <v>116.89244391933178</v>
      </c>
      <c r="N478" s="553">
        <f>F4A!N478+F4B!N478</f>
        <v>125.13962267836598</v>
      </c>
      <c r="O478" s="553">
        <f>F4A!O478+F4B!O478</f>
        <v>136.28117376674865</v>
      </c>
      <c r="P478" s="553">
        <f>F4A!P478+F4B!P478</f>
        <v>149.0908558521372</v>
      </c>
      <c r="Q478" s="561">
        <f t="shared" si="45"/>
        <v>1164.8637975155186</v>
      </c>
      <c r="R478" s="166"/>
      <c r="S478" s="166"/>
    </row>
    <row r="479" spans="3:19" x14ac:dyDescent="0.25">
      <c r="C479" s="556" t="s">
        <v>211</v>
      </c>
      <c r="D479" s="556" t="s">
        <v>189</v>
      </c>
      <c r="E479" s="553">
        <f>F4A!E479+F4B!E479</f>
        <v>0</v>
      </c>
      <c r="F479" s="553">
        <f>F4A!F479+F4B!F479</f>
        <v>0</v>
      </c>
      <c r="G479" s="553">
        <f>F4A!G479+F4B!G479</f>
        <v>0</v>
      </c>
      <c r="H479" s="553">
        <f>F4A!H479+F4B!H479</f>
        <v>0</v>
      </c>
      <c r="I479" s="553">
        <f>F4A!I479+F4B!I479</f>
        <v>0</v>
      </c>
      <c r="J479" s="553">
        <f>F4A!J479+F4B!J479</f>
        <v>0</v>
      </c>
      <c r="K479" s="553">
        <f>F4A!K479+F4B!K479</f>
        <v>0</v>
      </c>
      <c r="L479" s="553">
        <f>F4A!L479+F4B!L479</f>
        <v>0</v>
      </c>
      <c r="M479" s="553">
        <f>F4A!M479+F4B!M479</f>
        <v>0</v>
      </c>
      <c r="N479" s="553">
        <f>F4A!N479+F4B!N479</f>
        <v>0</v>
      </c>
      <c r="O479" s="553">
        <f>F4A!O479+F4B!O479</f>
        <v>0</v>
      </c>
      <c r="P479" s="553">
        <f>F4A!P479+F4B!P479</f>
        <v>0</v>
      </c>
      <c r="Q479" s="561">
        <f t="shared" si="45"/>
        <v>0</v>
      </c>
      <c r="R479" s="166"/>
      <c r="S479" s="166"/>
    </row>
    <row r="480" spans="3:19" hidden="1" x14ac:dyDescent="0.25">
      <c r="C480" s="556"/>
      <c r="D480" s="556"/>
      <c r="E480" s="553">
        <f>F4A!E480+F4B!E480</f>
        <v>0</v>
      </c>
      <c r="F480" s="553">
        <f>F4A!F480+F4B!F480</f>
        <v>0</v>
      </c>
      <c r="G480" s="553">
        <f>F4A!G480+F4B!G480</f>
        <v>0</v>
      </c>
      <c r="H480" s="553">
        <f>F4A!H480+F4B!H480</f>
        <v>0</v>
      </c>
      <c r="I480" s="553">
        <f>F4A!I480+F4B!I480</f>
        <v>0</v>
      </c>
      <c r="J480" s="553">
        <f>F4A!J480+F4B!J480</f>
        <v>0</v>
      </c>
      <c r="K480" s="553">
        <f>F4A!K480+F4B!K480</f>
        <v>0</v>
      </c>
      <c r="L480" s="553">
        <f>F4A!L480+F4B!L480</f>
        <v>0</v>
      </c>
      <c r="M480" s="553">
        <f>F4A!M480+F4B!M480</f>
        <v>0</v>
      </c>
      <c r="N480" s="553">
        <f>F4A!N480+F4B!N480</f>
        <v>0</v>
      </c>
      <c r="O480" s="553">
        <f>F4A!O480+F4B!O480</f>
        <v>0</v>
      </c>
      <c r="P480" s="553">
        <f>F4A!P480+F4B!P480</f>
        <v>0</v>
      </c>
      <c r="Q480" s="561">
        <f t="shared" si="45"/>
        <v>0</v>
      </c>
      <c r="R480" s="166"/>
      <c r="S480" s="166"/>
    </row>
    <row r="481" spans="3:19" hidden="1" x14ac:dyDescent="0.25">
      <c r="C481" s="556"/>
      <c r="D481" s="556"/>
      <c r="E481" s="553">
        <f>F4A!E481+F4B!E481</f>
        <v>0</v>
      </c>
      <c r="F481" s="553">
        <f>F4A!F481+F4B!F481</f>
        <v>0</v>
      </c>
      <c r="G481" s="553">
        <f>F4A!G481+F4B!G481</f>
        <v>0</v>
      </c>
      <c r="H481" s="553">
        <f>F4A!H481+F4B!H481</f>
        <v>0</v>
      </c>
      <c r="I481" s="553">
        <f>F4A!I481+F4B!I481</f>
        <v>0</v>
      </c>
      <c r="J481" s="553">
        <f>F4A!J481+F4B!J481</f>
        <v>0</v>
      </c>
      <c r="K481" s="553">
        <f>F4A!K481+F4B!K481</f>
        <v>0</v>
      </c>
      <c r="L481" s="553">
        <f>F4A!L481+F4B!L481</f>
        <v>0</v>
      </c>
      <c r="M481" s="553">
        <f>F4A!M481+F4B!M481</f>
        <v>0</v>
      </c>
      <c r="N481" s="553">
        <f>F4A!N481+F4B!N481</f>
        <v>0</v>
      </c>
      <c r="O481" s="553">
        <f>F4A!O481+F4B!O481</f>
        <v>0</v>
      </c>
      <c r="P481" s="553">
        <f>F4A!P481+F4B!P481</f>
        <v>0</v>
      </c>
      <c r="Q481" s="561">
        <f t="shared" si="45"/>
        <v>0</v>
      </c>
      <c r="R481" s="166"/>
      <c r="S481" s="166"/>
    </row>
    <row r="482" spans="3:19" hidden="1" x14ac:dyDescent="0.25">
      <c r="C482" s="556"/>
      <c r="D482" s="556"/>
      <c r="E482" s="553">
        <f>F4A!E482+F4B!E482</f>
        <v>0</v>
      </c>
      <c r="F482" s="553">
        <f>F4A!F482+F4B!F482</f>
        <v>0</v>
      </c>
      <c r="G482" s="553">
        <f>F4A!G482+F4B!G482</f>
        <v>0</v>
      </c>
      <c r="H482" s="553">
        <f>F4A!H482+F4B!H482</f>
        <v>0</v>
      </c>
      <c r="I482" s="553">
        <f>F4A!I482+F4B!I482</f>
        <v>0</v>
      </c>
      <c r="J482" s="553">
        <f>F4A!J482+F4B!J482</f>
        <v>0</v>
      </c>
      <c r="K482" s="553">
        <f>F4A!K482+F4B!K482</f>
        <v>0</v>
      </c>
      <c r="L482" s="553">
        <f>F4A!L482+F4B!L482</f>
        <v>0</v>
      </c>
      <c r="M482" s="553">
        <f>F4A!M482+F4B!M482</f>
        <v>0</v>
      </c>
      <c r="N482" s="553">
        <f>F4A!N482+F4B!N482</f>
        <v>0</v>
      </c>
      <c r="O482" s="553">
        <f>F4A!O482+F4B!O482</f>
        <v>0</v>
      </c>
      <c r="P482" s="553">
        <f>F4A!P482+F4B!P482</f>
        <v>0</v>
      </c>
      <c r="Q482" s="561">
        <f t="shared" si="45"/>
        <v>0</v>
      </c>
      <c r="R482" s="166"/>
      <c r="S482" s="166"/>
    </row>
    <row r="483" spans="3:19" hidden="1" x14ac:dyDescent="0.25">
      <c r="C483" s="556" t="s">
        <v>226</v>
      </c>
      <c r="D483" s="556" t="s">
        <v>226</v>
      </c>
      <c r="E483" s="553">
        <f>F4A!E483+F4B!E483</f>
        <v>0</v>
      </c>
      <c r="F483" s="553">
        <f>F4A!F483+F4B!F483</f>
        <v>0</v>
      </c>
      <c r="G483" s="553">
        <f>F4A!G483+F4B!G483</f>
        <v>0</v>
      </c>
      <c r="H483" s="553">
        <f>F4A!H483+F4B!H483</f>
        <v>0</v>
      </c>
      <c r="I483" s="553">
        <f>F4A!I483+F4B!I483</f>
        <v>0</v>
      </c>
      <c r="J483" s="553">
        <f>F4A!J483+F4B!J483</f>
        <v>0</v>
      </c>
      <c r="K483" s="553">
        <f>F4A!K483+F4B!K483</f>
        <v>0</v>
      </c>
      <c r="L483" s="553">
        <f>F4A!L483+F4B!L483</f>
        <v>0</v>
      </c>
      <c r="M483" s="553">
        <f>F4A!M483+F4B!M483</f>
        <v>0</v>
      </c>
      <c r="N483" s="553">
        <f>F4A!N483+F4B!N483</f>
        <v>0</v>
      </c>
      <c r="O483" s="553">
        <f>F4A!O483+F4B!O483</f>
        <v>0</v>
      </c>
      <c r="P483" s="553">
        <f>F4A!P483+F4B!P483</f>
        <v>0</v>
      </c>
      <c r="Q483" s="561">
        <f t="shared" si="45"/>
        <v>0</v>
      </c>
      <c r="R483" s="166"/>
      <c r="S483" s="166"/>
    </row>
    <row r="484" spans="3:19" x14ac:dyDescent="0.25">
      <c r="C484" s="739" t="s">
        <v>212</v>
      </c>
      <c r="D484" s="740"/>
      <c r="E484" s="561">
        <f t="shared" ref="E484:P484" si="47">SUM(E469:E483)</f>
        <v>204.30907723999997</v>
      </c>
      <c r="F484" s="561">
        <f t="shared" si="47"/>
        <v>176.16565833999999</v>
      </c>
      <c r="G484" s="561">
        <f t="shared" si="47"/>
        <v>198.30139206000001</v>
      </c>
      <c r="H484" s="561">
        <f t="shared" si="47"/>
        <v>226.23838497</v>
      </c>
      <c r="I484" s="561">
        <f t="shared" si="47"/>
        <v>222.25641846000002</v>
      </c>
      <c r="J484" s="561">
        <f t="shared" si="47"/>
        <v>208.32409058999997</v>
      </c>
      <c r="K484" s="561">
        <f t="shared" si="47"/>
        <v>232.36860139958407</v>
      </c>
      <c r="L484" s="561">
        <f t="shared" si="47"/>
        <v>187.75909765955473</v>
      </c>
      <c r="M484" s="561">
        <f t="shared" si="47"/>
        <v>256.71829898621411</v>
      </c>
      <c r="N484" s="561">
        <f t="shared" si="47"/>
        <v>274.81703868667978</v>
      </c>
      <c r="O484" s="561">
        <f t="shared" si="47"/>
        <v>275.55667137279823</v>
      </c>
      <c r="P484" s="561">
        <f t="shared" si="47"/>
        <v>278.95619972822163</v>
      </c>
      <c r="Q484" s="561">
        <f t="shared" si="45"/>
        <v>2741.7709294930523</v>
      </c>
      <c r="R484" s="166"/>
      <c r="S484" s="166"/>
    </row>
    <row r="485" spans="3:19" x14ac:dyDescent="0.25">
      <c r="C485" s="739" t="s">
        <v>213</v>
      </c>
      <c r="D485" s="740"/>
      <c r="E485" s="553"/>
      <c r="F485" s="553"/>
      <c r="G485" s="553"/>
      <c r="H485" s="553"/>
      <c r="I485" s="553"/>
      <c r="J485" s="553"/>
      <c r="K485" s="553"/>
      <c r="L485" s="553"/>
      <c r="M485" s="553"/>
      <c r="N485" s="553"/>
      <c r="O485" s="553"/>
      <c r="P485" s="553"/>
      <c r="Q485" s="561">
        <f t="shared" ref="Q485:Q516" si="48">SUM(E485:P485)</f>
        <v>0</v>
      </c>
      <c r="R485" s="166"/>
      <c r="S485" s="166"/>
    </row>
    <row r="486" spans="3:19" x14ac:dyDescent="0.25">
      <c r="C486" s="556" t="s">
        <v>192</v>
      </c>
      <c r="D486" s="556" t="s">
        <v>193</v>
      </c>
      <c r="E486" s="553">
        <f>F4A!E486+F4B!E486</f>
        <v>18.733255</v>
      </c>
      <c r="F486" s="553">
        <f>F4A!F486+F4B!F486</f>
        <v>17.510019</v>
      </c>
      <c r="G486" s="553">
        <f>F4A!G486+F4B!G486</f>
        <v>18.371242000000002</v>
      </c>
      <c r="H486" s="553">
        <f>F4A!H486+F4B!H486</f>
        <v>19.461491000000002</v>
      </c>
      <c r="I486" s="553">
        <f>F4A!I486+F4B!I486</f>
        <v>20.109402000000003</v>
      </c>
      <c r="J486" s="553">
        <f>F4A!J486+F4B!J486</f>
        <v>19.656043</v>
      </c>
      <c r="K486" s="553">
        <f>F4A!K486+F4B!K486</f>
        <v>14.849957011148625</v>
      </c>
      <c r="L486" s="553">
        <f>F4A!L486+F4B!L486</f>
        <v>16.683472843580219</v>
      </c>
      <c r="M486" s="553">
        <f>F4A!M486+F4B!M486</f>
        <v>17.070070548210531</v>
      </c>
      <c r="N486" s="553">
        <f>F4A!N486+F4B!N486</f>
        <v>18.166451688453414</v>
      </c>
      <c r="O486" s="553">
        <f>F4A!O486+F4B!O486</f>
        <v>18.366121813968178</v>
      </c>
      <c r="P486" s="553">
        <f>F4A!P486+F4B!P486</f>
        <v>19.087723266546547</v>
      </c>
      <c r="Q486" s="561">
        <f t="shared" si="48"/>
        <v>218.06524917190757</v>
      </c>
      <c r="R486" s="166"/>
      <c r="S486" s="166"/>
    </row>
    <row r="487" spans="3:19" x14ac:dyDescent="0.25">
      <c r="C487" s="556" t="s">
        <v>194</v>
      </c>
      <c r="D487" s="556" t="s">
        <v>195</v>
      </c>
      <c r="E487" s="553">
        <f>F4A!E487+F4B!E487</f>
        <v>0</v>
      </c>
      <c r="F487" s="553">
        <f>F4A!F487+F4B!F487</f>
        <v>0</v>
      </c>
      <c r="G487" s="553">
        <f>F4A!G487+F4B!G487</f>
        <v>2.3999999999999998E-3</v>
      </c>
      <c r="H487" s="553">
        <f>F4A!H487+F4B!H487</f>
        <v>2.8E-3</v>
      </c>
      <c r="I487" s="553">
        <f>F4A!I487+F4B!I487</f>
        <v>0.72760000000000002</v>
      </c>
      <c r="J487" s="553">
        <f>F4A!J487+F4B!J487</f>
        <v>2.9662000000000002</v>
      </c>
      <c r="K487" s="553">
        <f>F4A!K487+F4B!K487</f>
        <v>2.9662000000000002</v>
      </c>
      <c r="L487" s="553">
        <f>F4A!L487+F4B!L487</f>
        <v>2.9662000000000002</v>
      </c>
      <c r="M487" s="553">
        <f>F4A!M487+F4B!M487</f>
        <v>2.9662000000000002</v>
      </c>
      <c r="N487" s="553">
        <f>F4A!N487+F4B!N487</f>
        <v>2.9662000000000002</v>
      </c>
      <c r="O487" s="553">
        <f>F4A!O487+F4B!O487</f>
        <v>2.9662000000000002</v>
      </c>
      <c r="P487" s="553">
        <f>F4A!P487+F4B!P487</f>
        <v>2.9662000000000002</v>
      </c>
      <c r="Q487" s="561">
        <f t="shared" si="48"/>
        <v>21.496200000000002</v>
      </c>
      <c r="R487" s="166"/>
      <c r="S487" s="166"/>
    </row>
    <row r="488" spans="3:19" x14ac:dyDescent="0.25">
      <c r="C488" s="556" t="s">
        <v>233</v>
      </c>
      <c r="D488" s="556" t="s">
        <v>197</v>
      </c>
      <c r="E488" s="553">
        <f>F4A!E488+F4B!E488</f>
        <v>1.351898</v>
      </c>
      <c r="F488" s="553">
        <f>F4A!F488+F4B!F488</f>
        <v>1.282016</v>
      </c>
      <c r="G488" s="553">
        <f>F4A!G488+F4B!G488</f>
        <v>1.2406270000000001</v>
      </c>
      <c r="H488" s="553">
        <f>F4A!H488+F4B!H488</f>
        <v>1.3505119999999997</v>
      </c>
      <c r="I488" s="553">
        <f>F4A!I488+F4B!I488</f>
        <v>1.6477911000000001</v>
      </c>
      <c r="J488" s="553">
        <f>F4A!J488+F4B!J488</f>
        <v>1.6116490000000001</v>
      </c>
      <c r="K488" s="553">
        <f>F4A!K488+F4B!K488</f>
        <v>1.70167212</v>
      </c>
      <c r="L488" s="553">
        <f>F4A!L488+F4B!L488</f>
        <v>1.4467618799999999</v>
      </c>
      <c r="M488" s="553">
        <f>F4A!M488+F4B!M488</f>
        <v>1.1448794160000002</v>
      </c>
      <c r="N488" s="553">
        <f>F4A!N488+F4B!N488</f>
        <v>1.06568478</v>
      </c>
      <c r="O488" s="553">
        <f>F4A!O488+F4B!O488</f>
        <v>1.19563278</v>
      </c>
      <c r="P488" s="553">
        <f>F4A!P488+F4B!P488</f>
        <v>1.3224208200000001</v>
      </c>
      <c r="Q488" s="561">
        <f t="shared" si="48"/>
        <v>16.361544896000002</v>
      </c>
      <c r="R488" s="166"/>
      <c r="S488" s="166"/>
    </row>
    <row r="489" spans="3:19" x14ac:dyDescent="0.25">
      <c r="C489" s="556" t="s">
        <v>198</v>
      </c>
      <c r="D489" s="556" t="s">
        <v>199</v>
      </c>
      <c r="E489" s="553">
        <f>F4A!E489+F4B!E489</f>
        <v>0</v>
      </c>
      <c r="F489" s="553">
        <f>F4A!F489+F4B!F489</f>
        <v>0</v>
      </c>
      <c r="G489" s="553">
        <f>F4A!G489+F4B!G489</f>
        <v>0</v>
      </c>
      <c r="H489" s="553">
        <f>F4A!H489+F4B!H489</f>
        <v>0</v>
      </c>
      <c r="I489" s="553">
        <f>F4A!I489+F4B!I489</f>
        <v>0</v>
      </c>
      <c r="J489" s="553">
        <f>F4A!J489+F4B!J489</f>
        <v>0</v>
      </c>
      <c r="K489" s="553">
        <f>F4A!K489+F4B!K489</f>
        <v>0</v>
      </c>
      <c r="L489" s="553">
        <f>F4A!L489+F4B!L489</f>
        <v>0</v>
      </c>
      <c r="M489" s="553">
        <f>F4A!M489+F4B!M489</f>
        <v>0</v>
      </c>
      <c r="N489" s="553">
        <f>F4A!N489+F4B!N489</f>
        <v>0</v>
      </c>
      <c r="O489" s="553">
        <f>F4A!O489+F4B!O489</f>
        <v>0</v>
      </c>
      <c r="P489" s="553">
        <f>F4A!P489+F4B!P489</f>
        <v>0</v>
      </c>
      <c r="Q489" s="561">
        <f t="shared" si="48"/>
        <v>0</v>
      </c>
      <c r="R489" s="166"/>
      <c r="S489" s="166"/>
    </row>
    <row r="490" spans="3:19" x14ac:dyDescent="0.25">
      <c r="C490" s="556" t="s">
        <v>200</v>
      </c>
      <c r="D490" s="556" t="s">
        <v>201</v>
      </c>
      <c r="E490" s="553">
        <f>F4A!E490+F4B!E490</f>
        <v>0</v>
      </c>
      <c r="F490" s="553">
        <f>F4A!F490+F4B!F490</f>
        <v>0</v>
      </c>
      <c r="G490" s="553">
        <f>F4A!G490+F4B!G490</f>
        <v>0</v>
      </c>
      <c r="H490" s="553">
        <f>F4A!H490+F4B!H490</f>
        <v>0</v>
      </c>
      <c r="I490" s="553">
        <f>F4A!I490+F4B!I490</f>
        <v>0</v>
      </c>
      <c r="J490" s="553">
        <f>F4A!J490+F4B!J490</f>
        <v>0</v>
      </c>
      <c r="K490" s="553">
        <f>F4A!K490+F4B!K490</f>
        <v>0</v>
      </c>
      <c r="L490" s="553">
        <f>F4A!L490+F4B!L490</f>
        <v>0</v>
      </c>
      <c r="M490" s="553">
        <f>F4A!M490+F4B!M490</f>
        <v>0</v>
      </c>
      <c r="N490" s="553">
        <f>F4A!N490+F4B!N490</f>
        <v>0</v>
      </c>
      <c r="O490" s="553">
        <f>F4A!O490+F4B!O490</f>
        <v>0</v>
      </c>
      <c r="P490" s="553">
        <f>F4A!P490+F4B!P490</f>
        <v>0</v>
      </c>
      <c r="Q490" s="561">
        <f t="shared" si="48"/>
        <v>0</v>
      </c>
      <c r="R490" s="166"/>
      <c r="S490" s="166"/>
    </row>
    <row r="491" spans="3:19" x14ac:dyDescent="0.25">
      <c r="C491" s="556" t="s">
        <v>202</v>
      </c>
      <c r="D491" s="556" t="s">
        <v>203</v>
      </c>
      <c r="E491" s="553">
        <f>F4A!E491+F4B!E491</f>
        <v>0.96419500000000002</v>
      </c>
      <c r="F491" s="553">
        <f>F4A!F491+F4B!F491</f>
        <v>8.6150000000000004E-2</v>
      </c>
      <c r="G491" s="553">
        <f>F4A!G491+F4B!G491</f>
        <v>7.9454999999999998E-2</v>
      </c>
      <c r="H491" s="553">
        <f>F4A!H491+F4B!H491</f>
        <v>0.15110000000000001</v>
      </c>
      <c r="I491" s="553">
        <f>F4A!I491+F4B!I491</f>
        <v>3.6118199999999998</v>
      </c>
      <c r="J491" s="553">
        <f>F4A!J491+F4B!J491</f>
        <v>3.8618899999999998</v>
      </c>
      <c r="K491" s="553">
        <f>F4A!K491+F4B!K491</f>
        <v>2.06528</v>
      </c>
      <c r="L491" s="553">
        <f>F4A!L491+F4B!L491</f>
        <v>1.0924499999999999</v>
      </c>
      <c r="M491" s="553">
        <f>F4A!M491+F4B!M491</f>
        <v>0.46172000000000002</v>
      </c>
      <c r="N491" s="553">
        <f>F4A!N491+F4B!N491</f>
        <v>7.4367049999999999</v>
      </c>
      <c r="O491" s="553">
        <f>F4A!O491+F4B!O491</f>
        <v>6.0677500000000002</v>
      </c>
      <c r="P491" s="553">
        <f>F4A!P491+F4B!P491</f>
        <v>4.4021249999999998</v>
      </c>
      <c r="Q491" s="561">
        <f t="shared" si="48"/>
        <v>30.280639999999998</v>
      </c>
      <c r="R491" s="166"/>
      <c r="S491" s="166"/>
    </row>
    <row r="492" spans="3:19" x14ac:dyDescent="0.25">
      <c r="C492" s="556" t="s">
        <v>204</v>
      </c>
      <c r="D492" s="556" t="s">
        <v>205</v>
      </c>
      <c r="E492" s="553">
        <f>F4A!E492+F4B!E492</f>
        <v>31.637810000000002</v>
      </c>
      <c r="F492" s="553">
        <f>F4A!F492+F4B!F492</f>
        <v>32.154882999999998</v>
      </c>
      <c r="G492" s="553">
        <f>F4A!G492+F4B!G492</f>
        <v>29.797879999999999</v>
      </c>
      <c r="H492" s="553">
        <f>F4A!H492+F4B!H492</f>
        <v>30.456292999999999</v>
      </c>
      <c r="I492" s="553">
        <f>F4A!I492+F4B!I492</f>
        <v>29.774274999999999</v>
      </c>
      <c r="J492" s="553">
        <f>F4A!J492+F4B!J492</f>
        <v>29.234998000000001</v>
      </c>
      <c r="K492" s="553">
        <f>F4A!K492+F4B!K492</f>
        <v>30.763913899001746</v>
      </c>
      <c r="L492" s="553">
        <f>F4A!L492+F4B!L492</f>
        <v>30.78339691780592</v>
      </c>
      <c r="M492" s="553">
        <f>F4A!M492+F4B!M492</f>
        <v>30.479904878532789</v>
      </c>
      <c r="N492" s="553">
        <f>F4A!N492+F4B!N492</f>
        <v>31.780103338040057</v>
      </c>
      <c r="O492" s="553">
        <f>F4A!O492+F4B!O492</f>
        <v>28.60389930160623</v>
      </c>
      <c r="P492" s="553">
        <f>F4A!P492+F4B!P492</f>
        <v>38.131653187285849</v>
      </c>
      <c r="Q492" s="561">
        <f t="shared" si="48"/>
        <v>373.59901052227264</v>
      </c>
      <c r="R492" s="166"/>
      <c r="S492" s="166"/>
    </row>
    <row r="493" spans="3:19" x14ac:dyDescent="0.25">
      <c r="C493" s="556" t="s">
        <v>206</v>
      </c>
      <c r="D493" s="556" t="s">
        <v>207</v>
      </c>
      <c r="E493" s="553">
        <f>F4A!E493+F4B!E493</f>
        <v>4.3664389999999997</v>
      </c>
      <c r="F493" s="553">
        <f>F4A!F493+F4B!F493</f>
        <v>4.6133490000000004</v>
      </c>
      <c r="G493" s="553">
        <f>F4A!G493+F4B!G493</f>
        <v>3.9556540000000004</v>
      </c>
      <c r="H493" s="553">
        <f>F4A!H493+F4B!H493</f>
        <v>3.2344680000000006</v>
      </c>
      <c r="I493" s="553">
        <f>F4A!I493+F4B!I493</f>
        <v>3.5508120000000001</v>
      </c>
      <c r="J493" s="553">
        <f>F4A!J493+F4B!J493</f>
        <v>3.3408439999999997</v>
      </c>
      <c r="K493" s="553">
        <f>F4A!K493+F4B!K493</f>
        <v>1.7436400000000001</v>
      </c>
      <c r="L493" s="553">
        <f>F4A!L493+F4B!L493</f>
        <v>1.2835639999999999</v>
      </c>
      <c r="M493" s="553">
        <f>F4A!M493+F4B!M493</f>
        <v>0.63641499999999995</v>
      </c>
      <c r="N493" s="553">
        <f>F4A!N493+F4B!N493</f>
        <v>1.765506</v>
      </c>
      <c r="O493" s="553">
        <f>F4A!O493+F4B!O493</f>
        <v>2.2222189999999999</v>
      </c>
      <c r="P493" s="553">
        <f>F4A!P493+F4B!P493</f>
        <v>3.2211628965517245</v>
      </c>
      <c r="Q493" s="561">
        <f t="shared" si="48"/>
        <v>33.934072896551719</v>
      </c>
      <c r="R493" s="166"/>
      <c r="S493" s="166"/>
    </row>
    <row r="494" spans="3:19" x14ac:dyDescent="0.25">
      <c r="C494" s="556" t="s">
        <v>214</v>
      </c>
      <c r="D494" s="556" t="s">
        <v>187</v>
      </c>
      <c r="E494" s="553">
        <f>F4A!E494+F4B!E494</f>
        <v>0.62608299999999995</v>
      </c>
      <c r="F494" s="553">
        <f>F4A!F494+F4B!F494</f>
        <v>0.64824099999999996</v>
      </c>
      <c r="G494" s="553">
        <f>F4A!G494+F4B!G494</f>
        <v>0.77407099999999995</v>
      </c>
      <c r="H494" s="553">
        <f>F4A!H494+F4B!H494</f>
        <v>0.66778199999999999</v>
      </c>
      <c r="I494" s="553">
        <f>F4A!I494+F4B!I494</f>
        <v>0.58966600000000002</v>
      </c>
      <c r="J494" s="553">
        <f>F4A!J494+F4B!J494</f>
        <v>0.62527900000000003</v>
      </c>
      <c r="K494" s="553">
        <f>F4A!K494+F4B!K494</f>
        <v>0.65542955999999997</v>
      </c>
      <c r="L494" s="553">
        <f>F4A!L494+F4B!L494</f>
        <v>0.66593454000000007</v>
      </c>
      <c r="M494" s="553">
        <f>F4A!M494+F4B!M494</f>
        <v>0.78684942000000002</v>
      </c>
      <c r="N494" s="553">
        <f>F4A!N494+F4B!N494</f>
        <v>0.73547609999999997</v>
      </c>
      <c r="O494" s="553">
        <f>F4A!O494+F4B!O494</f>
        <v>0.69303797999999994</v>
      </c>
      <c r="P494" s="553">
        <f>F4A!P494+F4B!P494</f>
        <v>0.67969230000000003</v>
      </c>
      <c r="Q494" s="561">
        <f t="shared" si="48"/>
        <v>8.1475419000000002</v>
      </c>
      <c r="R494" s="166"/>
      <c r="S494" s="166"/>
    </row>
    <row r="495" spans="3:19" x14ac:dyDescent="0.25">
      <c r="C495" s="556" t="s">
        <v>209</v>
      </c>
      <c r="D495" s="556" t="s">
        <v>210</v>
      </c>
      <c r="E495" s="553">
        <f>F4A!E495+F4B!E495</f>
        <v>0</v>
      </c>
      <c r="F495" s="553">
        <f>F4A!F495+F4B!F495</f>
        <v>0</v>
      </c>
      <c r="G495" s="553">
        <f>F4A!G495+F4B!G495</f>
        <v>0</v>
      </c>
      <c r="H495" s="553">
        <f>F4A!H495+F4B!H495</f>
        <v>0</v>
      </c>
      <c r="I495" s="553">
        <f>F4A!I495+F4B!I495</f>
        <v>0</v>
      </c>
      <c r="J495" s="553">
        <f>F4A!J495+F4B!J495</f>
        <v>0</v>
      </c>
      <c r="K495" s="553">
        <f>F4A!K495+F4B!K495</f>
        <v>0</v>
      </c>
      <c r="L495" s="553">
        <f>F4A!L495+F4B!L495</f>
        <v>0</v>
      </c>
      <c r="M495" s="553">
        <f>F4A!M495+F4B!M495</f>
        <v>0</v>
      </c>
      <c r="N495" s="553">
        <f>F4A!N495+F4B!N495</f>
        <v>0</v>
      </c>
      <c r="O495" s="553">
        <f>F4A!O495+F4B!O495</f>
        <v>0</v>
      </c>
      <c r="P495" s="553">
        <f>F4A!P495+F4B!P495</f>
        <v>0</v>
      </c>
      <c r="Q495" s="561">
        <f t="shared" si="48"/>
        <v>0</v>
      </c>
      <c r="R495" s="166"/>
      <c r="S495" s="166"/>
    </row>
    <row r="496" spans="3:19" x14ac:dyDescent="0.25">
      <c r="C496" s="556" t="s">
        <v>211</v>
      </c>
      <c r="D496" s="556" t="s">
        <v>189</v>
      </c>
      <c r="E496" s="553">
        <f>F4A!E496+F4B!E496</f>
        <v>0</v>
      </c>
      <c r="F496" s="553">
        <f>F4A!F496+F4B!F496</f>
        <v>0</v>
      </c>
      <c r="G496" s="553">
        <f>F4A!G496+F4B!G496</f>
        <v>0</v>
      </c>
      <c r="H496" s="553">
        <f>F4A!H496+F4B!H496</f>
        <v>0</v>
      </c>
      <c r="I496" s="553">
        <f>F4A!I496+F4B!I496</f>
        <v>0.02</v>
      </c>
      <c r="J496" s="553">
        <f>F4A!J496+F4B!J496</f>
        <v>0.03</v>
      </c>
      <c r="K496" s="553">
        <f>F4A!K496+F4B!K496</f>
        <v>1.35408</v>
      </c>
      <c r="L496" s="553">
        <f>F4A!L496+F4B!L496</f>
        <v>1.3104</v>
      </c>
      <c r="M496" s="553">
        <f>F4A!M496+F4B!M496</f>
        <v>1.35408</v>
      </c>
      <c r="N496" s="553">
        <f>F4A!N496+F4B!N496</f>
        <v>1.66656</v>
      </c>
      <c r="O496" s="553">
        <f>F4A!O496+F4B!O496</f>
        <v>1.50528</v>
      </c>
      <c r="P496" s="553">
        <f>F4A!P496+F4B!P496</f>
        <v>1.66656</v>
      </c>
      <c r="Q496" s="561">
        <f t="shared" si="48"/>
        <v>8.9069599999999998</v>
      </c>
      <c r="R496" s="166"/>
      <c r="S496" s="166"/>
    </row>
    <row r="497" spans="3:19" hidden="1" x14ac:dyDescent="0.25">
      <c r="C497" s="556"/>
      <c r="D497" s="556"/>
      <c r="E497" s="553">
        <f>F4A!E497+F4B!E497</f>
        <v>0</v>
      </c>
      <c r="F497" s="553">
        <f>F4A!F497+F4B!F497</f>
        <v>0</v>
      </c>
      <c r="G497" s="553">
        <f>F4A!G497+F4B!G497</f>
        <v>0</v>
      </c>
      <c r="H497" s="553">
        <f>F4A!H497+F4B!H497</f>
        <v>0</v>
      </c>
      <c r="I497" s="553">
        <f>F4A!I497+F4B!I497</f>
        <v>0</v>
      </c>
      <c r="J497" s="553">
        <f>F4A!J497+F4B!J497</f>
        <v>0</v>
      </c>
      <c r="K497" s="553">
        <f>F4A!K497+F4B!K497</f>
        <v>0</v>
      </c>
      <c r="L497" s="553">
        <f>F4A!L497+F4B!L497</f>
        <v>0</v>
      </c>
      <c r="M497" s="553">
        <f>F4A!M497+F4B!M497</f>
        <v>0</v>
      </c>
      <c r="N497" s="553">
        <f>F4A!N497+F4B!N497</f>
        <v>0</v>
      </c>
      <c r="O497" s="553">
        <f>F4A!O497+F4B!O497</f>
        <v>0</v>
      </c>
      <c r="P497" s="553">
        <f>F4A!P497+F4B!P497</f>
        <v>0</v>
      </c>
      <c r="Q497" s="561">
        <f t="shared" si="48"/>
        <v>0</v>
      </c>
      <c r="R497" s="166"/>
      <c r="S497" s="166"/>
    </row>
    <row r="498" spans="3:19" hidden="1" x14ac:dyDescent="0.25">
      <c r="C498" s="556"/>
      <c r="D498" s="556"/>
      <c r="E498" s="553">
        <f>F4A!E498+F4B!E498</f>
        <v>0</v>
      </c>
      <c r="F498" s="553">
        <f>F4A!F498+F4B!F498</f>
        <v>0</v>
      </c>
      <c r="G498" s="553">
        <f>F4A!G498+F4B!G498</f>
        <v>0</v>
      </c>
      <c r="H498" s="553">
        <f>F4A!H498+F4B!H498</f>
        <v>0</v>
      </c>
      <c r="I498" s="553">
        <f>F4A!I498+F4B!I498</f>
        <v>0</v>
      </c>
      <c r="J498" s="553">
        <f>F4A!J498+F4B!J498</f>
        <v>0</v>
      </c>
      <c r="K498" s="553">
        <f>F4A!K498+F4B!K498</f>
        <v>0</v>
      </c>
      <c r="L498" s="553">
        <f>F4A!L498+F4B!L498</f>
        <v>0</v>
      </c>
      <c r="M498" s="553">
        <f>F4A!M498+F4B!M498</f>
        <v>0</v>
      </c>
      <c r="N498" s="553">
        <f>F4A!N498+F4B!N498</f>
        <v>0</v>
      </c>
      <c r="O498" s="553">
        <f>F4A!O498+F4B!O498</f>
        <v>0</v>
      </c>
      <c r="P498" s="553">
        <f>F4A!P498+F4B!P498</f>
        <v>0</v>
      </c>
      <c r="Q498" s="561">
        <f t="shared" si="48"/>
        <v>0</v>
      </c>
      <c r="R498" s="166"/>
      <c r="S498" s="166"/>
    </row>
    <row r="499" spans="3:19" hidden="1" x14ac:dyDescent="0.25">
      <c r="C499" s="556"/>
      <c r="D499" s="556"/>
      <c r="E499" s="553">
        <f>F4A!E499+F4B!E499</f>
        <v>0</v>
      </c>
      <c r="F499" s="553">
        <f>F4A!F499+F4B!F499</f>
        <v>0</v>
      </c>
      <c r="G499" s="553">
        <f>F4A!G499+F4B!G499</f>
        <v>0</v>
      </c>
      <c r="H499" s="553">
        <f>F4A!H499+F4B!H499</f>
        <v>0</v>
      </c>
      <c r="I499" s="553">
        <f>F4A!I499+F4B!I499</f>
        <v>0</v>
      </c>
      <c r="J499" s="553">
        <f>F4A!J499+F4B!J499</f>
        <v>0</v>
      </c>
      <c r="K499" s="553">
        <f>F4A!K499+F4B!K499</f>
        <v>0</v>
      </c>
      <c r="L499" s="553">
        <f>F4A!L499+F4B!L499</f>
        <v>0</v>
      </c>
      <c r="M499" s="553">
        <f>F4A!M499+F4B!M499</f>
        <v>0</v>
      </c>
      <c r="N499" s="553">
        <f>F4A!N499+F4B!N499</f>
        <v>0</v>
      </c>
      <c r="O499" s="553">
        <f>F4A!O499+F4B!O499</f>
        <v>0</v>
      </c>
      <c r="P499" s="553">
        <f>F4A!P499+F4B!P499</f>
        <v>0</v>
      </c>
      <c r="Q499" s="561">
        <f t="shared" si="48"/>
        <v>0</v>
      </c>
      <c r="R499" s="166"/>
      <c r="S499" s="166"/>
    </row>
    <row r="500" spans="3:19" hidden="1" x14ac:dyDescent="0.25">
      <c r="C500" s="556" t="s">
        <v>226</v>
      </c>
      <c r="D500" s="556" t="s">
        <v>226</v>
      </c>
      <c r="E500" s="553">
        <f>F4A!E500+F4B!E500</f>
        <v>0</v>
      </c>
      <c r="F500" s="553">
        <f>F4A!F500+F4B!F500</f>
        <v>0</v>
      </c>
      <c r="G500" s="553">
        <f>F4A!G500+F4B!G500</f>
        <v>0</v>
      </c>
      <c r="H500" s="553">
        <f>F4A!H500+F4B!H500</f>
        <v>0</v>
      </c>
      <c r="I500" s="553">
        <f>F4A!I500+F4B!I500</f>
        <v>0</v>
      </c>
      <c r="J500" s="553">
        <f>F4A!J500+F4B!J500</f>
        <v>0</v>
      </c>
      <c r="K500" s="553">
        <f>F4A!K500+F4B!K500</f>
        <v>0</v>
      </c>
      <c r="L500" s="553">
        <f>F4A!L500+F4B!L500</f>
        <v>0</v>
      </c>
      <c r="M500" s="553">
        <f>F4A!M500+F4B!M500</f>
        <v>0</v>
      </c>
      <c r="N500" s="553">
        <f>F4A!N500+F4B!N500</f>
        <v>0</v>
      </c>
      <c r="O500" s="553">
        <f>F4A!O500+F4B!O500</f>
        <v>0</v>
      </c>
      <c r="P500" s="553">
        <f>F4A!P500+F4B!P500</f>
        <v>0</v>
      </c>
      <c r="Q500" s="561">
        <f t="shared" si="48"/>
        <v>0</v>
      </c>
      <c r="R500" s="166"/>
      <c r="S500" s="166"/>
    </row>
    <row r="501" spans="3:19" x14ac:dyDescent="0.25">
      <c r="C501" s="739" t="s">
        <v>212</v>
      </c>
      <c r="D501" s="740"/>
      <c r="E501" s="561">
        <f t="shared" ref="E501:P501" si="49">SUM(E486:E500)</f>
        <v>57.679679999999998</v>
      </c>
      <c r="F501" s="561">
        <f t="shared" si="49"/>
        <v>56.294657999999998</v>
      </c>
      <c r="G501" s="561">
        <f t="shared" si="49"/>
        <v>54.221329000000004</v>
      </c>
      <c r="H501" s="561">
        <f t="shared" si="49"/>
        <v>55.324446000000002</v>
      </c>
      <c r="I501" s="561">
        <f t="shared" si="49"/>
        <v>60.031366100000007</v>
      </c>
      <c r="J501" s="561">
        <f t="shared" si="49"/>
        <v>61.326903000000001</v>
      </c>
      <c r="K501" s="561">
        <f t="shared" si="49"/>
        <v>56.100172590150379</v>
      </c>
      <c r="L501" s="561">
        <f t="shared" si="49"/>
        <v>56.232180181386141</v>
      </c>
      <c r="M501" s="561">
        <f t="shared" si="49"/>
        <v>54.900119262743331</v>
      </c>
      <c r="N501" s="561">
        <f t="shared" si="49"/>
        <v>65.582686906493478</v>
      </c>
      <c r="O501" s="561">
        <f t="shared" si="49"/>
        <v>61.620140875574414</v>
      </c>
      <c r="P501" s="561">
        <f t="shared" si="49"/>
        <v>71.477537470384121</v>
      </c>
      <c r="Q501" s="561">
        <f t="shared" si="48"/>
        <v>710.79121938673188</v>
      </c>
      <c r="R501" s="166"/>
      <c r="S501" s="166"/>
    </row>
    <row r="502" spans="3:19" x14ac:dyDescent="0.25">
      <c r="C502" s="739" t="s">
        <v>215</v>
      </c>
      <c r="D502" s="740"/>
      <c r="E502" s="553"/>
      <c r="F502" s="553"/>
      <c r="G502" s="553"/>
      <c r="H502" s="553"/>
      <c r="I502" s="553"/>
      <c r="J502" s="553"/>
      <c r="K502" s="553"/>
      <c r="L502" s="553"/>
      <c r="M502" s="553"/>
      <c r="N502" s="553"/>
      <c r="O502" s="553"/>
      <c r="P502" s="553"/>
      <c r="Q502" s="561">
        <f t="shared" si="48"/>
        <v>0</v>
      </c>
      <c r="R502" s="166"/>
      <c r="S502" s="166"/>
    </row>
    <row r="503" spans="3:19" x14ac:dyDescent="0.25">
      <c r="C503" s="556" t="s">
        <v>192</v>
      </c>
      <c r="D503" s="556" t="s">
        <v>193</v>
      </c>
      <c r="E503" s="553">
        <f>F4A!E503+F4B!E503</f>
        <v>49.117088719999998</v>
      </c>
      <c r="F503" s="553">
        <f>F4A!F503+F4B!F503</f>
        <v>50.520845719999997</v>
      </c>
      <c r="G503" s="553">
        <f>F4A!G503+F4B!G503</f>
        <v>47.358044390000003</v>
      </c>
      <c r="H503" s="553">
        <f>F4A!H503+F4B!H503</f>
        <v>51.399640389999995</v>
      </c>
      <c r="I503" s="553">
        <f>F4A!I503+F4B!I503</f>
        <v>52.908668720000001</v>
      </c>
      <c r="J503" s="553">
        <f>F4A!J503+F4B!J503</f>
        <v>54.280838719999998</v>
      </c>
      <c r="K503" s="553">
        <f>F4A!K503+F4B!K503</f>
        <v>57.895970355760099</v>
      </c>
      <c r="L503" s="553">
        <f>F4A!L503+F4B!L503</f>
        <v>59.121675024573641</v>
      </c>
      <c r="M503" s="553">
        <f>F4A!M503+F4B!M503</f>
        <v>52.150697668330139</v>
      </c>
      <c r="N503" s="553">
        <f>F4A!N503+F4B!N503</f>
        <v>55.83279527399305</v>
      </c>
      <c r="O503" s="553">
        <f>F4A!O503+F4B!O503</f>
        <v>52.500340550107452</v>
      </c>
      <c r="P503" s="553">
        <f>F4A!P503+F4B!P503</f>
        <v>53.083730142943999</v>
      </c>
      <c r="Q503" s="561">
        <f t="shared" si="48"/>
        <v>636.17033567570832</v>
      </c>
      <c r="R503" s="166"/>
      <c r="S503" s="166"/>
    </row>
    <row r="504" spans="3:19" x14ac:dyDescent="0.25">
      <c r="C504" s="556" t="s">
        <v>194</v>
      </c>
      <c r="D504" s="556" t="s">
        <v>195</v>
      </c>
      <c r="E504" s="553">
        <f>F4A!E504+F4B!E504</f>
        <v>0</v>
      </c>
      <c r="F504" s="553">
        <f>F4A!F504+F4B!F504</f>
        <v>0</v>
      </c>
      <c r="G504" s="553">
        <f>F4A!G504+F4B!G504</f>
        <v>0</v>
      </c>
      <c r="H504" s="553">
        <f>F4A!H504+F4B!H504</f>
        <v>0</v>
      </c>
      <c r="I504" s="553">
        <f>F4A!I504+F4B!I504</f>
        <v>0</v>
      </c>
      <c r="J504" s="553">
        <f>F4A!J504+F4B!J504</f>
        <v>0</v>
      </c>
      <c r="K504" s="553">
        <f>F4A!K504+F4B!K504</f>
        <v>0</v>
      </c>
      <c r="L504" s="553">
        <f>F4A!L504+F4B!L504</f>
        <v>0</v>
      </c>
      <c r="M504" s="553">
        <f>F4A!M504+F4B!M504</f>
        <v>0</v>
      </c>
      <c r="N504" s="553">
        <f>F4A!N504+F4B!N504</f>
        <v>0</v>
      </c>
      <c r="O504" s="553">
        <f>F4A!O504+F4B!O504</f>
        <v>0</v>
      </c>
      <c r="P504" s="553">
        <f>F4A!P504+F4B!P504</f>
        <v>0</v>
      </c>
      <c r="Q504" s="561">
        <f t="shared" si="48"/>
        <v>0</v>
      </c>
      <c r="R504" s="166"/>
      <c r="S504" s="166"/>
    </row>
    <row r="505" spans="3:19" x14ac:dyDescent="0.25">
      <c r="C505" s="556" t="s">
        <v>233</v>
      </c>
      <c r="D505" s="556" t="s">
        <v>197</v>
      </c>
      <c r="E505" s="553">
        <f>F4A!E505+F4B!E505</f>
        <v>0.18790000000000004</v>
      </c>
      <c r="F505" s="553">
        <f>F4A!F505+F4B!F505</f>
        <v>0.1915</v>
      </c>
      <c r="G505" s="553">
        <f>F4A!G505+F4B!G505</f>
        <v>0.21079999999999999</v>
      </c>
      <c r="H505" s="553">
        <f>F4A!H505+F4B!H505</f>
        <v>0.68430000000000013</v>
      </c>
      <c r="I505" s="553">
        <f>F4A!I505+F4B!I505</f>
        <v>0.22889999999999999</v>
      </c>
      <c r="J505" s="553">
        <f>F4A!J505+F4B!J505</f>
        <v>1.0044</v>
      </c>
      <c r="K505" s="553">
        <f>F4A!K505+F4B!K505</f>
        <v>0.25009999999999999</v>
      </c>
      <c r="L505" s="553">
        <f>F4A!L505+F4B!L505</f>
        <v>0.33629999999999999</v>
      </c>
      <c r="M505" s="553">
        <f>F4A!M505+F4B!M505</f>
        <v>0.36739999999999995</v>
      </c>
      <c r="N505" s="553">
        <f>F4A!N505+F4B!N505</f>
        <v>0.62139999999999995</v>
      </c>
      <c r="O505" s="553">
        <f>F4A!O505+F4B!O505</f>
        <v>0.26619999999999999</v>
      </c>
      <c r="P505" s="553">
        <f>F4A!P505+F4B!P505</f>
        <v>0.23020000000000002</v>
      </c>
      <c r="Q505" s="561">
        <f t="shared" si="48"/>
        <v>4.5793999999999997</v>
      </c>
      <c r="R505" s="166"/>
      <c r="S505" s="166"/>
    </row>
    <row r="506" spans="3:19" x14ac:dyDescent="0.25">
      <c r="C506" s="556" t="s">
        <v>198</v>
      </c>
      <c r="D506" s="556" t="s">
        <v>199</v>
      </c>
      <c r="E506" s="553">
        <f>F4A!E506+F4B!E506</f>
        <v>0</v>
      </c>
      <c r="F506" s="553">
        <f>F4A!F506+F4B!F506</f>
        <v>0</v>
      </c>
      <c r="G506" s="553">
        <f>F4A!G506+F4B!G506</f>
        <v>0</v>
      </c>
      <c r="H506" s="553">
        <f>F4A!H506+F4B!H506</f>
        <v>0</v>
      </c>
      <c r="I506" s="553">
        <f>F4A!I506+F4B!I506</f>
        <v>0</v>
      </c>
      <c r="J506" s="553">
        <f>F4A!J506+F4B!J506</f>
        <v>0</v>
      </c>
      <c r="K506" s="553">
        <f>F4A!K506+F4B!K506</f>
        <v>0</v>
      </c>
      <c r="L506" s="553">
        <f>F4A!L506+F4B!L506</f>
        <v>0</v>
      </c>
      <c r="M506" s="553">
        <f>F4A!M506+F4B!M506</f>
        <v>0</v>
      </c>
      <c r="N506" s="553">
        <f>F4A!N506+F4B!N506</f>
        <v>0</v>
      </c>
      <c r="O506" s="553">
        <f>F4A!O506+F4B!O506</f>
        <v>0</v>
      </c>
      <c r="P506" s="553">
        <f>F4A!P506+F4B!P506</f>
        <v>0</v>
      </c>
      <c r="Q506" s="561">
        <f t="shared" si="48"/>
        <v>0</v>
      </c>
      <c r="R506" s="166"/>
      <c r="S506" s="166"/>
    </row>
    <row r="507" spans="3:19" x14ac:dyDescent="0.25">
      <c r="C507" s="556" t="s">
        <v>200</v>
      </c>
      <c r="D507" s="556" t="s">
        <v>201</v>
      </c>
      <c r="E507" s="553">
        <f>F4A!E507+F4B!E507</f>
        <v>0</v>
      </c>
      <c r="F507" s="553">
        <f>F4A!F507+F4B!F507</f>
        <v>0</v>
      </c>
      <c r="G507" s="553">
        <f>F4A!G507+F4B!G507</f>
        <v>0</v>
      </c>
      <c r="H507" s="553">
        <f>F4A!H507+F4B!H507</f>
        <v>0</v>
      </c>
      <c r="I507" s="553">
        <f>F4A!I507+F4B!I507</f>
        <v>0</v>
      </c>
      <c r="J507" s="553">
        <f>F4A!J507+F4B!J507</f>
        <v>0</v>
      </c>
      <c r="K507" s="553">
        <f>F4A!K507+F4B!K507</f>
        <v>0</v>
      </c>
      <c r="L507" s="553">
        <f>F4A!L507+F4B!L507</f>
        <v>0</v>
      </c>
      <c r="M507" s="553">
        <f>F4A!M507+F4B!M507</f>
        <v>0</v>
      </c>
      <c r="N507" s="553">
        <f>F4A!N507+F4B!N507</f>
        <v>0</v>
      </c>
      <c r="O507" s="553">
        <f>F4A!O507+F4B!O507</f>
        <v>0</v>
      </c>
      <c r="P507" s="553">
        <f>F4A!P507+F4B!P507</f>
        <v>0</v>
      </c>
      <c r="Q507" s="561">
        <f t="shared" si="48"/>
        <v>0</v>
      </c>
      <c r="R507" s="166"/>
      <c r="S507" s="166"/>
    </row>
    <row r="508" spans="3:19" x14ac:dyDescent="0.25">
      <c r="C508" s="556" t="s">
        <v>202</v>
      </c>
      <c r="D508" s="556" t="s">
        <v>234</v>
      </c>
      <c r="E508" s="553">
        <f>F4A!E508+F4B!E508</f>
        <v>9.1935830000000003</v>
      </c>
      <c r="F508" s="553">
        <f>F4A!F508+F4B!F508</f>
        <v>22.441925000000001</v>
      </c>
      <c r="G508" s="553">
        <f>F4A!G508+F4B!G508</f>
        <v>4.4943159999999995</v>
      </c>
      <c r="H508" s="553">
        <f>F4A!H508+F4B!H508</f>
        <v>140.67014499999999</v>
      </c>
      <c r="I508" s="553">
        <f>F4A!I508+F4B!I508</f>
        <v>542.38561800000002</v>
      </c>
      <c r="J508" s="553">
        <f>F4A!J508+F4B!J508</f>
        <v>141.72118799999998</v>
      </c>
      <c r="K508" s="553">
        <f>F4A!K508+F4B!K508</f>
        <v>74.385187999999999</v>
      </c>
      <c r="L508" s="553">
        <f>F4A!L508+F4B!L508</f>
        <v>138.6304978</v>
      </c>
      <c r="M508" s="553">
        <f>F4A!M508+F4B!M508</f>
        <v>24.626479</v>
      </c>
      <c r="N508" s="553">
        <f>F4A!N508+F4B!N508</f>
        <v>115.738292</v>
      </c>
      <c r="O508" s="553">
        <f>F4A!O508+F4B!O508</f>
        <v>135.818702</v>
      </c>
      <c r="P508" s="553">
        <f>F4A!P508+F4B!P508</f>
        <v>145.34598400000002</v>
      </c>
      <c r="Q508" s="561">
        <f t="shared" si="48"/>
        <v>1495.4519178</v>
      </c>
      <c r="R508" s="166"/>
      <c r="S508" s="166"/>
    </row>
    <row r="509" spans="3:19" x14ac:dyDescent="0.25">
      <c r="C509" s="556" t="s">
        <v>204</v>
      </c>
      <c r="D509" s="556" t="s">
        <v>216</v>
      </c>
      <c r="E509" s="553">
        <f>F4A!E509+F4B!E509</f>
        <v>2.1915360000000002</v>
      </c>
      <c r="F509" s="553">
        <f>F4A!F509+F4B!F509</f>
        <v>2.4081480000000002</v>
      </c>
      <c r="G509" s="553">
        <f>F4A!G509+F4B!G509</f>
        <v>2.3921999999999999</v>
      </c>
      <c r="H509" s="553">
        <f>F4A!H509+F4B!H509</f>
        <v>2.610684</v>
      </c>
      <c r="I509" s="553">
        <f>F4A!I509+F4B!I509</f>
        <v>2.493468</v>
      </c>
      <c r="J509" s="553">
        <f>F4A!J509+F4B!J509</f>
        <v>2.3063760000000002</v>
      </c>
      <c r="K509" s="553">
        <f>F4A!K509+F4B!K509</f>
        <v>2.3466316405434569</v>
      </c>
      <c r="L509" s="553">
        <f>F4A!L509+F4B!L509</f>
        <v>2.2751373575079481</v>
      </c>
      <c r="M509" s="553">
        <f>F4A!M509+F4B!M509</f>
        <v>2.4485498092760816</v>
      </c>
      <c r="N509" s="553">
        <f>F4A!N509+F4B!N509</f>
        <v>2.4973093539109503</v>
      </c>
      <c r="O509" s="553">
        <f>F4A!O509+F4B!O509</f>
        <v>2.3215679777212874</v>
      </c>
      <c r="P509" s="553">
        <f>F4A!P509+F4B!P509</f>
        <v>2.6635501971429472</v>
      </c>
      <c r="Q509" s="561">
        <f t="shared" si="48"/>
        <v>28.955158336102667</v>
      </c>
      <c r="R509" s="166"/>
      <c r="S509" s="166"/>
    </row>
    <row r="510" spans="3:19" x14ac:dyDescent="0.25">
      <c r="C510" s="556" t="s">
        <v>217</v>
      </c>
      <c r="D510" s="556" t="s">
        <v>218</v>
      </c>
      <c r="E510" s="553">
        <f>F4A!E510+F4B!E510</f>
        <v>52.879330100000004</v>
      </c>
      <c r="F510" s="553">
        <f>F4A!F510+F4B!F510</f>
        <v>53.790901700000006</v>
      </c>
      <c r="G510" s="553">
        <f>F4A!G510+F4B!G510</f>
        <v>52.512849600000003</v>
      </c>
      <c r="H510" s="553">
        <f>F4A!H510+F4B!H510</f>
        <v>50.321667700000006</v>
      </c>
      <c r="I510" s="553">
        <f>F4A!I510+F4B!I510</f>
        <v>52.117640399999999</v>
      </c>
      <c r="J510" s="553">
        <f>F4A!J510+F4B!J510</f>
        <v>45.233927799999996</v>
      </c>
      <c r="K510" s="553">
        <f>F4A!K510+F4B!K510</f>
        <v>55.066384746628245</v>
      </c>
      <c r="L510" s="553">
        <f>F4A!L510+F4B!L510</f>
        <v>55.893621194894187</v>
      </c>
      <c r="M510" s="553">
        <f>F4A!M510+F4B!M510</f>
        <v>54.923263621203901</v>
      </c>
      <c r="N510" s="553">
        <f>F4A!N510+F4B!N510</f>
        <v>56.92161750969909</v>
      </c>
      <c r="O510" s="553">
        <f>F4A!O510+F4B!O510</f>
        <v>53.968634005032733</v>
      </c>
      <c r="P510" s="553">
        <f>F4A!P510+F4B!P510</f>
        <v>58.248264231289845</v>
      </c>
      <c r="Q510" s="561">
        <f t="shared" si="48"/>
        <v>641.87810260874801</v>
      </c>
      <c r="R510" s="166"/>
      <c r="S510" s="166"/>
    </row>
    <row r="511" spans="3:19" x14ac:dyDescent="0.25">
      <c r="C511" s="556" t="s">
        <v>252</v>
      </c>
      <c r="D511" s="556" t="s">
        <v>236</v>
      </c>
      <c r="E511" s="553">
        <f>F4A!E511+F4B!E511</f>
        <v>0</v>
      </c>
      <c r="F511" s="553">
        <f>F4A!F511+F4B!F511</f>
        <v>0</v>
      </c>
      <c r="G511" s="553">
        <f>F4A!G511+F4B!G511</f>
        <v>0</v>
      </c>
      <c r="H511" s="553">
        <f>F4A!H511+F4B!H511</f>
        <v>0</v>
      </c>
      <c r="I511" s="553">
        <f>F4A!I511+F4B!I511</f>
        <v>0</v>
      </c>
      <c r="J511" s="553">
        <f>F4A!J511+F4B!J511</f>
        <v>0</v>
      </c>
      <c r="K511" s="553">
        <f>F4A!K511+F4B!K511</f>
        <v>0</v>
      </c>
      <c r="L511" s="553">
        <f>F4A!L511+F4B!L511</f>
        <v>0</v>
      </c>
      <c r="M511" s="553">
        <f>F4A!M511+F4B!M511</f>
        <v>0</v>
      </c>
      <c r="N511" s="553">
        <f>F4A!N511+F4B!N511</f>
        <v>0</v>
      </c>
      <c r="O511" s="553">
        <f>F4A!O511+F4B!O511</f>
        <v>0</v>
      </c>
      <c r="P511" s="553">
        <f>F4A!P511+F4B!P511</f>
        <v>0</v>
      </c>
      <c r="Q511" s="561">
        <f t="shared" si="48"/>
        <v>0</v>
      </c>
      <c r="R511" s="166"/>
      <c r="S511" s="166"/>
    </row>
    <row r="512" spans="3:19" x14ac:dyDescent="0.25">
      <c r="C512" s="556" t="s">
        <v>206</v>
      </c>
      <c r="D512" s="556" t="s">
        <v>207</v>
      </c>
      <c r="E512" s="553">
        <f>F4A!E512+F4B!E512</f>
        <v>6.8058180000000004</v>
      </c>
      <c r="F512" s="553">
        <f>F4A!F512+F4B!F512</f>
        <v>8.1115929999999992</v>
      </c>
      <c r="G512" s="553">
        <f>F4A!G512+F4B!G512</f>
        <v>7.0418869999999991</v>
      </c>
      <c r="H512" s="553">
        <f>F4A!H512+F4B!H512</f>
        <v>6.7359859999999996</v>
      </c>
      <c r="I512" s="553">
        <f>F4A!I512+F4B!I512</f>
        <v>6.3618709999999998</v>
      </c>
      <c r="J512" s="553">
        <f>F4A!J512+F4B!J512</f>
        <v>6.0985360000000002</v>
      </c>
      <c r="K512" s="553">
        <f>F4A!K512+F4B!K512</f>
        <v>5.3285729999999996</v>
      </c>
      <c r="L512" s="553">
        <f>F4A!L512+F4B!L512</f>
        <v>4.6946779999999997</v>
      </c>
      <c r="M512" s="553">
        <f>F4A!M512+F4B!M512</f>
        <v>2.9676140000000002</v>
      </c>
      <c r="N512" s="553">
        <f>F4A!N512+F4B!N512</f>
        <v>3.2173480000000003</v>
      </c>
      <c r="O512" s="553">
        <f>F4A!O512+F4B!O512</f>
        <v>3.8677219999999997</v>
      </c>
      <c r="P512" s="553">
        <f>F4A!P512+F4B!P512</f>
        <v>5.7141391034482751</v>
      </c>
      <c r="Q512" s="561">
        <f t="shared" si="48"/>
        <v>66.945765103448267</v>
      </c>
      <c r="R512" s="166"/>
      <c r="S512" s="166"/>
    </row>
    <row r="513" spans="3:19" x14ac:dyDescent="0.25">
      <c r="C513" s="556" t="s">
        <v>208</v>
      </c>
      <c r="D513" s="556" t="s">
        <v>187</v>
      </c>
      <c r="E513" s="553">
        <f>F4A!E513+F4B!E513</f>
        <v>0</v>
      </c>
      <c r="F513" s="553">
        <f>F4A!F513+F4B!F513</f>
        <v>0</v>
      </c>
      <c r="G513" s="553">
        <f>F4A!G513+F4B!G513</f>
        <v>0</v>
      </c>
      <c r="H513" s="553">
        <f>F4A!H513+F4B!H513</f>
        <v>0</v>
      </c>
      <c r="I513" s="553">
        <f>F4A!I513+F4B!I513</f>
        <v>0</v>
      </c>
      <c r="J513" s="553">
        <f>F4A!J513+F4B!J513</f>
        <v>0</v>
      </c>
      <c r="K513" s="553">
        <f>F4A!K513+F4B!K513</f>
        <v>0</v>
      </c>
      <c r="L513" s="553">
        <f>F4A!L513+F4B!L513</f>
        <v>0</v>
      </c>
      <c r="M513" s="553">
        <f>F4A!M513+F4B!M513</f>
        <v>0</v>
      </c>
      <c r="N513" s="553">
        <f>F4A!N513+F4B!N513</f>
        <v>0</v>
      </c>
      <c r="O513" s="553">
        <f>F4A!O513+F4B!O513</f>
        <v>0</v>
      </c>
      <c r="P513" s="553">
        <f>F4A!P513+F4B!P513</f>
        <v>0</v>
      </c>
      <c r="Q513" s="561">
        <f t="shared" si="48"/>
        <v>0</v>
      </c>
      <c r="R513" s="166"/>
      <c r="S513" s="166"/>
    </row>
    <row r="514" spans="3:19" x14ac:dyDescent="0.25">
      <c r="C514" s="556" t="s">
        <v>209</v>
      </c>
      <c r="D514" s="556" t="s">
        <v>210</v>
      </c>
      <c r="E514" s="553">
        <f>F4A!E514+F4B!E514</f>
        <v>0</v>
      </c>
      <c r="F514" s="553">
        <f>F4A!F514+F4B!F514</f>
        <v>0</v>
      </c>
      <c r="G514" s="553">
        <f>F4A!G514+F4B!G514</f>
        <v>0</v>
      </c>
      <c r="H514" s="553">
        <f>F4A!H514+F4B!H514</f>
        <v>0</v>
      </c>
      <c r="I514" s="553">
        <f>F4A!I514+F4B!I514</f>
        <v>0</v>
      </c>
      <c r="J514" s="553">
        <f>F4A!J514+F4B!J514</f>
        <v>0</v>
      </c>
      <c r="K514" s="553">
        <f>F4A!K514+F4B!K514</f>
        <v>0</v>
      </c>
      <c r="L514" s="553">
        <f>F4A!L514+F4B!L514</f>
        <v>0</v>
      </c>
      <c r="M514" s="553">
        <f>F4A!M514+F4B!M514</f>
        <v>0</v>
      </c>
      <c r="N514" s="553">
        <f>F4A!N514+F4B!N514</f>
        <v>0</v>
      </c>
      <c r="O514" s="553">
        <f>F4A!O514+F4B!O514</f>
        <v>0</v>
      </c>
      <c r="P514" s="553">
        <f>F4A!P514+F4B!P514</f>
        <v>0</v>
      </c>
      <c r="Q514" s="561">
        <f t="shared" si="48"/>
        <v>0</v>
      </c>
      <c r="R514" s="166"/>
      <c r="S514" s="166"/>
    </row>
    <row r="515" spans="3:19" x14ac:dyDescent="0.25">
      <c r="C515" s="556" t="s">
        <v>211</v>
      </c>
      <c r="D515" s="556" t="s">
        <v>189</v>
      </c>
      <c r="E515" s="553">
        <f>F4A!E515+F4B!E515</f>
        <v>0</v>
      </c>
      <c r="F515" s="553">
        <f>F4A!F515+F4B!F515</f>
        <v>0</v>
      </c>
      <c r="G515" s="553">
        <f>F4A!G515+F4B!G515</f>
        <v>0</v>
      </c>
      <c r="H515" s="553">
        <f>F4A!H515+F4B!H515</f>
        <v>0</v>
      </c>
      <c r="I515" s="553">
        <f>F4A!I515+F4B!I515</f>
        <v>0</v>
      </c>
      <c r="J515" s="553">
        <f>F4A!J515+F4B!J515</f>
        <v>0</v>
      </c>
      <c r="K515" s="553">
        <f>F4A!K515+F4B!K515</f>
        <v>0</v>
      </c>
      <c r="L515" s="553">
        <f>F4A!L515+F4B!L515</f>
        <v>0</v>
      </c>
      <c r="M515" s="553">
        <f>F4A!M515+F4B!M515</f>
        <v>0</v>
      </c>
      <c r="N515" s="553">
        <f>F4A!N515+F4B!N515</f>
        <v>0</v>
      </c>
      <c r="O515" s="553">
        <f>F4A!O515+F4B!O515</f>
        <v>0</v>
      </c>
      <c r="P515" s="553">
        <f>F4A!P515+F4B!P515</f>
        <v>0</v>
      </c>
      <c r="Q515" s="561">
        <f t="shared" si="48"/>
        <v>0</v>
      </c>
      <c r="R515" s="166"/>
      <c r="S515" s="166"/>
    </row>
    <row r="516" spans="3:19" hidden="1" x14ac:dyDescent="0.25">
      <c r="C516" s="556"/>
      <c r="D516" s="556"/>
      <c r="E516" s="553">
        <f>F4A!E516+F4B!E516</f>
        <v>0</v>
      </c>
      <c r="F516" s="553">
        <f>F4A!F516+F4B!F516</f>
        <v>0</v>
      </c>
      <c r="G516" s="553">
        <f>F4A!G516+F4B!G516</f>
        <v>0</v>
      </c>
      <c r="H516" s="553">
        <f>F4A!H516+F4B!H516</f>
        <v>0</v>
      </c>
      <c r="I516" s="553">
        <f>F4A!I516+F4B!I516</f>
        <v>0</v>
      </c>
      <c r="J516" s="553">
        <f>F4A!J516+F4B!J516</f>
        <v>0</v>
      </c>
      <c r="K516" s="553">
        <f>F4A!K516+F4B!K516</f>
        <v>0</v>
      </c>
      <c r="L516" s="553">
        <f>F4A!L516+F4B!L516</f>
        <v>0</v>
      </c>
      <c r="M516" s="553">
        <f>F4A!M516+F4B!M516</f>
        <v>0</v>
      </c>
      <c r="N516" s="553">
        <f>F4A!N516+F4B!N516</f>
        <v>0</v>
      </c>
      <c r="O516" s="553">
        <f>F4A!O516+F4B!O516</f>
        <v>0</v>
      </c>
      <c r="P516" s="553">
        <f>F4A!P516+F4B!P516</f>
        <v>0</v>
      </c>
      <c r="Q516" s="561">
        <f t="shared" si="48"/>
        <v>0</v>
      </c>
      <c r="R516" s="166"/>
      <c r="S516" s="166"/>
    </row>
    <row r="517" spans="3:19" hidden="1" x14ac:dyDescent="0.25">
      <c r="C517" s="556"/>
      <c r="D517" s="556"/>
      <c r="E517" s="553">
        <f>F4A!E517+F4B!E517</f>
        <v>0</v>
      </c>
      <c r="F517" s="553">
        <f>F4A!F517+F4B!F517</f>
        <v>0</v>
      </c>
      <c r="G517" s="553">
        <f>F4A!G517+F4B!G517</f>
        <v>0</v>
      </c>
      <c r="H517" s="553">
        <f>F4A!H517+F4B!H517</f>
        <v>0</v>
      </c>
      <c r="I517" s="553">
        <f>F4A!I517+F4B!I517</f>
        <v>0</v>
      </c>
      <c r="J517" s="553">
        <f>F4A!J517+F4B!J517</f>
        <v>0</v>
      </c>
      <c r="K517" s="553">
        <f>F4A!K517+F4B!K517</f>
        <v>0</v>
      </c>
      <c r="L517" s="553">
        <f>F4A!L517+F4B!L517</f>
        <v>0</v>
      </c>
      <c r="M517" s="553">
        <f>F4A!M517+F4B!M517</f>
        <v>0</v>
      </c>
      <c r="N517" s="553">
        <f>F4A!N517+F4B!N517</f>
        <v>0</v>
      </c>
      <c r="O517" s="553">
        <f>F4A!O517+F4B!O517</f>
        <v>0</v>
      </c>
      <c r="P517" s="553">
        <f>F4A!P517+F4B!P517</f>
        <v>0</v>
      </c>
      <c r="Q517" s="561">
        <f t="shared" ref="Q517:Q522" si="50">SUM(E517:P517)</f>
        <v>0</v>
      </c>
      <c r="R517" s="166"/>
      <c r="S517" s="166"/>
    </row>
    <row r="518" spans="3:19" hidden="1" x14ac:dyDescent="0.25">
      <c r="C518" s="556"/>
      <c r="D518" s="556"/>
      <c r="E518" s="553">
        <f>F4A!E518+F4B!E518</f>
        <v>0</v>
      </c>
      <c r="F518" s="553">
        <f>F4A!F518+F4B!F518</f>
        <v>0</v>
      </c>
      <c r="G518" s="553">
        <f>F4A!G518+F4B!G518</f>
        <v>0</v>
      </c>
      <c r="H518" s="553">
        <f>F4A!H518+F4B!H518</f>
        <v>0</v>
      </c>
      <c r="I518" s="553">
        <f>F4A!I518+F4B!I518</f>
        <v>0</v>
      </c>
      <c r="J518" s="553">
        <f>F4A!J518+F4B!J518</f>
        <v>0</v>
      </c>
      <c r="K518" s="553">
        <f>F4A!K518+F4B!K518</f>
        <v>0</v>
      </c>
      <c r="L518" s="553">
        <f>F4A!L518+F4B!L518</f>
        <v>0</v>
      </c>
      <c r="M518" s="553">
        <f>F4A!M518+F4B!M518</f>
        <v>0</v>
      </c>
      <c r="N518" s="553">
        <f>F4A!N518+F4B!N518</f>
        <v>0</v>
      </c>
      <c r="O518" s="553">
        <f>F4A!O518+F4B!O518</f>
        <v>0</v>
      </c>
      <c r="P518" s="553">
        <f>F4A!P518+F4B!P518</f>
        <v>0</v>
      </c>
      <c r="Q518" s="561">
        <f t="shared" si="50"/>
        <v>0</v>
      </c>
      <c r="R518" s="166"/>
      <c r="S518" s="166"/>
    </row>
    <row r="519" spans="3:19" hidden="1" x14ac:dyDescent="0.25">
      <c r="C519" s="556" t="s">
        <v>226</v>
      </c>
      <c r="D519" s="556" t="s">
        <v>226</v>
      </c>
      <c r="E519" s="553">
        <f>F4A!E519+F4B!E519</f>
        <v>0</v>
      </c>
      <c r="F519" s="553">
        <f>F4A!F519+F4B!F519</f>
        <v>0</v>
      </c>
      <c r="G519" s="553">
        <f>F4A!G519+F4B!G519</f>
        <v>0</v>
      </c>
      <c r="H519" s="553">
        <f>F4A!H519+F4B!H519</f>
        <v>0</v>
      </c>
      <c r="I519" s="553">
        <f>F4A!I519+F4B!I519</f>
        <v>0</v>
      </c>
      <c r="J519" s="553">
        <f>F4A!J519+F4B!J519</f>
        <v>0</v>
      </c>
      <c r="K519" s="553">
        <f>F4A!K519+F4B!K519</f>
        <v>0</v>
      </c>
      <c r="L519" s="553">
        <f>F4A!L519+F4B!L519</f>
        <v>0</v>
      </c>
      <c r="M519" s="553">
        <f>F4A!M519+F4B!M519</f>
        <v>0</v>
      </c>
      <c r="N519" s="553">
        <f>F4A!N519+F4B!N519</f>
        <v>0</v>
      </c>
      <c r="O519" s="553">
        <f>F4A!O519+F4B!O519</f>
        <v>0</v>
      </c>
      <c r="P519" s="553">
        <f>F4A!P519+F4B!P519</f>
        <v>0</v>
      </c>
      <c r="Q519" s="561">
        <f t="shared" si="50"/>
        <v>0</v>
      </c>
      <c r="R519" s="166"/>
      <c r="S519" s="166"/>
    </row>
    <row r="520" spans="3:19" x14ac:dyDescent="0.25">
      <c r="C520" s="739" t="s">
        <v>212</v>
      </c>
      <c r="D520" s="740"/>
      <c r="E520" s="561">
        <f t="shared" ref="E520:P520" si="51">SUM(E503:E519)</f>
        <v>120.37525582000001</v>
      </c>
      <c r="F520" s="561">
        <f t="shared" si="51"/>
        <v>137.46491341999999</v>
      </c>
      <c r="G520" s="561">
        <f t="shared" si="51"/>
        <v>114.01009699000001</v>
      </c>
      <c r="H520" s="561">
        <f t="shared" si="51"/>
        <v>252.42242309</v>
      </c>
      <c r="I520" s="561">
        <f t="shared" si="51"/>
        <v>656.49616612</v>
      </c>
      <c r="J520" s="561">
        <f t="shared" si="51"/>
        <v>250.64526651999998</v>
      </c>
      <c r="K520" s="561">
        <f t="shared" si="51"/>
        <v>195.27284774293179</v>
      </c>
      <c r="L520" s="561">
        <f t="shared" si="51"/>
        <v>260.95190937697578</v>
      </c>
      <c r="M520" s="561">
        <f t="shared" si="51"/>
        <v>137.48400409881012</v>
      </c>
      <c r="N520" s="561">
        <f t="shared" si="51"/>
        <v>234.82876213760309</v>
      </c>
      <c r="O520" s="561">
        <f t="shared" si="51"/>
        <v>248.74316653286147</v>
      </c>
      <c r="P520" s="561">
        <f t="shared" si="51"/>
        <v>265.28586767482511</v>
      </c>
      <c r="Q520" s="561">
        <f t="shared" si="50"/>
        <v>2873.9806795240074</v>
      </c>
      <c r="R520" s="166"/>
      <c r="S520" s="166"/>
    </row>
    <row r="521" spans="3:19" x14ac:dyDescent="0.25">
      <c r="C521" s="739" t="s">
        <v>219</v>
      </c>
      <c r="D521" s="740"/>
      <c r="E521" s="561">
        <f t="shared" ref="E521:P521" si="52">E520+E501+E484</f>
        <v>382.36401305999993</v>
      </c>
      <c r="F521" s="561">
        <f t="shared" si="52"/>
        <v>369.92522975999998</v>
      </c>
      <c r="G521" s="561">
        <f t="shared" si="52"/>
        <v>366.53281805000006</v>
      </c>
      <c r="H521" s="561">
        <f t="shared" si="52"/>
        <v>533.98525405999999</v>
      </c>
      <c r="I521" s="561">
        <f t="shared" si="52"/>
        <v>938.78395068000009</v>
      </c>
      <c r="J521" s="561">
        <f t="shared" si="52"/>
        <v>520.29626010999993</v>
      </c>
      <c r="K521" s="561">
        <f t="shared" si="52"/>
        <v>483.7416217326662</v>
      </c>
      <c r="L521" s="561">
        <f t="shared" si="52"/>
        <v>504.9431872179166</v>
      </c>
      <c r="M521" s="561">
        <f t="shared" si="52"/>
        <v>449.10242234776757</v>
      </c>
      <c r="N521" s="561">
        <f t="shared" si="52"/>
        <v>575.22848773077635</v>
      </c>
      <c r="O521" s="561">
        <f t="shared" si="52"/>
        <v>585.91997878123414</v>
      </c>
      <c r="P521" s="561">
        <f t="shared" si="52"/>
        <v>615.71960487343085</v>
      </c>
      <c r="Q521" s="561">
        <f t="shared" si="50"/>
        <v>6326.5428284037916</v>
      </c>
      <c r="R521" s="166"/>
      <c r="S521" s="166"/>
    </row>
    <row r="522" spans="3:19" x14ac:dyDescent="0.25">
      <c r="C522" s="739" t="s">
        <v>220</v>
      </c>
      <c r="D522" s="740"/>
      <c r="E522" s="561">
        <f t="shared" ref="E522:P522" si="53">E521+E467</f>
        <v>1633.1365040599997</v>
      </c>
      <c r="F522" s="561">
        <f t="shared" si="53"/>
        <v>1257.03077876</v>
      </c>
      <c r="G522" s="561">
        <f t="shared" si="53"/>
        <v>1317.8927700500001</v>
      </c>
      <c r="H522" s="561">
        <f t="shared" si="53"/>
        <v>1629.64051206</v>
      </c>
      <c r="I522" s="561">
        <f t="shared" si="53"/>
        <v>2222.5842886800001</v>
      </c>
      <c r="J522" s="561">
        <f t="shared" si="53"/>
        <v>1730.8713621099996</v>
      </c>
      <c r="K522" s="561">
        <f t="shared" si="53"/>
        <v>2208.8259424819603</v>
      </c>
      <c r="L522" s="561">
        <f t="shared" si="53"/>
        <v>1539.9019343748439</v>
      </c>
      <c r="M522" s="561">
        <f t="shared" si="53"/>
        <v>1648.7632702638168</v>
      </c>
      <c r="N522" s="561">
        <f t="shared" si="53"/>
        <v>2181.4697792599618</v>
      </c>
      <c r="O522" s="561">
        <f t="shared" si="53"/>
        <v>2359.8699234546925</v>
      </c>
      <c r="P522" s="561">
        <f t="shared" si="53"/>
        <v>2669.6435281008007</v>
      </c>
      <c r="Q522" s="561">
        <f t="shared" si="50"/>
        <v>22399.630593656075</v>
      </c>
      <c r="R522" s="166"/>
      <c r="S522" s="166"/>
    </row>
    <row r="523" spans="3:19" x14ac:dyDescent="0.25">
      <c r="C523" s="559"/>
      <c r="D523" s="559"/>
      <c r="E523" s="562"/>
      <c r="F523" s="562"/>
      <c r="G523" s="562"/>
      <c r="H523" s="562"/>
      <c r="I523" s="562"/>
      <c r="J523" s="562"/>
      <c r="K523" s="562"/>
      <c r="L523" s="562"/>
      <c r="M523" s="562"/>
      <c r="N523" s="562"/>
      <c r="O523" s="562"/>
      <c r="P523" s="562"/>
      <c r="Q523" s="562"/>
      <c r="R523" s="166"/>
      <c r="S523" s="166"/>
    </row>
    <row r="524" spans="3:19" x14ac:dyDescent="0.25">
      <c r="C524" s="563"/>
      <c r="D524" s="559"/>
      <c r="E524" s="562"/>
      <c r="F524" s="562"/>
      <c r="G524" s="562"/>
      <c r="H524" s="562"/>
      <c r="I524" s="562"/>
      <c r="J524" s="562"/>
      <c r="K524" s="562"/>
      <c r="L524" s="562"/>
      <c r="M524" s="562"/>
      <c r="N524" s="562"/>
      <c r="O524" s="562"/>
      <c r="P524" s="562"/>
      <c r="Q524" s="564" t="s">
        <v>229</v>
      </c>
      <c r="R524" s="166"/>
      <c r="S524" s="166"/>
    </row>
    <row r="525" spans="3:19" x14ac:dyDescent="0.25">
      <c r="C525" s="734" t="s">
        <v>163</v>
      </c>
      <c r="D525" s="734"/>
      <c r="E525" s="769" t="s">
        <v>1222</v>
      </c>
      <c r="F525" s="769"/>
      <c r="G525" s="769"/>
      <c r="H525" s="769"/>
      <c r="I525" s="769"/>
      <c r="J525" s="769"/>
      <c r="K525" s="769"/>
      <c r="L525" s="769"/>
      <c r="M525" s="769"/>
      <c r="N525" s="769"/>
      <c r="O525" s="769"/>
      <c r="P525" s="769"/>
      <c r="Q525" s="769"/>
      <c r="R525" s="166"/>
      <c r="S525" s="166"/>
    </row>
    <row r="526" spans="3:19" x14ac:dyDescent="0.25">
      <c r="C526" s="734"/>
      <c r="D526" s="734"/>
      <c r="E526" s="560" t="s">
        <v>239</v>
      </c>
      <c r="F526" s="560" t="s">
        <v>240</v>
      </c>
      <c r="G526" s="560" t="s">
        <v>241</v>
      </c>
      <c r="H526" s="560" t="s">
        <v>242</v>
      </c>
      <c r="I526" s="560" t="s">
        <v>243</v>
      </c>
      <c r="J526" s="560" t="s">
        <v>244</v>
      </c>
      <c r="K526" s="560" t="s">
        <v>245</v>
      </c>
      <c r="L526" s="560" t="s">
        <v>246</v>
      </c>
      <c r="M526" s="560" t="s">
        <v>247</v>
      </c>
      <c r="N526" s="560" t="s">
        <v>248</v>
      </c>
      <c r="O526" s="560" t="s">
        <v>249</v>
      </c>
      <c r="P526" s="560" t="s">
        <v>250</v>
      </c>
      <c r="Q526" s="560" t="s">
        <v>251</v>
      </c>
      <c r="R526" s="166"/>
      <c r="S526" s="166"/>
    </row>
    <row r="527" spans="3:19" x14ac:dyDescent="0.25">
      <c r="C527" s="739" t="s">
        <v>171</v>
      </c>
      <c r="D527" s="740"/>
      <c r="E527" s="553"/>
      <c r="F527" s="553"/>
      <c r="G527" s="553"/>
      <c r="H527" s="553"/>
      <c r="I527" s="553"/>
      <c r="J527" s="553"/>
      <c r="K527" s="553"/>
      <c r="L527" s="553"/>
      <c r="M527" s="553"/>
      <c r="N527" s="553"/>
      <c r="O527" s="553"/>
      <c r="P527" s="553"/>
      <c r="Q527" s="561">
        <f t="shared" ref="Q527:Q558" si="54">SUM(E527:P527)</f>
        <v>0</v>
      </c>
      <c r="R527" s="166"/>
      <c r="S527" s="166"/>
    </row>
    <row r="528" spans="3:19" x14ac:dyDescent="0.25">
      <c r="C528" s="556" t="s">
        <v>172</v>
      </c>
      <c r="D528" s="556" t="s">
        <v>173</v>
      </c>
      <c r="E528" s="553">
        <f>F4A!E528+F4B!E528</f>
        <v>427.16583851009761</v>
      </c>
      <c r="F528" s="553">
        <f>F4A!F528+F4B!F528</f>
        <v>512.98046718094656</v>
      </c>
      <c r="G528" s="553">
        <f>F4A!G528+F4B!G528</f>
        <v>545.08256547078258</v>
      </c>
      <c r="H528" s="553">
        <f>F4A!H528+F4B!H528</f>
        <v>469.46062643459226</v>
      </c>
      <c r="I528" s="553">
        <f>F4A!I528+F4B!I528</f>
        <v>420.79311874986706</v>
      </c>
      <c r="J528" s="553">
        <f>F4A!J528+F4B!J528</f>
        <v>456.05219390773613</v>
      </c>
      <c r="K528" s="553">
        <f>F4A!K528+F4B!K528</f>
        <v>417.83415365120891</v>
      </c>
      <c r="L528" s="553">
        <f>F4A!L528+F4B!L528</f>
        <v>414.73624447761142</v>
      </c>
      <c r="M528" s="553">
        <f>F4A!M528+F4B!M528</f>
        <v>353.50754717852732</v>
      </c>
      <c r="N528" s="553">
        <f>F4A!N528+F4B!N528</f>
        <v>286.74080811546031</v>
      </c>
      <c r="O528" s="553">
        <f>F4A!O528+F4B!O528</f>
        <v>345.46578171376876</v>
      </c>
      <c r="P528" s="553">
        <f>F4A!P528+F4B!P528</f>
        <v>354.32362560508341</v>
      </c>
      <c r="Q528" s="561">
        <f t="shared" si="54"/>
        <v>5004.142970995681</v>
      </c>
      <c r="R528" s="166"/>
      <c r="S528" s="166"/>
    </row>
    <row r="529" spans="3:19" x14ac:dyDescent="0.25">
      <c r="C529" s="556" t="s">
        <v>174</v>
      </c>
      <c r="D529" s="556" t="s">
        <v>175</v>
      </c>
      <c r="E529" s="553">
        <f>F4A!E529+F4B!E529</f>
        <v>95.209142708343023</v>
      </c>
      <c r="F529" s="553">
        <f>F4A!F529+F4B!F529</f>
        <v>104.12122474343224</v>
      </c>
      <c r="G529" s="553">
        <f>F4A!G529+F4B!G529</f>
        <v>105.56352724932569</v>
      </c>
      <c r="H529" s="553">
        <f>F4A!H529+F4B!H529</f>
        <v>94.87130047128376</v>
      </c>
      <c r="I529" s="553">
        <f>F4A!I529+F4B!I529</f>
        <v>89.494477293524724</v>
      </c>
      <c r="J529" s="553">
        <f>F4A!J529+F4B!J529</f>
        <v>94.373061438859935</v>
      </c>
      <c r="K529" s="553">
        <f>F4A!K529+F4B!K529</f>
        <v>89.460692429777353</v>
      </c>
      <c r="L529" s="553">
        <f>F4A!L529+F4B!L529</f>
        <v>92.561532865968232</v>
      </c>
      <c r="M529" s="553">
        <f>F4A!M529+F4B!M529</f>
        <v>84.455668453514662</v>
      </c>
      <c r="N529" s="553">
        <f>F4A!N529+F4B!N529</f>
        <v>76.36548543177733</v>
      </c>
      <c r="O529" s="553">
        <f>F4A!O529+F4B!O529</f>
        <v>83.08215271234036</v>
      </c>
      <c r="P529" s="553">
        <f>F4A!P529+F4B!P529</f>
        <v>86.591574031012271</v>
      </c>
      <c r="Q529" s="561">
        <f t="shared" si="54"/>
        <v>1096.1498398291596</v>
      </c>
      <c r="R529" s="166"/>
      <c r="S529" s="166"/>
    </row>
    <row r="530" spans="3:19" x14ac:dyDescent="0.25">
      <c r="C530" s="556" t="s">
        <v>176</v>
      </c>
      <c r="D530" s="556" t="s">
        <v>177</v>
      </c>
      <c r="E530" s="553">
        <f>F4A!E530+F4B!E530</f>
        <v>20.619250019999999</v>
      </c>
      <c r="F530" s="553">
        <f>F4A!F530+F4B!F530</f>
        <v>21.691355700000006</v>
      </c>
      <c r="G530" s="553">
        <f>F4A!G530+F4B!G530</f>
        <v>22.354422</v>
      </c>
      <c r="H530" s="553">
        <f>F4A!H530+F4B!H530</f>
        <v>18.912207599999999</v>
      </c>
      <c r="I530" s="553">
        <f>F4A!I530+F4B!I530</f>
        <v>16.529780340000002</v>
      </c>
      <c r="J530" s="553">
        <f>F4A!J530+F4B!J530</f>
        <v>16.5181605</v>
      </c>
      <c r="K530" s="553">
        <f>F4A!K530+F4B!K530</f>
        <v>16.570136599199998</v>
      </c>
      <c r="L530" s="553">
        <f>F4A!L530+F4B!L530</f>
        <v>19.150566850800001</v>
      </c>
      <c r="M530" s="553">
        <f>F4A!M530+F4B!M530</f>
        <v>20.456997130800005</v>
      </c>
      <c r="N530" s="553">
        <f>F4A!N530+F4B!N530</f>
        <v>26.283340130399996</v>
      </c>
      <c r="O530" s="553">
        <f>F4A!O530+F4B!O530</f>
        <v>24.676455855600004</v>
      </c>
      <c r="P530" s="553">
        <f>F4A!P530+F4B!P530</f>
        <v>20.334827120400007</v>
      </c>
      <c r="Q530" s="561">
        <f t="shared" si="54"/>
        <v>244.09749984720006</v>
      </c>
      <c r="R530" s="166"/>
      <c r="S530" s="166"/>
    </row>
    <row r="531" spans="3:19" x14ac:dyDescent="0.25">
      <c r="C531" s="556" t="s">
        <v>178</v>
      </c>
      <c r="D531" s="556" t="s">
        <v>179</v>
      </c>
      <c r="E531" s="553">
        <f>F4A!E531+F4B!E531</f>
        <v>0.75382019999999983</v>
      </c>
      <c r="F531" s="553">
        <f>F4A!F531+F4B!F531</f>
        <v>0.78352469999999996</v>
      </c>
      <c r="G531" s="553">
        <f>F4A!G531+F4B!G531</f>
        <v>0.77761214999999995</v>
      </c>
      <c r="H531" s="553">
        <f>F4A!H531+F4B!H531</f>
        <v>0.7062216</v>
      </c>
      <c r="I531" s="553">
        <f>F4A!I531+F4B!I531</f>
        <v>0.6864868500000002</v>
      </c>
      <c r="J531" s="553">
        <f>F4A!J531+F4B!J531</f>
        <v>0.72543344999999981</v>
      </c>
      <c r="K531" s="553">
        <f>F4A!K531+F4B!K531</f>
        <v>0.7323863782506852</v>
      </c>
      <c r="L531" s="553">
        <f>F4A!L531+F4B!L531</f>
        <v>0.71703237515205098</v>
      </c>
      <c r="M531" s="553">
        <f>F4A!M531+F4B!M531</f>
        <v>0.6941036013910058</v>
      </c>
      <c r="N531" s="553">
        <f>F4A!N531+F4B!N531</f>
        <v>0.66197512392304791</v>
      </c>
      <c r="O531" s="553">
        <f>F4A!O531+F4B!O531</f>
        <v>0.6953486659820568</v>
      </c>
      <c r="P531" s="553">
        <f>F4A!P531+F4B!P531</f>
        <v>0.70659406354168164</v>
      </c>
      <c r="Q531" s="561">
        <f t="shared" si="54"/>
        <v>8.6405391582405286</v>
      </c>
      <c r="R531" s="166"/>
      <c r="S531" s="166"/>
    </row>
    <row r="532" spans="3:19" x14ac:dyDescent="0.25">
      <c r="C532" s="556" t="s">
        <v>180</v>
      </c>
      <c r="D532" s="556" t="s">
        <v>181</v>
      </c>
      <c r="E532" s="553">
        <f>F4A!E532+F4B!E532</f>
        <v>760.93888910076055</v>
      </c>
      <c r="F532" s="553">
        <f>F4A!F532+F4B!F532</f>
        <v>282.26277791705496</v>
      </c>
      <c r="G532" s="553">
        <f>F4A!G532+F4B!G532</f>
        <v>319.15754675912871</v>
      </c>
      <c r="H532" s="553">
        <f>F4A!H532+F4B!H532</f>
        <v>562.73846879846337</v>
      </c>
      <c r="I532" s="553">
        <f>F4A!I532+F4B!I532</f>
        <v>815.89208185819996</v>
      </c>
      <c r="J532" s="553">
        <f>F4A!J532+F4B!J532</f>
        <v>698.24484945784911</v>
      </c>
      <c r="K532" s="553">
        <f>F4A!K532+F4B!K532</f>
        <v>1288.2842735098527</v>
      </c>
      <c r="L532" s="553">
        <f>F4A!L532+F4B!L532</f>
        <v>547.97716499414491</v>
      </c>
      <c r="M532" s="553">
        <f>F4A!M532+F4B!M532</f>
        <v>788.96024519013201</v>
      </c>
      <c r="N532" s="553">
        <f>F4A!N532+F4B!N532</f>
        <v>1289.5218294487202</v>
      </c>
      <c r="O532" s="553">
        <f>F4A!O532+F4B!O532</f>
        <v>1405.6538495750272</v>
      </c>
      <c r="P532" s="553">
        <f>F4A!P532+F4B!P532</f>
        <v>1696.9740989184634</v>
      </c>
      <c r="Q532" s="561">
        <f t="shared" si="54"/>
        <v>10456.606075527796</v>
      </c>
      <c r="R532" s="166"/>
      <c r="S532" s="166"/>
    </row>
    <row r="533" spans="3:19" x14ac:dyDescent="0.25">
      <c r="C533" s="556" t="s">
        <v>182</v>
      </c>
      <c r="D533" s="556" t="s">
        <v>183</v>
      </c>
      <c r="E533" s="553">
        <f>F4A!E533+F4B!E533</f>
        <v>33.902991189184064</v>
      </c>
      <c r="F533" s="553">
        <f>F4A!F533+F4B!F533</f>
        <v>33.944762171846918</v>
      </c>
      <c r="G533" s="553">
        <f>F4A!G533+F4B!G533</f>
        <v>34.04745860226533</v>
      </c>
      <c r="H533" s="553">
        <f>F4A!H533+F4B!H533</f>
        <v>30.072341213191727</v>
      </c>
      <c r="I533" s="553">
        <f>F4A!I533+F4B!I533</f>
        <v>30.199680906574542</v>
      </c>
      <c r="J533" s="553">
        <f>F4A!J533+F4B!J533</f>
        <v>30.618318050061241</v>
      </c>
      <c r="K533" s="553">
        <f>F4A!K533+F4B!K533</f>
        <v>31.285695634768189</v>
      </c>
      <c r="L533" s="553">
        <f>F4A!L533+F4B!L533</f>
        <v>35.062993509506924</v>
      </c>
      <c r="M533" s="553">
        <f>F4A!M533+F4B!M533</f>
        <v>34.349035344614862</v>
      </c>
      <c r="N533" s="553">
        <f>F4A!N533+F4B!N533</f>
        <v>34.288409147943035</v>
      </c>
      <c r="O533" s="553">
        <f>F4A!O533+F4B!O533</f>
        <v>35.235101174416421</v>
      </c>
      <c r="P533" s="553">
        <f>F4A!P533+F4B!P533</f>
        <v>33.508647856945714</v>
      </c>
      <c r="Q533" s="561">
        <f t="shared" si="54"/>
        <v>396.51543480131897</v>
      </c>
      <c r="R533" s="166"/>
      <c r="S533" s="166"/>
    </row>
    <row r="534" spans="3:19" x14ac:dyDescent="0.25">
      <c r="C534" s="556" t="s">
        <v>184</v>
      </c>
      <c r="D534" s="556" t="s">
        <v>185</v>
      </c>
      <c r="E534" s="553">
        <f>F4A!E534+F4B!E534</f>
        <v>7.2890313126665678</v>
      </c>
      <c r="F534" s="553">
        <f>F4A!F534+F4B!F534</f>
        <v>5.5765017401115546</v>
      </c>
      <c r="G534" s="553">
        <f>F4A!G534+F4B!G534</f>
        <v>3.9470119532459362</v>
      </c>
      <c r="H534" s="553">
        <f>F4A!H534+F4B!H534</f>
        <v>5.5270259041250709</v>
      </c>
      <c r="I534" s="553">
        <f>F4A!I534+F4B!I534</f>
        <v>7.479295354505652</v>
      </c>
      <c r="J534" s="553">
        <f>F4A!J534+F4B!J534</f>
        <v>7.823299137544427</v>
      </c>
      <c r="K534" s="553">
        <f>F4A!K534+F4B!K534</f>
        <v>7.0287337477245995</v>
      </c>
      <c r="L534" s="553">
        <f>F4A!L534+F4B!L534</f>
        <v>5.1714979141046387</v>
      </c>
      <c r="M534" s="553">
        <f>F4A!M534+F4B!M534</f>
        <v>6.4091246988904178</v>
      </c>
      <c r="N534" s="553">
        <f>F4A!N534+F4B!N534</f>
        <v>5.4422743694335054</v>
      </c>
      <c r="O534" s="553">
        <f>F4A!O534+F4B!O534</f>
        <v>5.3264480837960937</v>
      </c>
      <c r="P534" s="553">
        <f>F4A!P534+F4B!P534</f>
        <v>6.6277632444571912</v>
      </c>
      <c r="Q534" s="561">
        <f t="shared" si="54"/>
        <v>73.648007460605655</v>
      </c>
      <c r="R534" s="166"/>
      <c r="S534" s="166"/>
    </row>
    <row r="535" spans="3:19" x14ac:dyDescent="0.25">
      <c r="C535" s="556" t="s">
        <v>186</v>
      </c>
      <c r="D535" s="556" t="s">
        <v>187</v>
      </c>
      <c r="E535" s="553">
        <f>F4A!E535+F4B!E535</f>
        <v>1.3554205892955602</v>
      </c>
      <c r="F535" s="553">
        <f>F4A!F535+F4B!F535</f>
        <v>1.4904747998031922</v>
      </c>
      <c r="G535" s="553">
        <f>F4A!G535+F4B!G535</f>
        <v>1.5470140227761739</v>
      </c>
      <c r="H535" s="553">
        <f>F4A!H535+F4B!H535</f>
        <v>1.3841279307373486</v>
      </c>
      <c r="I535" s="553">
        <f>F4A!I535+F4B!I535</f>
        <v>1.3931449527157675</v>
      </c>
      <c r="J535" s="553">
        <f>F4A!J535+F4B!J535</f>
        <v>1.397323284107246</v>
      </c>
      <c r="K535" s="553">
        <f>F4A!K535+F4B!K535</f>
        <v>1.3863793899226569</v>
      </c>
      <c r="L535" s="553">
        <f>F4A!L535+F4B!L535</f>
        <v>1.4270492349855519</v>
      </c>
      <c r="M535" s="553">
        <f>F4A!M535+F4B!M535</f>
        <v>1.1622999945126737</v>
      </c>
      <c r="N535" s="553">
        <f>F4A!N535+F4B!N535</f>
        <v>1.1850447979061258</v>
      </c>
      <c r="O535" s="553">
        <f>F4A!O535+F4B!O535</f>
        <v>1.3244599065372065</v>
      </c>
      <c r="P535" s="553">
        <f>F4A!P535+F4B!P535</f>
        <v>1.3212346864144864</v>
      </c>
      <c r="Q535" s="561">
        <f t="shared" si="54"/>
        <v>16.373973589713991</v>
      </c>
      <c r="R535" s="166"/>
      <c r="S535" s="166"/>
    </row>
    <row r="536" spans="3:19" x14ac:dyDescent="0.25">
      <c r="C536" s="556" t="s">
        <v>188</v>
      </c>
      <c r="D536" s="556" t="s">
        <v>189</v>
      </c>
      <c r="E536" s="553">
        <f>F4A!E536+F4B!E536</f>
        <v>1.5017100000000004E-2</v>
      </c>
      <c r="F536" s="553">
        <f>F4A!F536+F4B!F536</f>
        <v>1.204035E-2</v>
      </c>
      <c r="G536" s="553">
        <f>F4A!G536+F4B!G536</f>
        <v>1.6601550000000003E-2</v>
      </c>
      <c r="H536" s="553">
        <f>F4A!H536+F4B!H536</f>
        <v>1.4007E-2</v>
      </c>
      <c r="I536" s="553">
        <f>F4A!I536+F4B!I536</f>
        <v>1.5301650000000002E-2</v>
      </c>
      <c r="J536" s="553">
        <f>F4A!J536+F4B!J536</f>
        <v>1.5301650000000002E-2</v>
      </c>
      <c r="K536" s="553">
        <f>F4A!K536+F4B!K536</f>
        <v>9.9335249999999986E-3</v>
      </c>
      <c r="L536" s="553">
        <f>F4A!L536+F4B!L536</f>
        <v>1.6431660000000004E-2</v>
      </c>
      <c r="M536" s="553">
        <f>F4A!M536+F4B!M536</f>
        <v>1.3861732500000003E-2</v>
      </c>
      <c r="N536" s="553">
        <f>F4A!N536+F4B!N536</f>
        <v>1.4733810000000002E-2</v>
      </c>
      <c r="O536" s="553">
        <f>F4A!O536+F4B!O536</f>
        <v>1.7050162500000004E-2</v>
      </c>
      <c r="P536" s="553">
        <f>F4A!P536+F4B!P536</f>
        <v>1.5771262500000001E-2</v>
      </c>
      <c r="Q536" s="561">
        <f t="shared" si="54"/>
        <v>0.17605145250000001</v>
      </c>
      <c r="R536" s="166"/>
      <c r="S536" s="166"/>
    </row>
    <row r="537" spans="3:19" hidden="1" x14ac:dyDescent="0.25">
      <c r="C537" s="556"/>
      <c r="D537" s="556"/>
      <c r="E537" s="553">
        <f>F4A!E537+F4B!E537</f>
        <v>0</v>
      </c>
      <c r="F537" s="553">
        <f>F4A!F537+F4B!F537</f>
        <v>0</v>
      </c>
      <c r="G537" s="553">
        <f>F4A!G537+F4B!G537</f>
        <v>0</v>
      </c>
      <c r="H537" s="553">
        <f>F4A!H537+F4B!H537</f>
        <v>0</v>
      </c>
      <c r="I537" s="553">
        <f>F4A!I537+F4B!I537</f>
        <v>0</v>
      </c>
      <c r="J537" s="553">
        <f>F4A!J537+F4B!J537</f>
        <v>0</v>
      </c>
      <c r="K537" s="553">
        <f>F4A!K537+F4B!K537</f>
        <v>0</v>
      </c>
      <c r="L537" s="553">
        <f>F4A!L537+F4B!L537</f>
        <v>0</v>
      </c>
      <c r="M537" s="553">
        <f>F4A!M537+F4B!M537</f>
        <v>0</v>
      </c>
      <c r="N537" s="553">
        <f>F4A!N537+F4B!N537</f>
        <v>0</v>
      </c>
      <c r="O537" s="553">
        <f>F4A!O537+F4B!O537</f>
        <v>0</v>
      </c>
      <c r="P537" s="553">
        <f>F4A!P537+F4B!P537</f>
        <v>0</v>
      </c>
      <c r="Q537" s="561">
        <f t="shared" si="54"/>
        <v>0</v>
      </c>
      <c r="R537" s="166"/>
      <c r="S537" s="166"/>
    </row>
    <row r="538" spans="3:19" hidden="1" x14ac:dyDescent="0.25">
      <c r="C538" s="556"/>
      <c r="D538" s="556"/>
      <c r="E538" s="553">
        <f>F4A!E538+F4B!E538</f>
        <v>0</v>
      </c>
      <c r="F538" s="553">
        <f>F4A!F538+F4B!F538</f>
        <v>0</v>
      </c>
      <c r="G538" s="553">
        <f>F4A!G538+F4B!G538</f>
        <v>0</v>
      </c>
      <c r="H538" s="553">
        <f>F4A!H538+F4B!H538</f>
        <v>0</v>
      </c>
      <c r="I538" s="553">
        <f>F4A!I538+F4B!I538</f>
        <v>0</v>
      </c>
      <c r="J538" s="553">
        <f>F4A!J538+F4B!J538</f>
        <v>0</v>
      </c>
      <c r="K538" s="553">
        <f>F4A!K538+F4B!K538</f>
        <v>0</v>
      </c>
      <c r="L538" s="553">
        <f>F4A!L538+F4B!L538</f>
        <v>0</v>
      </c>
      <c r="M538" s="553">
        <f>F4A!M538+F4B!M538</f>
        <v>0</v>
      </c>
      <c r="N538" s="553">
        <f>F4A!N538+F4B!N538</f>
        <v>0</v>
      </c>
      <c r="O538" s="553">
        <f>F4A!O538+F4B!O538</f>
        <v>0</v>
      </c>
      <c r="P538" s="553">
        <f>F4A!P538+F4B!P538</f>
        <v>0</v>
      </c>
      <c r="Q538" s="561">
        <f t="shared" si="54"/>
        <v>0</v>
      </c>
      <c r="R538" s="166"/>
      <c r="S538" s="166"/>
    </row>
    <row r="539" spans="3:19" hidden="1" x14ac:dyDescent="0.25">
      <c r="C539" s="556"/>
      <c r="D539" s="556"/>
      <c r="E539" s="553">
        <f>F4A!E539+F4B!E539</f>
        <v>0</v>
      </c>
      <c r="F539" s="553">
        <f>F4A!F539+F4B!F539</f>
        <v>0</v>
      </c>
      <c r="G539" s="553">
        <f>F4A!G539+F4B!G539</f>
        <v>0</v>
      </c>
      <c r="H539" s="553">
        <f>F4A!H539+F4B!H539</f>
        <v>0</v>
      </c>
      <c r="I539" s="553">
        <f>F4A!I539+F4B!I539</f>
        <v>0</v>
      </c>
      <c r="J539" s="553">
        <f>F4A!J539+F4B!J539</f>
        <v>0</v>
      </c>
      <c r="K539" s="553">
        <f>F4A!K539+F4B!K539</f>
        <v>0</v>
      </c>
      <c r="L539" s="553">
        <f>F4A!L539+F4B!L539</f>
        <v>0</v>
      </c>
      <c r="M539" s="553">
        <f>F4A!M539+F4B!M539</f>
        <v>0</v>
      </c>
      <c r="N539" s="553">
        <f>F4A!N539+F4B!N539</f>
        <v>0</v>
      </c>
      <c r="O539" s="553">
        <f>F4A!O539+F4B!O539</f>
        <v>0</v>
      </c>
      <c r="P539" s="553">
        <f>F4A!P539+F4B!P539</f>
        <v>0</v>
      </c>
      <c r="Q539" s="561">
        <f t="shared" si="54"/>
        <v>0</v>
      </c>
      <c r="R539" s="166"/>
      <c r="S539" s="166"/>
    </row>
    <row r="540" spans="3:19" hidden="1" x14ac:dyDescent="0.25">
      <c r="C540" s="556" t="s">
        <v>226</v>
      </c>
      <c r="D540" s="556" t="s">
        <v>226</v>
      </c>
      <c r="E540" s="553">
        <f>F4A!E540+F4B!E540</f>
        <v>0</v>
      </c>
      <c r="F540" s="553">
        <f>F4A!F540+F4B!F540</f>
        <v>0</v>
      </c>
      <c r="G540" s="553">
        <f>F4A!G540+F4B!G540</f>
        <v>0</v>
      </c>
      <c r="H540" s="553">
        <f>F4A!H540+F4B!H540</f>
        <v>0</v>
      </c>
      <c r="I540" s="553">
        <f>F4A!I540+F4B!I540</f>
        <v>0</v>
      </c>
      <c r="J540" s="553">
        <f>F4A!J540+F4B!J540</f>
        <v>0</v>
      </c>
      <c r="K540" s="553">
        <f>F4A!K540+F4B!K540</f>
        <v>0</v>
      </c>
      <c r="L540" s="553">
        <f>F4A!L540+F4B!L540</f>
        <v>0</v>
      </c>
      <c r="M540" s="553">
        <f>F4A!M540+F4B!M540</f>
        <v>0</v>
      </c>
      <c r="N540" s="553">
        <f>F4A!N540+F4B!N540</f>
        <v>0</v>
      </c>
      <c r="O540" s="553">
        <f>F4A!O540+F4B!O540</f>
        <v>0</v>
      </c>
      <c r="P540" s="553">
        <f>F4A!P540+F4B!P540</f>
        <v>0</v>
      </c>
      <c r="Q540" s="561">
        <f t="shared" si="54"/>
        <v>0</v>
      </c>
      <c r="R540" s="166"/>
      <c r="S540" s="166"/>
    </row>
    <row r="541" spans="3:19" x14ac:dyDescent="0.25">
      <c r="C541" s="739" t="s">
        <v>190</v>
      </c>
      <c r="D541" s="740"/>
      <c r="E541" s="561">
        <f t="shared" ref="E541:P541" si="55">SUM(E528:E540)</f>
        <v>1347.2494007303476</v>
      </c>
      <c r="F541" s="561">
        <f t="shared" si="55"/>
        <v>962.86312930319548</v>
      </c>
      <c r="G541" s="561">
        <f t="shared" si="55"/>
        <v>1032.4937597575245</v>
      </c>
      <c r="H541" s="561">
        <f t="shared" si="55"/>
        <v>1183.6863269523938</v>
      </c>
      <c r="I541" s="561">
        <f t="shared" si="55"/>
        <v>1382.4833679553878</v>
      </c>
      <c r="J541" s="561">
        <f t="shared" si="55"/>
        <v>1305.767940876158</v>
      </c>
      <c r="K541" s="561">
        <f t="shared" si="55"/>
        <v>1852.5923848657051</v>
      </c>
      <c r="L541" s="561">
        <f t="shared" si="55"/>
        <v>1116.8205138822739</v>
      </c>
      <c r="M541" s="561">
        <f t="shared" si="55"/>
        <v>1290.0088833248828</v>
      </c>
      <c r="N541" s="561">
        <f t="shared" si="55"/>
        <v>1720.5039003755637</v>
      </c>
      <c r="O541" s="561">
        <f t="shared" si="55"/>
        <v>1901.4766478499682</v>
      </c>
      <c r="P541" s="561">
        <f t="shared" si="55"/>
        <v>2200.4041367888176</v>
      </c>
      <c r="Q541" s="561">
        <f t="shared" si="54"/>
        <v>17296.350392662218</v>
      </c>
      <c r="R541" s="166"/>
      <c r="S541" s="166"/>
    </row>
    <row r="542" spans="3:19" x14ac:dyDescent="0.25">
      <c r="C542" s="739" t="s">
        <v>191</v>
      </c>
      <c r="D542" s="740"/>
      <c r="E542" s="553"/>
      <c r="F542" s="553"/>
      <c r="G542" s="553"/>
      <c r="H542" s="553"/>
      <c r="I542" s="553"/>
      <c r="J542" s="553"/>
      <c r="K542" s="553"/>
      <c r="L542" s="553"/>
      <c r="M542" s="553"/>
      <c r="N542" s="553"/>
      <c r="O542" s="553"/>
      <c r="P542" s="553"/>
      <c r="Q542" s="561">
        <f t="shared" si="54"/>
        <v>0</v>
      </c>
      <c r="R542" s="166"/>
      <c r="S542" s="166"/>
    </row>
    <row r="543" spans="3:19" x14ac:dyDescent="0.25">
      <c r="C543" s="556" t="s">
        <v>192</v>
      </c>
      <c r="D543" s="556" t="s">
        <v>193</v>
      </c>
      <c r="E543" s="553">
        <f>F4A!E543+F4B!E543</f>
        <v>94.181754387670154</v>
      </c>
      <c r="F543" s="553">
        <f>F4A!F543+F4B!F543</f>
        <v>92.995597386625349</v>
      </c>
      <c r="G543" s="553">
        <f>F4A!G543+F4B!G543</f>
        <v>95.867867370598461</v>
      </c>
      <c r="H543" s="553">
        <f>F4A!H543+F4B!H543</f>
        <v>96.565802235251837</v>
      </c>
      <c r="I543" s="553">
        <f>F4A!I543+F4B!I543</f>
        <v>96.848978733081623</v>
      </c>
      <c r="J543" s="553">
        <f>F4A!J543+F4B!J543</f>
        <v>93.15700792769087</v>
      </c>
      <c r="K543" s="553">
        <f>F4A!K543+F4B!K543</f>
        <v>97.638703754751461</v>
      </c>
      <c r="L543" s="553">
        <f>F4A!L543+F4B!L543</f>
        <v>102.38334663896072</v>
      </c>
      <c r="M543" s="553">
        <f>F4A!M543+F4B!M543</f>
        <v>115.16208539542048</v>
      </c>
      <c r="N543" s="553">
        <f>F4A!N543+F4B!N543</f>
        <v>121.57920653618829</v>
      </c>
      <c r="O543" s="553">
        <f>F4A!O543+F4B!O543</f>
        <v>109.86463745567984</v>
      </c>
      <c r="P543" s="553">
        <f>F4A!P543+F4B!P543</f>
        <v>95.121410787309188</v>
      </c>
      <c r="Q543" s="561">
        <f t="shared" si="54"/>
        <v>1211.3663986092283</v>
      </c>
      <c r="R543" s="166"/>
      <c r="S543" s="166"/>
    </row>
    <row r="544" spans="3:19" x14ac:dyDescent="0.25">
      <c r="C544" s="556" t="s">
        <v>194</v>
      </c>
      <c r="D544" s="556" t="s">
        <v>195</v>
      </c>
      <c r="E544" s="553">
        <f>F4A!E544+F4B!E544</f>
        <v>0</v>
      </c>
      <c r="F544" s="553">
        <f>F4A!F544+F4B!F544</f>
        <v>0</v>
      </c>
      <c r="G544" s="553">
        <f>F4A!G544+F4B!G544</f>
        <v>0</v>
      </c>
      <c r="H544" s="553">
        <f>F4A!H544+F4B!H544</f>
        <v>0</v>
      </c>
      <c r="I544" s="553">
        <f>F4A!I544+F4B!I544</f>
        <v>0</v>
      </c>
      <c r="J544" s="553">
        <f>F4A!J544+F4B!J544</f>
        <v>0</v>
      </c>
      <c r="K544" s="553">
        <f>F4A!K544+F4B!K544</f>
        <v>0</v>
      </c>
      <c r="L544" s="553">
        <f>F4A!L544+F4B!L544</f>
        <v>0</v>
      </c>
      <c r="M544" s="553">
        <f>F4A!M544+F4B!M544</f>
        <v>0</v>
      </c>
      <c r="N544" s="553">
        <f>F4A!N544+F4B!N544</f>
        <v>0</v>
      </c>
      <c r="O544" s="553">
        <f>F4A!O544+F4B!O544</f>
        <v>0</v>
      </c>
      <c r="P544" s="553">
        <f>F4A!P544+F4B!P544</f>
        <v>0</v>
      </c>
      <c r="Q544" s="561">
        <f t="shared" si="54"/>
        <v>0</v>
      </c>
      <c r="R544" s="166"/>
      <c r="S544" s="166"/>
    </row>
    <row r="545" spans="3:19" x14ac:dyDescent="0.25">
      <c r="C545" s="556" t="s">
        <v>233</v>
      </c>
      <c r="D545" s="556" t="s">
        <v>197</v>
      </c>
      <c r="E545" s="553">
        <f>F4A!E545+F4B!E545</f>
        <v>24.859233478923638</v>
      </c>
      <c r="F545" s="553">
        <f>F4A!F545+F4B!F545</f>
        <v>24.347874988157553</v>
      </c>
      <c r="G545" s="553">
        <f>F4A!G545+F4B!G545</f>
        <v>23.829031216714512</v>
      </c>
      <c r="H545" s="553">
        <f>F4A!H545+F4B!H545</f>
        <v>21.339286390142824</v>
      </c>
      <c r="I545" s="553">
        <f>F4A!I545+F4B!I545</f>
        <v>22.947923586401444</v>
      </c>
      <c r="J545" s="553">
        <f>F4A!J545+F4B!J545</f>
        <v>21.01096669022078</v>
      </c>
      <c r="K545" s="553">
        <f>F4A!K545+F4B!K545</f>
        <v>21.446940894024326</v>
      </c>
      <c r="L545" s="553">
        <f>F4A!L545+F4B!L545</f>
        <v>19.176241291613611</v>
      </c>
      <c r="M545" s="553">
        <f>F4A!M545+F4B!M545</f>
        <v>16.433499962681999</v>
      </c>
      <c r="N545" s="553">
        <f>F4A!N545+F4B!N545</f>
        <v>17.156344412189302</v>
      </c>
      <c r="O545" s="553">
        <f>F4A!O545+F4B!O545</f>
        <v>18.612540740849209</v>
      </c>
      <c r="P545" s="553">
        <f>F4A!P545+F4B!P545</f>
        <v>21.828635958247972</v>
      </c>
      <c r="Q545" s="561">
        <f t="shared" si="54"/>
        <v>252.98851961016715</v>
      </c>
      <c r="R545" s="166"/>
      <c r="S545" s="166"/>
    </row>
    <row r="546" spans="3:19" x14ac:dyDescent="0.25">
      <c r="C546" s="556" t="s">
        <v>198</v>
      </c>
      <c r="D546" s="556" t="s">
        <v>199</v>
      </c>
      <c r="E546" s="553">
        <f>F4A!E546+F4B!E546</f>
        <v>3.4237320000000002E-2</v>
      </c>
      <c r="F546" s="553">
        <f>F4A!F546+F4B!F546</f>
        <v>3.8559060000000006E-2</v>
      </c>
      <c r="G546" s="553">
        <f>F4A!G546+F4B!G546</f>
        <v>3.2961300000000006E-2</v>
      </c>
      <c r="H546" s="553">
        <f>F4A!H546+F4B!H546</f>
        <v>2.991048E-2</v>
      </c>
      <c r="I546" s="553">
        <f>F4A!I546+F4B!I546</f>
        <v>2.70759E-2</v>
      </c>
      <c r="J546" s="553">
        <f>F4A!J546+F4B!J546</f>
        <v>2.67189E-2</v>
      </c>
      <c r="K546" s="553">
        <f>F4A!K546+F4B!K546</f>
        <v>2.23030548E-2</v>
      </c>
      <c r="L546" s="553">
        <f>F4A!L546+F4B!L546</f>
        <v>1.8679341600000003E-2</v>
      </c>
      <c r="M546" s="553">
        <f>F4A!M546+F4B!M546</f>
        <v>2.07778284E-2</v>
      </c>
      <c r="N546" s="553">
        <f>F4A!N546+F4B!N546</f>
        <v>2.7183571199999999E-2</v>
      </c>
      <c r="O546" s="553">
        <f>F4A!O546+F4B!O546</f>
        <v>2.6865208800000005E-2</v>
      </c>
      <c r="P546" s="553">
        <f>F4A!P546+F4B!P546</f>
        <v>3.2375167199999999E-2</v>
      </c>
      <c r="Q546" s="561">
        <f t="shared" si="54"/>
        <v>0.33764713199999996</v>
      </c>
      <c r="R546" s="166"/>
      <c r="S546" s="166"/>
    </row>
    <row r="547" spans="3:19" x14ac:dyDescent="0.25">
      <c r="C547" s="556" t="s">
        <v>200</v>
      </c>
      <c r="D547" s="556" t="s">
        <v>201</v>
      </c>
      <c r="E547" s="553">
        <f>F4A!E547+F4B!E547</f>
        <v>0.82833991137099761</v>
      </c>
      <c r="F547" s="553">
        <f>F4A!F547+F4B!F547</f>
        <v>0.87731499898456877</v>
      </c>
      <c r="G547" s="553">
        <f>F4A!G547+F4B!G547</f>
        <v>0.82336658155512277</v>
      </c>
      <c r="H547" s="553">
        <f>F4A!H547+F4B!H547</f>
        <v>0.7068228765704998</v>
      </c>
      <c r="I547" s="553">
        <f>F4A!I547+F4B!I547</f>
        <v>0.71085304151683437</v>
      </c>
      <c r="J547" s="553">
        <f>F4A!J547+F4B!J547</f>
        <v>0.65995330489808535</v>
      </c>
      <c r="K547" s="553">
        <f>F4A!K547+F4B!K547</f>
        <v>0.75493554646122885</v>
      </c>
      <c r="L547" s="553">
        <f>F4A!L547+F4B!L547</f>
        <v>0.66098976777112595</v>
      </c>
      <c r="M547" s="553">
        <f>F4A!M547+F4B!M547</f>
        <v>0.59963151948907201</v>
      </c>
      <c r="N547" s="553">
        <f>F4A!N547+F4B!N547</f>
        <v>0.63069735527893533</v>
      </c>
      <c r="O547" s="553">
        <f>F4A!O547+F4B!O547</f>
        <v>0.64854373107307162</v>
      </c>
      <c r="P547" s="553">
        <f>F4A!P547+F4B!P547</f>
        <v>0.70977307547218005</v>
      </c>
      <c r="Q547" s="561">
        <f t="shared" si="54"/>
        <v>8.6112217104417219</v>
      </c>
      <c r="R547" s="166"/>
      <c r="S547" s="166"/>
    </row>
    <row r="548" spans="3:19" x14ac:dyDescent="0.25">
      <c r="C548" s="556" t="s">
        <v>202</v>
      </c>
      <c r="D548" s="556" t="s">
        <v>203</v>
      </c>
      <c r="E548" s="553">
        <f>F4A!E548+F4B!E548</f>
        <v>1.9187148599999999</v>
      </c>
      <c r="F548" s="553">
        <f>F4A!F548+F4B!F548</f>
        <v>0.25798757999999999</v>
      </c>
      <c r="G548" s="553">
        <f>F4A!G548+F4B!G548</f>
        <v>0.25140143999999998</v>
      </c>
      <c r="H548" s="553">
        <f>F4A!H548+F4B!H548</f>
        <v>1.04740842</v>
      </c>
      <c r="I548" s="553">
        <f>F4A!I548+F4B!I548</f>
        <v>1.8324014400000002</v>
      </c>
      <c r="J548" s="553">
        <f>F4A!J548+F4B!J548</f>
        <v>1.5741221400000001</v>
      </c>
      <c r="K548" s="553">
        <f>F4A!K548+F4B!K548</f>
        <v>2.8480884720000001</v>
      </c>
      <c r="L548" s="553">
        <f>F4A!L548+F4B!L548</f>
        <v>1.21965276</v>
      </c>
      <c r="M548" s="553">
        <f>F4A!M548+F4B!M548</f>
        <v>1.4910958739999998</v>
      </c>
      <c r="N548" s="553">
        <f>F4A!N548+F4B!N548</f>
        <v>3.8265736559999999</v>
      </c>
      <c r="O548" s="553">
        <f>F4A!O548+F4B!O548</f>
        <v>4.1669876400000003</v>
      </c>
      <c r="P548" s="553">
        <f>F4A!P548+F4B!P548</f>
        <v>4.61953002</v>
      </c>
      <c r="Q548" s="561">
        <f t="shared" si="54"/>
        <v>25.053964301999997</v>
      </c>
      <c r="R548" s="166"/>
      <c r="S548" s="166"/>
    </row>
    <row r="549" spans="3:19" x14ac:dyDescent="0.25">
      <c r="C549" s="556" t="s">
        <v>204</v>
      </c>
      <c r="D549" s="556" t="s">
        <v>205</v>
      </c>
      <c r="E549" s="553">
        <f>F4A!E549+F4B!E549</f>
        <v>14.676355499585378</v>
      </c>
      <c r="F549" s="553">
        <f>F4A!F549+F4B!F549</f>
        <v>14.348020967384246</v>
      </c>
      <c r="G549" s="553">
        <f>F4A!G549+F4B!G549</f>
        <v>13.896743512014847</v>
      </c>
      <c r="H549" s="553">
        <f>F4A!H549+F4B!H549</f>
        <v>12.592192190902178</v>
      </c>
      <c r="I549" s="553">
        <f>F4A!I549+F4B!I549</f>
        <v>13.023078713744228</v>
      </c>
      <c r="J549" s="553">
        <f>F4A!J549+F4B!J549</f>
        <v>12.080973938639298</v>
      </c>
      <c r="K549" s="553">
        <f>F4A!K549+F4B!K549</f>
        <v>14.053398838632978</v>
      </c>
      <c r="L549" s="553">
        <f>F4A!L549+F4B!L549</f>
        <v>13.738586815620963</v>
      </c>
      <c r="M549" s="553">
        <f>F4A!M549+F4B!M549</f>
        <v>13.863802678660047</v>
      </c>
      <c r="N549" s="553">
        <f>F4A!N549+F4B!N549</f>
        <v>14.68610469629979</v>
      </c>
      <c r="O549" s="553">
        <f>F4A!O549+F4B!O549</f>
        <v>13.640337883521889</v>
      </c>
      <c r="P549" s="553">
        <f>F4A!P549+F4B!P549</f>
        <v>14.619497207758553</v>
      </c>
      <c r="Q549" s="561">
        <f t="shared" si="54"/>
        <v>165.21909294276438</v>
      </c>
      <c r="R549" s="166"/>
      <c r="S549" s="166"/>
    </row>
    <row r="550" spans="3:19" x14ac:dyDescent="0.25">
      <c r="C550" s="556" t="s">
        <v>206</v>
      </c>
      <c r="D550" s="556" t="s">
        <v>207</v>
      </c>
      <c r="E550" s="553">
        <f>F4A!E550+F4B!E550</f>
        <v>0.94396269409905509</v>
      </c>
      <c r="F550" s="553">
        <f>F4A!F550+F4B!F550</f>
        <v>0.97878740097292338</v>
      </c>
      <c r="G550" s="553">
        <f>F4A!G550+F4B!G550</f>
        <v>0.92627845527296171</v>
      </c>
      <c r="H550" s="553">
        <f>F4A!H550+F4B!H550</f>
        <v>0.77260273495634368</v>
      </c>
      <c r="I550" s="553">
        <f>F4A!I550+F4B!I550</f>
        <v>0.811454394771702</v>
      </c>
      <c r="J550" s="553">
        <f>F4A!J550+F4B!J550</f>
        <v>0.76074446641309224</v>
      </c>
      <c r="K550" s="553">
        <f>F4A!K550+F4B!K550</f>
        <v>0.750290101270353</v>
      </c>
      <c r="L550" s="553">
        <f>F4A!L550+F4B!L550</f>
        <v>0.68168249291094685</v>
      </c>
      <c r="M550" s="553">
        <f>F4A!M550+F4B!M550</f>
        <v>0.5674409170705953</v>
      </c>
      <c r="N550" s="553">
        <f>F4A!N550+F4B!N550</f>
        <v>0.64150635739151385</v>
      </c>
      <c r="O550" s="553">
        <f>F4A!O550+F4B!O550</f>
        <v>0.65495113524061488</v>
      </c>
      <c r="P550" s="553">
        <f>F4A!P550+F4B!P550</f>
        <v>0.76895849581892517</v>
      </c>
      <c r="Q550" s="561">
        <f t="shared" si="54"/>
        <v>9.2586596461890274</v>
      </c>
      <c r="R550" s="166"/>
      <c r="S550" s="166"/>
    </row>
    <row r="551" spans="3:19" x14ac:dyDescent="0.25">
      <c r="C551" s="556" t="s">
        <v>208</v>
      </c>
      <c r="D551" s="556" t="s">
        <v>187</v>
      </c>
      <c r="E551" s="553">
        <f>F4A!E551+F4B!E551</f>
        <v>1.101181</v>
      </c>
      <c r="F551" s="553">
        <f>F4A!F551+F4B!F551</f>
        <v>1.0717239999999999</v>
      </c>
      <c r="G551" s="553">
        <f>F4A!G551+F4B!G551</f>
        <v>1.084025</v>
      </c>
      <c r="H551" s="553">
        <f>F4A!H551+F4B!H551</f>
        <v>1.0250300000000001</v>
      </c>
      <c r="I551" s="553">
        <f>F4A!I551+F4B!I551</f>
        <v>1.213595</v>
      </c>
      <c r="J551" s="553">
        <f>F4A!J551+F4B!J551</f>
        <v>1.1878</v>
      </c>
      <c r="K551" s="553">
        <f>F4A!K551+F4B!K551</f>
        <v>1.4299949999999999</v>
      </c>
      <c r="L551" s="553">
        <f>F4A!L551+F4B!L551</f>
        <v>1.3612569999999999</v>
      </c>
      <c r="M551" s="553">
        <f>F4A!M551+F4B!M551</f>
        <v>1.364538</v>
      </c>
      <c r="N551" s="553">
        <f>F4A!N551+F4B!N551</f>
        <v>1.374131</v>
      </c>
      <c r="O551" s="553">
        <f>F4A!O551+F4B!O551</f>
        <v>1.2489410000000001</v>
      </c>
      <c r="P551" s="553">
        <f>F4A!P551+F4B!P551</f>
        <v>1.1490670000000001</v>
      </c>
      <c r="Q551" s="561">
        <f t="shared" si="54"/>
        <v>14.611284000000001</v>
      </c>
      <c r="R551" s="166"/>
      <c r="S551" s="166"/>
    </row>
    <row r="552" spans="3:19" x14ac:dyDescent="0.25">
      <c r="C552" s="556" t="s">
        <v>209</v>
      </c>
      <c r="D552" s="556" t="s">
        <v>210</v>
      </c>
      <c r="E552" s="553">
        <f>F4A!E552+F4B!E552</f>
        <v>79.450844595437488</v>
      </c>
      <c r="F552" s="553">
        <f>F4A!F552+F4B!F552</f>
        <v>53.277909172697115</v>
      </c>
      <c r="G552" s="553">
        <f>F4A!G552+F4B!G552</f>
        <v>74.969344654859071</v>
      </c>
      <c r="H552" s="553">
        <f>F4A!H552+F4B!H552</f>
        <v>107.13448514193634</v>
      </c>
      <c r="I552" s="553">
        <f>F4A!I552+F4B!I552</f>
        <v>99.593577854195928</v>
      </c>
      <c r="J552" s="553">
        <f>F4A!J552+F4B!J552</f>
        <v>91.699457989783411</v>
      </c>
      <c r="K552" s="553">
        <f>F4A!K552+F4B!K552</f>
        <v>108.65569897602498</v>
      </c>
      <c r="L552" s="553">
        <f>F4A!L552+F4B!L552</f>
        <v>61.090951693391382</v>
      </c>
      <c r="M552" s="553">
        <f>F4A!M552+F4B!M552</f>
        <v>123.93624454342294</v>
      </c>
      <c r="N552" s="553">
        <f>F4A!N552+F4B!N552</f>
        <v>132.68038855480455</v>
      </c>
      <c r="O552" s="553">
        <f>F4A!O552+F4B!O552</f>
        <v>144.49331635393384</v>
      </c>
      <c r="P552" s="553">
        <f>F4A!P552+F4B!P552</f>
        <v>158.07489475393564</v>
      </c>
      <c r="Q552" s="561">
        <f t="shared" si="54"/>
        <v>1235.0571142844228</v>
      </c>
      <c r="R552" s="166"/>
      <c r="S552" s="166"/>
    </row>
    <row r="553" spans="3:19" x14ac:dyDescent="0.25">
      <c r="C553" s="556" t="s">
        <v>211</v>
      </c>
      <c r="D553" s="556" t="s">
        <v>189</v>
      </c>
      <c r="E553" s="553">
        <f>F4A!E553+F4B!E553</f>
        <v>0</v>
      </c>
      <c r="F553" s="553">
        <f>F4A!F553+F4B!F553</f>
        <v>0</v>
      </c>
      <c r="G553" s="553">
        <f>F4A!G553+F4B!G553</f>
        <v>0</v>
      </c>
      <c r="H553" s="553">
        <f>F4A!H553+F4B!H553</f>
        <v>0</v>
      </c>
      <c r="I553" s="553">
        <f>F4A!I553+F4B!I553</f>
        <v>0</v>
      </c>
      <c r="J553" s="553">
        <f>F4A!J553+F4B!J553</f>
        <v>0</v>
      </c>
      <c r="K553" s="553">
        <f>F4A!K553+F4B!K553</f>
        <v>0</v>
      </c>
      <c r="L553" s="553">
        <f>F4A!L553+F4B!L553</f>
        <v>0</v>
      </c>
      <c r="M553" s="553">
        <f>F4A!M553+F4B!M553</f>
        <v>0</v>
      </c>
      <c r="N553" s="553">
        <f>F4A!N553+F4B!N553</f>
        <v>0</v>
      </c>
      <c r="O553" s="553">
        <f>F4A!O553+F4B!O553</f>
        <v>0</v>
      </c>
      <c r="P553" s="553">
        <f>F4A!P553+F4B!P553</f>
        <v>0</v>
      </c>
      <c r="Q553" s="561">
        <f t="shared" si="54"/>
        <v>0</v>
      </c>
      <c r="R553" s="166"/>
      <c r="S553" s="166"/>
    </row>
    <row r="554" spans="3:19" hidden="1" x14ac:dyDescent="0.25">
      <c r="C554" s="556"/>
      <c r="D554" s="556"/>
      <c r="E554" s="553">
        <f>F4A!E554+F4B!E554</f>
        <v>0</v>
      </c>
      <c r="F554" s="553">
        <f>F4A!F554+F4B!F554</f>
        <v>0</v>
      </c>
      <c r="G554" s="553">
        <f>F4A!G554+F4B!G554</f>
        <v>0</v>
      </c>
      <c r="H554" s="553">
        <f>F4A!H554+F4B!H554</f>
        <v>0</v>
      </c>
      <c r="I554" s="553">
        <f>F4A!I554+F4B!I554</f>
        <v>0</v>
      </c>
      <c r="J554" s="553">
        <f>F4A!J554+F4B!J554</f>
        <v>0</v>
      </c>
      <c r="K554" s="553">
        <f>F4A!K554+F4B!K554</f>
        <v>0</v>
      </c>
      <c r="L554" s="553">
        <f>F4A!L554+F4B!L554</f>
        <v>0</v>
      </c>
      <c r="M554" s="553">
        <f>F4A!M554+F4B!M554</f>
        <v>0</v>
      </c>
      <c r="N554" s="553">
        <f>F4A!N554+F4B!N554</f>
        <v>0</v>
      </c>
      <c r="O554" s="553">
        <f>F4A!O554+F4B!O554</f>
        <v>0</v>
      </c>
      <c r="P554" s="553">
        <f>F4A!P554+F4B!P554</f>
        <v>0</v>
      </c>
      <c r="Q554" s="561">
        <f t="shared" si="54"/>
        <v>0</v>
      </c>
      <c r="R554" s="166"/>
      <c r="S554" s="166"/>
    </row>
    <row r="555" spans="3:19" hidden="1" x14ac:dyDescent="0.25">
      <c r="C555" s="556"/>
      <c r="D555" s="556"/>
      <c r="E555" s="553">
        <f>F4A!E555+F4B!E555</f>
        <v>0</v>
      </c>
      <c r="F555" s="553">
        <f>F4A!F555+F4B!F555</f>
        <v>0</v>
      </c>
      <c r="G555" s="553">
        <f>F4A!G555+F4B!G555</f>
        <v>0</v>
      </c>
      <c r="H555" s="553">
        <f>F4A!H555+F4B!H555</f>
        <v>0</v>
      </c>
      <c r="I555" s="553">
        <f>F4A!I555+F4B!I555</f>
        <v>0</v>
      </c>
      <c r="J555" s="553">
        <f>F4A!J555+F4B!J555</f>
        <v>0</v>
      </c>
      <c r="K555" s="553">
        <f>F4A!K555+F4B!K555</f>
        <v>0</v>
      </c>
      <c r="L555" s="553">
        <f>F4A!L555+F4B!L555</f>
        <v>0</v>
      </c>
      <c r="M555" s="553">
        <f>F4A!M555+F4B!M555</f>
        <v>0</v>
      </c>
      <c r="N555" s="553">
        <f>F4A!N555+F4B!N555</f>
        <v>0</v>
      </c>
      <c r="O555" s="553">
        <f>F4A!O555+F4B!O555</f>
        <v>0</v>
      </c>
      <c r="P555" s="553">
        <f>F4A!P555+F4B!P555</f>
        <v>0</v>
      </c>
      <c r="Q555" s="561">
        <f t="shared" si="54"/>
        <v>0</v>
      </c>
      <c r="R555" s="166"/>
      <c r="S555" s="166"/>
    </row>
    <row r="556" spans="3:19" hidden="1" x14ac:dyDescent="0.25">
      <c r="C556" s="556"/>
      <c r="D556" s="556"/>
      <c r="E556" s="553">
        <f>F4A!E556+F4B!E556</f>
        <v>0</v>
      </c>
      <c r="F556" s="553">
        <f>F4A!F556+F4B!F556</f>
        <v>0</v>
      </c>
      <c r="G556" s="553">
        <f>F4A!G556+F4B!G556</f>
        <v>0</v>
      </c>
      <c r="H556" s="553">
        <f>F4A!H556+F4B!H556</f>
        <v>0</v>
      </c>
      <c r="I556" s="553">
        <f>F4A!I556+F4B!I556</f>
        <v>0</v>
      </c>
      <c r="J556" s="553">
        <f>F4A!J556+F4B!J556</f>
        <v>0</v>
      </c>
      <c r="K556" s="553">
        <f>F4A!K556+F4B!K556</f>
        <v>0</v>
      </c>
      <c r="L556" s="553">
        <f>F4A!L556+F4B!L556</f>
        <v>0</v>
      </c>
      <c r="M556" s="553">
        <f>F4A!M556+F4B!M556</f>
        <v>0</v>
      </c>
      <c r="N556" s="553">
        <f>F4A!N556+F4B!N556</f>
        <v>0</v>
      </c>
      <c r="O556" s="553">
        <f>F4A!O556+F4B!O556</f>
        <v>0</v>
      </c>
      <c r="P556" s="553">
        <f>F4A!P556+F4B!P556</f>
        <v>0</v>
      </c>
      <c r="Q556" s="561">
        <f t="shared" si="54"/>
        <v>0</v>
      </c>
      <c r="R556" s="166"/>
      <c r="S556" s="166"/>
    </row>
    <row r="557" spans="3:19" hidden="1" x14ac:dyDescent="0.25">
      <c r="C557" s="556" t="s">
        <v>226</v>
      </c>
      <c r="D557" s="556" t="s">
        <v>226</v>
      </c>
      <c r="E557" s="553">
        <f>F4A!E557+F4B!E557</f>
        <v>0</v>
      </c>
      <c r="F557" s="553">
        <f>F4A!F557+F4B!F557</f>
        <v>0</v>
      </c>
      <c r="G557" s="553">
        <f>F4A!G557+F4B!G557</f>
        <v>0</v>
      </c>
      <c r="H557" s="553">
        <f>F4A!H557+F4B!H557</f>
        <v>0</v>
      </c>
      <c r="I557" s="553">
        <f>F4A!I557+F4B!I557</f>
        <v>0</v>
      </c>
      <c r="J557" s="553">
        <f>F4A!J557+F4B!J557</f>
        <v>0</v>
      </c>
      <c r="K557" s="553">
        <f>F4A!K557+F4B!K557</f>
        <v>0</v>
      </c>
      <c r="L557" s="553">
        <f>F4A!L557+F4B!L557</f>
        <v>0</v>
      </c>
      <c r="M557" s="553">
        <f>F4A!M557+F4B!M557</f>
        <v>0</v>
      </c>
      <c r="N557" s="553">
        <f>F4A!N557+F4B!N557</f>
        <v>0</v>
      </c>
      <c r="O557" s="553">
        <f>F4A!O557+F4B!O557</f>
        <v>0</v>
      </c>
      <c r="P557" s="553">
        <f>F4A!P557+F4B!P557</f>
        <v>0</v>
      </c>
      <c r="Q557" s="561">
        <f t="shared" si="54"/>
        <v>0</v>
      </c>
      <c r="R557" s="166"/>
      <c r="S557" s="166"/>
    </row>
    <row r="558" spans="3:19" x14ac:dyDescent="0.25">
      <c r="C558" s="739" t="s">
        <v>212</v>
      </c>
      <c r="D558" s="740"/>
      <c r="E558" s="561">
        <f t="shared" ref="E558:P558" si="56">SUM(E543:E557)</f>
        <v>217.99462374708668</v>
      </c>
      <c r="F558" s="561">
        <f t="shared" si="56"/>
        <v>188.19377555482177</v>
      </c>
      <c r="G558" s="561">
        <f t="shared" si="56"/>
        <v>211.68101953101495</v>
      </c>
      <c r="H558" s="561">
        <f t="shared" si="56"/>
        <v>241.21354046976001</v>
      </c>
      <c r="I558" s="561">
        <f t="shared" si="56"/>
        <v>237.00893866371177</v>
      </c>
      <c r="J558" s="561">
        <f t="shared" si="56"/>
        <v>222.15774535764555</v>
      </c>
      <c r="K558" s="561">
        <f t="shared" si="56"/>
        <v>247.60035463796532</v>
      </c>
      <c r="L558" s="561">
        <f t="shared" si="56"/>
        <v>200.33138780186874</v>
      </c>
      <c r="M558" s="561">
        <f t="shared" si="56"/>
        <v>273.43911671914515</v>
      </c>
      <c r="N558" s="561">
        <f t="shared" si="56"/>
        <v>292.60213613935241</v>
      </c>
      <c r="O558" s="561">
        <f t="shared" si="56"/>
        <v>293.35712114909848</v>
      </c>
      <c r="P558" s="561">
        <f t="shared" si="56"/>
        <v>296.92414246574248</v>
      </c>
      <c r="Q558" s="561">
        <f t="shared" si="54"/>
        <v>2922.5039022372134</v>
      </c>
      <c r="R558" s="166"/>
      <c r="S558" s="166"/>
    </row>
    <row r="559" spans="3:19" x14ac:dyDescent="0.25">
      <c r="C559" s="739" t="s">
        <v>213</v>
      </c>
      <c r="D559" s="740"/>
      <c r="E559" s="553"/>
      <c r="F559" s="553"/>
      <c r="G559" s="553"/>
      <c r="H559" s="553"/>
      <c r="I559" s="553"/>
      <c r="J559" s="553"/>
      <c r="K559" s="553"/>
      <c r="L559" s="553"/>
      <c r="M559" s="553"/>
      <c r="N559" s="553"/>
      <c r="O559" s="553"/>
      <c r="P559" s="553"/>
      <c r="Q559" s="561">
        <f t="shared" ref="Q559:Q590" si="57">SUM(E559:P559)</f>
        <v>0</v>
      </c>
      <c r="R559" s="166"/>
      <c r="S559" s="166"/>
    </row>
    <row r="560" spans="3:19" x14ac:dyDescent="0.25">
      <c r="C560" s="556" t="s">
        <v>192</v>
      </c>
      <c r="D560" s="556" t="s">
        <v>193</v>
      </c>
      <c r="E560" s="553">
        <f>F4A!E560+F4B!E560</f>
        <v>19.57158244841078</v>
      </c>
      <c r="F560" s="553">
        <f>F4A!F560+F4B!F560</f>
        <v>18.29360570449392</v>
      </c>
      <c r="G560" s="553">
        <f>F4A!G560+F4B!G560</f>
        <v>19.193369090566854</v>
      </c>
      <c r="H560" s="553">
        <f>F4A!H560+F4B!H560</f>
        <v>20.332407564809451</v>
      </c>
      <c r="I560" s="553">
        <f>F4A!I560+F4B!I560</f>
        <v>21.009313076197206</v>
      </c>
      <c r="J560" s="553">
        <f>F4A!J560+F4B!J560</f>
        <v>20.53566591518706</v>
      </c>
      <c r="K560" s="553">
        <f>F4A!K560+F4B!K560</f>
        <v>15.514503912910548</v>
      </c>
      <c r="L560" s="553">
        <f>F4A!L560+F4B!L560</f>
        <v>17.43007097719817</v>
      </c>
      <c r="M560" s="553">
        <f>F4A!M560+F4B!M560</f>
        <v>17.833969223954462</v>
      </c>
      <c r="N560" s="553">
        <f>F4A!N560+F4B!N560</f>
        <v>18.979414256392559</v>
      </c>
      <c r="O560" s="553">
        <f>F4A!O560+F4B!O560</f>
        <v>19.188019772305132</v>
      </c>
      <c r="P560" s="553">
        <f>F4A!P560+F4B!P560</f>
        <v>19.941913440225122</v>
      </c>
      <c r="Q560" s="561">
        <f t="shared" si="57"/>
        <v>227.82383538265128</v>
      </c>
      <c r="R560" s="166"/>
      <c r="S560" s="166"/>
    </row>
    <row r="561" spans="3:19" x14ac:dyDescent="0.25">
      <c r="C561" s="556" t="s">
        <v>194</v>
      </c>
      <c r="D561" s="556" t="s">
        <v>195</v>
      </c>
      <c r="E561" s="553">
        <f>F4A!E561+F4B!E561</f>
        <v>2.9662000000000002</v>
      </c>
      <c r="F561" s="553">
        <f>F4A!F561+F4B!F561</f>
        <v>2.9662000000000002</v>
      </c>
      <c r="G561" s="553">
        <f>F4A!G561+F4B!G561</f>
        <v>2.9662000000000002</v>
      </c>
      <c r="H561" s="553">
        <f>F4A!H561+F4B!H561</f>
        <v>2.9662000000000002</v>
      </c>
      <c r="I561" s="553">
        <f>F4A!I561+F4B!I561</f>
        <v>2.9662000000000002</v>
      </c>
      <c r="J561" s="553">
        <f>F4A!J561+F4B!J561</f>
        <v>2.9662000000000002</v>
      </c>
      <c r="K561" s="553">
        <f>F4A!K561+F4B!K561</f>
        <v>2.9662000000000002</v>
      </c>
      <c r="L561" s="553">
        <f>F4A!L561+F4B!L561</f>
        <v>2.9662000000000002</v>
      </c>
      <c r="M561" s="553">
        <f>F4A!M561+F4B!M561</f>
        <v>2.9662000000000002</v>
      </c>
      <c r="N561" s="553">
        <f>F4A!N561+F4B!N561</f>
        <v>2.9662000000000002</v>
      </c>
      <c r="O561" s="553">
        <f>F4A!O561+F4B!O561</f>
        <v>2.9662000000000002</v>
      </c>
      <c r="P561" s="553">
        <f>F4A!P561+F4B!P561</f>
        <v>2.9662000000000002</v>
      </c>
      <c r="Q561" s="561">
        <f t="shared" si="57"/>
        <v>35.5944</v>
      </c>
      <c r="R561" s="166"/>
      <c r="S561" s="166"/>
    </row>
    <row r="562" spans="3:19" x14ac:dyDescent="0.25">
      <c r="C562" s="556" t="s">
        <v>233</v>
      </c>
      <c r="D562" s="556" t="s">
        <v>197</v>
      </c>
      <c r="E562" s="553">
        <f>F4A!E562+F4B!E562</f>
        <v>1.3789359600000002</v>
      </c>
      <c r="F562" s="553">
        <f>F4A!F562+F4B!F562</f>
        <v>1.30765632</v>
      </c>
      <c r="G562" s="553">
        <f>F4A!G562+F4B!G562</f>
        <v>1.26543954</v>
      </c>
      <c r="H562" s="553">
        <f>F4A!H562+F4B!H562</f>
        <v>1.3775222399999998</v>
      </c>
      <c r="I562" s="553">
        <f>F4A!I562+F4B!I562</f>
        <v>1.6807469220000002</v>
      </c>
      <c r="J562" s="553">
        <f>F4A!J562+F4B!J562</f>
        <v>1.6438819800000002</v>
      </c>
      <c r="K562" s="553">
        <f>F4A!K562+F4B!K562</f>
        <v>1.7357055624000002</v>
      </c>
      <c r="L562" s="553">
        <f>F4A!L562+F4B!L562</f>
        <v>1.4756971175999998</v>
      </c>
      <c r="M562" s="553">
        <f>F4A!M562+F4B!M562</f>
        <v>1.1677770043200002</v>
      </c>
      <c r="N562" s="553">
        <f>F4A!N562+F4B!N562</f>
        <v>1.0869984756</v>
      </c>
      <c r="O562" s="553">
        <f>F4A!O562+F4B!O562</f>
        <v>1.2195454356000002</v>
      </c>
      <c r="P562" s="553">
        <f>F4A!P562+F4B!P562</f>
        <v>1.3488692364000001</v>
      </c>
      <c r="Q562" s="561">
        <f t="shared" si="57"/>
        <v>16.688775793919998</v>
      </c>
      <c r="R562" s="166"/>
      <c r="S562" s="166"/>
    </row>
    <row r="563" spans="3:19" x14ac:dyDescent="0.25">
      <c r="C563" s="556" t="s">
        <v>198</v>
      </c>
      <c r="D563" s="556" t="s">
        <v>199</v>
      </c>
      <c r="E563" s="553">
        <f>F4A!E563+F4B!E563</f>
        <v>0</v>
      </c>
      <c r="F563" s="553">
        <f>F4A!F563+F4B!F563</f>
        <v>0</v>
      </c>
      <c r="G563" s="553">
        <f>F4A!G563+F4B!G563</f>
        <v>0</v>
      </c>
      <c r="H563" s="553">
        <f>F4A!H563+F4B!H563</f>
        <v>0</v>
      </c>
      <c r="I563" s="553">
        <f>F4A!I563+F4B!I563</f>
        <v>0</v>
      </c>
      <c r="J563" s="553">
        <f>F4A!J563+F4B!J563</f>
        <v>0</v>
      </c>
      <c r="K563" s="553">
        <f>F4A!K563+F4B!K563</f>
        <v>0</v>
      </c>
      <c r="L563" s="553">
        <f>F4A!L563+F4B!L563</f>
        <v>0</v>
      </c>
      <c r="M563" s="553">
        <f>F4A!M563+F4B!M563</f>
        <v>0</v>
      </c>
      <c r="N563" s="553">
        <f>F4A!N563+F4B!N563</f>
        <v>0</v>
      </c>
      <c r="O563" s="553">
        <f>F4A!O563+F4B!O563</f>
        <v>0</v>
      </c>
      <c r="P563" s="553">
        <f>F4A!P563+F4B!P563</f>
        <v>0</v>
      </c>
      <c r="Q563" s="561">
        <f t="shared" si="57"/>
        <v>0</v>
      </c>
      <c r="R563" s="166"/>
      <c r="S563" s="166"/>
    </row>
    <row r="564" spans="3:19" x14ac:dyDescent="0.25">
      <c r="C564" s="556" t="s">
        <v>200</v>
      </c>
      <c r="D564" s="556" t="s">
        <v>201</v>
      </c>
      <c r="E564" s="553">
        <f>F4A!E564+F4B!E564</f>
        <v>0</v>
      </c>
      <c r="F564" s="553">
        <f>F4A!F564+F4B!F564</f>
        <v>0</v>
      </c>
      <c r="G564" s="553">
        <f>F4A!G564+F4B!G564</f>
        <v>0</v>
      </c>
      <c r="H564" s="553">
        <f>F4A!H564+F4B!H564</f>
        <v>0</v>
      </c>
      <c r="I564" s="553">
        <f>F4A!I564+F4B!I564</f>
        <v>0</v>
      </c>
      <c r="J564" s="553">
        <f>F4A!J564+F4B!J564</f>
        <v>0</v>
      </c>
      <c r="K564" s="553">
        <f>F4A!K564+F4B!K564</f>
        <v>0</v>
      </c>
      <c r="L564" s="553">
        <f>F4A!L564+F4B!L564</f>
        <v>0</v>
      </c>
      <c r="M564" s="553">
        <f>F4A!M564+F4B!M564</f>
        <v>0</v>
      </c>
      <c r="N564" s="553">
        <f>F4A!N564+F4B!N564</f>
        <v>0</v>
      </c>
      <c r="O564" s="553">
        <f>F4A!O564+F4B!O564</f>
        <v>0</v>
      </c>
      <c r="P564" s="553">
        <f>F4A!P564+F4B!P564</f>
        <v>0</v>
      </c>
      <c r="Q564" s="561">
        <f t="shared" si="57"/>
        <v>0</v>
      </c>
      <c r="R564" s="166"/>
      <c r="S564" s="166"/>
    </row>
    <row r="565" spans="3:19" x14ac:dyDescent="0.25">
      <c r="C565" s="556" t="s">
        <v>202</v>
      </c>
      <c r="D565" s="556" t="s">
        <v>203</v>
      </c>
      <c r="E565" s="553">
        <f>F4A!E565+F4B!E565</f>
        <v>0.98347890000000004</v>
      </c>
      <c r="F565" s="553">
        <f>F4A!F565+F4B!F565</f>
        <v>8.7873000000000007E-2</v>
      </c>
      <c r="G565" s="553">
        <f>F4A!G565+F4B!G565</f>
        <v>8.1044099999999994E-2</v>
      </c>
      <c r="H565" s="553">
        <f>F4A!H565+F4B!H565</f>
        <v>0.15412200000000001</v>
      </c>
      <c r="I565" s="553">
        <f>F4A!I565+F4B!I565</f>
        <v>3.6840563999999998</v>
      </c>
      <c r="J565" s="553">
        <f>F4A!J565+F4B!J565</f>
        <v>3.9391278000000001</v>
      </c>
      <c r="K565" s="553">
        <f>F4A!K565+F4B!K565</f>
        <v>2.1065855999999998</v>
      </c>
      <c r="L565" s="553">
        <f>F4A!L565+F4B!L565</f>
        <v>1.1142989999999999</v>
      </c>
      <c r="M565" s="553">
        <f>F4A!M565+F4B!M565</f>
        <v>0.47095440000000005</v>
      </c>
      <c r="N565" s="553">
        <f>F4A!N565+F4B!N565</f>
        <v>7.5854391000000003</v>
      </c>
      <c r="O565" s="553">
        <f>F4A!O565+F4B!O565</f>
        <v>6.1891050000000005</v>
      </c>
      <c r="P565" s="553">
        <f>F4A!P565+F4B!P565</f>
        <v>4.4901675000000001</v>
      </c>
      <c r="Q565" s="561">
        <f t="shared" si="57"/>
        <v>30.886252800000001</v>
      </c>
      <c r="R565" s="166"/>
      <c r="S565" s="166"/>
    </row>
    <row r="566" spans="3:19" x14ac:dyDescent="0.25">
      <c r="C566" s="556" t="s">
        <v>204</v>
      </c>
      <c r="D566" s="556" t="s">
        <v>205</v>
      </c>
      <c r="E566" s="553">
        <f>F4A!E566+F4B!E566</f>
        <v>32.505823950093173</v>
      </c>
      <c r="F566" s="553">
        <f>F4A!F566+F4B!F566</f>
        <v>33.037083348494846</v>
      </c>
      <c r="G566" s="553">
        <f>F4A!G566+F4B!G566</f>
        <v>30.615413689063885</v>
      </c>
      <c r="H566" s="553">
        <f>F4A!H566+F4B!H566</f>
        <v>31.291890887215487</v>
      </c>
      <c r="I566" s="553">
        <f>F4A!I566+F4B!I566</f>
        <v>30.591161063033766</v>
      </c>
      <c r="J566" s="553">
        <f>F4A!J566+F4B!J566</f>
        <v>30.037088476393468</v>
      </c>
      <c r="K566" s="553">
        <f>F4A!K566+F4B!K566</f>
        <v>31.607951663429773</v>
      </c>
      <c r="L566" s="553">
        <f>F4A!L566+F4B!L566</f>
        <v>31.627969217718924</v>
      </c>
      <c r="M566" s="553">
        <f>F4A!M566+F4B!M566</f>
        <v>31.316150580497602</v>
      </c>
      <c r="N566" s="553">
        <f>F4A!N566+F4B!N566</f>
        <v>32.652021243635332</v>
      </c>
      <c r="O566" s="553">
        <f>F4A!O566+F4B!O566</f>
        <v>29.388674974159244</v>
      </c>
      <c r="P566" s="553">
        <f>F4A!P566+F4B!P566</f>
        <v>39.177832012769628</v>
      </c>
      <c r="Q566" s="561">
        <f t="shared" si="57"/>
        <v>383.84906110650508</v>
      </c>
      <c r="R566" s="166"/>
      <c r="S566" s="166"/>
    </row>
    <row r="567" spans="3:19" x14ac:dyDescent="0.25">
      <c r="C567" s="556" t="s">
        <v>206</v>
      </c>
      <c r="D567" s="556" t="s">
        <v>207</v>
      </c>
      <c r="E567" s="553">
        <f>F4A!E567+F4B!E567</f>
        <v>4.4537677799999997</v>
      </c>
      <c r="F567" s="553">
        <f>F4A!F567+F4B!F567</f>
        <v>4.7056159800000001</v>
      </c>
      <c r="G567" s="553">
        <f>F4A!G567+F4B!G567</f>
        <v>4.0347670800000008</v>
      </c>
      <c r="H567" s="553">
        <f>F4A!H567+F4B!H567</f>
        <v>3.2991573600000006</v>
      </c>
      <c r="I567" s="553">
        <f>F4A!I567+F4B!I567</f>
        <v>3.6218282400000001</v>
      </c>
      <c r="J567" s="553">
        <f>F4A!J567+F4B!J567</f>
        <v>3.4076608799999999</v>
      </c>
      <c r="K567" s="553">
        <f>F4A!K567+F4B!K567</f>
        <v>1.7785128000000001</v>
      </c>
      <c r="L567" s="553">
        <f>F4A!L567+F4B!L567</f>
        <v>1.30923528</v>
      </c>
      <c r="M567" s="553">
        <f>F4A!M567+F4B!M567</f>
        <v>0.64914329999999998</v>
      </c>
      <c r="N567" s="553">
        <f>F4A!N567+F4B!N567</f>
        <v>1.8008161200000001</v>
      </c>
      <c r="O567" s="553">
        <f>F4A!O567+F4B!O567</f>
        <v>2.2666633799999998</v>
      </c>
      <c r="P567" s="553">
        <f>F4A!P567+F4B!P567</f>
        <v>3.2855861544827589</v>
      </c>
      <c r="Q567" s="561">
        <f t="shared" si="57"/>
        <v>34.61275435448276</v>
      </c>
      <c r="R567" s="166"/>
      <c r="S567" s="166"/>
    </row>
    <row r="568" spans="3:19" x14ac:dyDescent="0.25">
      <c r="C568" s="556" t="s">
        <v>214</v>
      </c>
      <c r="D568" s="556" t="s">
        <v>187</v>
      </c>
      <c r="E568" s="553">
        <f>F4A!E568+F4B!E568</f>
        <v>0.63860465999999994</v>
      </c>
      <c r="F568" s="553">
        <f>F4A!F568+F4B!F568</f>
        <v>0.66120581999999994</v>
      </c>
      <c r="G568" s="553">
        <f>F4A!G568+F4B!G568</f>
        <v>0.78955241999999992</v>
      </c>
      <c r="H568" s="553">
        <f>F4A!H568+F4B!H568</f>
        <v>0.68113763999999999</v>
      </c>
      <c r="I568" s="553">
        <f>F4A!I568+F4B!I568</f>
        <v>0.60145932000000002</v>
      </c>
      <c r="J568" s="553">
        <f>F4A!J568+F4B!J568</f>
        <v>0.63778458000000005</v>
      </c>
      <c r="K568" s="553">
        <f>F4A!K568+F4B!K568</f>
        <v>0.66853815119999993</v>
      </c>
      <c r="L568" s="553">
        <f>F4A!L568+F4B!L568</f>
        <v>0.67925323080000011</v>
      </c>
      <c r="M568" s="553">
        <f>F4A!M568+F4B!M568</f>
        <v>0.80258640840000006</v>
      </c>
      <c r="N568" s="553">
        <f>F4A!N568+F4B!N568</f>
        <v>0.75018562199999994</v>
      </c>
      <c r="O568" s="553">
        <f>F4A!O568+F4B!O568</f>
        <v>0.70689873959999994</v>
      </c>
      <c r="P568" s="553">
        <f>F4A!P568+F4B!P568</f>
        <v>0.69328614600000005</v>
      </c>
      <c r="Q568" s="561">
        <f t="shared" si="57"/>
        <v>8.3104927379999989</v>
      </c>
      <c r="R568" s="166"/>
      <c r="S568" s="166"/>
    </row>
    <row r="569" spans="3:19" x14ac:dyDescent="0.25">
      <c r="C569" s="556" t="s">
        <v>209</v>
      </c>
      <c r="D569" s="556" t="s">
        <v>210</v>
      </c>
      <c r="E569" s="553">
        <f>F4A!E569+F4B!E569</f>
        <v>0</v>
      </c>
      <c r="F569" s="553">
        <f>F4A!F569+F4B!F569</f>
        <v>0</v>
      </c>
      <c r="G569" s="553">
        <f>F4A!G569+F4B!G569</f>
        <v>0</v>
      </c>
      <c r="H569" s="553">
        <f>F4A!H569+F4B!H569</f>
        <v>0</v>
      </c>
      <c r="I569" s="553">
        <f>F4A!I569+F4B!I569</f>
        <v>0</v>
      </c>
      <c r="J569" s="553">
        <f>F4A!J569+F4B!J569</f>
        <v>0</v>
      </c>
      <c r="K569" s="553">
        <f>F4A!K569+F4B!K569</f>
        <v>0</v>
      </c>
      <c r="L569" s="553">
        <f>F4A!L569+F4B!L569</f>
        <v>0</v>
      </c>
      <c r="M569" s="553">
        <f>F4A!M569+F4B!M569</f>
        <v>0</v>
      </c>
      <c r="N569" s="553">
        <f>F4A!N569+F4B!N569</f>
        <v>0</v>
      </c>
      <c r="O569" s="553">
        <f>F4A!O569+F4B!O569</f>
        <v>0</v>
      </c>
      <c r="P569" s="553">
        <f>F4A!P569+F4B!P569</f>
        <v>0</v>
      </c>
      <c r="Q569" s="561">
        <f t="shared" si="57"/>
        <v>0</v>
      </c>
      <c r="R569" s="166"/>
      <c r="S569" s="166"/>
    </row>
    <row r="570" spans="3:19" x14ac:dyDescent="0.25">
      <c r="C570" s="556" t="s">
        <v>211</v>
      </c>
      <c r="D570" s="556" t="s">
        <v>189</v>
      </c>
      <c r="E570" s="553">
        <f>F4A!E570+F4B!E570</f>
        <v>3.2256</v>
      </c>
      <c r="F570" s="553">
        <f>F4A!F570+F4B!F570</f>
        <v>3.3331200000000001</v>
      </c>
      <c r="G570" s="553">
        <f>F4A!G570+F4B!G570</f>
        <v>3.2256</v>
      </c>
      <c r="H570" s="553">
        <f>F4A!H570+F4B!H570</f>
        <v>3.3331200000000001</v>
      </c>
      <c r="I570" s="553">
        <f>F4A!I570+F4B!I570</f>
        <v>3.3331200000000001</v>
      </c>
      <c r="J570" s="553">
        <f>F4A!J570+F4B!J570</f>
        <v>3.2256</v>
      </c>
      <c r="K570" s="553">
        <f>F4A!K570+F4B!K570</f>
        <v>3.3331200000000001</v>
      </c>
      <c r="L570" s="553">
        <f>F4A!L570+F4B!L570</f>
        <v>3.2256</v>
      </c>
      <c r="M570" s="553">
        <f>F4A!M570+F4B!M570</f>
        <v>3.3331200000000001</v>
      </c>
      <c r="N570" s="553">
        <f>F4A!N570+F4B!N570</f>
        <v>3.3331200000000001</v>
      </c>
      <c r="O570" s="553">
        <f>F4A!O570+F4B!O570</f>
        <v>3.0105599999999999</v>
      </c>
      <c r="P570" s="553">
        <f>F4A!P570+F4B!P570</f>
        <v>3.3331200000000001</v>
      </c>
      <c r="Q570" s="561">
        <f t="shared" si="57"/>
        <v>39.244800000000005</v>
      </c>
      <c r="R570" s="166"/>
      <c r="S570" s="166"/>
    </row>
    <row r="571" spans="3:19" hidden="1" x14ac:dyDescent="0.25">
      <c r="C571" s="556"/>
      <c r="D571" s="556"/>
      <c r="E571" s="553">
        <f>F4A!E571+F4B!E571</f>
        <v>0</v>
      </c>
      <c r="F571" s="553">
        <f>F4A!F571+F4B!F571</f>
        <v>0</v>
      </c>
      <c r="G571" s="553">
        <f>F4A!G571+F4B!G571</f>
        <v>0</v>
      </c>
      <c r="H571" s="553">
        <f>F4A!H571+F4B!H571</f>
        <v>0</v>
      </c>
      <c r="I571" s="553">
        <f>F4A!I571+F4B!I571</f>
        <v>0</v>
      </c>
      <c r="J571" s="553">
        <f>F4A!J571+F4B!J571</f>
        <v>0</v>
      </c>
      <c r="K571" s="553">
        <f>F4A!K571+F4B!K571</f>
        <v>0</v>
      </c>
      <c r="L571" s="553">
        <f>F4A!L571+F4B!L571</f>
        <v>0</v>
      </c>
      <c r="M571" s="553">
        <f>F4A!M571+F4B!M571</f>
        <v>0</v>
      </c>
      <c r="N571" s="553">
        <f>F4A!N571+F4B!N571</f>
        <v>0</v>
      </c>
      <c r="O571" s="553">
        <f>F4A!O571+F4B!O571</f>
        <v>0</v>
      </c>
      <c r="P571" s="553">
        <f>F4A!P571+F4B!P571</f>
        <v>0</v>
      </c>
      <c r="Q571" s="561">
        <f t="shared" si="57"/>
        <v>0</v>
      </c>
      <c r="R571" s="166"/>
      <c r="S571" s="166"/>
    </row>
    <row r="572" spans="3:19" hidden="1" x14ac:dyDescent="0.25">
      <c r="C572" s="556"/>
      <c r="D572" s="556"/>
      <c r="E572" s="553">
        <f>F4A!E572+F4B!E572</f>
        <v>0</v>
      </c>
      <c r="F572" s="553">
        <f>F4A!F572+F4B!F572</f>
        <v>0</v>
      </c>
      <c r="G572" s="553">
        <f>F4A!G572+F4B!G572</f>
        <v>0</v>
      </c>
      <c r="H572" s="553">
        <f>F4A!H572+F4B!H572</f>
        <v>0</v>
      </c>
      <c r="I572" s="553">
        <f>F4A!I572+F4B!I572</f>
        <v>0</v>
      </c>
      <c r="J572" s="553">
        <f>F4A!J572+F4B!J572</f>
        <v>0</v>
      </c>
      <c r="K572" s="553">
        <f>F4A!K572+F4B!K572</f>
        <v>0</v>
      </c>
      <c r="L572" s="553">
        <f>F4A!L572+F4B!L572</f>
        <v>0</v>
      </c>
      <c r="M572" s="553">
        <f>F4A!M572+F4B!M572</f>
        <v>0</v>
      </c>
      <c r="N572" s="553">
        <f>F4A!N572+F4B!N572</f>
        <v>0</v>
      </c>
      <c r="O572" s="553">
        <f>F4A!O572+F4B!O572</f>
        <v>0</v>
      </c>
      <c r="P572" s="553">
        <f>F4A!P572+F4B!P572</f>
        <v>0</v>
      </c>
      <c r="Q572" s="561">
        <f t="shared" si="57"/>
        <v>0</v>
      </c>
      <c r="R572" s="166"/>
      <c r="S572" s="166"/>
    </row>
    <row r="573" spans="3:19" hidden="1" x14ac:dyDescent="0.25">
      <c r="C573" s="556"/>
      <c r="D573" s="556"/>
      <c r="E573" s="553">
        <f>F4A!E573+F4B!E573</f>
        <v>0</v>
      </c>
      <c r="F573" s="553">
        <f>F4A!F573+F4B!F573</f>
        <v>0</v>
      </c>
      <c r="G573" s="553">
        <f>F4A!G573+F4B!G573</f>
        <v>0</v>
      </c>
      <c r="H573" s="553">
        <f>F4A!H573+F4B!H573</f>
        <v>0</v>
      </c>
      <c r="I573" s="553">
        <f>F4A!I573+F4B!I573</f>
        <v>0</v>
      </c>
      <c r="J573" s="553">
        <f>F4A!J573+F4B!J573</f>
        <v>0</v>
      </c>
      <c r="K573" s="553">
        <f>F4A!K573+F4B!K573</f>
        <v>0</v>
      </c>
      <c r="L573" s="553">
        <f>F4A!L573+F4B!L573</f>
        <v>0</v>
      </c>
      <c r="M573" s="553">
        <f>F4A!M573+F4B!M573</f>
        <v>0</v>
      </c>
      <c r="N573" s="553">
        <f>F4A!N573+F4B!N573</f>
        <v>0</v>
      </c>
      <c r="O573" s="553">
        <f>F4A!O573+F4B!O573</f>
        <v>0</v>
      </c>
      <c r="P573" s="553">
        <f>F4A!P573+F4B!P573</f>
        <v>0</v>
      </c>
      <c r="Q573" s="561">
        <f t="shared" si="57"/>
        <v>0</v>
      </c>
      <c r="R573" s="166"/>
      <c r="S573" s="166"/>
    </row>
    <row r="574" spans="3:19" hidden="1" x14ac:dyDescent="0.25">
      <c r="C574" s="556" t="s">
        <v>226</v>
      </c>
      <c r="D574" s="556" t="s">
        <v>226</v>
      </c>
      <c r="E574" s="553">
        <f>F4A!E574+F4B!E574</f>
        <v>0</v>
      </c>
      <c r="F574" s="553">
        <f>F4A!F574+F4B!F574</f>
        <v>0</v>
      </c>
      <c r="G574" s="553">
        <f>F4A!G574+F4B!G574</f>
        <v>0</v>
      </c>
      <c r="H574" s="553">
        <f>F4A!H574+F4B!H574</f>
        <v>0</v>
      </c>
      <c r="I574" s="553">
        <f>F4A!I574+F4B!I574</f>
        <v>0</v>
      </c>
      <c r="J574" s="553">
        <f>F4A!J574+F4B!J574</f>
        <v>0</v>
      </c>
      <c r="K574" s="553">
        <f>F4A!K574+F4B!K574</f>
        <v>0</v>
      </c>
      <c r="L574" s="553">
        <f>F4A!L574+F4B!L574</f>
        <v>0</v>
      </c>
      <c r="M574" s="553">
        <f>F4A!M574+F4B!M574</f>
        <v>0</v>
      </c>
      <c r="N574" s="553">
        <f>F4A!N574+F4B!N574</f>
        <v>0</v>
      </c>
      <c r="O574" s="553">
        <f>F4A!O574+F4B!O574</f>
        <v>0</v>
      </c>
      <c r="P574" s="553">
        <f>F4A!P574+F4B!P574</f>
        <v>0</v>
      </c>
      <c r="Q574" s="561">
        <f t="shared" si="57"/>
        <v>0</v>
      </c>
      <c r="R574" s="166"/>
      <c r="S574" s="166"/>
    </row>
    <row r="575" spans="3:19" x14ac:dyDescent="0.25">
      <c r="C575" s="739" t="s">
        <v>212</v>
      </c>
      <c r="D575" s="740"/>
      <c r="E575" s="561">
        <f t="shared" ref="E575:P575" si="58">SUM(E560:E574)</f>
        <v>65.723993698503961</v>
      </c>
      <c r="F575" s="561">
        <f t="shared" si="58"/>
        <v>64.392360172988759</v>
      </c>
      <c r="G575" s="561">
        <f t="shared" si="58"/>
        <v>62.171385919630737</v>
      </c>
      <c r="H575" s="561">
        <f t="shared" si="58"/>
        <v>63.435557692024943</v>
      </c>
      <c r="I575" s="561">
        <f t="shared" si="58"/>
        <v>67.487885021230966</v>
      </c>
      <c r="J575" s="561">
        <f t="shared" si="58"/>
        <v>66.393009631580526</v>
      </c>
      <c r="K575" s="561">
        <f t="shared" si="58"/>
        <v>59.711117689940316</v>
      </c>
      <c r="L575" s="561">
        <f t="shared" si="58"/>
        <v>59.828324823317097</v>
      </c>
      <c r="M575" s="561">
        <f t="shared" si="58"/>
        <v>58.539900917172069</v>
      </c>
      <c r="N575" s="561">
        <f t="shared" si="58"/>
        <v>69.154194817627882</v>
      </c>
      <c r="O575" s="561">
        <f t="shared" si="58"/>
        <v>64.935667301664381</v>
      </c>
      <c r="P575" s="561">
        <f t="shared" si="58"/>
        <v>75.236974489877497</v>
      </c>
      <c r="Q575" s="561">
        <f t="shared" si="57"/>
        <v>777.01037217555904</v>
      </c>
      <c r="R575" s="166"/>
      <c r="S575" s="166"/>
    </row>
    <row r="576" spans="3:19" x14ac:dyDescent="0.25">
      <c r="C576" s="739" t="s">
        <v>215</v>
      </c>
      <c r="D576" s="740"/>
      <c r="E576" s="553"/>
      <c r="F576" s="553"/>
      <c r="G576" s="553"/>
      <c r="H576" s="553"/>
      <c r="I576" s="553"/>
      <c r="J576" s="553"/>
      <c r="K576" s="553"/>
      <c r="L576" s="553"/>
      <c r="M576" s="553"/>
      <c r="N576" s="553"/>
      <c r="O576" s="553"/>
      <c r="P576" s="553"/>
      <c r="Q576" s="561">
        <f t="shared" si="57"/>
        <v>0</v>
      </c>
      <c r="R576" s="166"/>
      <c r="S576" s="166"/>
    </row>
    <row r="577" spans="3:19" x14ac:dyDescent="0.25">
      <c r="C577" s="556" t="s">
        <v>192</v>
      </c>
      <c r="D577" s="556" t="s">
        <v>193</v>
      </c>
      <c r="E577" s="553">
        <f>F4A!E577+F4B!E577</f>
        <v>50.016591858304096</v>
      </c>
      <c r="F577" s="553">
        <f>F4A!F577+F4B!F577</f>
        <v>51.444167529792296</v>
      </c>
      <c r="G577" s="553">
        <f>F4A!G577+F4B!G577</f>
        <v>48.22599649924355</v>
      </c>
      <c r="H577" s="553">
        <f>F4A!H577+F4B!H577</f>
        <v>52.343267406266918</v>
      </c>
      <c r="I577" s="553">
        <f>F4A!I577+F4B!I577</f>
        <v>53.882326927988821</v>
      </c>
      <c r="J577" s="553">
        <f>F4A!J577+F4B!J577</f>
        <v>55.285193645087574</v>
      </c>
      <c r="K577" s="553">
        <f>F4A!K577+F4B!K577</f>
        <v>58.970647202822576</v>
      </c>
      <c r="L577" s="553">
        <f>F4A!L577+F4B!L577</f>
        <v>60.223493293936102</v>
      </c>
      <c r="M577" s="553">
        <f>F4A!M577+F4B!M577</f>
        <v>53.108216037400503</v>
      </c>
      <c r="N577" s="553">
        <f>F4A!N577+F4B!N577</f>
        <v>56.868262749932896</v>
      </c>
      <c r="O577" s="553">
        <f>F4A!O577+F4B!O577</f>
        <v>53.468032178617214</v>
      </c>
      <c r="P577" s="553">
        <f>F4A!P577+F4B!P577</f>
        <v>54.05860747926608</v>
      </c>
      <c r="Q577" s="561">
        <f t="shared" si="57"/>
        <v>647.89480280865871</v>
      </c>
      <c r="R577" s="166"/>
      <c r="S577" s="166"/>
    </row>
    <row r="578" spans="3:19" x14ac:dyDescent="0.25">
      <c r="C578" s="556" t="s">
        <v>194</v>
      </c>
      <c r="D578" s="556" t="s">
        <v>195</v>
      </c>
      <c r="E578" s="553">
        <f>F4A!E578+F4B!E578</f>
        <v>0</v>
      </c>
      <c r="F578" s="553">
        <f>F4A!F578+F4B!F578</f>
        <v>0</v>
      </c>
      <c r="G578" s="553">
        <f>F4A!G578+F4B!G578</f>
        <v>0</v>
      </c>
      <c r="H578" s="553">
        <f>F4A!H578+F4B!H578</f>
        <v>0</v>
      </c>
      <c r="I578" s="553">
        <f>F4A!I578+F4B!I578</f>
        <v>0</v>
      </c>
      <c r="J578" s="553">
        <f>F4A!J578+F4B!J578</f>
        <v>0</v>
      </c>
      <c r="K578" s="553">
        <f>F4A!K578+F4B!K578</f>
        <v>0</v>
      </c>
      <c r="L578" s="553">
        <f>F4A!L578+F4B!L578</f>
        <v>0</v>
      </c>
      <c r="M578" s="553">
        <f>F4A!M578+F4B!M578</f>
        <v>0</v>
      </c>
      <c r="N578" s="553">
        <f>F4A!N578+F4B!N578</f>
        <v>0</v>
      </c>
      <c r="O578" s="553">
        <f>F4A!O578+F4B!O578</f>
        <v>0</v>
      </c>
      <c r="P578" s="553">
        <f>F4A!P578+F4B!P578</f>
        <v>0</v>
      </c>
      <c r="Q578" s="561">
        <f t="shared" si="57"/>
        <v>0</v>
      </c>
      <c r="R578" s="166"/>
      <c r="S578" s="166"/>
    </row>
    <row r="579" spans="3:19" x14ac:dyDescent="0.25">
      <c r="C579" s="556" t="s">
        <v>233</v>
      </c>
      <c r="D579" s="556" t="s">
        <v>197</v>
      </c>
      <c r="E579" s="553">
        <f>F4A!E579+F4B!E579</f>
        <v>0.1918048509312377</v>
      </c>
      <c r="F579" s="553">
        <f>F4A!F579+F4B!F579</f>
        <v>0.19547966446690804</v>
      </c>
      <c r="G579" s="553">
        <f>F4A!G579+F4B!G579</f>
        <v>0.21518074814425175</v>
      </c>
      <c r="H579" s="553">
        <f>F4A!H579+F4B!H579</f>
        <v>0.69852080623866919</v>
      </c>
      <c r="I579" s="553">
        <f>F4A!I579+F4B!I579</f>
        <v>0.23365689397637202</v>
      </c>
      <c r="J579" s="553">
        <f>F4A!J579+F4B!J579</f>
        <v>1.025272976452023</v>
      </c>
      <c r="K579" s="553">
        <f>F4A!K579+F4B!K579</f>
        <v>0.25529746257531954</v>
      </c>
      <c r="L579" s="553">
        <f>F4A!L579+F4B!L579</f>
        <v>0.34328883112387032</v>
      </c>
      <c r="M579" s="553">
        <f>F4A!M579+F4B!M579</f>
        <v>0.37503513694591117</v>
      </c>
      <c r="N579" s="553">
        <f>F4A!N579+F4B!N579</f>
        <v>0.63431364751820696</v>
      </c>
      <c r="O579" s="553">
        <f>F4A!O579+F4B!O579</f>
        <v>0.27173204533206741</v>
      </c>
      <c r="P579" s="553">
        <f>F4A!P579+F4B!P579</f>
        <v>0.23498390997536411</v>
      </c>
      <c r="Q579" s="561">
        <f t="shared" si="57"/>
        <v>4.6745669736802009</v>
      </c>
      <c r="R579" s="166"/>
      <c r="S579" s="166"/>
    </row>
    <row r="580" spans="3:19" x14ac:dyDescent="0.25">
      <c r="C580" s="556" t="s">
        <v>198</v>
      </c>
      <c r="D580" s="556" t="s">
        <v>199</v>
      </c>
      <c r="E580" s="553">
        <f>F4A!E580+F4B!E580</f>
        <v>0</v>
      </c>
      <c r="F580" s="553">
        <f>F4A!F580+F4B!F580</f>
        <v>0</v>
      </c>
      <c r="G580" s="553">
        <f>F4A!G580+F4B!G580</f>
        <v>0</v>
      </c>
      <c r="H580" s="553">
        <f>F4A!H580+F4B!H580</f>
        <v>0</v>
      </c>
      <c r="I580" s="553">
        <f>F4A!I580+F4B!I580</f>
        <v>0</v>
      </c>
      <c r="J580" s="553">
        <f>F4A!J580+F4B!J580</f>
        <v>0</v>
      </c>
      <c r="K580" s="553">
        <f>F4A!K580+F4B!K580</f>
        <v>0</v>
      </c>
      <c r="L580" s="553">
        <f>F4A!L580+F4B!L580</f>
        <v>0</v>
      </c>
      <c r="M580" s="553">
        <f>F4A!M580+F4B!M580</f>
        <v>0</v>
      </c>
      <c r="N580" s="553">
        <f>F4A!N580+F4B!N580</f>
        <v>0</v>
      </c>
      <c r="O580" s="553">
        <f>F4A!O580+F4B!O580</f>
        <v>0</v>
      </c>
      <c r="P580" s="553">
        <f>F4A!P580+F4B!P580</f>
        <v>0</v>
      </c>
      <c r="Q580" s="561">
        <f t="shared" si="57"/>
        <v>0</v>
      </c>
      <c r="R580" s="166"/>
      <c r="S580" s="166"/>
    </row>
    <row r="581" spans="3:19" x14ac:dyDescent="0.25">
      <c r="C581" s="556" t="s">
        <v>200</v>
      </c>
      <c r="D581" s="556" t="s">
        <v>201</v>
      </c>
      <c r="E581" s="553">
        <f>F4A!E581+F4B!E581</f>
        <v>0</v>
      </c>
      <c r="F581" s="553">
        <f>F4A!F581+F4B!F581</f>
        <v>0</v>
      </c>
      <c r="G581" s="553">
        <f>F4A!G581+F4B!G581</f>
        <v>0</v>
      </c>
      <c r="H581" s="553">
        <f>F4A!H581+F4B!H581</f>
        <v>0</v>
      </c>
      <c r="I581" s="553">
        <f>F4A!I581+F4B!I581</f>
        <v>0</v>
      </c>
      <c r="J581" s="553">
        <f>F4A!J581+F4B!J581</f>
        <v>0</v>
      </c>
      <c r="K581" s="553">
        <f>F4A!K581+F4B!K581</f>
        <v>0</v>
      </c>
      <c r="L581" s="553">
        <f>F4A!L581+F4B!L581</f>
        <v>0</v>
      </c>
      <c r="M581" s="553">
        <f>F4A!M581+F4B!M581</f>
        <v>0</v>
      </c>
      <c r="N581" s="553">
        <f>F4A!N581+F4B!N581</f>
        <v>0</v>
      </c>
      <c r="O581" s="553">
        <f>F4A!O581+F4B!O581</f>
        <v>0</v>
      </c>
      <c r="P581" s="553">
        <f>F4A!P581+F4B!P581</f>
        <v>0</v>
      </c>
      <c r="Q581" s="561">
        <f t="shared" si="57"/>
        <v>0</v>
      </c>
      <c r="R581" s="166"/>
      <c r="S581" s="166"/>
    </row>
    <row r="582" spans="3:19" x14ac:dyDescent="0.25">
      <c r="C582" s="556" t="s">
        <v>202</v>
      </c>
      <c r="D582" s="556" t="s">
        <v>234</v>
      </c>
      <c r="E582" s="553">
        <f>F4A!E582+F4B!E582</f>
        <v>9.3774546599999997</v>
      </c>
      <c r="F582" s="553">
        <f>F4A!F582+F4B!F582</f>
        <v>22.890763500000002</v>
      </c>
      <c r="G582" s="553">
        <f>F4A!G582+F4B!G582</f>
        <v>4.5842023199999993</v>
      </c>
      <c r="H582" s="553">
        <f>F4A!H582+F4B!H582</f>
        <v>143.48354789999999</v>
      </c>
      <c r="I582" s="553">
        <f>F4A!I582+F4B!I582</f>
        <v>553.23333036000008</v>
      </c>
      <c r="J582" s="553">
        <f>F4A!J582+F4B!J582</f>
        <v>144.55561175999998</v>
      </c>
      <c r="K582" s="553">
        <f>F4A!K582+F4B!K582</f>
        <v>75.872891760000002</v>
      </c>
      <c r="L582" s="553">
        <f>F4A!L582+F4B!L582</f>
        <v>141.403107756</v>
      </c>
      <c r="M582" s="553">
        <f>F4A!M582+F4B!M582</f>
        <v>25.119008579999999</v>
      </c>
      <c r="N582" s="553">
        <f>F4A!N582+F4B!N582</f>
        <v>118.05305784000001</v>
      </c>
      <c r="O582" s="553">
        <f>F4A!O582+F4B!O582</f>
        <v>138.53507604000001</v>
      </c>
      <c r="P582" s="553">
        <f>F4A!P582+F4B!P582</f>
        <v>148.25290368000003</v>
      </c>
      <c r="Q582" s="561">
        <f t="shared" si="57"/>
        <v>1525.3609561559997</v>
      </c>
      <c r="R582" s="166"/>
      <c r="S582" s="166"/>
    </row>
    <row r="583" spans="3:19" x14ac:dyDescent="0.25">
      <c r="C583" s="556" t="s">
        <v>204</v>
      </c>
      <c r="D583" s="556" t="s">
        <v>216</v>
      </c>
      <c r="E583" s="553">
        <f>F4A!E583+F4B!E583</f>
        <v>2.2614259712181002</v>
      </c>
      <c r="F583" s="553">
        <f>F4A!F583+F4B!F583</f>
        <v>2.4849459145261252</v>
      </c>
      <c r="G583" s="553">
        <f>F4A!G583+F4B!G583</f>
        <v>2.4684893190656867</v>
      </c>
      <c r="H583" s="553">
        <f>F4A!H583+F4B!H583</f>
        <v>2.6939409620665846</v>
      </c>
      <c r="I583" s="553">
        <f>F4A!I583+F4B!I583</f>
        <v>2.5729868428359168</v>
      </c>
      <c r="J583" s="553">
        <f>F4A!J583+F4B!J583</f>
        <v>2.3799283177616601</v>
      </c>
      <c r="K583" s="553">
        <f>F4A!K583+F4B!K583</f>
        <v>2.4214677453654017</v>
      </c>
      <c r="L583" s="553">
        <f>F4A!L583+F4B!L583</f>
        <v>2.3476934480460252</v>
      </c>
      <c r="M583" s="553">
        <f>F4A!M583+F4B!M583</f>
        <v>2.5266361723093103</v>
      </c>
      <c r="N583" s="553">
        <f>F4A!N583+F4B!N583</f>
        <v>2.5769507008327115</v>
      </c>
      <c r="O583" s="553">
        <f>F4A!O583+F4B!O583</f>
        <v>2.3956047807415453</v>
      </c>
      <c r="P583" s="553">
        <f>F4A!P583+F4B!P583</f>
        <v>2.7484931077847463</v>
      </c>
      <c r="Q583" s="561">
        <f t="shared" si="57"/>
        <v>29.878563282553817</v>
      </c>
      <c r="R583" s="166"/>
      <c r="S583" s="166"/>
    </row>
    <row r="584" spans="3:19" x14ac:dyDescent="0.25">
      <c r="C584" s="556" t="s">
        <v>217</v>
      </c>
      <c r="D584" s="556" t="s">
        <v>218</v>
      </c>
      <c r="E584" s="553">
        <f>F4A!E584+F4B!E584</f>
        <v>56.081993716677758</v>
      </c>
      <c r="F584" s="553">
        <f>F4A!F584+F4B!F584</f>
        <v>57.048775115890344</v>
      </c>
      <c r="G584" s="553">
        <f>F4A!G584+F4B!G584</f>
        <v>55.693317138146654</v>
      </c>
      <c r="H584" s="553">
        <f>F4A!H584+F4B!H584</f>
        <v>53.369425188012094</v>
      </c>
      <c r="I584" s="553">
        <f>F4A!I584+F4B!I584</f>
        <v>55.274171891237152</v>
      </c>
      <c r="J584" s="553">
        <f>F4A!J584+F4B!J584</f>
        <v>47.973543724228364</v>
      </c>
      <c r="K584" s="553">
        <f>F4A!K584+F4B!K584</f>
        <v>58.401508444233578</v>
      </c>
      <c r="L584" s="553">
        <f>F4A!L584+F4B!L584</f>
        <v>59.278846890203369</v>
      </c>
      <c r="M584" s="553">
        <f>F4A!M584+F4B!M584</f>
        <v>58.249719114800079</v>
      </c>
      <c r="N584" s="553">
        <f>F4A!N584+F4B!N584</f>
        <v>60.369104326495219</v>
      </c>
      <c r="O584" s="553">
        <f>F4A!O584+F4B!O584</f>
        <v>57.23727186869047</v>
      </c>
      <c r="P584" s="553">
        <f>F4A!P584+F4B!P584</f>
        <v>61.776100083888593</v>
      </c>
      <c r="Q584" s="561">
        <f t="shared" si="57"/>
        <v>680.75377750250368</v>
      </c>
      <c r="R584" s="166"/>
      <c r="S584" s="166"/>
    </row>
    <row r="585" spans="3:19" x14ac:dyDescent="0.25">
      <c r="C585" s="556" t="s">
        <v>252</v>
      </c>
      <c r="D585" s="556" t="s">
        <v>236</v>
      </c>
      <c r="E585" s="553">
        <f>F4A!E585+F4B!E585</f>
        <v>0</v>
      </c>
      <c r="F585" s="553">
        <f>F4A!F585+F4B!F585</f>
        <v>0</v>
      </c>
      <c r="G585" s="553">
        <f>F4A!G585+F4B!G585</f>
        <v>0</v>
      </c>
      <c r="H585" s="553">
        <f>F4A!H585+F4B!H585</f>
        <v>0</v>
      </c>
      <c r="I585" s="553">
        <f>F4A!I585+F4B!I585</f>
        <v>0</v>
      </c>
      <c r="J585" s="553">
        <f>F4A!J585+F4B!J585</f>
        <v>0</v>
      </c>
      <c r="K585" s="553">
        <f>F4A!K585+F4B!K585</f>
        <v>0</v>
      </c>
      <c r="L585" s="553">
        <f>F4A!L585+F4B!L585</f>
        <v>0</v>
      </c>
      <c r="M585" s="553">
        <f>F4A!M585+F4B!M585</f>
        <v>0</v>
      </c>
      <c r="N585" s="553">
        <f>F4A!N585+F4B!N585</f>
        <v>0</v>
      </c>
      <c r="O585" s="553">
        <f>F4A!O585+F4B!O585</f>
        <v>0</v>
      </c>
      <c r="P585" s="553">
        <f>F4A!P585+F4B!P585</f>
        <v>0</v>
      </c>
      <c r="Q585" s="561">
        <f t="shared" si="57"/>
        <v>0</v>
      </c>
      <c r="R585" s="166"/>
      <c r="S585" s="166"/>
    </row>
    <row r="586" spans="3:19" x14ac:dyDescent="0.25">
      <c r="C586" s="556" t="s">
        <v>206</v>
      </c>
      <c r="D586" s="556" t="s">
        <v>207</v>
      </c>
      <c r="E586" s="553">
        <f>F4A!E586+F4B!E586</f>
        <v>6.8058180000000004</v>
      </c>
      <c r="F586" s="553">
        <f>F4A!F586+F4B!F586</f>
        <v>8.1115929999999992</v>
      </c>
      <c r="G586" s="553">
        <f>F4A!G586+F4B!G586</f>
        <v>7.0418869999999991</v>
      </c>
      <c r="H586" s="553">
        <f>F4A!H586+F4B!H586</f>
        <v>6.7359859999999996</v>
      </c>
      <c r="I586" s="553">
        <f>F4A!I586+F4B!I586</f>
        <v>6.3618709999999998</v>
      </c>
      <c r="J586" s="553">
        <f>F4A!J586+F4B!J586</f>
        <v>6.0985360000000002</v>
      </c>
      <c r="K586" s="553">
        <f>F4A!K586+F4B!K586</f>
        <v>5.3285729999999996</v>
      </c>
      <c r="L586" s="553">
        <f>F4A!L586+F4B!L586</f>
        <v>4.6946779999999997</v>
      </c>
      <c r="M586" s="553">
        <f>F4A!M586+F4B!M586</f>
        <v>2.9676140000000002</v>
      </c>
      <c r="N586" s="553">
        <f>F4A!N586+F4B!N586</f>
        <v>3.2173480000000003</v>
      </c>
      <c r="O586" s="553">
        <f>F4A!O586+F4B!O586</f>
        <v>3.8677219999999997</v>
      </c>
      <c r="P586" s="553">
        <f>F4A!P586+F4B!P586</f>
        <v>5.7141391034482751</v>
      </c>
      <c r="Q586" s="561">
        <f t="shared" si="57"/>
        <v>66.945765103448267</v>
      </c>
      <c r="R586" s="166"/>
      <c r="S586" s="166"/>
    </row>
    <row r="587" spans="3:19" x14ac:dyDescent="0.25">
      <c r="C587" s="556" t="s">
        <v>208</v>
      </c>
      <c r="D587" s="556" t="s">
        <v>187</v>
      </c>
      <c r="E587" s="553">
        <f>F4A!E587+F4B!E587</f>
        <v>0</v>
      </c>
      <c r="F587" s="553">
        <f>F4A!F587+F4B!F587</f>
        <v>0</v>
      </c>
      <c r="G587" s="553">
        <f>F4A!G587+F4B!G587</f>
        <v>0</v>
      </c>
      <c r="H587" s="553">
        <f>F4A!H587+F4B!H587</f>
        <v>0</v>
      </c>
      <c r="I587" s="553">
        <f>F4A!I587+F4B!I587</f>
        <v>0</v>
      </c>
      <c r="J587" s="553">
        <f>F4A!J587+F4B!J587</f>
        <v>0</v>
      </c>
      <c r="K587" s="553">
        <f>F4A!K587+F4B!K587</f>
        <v>0</v>
      </c>
      <c r="L587" s="553">
        <f>F4A!L587+F4B!L587</f>
        <v>0</v>
      </c>
      <c r="M587" s="553">
        <f>F4A!M587+F4B!M587</f>
        <v>0</v>
      </c>
      <c r="N587" s="553">
        <f>F4A!N587+F4B!N587</f>
        <v>0</v>
      </c>
      <c r="O587" s="553">
        <f>F4A!O587+F4B!O587</f>
        <v>0</v>
      </c>
      <c r="P587" s="553">
        <f>F4A!P587+F4B!P587</f>
        <v>0</v>
      </c>
      <c r="Q587" s="561">
        <f t="shared" si="57"/>
        <v>0</v>
      </c>
      <c r="R587" s="166"/>
      <c r="S587" s="166"/>
    </row>
    <row r="588" spans="3:19" x14ac:dyDescent="0.25">
      <c r="C588" s="556" t="s">
        <v>209</v>
      </c>
      <c r="D588" s="556" t="s">
        <v>210</v>
      </c>
      <c r="E588" s="553">
        <f>F4A!E588+F4B!E588</f>
        <v>0</v>
      </c>
      <c r="F588" s="553">
        <f>F4A!F588+F4B!F588</f>
        <v>0</v>
      </c>
      <c r="G588" s="553">
        <f>F4A!G588+F4B!G588</f>
        <v>0</v>
      </c>
      <c r="H588" s="553">
        <f>F4A!H588+F4B!H588</f>
        <v>0</v>
      </c>
      <c r="I588" s="553">
        <f>F4A!I588+F4B!I588</f>
        <v>0</v>
      </c>
      <c r="J588" s="553">
        <f>F4A!J588+F4B!J588</f>
        <v>0</v>
      </c>
      <c r="K588" s="553">
        <f>F4A!K588+F4B!K588</f>
        <v>0</v>
      </c>
      <c r="L588" s="553">
        <f>F4A!L588+F4B!L588</f>
        <v>0</v>
      </c>
      <c r="M588" s="553">
        <f>F4A!M588+F4B!M588</f>
        <v>0</v>
      </c>
      <c r="N588" s="553">
        <f>F4A!N588+F4B!N588</f>
        <v>0</v>
      </c>
      <c r="O588" s="553">
        <f>F4A!O588+F4B!O588</f>
        <v>0</v>
      </c>
      <c r="P588" s="553">
        <f>F4A!P588+F4B!P588</f>
        <v>0</v>
      </c>
      <c r="Q588" s="561">
        <f t="shared" si="57"/>
        <v>0</v>
      </c>
      <c r="R588" s="166"/>
      <c r="S588" s="166"/>
    </row>
    <row r="589" spans="3:19" x14ac:dyDescent="0.25">
      <c r="C589" s="556" t="s">
        <v>211</v>
      </c>
      <c r="D589" s="556" t="s">
        <v>189</v>
      </c>
      <c r="E589" s="553">
        <f>F4A!E589+F4B!E589</f>
        <v>0</v>
      </c>
      <c r="F589" s="553">
        <f>F4A!F589+F4B!F589</f>
        <v>0</v>
      </c>
      <c r="G589" s="553">
        <f>F4A!G589+F4B!G589</f>
        <v>0</v>
      </c>
      <c r="H589" s="553">
        <f>F4A!H589+F4B!H589</f>
        <v>0</v>
      </c>
      <c r="I589" s="553">
        <f>F4A!I589+F4B!I589</f>
        <v>0</v>
      </c>
      <c r="J589" s="553">
        <f>F4A!J589+F4B!J589</f>
        <v>0</v>
      </c>
      <c r="K589" s="553">
        <f>F4A!K589+F4B!K589</f>
        <v>0</v>
      </c>
      <c r="L589" s="553">
        <f>F4A!L589+F4B!L589</f>
        <v>0</v>
      </c>
      <c r="M589" s="553">
        <f>F4A!M589+F4B!M589</f>
        <v>0</v>
      </c>
      <c r="N589" s="553">
        <f>F4A!N589+F4B!N589</f>
        <v>0</v>
      </c>
      <c r="O589" s="553">
        <f>F4A!O589+F4B!O589</f>
        <v>0</v>
      </c>
      <c r="P589" s="553">
        <f>F4A!P589+F4B!P589</f>
        <v>0</v>
      </c>
      <c r="Q589" s="561">
        <f t="shared" si="57"/>
        <v>0</v>
      </c>
      <c r="R589" s="166"/>
      <c r="S589" s="166"/>
    </row>
    <row r="590" spans="3:19" hidden="1" x14ac:dyDescent="0.25">
      <c r="C590" s="556"/>
      <c r="D590" s="556"/>
      <c r="E590" s="553">
        <f>F4A!E590+F4B!E590</f>
        <v>0</v>
      </c>
      <c r="F590" s="553">
        <f>F4A!F590+F4B!F590</f>
        <v>0</v>
      </c>
      <c r="G590" s="553">
        <f>F4A!G590+F4B!G590</f>
        <v>0</v>
      </c>
      <c r="H590" s="553">
        <f>F4A!H590+F4B!H590</f>
        <v>0</v>
      </c>
      <c r="I590" s="553">
        <f>F4A!I590+F4B!I590</f>
        <v>0</v>
      </c>
      <c r="J590" s="553">
        <f>F4A!J590+F4B!J590</f>
        <v>0</v>
      </c>
      <c r="K590" s="553">
        <f>F4A!K590+F4B!K590</f>
        <v>0</v>
      </c>
      <c r="L590" s="553">
        <f>F4A!L590+F4B!L590</f>
        <v>0</v>
      </c>
      <c r="M590" s="553">
        <f>F4A!M590+F4B!M590</f>
        <v>0</v>
      </c>
      <c r="N590" s="553">
        <f>F4A!N590+F4B!N590</f>
        <v>0</v>
      </c>
      <c r="O590" s="553">
        <f>F4A!O590+F4B!O590</f>
        <v>0</v>
      </c>
      <c r="P590" s="553">
        <f>F4A!P590+F4B!P590</f>
        <v>0</v>
      </c>
      <c r="Q590" s="561">
        <f t="shared" si="57"/>
        <v>0</v>
      </c>
      <c r="R590" s="166"/>
      <c r="S590" s="166"/>
    </row>
    <row r="591" spans="3:19" hidden="1" x14ac:dyDescent="0.25">
      <c r="C591" s="556"/>
      <c r="D591" s="556"/>
      <c r="E591" s="553">
        <f>F4A!E591+F4B!E591</f>
        <v>0</v>
      </c>
      <c r="F591" s="553">
        <f>F4A!F591+F4B!F591</f>
        <v>0</v>
      </c>
      <c r="G591" s="553">
        <f>F4A!G591+F4B!G591</f>
        <v>0</v>
      </c>
      <c r="H591" s="553">
        <f>F4A!H591+F4B!H591</f>
        <v>0</v>
      </c>
      <c r="I591" s="553">
        <f>F4A!I591+F4B!I591</f>
        <v>0</v>
      </c>
      <c r="J591" s="553">
        <f>F4A!J591+F4B!J591</f>
        <v>0</v>
      </c>
      <c r="K591" s="553">
        <f>F4A!K591+F4B!K591</f>
        <v>0</v>
      </c>
      <c r="L591" s="553">
        <f>F4A!L591+F4B!L591</f>
        <v>0</v>
      </c>
      <c r="M591" s="553">
        <f>F4A!M591+F4B!M591</f>
        <v>0</v>
      </c>
      <c r="N591" s="553">
        <f>F4A!N591+F4B!N591</f>
        <v>0</v>
      </c>
      <c r="O591" s="553">
        <f>F4A!O591+F4B!O591</f>
        <v>0</v>
      </c>
      <c r="P591" s="553">
        <f>F4A!P591+F4B!P591</f>
        <v>0</v>
      </c>
      <c r="Q591" s="561">
        <f t="shared" ref="Q591:Q596" si="59">SUM(E591:P591)</f>
        <v>0</v>
      </c>
      <c r="R591" s="166"/>
      <c r="S591" s="166"/>
    </row>
    <row r="592" spans="3:19" hidden="1" x14ac:dyDescent="0.25">
      <c r="C592" s="556"/>
      <c r="D592" s="556"/>
      <c r="E592" s="553">
        <f>F4A!E592+F4B!E592</f>
        <v>0</v>
      </c>
      <c r="F592" s="553">
        <f>F4A!F592+F4B!F592</f>
        <v>0</v>
      </c>
      <c r="G592" s="553">
        <f>F4A!G592+F4B!G592</f>
        <v>0</v>
      </c>
      <c r="H592" s="553">
        <f>F4A!H592+F4B!H592</f>
        <v>0</v>
      </c>
      <c r="I592" s="553">
        <f>F4A!I592+F4B!I592</f>
        <v>0</v>
      </c>
      <c r="J592" s="553">
        <f>F4A!J592+F4B!J592</f>
        <v>0</v>
      </c>
      <c r="K592" s="553">
        <f>F4A!K592+F4B!K592</f>
        <v>0</v>
      </c>
      <c r="L592" s="553">
        <f>F4A!L592+F4B!L592</f>
        <v>0</v>
      </c>
      <c r="M592" s="553">
        <f>F4A!M592+F4B!M592</f>
        <v>0</v>
      </c>
      <c r="N592" s="553">
        <f>F4A!N592+F4B!N592</f>
        <v>0</v>
      </c>
      <c r="O592" s="553">
        <f>F4A!O592+F4B!O592</f>
        <v>0</v>
      </c>
      <c r="P592" s="553">
        <f>F4A!P592+F4B!P592</f>
        <v>0</v>
      </c>
      <c r="Q592" s="561">
        <f t="shared" si="59"/>
        <v>0</v>
      </c>
      <c r="R592" s="166"/>
      <c r="S592" s="166"/>
    </row>
    <row r="593" spans="3:19" hidden="1" x14ac:dyDescent="0.25">
      <c r="C593" s="556" t="s">
        <v>226</v>
      </c>
      <c r="D593" s="556" t="s">
        <v>226</v>
      </c>
      <c r="E593" s="553">
        <f>F4A!E593+F4B!E593</f>
        <v>0</v>
      </c>
      <c r="F593" s="553">
        <f>F4A!F593+F4B!F593</f>
        <v>0</v>
      </c>
      <c r="G593" s="553">
        <f>F4A!G593+F4B!G593</f>
        <v>0</v>
      </c>
      <c r="H593" s="553">
        <f>F4A!H593+F4B!H593</f>
        <v>0</v>
      </c>
      <c r="I593" s="553">
        <f>F4A!I593+F4B!I593</f>
        <v>0</v>
      </c>
      <c r="J593" s="553">
        <f>F4A!J593+F4B!J593</f>
        <v>0</v>
      </c>
      <c r="K593" s="553">
        <f>F4A!K593+F4B!K593</f>
        <v>0</v>
      </c>
      <c r="L593" s="553">
        <f>F4A!L593+F4B!L593</f>
        <v>0</v>
      </c>
      <c r="M593" s="553">
        <f>F4A!M593+F4B!M593</f>
        <v>0</v>
      </c>
      <c r="N593" s="553">
        <f>F4A!N593+F4B!N593</f>
        <v>0</v>
      </c>
      <c r="O593" s="553">
        <f>F4A!O593+F4B!O593</f>
        <v>0</v>
      </c>
      <c r="P593" s="553">
        <f>F4A!P593+F4B!P593</f>
        <v>0</v>
      </c>
      <c r="Q593" s="561">
        <f t="shared" si="59"/>
        <v>0</v>
      </c>
      <c r="R593" s="166"/>
      <c r="S593" s="166"/>
    </row>
    <row r="594" spans="3:19" x14ac:dyDescent="0.25">
      <c r="C594" s="739" t="s">
        <v>212</v>
      </c>
      <c r="D594" s="740"/>
      <c r="E594" s="561">
        <f t="shared" ref="E594:P594" si="60">SUM(E577:E593)</f>
        <v>124.73508905713119</v>
      </c>
      <c r="F594" s="561">
        <f t="shared" si="60"/>
        <v>142.17572472467566</v>
      </c>
      <c r="G594" s="561">
        <f t="shared" si="60"/>
        <v>118.22907302460015</v>
      </c>
      <c r="H594" s="561">
        <f t="shared" si="60"/>
        <v>259.32468826258429</v>
      </c>
      <c r="I594" s="561">
        <f t="shared" si="60"/>
        <v>671.55834391603833</v>
      </c>
      <c r="J594" s="561">
        <f t="shared" si="60"/>
        <v>257.31808642352962</v>
      </c>
      <c r="K594" s="561">
        <f t="shared" si="60"/>
        <v>201.25038561499687</v>
      </c>
      <c r="L594" s="561">
        <f t="shared" si="60"/>
        <v>268.29110821930936</v>
      </c>
      <c r="M594" s="561">
        <f t="shared" si="60"/>
        <v>142.34622904145581</v>
      </c>
      <c r="N594" s="561">
        <f t="shared" si="60"/>
        <v>241.71903726477902</v>
      </c>
      <c r="O594" s="561">
        <f t="shared" si="60"/>
        <v>255.77543891338127</v>
      </c>
      <c r="P594" s="561">
        <f t="shared" si="60"/>
        <v>272.7852273643631</v>
      </c>
      <c r="Q594" s="561">
        <f t="shared" si="59"/>
        <v>2955.5084318268446</v>
      </c>
      <c r="R594" s="166"/>
      <c r="S594" s="166"/>
    </row>
    <row r="595" spans="3:19" x14ac:dyDescent="0.25">
      <c r="C595" s="739" t="s">
        <v>219</v>
      </c>
      <c r="D595" s="740"/>
      <c r="E595" s="561">
        <f t="shared" ref="E595:P595" si="61">E594+E575+E558</f>
        <v>408.45370650272184</v>
      </c>
      <c r="F595" s="561">
        <f t="shared" si="61"/>
        <v>394.76186045248619</v>
      </c>
      <c r="G595" s="561">
        <f t="shared" si="61"/>
        <v>392.08147847524583</v>
      </c>
      <c r="H595" s="561">
        <f t="shared" si="61"/>
        <v>563.97378642436922</v>
      </c>
      <c r="I595" s="561">
        <f t="shared" si="61"/>
        <v>976.05516760098101</v>
      </c>
      <c r="J595" s="561">
        <f t="shared" si="61"/>
        <v>545.86884141275573</v>
      </c>
      <c r="K595" s="561">
        <f t="shared" si="61"/>
        <v>508.56185794290252</v>
      </c>
      <c r="L595" s="561">
        <f t="shared" si="61"/>
        <v>528.45082084449518</v>
      </c>
      <c r="M595" s="561">
        <f t="shared" si="61"/>
        <v>474.32524667777307</v>
      </c>
      <c r="N595" s="561">
        <f t="shared" si="61"/>
        <v>603.47536822175925</v>
      </c>
      <c r="O595" s="561">
        <f t="shared" si="61"/>
        <v>614.06822736414415</v>
      </c>
      <c r="P595" s="561">
        <f t="shared" si="61"/>
        <v>644.94634431998315</v>
      </c>
      <c r="Q595" s="561">
        <f t="shared" si="59"/>
        <v>6655.022706239617</v>
      </c>
      <c r="R595" s="166"/>
      <c r="S595" s="166"/>
    </row>
    <row r="596" spans="3:19" x14ac:dyDescent="0.25">
      <c r="C596" s="739" t="s">
        <v>220</v>
      </c>
      <c r="D596" s="740"/>
      <c r="E596" s="561">
        <f t="shared" ref="E596:P596" si="62">E595+E541</f>
        <v>1755.7031072330694</v>
      </c>
      <c r="F596" s="561">
        <f t="shared" si="62"/>
        <v>1357.6249897556818</v>
      </c>
      <c r="G596" s="561">
        <f t="shared" si="62"/>
        <v>1424.5752382327703</v>
      </c>
      <c r="H596" s="561">
        <f t="shared" si="62"/>
        <v>1747.6601133767631</v>
      </c>
      <c r="I596" s="561">
        <f t="shared" si="62"/>
        <v>2358.538535556369</v>
      </c>
      <c r="J596" s="561">
        <f t="shared" si="62"/>
        <v>1851.6367822889138</v>
      </c>
      <c r="K596" s="561">
        <f t="shared" si="62"/>
        <v>2361.1542428086077</v>
      </c>
      <c r="L596" s="561">
        <f t="shared" si="62"/>
        <v>1645.2713347267691</v>
      </c>
      <c r="M596" s="561">
        <f t="shared" si="62"/>
        <v>1764.3341300026559</v>
      </c>
      <c r="N596" s="561">
        <f t="shared" si="62"/>
        <v>2323.979268597323</v>
      </c>
      <c r="O596" s="561">
        <f t="shared" si="62"/>
        <v>2515.5448752141124</v>
      </c>
      <c r="P596" s="561">
        <f t="shared" si="62"/>
        <v>2845.3504811088005</v>
      </c>
      <c r="Q596" s="561">
        <f t="shared" si="59"/>
        <v>23951.373098901837</v>
      </c>
      <c r="R596" s="166"/>
      <c r="S596" s="166"/>
    </row>
    <row r="597" spans="3:19" hidden="1" x14ac:dyDescent="0.25"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</row>
    <row r="598" spans="3:19" hidden="1" x14ac:dyDescent="0.25">
      <c r="C598" s="14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9" t="s">
        <v>229</v>
      </c>
      <c r="R598" s="166"/>
      <c r="S598" s="166"/>
    </row>
    <row r="599" spans="3:19" hidden="1" x14ac:dyDescent="0.25">
      <c r="C599" s="760" t="s">
        <v>163</v>
      </c>
      <c r="D599" s="760"/>
      <c r="E599" s="761" t="s">
        <v>258</v>
      </c>
      <c r="F599" s="761"/>
      <c r="G599" s="761"/>
      <c r="H599" s="761"/>
      <c r="I599" s="761"/>
      <c r="J599" s="761"/>
      <c r="K599" s="761"/>
      <c r="L599" s="761"/>
      <c r="M599" s="761"/>
      <c r="N599" s="761"/>
      <c r="O599" s="761"/>
      <c r="P599" s="761"/>
      <c r="Q599" s="761"/>
      <c r="R599" s="166"/>
      <c r="S599" s="166"/>
    </row>
    <row r="600" spans="3:19" hidden="1" x14ac:dyDescent="0.25">
      <c r="C600" s="760"/>
      <c r="D600" s="760"/>
      <c r="E600" s="168" t="s">
        <v>239</v>
      </c>
      <c r="F600" s="168" t="s">
        <v>240</v>
      </c>
      <c r="G600" s="168" t="s">
        <v>241</v>
      </c>
      <c r="H600" s="168" t="s">
        <v>242</v>
      </c>
      <c r="I600" s="168" t="s">
        <v>243</v>
      </c>
      <c r="J600" s="168" t="s">
        <v>244</v>
      </c>
      <c r="K600" s="168" t="s">
        <v>245</v>
      </c>
      <c r="L600" s="168" t="s">
        <v>246</v>
      </c>
      <c r="M600" s="168" t="s">
        <v>247</v>
      </c>
      <c r="N600" s="168" t="s">
        <v>248</v>
      </c>
      <c r="O600" s="168" t="s">
        <v>249</v>
      </c>
      <c r="P600" s="168" t="s">
        <v>250</v>
      </c>
      <c r="Q600" s="168" t="s">
        <v>251</v>
      </c>
      <c r="R600" s="166"/>
      <c r="S600" s="166"/>
    </row>
    <row r="601" spans="3:19" hidden="1" x14ac:dyDescent="0.25">
      <c r="C601" s="753" t="s">
        <v>171</v>
      </c>
      <c r="D601" s="754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7">
        <f t="shared" ref="Q601:Q632" si="63">SUM(E601:P601)</f>
        <v>0</v>
      </c>
      <c r="R601" s="166"/>
      <c r="S601" s="166"/>
    </row>
    <row r="602" spans="3:19" hidden="1" x14ac:dyDescent="0.25">
      <c r="C602" s="59" t="s">
        <v>172</v>
      </c>
      <c r="D602" s="59" t="s">
        <v>173</v>
      </c>
      <c r="E602" s="162">
        <f>F4A!E602+F4B!E602</f>
        <v>380.5464125564751</v>
      </c>
      <c r="F602" s="162">
        <f>F4A!F602+F4B!F602</f>
        <v>416.42860260168914</v>
      </c>
      <c r="G602" s="162">
        <f>F4A!G602+F4B!G602</f>
        <v>522.17199745858454</v>
      </c>
      <c r="H602" s="162">
        <f>F4A!H602+F4B!H602</f>
        <v>461.44263420362199</v>
      </c>
      <c r="I602" s="162">
        <f>F4A!I602+F4B!I602</f>
        <v>378.40537770551356</v>
      </c>
      <c r="J602" s="162">
        <f>F4A!J602+F4B!J602</f>
        <v>423.67736525926483</v>
      </c>
      <c r="K602" s="162">
        <f>F4A!K602+F4B!K602</f>
        <v>387.75421935826046</v>
      </c>
      <c r="L602" s="162">
        <f>F4A!L602+F4B!L602</f>
        <v>384.87932906326131</v>
      </c>
      <c r="M602" s="162">
        <f>F4A!M602+F4B!M602</f>
        <v>328.0584935330279</v>
      </c>
      <c r="N602" s="162">
        <f>F4A!N602+F4B!N602</f>
        <v>266.09830057544747</v>
      </c>
      <c r="O602" s="162">
        <f>F4A!O602+F4B!O602</f>
        <v>320.59565579513287</v>
      </c>
      <c r="P602" s="162">
        <f>F4A!P602+F4B!P602</f>
        <v>328.81582236902472</v>
      </c>
      <c r="Q602" s="167">
        <f t="shared" si="63"/>
        <v>4598.8742104793027</v>
      </c>
      <c r="R602" s="166"/>
      <c r="S602" s="166"/>
    </row>
    <row r="603" spans="3:19" hidden="1" x14ac:dyDescent="0.25">
      <c r="C603" s="17" t="s">
        <v>174</v>
      </c>
      <c r="D603" s="17" t="s">
        <v>175</v>
      </c>
      <c r="E603" s="162">
        <f>F4A!E603+F4B!E603</f>
        <v>99.703199459587239</v>
      </c>
      <c r="F603" s="162">
        <f>F4A!F603+F4B!F603</f>
        <v>102.91666681038809</v>
      </c>
      <c r="G603" s="162">
        <f>F4A!G603+F4B!G603</f>
        <v>122.91666838938495</v>
      </c>
      <c r="H603" s="162">
        <f>F4A!H603+F4B!H603</f>
        <v>111.4366544168508</v>
      </c>
      <c r="I603" s="162">
        <f>F4A!I603+F4B!I603</f>
        <v>95.3818318667618</v>
      </c>
      <c r="J603" s="162">
        <f>F4A!J603+F4B!J603</f>
        <v>106.33149942243561</v>
      </c>
      <c r="K603" s="162">
        <f>F4A!K603+F4B!K603</f>
        <v>98.827542930403482</v>
      </c>
      <c r="L603" s="162">
        <f>F4A!L603+F4B!L603</f>
        <v>102.25305231340465</v>
      </c>
      <c r="M603" s="162">
        <f>F4A!M603+F4B!M603</f>
        <v>93.298475264511382</v>
      </c>
      <c r="N603" s="162">
        <f>F4A!N603+F4B!N603</f>
        <v>84.361221503333937</v>
      </c>
      <c r="O603" s="162">
        <f>F4A!O603+F4B!O603</f>
        <v>91.781147573547671</v>
      </c>
      <c r="P603" s="162">
        <f>F4A!P603+F4B!P603</f>
        <v>95.658017700661532</v>
      </c>
      <c r="Q603" s="167">
        <f t="shared" si="63"/>
        <v>1204.8659776512711</v>
      </c>
      <c r="R603" s="166"/>
      <c r="S603" s="166"/>
    </row>
    <row r="604" spans="3:19" hidden="1" x14ac:dyDescent="0.25">
      <c r="C604" s="17" t="s">
        <v>176</v>
      </c>
      <c r="D604" s="17" t="s">
        <v>177</v>
      </c>
      <c r="E604" s="162">
        <f>F4A!E604+F4B!E604</f>
        <v>22.215759839750852</v>
      </c>
      <c r="F604" s="162">
        <f>F4A!F604+F4B!F604</f>
        <v>21.644492333211719</v>
      </c>
      <c r="G604" s="162">
        <f>F4A!G604+F4B!G604</f>
        <v>23.860570711704703</v>
      </c>
      <c r="H604" s="162">
        <f>F4A!H604+F4B!H604</f>
        <v>20.105930602544618</v>
      </c>
      <c r="I604" s="162">
        <f>F4A!I604+F4B!I604</f>
        <v>17.336104999572992</v>
      </c>
      <c r="J604" s="162">
        <f>F4A!J604+F4B!J604</f>
        <v>19.020106586737882</v>
      </c>
      <c r="K604" s="162">
        <f>F4A!K604+F4B!K604</f>
        <v>16.797510308947153</v>
      </c>
      <c r="L604" s="162">
        <f>F4A!L604+F4B!L604</f>
        <v>19.413348958995627</v>
      </c>
      <c r="M604" s="162">
        <f>F4A!M604+F4B!M604</f>
        <v>20.737705940897651</v>
      </c>
      <c r="N604" s="162">
        <f>F4A!N604+F4B!N604</f>
        <v>26.643997419748111</v>
      </c>
      <c r="O604" s="162">
        <f>F4A!O604+F4B!O604</f>
        <v>25.015063644238907</v>
      </c>
      <c r="P604" s="162">
        <f>F4A!P604+F4B!P604</f>
        <v>20.613859526183294</v>
      </c>
      <c r="Q604" s="167">
        <f t="shared" si="63"/>
        <v>253.40445087253354</v>
      </c>
      <c r="R604" s="166"/>
      <c r="S604" s="166"/>
    </row>
    <row r="605" spans="3:19" hidden="1" x14ac:dyDescent="0.25">
      <c r="C605" s="17" t="s">
        <v>178</v>
      </c>
      <c r="D605" s="17" t="s">
        <v>179</v>
      </c>
      <c r="E605" s="162">
        <f>F4A!E605+F4B!E605</f>
        <v>0.76119390449673952</v>
      </c>
      <c r="F605" s="162">
        <f>F4A!F605+F4B!F605</f>
        <v>0.75657227458835963</v>
      </c>
      <c r="G605" s="162">
        <f>F4A!G605+F4B!G605</f>
        <v>0.87574048341130895</v>
      </c>
      <c r="H605" s="162">
        <f>F4A!H605+F4B!H605</f>
        <v>0.81051820877040193</v>
      </c>
      <c r="I605" s="162">
        <f>F4A!I605+F4B!I605</f>
        <v>0.77879211084916844</v>
      </c>
      <c r="J605" s="162">
        <f>F4A!J605+F4B!J605</f>
        <v>0.83667870751035167</v>
      </c>
      <c r="K605" s="162">
        <f>F4A!K605+F4B!K605</f>
        <v>0.74271720650883355</v>
      </c>
      <c r="L605" s="162">
        <f>F4A!L605+F4B!L605</f>
        <v>0.72714662432872346</v>
      </c>
      <c r="M605" s="162">
        <f>F4A!M605+F4B!M605</f>
        <v>0.70389442398448432</v>
      </c>
      <c r="N605" s="162">
        <f>F4A!N605+F4B!N605</f>
        <v>0.67131275160087289</v>
      </c>
      <c r="O605" s="162">
        <f>F4A!O605+F4B!O605</f>
        <v>0.70515705109286564</v>
      </c>
      <c r="P605" s="162">
        <f>F4A!P605+F4B!P605</f>
        <v>0.7165610729447125</v>
      </c>
      <c r="Q605" s="167">
        <f t="shared" si="63"/>
        <v>9.0862848200868207</v>
      </c>
      <c r="R605" s="166"/>
      <c r="S605" s="166"/>
    </row>
    <row r="606" spans="3:19" hidden="1" x14ac:dyDescent="0.25">
      <c r="C606" s="17" t="s">
        <v>180</v>
      </c>
      <c r="D606" s="17" t="s">
        <v>181</v>
      </c>
      <c r="E606" s="162">
        <f>F4A!E606+F4B!E606</f>
        <v>912.13320296262577</v>
      </c>
      <c r="F606" s="162">
        <f>F4A!F606+F4B!F606</f>
        <v>287.51259034263484</v>
      </c>
      <c r="G606" s="162">
        <f>F4A!G606+F4B!G606</f>
        <v>182.18202117019672</v>
      </c>
      <c r="H606" s="162">
        <f>F4A!H606+F4B!H606</f>
        <v>273.69192325032645</v>
      </c>
      <c r="I606" s="162">
        <f>F4A!I606+F4B!I606</f>
        <v>780.16311632167753</v>
      </c>
      <c r="J606" s="162">
        <f>F4A!J606+F4B!J606</f>
        <v>656.42444021515541</v>
      </c>
      <c r="K606" s="162">
        <f>F4A!K606+F4B!K606</f>
        <v>521.21991674792059</v>
      </c>
      <c r="L606" s="162">
        <f>F4A!L606+F4B!L606</f>
        <v>398.61736685131291</v>
      </c>
      <c r="M606" s="162">
        <f>F4A!M606+F4B!M606</f>
        <v>879.58406776657762</v>
      </c>
      <c r="N606" s="162">
        <f>F4A!N606+F4B!N606</f>
        <v>1070.4297118258639</v>
      </c>
      <c r="O606" s="162">
        <f>F4A!O606+F4B!O606</f>
        <v>1236.8407159100661</v>
      </c>
      <c r="P606" s="162">
        <f>F4A!P606+F4B!P606</f>
        <v>1463.0828564341236</v>
      </c>
      <c r="Q606" s="167">
        <f t="shared" si="63"/>
        <v>8661.881929798481</v>
      </c>
      <c r="R606" s="166"/>
      <c r="S606" s="166"/>
    </row>
    <row r="607" spans="3:19" hidden="1" x14ac:dyDescent="0.25">
      <c r="C607" s="17" t="s">
        <v>182</v>
      </c>
      <c r="D607" s="17" t="s">
        <v>183</v>
      </c>
      <c r="E607" s="162">
        <f>F4A!E607+F4B!E607</f>
        <v>35.960122876899781</v>
      </c>
      <c r="F607" s="162">
        <f>F4A!F607+F4B!F607</f>
        <v>33.346833301115453</v>
      </c>
      <c r="G607" s="162">
        <f>F4A!G607+F4B!G607</f>
        <v>35.555970229116213</v>
      </c>
      <c r="H607" s="162">
        <f>F4A!H607+F4B!H607</f>
        <v>33.463041092448464</v>
      </c>
      <c r="I607" s="162">
        <f>F4A!I607+F4B!I607</f>
        <v>31.301439625337764</v>
      </c>
      <c r="J607" s="162">
        <f>F4A!J607+F4B!J607</f>
        <v>32.962439667137552</v>
      </c>
      <c r="K607" s="162">
        <f>F4A!K607+F4B!K607</f>
        <v>32.416681691063474</v>
      </c>
      <c r="L607" s="162">
        <f>F4A!L607+F4B!L607</f>
        <v>36.330529869067817</v>
      </c>
      <c r="M607" s="162">
        <f>F4A!M607+F4B!M607</f>
        <v>35.590761930319438</v>
      </c>
      <c r="N607" s="162">
        <f>F4A!N607+F4B!N607</f>
        <v>35.527944080827027</v>
      </c>
      <c r="O607" s="162">
        <f>F4A!O607+F4B!O607</f>
        <v>36.508859270948321</v>
      </c>
      <c r="P607" s="162">
        <f>F4A!P607+F4B!P607</f>
        <v>34.719994215803666</v>
      </c>
      <c r="Q607" s="167">
        <f t="shared" si="63"/>
        <v>413.68461785008503</v>
      </c>
      <c r="R607" s="166"/>
      <c r="S607" s="166"/>
    </row>
    <row r="608" spans="3:19" hidden="1" x14ac:dyDescent="0.25">
      <c r="C608" s="17" t="s">
        <v>184</v>
      </c>
      <c r="D608" s="17" t="s">
        <v>185</v>
      </c>
      <c r="E608" s="162">
        <f>F4A!E608+F4B!E608</f>
        <v>7.7674081980389333</v>
      </c>
      <c r="F608" s="162">
        <f>F4A!F608+F4B!F608</f>
        <v>5.8763230280312992</v>
      </c>
      <c r="G608" s="162">
        <f>F4A!G608+F4B!G608</f>
        <v>4.1392115505325826</v>
      </c>
      <c r="H608" s="162">
        <f>F4A!H608+F4B!H608</f>
        <v>5.8916708113635252</v>
      </c>
      <c r="I608" s="162">
        <f>F4A!I608+F4B!I608</f>
        <v>6.9490083021863294</v>
      </c>
      <c r="J608" s="162">
        <f>F4A!J608+F4B!J608</f>
        <v>8.0183179678528624</v>
      </c>
      <c r="K608" s="162">
        <f>F4A!K608+F4B!K608</f>
        <v>7.8735597241777313</v>
      </c>
      <c r="L608" s="162">
        <f>F4A!L608+F4B!L608</f>
        <v>5.7930914943740817</v>
      </c>
      <c r="M608" s="162">
        <f>F4A!M608+F4B!M608</f>
        <v>7.1794761201123194</v>
      </c>
      <c r="N608" s="162">
        <f>F4A!N608+F4B!N608</f>
        <v>6.0964142078888965</v>
      </c>
      <c r="O608" s="162">
        <f>F4A!O608+F4B!O608</f>
        <v>5.9666660611631688</v>
      </c>
      <c r="P608" s="162">
        <f>F4A!P608+F4B!P608</f>
        <v>7.4243941534756726</v>
      </c>
      <c r="Q608" s="167">
        <f t="shared" si="63"/>
        <v>78.975541619197401</v>
      </c>
      <c r="R608" s="166"/>
      <c r="S608" s="166"/>
    </row>
    <row r="609" spans="3:19" hidden="1" x14ac:dyDescent="0.25">
      <c r="C609" s="17" t="s">
        <v>186</v>
      </c>
      <c r="D609" s="17" t="s">
        <v>187</v>
      </c>
      <c r="E609" s="162">
        <f>F4A!E609+F4B!E609</f>
        <v>1.2963327851250004</v>
      </c>
      <c r="F609" s="162">
        <f>F4A!F609+F4B!F609</f>
        <v>1.2884771418749998</v>
      </c>
      <c r="G609" s="162">
        <f>F4A!G609+F4B!G609</f>
        <v>1.5599448348750002</v>
      </c>
      <c r="H609" s="162">
        <f>F4A!H609+F4B!H609</f>
        <v>1.4567853982499999</v>
      </c>
      <c r="I609" s="162">
        <f>F4A!I609+F4B!I609</f>
        <v>1.3149068782500002</v>
      </c>
      <c r="J609" s="162">
        <f>F4A!J609+F4B!J609</f>
        <v>1.4680884487500003</v>
      </c>
      <c r="K609" s="162">
        <f>F4A!K609+F4B!K609</f>
        <v>1.4211791685000004</v>
      </c>
      <c r="L609" s="162">
        <f>F4A!L609+F4B!L609</f>
        <v>1.46286987525</v>
      </c>
      <c r="M609" s="162">
        <f>F4A!M609+F4B!M609</f>
        <v>1.1914751126250003</v>
      </c>
      <c r="N609" s="162">
        <f>F4A!N609+F4B!N609</f>
        <v>1.2147908377500003</v>
      </c>
      <c r="O609" s="162">
        <f>F4A!O609+F4B!O609</f>
        <v>1.3577054321250004</v>
      </c>
      <c r="P609" s="162">
        <f>F4A!P609+F4B!P609</f>
        <v>1.3543992551250001</v>
      </c>
      <c r="Q609" s="167">
        <f t="shared" si="63"/>
        <v>16.386955168500002</v>
      </c>
      <c r="R609" s="166"/>
      <c r="S609" s="166"/>
    </row>
    <row r="610" spans="3:19" hidden="1" x14ac:dyDescent="0.25">
      <c r="C610" s="17" t="s">
        <v>188</v>
      </c>
      <c r="D610" s="17" t="s">
        <v>189</v>
      </c>
      <c r="E610" s="162">
        <f>F4A!E610+F4B!E610</f>
        <v>0.60590419942499996</v>
      </c>
      <c r="F610" s="162">
        <f>F4A!F610+F4B!F610</f>
        <v>0.66935044385999998</v>
      </c>
      <c r="G610" s="162">
        <f>F4A!G610+F4B!G610</f>
        <v>0.69066682492499987</v>
      </c>
      <c r="H610" s="162">
        <f>F4A!H610+F4B!H610</f>
        <v>0.75327283205999995</v>
      </c>
      <c r="I610" s="162">
        <f>F4A!I610+F4B!I610</f>
        <v>0.79471309490999997</v>
      </c>
      <c r="J610" s="162">
        <f>F4A!J610+F4B!J610</f>
        <v>0.81022831942500007</v>
      </c>
      <c r="K610" s="162">
        <f>F4A!K610+F4B!K610</f>
        <v>0.87597757610999993</v>
      </c>
      <c r="L610" s="162">
        <f>F4A!L610+F4B!L610</f>
        <v>0.89457767279999989</v>
      </c>
      <c r="M610" s="162">
        <f>F4A!M610+F4B!M610</f>
        <v>0.96214459918499995</v>
      </c>
      <c r="N610" s="162">
        <f>F4A!N610+F4B!N610</f>
        <v>1.0040814831600002</v>
      </c>
      <c r="O610" s="162">
        <f>F4A!O610+F4B!O610</f>
        <v>0.98110697296500005</v>
      </c>
      <c r="P610" s="162">
        <f>F4A!P610+F4B!P610</f>
        <v>1.0872132134850001</v>
      </c>
      <c r="Q610" s="167">
        <f t="shared" si="63"/>
        <v>10.12923723231</v>
      </c>
      <c r="R610" s="166"/>
      <c r="S610" s="166"/>
    </row>
    <row r="611" spans="3:19" hidden="1" x14ac:dyDescent="0.25">
      <c r="C611" s="17"/>
      <c r="D611" s="17"/>
      <c r="E611" s="162">
        <f>F4A!E611+F4B!E611</f>
        <v>0</v>
      </c>
      <c r="F611" s="162">
        <f>F4A!F611+F4B!F611</f>
        <v>0</v>
      </c>
      <c r="G611" s="162">
        <f>F4A!G611+F4B!G611</f>
        <v>0</v>
      </c>
      <c r="H611" s="162">
        <f>F4A!H611+F4B!H611</f>
        <v>0</v>
      </c>
      <c r="I611" s="162">
        <f>F4A!I611+F4B!I611</f>
        <v>0</v>
      </c>
      <c r="J611" s="162">
        <f>F4A!J611+F4B!J611</f>
        <v>0</v>
      </c>
      <c r="K611" s="162">
        <f>F4A!K611+F4B!K611</f>
        <v>0</v>
      </c>
      <c r="L611" s="162">
        <f>F4A!L611+F4B!L611</f>
        <v>0</v>
      </c>
      <c r="M611" s="162">
        <f>F4A!M611+F4B!M611</f>
        <v>0</v>
      </c>
      <c r="N611" s="162">
        <f>F4A!N611+F4B!N611</f>
        <v>0</v>
      </c>
      <c r="O611" s="162">
        <f>F4A!O611+F4B!O611</f>
        <v>0</v>
      </c>
      <c r="P611" s="162">
        <f>F4A!P611+F4B!P611</f>
        <v>0</v>
      </c>
      <c r="Q611" s="167">
        <f t="shared" si="63"/>
        <v>0</v>
      </c>
      <c r="R611" s="166"/>
      <c r="S611" s="166"/>
    </row>
    <row r="612" spans="3:19" hidden="1" x14ac:dyDescent="0.25">
      <c r="C612" s="17"/>
      <c r="D612" s="17"/>
      <c r="E612" s="162">
        <f>F4A!E612+F4B!E612</f>
        <v>0</v>
      </c>
      <c r="F612" s="162">
        <f>F4A!F612+F4B!F612</f>
        <v>0</v>
      </c>
      <c r="G612" s="162">
        <f>F4A!G612+F4B!G612</f>
        <v>0</v>
      </c>
      <c r="H612" s="162">
        <f>F4A!H612+F4B!H612</f>
        <v>0</v>
      </c>
      <c r="I612" s="162">
        <f>F4A!I612+F4B!I612</f>
        <v>0</v>
      </c>
      <c r="J612" s="162">
        <f>F4A!J612+F4B!J612</f>
        <v>0</v>
      </c>
      <c r="K612" s="162">
        <f>F4A!K612+F4B!K612</f>
        <v>0</v>
      </c>
      <c r="L612" s="162">
        <f>F4A!L612+F4B!L612</f>
        <v>0</v>
      </c>
      <c r="M612" s="162">
        <f>F4A!M612+F4B!M612</f>
        <v>0</v>
      </c>
      <c r="N612" s="162">
        <f>F4A!N612+F4B!N612</f>
        <v>0</v>
      </c>
      <c r="O612" s="162">
        <f>F4A!O612+F4B!O612</f>
        <v>0</v>
      </c>
      <c r="P612" s="162">
        <f>F4A!P612+F4B!P612</f>
        <v>0</v>
      </c>
      <c r="Q612" s="167">
        <f t="shared" si="63"/>
        <v>0</v>
      </c>
      <c r="R612" s="166"/>
      <c r="S612" s="166"/>
    </row>
    <row r="613" spans="3:19" hidden="1" x14ac:dyDescent="0.25">
      <c r="C613" s="17"/>
      <c r="D613" s="17"/>
      <c r="E613" s="162">
        <f>F4A!E613+F4B!E613</f>
        <v>0</v>
      </c>
      <c r="F613" s="162">
        <f>F4A!F613+F4B!F613</f>
        <v>0</v>
      </c>
      <c r="G613" s="162">
        <f>F4A!G613+F4B!G613</f>
        <v>0</v>
      </c>
      <c r="H613" s="162">
        <f>F4A!H613+F4B!H613</f>
        <v>0</v>
      </c>
      <c r="I613" s="162">
        <f>F4A!I613+F4B!I613</f>
        <v>0</v>
      </c>
      <c r="J613" s="162">
        <f>F4A!J613+F4B!J613</f>
        <v>0</v>
      </c>
      <c r="K613" s="162">
        <f>F4A!K613+F4B!K613</f>
        <v>0</v>
      </c>
      <c r="L613" s="162">
        <f>F4A!L613+F4B!L613</f>
        <v>0</v>
      </c>
      <c r="M613" s="162">
        <f>F4A!M613+F4B!M613</f>
        <v>0</v>
      </c>
      <c r="N613" s="162">
        <f>F4A!N613+F4B!N613</f>
        <v>0</v>
      </c>
      <c r="O613" s="162">
        <f>F4A!O613+F4B!O613</f>
        <v>0</v>
      </c>
      <c r="P613" s="162">
        <f>F4A!P613+F4B!P613</f>
        <v>0</v>
      </c>
      <c r="Q613" s="167">
        <f t="shared" si="63"/>
        <v>0</v>
      </c>
      <c r="R613" s="166"/>
      <c r="S613" s="166"/>
    </row>
    <row r="614" spans="3:19" hidden="1" x14ac:dyDescent="0.25">
      <c r="C614" s="17" t="s">
        <v>226</v>
      </c>
      <c r="D614" s="17" t="s">
        <v>226</v>
      </c>
      <c r="E614" s="162">
        <f>F4A!E614+F4B!E614</f>
        <v>0</v>
      </c>
      <c r="F614" s="162">
        <f>F4A!F614+F4B!F614</f>
        <v>0</v>
      </c>
      <c r="G614" s="162">
        <f>F4A!G614+F4B!G614</f>
        <v>0</v>
      </c>
      <c r="H614" s="162">
        <f>F4A!H614+F4B!H614</f>
        <v>0</v>
      </c>
      <c r="I614" s="162">
        <f>F4A!I614+F4B!I614</f>
        <v>0</v>
      </c>
      <c r="J614" s="162">
        <f>F4A!J614+F4B!J614</f>
        <v>0</v>
      </c>
      <c r="K614" s="162">
        <f>F4A!K614+F4B!K614</f>
        <v>0</v>
      </c>
      <c r="L614" s="162">
        <f>F4A!L614+F4B!L614</f>
        <v>0</v>
      </c>
      <c r="M614" s="162">
        <f>F4A!M614+F4B!M614</f>
        <v>0</v>
      </c>
      <c r="N614" s="162">
        <f>F4A!N614+F4B!N614</f>
        <v>0</v>
      </c>
      <c r="O614" s="162">
        <f>F4A!O614+F4B!O614</f>
        <v>0</v>
      </c>
      <c r="P614" s="162">
        <f>F4A!P614+F4B!P614</f>
        <v>0</v>
      </c>
      <c r="Q614" s="167">
        <f t="shared" si="63"/>
        <v>0</v>
      </c>
      <c r="R614" s="166"/>
      <c r="S614" s="166"/>
    </row>
    <row r="615" spans="3:19" hidden="1" x14ac:dyDescent="0.25">
      <c r="C615" s="751" t="s">
        <v>190</v>
      </c>
      <c r="D615" s="752"/>
      <c r="E615" s="167">
        <f t="shared" ref="E615:P615" si="64">SUM(E602:E614)</f>
        <v>1460.9895367824245</v>
      </c>
      <c r="F615" s="167">
        <f t="shared" si="64"/>
        <v>870.43990827739378</v>
      </c>
      <c r="G615" s="167">
        <f t="shared" si="64"/>
        <v>893.95279165273087</v>
      </c>
      <c r="H615" s="167">
        <f t="shared" si="64"/>
        <v>909.05243081623621</v>
      </c>
      <c r="I615" s="167">
        <f t="shared" si="64"/>
        <v>1312.425290905059</v>
      </c>
      <c r="J615" s="167">
        <f t="shared" si="64"/>
        <v>1249.5491645942693</v>
      </c>
      <c r="K615" s="167">
        <f t="shared" si="64"/>
        <v>1067.9293047118917</v>
      </c>
      <c r="L615" s="167">
        <f t="shared" si="64"/>
        <v>950.3713127227951</v>
      </c>
      <c r="M615" s="167">
        <f t="shared" si="64"/>
        <v>1367.3064946912407</v>
      </c>
      <c r="N615" s="167">
        <f t="shared" si="64"/>
        <v>1492.0477746856202</v>
      </c>
      <c r="O615" s="167">
        <f t="shared" si="64"/>
        <v>1719.7520777112798</v>
      </c>
      <c r="P615" s="167">
        <f t="shared" si="64"/>
        <v>1953.4731179408273</v>
      </c>
      <c r="Q615" s="167">
        <f t="shared" si="63"/>
        <v>15247.289205491768</v>
      </c>
      <c r="R615" s="166"/>
      <c r="S615" s="166"/>
    </row>
    <row r="616" spans="3:19" hidden="1" x14ac:dyDescent="0.25">
      <c r="C616" s="753" t="s">
        <v>191</v>
      </c>
      <c r="D616" s="754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7">
        <f t="shared" si="63"/>
        <v>0</v>
      </c>
      <c r="R616" s="166"/>
      <c r="S616" s="166"/>
    </row>
    <row r="617" spans="3:19" hidden="1" x14ac:dyDescent="0.25">
      <c r="C617" s="17" t="s">
        <v>192</v>
      </c>
      <c r="D617" s="17" t="s">
        <v>193</v>
      </c>
      <c r="E617" s="162">
        <f>F4A!E617+F4B!E617</f>
        <v>116.28673524571019</v>
      </c>
      <c r="F617" s="162">
        <f>F4A!F617+F4B!F617</f>
        <v>104.25059792211736</v>
      </c>
      <c r="G617" s="162">
        <f>F4A!G617+F4B!G617</f>
        <v>112.76549317355166</v>
      </c>
      <c r="H617" s="162">
        <f>F4A!H617+F4B!H617</f>
        <v>111.96748732987473</v>
      </c>
      <c r="I617" s="162">
        <f>F4A!I617+F4B!I617</f>
        <v>116.64150004269835</v>
      </c>
      <c r="J617" s="162">
        <f>F4A!J617+F4B!J617</f>
        <v>111.5315668691987</v>
      </c>
      <c r="K617" s="162">
        <f>F4A!K617+F4B!K617</f>
        <v>116.68006893683508</v>
      </c>
      <c r="L617" s="162">
        <f>F4A!L617+F4B!L617</f>
        <v>122.3500055246942</v>
      </c>
      <c r="M617" s="162">
        <f>F4A!M617+F4B!M617</f>
        <v>137.62083626794816</v>
      </c>
      <c r="N617" s="162">
        <f>F4A!N617+F4B!N617</f>
        <v>145.28941551252237</v>
      </c>
      <c r="O617" s="162">
        <f>F4A!O617+F4B!O617</f>
        <v>131.2902873459675</v>
      </c>
      <c r="P617" s="162">
        <f>F4A!P617+F4B!P617</f>
        <v>113.67185697088014</v>
      </c>
      <c r="Q617" s="167">
        <f t="shared" si="63"/>
        <v>1440.3458511419983</v>
      </c>
      <c r="R617" s="166"/>
      <c r="S617" s="166"/>
    </row>
    <row r="618" spans="3:19" hidden="1" x14ac:dyDescent="0.25">
      <c r="C618" s="17" t="s">
        <v>194</v>
      </c>
      <c r="D618" s="17" t="s">
        <v>195</v>
      </c>
      <c r="E618" s="162">
        <f>F4A!E618+F4B!E618</f>
        <v>0</v>
      </c>
      <c r="F618" s="162">
        <f>F4A!F618+F4B!F618</f>
        <v>0</v>
      </c>
      <c r="G618" s="162">
        <f>F4A!G618+F4B!G618</f>
        <v>0</v>
      </c>
      <c r="H618" s="162">
        <f>F4A!H618+F4B!H618</f>
        <v>0</v>
      </c>
      <c r="I618" s="162">
        <f>F4A!I618+F4B!I618</f>
        <v>0</v>
      </c>
      <c r="J618" s="162">
        <f>F4A!J618+F4B!J618</f>
        <v>0</v>
      </c>
      <c r="K618" s="162">
        <f>F4A!K618+F4B!K618</f>
        <v>0</v>
      </c>
      <c r="L618" s="162">
        <f>F4A!L618+F4B!L618</f>
        <v>0</v>
      </c>
      <c r="M618" s="162">
        <f>F4A!M618+F4B!M618</f>
        <v>0</v>
      </c>
      <c r="N618" s="162">
        <f>F4A!N618+F4B!N618</f>
        <v>0</v>
      </c>
      <c r="O618" s="162">
        <f>F4A!O618+F4B!O618</f>
        <v>0</v>
      </c>
      <c r="P618" s="162">
        <f>F4A!P618+F4B!P618</f>
        <v>0</v>
      </c>
      <c r="Q618" s="167">
        <f t="shared" si="63"/>
        <v>0</v>
      </c>
      <c r="R618" s="166"/>
      <c r="S618" s="166"/>
    </row>
    <row r="619" spans="3:19" hidden="1" x14ac:dyDescent="0.25">
      <c r="C619" s="17" t="s">
        <v>233</v>
      </c>
      <c r="D619" s="17" t="s">
        <v>197</v>
      </c>
      <c r="E619" s="162">
        <f>F4A!E619+F4B!E619</f>
        <v>23.895053981808747</v>
      </c>
      <c r="F619" s="162">
        <f>F4A!F619+F4B!F619</f>
        <v>25.803218230820292</v>
      </c>
      <c r="G619" s="162">
        <f>F4A!G619+F4B!G619</f>
        <v>28.514372751586233</v>
      </c>
      <c r="H619" s="162">
        <f>F4A!H619+F4B!H619</f>
        <v>22.965238227441525</v>
      </c>
      <c r="I619" s="162">
        <f>F4A!I619+F4B!I619</f>
        <v>24.821609382437565</v>
      </c>
      <c r="J619" s="162">
        <f>F4A!J619+F4B!J619</f>
        <v>24.27651726153756</v>
      </c>
      <c r="K619" s="162">
        <f>F4A!K619+F4B!K619</f>
        <v>25.452641929999182</v>
      </c>
      <c r="L619" s="162">
        <f>F4A!L619+F4B!L619</f>
        <v>22.757837845988551</v>
      </c>
      <c r="M619" s="162">
        <f>F4A!M619+F4B!M619</f>
        <v>19.502827572175686</v>
      </c>
      <c r="N619" s="162">
        <f>F4A!N619+F4B!N619</f>
        <v>20.360679563063723</v>
      </c>
      <c r="O619" s="162">
        <f>F4A!O619+F4B!O619</f>
        <v>22.088853474499594</v>
      </c>
      <c r="P619" s="162">
        <f>F4A!P619+F4B!P619</f>
        <v>25.905627175966799</v>
      </c>
      <c r="Q619" s="167">
        <f t="shared" si="63"/>
        <v>286.34447739732542</v>
      </c>
      <c r="R619" s="166"/>
      <c r="S619" s="166"/>
    </row>
    <row r="620" spans="3:19" hidden="1" x14ac:dyDescent="0.25">
      <c r="C620" s="17" t="s">
        <v>198</v>
      </c>
      <c r="D620" s="17" t="s">
        <v>199</v>
      </c>
      <c r="E620" s="162">
        <f>F4A!E620+F4B!E620</f>
        <v>6.4935317520000008E-3</v>
      </c>
      <c r="F620" s="162">
        <f>F4A!F620+F4B!F620</f>
        <v>2.9822067216E-2</v>
      </c>
      <c r="G620" s="162">
        <f>F4A!G620+F4B!G620</f>
        <v>2.3968443887999999E-2</v>
      </c>
      <c r="H620" s="162">
        <f>F4A!H620+F4B!H620</f>
        <v>2.3098253328000001E-2</v>
      </c>
      <c r="I620" s="162">
        <f>F4A!I620+F4B!I620</f>
        <v>2.5828741512E-2</v>
      </c>
      <c r="J620" s="162">
        <f>F4A!J620+F4B!J620</f>
        <v>2.3381595864000005E-2</v>
      </c>
      <c r="K620" s="162">
        <f>F4A!K620+F4B!K620</f>
        <v>2.2749115896E-2</v>
      </c>
      <c r="L620" s="162">
        <f>F4A!L620+F4B!L620</f>
        <v>1.9052928432000002E-2</v>
      </c>
      <c r="M620" s="162">
        <f>F4A!M620+F4B!M620</f>
        <v>2.1193384968000002E-2</v>
      </c>
      <c r="N620" s="162">
        <f>F4A!N620+F4B!N620</f>
        <v>2.7727242623999997E-2</v>
      </c>
      <c r="O620" s="162">
        <f>F4A!O620+F4B!O620</f>
        <v>2.7402512976000003E-2</v>
      </c>
      <c r="P620" s="162">
        <f>F4A!P620+F4B!P620</f>
        <v>3.3022670544000002E-2</v>
      </c>
      <c r="Q620" s="167">
        <f t="shared" si="63"/>
        <v>0.28374048899999998</v>
      </c>
      <c r="R620" s="166"/>
      <c r="S620" s="166"/>
    </row>
    <row r="621" spans="3:19" hidden="1" x14ac:dyDescent="0.25">
      <c r="C621" s="17" t="s">
        <v>200</v>
      </c>
      <c r="D621" s="17" t="s">
        <v>201</v>
      </c>
      <c r="E621" s="162">
        <f>F4A!E621+F4B!E621</f>
        <v>0.81065157341612537</v>
      </c>
      <c r="F621" s="162">
        <f>F4A!F621+F4B!F621</f>
        <v>0.88061219864119011</v>
      </c>
      <c r="G621" s="162">
        <f>F4A!G621+F4B!G621</f>
        <v>0.96450433086096732</v>
      </c>
      <c r="H621" s="162">
        <f>F4A!H621+F4B!H621</f>
        <v>0.81342420494050827</v>
      </c>
      <c r="I621" s="162">
        <f>F4A!I621+F4B!I621</f>
        <v>0.77440399620303646</v>
      </c>
      <c r="J621" s="162">
        <f>F4A!J621+F4B!J621</f>
        <v>0.8059399486191845</v>
      </c>
      <c r="K621" s="162">
        <f>F4A!K621+F4B!K621</f>
        <v>0.80714894818063487</v>
      </c>
      <c r="L621" s="162">
        <f>F4A!L621+F4B!L621</f>
        <v>0.70670562316941599</v>
      </c>
      <c r="M621" s="162">
        <f>F4A!M621+F4B!M621</f>
        <v>0.6411036710620921</v>
      </c>
      <c r="N621" s="162">
        <f>F4A!N621+F4B!N621</f>
        <v>0.67431810479710264</v>
      </c>
      <c r="O621" s="162">
        <f>F4A!O621+F4B!O621</f>
        <v>0.69339878462281179</v>
      </c>
      <c r="P621" s="162">
        <f>F4A!P621+F4B!P621</f>
        <v>0.75886291750301971</v>
      </c>
      <c r="Q621" s="167">
        <f t="shared" si="63"/>
        <v>9.3310743020160913</v>
      </c>
      <c r="R621" s="166"/>
      <c r="S621" s="166"/>
    </row>
    <row r="622" spans="3:19" hidden="1" x14ac:dyDescent="0.25">
      <c r="C622" s="17" t="s">
        <v>202</v>
      </c>
      <c r="D622" s="17" t="s">
        <v>203</v>
      </c>
      <c r="E622" s="162">
        <f>F4A!E622+F4B!E622</f>
        <v>2.9854236383999999</v>
      </c>
      <c r="F622" s="162">
        <f>F4A!F622+F4B!F622</f>
        <v>0.31341945960000001</v>
      </c>
      <c r="G622" s="162">
        <f>F4A!G622+F4B!G622</f>
        <v>0.4299629868</v>
      </c>
      <c r="H622" s="162">
        <f>F4A!H622+F4B!H622</f>
        <v>1.0033690427999999</v>
      </c>
      <c r="I622" s="162">
        <f>F4A!I622+F4B!I622</f>
        <v>2.0342254536</v>
      </c>
      <c r="J622" s="162">
        <f>F4A!J622+F4B!J622</f>
        <v>1.3980874392</v>
      </c>
      <c r="K622" s="162">
        <f>F4A!K622+F4B!K622</f>
        <v>2.9050502414400001</v>
      </c>
      <c r="L622" s="162">
        <f>F4A!L622+F4B!L622</f>
        <v>1.2440458152</v>
      </c>
      <c r="M622" s="162">
        <f>F4A!M622+F4B!M622</f>
        <v>1.5209177914799998</v>
      </c>
      <c r="N622" s="162">
        <f>F4A!N622+F4B!N622</f>
        <v>3.9031051291200001</v>
      </c>
      <c r="O622" s="162">
        <f>F4A!O622+F4B!O622</f>
        <v>4.2503273928</v>
      </c>
      <c r="P622" s="162">
        <f>F4A!P622+F4B!P622</f>
        <v>4.7119206203999999</v>
      </c>
      <c r="Q622" s="167">
        <f t="shared" si="63"/>
        <v>26.69985501084</v>
      </c>
      <c r="R622" s="166"/>
      <c r="S622" s="166"/>
    </row>
    <row r="623" spans="3:19" hidden="1" x14ac:dyDescent="0.25">
      <c r="C623" s="17" t="s">
        <v>204</v>
      </c>
      <c r="D623" s="17" t="s">
        <v>205</v>
      </c>
      <c r="E623" s="162">
        <f>F4A!E623+F4B!E623</f>
        <v>15.178871392507007</v>
      </c>
      <c r="F623" s="162">
        <f>F4A!F623+F4B!F623</f>
        <v>15.022756036335757</v>
      </c>
      <c r="G623" s="162">
        <f>F4A!G623+F4B!G623</f>
        <v>14.903133189210127</v>
      </c>
      <c r="H623" s="162">
        <f>F4A!H623+F4B!H623</f>
        <v>13.743768829501015</v>
      </c>
      <c r="I623" s="162">
        <f>F4A!I623+F4B!I623</f>
        <v>14.122852546962829</v>
      </c>
      <c r="J623" s="162">
        <f>F4A!J623+F4B!J623</f>
        <v>14.405064637533059</v>
      </c>
      <c r="K623" s="162">
        <f>F4A!K623+F4B!K623</f>
        <v>14.891167588659858</v>
      </c>
      <c r="L623" s="162">
        <f>F4A!L623+F4B!L623</f>
        <v>14.557588598450755</v>
      </c>
      <c r="M623" s="162">
        <f>F4A!M623+F4B!M623</f>
        <v>14.690268985785089</v>
      </c>
      <c r="N623" s="162">
        <f>F4A!N623+F4B!N623</f>
        <v>15.561591097522555</v>
      </c>
      <c r="O623" s="162">
        <f>F4A!O623+F4B!O623</f>
        <v>14.453482728398008</v>
      </c>
      <c r="P623" s="162">
        <f>F4A!P623+F4B!P623</f>
        <v>15.491012920249123</v>
      </c>
      <c r="Q623" s="167">
        <f t="shared" si="63"/>
        <v>177.02155855111516</v>
      </c>
      <c r="R623" s="166"/>
      <c r="S623" s="166"/>
    </row>
    <row r="624" spans="3:19" hidden="1" x14ac:dyDescent="0.25">
      <c r="C624" s="17" t="s">
        <v>206</v>
      </c>
      <c r="D624" s="17" t="s">
        <v>207</v>
      </c>
      <c r="E624" s="162">
        <f>F4A!E624+F4B!E624</f>
        <v>0.82443763828799999</v>
      </c>
      <c r="F624" s="162">
        <f>F4A!F624+F4B!F624</f>
        <v>0.89039596032000012</v>
      </c>
      <c r="G624" s="162">
        <f>F4A!G624+F4B!G624</f>
        <v>0.99127863763200008</v>
      </c>
      <c r="H624" s="162">
        <f>F4A!H624+F4B!H624</f>
        <v>0.75589845840000003</v>
      </c>
      <c r="I624" s="162">
        <f>F4A!I624+F4B!I624</f>
        <v>0.81136461693600004</v>
      </c>
      <c r="J624" s="162">
        <f>F4A!J624+F4B!J624</f>
        <v>0.76284512596800003</v>
      </c>
      <c r="K624" s="162">
        <f>F4A!K624+F4B!K624</f>
        <v>0.77508509904000011</v>
      </c>
      <c r="L624" s="162">
        <f>F4A!L624+F4B!L624</f>
        <v>0.70421020034399995</v>
      </c>
      <c r="M624" s="162">
        <f>F4A!M624+F4B!M624</f>
        <v>0.58619325866400007</v>
      </c>
      <c r="N624" s="162">
        <f>F4A!N624+F4B!N624</f>
        <v>0.66270635546400003</v>
      </c>
      <c r="O624" s="162">
        <f>F4A!O624+F4B!O624</f>
        <v>0.6765954457679999</v>
      </c>
      <c r="P624" s="162">
        <f>F4A!P624+F4B!P624</f>
        <v>0.79437043202400004</v>
      </c>
      <c r="Q624" s="167">
        <f t="shared" si="63"/>
        <v>9.2353812288479986</v>
      </c>
      <c r="R624" s="166"/>
      <c r="S624" s="166"/>
    </row>
    <row r="625" spans="3:19" hidden="1" x14ac:dyDescent="0.25">
      <c r="C625" s="17" t="s">
        <v>208</v>
      </c>
      <c r="D625" s="17" t="s">
        <v>187</v>
      </c>
      <c r="E625" s="162">
        <f>F4A!E625+F4B!E625</f>
        <v>1.6566518088000002</v>
      </c>
      <c r="F625" s="162">
        <f>F4A!F625+F4B!F625</f>
        <v>1.55238281676</v>
      </c>
      <c r="G625" s="162">
        <f>F4A!G625+F4B!G625</f>
        <v>1.4802875288640003</v>
      </c>
      <c r="H625" s="162">
        <f>F4A!H625+F4B!H625</f>
        <v>1.4363609461200002</v>
      </c>
      <c r="I625" s="162">
        <f>F4A!I625+F4B!I625</f>
        <v>1.581228572616</v>
      </c>
      <c r="J625" s="162">
        <f>F4A!J625+F4B!J625</f>
        <v>1.5640879410000001</v>
      </c>
      <c r="K625" s="162">
        <f>F4A!K625+F4B!K625</f>
        <v>1.51752213396</v>
      </c>
      <c r="L625" s="162">
        <f>F4A!L625+F4B!L625</f>
        <v>1.4445768184560002</v>
      </c>
      <c r="M625" s="162">
        <f>F4A!M625+F4B!M625</f>
        <v>1.4480586419040002</v>
      </c>
      <c r="N625" s="162">
        <f>F4A!N625+F4B!N625</f>
        <v>1.458238810248</v>
      </c>
      <c r="O625" s="162">
        <f>F4A!O625+F4B!O625</f>
        <v>1.3253861807280003</v>
      </c>
      <c r="P625" s="162">
        <f>F4A!P625+F4B!P625</f>
        <v>1.2193990929360001</v>
      </c>
      <c r="Q625" s="167">
        <f t="shared" si="63"/>
        <v>17.684181292392001</v>
      </c>
      <c r="R625" s="166"/>
      <c r="S625" s="166"/>
    </row>
    <row r="626" spans="3:19" hidden="1" x14ac:dyDescent="0.25">
      <c r="C626" s="17" t="s">
        <v>209</v>
      </c>
      <c r="D626" s="17" t="s">
        <v>210</v>
      </c>
      <c r="E626" s="162">
        <f>F4A!E626+F4B!E626</f>
        <v>93.747086015663257</v>
      </c>
      <c r="F626" s="162">
        <f>F4A!F626+F4B!F626</f>
        <v>46.826063775125832</v>
      </c>
      <c r="G626" s="162">
        <f>F4A!G626+F4B!G626</f>
        <v>79.431245097424437</v>
      </c>
      <c r="H626" s="162">
        <f>F4A!H626+F4B!H626</f>
        <v>111.83291554342088</v>
      </c>
      <c r="I626" s="162">
        <f>F4A!I626+F4B!I626</f>
        <v>121.61506786752967</v>
      </c>
      <c r="J626" s="162">
        <f>F4A!J626+F4B!J626</f>
        <v>108.14028496524985</v>
      </c>
      <c r="K626" s="162">
        <f>F4A!K626+F4B!K626</f>
        <v>110.37144574117644</v>
      </c>
      <c r="L626" s="162">
        <f>F4A!L626+F4B!L626</f>
        <v>62.055619020883228</v>
      </c>
      <c r="M626" s="162">
        <f>F4A!M626+F4B!M626</f>
        <v>125.89328142841246</v>
      </c>
      <c r="N626" s="162">
        <f>F4A!N626+F4B!N626</f>
        <v>134.77550137085828</v>
      </c>
      <c r="O626" s="162">
        <f>F4A!O626+F4B!O626</f>
        <v>146.77496326667398</v>
      </c>
      <c r="P626" s="162">
        <f>F4A!P626+F4B!P626</f>
        <v>160.57100394914286</v>
      </c>
      <c r="Q626" s="167">
        <f t="shared" si="63"/>
        <v>1302.034478041561</v>
      </c>
      <c r="R626" s="166"/>
      <c r="S626" s="166"/>
    </row>
    <row r="627" spans="3:19" hidden="1" x14ac:dyDescent="0.25">
      <c r="C627" s="17" t="s">
        <v>211</v>
      </c>
      <c r="D627" s="17" t="s">
        <v>189</v>
      </c>
      <c r="E627" s="162">
        <f>F4A!E627+F4B!E627</f>
        <v>0</v>
      </c>
      <c r="F627" s="162">
        <f>F4A!F627+F4B!F627</f>
        <v>0</v>
      </c>
      <c r="G627" s="162">
        <f>F4A!G627+F4B!G627</f>
        <v>0</v>
      </c>
      <c r="H627" s="162">
        <f>F4A!H627+F4B!H627</f>
        <v>0</v>
      </c>
      <c r="I627" s="162">
        <f>F4A!I627+F4B!I627</f>
        <v>0</v>
      </c>
      <c r="J627" s="162">
        <f>F4A!J627+F4B!J627</f>
        <v>0</v>
      </c>
      <c r="K627" s="162">
        <f>F4A!K627+F4B!K627</f>
        <v>0</v>
      </c>
      <c r="L627" s="162">
        <f>F4A!L627+F4B!L627</f>
        <v>0</v>
      </c>
      <c r="M627" s="162">
        <f>F4A!M627+F4B!M627</f>
        <v>0</v>
      </c>
      <c r="N627" s="162">
        <f>F4A!N627+F4B!N627</f>
        <v>0</v>
      </c>
      <c r="O627" s="162">
        <f>F4A!O627+F4B!O627</f>
        <v>0</v>
      </c>
      <c r="P627" s="162">
        <f>F4A!P627+F4B!P627</f>
        <v>0</v>
      </c>
      <c r="Q627" s="167">
        <f t="shared" si="63"/>
        <v>0</v>
      </c>
      <c r="R627" s="166"/>
      <c r="S627" s="166"/>
    </row>
    <row r="628" spans="3:19" hidden="1" x14ac:dyDescent="0.25">
      <c r="C628" s="17"/>
      <c r="D628" s="17"/>
      <c r="E628" s="162">
        <f>F4A!E628+F4B!E628</f>
        <v>0</v>
      </c>
      <c r="F628" s="162">
        <f>F4A!F628+F4B!F628</f>
        <v>0</v>
      </c>
      <c r="G628" s="162">
        <f>F4A!G628+F4B!G628</f>
        <v>0</v>
      </c>
      <c r="H628" s="162">
        <f>F4A!H628+F4B!H628</f>
        <v>0</v>
      </c>
      <c r="I628" s="162">
        <f>F4A!I628+F4B!I628</f>
        <v>0</v>
      </c>
      <c r="J628" s="162">
        <f>F4A!J628+F4B!J628</f>
        <v>0</v>
      </c>
      <c r="K628" s="162">
        <f>F4A!K628+F4B!K628</f>
        <v>0</v>
      </c>
      <c r="L628" s="162">
        <f>F4A!L628+F4B!L628</f>
        <v>0</v>
      </c>
      <c r="M628" s="162">
        <f>F4A!M628+F4B!M628</f>
        <v>0</v>
      </c>
      <c r="N628" s="162">
        <f>F4A!N628+F4B!N628</f>
        <v>0</v>
      </c>
      <c r="O628" s="162">
        <f>F4A!O628+F4B!O628</f>
        <v>0</v>
      </c>
      <c r="P628" s="162">
        <f>F4A!P628+F4B!P628</f>
        <v>0</v>
      </c>
      <c r="Q628" s="167">
        <f t="shared" si="63"/>
        <v>0</v>
      </c>
      <c r="R628" s="166"/>
      <c r="S628" s="166"/>
    </row>
    <row r="629" spans="3:19" hidden="1" x14ac:dyDescent="0.25">
      <c r="C629" s="17"/>
      <c r="D629" s="17"/>
      <c r="E629" s="162">
        <f>F4A!E629+F4B!E629</f>
        <v>0</v>
      </c>
      <c r="F629" s="162">
        <f>F4A!F629+F4B!F629</f>
        <v>0</v>
      </c>
      <c r="G629" s="162">
        <f>F4A!G629+F4B!G629</f>
        <v>0</v>
      </c>
      <c r="H629" s="162">
        <f>F4A!H629+F4B!H629</f>
        <v>0</v>
      </c>
      <c r="I629" s="162">
        <f>F4A!I629+F4B!I629</f>
        <v>0</v>
      </c>
      <c r="J629" s="162">
        <f>F4A!J629+F4B!J629</f>
        <v>0</v>
      </c>
      <c r="K629" s="162">
        <f>F4A!K629+F4B!K629</f>
        <v>0</v>
      </c>
      <c r="L629" s="162">
        <f>F4A!L629+F4B!L629</f>
        <v>0</v>
      </c>
      <c r="M629" s="162">
        <f>F4A!M629+F4B!M629</f>
        <v>0</v>
      </c>
      <c r="N629" s="162">
        <f>F4A!N629+F4B!N629</f>
        <v>0</v>
      </c>
      <c r="O629" s="162">
        <f>F4A!O629+F4B!O629</f>
        <v>0</v>
      </c>
      <c r="P629" s="162">
        <f>F4A!P629+F4B!P629</f>
        <v>0</v>
      </c>
      <c r="Q629" s="167">
        <f t="shared" si="63"/>
        <v>0</v>
      </c>
      <c r="R629" s="166"/>
      <c r="S629" s="166"/>
    </row>
    <row r="630" spans="3:19" hidden="1" x14ac:dyDescent="0.25">
      <c r="C630" s="17"/>
      <c r="D630" s="17"/>
      <c r="E630" s="162">
        <f>F4A!E630+F4B!E630</f>
        <v>0</v>
      </c>
      <c r="F630" s="162">
        <f>F4A!F630+F4B!F630</f>
        <v>0</v>
      </c>
      <c r="G630" s="162">
        <f>F4A!G630+F4B!G630</f>
        <v>0</v>
      </c>
      <c r="H630" s="162">
        <f>F4A!H630+F4B!H630</f>
        <v>0</v>
      </c>
      <c r="I630" s="162">
        <f>F4A!I630+F4B!I630</f>
        <v>0</v>
      </c>
      <c r="J630" s="162">
        <f>F4A!J630+F4B!J630</f>
        <v>0</v>
      </c>
      <c r="K630" s="162">
        <f>F4A!K630+F4B!K630</f>
        <v>0</v>
      </c>
      <c r="L630" s="162">
        <f>F4A!L630+F4B!L630</f>
        <v>0</v>
      </c>
      <c r="M630" s="162">
        <f>F4A!M630+F4B!M630</f>
        <v>0</v>
      </c>
      <c r="N630" s="162">
        <f>F4A!N630+F4B!N630</f>
        <v>0</v>
      </c>
      <c r="O630" s="162">
        <f>F4A!O630+F4B!O630</f>
        <v>0</v>
      </c>
      <c r="P630" s="162">
        <f>F4A!P630+F4B!P630</f>
        <v>0</v>
      </c>
      <c r="Q630" s="167">
        <f t="shared" si="63"/>
        <v>0</v>
      </c>
      <c r="R630" s="166"/>
      <c r="S630" s="166"/>
    </row>
    <row r="631" spans="3:19" hidden="1" x14ac:dyDescent="0.25">
      <c r="C631" s="17" t="s">
        <v>226</v>
      </c>
      <c r="D631" s="17" t="s">
        <v>226</v>
      </c>
      <c r="E631" s="162">
        <f>F4A!E631+F4B!E631</f>
        <v>0</v>
      </c>
      <c r="F631" s="162">
        <f>F4A!F631+F4B!F631</f>
        <v>0</v>
      </c>
      <c r="G631" s="162">
        <f>F4A!G631+F4B!G631</f>
        <v>0</v>
      </c>
      <c r="H631" s="162">
        <f>F4A!H631+F4B!H631</f>
        <v>0</v>
      </c>
      <c r="I631" s="162">
        <f>F4A!I631+F4B!I631</f>
        <v>0</v>
      </c>
      <c r="J631" s="162">
        <f>F4A!J631+F4B!J631</f>
        <v>0</v>
      </c>
      <c r="K631" s="162">
        <f>F4A!K631+F4B!K631</f>
        <v>0</v>
      </c>
      <c r="L631" s="162">
        <f>F4A!L631+F4B!L631</f>
        <v>0</v>
      </c>
      <c r="M631" s="162">
        <f>F4A!M631+F4B!M631</f>
        <v>0</v>
      </c>
      <c r="N631" s="162">
        <f>F4A!N631+F4B!N631</f>
        <v>0</v>
      </c>
      <c r="O631" s="162">
        <f>F4A!O631+F4B!O631</f>
        <v>0</v>
      </c>
      <c r="P631" s="162">
        <f>F4A!P631+F4B!P631</f>
        <v>0</v>
      </c>
      <c r="Q631" s="167">
        <f t="shared" si="63"/>
        <v>0</v>
      </c>
      <c r="R631" s="166"/>
      <c r="S631" s="166"/>
    </row>
    <row r="632" spans="3:19" hidden="1" x14ac:dyDescent="0.25">
      <c r="C632" s="751" t="s">
        <v>212</v>
      </c>
      <c r="D632" s="752"/>
      <c r="E632" s="167">
        <f t="shared" ref="E632:P632" si="65">SUM(E617:E631)</f>
        <v>255.39140482634534</v>
      </c>
      <c r="F632" s="167">
        <f t="shared" si="65"/>
        <v>195.56926846693642</v>
      </c>
      <c r="G632" s="167">
        <f t="shared" si="65"/>
        <v>239.50424613981747</v>
      </c>
      <c r="H632" s="167">
        <f t="shared" si="65"/>
        <v>264.54156083582666</v>
      </c>
      <c r="I632" s="167">
        <f t="shared" si="65"/>
        <v>282.42808122049541</v>
      </c>
      <c r="J632" s="167">
        <f t="shared" si="65"/>
        <v>262.90777578417038</v>
      </c>
      <c r="K632" s="167">
        <f t="shared" si="65"/>
        <v>273.42287973518722</v>
      </c>
      <c r="L632" s="167">
        <f t="shared" si="65"/>
        <v>225.83964237561815</v>
      </c>
      <c r="M632" s="167">
        <f t="shared" si="65"/>
        <v>301.9246810023995</v>
      </c>
      <c r="N632" s="167">
        <f t="shared" si="65"/>
        <v>322.71328318622</v>
      </c>
      <c r="O632" s="167">
        <f t="shared" si="65"/>
        <v>321.5806971324339</v>
      </c>
      <c r="P632" s="167">
        <f t="shared" si="65"/>
        <v>323.15707674964597</v>
      </c>
      <c r="Q632" s="167">
        <f t="shared" si="63"/>
        <v>3268.9805974550964</v>
      </c>
      <c r="R632" s="166"/>
      <c r="S632" s="166"/>
    </row>
    <row r="633" spans="3:19" hidden="1" x14ac:dyDescent="0.25">
      <c r="C633" s="753" t="s">
        <v>213</v>
      </c>
      <c r="D633" s="754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7">
        <f t="shared" ref="Q633:Q664" si="66">SUM(E633:P633)</f>
        <v>0</v>
      </c>
      <c r="R633" s="166"/>
      <c r="S633" s="166"/>
    </row>
    <row r="634" spans="3:19" hidden="1" x14ac:dyDescent="0.25">
      <c r="C634" s="17" t="s">
        <v>192</v>
      </c>
      <c r="D634" s="17" t="s">
        <v>193</v>
      </c>
      <c r="E634" s="162">
        <f>F4A!E634+F4B!E634</f>
        <v>19.058753588854518</v>
      </c>
      <c r="F634" s="162">
        <f>F4A!F634+F4B!F634</f>
        <v>18.721314719212621</v>
      </c>
      <c r="G634" s="162">
        <f>F4A!G634+F4B!G634</f>
        <v>16.295842970864761</v>
      </c>
      <c r="H634" s="162">
        <f>F4A!H634+F4B!H634</f>
        <v>16.668027975949318</v>
      </c>
      <c r="I634" s="162">
        <f>F4A!I634+F4B!I634</f>
        <v>16.742333691327318</v>
      </c>
      <c r="J634" s="162">
        <f>F4A!J634+F4B!J634</f>
        <v>17.193960636371589</v>
      </c>
      <c r="K634" s="162">
        <f>F4A!K634+F4B!K634</f>
        <v>15.454333542723102</v>
      </c>
      <c r="L634" s="162">
        <f>F4A!L634+F4B!L634</f>
        <v>17.362471405276398</v>
      </c>
      <c r="M634" s="162">
        <f>F4A!M634+F4B!M634</f>
        <v>17.764803201235303</v>
      </c>
      <c r="N634" s="162">
        <f>F4A!N634+F4B!N634</f>
        <v>18.905805819528673</v>
      </c>
      <c r="O634" s="162">
        <f>F4A!O634+F4B!O634</f>
        <v>19.113602294353882</v>
      </c>
      <c r="P634" s="162">
        <f>F4A!P634+F4B!P634</f>
        <v>19.864572113639376</v>
      </c>
      <c r="Q634" s="167">
        <f t="shared" si="66"/>
        <v>213.14582195933687</v>
      </c>
      <c r="R634" s="166"/>
      <c r="S634" s="166"/>
    </row>
    <row r="635" spans="3:19" hidden="1" x14ac:dyDescent="0.25">
      <c r="C635" s="17" t="s">
        <v>194</v>
      </c>
      <c r="D635" s="17" t="s">
        <v>195</v>
      </c>
      <c r="E635" s="162">
        <f>F4A!E635+F4B!E635</f>
        <v>4.2834109500000002E-3</v>
      </c>
      <c r="F635" s="162">
        <f>F4A!F635+F4B!F635</f>
        <v>2.8113750000000005E-3</v>
      </c>
      <c r="G635" s="162">
        <f>F4A!G635+F4B!G635</f>
        <v>2.361555E-3</v>
      </c>
      <c r="H635" s="162">
        <f>F4A!H635+F4B!H635</f>
        <v>2.8113750000000005E-3</v>
      </c>
      <c r="I635" s="162">
        <f>F4A!I635+F4B!I635</f>
        <v>2.4740100000000009E-3</v>
      </c>
      <c r="J635" s="162">
        <f>F4A!J635+F4B!J635</f>
        <v>2.9238300000000001E-3</v>
      </c>
      <c r="K635" s="162">
        <f>F4A!K635+F4B!K635</f>
        <v>2.6989199999999996E-3</v>
      </c>
      <c r="L635" s="162">
        <f>F4A!L635+F4B!L635</f>
        <v>2.8113750000000005E-3</v>
      </c>
      <c r="M635" s="162">
        <f>F4A!M635+F4B!M635</f>
        <v>2.0241900000000004E-3</v>
      </c>
      <c r="N635" s="162">
        <f>F4A!N635+F4B!N635</f>
        <v>2.361555E-3</v>
      </c>
      <c r="O635" s="162">
        <f>F4A!O635+F4B!O635</f>
        <v>2.2491000000000004E-4</v>
      </c>
      <c r="P635" s="162">
        <f>F4A!P635+F4B!P635</f>
        <v>8.9964000000000016E-4</v>
      </c>
      <c r="Q635" s="167">
        <f t="shared" si="66"/>
        <v>2.8686145950000005E-2</v>
      </c>
      <c r="R635" s="166"/>
      <c r="S635" s="166"/>
    </row>
    <row r="636" spans="3:19" hidden="1" x14ac:dyDescent="0.25">
      <c r="C636" s="17" t="s">
        <v>233</v>
      </c>
      <c r="D636" s="17" t="s">
        <v>197</v>
      </c>
      <c r="E636" s="162">
        <f>F4A!E636+F4B!E636</f>
        <v>1.8028574603108507</v>
      </c>
      <c r="F636" s="162">
        <f>F4A!F636+F4B!F636</f>
        <v>1.620130901693976</v>
      </c>
      <c r="G636" s="162">
        <f>F4A!G636+F4B!G636</f>
        <v>1.774018895857258</v>
      </c>
      <c r="H636" s="162">
        <f>F4A!H636+F4B!H636</f>
        <v>1.8898456981919294</v>
      </c>
      <c r="I636" s="162">
        <f>F4A!I636+F4B!I636</f>
        <v>2.3568478319153381</v>
      </c>
      <c r="J636" s="162">
        <f>F4A!J636+F4B!J636</f>
        <v>2.1221186832494632</v>
      </c>
      <c r="K636" s="162">
        <f>F4A!K636+F4B!K636</f>
        <v>2.2269741765097004</v>
      </c>
      <c r="L636" s="162">
        <f>F4A!L636+F4B!L636</f>
        <v>1.8933737636358676</v>
      </c>
      <c r="M636" s="162">
        <f>F4A!M636+F4B!M636</f>
        <v>1.4983009151313516</v>
      </c>
      <c r="N636" s="162">
        <f>F4A!N636+F4B!N636</f>
        <v>1.3946590870628011</v>
      </c>
      <c r="O636" s="162">
        <f>F4A!O636+F4B!O636</f>
        <v>1.5647217195099279</v>
      </c>
      <c r="P636" s="162">
        <f>F4A!P636+F4B!P636</f>
        <v>1.7306489199686619</v>
      </c>
      <c r="Q636" s="167">
        <f t="shared" si="66"/>
        <v>21.874498053037129</v>
      </c>
      <c r="R636" s="166"/>
      <c r="S636" s="166"/>
    </row>
    <row r="637" spans="3:19" hidden="1" x14ac:dyDescent="0.25">
      <c r="C637" s="17" t="s">
        <v>198</v>
      </c>
      <c r="D637" s="17" t="s">
        <v>199</v>
      </c>
      <c r="E637" s="162">
        <f>F4A!E637+F4B!E637</f>
        <v>0</v>
      </c>
      <c r="F637" s="162">
        <f>F4A!F637+F4B!F637</f>
        <v>0</v>
      </c>
      <c r="G637" s="162">
        <f>F4A!G637+F4B!G637</f>
        <v>0</v>
      </c>
      <c r="H637" s="162">
        <f>F4A!H637+F4B!H637</f>
        <v>0</v>
      </c>
      <c r="I637" s="162">
        <f>F4A!I637+F4B!I637</f>
        <v>0</v>
      </c>
      <c r="J637" s="162">
        <f>F4A!J637+F4B!J637</f>
        <v>0</v>
      </c>
      <c r="K637" s="162">
        <f>F4A!K637+F4B!K637</f>
        <v>0</v>
      </c>
      <c r="L637" s="162">
        <f>F4A!L637+F4B!L637</f>
        <v>0</v>
      </c>
      <c r="M637" s="162">
        <f>F4A!M637+F4B!M637</f>
        <v>0</v>
      </c>
      <c r="N637" s="162">
        <f>F4A!N637+F4B!N637</f>
        <v>0</v>
      </c>
      <c r="O637" s="162">
        <f>F4A!O637+F4B!O637</f>
        <v>0</v>
      </c>
      <c r="P637" s="162">
        <f>F4A!P637+F4B!P637</f>
        <v>0</v>
      </c>
      <c r="Q637" s="167">
        <f t="shared" si="66"/>
        <v>0</v>
      </c>
      <c r="R637" s="166"/>
      <c r="S637" s="166"/>
    </row>
    <row r="638" spans="3:19" hidden="1" x14ac:dyDescent="0.25">
      <c r="C638" s="17" t="s">
        <v>200</v>
      </c>
      <c r="D638" s="17" t="s">
        <v>201</v>
      </c>
      <c r="E638" s="162">
        <f>F4A!E638+F4B!E638</f>
        <v>0</v>
      </c>
      <c r="F638" s="162">
        <f>F4A!F638+F4B!F638</f>
        <v>0</v>
      </c>
      <c r="G638" s="162">
        <f>F4A!G638+F4B!G638</f>
        <v>0</v>
      </c>
      <c r="H638" s="162">
        <f>F4A!H638+F4B!H638</f>
        <v>0</v>
      </c>
      <c r="I638" s="162">
        <f>F4A!I638+F4B!I638</f>
        <v>0</v>
      </c>
      <c r="J638" s="162">
        <f>F4A!J638+F4B!J638</f>
        <v>0</v>
      </c>
      <c r="K638" s="162">
        <f>F4A!K638+F4B!K638</f>
        <v>0</v>
      </c>
      <c r="L638" s="162">
        <f>F4A!L638+F4B!L638</f>
        <v>0</v>
      </c>
      <c r="M638" s="162">
        <f>F4A!M638+F4B!M638</f>
        <v>0</v>
      </c>
      <c r="N638" s="162">
        <f>F4A!N638+F4B!N638</f>
        <v>0</v>
      </c>
      <c r="O638" s="162">
        <f>F4A!O638+F4B!O638</f>
        <v>0</v>
      </c>
      <c r="P638" s="162">
        <f>F4A!P638+F4B!P638</f>
        <v>0</v>
      </c>
      <c r="Q638" s="167">
        <f t="shared" si="66"/>
        <v>0</v>
      </c>
      <c r="R638" s="166"/>
      <c r="S638" s="166"/>
    </row>
    <row r="639" spans="3:19" hidden="1" x14ac:dyDescent="0.25">
      <c r="C639" s="17" t="s">
        <v>202</v>
      </c>
      <c r="D639" s="17" t="s">
        <v>203</v>
      </c>
      <c r="E639" s="162">
        <f>F4A!E639+F4B!E639</f>
        <v>3.4697178261688615</v>
      </c>
      <c r="F639" s="162">
        <f>F4A!F639+F4B!F639</f>
        <v>3.4399960224321995</v>
      </c>
      <c r="G639" s="162">
        <f>F4A!G639+F4B!G639</f>
        <v>0.12664608360165983</v>
      </c>
      <c r="H639" s="162">
        <f>F4A!H639+F4B!H639</f>
        <v>0.47078167130741805</v>
      </c>
      <c r="I639" s="162">
        <f>F4A!I639+F4B!I639</f>
        <v>0.41503276319362414</v>
      </c>
      <c r="J639" s="162">
        <f>F4A!J639+F4B!J639</f>
        <v>3.4352493600605811</v>
      </c>
      <c r="K639" s="162">
        <f>F4A!K639+F4B!K639</f>
        <v>2.1196079703471309</v>
      </c>
      <c r="L639" s="162">
        <f>F4A!L639+F4B!L639</f>
        <v>1.1211873098106424</v>
      </c>
      <c r="M639" s="162">
        <f>F4A!M639+F4B!M639</f>
        <v>0.47386571896724783</v>
      </c>
      <c r="N639" s="162">
        <f>F4A!N639+F4B!N639</f>
        <v>7.6323303334755401</v>
      </c>
      <c r="O639" s="162">
        <f>F4A!O639+F4B!O639</f>
        <v>6.2273644552185692</v>
      </c>
      <c r="P639" s="162">
        <f>F4A!P639+F4B!P639</f>
        <v>4.5179245605750138</v>
      </c>
      <c r="Q639" s="167">
        <f t="shared" si="66"/>
        <v>33.449704075158486</v>
      </c>
      <c r="R639" s="166"/>
      <c r="S639" s="166"/>
    </row>
    <row r="640" spans="3:19" hidden="1" x14ac:dyDescent="0.25">
      <c r="C640" s="17" t="s">
        <v>204</v>
      </c>
      <c r="D640" s="17" t="s">
        <v>205</v>
      </c>
      <c r="E640" s="162">
        <f>F4A!E640+F4B!E640</f>
        <v>34.302599160631814</v>
      </c>
      <c r="F640" s="162">
        <f>F4A!F640+F4B!F640</f>
        <v>35.150522137379838</v>
      </c>
      <c r="G640" s="162">
        <f>F4A!G640+F4B!G640</f>
        <v>35.212419269372504</v>
      </c>
      <c r="H640" s="162">
        <f>F4A!H640+F4B!H640</f>
        <v>33.91013284375839</v>
      </c>
      <c r="I640" s="162">
        <f>F4A!I640+F4B!I640</f>
        <v>34.746693555654929</v>
      </c>
      <c r="J640" s="162">
        <f>F4A!J640+F4B!J640</f>
        <v>31.677771604788845</v>
      </c>
      <c r="K640" s="162">
        <f>F4A!K640+F4B!K640</f>
        <v>35.396336574007378</v>
      </c>
      <c r="L640" s="162">
        <f>F4A!L640+F4B!L640</f>
        <v>35.418753341045999</v>
      </c>
      <c r="M640" s="162">
        <f>F4A!M640+F4B!M640</f>
        <v>35.069561544289861</v>
      </c>
      <c r="N640" s="162">
        <f>F4A!N640+F4B!N640</f>
        <v>36.565543571700829</v>
      </c>
      <c r="O640" s="162">
        <f>F4A!O640+F4B!O640</f>
        <v>32.91106750371975</v>
      </c>
      <c r="P640" s="162">
        <f>F4A!P640+F4B!P640</f>
        <v>43.873508252936823</v>
      </c>
      <c r="Q640" s="167">
        <f t="shared" si="66"/>
        <v>424.23490935928697</v>
      </c>
      <c r="R640" s="166"/>
      <c r="S640" s="166"/>
    </row>
    <row r="641" spans="3:19" hidden="1" x14ac:dyDescent="0.25">
      <c r="C641" s="17" t="s">
        <v>206</v>
      </c>
      <c r="D641" s="17" t="s">
        <v>207</v>
      </c>
      <c r="E641" s="162">
        <f>F4A!E641+F4B!E641</f>
        <v>3.1986528276960002</v>
      </c>
      <c r="F641" s="162">
        <f>F4A!F641+F4B!F641</f>
        <v>3.9725302720319999</v>
      </c>
      <c r="G641" s="162">
        <f>F4A!G641+F4B!G641</f>
        <v>4.242740359032001</v>
      </c>
      <c r="H641" s="162">
        <f>F4A!H641+F4B!H641</f>
        <v>3.409759996344</v>
      </c>
      <c r="I641" s="162">
        <f>F4A!I641+F4B!I641</f>
        <v>3.3754235502960004</v>
      </c>
      <c r="J641" s="162">
        <f>F4A!J641+F4B!J641</f>
        <v>3.4622059569120007</v>
      </c>
      <c r="K641" s="162">
        <f>F4A!K641+F4B!K641</f>
        <v>1.8503647171200002</v>
      </c>
      <c r="L641" s="162">
        <f>F4A!L641+F4B!L641</f>
        <v>1.3621283853120001</v>
      </c>
      <c r="M641" s="162">
        <f>F4A!M641+F4B!M641</f>
        <v>0.67536868931999994</v>
      </c>
      <c r="N641" s="162">
        <f>F4A!N641+F4B!N641</f>
        <v>1.8735690912480003</v>
      </c>
      <c r="O641" s="162">
        <f>F4A!O641+F4B!O641</f>
        <v>2.358236580552</v>
      </c>
      <c r="P641" s="162">
        <f>F4A!P641+F4B!P641</f>
        <v>3.4183238351238625</v>
      </c>
      <c r="Q641" s="167">
        <f t="shared" si="66"/>
        <v>33.199304260987866</v>
      </c>
      <c r="R641" s="166"/>
      <c r="S641" s="166"/>
    </row>
    <row r="642" spans="3:19" hidden="1" x14ac:dyDescent="0.25">
      <c r="C642" s="17" t="s">
        <v>214</v>
      </c>
      <c r="D642" s="17" t="s">
        <v>187</v>
      </c>
      <c r="E642" s="162">
        <f>F4A!E642+F4B!E642</f>
        <v>0.5545544033519999</v>
      </c>
      <c r="F642" s="162">
        <f>F4A!F642+F4B!F642</f>
        <v>0.44364649406400003</v>
      </c>
      <c r="G642" s="162">
        <f>F4A!G642+F4B!G642</f>
        <v>0.51744502079999988</v>
      </c>
      <c r="H642" s="162">
        <f>F4A!H642+F4B!H642</f>
        <v>0.44066131595999997</v>
      </c>
      <c r="I642" s="162">
        <f>F4A!I642+F4B!I642</f>
        <v>0.473531172552</v>
      </c>
      <c r="J642" s="162">
        <f>F4A!J642+F4B!J642</f>
        <v>0.63552032891999999</v>
      </c>
      <c r="K642" s="162">
        <f>F4A!K642+F4B!K642</f>
        <v>0.68190891422399991</v>
      </c>
      <c r="L642" s="162">
        <f>F4A!L642+F4B!L642</f>
        <v>0.69283829541600017</v>
      </c>
      <c r="M642" s="162">
        <f>F4A!M642+F4B!M642</f>
        <v>0.81863813656800011</v>
      </c>
      <c r="N642" s="162">
        <f>F4A!N642+F4B!N642</f>
        <v>0.76518933443999992</v>
      </c>
      <c r="O642" s="162">
        <f>F4A!O642+F4B!O642</f>
        <v>0.7210367143919999</v>
      </c>
      <c r="P642" s="162">
        <f>F4A!P642+F4B!P642</f>
        <v>0.70715186892000004</v>
      </c>
      <c r="Q642" s="167">
        <f t="shared" si="66"/>
        <v>7.4521219996079999</v>
      </c>
      <c r="R642" s="166"/>
      <c r="S642" s="166"/>
    </row>
    <row r="643" spans="3:19" hidden="1" x14ac:dyDescent="0.25">
      <c r="C643" s="17" t="s">
        <v>209</v>
      </c>
      <c r="D643" s="17" t="s">
        <v>210</v>
      </c>
      <c r="E643" s="162">
        <f>F4A!E643+F4B!E643</f>
        <v>0</v>
      </c>
      <c r="F643" s="162">
        <f>F4A!F643+F4B!F643</f>
        <v>0</v>
      </c>
      <c r="G643" s="162">
        <f>F4A!G643+F4B!G643</f>
        <v>0</v>
      </c>
      <c r="H643" s="162">
        <f>F4A!H643+F4B!H643</f>
        <v>0</v>
      </c>
      <c r="I643" s="162">
        <f>F4A!I643+F4B!I643</f>
        <v>0</v>
      </c>
      <c r="J643" s="162">
        <f>F4A!J643+F4B!J643</f>
        <v>0</v>
      </c>
      <c r="K643" s="162">
        <f>F4A!K643+F4B!K643</f>
        <v>0</v>
      </c>
      <c r="L643" s="162">
        <f>F4A!L643+F4B!L643</f>
        <v>0</v>
      </c>
      <c r="M643" s="162">
        <f>F4A!M643+F4B!M643</f>
        <v>0</v>
      </c>
      <c r="N643" s="162">
        <f>F4A!N643+F4B!N643</f>
        <v>0</v>
      </c>
      <c r="O643" s="162">
        <f>F4A!O643+F4B!O643</f>
        <v>0</v>
      </c>
      <c r="P643" s="162">
        <f>F4A!P643+F4B!P643</f>
        <v>0</v>
      </c>
      <c r="Q643" s="167">
        <f t="shared" si="66"/>
        <v>0</v>
      </c>
      <c r="R643" s="166"/>
      <c r="S643" s="166"/>
    </row>
    <row r="644" spans="3:19" hidden="1" x14ac:dyDescent="0.25">
      <c r="C644" s="17" t="s">
        <v>211</v>
      </c>
      <c r="D644" s="17" t="s">
        <v>189</v>
      </c>
      <c r="E644" s="162">
        <f>F4A!E644+F4B!E644</f>
        <v>6.9551999999999996</v>
      </c>
      <c r="F644" s="162">
        <f>F4A!F644+F4B!F644</f>
        <v>7.1870399999999997</v>
      </c>
      <c r="G644" s="162">
        <f>F4A!G644+F4B!G644</f>
        <v>6.9551999999999996</v>
      </c>
      <c r="H644" s="162">
        <f>F4A!H644+F4B!H644</f>
        <v>7.1870399999999997</v>
      </c>
      <c r="I644" s="162">
        <f>F4A!I644+F4B!I644</f>
        <v>7.1870399999999997</v>
      </c>
      <c r="J644" s="162">
        <f>F4A!J644+F4B!J644</f>
        <v>6.9551999999999996</v>
      </c>
      <c r="K644" s="162">
        <f>F4A!K644+F4B!K644</f>
        <v>7.1870399999999997</v>
      </c>
      <c r="L644" s="162">
        <f>F4A!L644+F4B!L644</f>
        <v>6.9551999999999996</v>
      </c>
      <c r="M644" s="162">
        <f>F4A!M644+F4B!M644</f>
        <v>7.1870399999999997</v>
      </c>
      <c r="N644" s="162">
        <f>F4A!N644+F4B!N644</f>
        <v>7.1870399999999997</v>
      </c>
      <c r="O644" s="162">
        <f>F4A!O644+F4B!O644</f>
        <v>6.4915200000000004</v>
      </c>
      <c r="P644" s="162">
        <f>F4A!P644+F4B!P644</f>
        <v>7.1870399999999997</v>
      </c>
      <c r="Q644" s="167">
        <f t="shared" si="66"/>
        <v>84.621599999999987</v>
      </c>
      <c r="R644" s="166"/>
      <c r="S644" s="166"/>
    </row>
    <row r="645" spans="3:19" hidden="1" x14ac:dyDescent="0.25">
      <c r="C645" s="17"/>
      <c r="D645" s="17"/>
      <c r="E645" s="162">
        <f>F4A!E645+F4B!E645</f>
        <v>0</v>
      </c>
      <c r="F645" s="162">
        <f>F4A!F645+F4B!F645</f>
        <v>0</v>
      </c>
      <c r="G645" s="162">
        <f>F4A!G645+F4B!G645</f>
        <v>0</v>
      </c>
      <c r="H645" s="162">
        <f>F4A!H645+F4B!H645</f>
        <v>0</v>
      </c>
      <c r="I645" s="162">
        <f>F4A!I645+F4B!I645</f>
        <v>0</v>
      </c>
      <c r="J645" s="162">
        <f>F4A!J645+F4B!J645</f>
        <v>0</v>
      </c>
      <c r="K645" s="162">
        <f>F4A!K645+F4B!K645</f>
        <v>0</v>
      </c>
      <c r="L645" s="162">
        <f>F4A!L645+F4B!L645</f>
        <v>0</v>
      </c>
      <c r="M645" s="162">
        <f>F4A!M645+F4B!M645</f>
        <v>0</v>
      </c>
      <c r="N645" s="162">
        <f>F4A!N645+F4B!N645</f>
        <v>0</v>
      </c>
      <c r="O645" s="162">
        <f>F4A!O645+F4B!O645</f>
        <v>0</v>
      </c>
      <c r="P645" s="162">
        <f>F4A!P645+F4B!P645</f>
        <v>0</v>
      </c>
      <c r="Q645" s="167">
        <f t="shared" si="66"/>
        <v>0</v>
      </c>
      <c r="R645" s="166"/>
      <c r="S645" s="166"/>
    </row>
    <row r="646" spans="3:19" hidden="1" x14ac:dyDescent="0.25">
      <c r="C646" s="17"/>
      <c r="D646" s="17"/>
      <c r="E646" s="162">
        <f>F4A!E646+F4B!E646</f>
        <v>0</v>
      </c>
      <c r="F646" s="162">
        <f>F4A!F646+F4B!F646</f>
        <v>0</v>
      </c>
      <c r="G646" s="162">
        <f>F4A!G646+F4B!G646</f>
        <v>0</v>
      </c>
      <c r="H646" s="162">
        <f>F4A!H646+F4B!H646</f>
        <v>0</v>
      </c>
      <c r="I646" s="162">
        <f>F4A!I646+F4B!I646</f>
        <v>0</v>
      </c>
      <c r="J646" s="162">
        <f>F4A!J646+F4B!J646</f>
        <v>0</v>
      </c>
      <c r="K646" s="162">
        <f>F4A!K646+F4B!K646</f>
        <v>0</v>
      </c>
      <c r="L646" s="162">
        <f>F4A!L646+F4B!L646</f>
        <v>0</v>
      </c>
      <c r="M646" s="162">
        <f>F4A!M646+F4B!M646</f>
        <v>0</v>
      </c>
      <c r="N646" s="162">
        <f>F4A!N646+F4B!N646</f>
        <v>0</v>
      </c>
      <c r="O646" s="162">
        <f>F4A!O646+F4B!O646</f>
        <v>0</v>
      </c>
      <c r="P646" s="162">
        <f>F4A!P646+F4B!P646</f>
        <v>0</v>
      </c>
      <c r="Q646" s="167">
        <f t="shared" si="66"/>
        <v>0</v>
      </c>
      <c r="R646" s="166"/>
      <c r="S646" s="166"/>
    </row>
    <row r="647" spans="3:19" hidden="1" x14ac:dyDescent="0.25">
      <c r="C647" s="17"/>
      <c r="D647" s="17"/>
      <c r="E647" s="162">
        <f>F4A!E647+F4B!E647</f>
        <v>0</v>
      </c>
      <c r="F647" s="162">
        <f>F4A!F647+F4B!F647</f>
        <v>0</v>
      </c>
      <c r="G647" s="162">
        <f>F4A!G647+F4B!G647</f>
        <v>0</v>
      </c>
      <c r="H647" s="162">
        <f>F4A!H647+F4B!H647</f>
        <v>0</v>
      </c>
      <c r="I647" s="162">
        <f>F4A!I647+F4B!I647</f>
        <v>0</v>
      </c>
      <c r="J647" s="162">
        <f>F4A!J647+F4B!J647</f>
        <v>0</v>
      </c>
      <c r="K647" s="162">
        <f>F4A!K647+F4B!K647</f>
        <v>0</v>
      </c>
      <c r="L647" s="162">
        <f>F4A!L647+F4B!L647</f>
        <v>0</v>
      </c>
      <c r="M647" s="162">
        <f>F4A!M647+F4B!M647</f>
        <v>0</v>
      </c>
      <c r="N647" s="162">
        <f>F4A!N647+F4B!N647</f>
        <v>0</v>
      </c>
      <c r="O647" s="162">
        <f>F4A!O647+F4B!O647</f>
        <v>0</v>
      </c>
      <c r="P647" s="162">
        <f>F4A!P647+F4B!P647</f>
        <v>0</v>
      </c>
      <c r="Q647" s="167">
        <f t="shared" si="66"/>
        <v>0</v>
      </c>
      <c r="R647" s="166"/>
      <c r="S647" s="166"/>
    </row>
    <row r="648" spans="3:19" hidden="1" x14ac:dyDescent="0.25">
      <c r="C648" s="17" t="s">
        <v>226</v>
      </c>
      <c r="D648" s="17" t="s">
        <v>226</v>
      </c>
      <c r="E648" s="162">
        <f>F4A!E648+F4B!E648</f>
        <v>0</v>
      </c>
      <c r="F648" s="162">
        <f>F4A!F648+F4B!F648</f>
        <v>0</v>
      </c>
      <c r="G648" s="162">
        <f>F4A!G648+F4B!G648</f>
        <v>0</v>
      </c>
      <c r="H648" s="162">
        <f>F4A!H648+F4B!H648</f>
        <v>0</v>
      </c>
      <c r="I648" s="162">
        <f>F4A!I648+F4B!I648</f>
        <v>0</v>
      </c>
      <c r="J648" s="162">
        <f>F4A!J648+F4B!J648</f>
        <v>0</v>
      </c>
      <c r="K648" s="162">
        <f>F4A!K648+F4B!K648</f>
        <v>0</v>
      </c>
      <c r="L648" s="162">
        <f>F4A!L648+F4B!L648</f>
        <v>0</v>
      </c>
      <c r="M648" s="162">
        <f>F4A!M648+F4B!M648</f>
        <v>0</v>
      </c>
      <c r="N648" s="162">
        <f>F4A!N648+F4B!N648</f>
        <v>0</v>
      </c>
      <c r="O648" s="162">
        <f>F4A!O648+F4B!O648</f>
        <v>0</v>
      </c>
      <c r="P648" s="162">
        <f>F4A!P648+F4B!P648</f>
        <v>0</v>
      </c>
      <c r="Q648" s="167">
        <f t="shared" si="66"/>
        <v>0</v>
      </c>
      <c r="R648" s="166"/>
      <c r="S648" s="166"/>
    </row>
    <row r="649" spans="3:19" hidden="1" x14ac:dyDescent="0.25">
      <c r="C649" s="751" t="s">
        <v>212</v>
      </c>
      <c r="D649" s="752"/>
      <c r="E649" s="167">
        <f t="shared" ref="E649:P649" si="67">SUM(E634:E648)</f>
        <v>69.346618677964045</v>
      </c>
      <c r="F649" s="167">
        <f t="shared" si="67"/>
        <v>70.537991921814637</v>
      </c>
      <c r="G649" s="167">
        <f t="shared" si="67"/>
        <v>65.126674154528175</v>
      </c>
      <c r="H649" s="167">
        <f t="shared" si="67"/>
        <v>63.979060876511056</v>
      </c>
      <c r="I649" s="167">
        <f t="shared" si="67"/>
        <v>65.299376574939217</v>
      </c>
      <c r="J649" s="167">
        <f t="shared" si="67"/>
        <v>65.48495040030248</v>
      </c>
      <c r="K649" s="167">
        <f t="shared" si="67"/>
        <v>64.91926481493131</v>
      </c>
      <c r="L649" s="167">
        <f t="shared" si="67"/>
        <v>64.808763875496908</v>
      </c>
      <c r="M649" s="167">
        <f t="shared" si="67"/>
        <v>63.489602395511767</v>
      </c>
      <c r="N649" s="167">
        <f t="shared" si="67"/>
        <v>74.326498792455837</v>
      </c>
      <c r="O649" s="167">
        <f t="shared" si="67"/>
        <v>69.387774177746124</v>
      </c>
      <c r="P649" s="167">
        <f t="shared" si="67"/>
        <v>81.300069191163715</v>
      </c>
      <c r="Q649" s="167">
        <f t="shared" si="66"/>
        <v>818.00664585336528</v>
      </c>
      <c r="R649" s="166"/>
      <c r="S649" s="166"/>
    </row>
    <row r="650" spans="3:19" hidden="1" x14ac:dyDescent="0.25">
      <c r="C650" s="753" t="s">
        <v>215</v>
      </c>
      <c r="D650" s="754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7">
        <f t="shared" si="66"/>
        <v>0</v>
      </c>
      <c r="R650" s="166"/>
      <c r="S650" s="166"/>
    </row>
    <row r="651" spans="3:19" hidden="1" x14ac:dyDescent="0.25">
      <c r="C651" s="17" t="s">
        <v>192</v>
      </c>
      <c r="D651" s="17" t="s">
        <v>193</v>
      </c>
      <c r="E651" s="162">
        <f>F4A!E651+F4B!E651</f>
        <v>52.899396624148395</v>
      </c>
      <c r="F651" s="162">
        <f>F4A!F651+F4B!F651</f>
        <v>49.558970271897309</v>
      </c>
      <c r="G651" s="162">
        <f>F4A!G651+F4B!G651</f>
        <v>55.772550204127953</v>
      </c>
      <c r="H651" s="162">
        <f>F4A!H651+F4B!H651</f>
        <v>54.864534893964326</v>
      </c>
      <c r="I651" s="162">
        <f>F4A!I651+F4B!I651</f>
        <v>58.469698402307912</v>
      </c>
      <c r="J651" s="162">
        <f>F4A!J651+F4B!J651</f>
        <v>65.200109272055911</v>
      </c>
      <c r="K651" s="162">
        <f>F4A!K651+F4B!K651</f>
        <v>61.116453297066357</v>
      </c>
      <c r="L651" s="162">
        <f>F4A!L651+F4B!L651</f>
        <v>62.427382271058022</v>
      </c>
      <c r="M651" s="162">
        <f>F4A!M651+F4B!M651</f>
        <v>55.010775932689398</v>
      </c>
      <c r="N651" s="162">
        <f>F4A!N651+F4B!N651</f>
        <v>58.934971158044789</v>
      </c>
      <c r="O651" s="162">
        <f>F4A!O651+F4B!O651</f>
        <v>55.394168597176865</v>
      </c>
      <c r="P651" s="162">
        <f>F4A!P651+F4B!P651</f>
        <v>55.995863296587252</v>
      </c>
      <c r="Q651" s="167">
        <f t="shared" si="66"/>
        <v>685.6448742211245</v>
      </c>
      <c r="R651" s="166"/>
      <c r="S651" s="166"/>
    </row>
    <row r="652" spans="3:19" hidden="1" x14ac:dyDescent="0.25">
      <c r="C652" s="17" t="s">
        <v>194</v>
      </c>
      <c r="D652" s="17" t="s">
        <v>195</v>
      </c>
      <c r="E652" s="162">
        <f>F4A!E652+F4B!E652</f>
        <v>0</v>
      </c>
      <c r="F652" s="162">
        <f>F4A!F652+F4B!F652</f>
        <v>0</v>
      </c>
      <c r="G652" s="162">
        <f>F4A!G652+F4B!G652</f>
        <v>0</v>
      </c>
      <c r="H652" s="162">
        <f>F4A!H652+F4B!H652</f>
        <v>0</v>
      </c>
      <c r="I652" s="162">
        <f>F4A!I652+F4B!I652</f>
        <v>0</v>
      </c>
      <c r="J652" s="162">
        <f>F4A!J652+F4B!J652</f>
        <v>0</v>
      </c>
      <c r="K652" s="162">
        <f>F4A!K652+F4B!K652</f>
        <v>0</v>
      </c>
      <c r="L652" s="162">
        <f>F4A!L652+F4B!L652</f>
        <v>0</v>
      </c>
      <c r="M652" s="162">
        <f>F4A!M652+F4B!M652</f>
        <v>0</v>
      </c>
      <c r="N652" s="162">
        <f>F4A!N652+F4B!N652</f>
        <v>0</v>
      </c>
      <c r="O652" s="162">
        <f>F4A!O652+F4B!O652</f>
        <v>0</v>
      </c>
      <c r="P652" s="162">
        <f>F4A!P652+F4B!P652</f>
        <v>0</v>
      </c>
      <c r="Q652" s="167">
        <f t="shared" si="66"/>
        <v>0</v>
      </c>
      <c r="R652" s="166"/>
      <c r="S652" s="166"/>
    </row>
    <row r="653" spans="3:19" hidden="1" x14ac:dyDescent="0.25">
      <c r="C653" s="17" t="s">
        <v>233</v>
      </c>
      <c r="D653" s="17" t="s">
        <v>197</v>
      </c>
      <c r="E653" s="162">
        <f>F4A!E653+F4B!E653</f>
        <v>1.2886465634177915</v>
      </c>
      <c r="F653" s="162">
        <f>F4A!F653+F4B!F653</f>
        <v>0.76269490091192449</v>
      </c>
      <c r="G653" s="162">
        <f>F4A!G653+F4B!G653</f>
        <v>0.72135277047510205</v>
      </c>
      <c r="H653" s="162">
        <f>F4A!H653+F4B!H653</f>
        <v>0.74101275098174324</v>
      </c>
      <c r="I653" s="162">
        <f>F4A!I653+F4B!I653</f>
        <v>0.15896498523941271</v>
      </c>
      <c r="J653" s="162">
        <f>F4A!J653+F4B!J653</f>
        <v>0.3306247007488281</v>
      </c>
      <c r="K653" s="162">
        <f>F4A!K653+F4B!K653</f>
        <v>0.2809692071263401</v>
      </c>
      <c r="L653" s="162">
        <f>F4A!L653+F4B!L653</f>
        <v>0.37780865396476682</v>
      </c>
      <c r="M653" s="162">
        <f>F4A!M653+F4B!M653</f>
        <v>0.41274724789371192</v>
      </c>
      <c r="N653" s="162">
        <f>F4A!N653+F4B!N653</f>
        <v>0.6980978221043892</v>
      </c>
      <c r="O653" s="162">
        <f>F4A!O653+F4B!O653</f>
        <v>0.29905638919244998</v>
      </c>
      <c r="P653" s="162">
        <f>F4A!P653+F4B!P653</f>
        <v>0.25861300072164534</v>
      </c>
      <c r="Q653" s="167">
        <f t="shared" si="66"/>
        <v>6.3305889927781047</v>
      </c>
      <c r="R653" s="166"/>
      <c r="S653" s="166"/>
    </row>
    <row r="654" spans="3:19" hidden="1" x14ac:dyDescent="0.25">
      <c r="C654" s="17" t="s">
        <v>198</v>
      </c>
      <c r="D654" s="17" t="s">
        <v>199</v>
      </c>
      <c r="E654" s="162">
        <f>F4A!E654+F4B!E654</f>
        <v>0</v>
      </c>
      <c r="F654" s="162">
        <f>F4A!F654+F4B!F654</f>
        <v>0</v>
      </c>
      <c r="G654" s="162">
        <f>F4A!G654+F4B!G654</f>
        <v>0</v>
      </c>
      <c r="H654" s="162">
        <f>F4A!H654+F4B!H654</f>
        <v>0</v>
      </c>
      <c r="I654" s="162">
        <f>F4A!I654+F4B!I654</f>
        <v>0</v>
      </c>
      <c r="J654" s="162">
        <f>F4A!J654+F4B!J654</f>
        <v>0</v>
      </c>
      <c r="K654" s="162">
        <f>F4A!K654+F4B!K654</f>
        <v>0</v>
      </c>
      <c r="L654" s="162">
        <f>F4A!L654+F4B!L654</f>
        <v>0</v>
      </c>
      <c r="M654" s="162">
        <f>F4A!M654+F4B!M654</f>
        <v>0</v>
      </c>
      <c r="N654" s="162">
        <f>F4A!N654+F4B!N654</f>
        <v>0</v>
      </c>
      <c r="O654" s="162">
        <f>F4A!O654+F4B!O654</f>
        <v>0</v>
      </c>
      <c r="P654" s="162">
        <f>F4A!P654+F4B!P654</f>
        <v>0</v>
      </c>
      <c r="Q654" s="167">
        <f t="shared" si="66"/>
        <v>0</v>
      </c>
      <c r="R654" s="166"/>
      <c r="S654" s="166"/>
    </row>
    <row r="655" spans="3:19" hidden="1" x14ac:dyDescent="0.25">
      <c r="C655" s="17" t="s">
        <v>200</v>
      </c>
      <c r="D655" s="17" t="s">
        <v>201</v>
      </c>
      <c r="E655" s="162">
        <f>F4A!E655+F4B!E655</f>
        <v>0</v>
      </c>
      <c r="F655" s="162">
        <f>F4A!F655+F4B!F655</f>
        <v>0</v>
      </c>
      <c r="G655" s="162">
        <f>F4A!G655+F4B!G655</f>
        <v>0</v>
      </c>
      <c r="H655" s="162">
        <f>F4A!H655+F4B!H655</f>
        <v>0</v>
      </c>
      <c r="I655" s="162">
        <f>F4A!I655+F4B!I655</f>
        <v>0</v>
      </c>
      <c r="J655" s="162">
        <f>F4A!J655+F4B!J655</f>
        <v>0</v>
      </c>
      <c r="K655" s="162">
        <f>F4A!K655+F4B!K655</f>
        <v>0</v>
      </c>
      <c r="L655" s="162">
        <f>F4A!L655+F4B!L655</f>
        <v>0</v>
      </c>
      <c r="M655" s="162">
        <f>F4A!M655+F4B!M655</f>
        <v>0</v>
      </c>
      <c r="N655" s="162">
        <f>F4A!N655+F4B!N655</f>
        <v>0</v>
      </c>
      <c r="O655" s="162">
        <f>F4A!O655+F4B!O655</f>
        <v>0</v>
      </c>
      <c r="P655" s="162">
        <f>F4A!P655+F4B!P655</f>
        <v>0</v>
      </c>
      <c r="Q655" s="167">
        <f t="shared" si="66"/>
        <v>0</v>
      </c>
      <c r="R655" s="166"/>
      <c r="S655" s="166"/>
    </row>
    <row r="656" spans="3:19" hidden="1" x14ac:dyDescent="0.25">
      <c r="C656" s="17" t="s">
        <v>202</v>
      </c>
      <c r="D656" s="17" t="s">
        <v>234</v>
      </c>
      <c r="E656" s="162">
        <f>F4A!E656+F4B!E656</f>
        <v>255.55224513600004</v>
      </c>
      <c r="F656" s="162">
        <f>F4A!F656+F4B!F656</f>
        <v>63.559270954799999</v>
      </c>
      <c r="G656" s="162">
        <f>F4A!G656+F4B!G656</f>
        <v>15.5128207356</v>
      </c>
      <c r="H656" s="162">
        <f>F4A!H656+F4B!H656</f>
        <v>279.24517175256</v>
      </c>
      <c r="I656" s="162">
        <f>F4A!I656+F4B!I656</f>
        <v>11.420829738</v>
      </c>
      <c r="J656" s="162">
        <f>F4A!J656+F4B!J656</f>
        <v>58.545157258980005</v>
      </c>
      <c r="K656" s="162">
        <f>F4A!K656+F4B!K656</f>
        <v>77.390349595200007</v>
      </c>
      <c r="L656" s="162">
        <f>F4A!L656+F4B!L656</f>
        <v>144.23116991111999</v>
      </c>
      <c r="M656" s="162">
        <f>F4A!M656+F4B!M656</f>
        <v>25.621388751599998</v>
      </c>
      <c r="N656" s="162">
        <f>F4A!N656+F4B!N656</f>
        <v>120.41411899680001</v>
      </c>
      <c r="O656" s="162">
        <f>F4A!O656+F4B!O656</f>
        <v>141.30577756080001</v>
      </c>
      <c r="P656" s="162">
        <f>F4A!P656+F4B!P656</f>
        <v>151.21796175360004</v>
      </c>
      <c r="Q656" s="167">
        <f t="shared" si="66"/>
        <v>1344.01626214506</v>
      </c>
      <c r="R656" s="166"/>
      <c r="S656" s="166"/>
    </row>
    <row r="657" spans="3:19" hidden="1" x14ac:dyDescent="0.25">
      <c r="C657" s="17" t="s">
        <v>204</v>
      </c>
      <c r="D657" s="17" t="s">
        <v>216</v>
      </c>
      <c r="E657" s="162">
        <f>F4A!E657+F4B!E657</f>
        <v>2.572356411472223</v>
      </c>
      <c r="F657" s="162">
        <f>F4A!F657+F4B!F657</f>
        <v>2.6342493970252137</v>
      </c>
      <c r="G657" s="162">
        <f>F4A!G657+F4B!G657</f>
        <v>2.5816653444178868</v>
      </c>
      <c r="H657" s="162">
        <f>F4A!H657+F4B!H657</f>
        <v>2.5163015762388112</v>
      </c>
      <c r="I657" s="162">
        <f>F4A!I657+F4B!I657</f>
        <v>2.6272490432725353</v>
      </c>
      <c r="J657" s="162">
        <f>F4A!J657+F4B!J657</f>
        <v>2.6572447451081387</v>
      </c>
      <c r="K657" s="162">
        <f>F4A!K657+F4B!K657</f>
        <v>2.5835782317805376</v>
      </c>
      <c r="L657" s="162">
        <f>F4A!L657+F4B!L657</f>
        <v>2.5048649517940293</v>
      </c>
      <c r="M657" s="162">
        <f>F4A!M657+F4B!M657</f>
        <v>2.695787390478988</v>
      </c>
      <c r="N657" s="162">
        <f>F4A!N657+F4B!N657</f>
        <v>2.7494703358265604</v>
      </c>
      <c r="O657" s="162">
        <f>F4A!O657+F4B!O657</f>
        <v>2.5559838140810274</v>
      </c>
      <c r="P657" s="162">
        <f>F4A!P657+F4B!P657</f>
        <v>2.9324970266741968</v>
      </c>
      <c r="Q657" s="167">
        <f t="shared" si="66"/>
        <v>31.611248268170151</v>
      </c>
      <c r="R657" s="166"/>
      <c r="S657" s="166"/>
    </row>
    <row r="658" spans="3:19" hidden="1" x14ac:dyDescent="0.25">
      <c r="C658" s="17" t="s">
        <v>217</v>
      </c>
      <c r="D658" s="17" t="s">
        <v>218</v>
      </c>
      <c r="E658" s="162">
        <f>F4A!E658+F4B!E658</f>
        <v>71.693248037113193</v>
      </c>
      <c r="F658" s="162">
        <f>F4A!F658+F4B!F658</f>
        <v>69.737507614841562</v>
      </c>
      <c r="G658" s="162">
        <f>F4A!G658+F4B!G658</f>
        <v>68.326173804728569</v>
      </c>
      <c r="H658" s="162">
        <f>F4A!H658+F4B!H658</f>
        <v>68.880677200744245</v>
      </c>
      <c r="I658" s="162">
        <f>F4A!I658+F4B!I658</f>
        <v>69.728294465527256</v>
      </c>
      <c r="J658" s="162">
        <f>F4A!J658+F4B!J658</f>
        <v>66.214966124258609</v>
      </c>
      <c r="K658" s="162">
        <f>F4A!K658+F4B!K658</f>
        <v>69.91394504273589</v>
      </c>
      <c r="L658" s="162">
        <f>F4A!L658+F4B!L658</f>
        <v>70.964229419448202</v>
      </c>
      <c r="M658" s="162">
        <f>F4A!M658+F4B!M658</f>
        <v>69.732234139733762</v>
      </c>
      <c r="N658" s="162">
        <f>F4A!N658+F4B!N658</f>
        <v>72.269404585533636</v>
      </c>
      <c r="O658" s="162">
        <f>F4A!O658+F4B!O658</f>
        <v>68.520207549859506</v>
      </c>
      <c r="P658" s="162">
        <f>F4A!P658+F4B!P658</f>
        <v>73.953755327119239</v>
      </c>
      <c r="Q658" s="167">
        <f t="shared" si="66"/>
        <v>839.93464331164364</v>
      </c>
      <c r="R658" s="166"/>
      <c r="S658" s="166"/>
    </row>
    <row r="659" spans="3:19" hidden="1" x14ac:dyDescent="0.25">
      <c r="C659" s="17" t="s">
        <v>252</v>
      </c>
      <c r="D659" s="17" t="s">
        <v>236</v>
      </c>
      <c r="E659" s="162">
        <f>F4A!E659+F4B!E659</f>
        <v>0</v>
      </c>
      <c r="F659" s="162">
        <f>F4A!F659+F4B!F659</f>
        <v>0</v>
      </c>
      <c r="G659" s="162">
        <f>F4A!G659+F4B!G659</f>
        <v>0</v>
      </c>
      <c r="H659" s="162">
        <f>F4A!H659+F4B!H659</f>
        <v>0</v>
      </c>
      <c r="I659" s="162">
        <f>F4A!I659+F4B!I659</f>
        <v>0</v>
      </c>
      <c r="J659" s="162">
        <f>F4A!J659+F4B!J659</f>
        <v>0</v>
      </c>
      <c r="K659" s="162">
        <f>F4A!K659+F4B!K659</f>
        <v>0</v>
      </c>
      <c r="L659" s="162">
        <f>F4A!L659+F4B!L659</f>
        <v>0</v>
      </c>
      <c r="M659" s="162">
        <f>F4A!M659+F4B!M659</f>
        <v>0</v>
      </c>
      <c r="N659" s="162">
        <f>F4A!N659+F4B!N659</f>
        <v>0</v>
      </c>
      <c r="O659" s="162">
        <f>F4A!O659+F4B!O659</f>
        <v>0</v>
      </c>
      <c r="P659" s="162">
        <f>F4A!P659+F4B!P659</f>
        <v>0</v>
      </c>
      <c r="Q659" s="167">
        <f t="shared" si="66"/>
        <v>0</v>
      </c>
      <c r="R659" s="166"/>
      <c r="S659" s="166"/>
    </row>
    <row r="660" spans="3:19" hidden="1" x14ac:dyDescent="0.25">
      <c r="C660" s="17" t="s">
        <v>206</v>
      </c>
      <c r="D660" s="17" t="s">
        <v>207</v>
      </c>
      <c r="E660" s="162">
        <f>F4A!E660+F4B!E660</f>
        <v>6.3991510961040001</v>
      </c>
      <c r="F660" s="162">
        <f>F4A!F660+F4B!F660</f>
        <v>7.8758114160239998</v>
      </c>
      <c r="G660" s="162">
        <f>F4A!G660+F4B!G660</f>
        <v>7.3301945064480005</v>
      </c>
      <c r="H660" s="162">
        <f>F4A!H660+F4B!H660</f>
        <v>7.0671719812320015</v>
      </c>
      <c r="I660" s="162">
        <f>F4A!I660+F4B!I660</f>
        <v>6.9536248476480012</v>
      </c>
      <c r="J660" s="162">
        <f>F4A!J660+F4B!J660</f>
        <v>6.4576279017359992</v>
      </c>
      <c r="K660" s="162">
        <f>F4A!K660+F4B!K660</f>
        <v>5.6547242961839999</v>
      </c>
      <c r="L660" s="162">
        <f>F4A!L660+F4B!L660</f>
        <v>4.9820298510239995</v>
      </c>
      <c r="M660" s="162">
        <f>F4A!M660+F4B!M660</f>
        <v>3.1492557177120006</v>
      </c>
      <c r="N660" s="162">
        <f>F4A!N660+F4B!N660</f>
        <v>3.414275436384</v>
      </c>
      <c r="O660" s="162">
        <f>F4A!O660+F4B!O660</f>
        <v>4.1044575281759998</v>
      </c>
      <c r="P660" s="162">
        <f>F4A!P660+F4B!P660</f>
        <v>6.0638901296921377</v>
      </c>
      <c r="Q660" s="167">
        <f t="shared" si="66"/>
        <v>69.452214708364139</v>
      </c>
      <c r="R660" s="166"/>
      <c r="S660" s="166"/>
    </row>
    <row r="661" spans="3:19" hidden="1" x14ac:dyDescent="0.25">
      <c r="C661" s="17" t="s">
        <v>208</v>
      </c>
      <c r="D661" s="17" t="s">
        <v>187</v>
      </c>
      <c r="E661" s="162">
        <f>F4A!E661+F4B!E661</f>
        <v>0.12835310759999999</v>
      </c>
      <c r="F661" s="162">
        <f>F4A!F661+F4B!F661</f>
        <v>0.12479806080000001</v>
      </c>
      <c r="G661" s="162">
        <f>F4A!G661+F4B!G661</f>
        <v>0.12734496000000001</v>
      </c>
      <c r="H661" s="162">
        <f>F4A!H661+F4B!H661</f>
        <v>9.2218975200000011E-2</v>
      </c>
      <c r="I661" s="162">
        <f>F4A!I661+F4B!I661</f>
        <v>0.1186430544</v>
      </c>
      <c r="J661" s="162">
        <f>F4A!J661+F4B!J661</f>
        <v>0.12437357759999999</v>
      </c>
      <c r="K661" s="162">
        <f>F4A!K661+F4B!K661</f>
        <v>0.12416133600000002</v>
      </c>
      <c r="L661" s="162">
        <f>F4A!L661+F4B!L661</f>
        <v>8.1500774400000003E-2</v>
      </c>
      <c r="M661" s="162">
        <f>F4A!M661+F4B!M661</f>
        <v>4.9133930400000012E-2</v>
      </c>
      <c r="N661" s="162">
        <f>F4A!N661+F4B!N661</f>
        <v>9.1263888000000012E-3</v>
      </c>
      <c r="O661" s="162">
        <f>F4A!O661+F4B!O661</f>
        <v>0.11705124240000001</v>
      </c>
      <c r="P661" s="162">
        <f>F4A!P661+F4B!P661</f>
        <v>0.1121696856</v>
      </c>
      <c r="Q661" s="167">
        <f t="shared" si="66"/>
        <v>1.2088750932000003</v>
      </c>
      <c r="R661" s="166"/>
      <c r="S661" s="166"/>
    </row>
    <row r="662" spans="3:19" hidden="1" x14ac:dyDescent="0.25">
      <c r="C662" s="17" t="s">
        <v>209</v>
      </c>
      <c r="D662" s="17" t="s">
        <v>210</v>
      </c>
      <c r="E662" s="162">
        <f>F4A!E662+F4B!E662</f>
        <v>0</v>
      </c>
      <c r="F662" s="162">
        <f>F4A!F662+F4B!F662</f>
        <v>0</v>
      </c>
      <c r="G662" s="162">
        <f>F4A!G662+F4B!G662</f>
        <v>0</v>
      </c>
      <c r="H662" s="162">
        <f>F4A!H662+F4B!H662</f>
        <v>0</v>
      </c>
      <c r="I662" s="162">
        <f>F4A!I662+F4B!I662</f>
        <v>0</v>
      </c>
      <c r="J662" s="162">
        <f>F4A!J662+F4B!J662</f>
        <v>0</v>
      </c>
      <c r="K662" s="162">
        <f>F4A!K662+F4B!K662</f>
        <v>0</v>
      </c>
      <c r="L662" s="162">
        <f>F4A!L662+F4B!L662</f>
        <v>0</v>
      </c>
      <c r="M662" s="162">
        <f>F4A!M662+F4B!M662</f>
        <v>0</v>
      </c>
      <c r="N662" s="162">
        <f>F4A!N662+F4B!N662</f>
        <v>0</v>
      </c>
      <c r="O662" s="162">
        <f>F4A!O662+F4B!O662</f>
        <v>0</v>
      </c>
      <c r="P662" s="162">
        <f>F4A!P662+F4B!P662</f>
        <v>0</v>
      </c>
      <c r="Q662" s="167">
        <f t="shared" si="66"/>
        <v>0</v>
      </c>
      <c r="R662" s="166"/>
      <c r="S662" s="166"/>
    </row>
    <row r="663" spans="3:19" hidden="1" x14ac:dyDescent="0.25">
      <c r="C663" s="17" t="s">
        <v>211</v>
      </c>
      <c r="D663" s="17" t="s">
        <v>189</v>
      </c>
      <c r="E663" s="162">
        <f>F4A!E663+F4B!E663</f>
        <v>0</v>
      </c>
      <c r="F663" s="162">
        <f>F4A!F663+F4B!F663</f>
        <v>0</v>
      </c>
      <c r="G663" s="162">
        <f>F4A!G663+F4B!G663</f>
        <v>0</v>
      </c>
      <c r="H663" s="162">
        <f>F4A!H663+F4B!H663</f>
        <v>0</v>
      </c>
      <c r="I663" s="162">
        <f>F4A!I663+F4B!I663</f>
        <v>0</v>
      </c>
      <c r="J663" s="162">
        <f>F4A!J663+F4B!J663</f>
        <v>0</v>
      </c>
      <c r="K663" s="162">
        <f>F4A!K663+F4B!K663</f>
        <v>0</v>
      </c>
      <c r="L663" s="162">
        <f>F4A!L663+F4B!L663</f>
        <v>0</v>
      </c>
      <c r="M663" s="162">
        <f>F4A!M663+F4B!M663</f>
        <v>0</v>
      </c>
      <c r="N663" s="162">
        <f>F4A!N663+F4B!N663</f>
        <v>0</v>
      </c>
      <c r="O663" s="162">
        <f>F4A!O663+F4B!O663</f>
        <v>0</v>
      </c>
      <c r="P663" s="162">
        <f>F4A!P663+F4B!P663</f>
        <v>0</v>
      </c>
      <c r="Q663" s="167">
        <f t="shared" si="66"/>
        <v>0</v>
      </c>
      <c r="R663" s="166"/>
      <c r="S663" s="166"/>
    </row>
    <row r="664" spans="3:19" hidden="1" x14ac:dyDescent="0.25">
      <c r="C664" s="17"/>
      <c r="D664" s="17"/>
      <c r="E664" s="162">
        <f>F4A!E664+F4B!E664</f>
        <v>0</v>
      </c>
      <c r="F664" s="162">
        <f>F4A!F664+F4B!F664</f>
        <v>0</v>
      </c>
      <c r="G664" s="162">
        <f>F4A!G664+F4B!G664</f>
        <v>0</v>
      </c>
      <c r="H664" s="162">
        <f>F4A!H664+F4B!H664</f>
        <v>0</v>
      </c>
      <c r="I664" s="162">
        <f>F4A!I664+F4B!I664</f>
        <v>0</v>
      </c>
      <c r="J664" s="162">
        <f>F4A!J664+F4B!J664</f>
        <v>0</v>
      </c>
      <c r="K664" s="162">
        <f>F4A!K664+F4B!K664</f>
        <v>0</v>
      </c>
      <c r="L664" s="162">
        <f>F4A!L664+F4B!L664</f>
        <v>0</v>
      </c>
      <c r="M664" s="162">
        <f>F4A!M664+F4B!M664</f>
        <v>0</v>
      </c>
      <c r="N664" s="162">
        <f>F4A!N664+F4B!N664</f>
        <v>0</v>
      </c>
      <c r="O664" s="162">
        <f>F4A!O664+F4B!O664</f>
        <v>0</v>
      </c>
      <c r="P664" s="162">
        <f>F4A!P664+F4B!P664</f>
        <v>0</v>
      </c>
      <c r="Q664" s="167">
        <f t="shared" si="66"/>
        <v>0</v>
      </c>
      <c r="R664" s="166"/>
      <c r="S664" s="166"/>
    </row>
    <row r="665" spans="3:19" hidden="1" x14ac:dyDescent="0.25">
      <c r="C665" s="17"/>
      <c r="D665" s="17"/>
      <c r="E665" s="162">
        <f>F4A!E665+F4B!E665</f>
        <v>0</v>
      </c>
      <c r="F665" s="162">
        <f>F4A!F665+F4B!F665</f>
        <v>0</v>
      </c>
      <c r="G665" s="162">
        <f>F4A!G665+F4B!G665</f>
        <v>0</v>
      </c>
      <c r="H665" s="162">
        <f>F4A!H665+F4B!H665</f>
        <v>0</v>
      </c>
      <c r="I665" s="162">
        <f>F4A!I665+F4B!I665</f>
        <v>0</v>
      </c>
      <c r="J665" s="162">
        <f>F4A!J665+F4B!J665</f>
        <v>0</v>
      </c>
      <c r="K665" s="162">
        <f>F4A!K665+F4B!K665</f>
        <v>0</v>
      </c>
      <c r="L665" s="162">
        <f>F4A!L665+F4B!L665</f>
        <v>0</v>
      </c>
      <c r="M665" s="162">
        <f>F4A!M665+F4B!M665</f>
        <v>0</v>
      </c>
      <c r="N665" s="162">
        <f>F4A!N665+F4B!N665</f>
        <v>0</v>
      </c>
      <c r="O665" s="162">
        <f>F4A!O665+F4B!O665</f>
        <v>0</v>
      </c>
      <c r="P665" s="162">
        <f>F4A!P665+F4B!P665</f>
        <v>0</v>
      </c>
      <c r="Q665" s="167">
        <f t="shared" ref="Q665:Q670" si="68">SUM(E665:P665)</f>
        <v>0</v>
      </c>
      <c r="R665" s="166"/>
      <c r="S665" s="166"/>
    </row>
    <row r="666" spans="3:19" hidden="1" x14ac:dyDescent="0.25">
      <c r="C666" s="17"/>
      <c r="D666" s="17"/>
      <c r="E666" s="162">
        <f>F4A!E666+F4B!E666</f>
        <v>0</v>
      </c>
      <c r="F666" s="162">
        <f>F4A!F666+F4B!F666</f>
        <v>0</v>
      </c>
      <c r="G666" s="162">
        <f>F4A!G666+F4B!G666</f>
        <v>0</v>
      </c>
      <c r="H666" s="162">
        <f>F4A!H666+F4B!H666</f>
        <v>0</v>
      </c>
      <c r="I666" s="162">
        <f>F4A!I666+F4B!I666</f>
        <v>0</v>
      </c>
      <c r="J666" s="162">
        <f>F4A!J666+F4B!J666</f>
        <v>0</v>
      </c>
      <c r="K666" s="162">
        <f>F4A!K666+F4B!K666</f>
        <v>0</v>
      </c>
      <c r="L666" s="162">
        <f>F4A!L666+F4B!L666</f>
        <v>0</v>
      </c>
      <c r="M666" s="162">
        <f>F4A!M666+F4B!M666</f>
        <v>0</v>
      </c>
      <c r="N666" s="162">
        <f>F4A!N666+F4B!N666</f>
        <v>0</v>
      </c>
      <c r="O666" s="162">
        <f>F4A!O666+F4B!O666</f>
        <v>0</v>
      </c>
      <c r="P666" s="162">
        <f>F4A!P666+F4B!P666</f>
        <v>0</v>
      </c>
      <c r="Q666" s="167">
        <f t="shared" si="68"/>
        <v>0</v>
      </c>
      <c r="R666" s="166"/>
      <c r="S666" s="166"/>
    </row>
    <row r="667" spans="3:19" hidden="1" x14ac:dyDescent="0.25">
      <c r="C667" s="17" t="s">
        <v>226</v>
      </c>
      <c r="D667" s="17" t="s">
        <v>226</v>
      </c>
      <c r="E667" s="162">
        <f>F4A!E667+F4B!E667</f>
        <v>0</v>
      </c>
      <c r="F667" s="162">
        <f>F4A!F667+F4B!F667</f>
        <v>0</v>
      </c>
      <c r="G667" s="162">
        <f>F4A!G667+F4B!G667</f>
        <v>0</v>
      </c>
      <c r="H667" s="162">
        <f>F4A!H667+F4B!H667</f>
        <v>0</v>
      </c>
      <c r="I667" s="162">
        <f>F4A!I667+F4B!I667</f>
        <v>0</v>
      </c>
      <c r="J667" s="162">
        <f>F4A!J667+F4B!J667</f>
        <v>0</v>
      </c>
      <c r="K667" s="162">
        <f>F4A!K667+F4B!K667</f>
        <v>0</v>
      </c>
      <c r="L667" s="162">
        <f>F4A!L667+F4B!L667</f>
        <v>0</v>
      </c>
      <c r="M667" s="162">
        <f>F4A!M667+F4B!M667</f>
        <v>0</v>
      </c>
      <c r="N667" s="162">
        <f>F4A!N667+F4B!N667</f>
        <v>0</v>
      </c>
      <c r="O667" s="162">
        <f>F4A!O667+F4B!O667</f>
        <v>0</v>
      </c>
      <c r="P667" s="162">
        <f>F4A!P667+F4B!P667</f>
        <v>0</v>
      </c>
      <c r="Q667" s="167">
        <f t="shared" si="68"/>
        <v>0</v>
      </c>
      <c r="R667" s="166"/>
      <c r="S667" s="166"/>
    </row>
    <row r="668" spans="3:19" hidden="1" x14ac:dyDescent="0.25">
      <c r="C668" s="751" t="s">
        <v>212</v>
      </c>
      <c r="D668" s="752"/>
      <c r="E668" s="167">
        <f t="shared" ref="E668:P668" si="69">SUM(E651:E667)</f>
        <v>390.53339697585568</v>
      </c>
      <c r="F668" s="167">
        <f t="shared" si="69"/>
        <v>194.2533026163</v>
      </c>
      <c r="G668" s="167">
        <f t="shared" si="69"/>
        <v>150.3721023257975</v>
      </c>
      <c r="H668" s="167">
        <f t="shared" si="69"/>
        <v>413.40708913092107</v>
      </c>
      <c r="I668" s="167">
        <f t="shared" si="69"/>
        <v>149.47730453639514</v>
      </c>
      <c r="J668" s="167">
        <f t="shared" si="69"/>
        <v>199.53010358048752</v>
      </c>
      <c r="K668" s="167">
        <f t="shared" si="69"/>
        <v>217.06418100609312</v>
      </c>
      <c r="L668" s="167">
        <f t="shared" si="69"/>
        <v>285.56898583280901</v>
      </c>
      <c r="M668" s="167">
        <f t="shared" si="69"/>
        <v>156.67132311050787</v>
      </c>
      <c r="N668" s="167">
        <f t="shared" si="69"/>
        <v>258.48946472349337</v>
      </c>
      <c r="O668" s="167">
        <f t="shared" si="69"/>
        <v>272.29670268168587</v>
      </c>
      <c r="P668" s="167">
        <f t="shared" si="69"/>
        <v>290.53475021999446</v>
      </c>
      <c r="Q668" s="167">
        <f t="shared" si="68"/>
        <v>2978.1987067403402</v>
      </c>
      <c r="R668" s="166"/>
      <c r="S668" s="166"/>
    </row>
    <row r="669" spans="3:19" hidden="1" x14ac:dyDescent="0.25">
      <c r="C669" s="751" t="s">
        <v>219</v>
      </c>
      <c r="D669" s="752"/>
      <c r="E669" s="167">
        <f t="shared" ref="E669:P669" si="70">E668+E649+E632</f>
        <v>715.27142048016503</v>
      </c>
      <c r="F669" s="167">
        <f t="shared" si="70"/>
        <v>460.36056300505106</v>
      </c>
      <c r="G669" s="167">
        <f t="shared" si="70"/>
        <v>455.00302262014316</v>
      </c>
      <c r="H669" s="167">
        <f t="shared" si="70"/>
        <v>741.92771084325875</v>
      </c>
      <c r="I669" s="167">
        <f t="shared" si="70"/>
        <v>497.20476233182978</v>
      </c>
      <c r="J669" s="167">
        <f t="shared" si="70"/>
        <v>527.9228297649604</v>
      </c>
      <c r="K669" s="167">
        <f t="shared" si="70"/>
        <v>555.40632555621164</v>
      </c>
      <c r="L669" s="167">
        <f t="shared" si="70"/>
        <v>576.2173920839241</v>
      </c>
      <c r="M669" s="167">
        <f t="shared" si="70"/>
        <v>522.08560650841912</v>
      </c>
      <c r="N669" s="167">
        <f t="shared" si="70"/>
        <v>655.52924670216919</v>
      </c>
      <c r="O669" s="167">
        <f t="shared" si="70"/>
        <v>663.26517399186582</v>
      </c>
      <c r="P669" s="167">
        <f t="shared" si="70"/>
        <v>694.99189616080412</v>
      </c>
      <c r="Q669" s="167">
        <f t="shared" si="68"/>
        <v>7065.1859500488008</v>
      </c>
      <c r="R669" s="166"/>
      <c r="S669" s="166"/>
    </row>
    <row r="670" spans="3:19" hidden="1" x14ac:dyDescent="0.25">
      <c r="C670" s="751" t="s">
        <v>220</v>
      </c>
      <c r="D670" s="752"/>
      <c r="E670" s="167">
        <f t="shared" ref="E670:P670" si="71">E669+E615</f>
        <v>2176.2609572625897</v>
      </c>
      <c r="F670" s="167">
        <f t="shared" si="71"/>
        <v>1330.800471282445</v>
      </c>
      <c r="G670" s="167">
        <f t="shared" si="71"/>
        <v>1348.955814272874</v>
      </c>
      <c r="H670" s="167">
        <f t="shared" si="71"/>
        <v>1650.9801416594951</v>
      </c>
      <c r="I670" s="167">
        <f t="shared" si="71"/>
        <v>1809.6300532368887</v>
      </c>
      <c r="J670" s="167">
        <f t="shared" si="71"/>
        <v>1777.4719943592297</v>
      </c>
      <c r="K670" s="167">
        <f t="shared" si="71"/>
        <v>1623.3356302681034</v>
      </c>
      <c r="L670" s="167">
        <f t="shared" si="71"/>
        <v>1526.5887048067193</v>
      </c>
      <c r="M670" s="167">
        <f t="shared" si="71"/>
        <v>1889.3921011996599</v>
      </c>
      <c r="N670" s="167">
        <f t="shared" si="71"/>
        <v>2147.5770213877895</v>
      </c>
      <c r="O670" s="167">
        <f t="shared" si="71"/>
        <v>2383.0172517031456</v>
      </c>
      <c r="P670" s="167">
        <f t="shared" si="71"/>
        <v>2648.4650141016314</v>
      </c>
      <c r="Q670" s="167">
        <f t="shared" si="68"/>
        <v>22312.475155540575</v>
      </c>
      <c r="R670" s="166"/>
      <c r="S670" s="166"/>
    </row>
    <row r="671" spans="3:19" hidden="1" x14ac:dyDescent="0.25"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</row>
    <row r="672" spans="3:19" hidden="1" x14ac:dyDescent="0.25">
      <c r="C672" s="14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9" t="s">
        <v>229</v>
      </c>
      <c r="R672" s="166"/>
      <c r="S672" s="166"/>
    </row>
    <row r="673" spans="3:19" hidden="1" x14ac:dyDescent="0.25">
      <c r="C673" s="760" t="s">
        <v>163</v>
      </c>
      <c r="D673" s="760"/>
      <c r="E673" s="761" t="s">
        <v>259</v>
      </c>
      <c r="F673" s="761"/>
      <c r="G673" s="761"/>
      <c r="H673" s="761"/>
      <c r="I673" s="761"/>
      <c r="J673" s="761"/>
      <c r="K673" s="761"/>
      <c r="L673" s="761"/>
      <c r="M673" s="761"/>
      <c r="N673" s="761"/>
      <c r="O673" s="761"/>
      <c r="P673" s="761"/>
      <c r="Q673" s="761"/>
      <c r="R673" s="166"/>
      <c r="S673" s="166"/>
    </row>
    <row r="674" spans="3:19" hidden="1" x14ac:dyDescent="0.25">
      <c r="C674" s="760"/>
      <c r="D674" s="760"/>
      <c r="E674" s="168" t="s">
        <v>239</v>
      </c>
      <c r="F674" s="168" t="s">
        <v>240</v>
      </c>
      <c r="G674" s="168" t="s">
        <v>241</v>
      </c>
      <c r="H674" s="168" t="s">
        <v>242</v>
      </c>
      <c r="I674" s="168" t="s">
        <v>243</v>
      </c>
      <c r="J674" s="168" t="s">
        <v>244</v>
      </c>
      <c r="K674" s="168" t="s">
        <v>245</v>
      </c>
      <c r="L674" s="168" t="s">
        <v>246</v>
      </c>
      <c r="M674" s="168" t="s">
        <v>247</v>
      </c>
      <c r="N674" s="168" t="s">
        <v>248</v>
      </c>
      <c r="O674" s="168" t="s">
        <v>249</v>
      </c>
      <c r="P674" s="168" t="s">
        <v>250</v>
      </c>
      <c r="Q674" s="168" t="s">
        <v>251</v>
      </c>
      <c r="R674" s="166"/>
      <c r="S674" s="166"/>
    </row>
    <row r="675" spans="3:19" hidden="1" x14ac:dyDescent="0.25">
      <c r="C675" s="753" t="s">
        <v>171</v>
      </c>
      <c r="D675" s="754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7">
        <f t="shared" ref="Q675:Q706" si="72">SUM(E675:P675)</f>
        <v>0</v>
      </c>
      <c r="R675" s="166"/>
      <c r="S675" s="166"/>
    </row>
    <row r="676" spans="3:19" hidden="1" x14ac:dyDescent="0.25">
      <c r="C676" s="59" t="s">
        <v>172</v>
      </c>
      <c r="D676" s="59" t="s">
        <v>173</v>
      </c>
      <c r="E676" s="162">
        <f>F4A!E676+F4B!E676</f>
        <v>394.04290449496443</v>
      </c>
      <c r="F676" s="162">
        <f>F4A!F676+F4B!F676</f>
        <v>431.19769539174655</v>
      </c>
      <c r="G676" s="162">
        <f>F4A!G676+F4B!G676</f>
        <v>540.69139462451835</v>
      </c>
      <c r="H676" s="162">
        <f>F4A!H676+F4B!H676</f>
        <v>477.80819852668657</v>
      </c>
      <c r="I676" s="162">
        <f>F4A!I676+F4B!I676</f>
        <v>391.82593551704088</v>
      </c>
      <c r="J676" s="162">
        <f>F4A!J676+F4B!J676</f>
        <v>438.70354329186802</v>
      </c>
      <c r="K676" s="162">
        <f>F4A!K676+F4B!K676</f>
        <v>401.50634399537648</v>
      </c>
      <c r="L676" s="162">
        <f>F4A!L676+F4B!L676</f>
        <v>398.5294925928481</v>
      </c>
      <c r="M676" s="162">
        <f>F4A!M676+F4B!M676</f>
        <v>339.69344440164076</v>
      </c>
      <c r="N676" s="162">
        <f>F4A!N676+F4B!N676</f>
        <v>275.53576588864172</v>
      </c>
      <c r="O676" s="162">
        <f>F4A!O676+F4B!O676</f>
        <v>331.96592901591009</v>
      </c>
      <c r="P676" s="162">
        <f>F4A!P676+F4B!P676</f>
        <v>340.47763272755145</v>
      </c>
      <c r="Q676" s="167">
        <f t="shared" si="72"/>
        <v>4761.9782804687929</v>
      </c>
      <c r="R676" s="166"/>
      <c r="S676" s="166"/>
    </row>
    <row r="677" spans="3:19" hidden="1" x14ac:dyDescent="0.25">
      <c r="C677" s="17" t="s">
        <v>174</v>
      </c>
      <c r="D677" s="17" t="s">
        <v>175</v>
      </c>
      <c r="E677" s="162">
        <f>F4A!E677+F4B!E677</f>
        <v>109.79913469570768</v>
      </c>
      <c r="F677" s="162">
        <f>F4A!F677+F4B!F677</f>
        <v>113.33799740425951</v>
      </c>
      <c r="G677" s="162">
        <f>F4A!G677+F4B!G677</f>
        <v>135.36319698851909</v>
      </c>
      <c r="H677" s="162">
        <f>F4A!H677+F4B!H677</f>
        <v>122.72071803788316</v>
      </c>
      <c r="I677" s="162">
        <f>F4A!I677+F4B!I677</f>
        <v>105.04018588597934</v>
      </c>
      <c r="J677" s="162">
        <f>F4A!J677+F4B!J677</f>
        <v>117.09861559871858</v>
      </c>
      <c r="K677" s="162">
        <f>F4A!K677+F4B!K677</f>
        <v>108.8348092807144</v>
      </c>
      <c r="L677" s="162">
        <f>F4A!L677+F4B!L677</f>
        <v>112.60718537480362</v>
      </c>
      <c r="M677" s="162">
        <f>F4A!M677+F4B!M677</f>
        <v>102.74586881862784</v>
      </c>
      <c r="N677" s="162">
        <f>F4A!N677+F4B!N677</f>
        <v>92.903629704415707</v>
      </c>
      <c r="O677" s="162">
        <f>F4A!O677+F4B!O677</f>
        <v>101.07489668914084</v>
      </c>
      <c r="P677" s="162">
        <f>F4A!P677+F4B!P677</f>
        <v>105.34433826766589</v>
      </c>
      <c r="Q677" s="167">
        <f t="shared" si="72"/>
        <v>1326.8705767464355</v>
      </c>
      <c r="R677" s="166"/>
      <c r="S677" s="166"/>
    </row>
    <row r="678" spans="3:19" hidden="1" x14ac:dyDescent="0.25">
      <c r="C678" s="17" t="s">
        <v>176</v>
      </c>
      <c r="D678" s="17" t="s">
        <v>177</v>
      </c>
      <c r="E678" s="162">
        <f>F4A!E678+F4B!E678</f>
        <v>22.660075036545869</v>
      </c>
      <c r="F678" s="162">
        <f>F4A!F678+F4B!F678</f>
        <v>22.077382179875951</v>
      </c>
      <c r="G678" s="162">
        <f>F4A!G678+F4B!G678</f>
        <v>24.337782125938798</v>
      </c>
      <c r="H678" s="162">
        <f>F4A!H678+F4B!H678</f>
        <v>20.508049214595509</v>
      </c>
      <c r="I678" s="162">
        <f>F4A!I678+F4B!I678</f>
        <v>17.682827099564449</v>
      </c>
      <c r="J678" s="162">
        <f>F4A!J678+F4B!J678</f>
        <v>19.400508718472636</v>
      </c>
      <c r="K678" s="162">
        <f>F4A!K678+F4B!K678</f>
        <v>17.133460515126099</v>
      </c>
      <c r="L678" s="162">
        <f>F4A!L678+F4B!L678</f>
        <v>19.801615938175541</v>
      </c>
      <c r="M678" s="162">
        <f>F4A!M678+F4B!M678</f>
        <v>21.152460059715605</v>
      </c>
      <c r="N678" s="162">
        <f>F4A!N678+F4B!N678</f>
        <v>27.176877368143071</v>
      </c>
      <c r="O678" s="162">
        <f>F4A!O678+F4B!O678</f>
        <v>25.515364917123691</v>
      </c>
      <c r="P678" s="162">
        <f>F4A!P678+F4B!P678</f>
        <v>21.026136716706958</v>
      </c>
      <c r="Q678" s="167">
        <f t="shared" si="72"/>
        <v>258.47253988998415</v>
      </c>
      <c r="R678" s="166"/>
      <c r="S678" s="166"/>
    </row>
    <row r="679" spans="3:19" hidden="1" x14ac:dyDescent="0.25">
      <c r="C679" s="17" t="s">
        <v>178</v>
      </c>
      <c r="D679" s="17" t="s">
        <v>179</v>
      </c>
      <c r="E679" s="162">
        <f>F4A!E679+F4B!E679</f>
        <v>0.7773694024406248</v>
      </c>
      <c r="F679" s="162">
        <f>F4A!F679+F4B!F679</f>
        <v>0.77264956212273073</v>
      </c>
      <c r="G679" s="162">
        <f>F4A!G679+F4B!G679</f>
        <v>0.89435011533967068</v>
      </c>
      <c r="H679" s="162">
        <f>F4A!H679+F4B!H679</f>
        <v>0.82774185644019682</v>
      </c>
      <c r="I679" s="162">
        <f>F4A!I679+F4B!I679</f>
        <v>0.79534157362512636</v>
      </c>
      <c r="J679" s="162">
        <f>F4A!J679+F4B!J679</f>
        <v>0.85445827015933817</v>
      </c>
      <c r="K679" s="162">
        <f>F4A!K679+F4B!K679</f>
        <v>0.75850007152627585</v>
      </c>
      <c r="L679" s="162">
        <f>F4A!L679+F4B!L679</f>
        <v>0.74259861186731113</v>
      </c>
      <c r="M679" s="162">
        <f>F4A!M679+F4B!M679</f>
        <v>0.7188522983718274</v>
      </c>
      <c r="N679" s="162">
        <f>F4A!N679+F4B!N679</f>
        <v>0.68557825999377475</v>
      </c>
      <c r="O679" s="162">
        <f>F4A!O679+F4B!O679</f>
        <v>0.72014175651770762</v>
      </c>
      <c r="P679" s="162">
        <f>F4A!P679+F4B!P679</f>
        <v>0.73178811574368063</v>
      </c>
      <c r="Q679" s="167">
        <f t="shared" si="72"/>
        <v>9.2793698941482656</v>
      </c>
      <c r="R679" s="166"/>
      <c r="S679" s="166"/>
    </row>
    <row r="680" spans="3:19" hidden="1" x14ac:dyDescent="0.25">
      <c r="C680" s="17" t="s">
        <v>180</v>
      </c>
      <c r="D680" s="17" t="s">
        <v>181</v>
      </c>
      <c r="E680" s="162">
        <f>F4A!E680+F4B!E680</f>
        <v>940.81815084479297</v>
      </c>
      <c r="F680" s="162">
        <f>F4A!F680+F4B!F680</f>
        <v>296.55434394030897</v>
      </c>
      <c r="G680" s="162">
        <f>F4A!G680+F4B!G680</f>
        <v>187.91131790598183</v>
      </c>
      <c r="H680" s="162">
        <f>F4A!H680+F4B!H680</f>
        <v>282.29904173774264</v>
      </c>
      <c r="I680" s="162">
        <f>F4A!I680+F4B!I680</f>
        <v>804.69784245442793</v>
      </c>
      <c r="J680" s="162">
        <f>F4A!J680+F4B!J680</f>
        <v>677.06780764766847</v>
      </c>
      <c r="K680" s="162">
        <f>F4A!K680+F4B!K680</f>
        <v>537.61134521308327</v>
      </c>
      <c r="L680" s="162">
        <f>F4A!L680+F4B!L680</f>
        <v>411.15316574112165</v>
      </c>
      <c r="M680" s="162">
        <f>F4A!M680+F4B!M680</f>
        <v>907.24540391783125</v>
      </c>
      <c r="N680" s="162">
        <f>F4A!N680+F4B!N680</f>
        <v>1104.0928000628858</v>
      </c>
      <c r="O680" s="162">
        <f>F4A!O680+F4B!O680</f>
        <v>1275.7371307748983</v>
      </c>
      <c r="P680" s="162">
        <f>F4A!P680+F4B!P680</f>
        <v>1509.0941795038143</v>
      </c>
      <c r="Q680" s="167">
        <f t="shared" si="72"/>
        <v>8934.2825297445561</v>
      </c>
      <c r="R680" s="166"/>
      <c r="S680" s="166"/>
    </row>
    <row r="681" spans="3:19" hidden="1" x14ac:dyDescent="0.25">
      <c r="C681" s="17" t="s">
        <v>182</v>
      </c>
      <c r="D681" s="17" t="s">
        <v>183</v>
      </c>
      <c r="E681" s="162">
        <f>F4A!E681+F4B!E681</f>
        <v>37.300266106398112</v>
      </c>
      <c r="F681" s="162">
        <f>F4A!F681+F4B!F681</f>
        <v>34.589585808571627</v>
      </c>
      <c r="G681" s="162">
        <f>F4A!G681+F4B!G681</f>
        <v>36.881051707116498</v>
      </c>
      <c r="H681" s="162">
        <f>F4A!H681+F4B!H681</f>
        <v>34.710124371668215</v>
      </c>
      <c r="I681" s="162">
        <f>F4A!I681+F4B!I681</f>
        <v>32.467965460943134</v>
      </c>
      <c r="J681" s="162">
        <f>F4A!J681+F4B!J681</f>
        <v>34.190866791785638</v>
      </c>
      <c r="K681" s="162">
        <f>F4A!K681+F4B!K681</f>
        <v>33.624769790200325</v>
      </c>
      <c r="L681" s="162">
        <f>F4A!L681+F4B!L681</f>
        <v>37.684477234453347</v>
      </c>
      <c r="M681" s="162">
        <f>F4A!M681+F4B!M681</f>
        <v>36.917140007415618</v>
      </c>
      <c r="N681" s="162">
        <f>F4A!N681+F4B!N681</f>
        <v>36.851981094852391</v>
      </c>
      <c r="O681" s="162">
        <f>F4A!O681+F4B!O681</f>
        <v>37.869452524095927</v>
      </c>
      <c r="P681" s="162">
        <f>F4A!P681+F4B!P681</f>
        <v>36.013920972834313</v>
      </c>
      <c r="Q681" s="167">
        <f t="shared" si="72"/>
        <v>429.10160187033523</v>
      </c>
      <c r="R681" s="166"/>
      <c r="S681" s="166"/>
    </row>
    <row r="682" spans="3:19" hidden="1" x14ac:dyDescent="0.25">
      <c r="C682" s="17" t="s">
        <v>184</v>
      </c>
      <c r="D682" s="17" t="s">
        <v>185</v>
      </c>
      <c r="E682" s="162">
        <f>F4A!E682+F4B!E682</f>
        <v>9.2047388449818683</v>
      </c>
      <c r="F682" s="162">
        <f>F4A!F682+F4B!F682</f>
        <v>6.9637152397163167</v>
      </c>
      <c r="G682" s="162">
        <f>F4A!G682+F4B!G682</f>
        <v>4.905157598953565</v>
      </c>
      <c r="H682" s="162">
        <f>F4A!H682+F4B!H682</f>
        <v>6.9819030745539621</v>
      </c>
      <c r="I682" s="162">
        <f>F4A!I682+F4B!I682</f>
        <v>8.2348970238728008</v>
      </c>
      <c r="J682" s="162">
        <f>F4A!J682+F4B!J682</f>
        <v>9.5020785554627523</v>
      </c>
      <c r="K682" s="162">
        <f>F4A!K682+F4B!K682</f>
        <v>9.3305333250956579</v>
      </c>
      <c r="L682" s="162">
        <f>F4A!L682+F4B!L682</f>
        <v>6.8650820133621986</v>
      </c>
      <c r="M682" s="162">
        <f>F4A!M682+F4B!M682</f>
        <v>8.5080120735900504</v>
      </c>
      <c r="N682" s="162">
        <f>F4A!N682+F4B!N682</f>
        <v>7.2245334922171445</v>
      </c>
      <c r="O682" s="162">
        <f>F4A!O682+F4B!O682</f>
        <v>7.0707759226674671</v>
      </c>
      <c r="P682" s="162">
        <f>F4A!P682+F4B!P682</f>
        <v>8.7982512985744403</v>
      </c>
      <c r="Q682" s="167">
        <f t="shared" si="72"/>
        <v>93.589678463048216</v>
      </c>
      <c r="R682" s="166"/>
      <c r="S682" s="166"/>
    </row>
    <row r="683" spans="3:19" hidden="1" x14ac:dyDescent="0.25">
      <c r="C683" s="17" t="s">
        <v>186</v>
      </c>
      <c r="D683" s="17" t="s">
        <v>187</v>
      </c>
      <c r="E683" s="162">
        <f>F4A!E683+F4B!E683</f>
        <v>1.3611494243812505</v>
      </c>
      <c r="F683" s="162">
        <f>F4A!F683+F4B!F683</f>
        <v>1.3529009989687499</v>
      </c>
      <c r="G683" s="162">
        <f>F4A!G683+F4B!G683</f>
        <v>1.6379420766187502</v>
      </c>
      <c r="H683" s="162">
        <f>F4A!H683+F4B!H683</f>
        <v>1.5296246681624999</v>
      </c>
      <c r="I683" s="162">
        <f>F4A!I683+F4B!I683</f>
        <v>1.3806522221625002</v>
      </c>
      <c r="J683" s="162">
        <f>F4A!J683+F4B!J683</f>
        <v>1.5414928711875004</v>
      </c>
      <c r="K683" s="162">
        <f>F4A!K683+F4B!K683</f>
        <v>1.4922381269250005</v>
      </c>
      <c r="L683" s="162">
        <f>F4A!L683+F4B!L683</f>
        <v>1.5360133690125</v>
      </c>
      <c r="M683" s="162">
        <f>F4A!M683+F4B!M683</f>
        <v>1.2510488682562504</v>
      </c>
      <c r="N683" s="162">
        <f>F4A!N683+F4B!N683</f>
        <v>1.2755303796375004</v>
      </c>
      <c r="O683" s="162">
        <f>F4A!O683+F4B!O683</f>
        <v>1.4255907037312505</v>
      </c>
      <c r="P683" s="162">
        <f>F4A!P683+F4B!P683</f>
        <v>1.4221192178812503</v>
      </c>
      <c r="Q683" s="167">
        <f t="shared" si="72"/>
        <v>17.206302926925002</v>
      </c>
      <c r="R683" s="166"/>
      <c r="S683" s="166"/>
    </row>
    <row r="684" spans="3:19" hidden="1" x14ac:dyDescent="0.25">
      <c r="C684" s="17" t="s">
        <v>188</v>
      </c>
      <c r="D684" s="17" t="s">
        <v>189</v>
      </c>
      <c r="E684" s="162">
        <f>F4A!E684+F4B!E684</f>
        <v>0.63619940939624997</v>
      </c>
      <c r="F684" s="162">
        <f>F4A!F684+F4B!F684</f>
        <v>0.70281796605299995</v>
      </c>
      <c r="G684" s="162">
        <f>F4A!G684+F4B!G684</f>
        <v>0.72520016617124994</v>
      </c>
      <c r="H684" s="162">
        <f>F4A!H684+F4B!H684</f>
        <v>0.79093647366300002</v>
      </c>
      <c r="I684" s="162">
        <f>F4A!I684+F4B!I684</f>
        <v>0.83444874965549998</v>
      </c>
      <c r="J684" s="162">
        <f>F4A!J684+F4B!J684</f>
        <v>0.85073973539625014</v>
      </c>
      <c r="K684" s="162">
        <f>F4A!K684+F4B!K684</f>
        <v>0.91977645491549997</v>
      </c>
      <c r="L684" s="162">
        <f>F4A!L684+F4B!L684</f>
        <v>0.93930655643999994</v>
      </c>
      <c r="M684" s="162">
        <f>F4A!M684+F4B!M684</f>
        <v>1.0102518291442499</v>
      </c>
      <c r="N684" s="162">
        <f>F4A!N684+F4B!N684</f>
        <v>1.0542855573180003</v>
      </c>
      <c r="O684" s="162">
        <f>F4A!O684+F4B!O684</f>
        <v>1.0301623216132501</v>
      </c>
      <c r="P684" s="162">
        <f>F4A!P684+F4B!P684</f>
        <v>1.1415738741592503</v>
      </c>
      <c r="Q684" s="167">
        <f t="shared" si="72"/>
        <v>10.635699093925501</v>
      </c>
      <c r="R684" s="166"/>
      <c r="S684" s="166"/>
    </row>
    <row r="685" spans="3:19" hidden="1" x14ac:dyDescent="0.25">
      <c r="C685" s="17"/>
      <c r="D685" s="17"/>
      <c r="E685" s="162">
        <f>F4A!E685+F4B!E685</f>
        <v>0</v>
      </c>
      <c r="F685" s="162">
        <f>F4A!F685+F4B!F685</f>
        <v>0</v>
      </c>
      <c r="G685" s="162">
        <f>F4A!G685+F4B!G685</f>
        <v>0</v>
      </c>
      <c r="H685" s="162">
        <f>F4A!H685+F4B!H685</f>
        <v>0</v>
      </c>
      <c r="I685" s="162">
        <f>F4A!I685+F4B!I685</f>
        <v>0</v>
      </c>
      <c r="J685" s="162">
        <f>F4A!J685+F4B!J685</f>
        <v>0</v>
      </c>
      <c r="K685" s="162">
        <f>F4A!K685+F4B!K685</f>
        <v>0</v>
      </c>
      <c r="L685" s="162">
        <f>F4A!L685+F4B!L685</f>
        <v>0</v>
      </c>
      <c r="M685" s="162">
        <f>F4A!M685+F4B!M685</f>
        <v>0</v>
      </c>
      <c r="N685" s="162">
        <f>F4A!N685+F4B!N685</f>
        <v>0</v>
      </c>
      <c r="O685" s="162">
        <f>F4A!O685+F4B!O685</f>
        <v>0</v>
      </c>
      <c r="P685" s="162">
        <f>F4A!P685+F4B!P685</f>
        <v>0</v>
      </c>
      <c r="Q685" s="167">
        <f t="shared" si="72"/>
        <v>0</v>
      </c>
      <c r="R685" s="166"/>
      <c r="S685" s="166"/>
    </row>
    <row r="686" spans="3:19" hidden="1" x14ac:dyDescent="0.25">
      <c r="C686" s="17"/>
      <c r="D686" s="17"/>
      <c r="E686" s="162">
        <f>F4A!E686+F4B!E686</f>
        <v>0</v>
      </c>
      <c r="F686" s="162">
        <f>F4A!F686+F4B!F686</f>
        <v>0</v>
      </c>
      <c r="G686" s="162">
        <f>F4A!G686+F4B!G686</f>
        <v>0</v>
      </c>
      <c r="H686" s="162">
        <f>F4A!H686+F4B!H686</f>
        <v>0</v>
      </c>
      <c r="I686" s="162">
        <f>F4A!I686+F4B!I686</f>
        <v>0</v>
      </c>
      <c r="J686" s="162">
        <f>F4A!J686+F4B!J686</f>
        <v>0</v>
      </c>
      <c r="K686" s="162">
        <f>F4A!K686+F4B!K686</f>
        <v>0</v>
      </c>
      <c r="L686" s="162">
        <f>F4A!L686+F4B!L686</f>
        <v>0</v>
      </c>
      <c r="M686" s="162">
        <f>F4A!M686+F4B!M686</f>
        <v>0</v>
      </c>
      <c r="N686" s="162">
        <f>F4A!N686+F4B!N686</f>
        <v>0</v>
      </c>
      <c r="O686" s="162">
        <f>F4A!O686+F4B!O686</f>
        <v>0</v>
      </c>
      <c r="P686" s="162">
        <f>F4A!P686+F4B!P686</f>
        <v>0</v>
      </c>
      <c r="Q686" s="167">
        <f t="shared" si="72"/>
        <v>0</v>
      </c>
      <c r="R686" s="166"/>
      <c r="S686" s="166"/>
    </row>
    <row r="687" spans="3:19" hidden="1" x14ac:dyDescent="0.25">
      <c r="C687" s="17"/>
      <c r="D687" s="17"/>
      <c r="E687" s="162">
        <f>F4A!E687+F4B!E687</f>
        <v>0</v>
      </c>
      <c r="F687" s="162">
        <f>F4A!F687+F4B!F687</f>
        <v>0</v>
      </c>
      <c r="G687" s="162">
        <f>F4A!G687+F4B!G687</f>
        <v>0</v>
      </c>
      <c r="H687" s="162">
        <f>F4A!H687+F4B!H687</f>
        <v>0</v>
      </c>
      <c r="I687" s="162">
        <f>F4A!I687+F4B!I687</f>
        <v>0</v>
      </c>
      <c r="J687" s="162">
        <f>F4A!J687+F4B!J687</f>
        <v>0</v>
      </c>
      <c r="K687" s="162">
        <f>F4A!K687+F4B!K687</f>
        <v>0</v>
      </c>
      <c r="L687" s="162">
        <f>F4A!L687+F4B!L687</f>
        <v>0</v>
      </c>
      <c r="M687" s="162">
        <f>F4A!M687+F4B!M687</f>
        <v>0</v>
      </c>
      <c r="N687" s="162">
        <f>F4A!N687+F4B!N687</f>
        <v>0</v>
      </c>
      <c r="O687" s="162">
        <f>F4A!O687+F4B!O687</f>
        <v>0</v>
      </c>
      <c r="P687" s="162">
        <f>F4A!P687+F4B!P687</f>
        <v>0</v>
      </c>
      <c r="Q687" s="167">
        <f t="shared" si="72"/>
        <v>0</v>
      </c>
      <c r="R687" s="166"/>
      <c r="S687" s="166"/>
    </row>
    <row r="688" spans="3:19" hidden="1" x14ac:dyDescent="0.25">
      <c r="C688" s="17" t="s">
        <v>226</v>
      </c>
      <c r="D688" s="17" t="s">
        <v>226</v>
      </c>
      <c r="E688" s="162">
        <f>F4A!E688+F4B!E688</f>
        <v>0</v>
      </c>
      <c r="F688" s="162">
        <f>F4A!F688+F4B!F688</f>
        <v>0</v>
      </c>
      <c r="G688" s="162">
        <f>F4A!G688+F4B!G688</f>
        <v>0</v>
      </c>
      <c r="H688" s="162">
        <f>F4A!H688+F4B!H688</f>
        <v>0</v>
      </c>
      <c r="I688" s="162">
        <f>F4A!I688+F4B!I688</f>
        <v>0</v>
      </c>
      <c r="J688" s="162">
        <f>F4A!J688+F4B!J688</f>
        <v>0</v>
      </c>
      <c r="K688" s="162">
        <f>F4A!K688+F4B!K688</f>
        <v>0</v>
      </c>
      <c r="L688" s="162">
        <f>F4A!L688+F4B!L688</f>
        <v>0</v>
      </c>
      <c r="M688" s="162">
        <f>F4A!M688+F4B!M688</f>
        <v>0</v>
      </c>
      <c r="N688" s="162">
        <f>F4A!N688+F4B!N688</f>
        <v>0</v>
      </c>
      <c r="O688" s="162">
        <f>F4A!O688+F4B!O688</f>
        <v>0</v>
      </c>
      <c r="P688" s="162">
        <f>F4A!P688+F4B!P688</f>
        <v>0</v>
      </c>
      <c r="Q688" s="167">
        <f t="shared" si="72"/>
        <v>0</v>
      </c>
      <c r="R688" s="166"/>
      <c r="S688" s="166"/>
    </row>
    <row r="689" spans="3:19" hidden="1" x14ac:dyDescent="0.25">
      <c r="C689" s="751" t="s">
        <v>190</v>
      </c>
      <c r="D689" s="752"/>
      <c r="E689" s="167">
        <f t="shared" ref="E689:P689" si="73">SUM(E676:E688)</f>
        <v>1516.5999882596091</v>
      </c>
      <c r="F689" s="167">
        <f t="shared" si="73"/>
        <v>907.54908849162337</v>
      </c>
      <c r="G689" s="167">
        <f t="shared" si="73"/>
        <v>933.34739330915784</v>
      </c>
      <c r="H689" s="167">
        <f t="shared" si="73"/>
        <v>948.1763379613958</v>
      </c>
      <c r="I689" s="167">
        <f t="shared" si="73"/>
        <v>1362.9600959872714</v>
      </c>
      <c r="J689" s="167">
        <f t="shared" si="73"/>
        <v>1299.2101114807192</v>
      </c>
      <c r="K689" s="167">
        <f t="shared" si="73"/>
        <v>1111.2117767729633</v>
      </c>
      <c r="L689" s="167">
        <f t="shared" si="73"/>
        <v>989.85893743208419</v>
      </c>
      <c r="M689" s="167">
        <f t="shared" si="73"/>
        <v>1419.2424822745934</v>
      </c>
      <c r="N689" s="167">
        <f t="shared" si="73"/>
        <v>1546.8009818081052</v>
      </c>
      <c r="O689" s="167">
        <f t="shared" si="73"/>
        <v>1782.4094446256988</v>
      </c>
      <c r="P689" s="167">
        <f t="shared" si="73"/>
        <v>2024.0499406949318</v>
      </c>
      <c r="Q689" s="167">
        <f t="shared" si="72"/>
        <v>15841.416579098151</v>
      </c>
      <c r="R689" s="166"/>
      <c r="S689" s="166"/>
    </row>
    <row r="690" spans="3:19" hidden="1" x14ac:dyDescent="0.25">
      <c r="C690" s="753" t="s">
        <v>191</v>
      </c>
      <c r="D690" s="754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7">
        <f t="shared" si="72"/>
        <v>0</v>
      </c>
      <c r="R690" s="166"/>
      <c r="S690" s="166"/>
    </row>
    <row r="691" spans="3:19" hidden="1" x14ac:dyDescent="0.25">
      <c r="C691" s="17" t="s">
        <v>192</v>
      </c>
      <c r="D691" s="17" t="s">
        <v>193</v>
      </c>
      <c r="E691" s="162">
        <f>F4A!E691+F4B!E691</f>
        <v>127.07217044367792</v>
      </c>
      <c r="F691" s="162">
        <f>F4A!F691+F4B!F691</f>
        <v>113.91969789179653</v>
      </c>
      <c r="G691" s="162">
        <f>F4A!G691+F4B!G691</f>
        <v>123.22433799897712</v>
      </c>
      <c r="H691" s="162">
        <f>F4A!H691+F4B!H691</f>
        <v>122.35231820782462</v>
      </c>
      <c r="I691" s="162">
        <f>F4A!I691+F4B!I691</f>
        <v>127.45983918899994</v>
      </c>
      <c r="J691" s="162">
        <f>F4A!J691+F4B!J691</f>
        <v>121.87596672231884</v>
      </c>
      <c r="K691" s="162">
        <f>F4A!K691+F4B!K691</f>
        <v>127.50198529516767</v>
      </c>
      <c r="L691" s="162">
        <f>F4A!L691+F4B!L691</f>
        <v>133.6978007248029</v>
      </c>
      <c r="M691" s="162">
        <f>F4A!M691+F4B!M691</f>
        <v>150.38498007439182</v>
      </c>
      <c r="N691" s="162">
        <f>F4A!N691+F4B!N691</f>
        <v>158.76480952586257</v>
      </c>
      <c r="O691" s="162">
        <f>F4A!O691+F4B!O691</f>
        <v>143.46728142272514</v>
      </c>
      <c r="P691" s="162">
        <f>F4A!P691+F4B!P691</f>
        <v>124.21476579536115</v>
      </c>
      <c r="Q691" s="167">
        <f t="shared" si="72"/>
        <v>1573.9359532919061</v>
      </c>
      <c r="R691" s="166"/>
      <c r="S691" s="166"/>
    </row>
    <row r="692" spans="3:19" hidden="1" x14ac:dyDescent="0.25">
      <c r="C692" s="17" t="s">
        <v>194</v>
      </c>
      <c r="D692" s="17" t="s">
        <v>195</v>
      </c>
      <c r="E692" s="162">
        <f>F4A!E692+F4B!E692</f>
        <v>0</v>
      </c>
      <c r="F692" s="162">
        <f>F4A!F692+F4B!F692</f>
        <v>0</v>
      </c>
      <c r="G692" s="162">
        <f>F4A!G692+F4B!G692</f>
        <v>0</v>
      </c>
      <c r="H692" s="162">
        <f>F4A!H692+F4B!H692</f>
        <v>0</v>
      </c>
      <c r="I692" s="162">
        <f>F4A!I692+F4B!I692</f>
        <v>0</v>
      </c>
      <c r="J692" s="162">
        <f>F4A!J692+F4B!J692</f>
        <v>0</v>
      </c>
      <c r="K692" s="162">
        <f>F4A!K692+F4B!K692</f>
        <v>0</v>
      </c>
      <c r="L692" s="162">
        <f>F4A!L692+F4B!L692</f>
        <v>0</v>
      </c>
      <c r="M692" s="162">
        <f>F4A!M692+F4B!M692</f>
        <v>0</v>
      </c>
      <c r="N692" s="162">
        <f>F4A!N692+F4B!N692</f>
        <v>0</v>
      </c>
      <c r="O692" s="162">
        <f>F4A!O692+F4B!O692</f>
        <v>0</v>
      </c>
      <c r="P692" s="162">
        <f>F4A!P692+F4B!P692</f>
        <v>0</v>
      </c>
      <c r="Q692" s="167">
        <f t="shared" si="72"/>
        <v>0</v>
      </c>
      <c r="R692" s="166"/>
      <c r="S692" s="166"/>
    </row>
    <row r="693" spans="3:19" hidden="1" x14ac:dyDescent="0.25">
      <c r="C693" s="17" t="s">
        <v>233</v>
      </c>
      <c r="D693" s="17" t="s">
        <v>197</v>
      </c>
      <c r="E693" s="162">
        <f>F4A!E693+F4B!E693</f>
        <v>27.91072658900563</v>
      </c>
      <c r="F693" s="162">
        <f>F4A!F693+F4B!F693</f>
        <v>30.139566527246483</v>
      </c>
      <c r="G693" s="162">
        <f>F4A!G693+F4B!G693</f>
        <v>33.306342908134866</v>
      </c>
      <c r="H693" s="162">
        <f>F4A!H693+F4B!H693</f>
        <v>26.824651064001557</v>
      </c>
      <c r="I693" s="162">
        <f>F4A!I693+F4B!I693</f>
        <v>28.992993842982337</v>
      </c>
      <c r="J693" s="162">
        <f>F4A!J693+F4B!J693</f>
        <v>28.35629650955746</v>
      </c>
      <c r="K693" s="162">
        <f>F4A!K693+F4B!K693</f>
        <v>29.730074283025054</v>
      </c>
      <c r="L693" s="162">
        <f>F4A!L693+F4B!L693</f>
        <v>26.582396104226351</v>
      </c>
      <c r="M693" s="162">
        <f>F4A!M693+F4B!M693</f>
        <v>22.780366535012625</v>
      </c>
      <c r="N693" s="162">
        <f>F4A!N693+F4B!N693</f>
        <v>23.782384458459791</v>
      </c>
      <c r="O693" s="162">
        <f>F4A!O693+F4B!O693</f>
        <v>25.800985863464359</v>
      </c>
      <c r="P693" s="162">
        <f>F4A!P693+F4B!P693</f>
        <v>30.259185761855825</v>
      </c>
      <c r="Q693" s="167">
        <f t="shared" si="72"/>
        <v>334.46597044697234</v>
      </c>
      <c r="R693" s="166"/>
      <c r="S693" s="166"/>
    </row>
    <row r="694" spans="3:19" hidden="1" x14ac:dyDescent="0.25">
      <c r="C694" s="17" t="s">
        <v>198</v>
      </c>
      <c r="D694" s="17" t="s">
        <v>199</v>
      </c>
      <c r="E694" s="162">
        <f>F4A!E694+F4B!E694</f>
        <v>6.6234023870400021E-3</v>
      </c>
      <c r="F694" s="162">
        <f>F4A!F694+F4B!F694</f>
        <v>3.0418508560319999E-2</v>
      </c>
      <c r="G694" s="162">
        <f>F4A!G694+F4B!G694</f>
        <v>2.444781276576E-2</v>
      </c>
      <c r="H694" s="162">
        <f>F4A!H694+F4B!H694</f>
        <v>2.356021839456E-2</v>
      </c>
      <c r="I694" s="162">
        <f>F4A!I694+F4B!I694</f>
        <v>2.6345316342240001E-2</v>
      </c>
      <c r="J694" s="162">
        <f>F4A!J694+F4B!J694</f>
        <v>2.3849227781280007E-2</v>
      </c>
      <c r="K694" s="162">
        <f>F4A!K694+F4B!K694</f>
        <v>2.3204098213920003E-2</v>
      </c>
      <c r="L694" s="162">
        <f>F4A!L694+F4B!L694</f>
        <v>1.9433987000640002E-2</v>
      </c>
      <c r="M694" s="162">
        <f>F4A!M694+F4B!M694</f>
        <v>2.1617252667360004E-2</v>
      </c>
      <c r="N694" s="162">
        <f>F4A!N694+F4B!N694</f>
        <v>2.8281787476479997E-2</v>
      </c>
      <c r="O694" s="162">
        <f>F4A!O694+F4B!O694</f>
        <v>2.7950563235520004E-2</v>
      </c>
      <c r="P694" s="162">
        <f>F4A!P694+F4B!P694</f>
        <v>3.3683123954880004E-2</v>
      </c>
      <c r="Q694" s="167">
        <f t="shared" si="72"/>
        <v>0.28941529878</v>
      </c>
      <c r="R694" s="166"/>
      <c r="S694" s="166"/>
    </row>
    <row r="695" spans="3:19" hidden="1" x14ac:dyDescent="0.25">
      <c r="C695" s="17" t="s">
        <v>200</v>
      </c>
      <c r="D695" s="17" t="s">
        <v>201</v>
      </c>
      <c r="E695" s="162">
        <f>F4A!E695+F4B!E695</f>
        <v>0.85511268038948085</v>
      </c>
      <c r="F695" s="162">
        <f>F4A!F695+F4B!F695</f>
        <v>0.92891037562595202</v>
      </c>
      <c r="G695" s="162">
        <f>F4A!G695+F4B!G695</f>
        <v>1.0174036671935465</v>
      </c>
      <c r="H695" s="162">
        <f>F4A!H695+F4B!H695</f>
        <v>0.85803738004133789</v>
      </c>
      <c r="I695" s="162">
        <f>F4A!I695+F4B!I695</f>
        <v>0.81687706360323131</v>
      </c>
      <c r="J695" s="162">
        <f>F4A!J695+F4B!J695</f>
        <v>0.85014264117507032</v>
      </c>
      <c r="K695" s="162">
        <f>F4A!K695+F4B!K695</f>
        <v>0.85141794969168139</v>
      </c>
      <c r="L695" s="162">
        <f>F4A!L695+F4B!L695</f>
        <v>0.74546569635103954</v>
      </c>
      <c r="M695" s="162">
        <f>F4A!M695+F4B!M695</f>
        <v>0.67626573061374939</v>
      </c>
      <c r="N695" s="162">
        <f>F4A!N695+F4B!N695</f>
        <v>0.71130184772023441</v>
      </c>
      <c r="O695" s="162">
        <f>F4A!O695+F4B!O695</f>
        <v>0.73142902911909191</v>
      </c>
      <c r="P695" s="162">
        <f>F4A!P695+F4B!P695</f>
        <v>0.80048361677710211</v>
      </c>
      <c r="Q695" s="167">
        <f t="shared" si="72"/>
        <v>9.8428476783015171</v>
      </c>
      <c r="R695" s="166"/>
      <c r="S695" s="166"/>
    </row>
    <row r="696" spans="3:19" hidden="1" x14ac:dyDescent="0.25">
      <c r="C696" s="17" t="s">
        <v>202</v>
      </c>
      <c r="D696" s="17" t="s">
        <v>203</v>
      </c>
      <c r="E696" s="162">
        <f>F4A!E696+F4B!E696</f>
        <v>3.0345411264771065</v>
      </c>
      <c r="F696" s="162">
        <f>F4A!F696+F4B!F696</f>
        <v>0.31857597285728989</v>
      </c>
      <c r="G696" s="162">
        <f>F4A!G696+F4B!G696</f>
        <v>0.43703692485224388</v>
      </c>
      <c r="H696" s="162">
        <f>F4A!H696+F4B!H696</f>
        <v>1.0198769066631934</v>
      </c>
      <c r="I696" s="162">
        <f>F4A!I696+F4B!I696</f>
        <v>2.0676934154591393</v>
      </c>
      <c r="J696" s="162">
        <f>F4A!J696+F4B!J696</f>
        <v>1.4210893817860986</v>
      </c>
      <c r="K696" s="162">
        <f>F4A!K696+F4B!K696</f>
        <v>2.9528453914354618</v>
      </c>
      <c r="L696" s="162">
        <f>F4A!L696+F4B!L696</f>
        <v>1.2645133979944501</v>
      </c>
      <c r="M696" s="162">
        <f>F4A!M696+F4B!M696</f>
        <v>1.5459405924414455</v>
      </c>
      <c r="N696" s="162">
        <f>F4A!N696+F4B!N696</f>
        <v>3.9673207121874641</v>
      </c>
      <c r="O696" s="162">
        <f>F4A!O696+F4B!O696</f>
        <v>4.3202556275585149</v>
      </c>
      <c r="P696" s="162">
        <f>F4A!P696+F4B!P696</f>
        <v>4.7894431876885761</v>
      </c>
      <c r="Q696" s="167">
        <f t="shared" si="72"/>
        <v>27.139132637400984</v>
      </c>
      <c r="R696" s="166"/>
      <c r="S696" s="166"/>
    </row>
    <row r="697" spans="3:19" hidden="1" x14ac:dyDescent="0.25">
      <c r="C697" s="17" t="s">
        <v>204</v>
      </c>
      <c r="D697" s="17" t="s">
        <v>205</v>
      </c>
      <c r="E697" s="162">
        <f>F4A!E697+F4B!E697</f>
        <v>15.858544025464845</v>
      </c>
      <c r="F697" s="162">
        <f>F4A!F697+F4B!F697</f>
        <v>15.69543820653584</v>
      </c>
      <c r="G697" s="162">
        <f>F4A!G697+F4B!G697</f>
        <v>15.570458941705272</v>
      </c>
      <c r="H697" s="162">
        <f>F4A!H697+F4B!H697</f>
        <v>14.359181089448226</v>
      </c>
      <c r="I697" s="162">
        <f>F4A!I697+F4B!I697</f>
        <v>14.755239246029795</v>
      </c>
      <c r="J697" s="162">
        <f>F4A!J697+F4B!J697</f>
        <v>15.050088101856835</v>
      </c>
      <c r="K697" s="162">
        <f>F4A!K697+F4B!K697</f>
        <v>15.55795755090943</v>
      </c>
      <c r="L697" s="162">
        <f>F4A!L697+F4B!L697</f>
        <v>15.209441711661158</v>
      </c>
      <c r="M697" s="162">
        <f>F4A!M697+F4B!M697</f>
        <v>15.348063201325795</v>
      </c>
      <c r="N697" s="162">
        <f>F4A!N697+F4B!N697</f>
        <v>16.25840098020511</v>
      </c>
      <c r="O697" s="162">
        <f>F4A!O697+F4B!O697</f>
        <v>15.100674236079554</v>
      </c>
      <c r="P697" s="162">
        <f>F4A!P697+F4B!P697</f>
        <v>16.184662485254801</v>
      </c>
      <c r="Q697" s="167">
        <f t="shared" si="72"/>
        <v>184.94814977647664</v>
      </c>
      <c r="R697" s="166"/>
      <c r="S697" s="166"/>
    </row>
    <row r="698" spans="3:19" hidden="1" x14ac:dyDescent="0.25">
      <c r="C698" s="17" t="s">
        <v>206</v>
      </c>
      <c r="D698" s="17" t="s">
        <v>207</v>
      </c>
      <c r="E698" s="162">
        <f>F4A!E698+F4B!E698</f>
        <v>0.84092639105375999</v>
      </c>
      <c r="F698" s="162">
        <f>F4A!F698+F4B!F698</f>
        <v>0.90820387952640014</v>
      </c>
      <c r="G698" s="162">
        <f>F4A!G698+F4B!G698</f>
        <v>1.0111042103846402</v>
      </c>
      <c r="H698" s="162">
        <f>F4A!H698+F4B!H698</f>
        <v>0.77101642756800004</v>
      </c>
      <c r="I698" s="162">
        <f>F4A!I698+F4B!I698</f>
        <v>0.82759190927472004</v>
      </c>
      <c r="J698" s="162">
        <f>F4A!J698+F4B!J698</f>
        <v>0.77810202848735999</v>
      </c>
      <c r="K698" s="162">
        <f>F4A!K698+F4B!K698</f>
        <v>0.79058680102080015</v>
      </c>
      <c r="L698" s="162">
        <f>F4A!L698+F4B!L698</f>
        <v>0.71829440435087999</v>
      </c>
      <c r="M698" s="162">
        <f>F4A!M698+F4B!M698</f>
        <v>0.59791712383728013</v>
      </c>
      <c r="N698" s="162">
        <f>F4A!N698+F4B!N698</f>
        <v>0.67596048257328001</v>
      </c>
      <c r="O698" s="162">
        <f>F4A!O698+F4B!O698</f>
        <v>0.69012735468335995</v>
      </c>
      <c r="P698" s="162">
        <f>F4A!P698+F4B!P698</f>
        <v>0.81025784066448003</v>
      </c>
      <c r="Q698" s="167">
        <f t="shared" si="72"/>
        <v>9.4200888534249607</v>
      </c>
      <c r="R698" s="166"/>
      <c r="S698" s="166"/>
    </row>
    <row r="699" spans="3:19" hidden="1" x14ac:dyDescent="0.25">
      <c r="C699" s="17" t="s">
        <v>208</v>
      </c>
      <c r="D699" s="17" t="s">
        <v>187</v>
      </c>
      <c r="E699" s="162">
        <f>F4A!E699+F4B!E699</f>
        <v>1.6897848449760002</v>
      </c>
      <c r="F699" s="162">
        <f>F4A!F699+F4B!F699</f>
        <v>1.5834304730952</v>
      </c>
      <c r="G699" s="162">
        <f>F4A!G699+F4B!G699</f>
        <v>1.5098932794412803</v>
      </c>
      <c r="H699" s="162">
        <f>F4A!H699+F4B!H699</f>
        <v>1.4650881650424001</v>
      </c>
      <c r="I699" s="162">
        <f>F4A!I699+F4B!I699</f>
        <v>1.61285314406832</v>
      </c>
      <c r="J699" s="162">
        <f>F4A!J699+F4B!J699</f>
        <v>1.5953696998200002</v>
      </c>
      <c r="K699" s="162">
        <f>F4A!K699+F4B!K699</f>
        <v>1.5478725766392001</v>
      </c>
      <c r="L699" s="162">
        <f>F4A!L699+F4B!L699</f>
        <v>1.4734683548251202</v>
      </c>
      <c r="M699" s="162">
        <f>F4A!M699+F4B!M699</f>
        <v>1.4770198147420803</v>
      </c>
      <c r="N699" s="162">
        <f>F4A!N699+F4B!N699</f>
        <v>1.48740358645296</v>
      </c>
      <c r="O699" s="162">
        <f>F4A!O699+F4B!O699</f>
        <v>1.3518939043425604</v>
      </c>
      <c r="P699" s="162">
        <f>F4A!P699+F4B!P699</f>
        <v>1.2437870747947202</v>
      </c>
      <c r="Q699" s="167">
        <f t="shared" si="72"/>
        <v>18.037864918239844</v>
      </c>
      <c r="R699" s="166"/>
      <c r="S699" s="166"/>
    </row>
    <row r="700" spans="3:19" hidden="1" x14ac:dyDescent="0.25">
      <c r="C700" s="17" t="s">
        <v>209</v>
      </c>
      <c r="D700" s="17" t="s">
        <v>210</v>
      </c>
      <c r="E700" s="162">
        <f>F4A!E700+F4B!E700</f>
        <v>100.40545726120394</v>
      </c>
      <c r="F700" s="162">
        <f>F4A!F700+F4B!F700</f>
        <v>50.15187719326299</v>
      </c>
      <c r="G700" s="162">
        <f>F4A!G700+F4B!G700</f>
        <v>85.072836114619562</v>
      </c>
      <c r="H700" s="162">
        <f>F4A!H700+F4B!H700</f>
        <v>119.77582983341684</v>
      </c>
      <c r="I700" s="162">
        <f>F4A!I700+F4B!I700</f>
        <v>130.25275790493887</v>
      </c>
      <c r="J700" s="162">
        <f>F4A!J700+F4B!J700</f>
        <v>115.82093078049033</v>
      </c>
      <c r="K700" s="162">
        <f>F4A!K700+F4B!K700</f>
        <v>118.21055938070883</v>
      </c>
      <c r="L700" s="162">
        <f>F4A!L700+F4B!L700</f>
        <v>66.463109076028402</v>
      </c>
      <c r="M700" s="162">
        <f>F4A!M700+F4B!M700</f>
        <v>134.83483087486297</v>
      </c>
      <c r="N700" s="162">
        <f>F4A!N700+F4B!N700</f>
        <v>144.34790901647955</v>
      </c>
      <c r="O700" s="162">
        <f>F4A!O700+F4B!O700</f>
        <v>157.19963070451655</v>
      </c>
      <c r="P700" s="162">
        <f>F4A!P700+F4B!P700</f>
        <v>171.97553288974308</v>
      </c>
      <c r="Q700" s="167">
        <f t="shared" si="72"/>
        <v>1394.511261030272</v>
      </c>
      <c r="R700" s="166"/>
      <c r="S700" s="166"/>
    </row>
    <row r="701" spans="3:19" hidden="1" x14ac:dyDescent="0.25">
      <c r="C701" s="17" t="s">
        <v>211</v>
      </c>
      <c r="D701" s="17" t="s">
        <v>189</v>
      </c>
      <c r="E701" s="162">
        <f>F4A!E701+F4B!E701</f>
        <v>0</v>
      </c>
      <c r="F701" s="162">
        <f>F4A!F701+F4B!F701</f>
        <v>0</v>
      </c>
      <c r="G701" s="162">
        <f>F4A!G701+F4B!G701</f>
        <v>0</v>
      </c>
      <c r="H701" s="162">
        <f>F4A!H701+F4B!H701</f>
        <v>0</v>
      </c>
      <c r="I701" s="162">
        <f>F4A!I701+F4B!I701</f>
        <v>0</v>
      </c>
      <c r="J701" s="162">
        <f>F4A!J701+F4B!J701</f>
        <v>0</v>
      </c>
      <c r="K701" s="162">
        <f>F4A!K701+F4B!K701</f>
        <v>0</v>
      </c>
      <c r="L701" s="162">
        <f>F4A!L701+F4B!L701</f>
        <v>0</v>
      </c>
      <c r="M701" s="162">
        <f>F4A!M701+F4B!M701</f>
        <v>0</v>
      </c>
      <c r="N701" s="162">
        <f>F4A!N701+F4B!N701</f>
        <v>0</v>
      </c>
      <c r="O701" s="162">
        <f>F4A!O701+F4B!O701</f>
        <v>0</v>
      </c>
      <c r="P701" s="162">
        <f>F4A!P701+F4B!P701</f>
        <v>0</v>
      </c>
      <c r="Q701" s="167">
        <f t="shared" si="72"/>
        <v>0</v>
      </c>
      <c r="R701" s="166"/>
      <c r="S701" s="166"/>
    </row>
    <row r="702" spans="3:19" hidden="1" x14ac:dyDescent="0.25">
      <c r="C702" s="17"/>
      <c r="D702" s="17"/>
      <c r="E702" s="162">
        <f>F4A!E702+F4B!E702</f>
        <v>0</v>
      </c>
      <c r="F702" s="162">
        <f>F4A!F702+F4B!F702</f>
        <v>0</v>
      </c>
      <c r="G702" s="162">
        <f>F4A!G702+F4B!G702</f>
        <v>0</v>
      </c>
      <c r="H702" s="162">
        <f>F4A!H702+F4B!H702</f>
        <v>0</v>
      </c>
      <c r="I702" s="162">
        <f>F4A!I702+F4B!I702</f>
        <v>0</v>
      </c>
      <c r="J702" s="162">
        <f>F4A!J702+F4B!J702</f>
        <v>0</v>
      </c>
      <c r="K702" s="162">
        <f>F4A!K702+F4B!K702</f>
        <v>0</v>
      </c>
      <c r="L702" s="162">
        <f>F4A!L702+F4B!L702</f>
        <v>0</v>
      </c>
      <c r="M702" s="162">
        <f>F4A!M702+F4B!M702</f>
        <v>0</v>
      </c>
      <c r="N702" s="162">
        <f>F4A!N702+F4B!N702</f>
        <v>0</v>
      </c>
      <c r="O702" s="162">
        <f>F4A!O702+F4B!O702</f>
        <v>0</v>
      </c>
      <c r="P702" s="162">
        <f>F4A!P702+F4B!P702</f>
        <v>0</v>
      </c>
      <c r="Q702" s="167">
        <f t="shared" si="72"/>
        <v>0</v>
      </c>
      <c r="R702" s="166"/>
      <c r="S702" s="166"/>
    </row>
    <row r="703" spans="3:19" hidden="1" x14ac:dyDescent="0.25">
      <c r="C703" s="17"/>
      <c r="D703" s="17"/>
      <c r="E703" s="162">
        <f>F4A!E703+F4B!E703</f>
        <v>0</v>
      </c>
      <c r="F703" s="162">
        <f>F4A!F703+F4B!F703</f>
        <v>0</v>
      </c>
      <c r="G703" s="162">
        <f>F4A!G703+F4B!G703</f>
        <v>0</v>
      </c>
      <c r="H703" s="162">
        <f>F4A!H703+F4B!H703</f>
        <v>0</v>
      </c>
      <c r="I703" s="162">
        <f>F4A!I703+F4B!I703</f>
        <v>0</v>
      </c>
      <c r="J703" s="162">
        <f>F4A!J703+F4B!J703</f>
        <v>0</v>
      </c>
      <c r="K703" s="162">
        <f>F4A!K703+F4B!K703</f>
        <v>0</v>
      </c>
      <c r="L703" s="162">
        <f>F4A!L703+F4B!L703</f>
        <v>0</v>
      </c>
      <c r="M703" s="162">
        <f>F4A!M703+F4B!M703</f>
        <v>0</v>
      </c>
      <c r="N703" s="162">
        <f>F4A!N703+F4B!N703</f>
        <v>0</v>
      </c>
      <c r="O703" s="162">
        <f>F4A!O703+F4B!O703</f>
        <v>0</v>
      </c>
      <c r="P703" s="162">
        <f>F4A!P703+F4B!P703</f>
        <v>0</v>
      </c>
      <c r="Q703" s="167">
        <f t="shared" si="72"/>
        <v>0</v>
      </c>
      <c r="R703" s="166"/>
      <c r="S703" s="166"/>
    </row>
    <row r="704" spans="3:19" hidden="1" x14ac:dyDescent="0.25">
      <c r="C704" s="17"/>
      <c r="D704" s="17"/>
      <c r="E704" s="162">
        <f>F4A!E704+F4B!E704</f>
        <v>0</v>
      </c>
      <c r="F704" s="162">
        <f>F4A!F704+F4B!F704</f>
        <v>0</v>
      </c>
      <c r="G704" s="162">
        <f>F4A!G704+F4B!G704</f>
        <v>0</v>
      </c>
      <c r="H704" s="162">
        <f>F4A!H704+F4B!H704</f>
        <v>0</v>
      </c>
      <c r="I704" s="162">
        <f>F4A!I704+F4B!I704</f>
        <v>0</v>
      </c>
      <c r="J704" s="162">
        <f>F4A!J704+F4B!J704</f>
        <v>0</v>
      </c>
      <c r="K704" s="162">
        <f>F4A!K704+F4B!K704</f>
        <v>0</v>
      </c>
      <c r="L704" s="162">
        <f>F4A!L704+F4B!L704</f>
        <v>0</v>
      </c>
      <c r="M704" s="162">
        <f>F4A!M704+F4B!M704</f>
        <v>0</v>
      </c>
      <c r="N704" s="162">
        <f>F4A!N704+F4B!N704</f>
        <v>0</v>
      </c>
      <c r="O704" s="162">
        <f>F4A!O704+F4B!O704</f>
        <v>0</v>
      </c>
      <c r="P704" s="162">
        <f>F4A!P704+F4B!P704</f>
        <v>0</v>
      </c>
      <c r="Q704" s="167">
        <f t="shared" si="72"/>
        <v>0</v>
      </c>
      <c r="R704" s="166"/>
      <c r="S704" s="166"/>
    </row>
    <row r="705" spans="3:19" hidden="1" x14ac:dyDescent="0.25">
      <c r="C705" s="17" t="s">
        <v>226</v>
      </c>
      <c r="D705" s="17" t="s">
        <v>226</v>
      </c>
      <c r="E705" s="162">
        <f>F4A!E705+F4B!E705</f>
        <v>0</v>
      </c>
      <c r="F705" s="162">
        <f>F4A!F705+F4B!F705</f>
        <v>0</v>
      </c>
      <c r="G705" s="162">
        <f>F4A!G705+F4B!G705</f>
        <v>0</v>
      </c>
      <c r="H705" s="162">
        <f>F4A!H705+F4B!H705</f>
        <v>0</v>
      </c>
      <c r="I705" s="162">
        <f>F4A!I705+F4B!I705</f>
        <v>0</v>
      </c>
      <c r="J705" s="162">
        <f>F4A!J705+F4B!J705</f>
        <v>0</v>
      </c>
      <c r="K705" s="162">
        <f>F4A!K705+F4B!K705</f>
        <v>0</v>
      </c>
      <c r="L705" s="162">
        <f>F4A!L705+F4B!L705</f>
        <v>0</v>
      </c>
      <c r="M705" s="162">
        <f>F4A!M705+F4B!M705</f>
        <v>0</v>
      </c>
      <c r="N705" s="162">
        <f>F4A!N705+F4B!N705</f>
        <v>0</v>
      </c>
      <c r="O705" s="162">
        <f>F4A!O705+F4B!O705</f>
        <v>0</v>
      </c>
      <c r="P705" s="162">
        <f>F4A!P705+F4B!P705</f>
        <v>0</v>
      </c>
      <c r="Q705" s="167">
        <f t="shared" si="72"/>
        <v>0</v>
      </c>
      <c r="R705" s="166"/>
      <c r="S705" s="166"/>
    </row>
    <row r="706" spans="3:19" hidden="1" x14ac:dyDescent="0.25">
      <c r="C706" s="751" t="s">
        <v>212</v>
      </c>
      <c r="D706" s="752"/>
      <c r="E706" s="167">
        <f t="shared" ref="E706:P706" si="74">SUM(E691:E705)</f>
        <v>277.67388676463577</v>
      </c>
      <c r="F706" s="167">
        <f t="shared" si="74"/>
        <v>213.67611902850706</v>
      </c>
      <c r="G706" s="167">
        <f t="shared" si="74"/>
        <v>261.1738618580743</v>
      </c>
      <c r="H706" s="167">
        <f t="shared" si="74"/>
        <v>287.44955929240069</v>
      </c>
      <c r="I706" s="167">
        <f t="shared" si="74"/>
        <v>306.8121910316986</v>
      </c>
      <c r="J706" s="167">
        <f t="shared" si="74"/>
        <v>285.77183509327324</v>
      </c>
      <c r="K706" s="167">
        <f t="shared" si="74"/>
        <v>297.16650332681206</v>
      </c>
      <c r="L706" s="167">
        <f t="shared" si="74"/>
        <v>246.1739234572409</v>
      </c>
      <c r="M706" s="167">
        <f t="shared" si="74"/>
        <v>327.66700119989514</v>
      </c>
      <c r="N706" s="167">
        <f t="shared" si="74"/>
        <v>350.02377239741747</v>
      </c>
      <c r="O706" s="167">
        <f t="shared" si="74"/>
        <v>348.69022870572462</v>
      </c>
      <c r="P706" s="167">
        <f t="shared" si="74"/>
        <v>350.31180177609463</v>
      </c>
      <c r="Q706" s="167">
        <f t="shared" si="72"/>
        <v>3552.5906839317749</v>
      </c>
      <c r="R706" s="166"/>
      <c r="S706" s="166"/>
    </row>
    <row r="707" spans="3:19" hidden="1" x14ac:dyDescent="0.25">
      <c r="C707" s="753" t="s">
        <v>213</v>
      </c>
      <c r="D707" s="754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7">
        <f t="shared" ref="Q707:Q738" si="75">SUM(E707:P707)</f>
        <v>0</v>
      </c>
      <c r="R707" s="166"/>
      <c r="S707" s="166"/>
    </row>
    <row r="708" spans="3:19" hidden="1" x14ac:dyDescent="0.25">
      <c r="C708" s="17" t="s">
        <v>192</v>
      </c>
      <c r="D708" s="17" t="s">
        <v>193</v>
      </c>
      <c r="E708" s="162">
        <f>F4A!E708+F4B!E708</f>
        <v>19.476915747760884</v>
      </c>
      <c r="F708" s="162">
        <f>F4A!F708+F4B!F708</f>
        <v>19.132073237289561</v>
      </c>
      <c r="G708" s="162">
        <f>F4A!G708+F4B!G708</f>
        <v>16.653384970981755</v>
      </c>
      <c r="H708" s="162">
        <f>F4A!H708+F4B!H708</f>
        <v>17.033735970999459</v>
      </c>
      <c r="I708" s="162">
        <f>F4A!I708+F4B!I708</f>
        <v>17.109672004866894</v>
      </c>
      <c r="J708" s="162">
        <f>F4A!J708+F4B!J708</f>
        <v>17.571207955632843</v>
      </c>
      <c r="K708" s="162">
        <f>F4A!K708+F4B!K708</f>
        <v>15.793412247348535</v>
      </c>
      <c r="L708" s="162">
        <f>F4A!L708+F4B!L708</f>
        <v>17.743415966678683</v>
      </c>
      <c r="M708" s="162">
        <f>F4A!M708+F4B!M708</f>
        <v>18.154575198892033</v>
      </c>
      <c r="N708" s="162">
        <f>F4A!N708+F4B!N708</f>
        <v>19.320612199206192</v>
      </c>
      <c r="O708" s="162">
        <f>F4A!O708+F4B!O708</f>
        <v>19.532967871573931</v>
      </c>
      <c r="P708" s="162">
        <f>F4A!P708+F4B!P708</f>
        <v>20.300414485075891</v>
      </c>
      <c r="Q708" s="167">
        <f t="shared" si="75"/>
        <v>217.82238785630665</v>
      </c>
      <c r="R708" s="166"/>
      <c r="S708" s="166"/>
    </row>
    <row r="709" spans="3:19" hidden="1" x14ac:dyDescent="0.25">
      <c r="C709" s="17" t="s">
        <v>194</v>
      </c>
      <c r="D709" s="17" t="s">
        <v>195</v>
      </c>
      <c r="E709" s="162">
        <f>F4A!E709+F4B!E709</f>
        <v>4.4975814975E-3</v>
      </c>
      <c r="F709" s="162">
        <f>F4A!F709+F4B!F709</f>
        <v>2.9519437500000007E-3</v>
      </c>
      <c r="G709" s="162">
        <f>F4A!G709+F4B!G709</f>
        <v>2.4796327499999999E-3</v>
      </c>
      <c r="H709" s="162">
        <f>F4A!H709+F4B!H709</f>
        <v>2.9519437500000007E-3</v>
      </c>
      <c r="I709" s="162">
        <f>F4A!I709+F4B!I709</f>
        <v>2.5977105000000011E-3</v>
      </c>
      <c r="J709" s="162">
        <f>F4A!J709+F4B!J709</f>
        <v>3.0700215000000002E-3</v>
      </c>
      <c r="K709" s="162">
        <f>F4A!K709+F4B!K709</f>
        <v>2.8338659999999996E-3</v>
      </c>
      <c r="L709" s="162">
        <f>F4A!L709+F4B!L709</f>
        <v>2.9519437500000007E-3</v>
      </c>
      <c r="M709" s="162">
        <f>F4A!M709+F4B!M709</f>
        <v>2.1253995000000006E-3</v>
      </c>
      <c r="N709" s="162">
        <f>F4A!N709+F4B!N709</f>
        <v>2.4796327499999999E-3</v>
      </c>
      <c r="O709" s="162">
        <f>F4A!O709+F4B!O709</f>
        <v>2.3615550000000005E-4</v>
      </c>
      <c r="P709" s="162">
        <f>F4A!P709+F4B!P709</f>
        <v>9.4462200000000021E-4</v>
      </c>
      <c r="Q709" s="167">
        <f t="shared" si="75"/>
        <v>3.0120453247500005E-2</v>
      </c>
      <c r="R709" s="166"/>
      <c r="S709" s="166"/>
    </row>
    <row r="710" spans="3:19" hidden="1" x14ac:dyDescent="0.25">
      <c r="C710" s="17" t="s">
        <v>233</v>
      </c>
      <c r="D710" s="17" t="s">
        <v>197</v>
      </c>
      <c r="E710" s="162">
        <f>F4A!E710+F4B!E710</f>
        <v>2.1014069208443908</v>
      </c>
      <c r="F710" s="162">
        <f>F4A!F710+F4B!F710</f>
        <v>1.8884212226664712</v>
      </c>
      <c r="G710" s="162">
        <f>F4A!G710+F4B!G710</f>
        <v>2.0677927498607644</v>
      </c>
      <c r="H710" s="162">
        <f>F4A!H710+F4B!H710</f>
        <v>2.2028002307091872</v>
      </c>
      <c r="I710" s="162">
        <f>F4A!I710+F4B!I710</f>
        <v>2.7471369503111136</v>
      </c>
      <c r="J710" s="162">
        <f>F4A!J710+F4B!J710</f>
        <v>2.4735371409033675</v>
      </c>
      <c r="K710" s="162">
        <f>F4A!K710+F4B!K710</f>
        <v>2.5957564866233689</v>
      </c>
      <c r="L710" s="162">
        <f>F4A!L710+F4B!L710</f>
        <v>2.2069125364817168</v>
      </c>
      <c r="M710" s="162">
        <f>F4A!M710+F4B!M710</f>
        <v>1.7464164427184565</v>
      </c>
      <c r="N710" s="162">
        <f>F4A!N710+F4B!N710</f>
        <v>1.6256117426315932</v>
      </c>
      <c r="O710" s="162">
        <f>F4A!O710+F4B!O710</f>
        <v>1.8238363947013081</v>
      </c>
      <c r="P710" s="162">
        <f>F4A!P710+F4B!P710</f>
        <v>2.0172407958125302</v>
      </c>
      <c r="Q710" s="167">
        <f t="shared" si="75"/>
        <v>25.496869614264266</v>
      </c>
      <c r="R710" s="166"/>
      <c r="S710" s="166"/>
    </row>
    <row r="711" spans="3:19" hidden="1" x14ac:dyDescent="0.25">
      <c r="C711" s="17" t="s">
        <v>198</v>
      </c>
      <c r="D711" s="17" t="s">
        <v>199</v>
      </c>
      <c r="E711" s="162">
        <f>F4A!E711+F4B!E711</f>
        <v>0</v>
      </c>
      <c r="F711" s="162">
        <f>F4A!F711+F4B!F711</f>
        <v>0</v>
      </c>
      <c r="G711" s="162">
        <f>F4A!G711+F4B!G711</f>
        <v>0</v>
      </c>
      <c r="H711" s="162">
        <f>F4A!H711+F4B!H711</f>
        <v>0</v>
      </c>
      <c r="I711" s="162">
        <f>F4A!I711+F4B!I711</f>
        <v>0</v>
      </c>
      <c r="J711" s="162">
        <f>F4A!J711+F4B!J711</f>
        <v>0</v>
      </c>
      <c r="K711" s="162">
        <f>F4A!K711+F4B!K711</f>
        <v>0</v>
      </c>
      <c r="L711" s="162">
        <f>F4A!L711+F4B!L711</f>
        <v>0</v>
      </c>
      <c r="M711" s="162">
        <f>F4A!M711+F4B!M711</f>
        <v>0</v>
      </c>
      <c r="N711" s="162">
        <f>F4A!N711+F4B!N711</f>
        <v>0</v>
      </c>
      <c r="O711" s="162">
        <f>F4A!O711+F4B!O711</f>
        <v>0</v>
      </c>
      <c r="P711" s="162">
        <f>F4A!P711+F4B!P711</f>
        <v>0</v>
      </c>
      <c r="Q711" s="167">
        <f t="shared" si="75"/>
        <v>0</v>
      </c>
      <c r="R711" s="166"/>
      <c r="S711" s="166"/>
    </row>
    <row r="712" spans="3:19" hidden="1" x14ac:dyDescent="0.25">
      <c r="C712" s="17" t="s">
        <v>200</v>
      </c>
      <c r="D712" s="17" t="s">
        <v>201</v>
      </c>
      <c r="E712" s="162">
        <f>F4A!E712+F4B!E712</f>
        <v>0</v>
      </c>
      <c r="F712" s="162">
        <f>F4A!F712+F4B!F712</f>
        <v>0</v>
      </c>
      <c r="G712" s="162">
        <f>F4A!G712+F4B!G712</f>
        <v>0</v>
      </c>
      <c r="H712" s="162">
        <f>F4A!H712+F4B!H712</f>
        <v>0</v>
      </c>
      <c r="I712" s="162">
        <f>F4A!I712+F4B!I712</f>
        <v>0</v>
      </c>
      <c r="J712" s="162">
        <f>F4A!J712+F4B!J712</f>
        <v>0</v>
      </c>
      <c r="K712" s="162">
        <f>F4A!K712+F4B!K712</f>
        <v>0</v>
      </c>
      <c r="L712" s="162">
        <f>F4A!L712+F4B!L712</f>
        <v>0</v>
      </c>
      <c r="M712" s="162">
        <f>F4A!M712+F4B!M712</f>
        <v>0</v>
      </c>
      <c r="N712" s="162">
        <f>F4A!N712+F4B!N712</f>
        <v>0</v>
      </c>
      <c r="O712" s="162">
        <f>F4A!O712+F4B!O712</f>
        <v>0</v>
      </c>
      <c r="P712" s="162">
        <f>F4A!P712+F4B!P712</f>
        <v>0</v>
      </c>
      <c r="Q712" s="167">
        <f t="shared" si="75"/>
        <v>0</v>
      </c>
      <c r="R712" s="166"/>
      <c r="S712" s="166"/>
    </row>
    <row r="713" spans="3:19" hidden="1" x14ac:dyDescent="0.25">
      <c r="C713" s="17" t="s">
        <v>202</v>
      </c>
      <c r="D713" s="17" t="s">
        <v>203</v>
      </c>
      <c r="E713" s="162">
        <f>F4A!E713+F4B!E713</f>
        <v>3.8139609494147271</v>
      </c>
      <c r="F713" s="162">
        <f>F4A!F713+F4B!F713</f>
        <v>3.781290339158514</v>
      </c>
      <c r="G713" s="162">
        <f>F4A!G713+F4B!G713</f>
        <v>0.13921109480720523</v>
      </c>
      <c r="H713" s="162">
        <f>F4A!H713+F4B!H713</f>
        <v>0.51748960579000924</v>
      </c>
      <c r="I713" s="162">
        <f>F4A!I713+F4B!I713</f>
        <v>0.45620964898346639</v>
      </c>
      <c r="J713" s="162">
        <f>F4A!J713+F4B!J713</f>
        <v>3.7760727434252614</v>
      </c>
      <c r="K713" s="162">
        <f>F4A!K713+F4B!K713</f>
        <v>2.3299018629126804</v>
      </c>
      <c r="L713" s="162">
        <f>F4A!L713+F4B!L713</f>
        <v>1.2324243154143546</v>
      </c>
      <c r="M713" s="162">
        <f>F4A!M713+F4B!M713</f>
        <v>0.52087963285561434</v>
      </c>
      <c r="N713" s="162">
        <f>F4A!N713+F4B!N713</f>
        <v>8.3895611410714519</v>
      </c>
      <c r="O713" s="162">
        <f>F4A!O713+F4B!O713</f>
        <v>6.8452035698251175</v>
      </c>
      <c r="P713" s="162">
        <f>F4A!P713+F4B!P713</f>
        <v>4.9661640253498236</v>
      </c>
      <c r="Q713" s="167">
        <f t="shared" si="75"/>
        <v>36.768368929008226</v>
      </c>
      <c r="R713" s="166"/>
      <c r="S713" s="166"/>
    </row>
    <row r="714" spans="3:19" hidden="1" x14ac:dyDescent="0.25">
      <c r="C714" s="17" t="s">
        <v>204</v>
      </c>
      <c r="D714" s="17" t="s">
        <v>205</v>
      </c>
      <c r="E714" s="162">
        <f>F4A!E714+F4B!E714</f>
        <v>36.151842746867345</v>
      </c>
      <c r="F714" s="162">
        <f>F4A!F714+F4B!F714</f>
        <v>37.045477015609023</v>
      </c>
      <c r="G714" s="162">
        <f>F4A!G714+F4B!G714</f>
        <v>37.110711004782914</v>
      </c>
      <c r="H714" s="162">
        <f>F4A!H714+F4B!H714</f>
        <v>35.738218679938505</v>
      </c>
      <c r="I714" s="162">
        <f>F4A!I714+F4B!I714</f>
        <v>36.619878147288738</v>
      </c>
      <c r="J714" s="162">
        <f>F4A!J714+F4B!J714</f>
        <v>33.385511467067865</v>
      </c>
      <c r="K714" s="162">
        <f>F4A!K714+F4B!K714</f>
        <v>37.30454324019027</v>
      </c>
      <c r="L714" s="162">
        <f>F4A!L714+F4B!L714</f>
        <v>37.328168488909128</v>
      </c>
      <c r="M714" s="162">
        <f>F4A!M714+F4B!M714</f>
        <v>36.960151859448814</v>
      </c>
      <c r="N714" s="162">
        <f>F4A!N714+F4B!N714</f>
        <v>38.53678186214465</v>
      </c>
      <c r="O714" s="162">
        <f>F4A!O714+F4B!O714</f>
        <v>34.6852940051117</v>
      </c>
      <c r="P714" s="162">
        <f>F4A!P714+F4B!P714</f>
        <v>46.238716888074563</v>
      </c>
      <c r="Q714" s="167">
        <f t="shared" si="75"/>
        <v>447.10529540543354</v>
      </c>
      <c r="R714" s="166"/>
      <c r="S714" s="166"/>
    </row>
    <row r="715" spans="3:19" hidden="1" x14ac:dyDescent="0.25">
      <c r="C715" s="17" t="s">
        <v>206</v>
      </c>
      <c r="D715" s="17" t="s">
        <v>207</v>
      </c>
      <c r="E715" s="162">
        <f>F4A!E715+F4B!E715</f>
        <v>3.2626258842499203</v>
      </c>
      <c r="F715" s="162">
        <f>F4A!F715+F4B!F715</f>
        <v>4.0519808774726398</v>
      </c>
      <c r="G715" s="162">
        <f>F4A!G715+F4B!G715</f>
        <v>4.3275951662126415</v>
      </c>
      <c r="H715" s="162">
        <f>F4A!H715+F4B!H715</f>
        <v>3.4779551962708801</v>
      </c>
      <c r="I715" s="162">
        <f>F4A!I715+F4B!I715</f>
        <v>3.4429320213019206</v>
      </c>
      <c r="J715" s="162">
        <f>F4A!J715+F4B!J715</f>
        <v>3.5314500760502407</v>
      </c>
      <c r="K715" s="162">
        <f>F4A!K715+F4B!K715</f>
        <v>1.8873720114624002</v>
      </c>
      <c r="L715" s="162">
        <f>F4A!L715+F4B!L715</f>
        <v>1.3893709530182401</v>
      </c>
      <c r="M715" s="162">
        <f>F4A!M715+F4B!M715</f>
        <v>0.68887606310639993</v>
      </c>
      <c r="N715" s="162">
        <f>F4A!N715+F4B!N715</f>
        <v>1.9110404730729604</v>
      </c>
      <c r="O715" s="162">
        <f>F4A!O715+F4B!O715</f>
        <v>2.4054013121630402</v>
      </c>
      <c r="P715" s="162">
        <f>F4A!P715+F4B!P715</f>
        <v>3.4866903118263397</v>
      </c>
      <c r="Q715" s="167">
        <f t="shared" si="75"/>
        <v>33.86329034620762</v>
      </c>
      <c r="R715" s="166"/>
      <c r="S715" s="166"/>
    </row>
    <row r="716" spans="3:19" hidden="1" x14ac:dyDescent="0.25">
      <c r="C716" s="17" t="s">
        <v>214</v>
      </c>
      <c r="D716" s="17" t="s">
        <v>187</v>
      </c>
      <c r="E716" s="162">
        <f>F4A!E716+F4B!E716</f>
        <v>0.56564549141903986</v>
      </c>
      <c r="F716" s="162">
        <f>F4A!F716+F4B!F716</f>
        <v>0.45251942394528005</v>
      </c>
      <c r="G716" s="162">
        <f>F4A!G716+F4B!G716</f>
        <v>0.52779392121599988</v>
      </c>
      <c r="H716" s="162">
        <f>F4A!H716+F4B!H716</f>
        <v>0.44947454227919997</v>
      </c>
      <c r="I716" s="162">
        <f>F4A!I716+F4B!I716</f>
        <v>0.48300179600304</v>
      </c>
      <c r="J716" s="162">
        <f>F4A!J716+F4B!J716</f>
        <v>0.64823073549840005</v>
      </c>
      <c r="K716" s="162">
        <f>F4A!K716+F4B!K716</f>
        <v>0.6955470925084799</v>
      </c>
      <c r="L716" s="162">
        <f>F4A!L716+F4B!L716</f>
        <v>0.70669506132432014</v>
      </c>
      <c r="M716" s="162">
        <f>F4A!M716+F4B!M716</f>
        <v>0.83501089929936012</v>
      </c>
      <c r="N716" s="162">
        <f>F4A!N716+F4B!N716</f>
        <v>0.78049312112879998</v>
      </c>
      <c r="O716" s="162">
        <f>F4A!O716+F4B!O716</f>
        <v>0.73545744867983986</v>
      </c>
      <c r="P716" s="162">
        <f>F4A!P716+F4B!P716</f>
        <v>0.7212949062984001</v>
      </c>
      <c r="Q716" s="167">
        <f t="shared" si="75"/>
        <v>7.6011644396001605</v>
      </c>
      <c r="R716" s="166"/>
      <c r="S716" s="166"/>
    </row>
    <row r="717" spans="3:19" hidden="1" x14ac:dyDescent="0.25">
      <c r="C717" s="17" t="s">
        <v>209</v>
      </c>
      <c r="D717" s="17" t="s">
        <v>210</v>
      </c>
      <c r="E717" s="162">
        <f>F4A!E717+F4B!E717</f>
        <v>0</v>
      </c>
      <c r="F717" s="162">
        <f>F4A!F717+F4B!F717</f>
        <v>0</v>
      </c>
      <c r="G717" s="162">
        <f>F4A!G717+F4B!G717</f>
        <v>0</v>
      </c>
      <c r="H717" s="162">
        <f>F4A!H717+F4B!H717</f>
        <v>0</v>
      </c>
      <c r="I717" s="162">
        <f>F4A!I717+F4B!I717</f>
        <v>0</v>
      </c>
      <c r="J717" s="162">
        <f>F4A!J717+F4B!J717</f>
        <v>0</v>
      </c>
      <c r="K717" s="162">
        <f>F4A!K717+F4B!K717</f>
        <v>0</v>
      </c>
      <c r="L717" s="162">
        <f>F4A!L717+F4B!L717</f>
        <v>0</v>
      </c>
      <c r="M717" s="162">
        <f>F4A!M717+F4B!M717</f>
        <v>0</v>
      </c>
      <c r="N717" s="162">
        <f>F4A!N717+F4B!N717</f>
        <v>0</v>
      </c>
      <c r="O717" s="162">
        <f>F4A!O717+F4B!O717</f>
        <v>0</v>
      </c>
      <c r="P717" s="162">
        <f>F4A!P717+F4B!P717</f>
        <v>0</v>
      </c>
      <c r="Q717" s="167">
        <f t="shared" si="75"/>
        <v>0</v>
      </c>
      <c r="R717" s="166"/>
      <c r="S717" s="166"/>
    </row>
    <row r="718" spans="3:19" hidden="1" x14ac:dyDescent="0.25">
      <c r="C718" s="17" t="s">
        <v>211</v>
      </c>
      <c r="D718" s="17" t="s">
        <v>189</v>
      </c>
      <c r="E718" s="162">
        <f>F4A!E718+F4B!E718</f>
        <v>6.9551999999999996</v>
      </c>
      <c r="F718" s="162">
        <f>F4A!F718+F4B!F718</f>
        <v>7.1870399999999997</v>
      </c>
      <c r="G718" s="162">
        <f>F4A!G718+F4B!G718</f>
        <v>6.9551999999999996</v>
      </c>
      <c r="H718" s="162">
        <f>F4A!H718+F4B!H718</f>
        <v>7.1870399999999997</v>
      </c>
      <c r="I718" s="162">
        <f>F4A!I718+F4B!I718</f>
        <v>7.1870399999999997</v>
      </c>
      <c r="J718" s="162">
        <f>F4A!J718+F4B!J718</f>
        <v>6.9551999999999996</v>
      </c>
      <c r="K718" s="162">
        <f>F4A!K718+F4B!K718</f>
        <v>7.1870399999999997</v>
      </c>
      <c r="L718" s="162">
        <f>F4A!L718+F4B!L718</f>
        <v>6.9551999999999996</v>
      </c>
      <c r="M718" s="162">
        <f>F4A!M718+F4B!M718</f>
        <v>7.1870399999999997</v>
      </c>
      <c r="N718" s="162">
        <f>F4A!N718+F4B!N718</f>
        <v>7.1870399999999997</v>
      </c>
      <c r="O718" s="162">
        <f>F4A!O718+F4B!O718</f>
        <v>6.4915200000000004</v>
      </c>
      <c r="P718" s="162">
        <f>F4A!P718+F4B!P718</f>
        <v>7.1870399999999997</v>
      </c>
      <c r="Q718" s="167">
        <f t="shared" si="75"/>
        <v>84.621599999999987</v>
      </c>
      <c r="R718" s="166"/>
      <c r="S718" s="166"/>
    </row>
    <row r="719" spans="3:19" hidden="1" x14ac:dyDescent="0.25">
      <c r="C719" s="17"/>
      <c r="D719" s="17"/>
      <c r="E719" s="162">
        <f>F4A!E719+F4B!E719</f>
        <v>0</v>
      </c>
      <c r="F719" s="162">
        <f>F4A!F719+F4B!F719</f>
        <v>0</v>
      </c>
      <c r="G719" s="162">
        <f>F4A!G719+F4B!G719</f>
        <v>0</v>
      </c>
      <c r="H719" s="162">
        <f>F4A!H719+F4B!H719</f>
        <v>0</v>
      </c>
      <c r="I719" s="162">
        <f>F4A!I719+F4B!I719</f>
        <v>0</v>
      </c>
      <c r="J719" s="162">
        <f>F4A!J719+F4B!J719</f>
        <v>0</v>
      </c>
      <c r="K719" s="162">
        <f>F4A!K719+F4B!K719</f>
        <v>0</v>
      </c>
      <c r="L719" s="162">
        <f>F4A!L719+F4B!L719</f>
        <v>0</v>
      </c>
      <c r="M719" s="162">
        <f>F4A!M719+F4B!M719</f>
        <v>0</v>
      </c>
      <c r="N719" s="162">
        <f>F4A!N719+F4B!N719</f>
        <v>0</v>
      </c>
      <c r="O719" s="162">
        <f>F4A!O719+F4B!O719</f>
        <v>0</v>
      </c>
      <c r="P719" s="162">
        <f>F4A!P719+F4B!P719</f>
        <v>0</v>
      </c>
      <c r="Q719" s="167">
        <f t="shared" si="75"/>
        <v>0</v>
      </c>
      <c r="R719" s="166"/>
      <c r="S719" s="166"/>
    </row>
    <row r="720" spans="3:19" hidden="1" x14ac:dyDescent="0.25">
      <c r="C720" s="17"/>
      <c r="D720" s="17"/>
      <c r="E720" s="162">
        <f>F4A!E720+F4B!E720</f>
        <v>0</v>
      </c>
      <c r="F720" s="162">
        <f>F4A!F720+F4B!F720</f>
        <v>0</v>
      </c>
      <c r="G720" s="162">
        <f>F4A!G720+F4B!G720</f>
        <v>0</v>
      </c>
      <c r="H720" s="162">
        <f>F4A!H720+F4B!H720</f>
        <v>0</v>
      </c>
      <c r="I720" s="162">
        <f>F4A!I720+F4B!I720</f>
        <v>0</v>
      </c>
      <c r="J720" s="162">
        <f>F4A!J720+F4B!J720</f>
        <v>0</v>
      </c>
      <c r="K720" s="162">
        <f>F4A!K720+F4B!K720</f>
        <v>0</v>
      </c>
      <c r="L720" s="162">
        <f>F4A!L720+F4B!L720</f>
        <v>0</v>
      </c>
      <c r="M720" s="162">
        <f>F4A!M720+F4B!M720</f>
        <v>0</v>
      </c>
      <c r="N720" s="162">
        <f>F4A!N720+F4B!N720</f>
        <v>0</v>
      </c>
      <c r="O720" s="162">
        <f>F4A!O720+F4B!O720</f>
        <v>0</v>
      </c>
      <c r="P720" s="162">
        <f>F4A!P720+F4B!P720</f>
        <v>0</v>
      </c>
      <c r="Q720" s="167">
        <f t="shared" si="75"/>
        <v>0</v>
      </c>
      <c r="R720" s="166"/>
      <c r="S720" s="166"/>
    </row>
    <row r="721" spans="3:19" hidden="1" x14ac:dyDescent="0.25">
      <c r="C721" s="17"/>
      <c r="D721" s="17"/>
      <c r="E721" s="162">
        <f>F4A!E721+F4B!E721</f>
        <v>0</v>
      </c>
      <c r="F721" s="162">
        <f>F4A!F721+F4B!F721</f>
        <v>0</v>
      </c>
      <c r="G721" s="162">
        <f>F4A!G721+F4B!G721</f>
        <v>0</v>
      </c>
      <c r="H721" s="162">
        <f>F4A!H721+F4B!H721</f>
        <v>0</v>
      </c>
      <c r="I721" s="162">
        <f>F4A!I721+F4B!I721</f>
        <v>0</v>
      </c>
      <c r="J721" s="162">
        <f>F4A!J721+F4B!J721</f>
        <v>0</v>
      </c>
      <c r="K721" s="162">
        <f>F4A!K721+F4B!K721</f>
        <v>0</v>
      </c>
      <c r="L721" s="162">
        <f>F4A!L721+F4B!L721</f>
        <v>0</v>
      </c>
      <c r="M721" s="162">
        <f>F4A!M721+F4B!M721</f>
        <v>0</v>
      </c>
      <c r="N721" s="162">
        <f>F4A!N721+F4B!N721</f>
        <v>0</v>
      </c>
      <c r="O721" s="162">
        <f>F4A!O721+F4B!O721</f>
        <v>0</v>
      </c>
      <c r="P721" s="162">
        <f>F4A!P721+F4B!P721</f>
        <v>0</v>
      </c>
      <c r="Q721" s="167">
        <f t="shared" si="75"/>
        <v>0</v>
      </c>
      <c r="R721" s="166"/>
      <c r="S721" s="166"/>
    </row>
    <row r="722" spans="3:19" hidden="1" x14ac:dyDescent="0.25">
      <c r="C722" s="17" t="s">
        <v>226</v>
      </c>
      <c r="D722" s="17" t="s">
        <v>226</v>
      </c>
      <c r="E722" s="162">
        <f>F4A!E722+F4B!E722</f>
        <v>0</v>
      </c>
      <c r="F722" s="162">
        <f>F4A!F722+F4B!F722</f>
        <v>0</v>
      </c>
      <c r="G722" s="162">
        <f>F4A!G722+F4B!G722</f>
        <v>0</v>
      </c>
      <c r="H722" s="162">
        <f>F4A!H722+F4B!H722</f>
        <v>0</v>
      </c>
      <c r="I722" s="162">
        <f>F4A!I722+F4B!I722</f>
        <v>0</v>
      </c>
      <c r="J722" s="162">
        <f>F4A!J722+F4B!J722</f>
        <v>0</v>
      </c>
      <c r="K722" s="162">
        <f>F4A!K722+F4B!K722</f>
        <v>0</v>
      </c>
      <c r="L722" s="162">
        <f>F4A!L722+F4B!L722</f>
        <v>0</v>
      </c>
      <c r="M722" s="162">
        <f>F4A!M722+F4B!M722</f>
        <v>0</v>
      </c>
      <c r="N722" s="162">
        <f>F4A!N722+F4B!N722</f>
        <v>0</v>
      </c>
      <c r="O722" s="162">
        <f>F4A!O722+F4B!O722</f>
        <v>0</v>
      </c>
      <c r="P722" s="162">
        <f>F4A!P722+F4B!P722</f>
        <v>0</v>
      </c>
      <c r="Q722" s="167">
        <f t="shared" si="75"/>
        <v>0</v>
      </c>
      <c r="R722" s="166"/>
      <c r="S722" s="166"/>
    </row>
    <row r="723" spans="3:19" hidden="1" x14ac:dyDescent="0.25">
      <c r="C723" s="751" t="s">
        <v>212</v>
      </c>
      <c r="D723" s="752"/>
      <c r="E723" s="167">
        <f t="shared" ref="E723:P723" si="76">SUM(E708:E722)</f>
        <v>72.332095322053803</v>
      </c>
      <c r="F723" s="167">
        <f t="shared" si="76"/>
        <v>73.541754059891488</v>
      </c>
      <c r="G723" s="167">
        <f t="shared" si="76"/>
        <v>67.784168540611276</v>
      </c>
      <c r="H723" s="167">
        <f t="shared" si="76"/>
        <v>66.609666169737238</v>
      </c>
      <c r="I723" s="167">
        <f t="shared" si="76"/>
        <v>68.048468279255175</v>
      </c>
      <c r="J723" s="167">
        <f t="shared" si="76"/>
        <v>68.344280140077984</v>
      </c>
      <c r="K723" s="167">
        <f t="shared" si="76"/>
        <v>67.796406807045727</v>
      </c>
      <c r="L723" s="167">
        <f t="shared" si="76"/>
        <v>67.565139265576448</v>
      </c>
      <c r="M723" s="167">
        <f t="shared" si="76"/>
        <v>66.09507549582068</v>
      </c>
      <c r="N723" s="167">
        <f t="shared" si="76"/>
        <v>77.75362017200564</v>
      </c>
      <c r="O723" s="167">
        <f t="shared" si="76"/>
        <v>72.519916757554924</v>
      </c>
      <c r="P723" s="167">
        <f t="shared" si="76"/>
        <v>84.918506034437527</v>
      </c>
      <c r="Q723" s="167">
        <f t="shared" si="75"/>
        <v>853.30909704406793</v>
      </c>
      <c r="R723" s="166"/>
      <c r="S723" s="166"/>
    </row>
    <row r="724" spans="3:19" hidden="1" x14ac:dyDescent="0.25">
      <c r="C724" s="753" t="s">
        <v>215</v>
      </c>
      <c r="D724" s="754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7">
        <f t="shared" si="75"/>
        <v>0</v>
      </c>
      <c r="R724" s="166"/>
      <c r="S724" s="166"/>
    </row>
    <row r="725" spans="3:19" hidden="1" x14ac:dyDescent="0.25">
      <c r="C725" s="17" t="s">
        <v>192</v>
      </c>
      <c r="D725" s="17" t="s">
        <v>193</v>
      </c>
      <c r="E725" s="162">
        <f>F4A!E725+F4B!E725</f>
        <v>53.957384556631354</v>
      </c>
      <c r="F725" s="162">
        <f>F4A!F725+F4B!F725</f>
        <v>50.550149677335263</v>
      </c>
      <c r="G725" s="162">
        <f>F4A!G725+F4B!G725</f>
        <v>56.888001208210525</v>
      </c>
      <c r="H725" s="162">
        <f>F4A!H725+F4B!H725</f>
        <v>55.961825591843613</v>
      </c>
      <c r="I725" s="162">
        <f>F4A!I725+F4B!I725</f>
        <v>59.639092370354064</v>
      </c>
      <c r="J725" s="162">
        <f>F4A!J725+F4B!J725</f>
        <v>66.504111457497032</v>
      </c>
      <c r="K725" s="162">
        <f>F4A!K725+F4B!K725</f>
        <v>62.338782363007681</v>
      </c>
      <c r="L725" s="162">
        <f>F4A!L725+F4B!L725</f>
        <v>63.675929916479184</v>
      </c>
      <c r="M725" s="162">
        <f>F4A!M725+F4B!M725</f>
        <v>56.110991451343182</v>
      </c>
      <c r="N725" s="162">
        <f>F4A!N725+F4B!N725</f>
        <v>60.113670581205689</v>
      </c>
      <c r="O725" s="162">
        <f>F4A!O725+F4B!O725</f>
        <v>56.502051969120409</v>
      </c>
      <c r="P725" s="162">
        <f>F4A!P725+F4B!P725</f>
        <v>57.115780562518999</v>
      </c>
      <c r="Q725" s="167">
        <f t="shared" si="75"/>
        <v>699.35777170554718</v>
      </c>
      <c r="R725" s="166"/>
      <c r="S725" s="166"/>
    </row>
    <row r="726" spans="3:19" hidden="1" x14ac:dyDescent="0.25">
      <c r="C726" s="17" t="s">
        <v>194</v>
      </c>
      <c r="D726" s="17" t="s">
        <v>195</v>
      </c>
      <c r="E726" s="162">
        <f>F4A!E726+F4B!E726</f>
        <v>0</v>
      </c>
      <c r="F726" s="162">
        <f>F4A!F726+F4B!F726</f>
        <v>0</v>
      </c>
      <c r="G726" s="162">
        <f>F4A!G726+F4B!G726</f>
        <v>0</v>
      </c>
      <c r="H726" s="162">
        <f>F4A!H726+F4B!H726</f>
        <v>0</v>
      </c>
      <c r="I726" s="162">
        <f>F4A!I726+F4B!I726</f>
        <v>0</v>
      </c>
      <c r="J726" s="162">
        <f>F4A!J726+F4B!J726</f>
        <v>0</v>
      </c>
      <c r="K726" s="162">
        <f>F4A!K726+F4B!K726</f>
        <v>0</v>
      </c>
      <c r="L726" s="162">
        <f>F4A!L726+F4B!L726</f>
        <v>0</v>
      </c>
      <c r="M726" s="162">
        <f>F4A!M726+F4B!M726</f>
        <v>0</v>
      </c>
      <c r="N726" s="162">
        <f>F4A!N726+F4B!N726</f>
        <v>0</v>
      </c>
      <c r="O726" s="162">
        <f>F4A!O726+F4B!O726</f>
        <v>0</v>
      </c>
      <c r="P726" s="162">
        <f>F4A!P726+F4B!P726</f>
        <v>0</v>
      </c>
      <c r="Q726" s="167">
        <f t="shared" si="75"/>
        <v>0</v>
      </c>
      <c r="R726" s="166"/>
      <c r="S726" s="166"/>
    </row>
    <row r="727" spans="3:19" hidden="1" x14ac:dyDescent="0.25">
      <c r="C727" s="17" t="s">
        <v>233</v>
      </c>
      <c r="D727" s="17" t="s">
        <v>197</v>
      </c>
      <c r="E727" s="162">
        <f>F4A!E727+F4B!E727</f>
        <v>1.3896176535796867</v>
      </c>
      <c r="F727" s="162">
        <f>F4A!F727+F4B!F727</f>
        <v>0.82245537969033133</v>
      </c>
      <c r="G727" s="162">
        <f>F4A!G727+F4B!G727</f>
        <v>0.77787391265158612</v>
      </c>
      <c r="H727" s="162">
        <f>F4A!H727+F4B!H727</f>
        <v>0.79907433855316334</v>
      </c>
      <c r="I727" s="162">
        <f>F4A!I727+F4B!I727</f>
        <v>0.17142058657561032</v>
      </c>
      <c r="J727" s="162">
        <f>F4A!J727+F4B!J727</f>
        <v>0.35653059101909634</v>
      </c>
      <c r="K727" s="162">
        <f>F4A!K727+F4B!K727</f>
        <v>0.30298437245625542</v>
      </c>
      <c r="L727" s="162">
        <f>F4A!L727+F4B!L727</f>
        <v>0.40741161318288177</v>
      </c>
      <c r="M727" s="162">
        <f>F4A!M727+F4B!M727</f>
        <v>0.44508779864225612</v>
      </c>
      <c r="N727" s="162">
        <f>F4A!N727+F4B!N727</f>
        <v>0.75279683744229176</v>
      </c>
      <c r="O727" s="162">
        <f>F4A!O727+F4B!O727</f>
        <v>0.32248876428570655</v>
      </c>
      <c r="P727" s="162">
        <f>F4A!P727+F4B!P727</f>
        <v>0.27887645957389051</v>
      </c>
      <c r="Q727" s="167">
        <f t="shared" si="75"/>
        <v>6.8266183076527565</v>
      </c>
      <c r="R727" s="166"/>
      <c r="S727" s="166"/>
    </row>
    <row r="728" spans="3:19" hidden="1" x14ac:dyDescent="0.25">
      <c r="C728" s="17" t="s">
        <v>198</v>
      </c>
      <c r="D728" s="17" t="s">
        <v>199</v>
      </c>
      <c r="E728" s="162">
        <f>F4A!E728+F4B!E728</f>
        <v>0</v>
      </c>
      <c r="F728" s="162">
        <f>F4A!F728+F4B!F728</f>
        <v>0</v>
      </c>
      <c r="G728" s="162">
        <f>F4A!G728+F4B!G728</f>
        <v>0</v>
      </c>
      <c r="H728" s="162">
        <f>F4A!H728+F4B!H728</f>
        <v>0</v>
      </c>
      <c r="I728" s="162">
        <f>F4A!I728+F4B!I728</f>
        <v>0</v>
      </c>
      <c r="J728" s="162">
        <f>F4A!J728+F4B!J728</f>
        <v>0</v>
      </c>
      <c r="K728" s="162">
        <f>F4A!K728+F4B!K728</f>
        <v>0</v>
      </c>
      <c r="L728" s="162">
        <f>F4A!L728+F4B!L728</f>
        <v>0</v>
      </c>
      <c r="M728" s="162">
        <f>F4A!M728+F4B!M728</f>
        <v>0</v>
      </c>
      <c r="N728" s="162">
        <f>F4A!N728+F4B!N728</f>
        <v>0</v>
      </c>
      <c r="O728" s="162">
        <f>F4A!O728+F4B!O728</f>
        <v>0</v>
      </c>
      <c r="P728" s="162">
        <f>F4A!P728+F4B!P728</f>
        <v>0</v>
      </c>
      <c r="Q728" s="167">
        <f t="shared" si="75"/>
        <v>0</v>
      </c>
      <c r="R728" s="166"/>
      <c r="S728" s="166"/>
    </row>
    <row r="729" spans="3:19" hidden="1" x14ac:dyDescent="0.25">
      <c r="C729" s="17" t="s">
        <v>200</v>
      </c>
      <c r="D729" s="17" t="s">
        <v>201</v>
      </c>
      <c r="E729" s="162">
        <f>F4A!E729+F4B!E729</f>
        <v>0</v>
      </c>
      <c r="F729" s="162">
        <f>F4A!F729+F4B!F729</f>
        <v>0</v>
      </c>
      <c r="G729" s="162">
        <f>F4A!G729+F4B!G729</f>
        <v>0</v>
      </c>
      <c r="H729" s="162">
        <f>F4A!H729+F4B!H729</f>
        <v>0</v>
      </c>
      <c r="I729" s="162">
        <f>F4A!I729+F4B!I729</f>
        <v>0</v>
      </c>
      <c r="J729" s="162">
        <f>F4A!J729+F4B!J729</f>
        <v>0</v>
      </c>
      <c r="K729" s="162">
        <f>F4A!K729+F4B!K729</f>
        <v>0</v>
      </c>
      <c r="L729" s="162">
        <f>F4A!L729+F4B!L729</f>
        <v>0</v>
      </c>
      <c r="M729" s="162">
        <f>F4A!M729+F4B!M729</f>
        <v>0</v>
      </c>
      <c r="N729" s="162">
        <f>F4A!N729+F4B!N729</f>
        <v>0</v>
      </c>
      <c r="O729" s="162">
        <f>F4A!O729+F4B!O729</f>
        <v>0</v>
      </c>
      <c r="P729" s="162">
        <f>F4A!P729+F4B!P729</f>
        <v>0</v>
      </c>
      <c r="Q729" s="167">
        <f t="shared" si="75"/>
        <v>0</v>
      </c>
      <c r="R729" s="166"/>
      <c r="S729" s="166"/>
    </row>
    <row r="730" spans="3:19" hidden="1" x14ac:dyDescent="0.25">
      <c r="C730" s="17" t="s">
        <v>202</v>
      </c>
      <c r="D730" s="17" t="s">
        <v>234</v>
      </c>
      <c r="E730" s="162">
        <f>F4A!E730+F4B!E730</f>
        <v>260.66329003872005</v>
      </c>
      <c r="F730" s="162">
        <f>F4A!F730+F4B!F730</f>
        <v>64.830456373895998</v>
      </c>
      <c r="G730" s="162">
        <f>F4A!G730+F4B!G730</f>
        <v>15.823077150312001</v>
      </c>
      <c r="H730" s="162">
        <f>F4A!H730+F4B!H730</f>
        <v>284.83007518761121</v>
      </c>
      <c r="I730" s="162">
        <f>F4A!I730+F4B!I730</f>
        <v>11.649246332760001</v>
      </c>
      <c r="J730" s="162">
        <f>F4A!J730+F4B!J730</f>
        <v>59.716060404159606</v>
      </c>
      <c r="K730" s="162">
        <f>F4A!K730+F4B!K730</f>
        <v>78.938156587104004</v>
      </c>
      <c r="L730" s="162">
        <f>F4A!L730+F4B!L730</f>
        <v>147.11579330934239</v>
      </c>
      <c r="M730" s="162">
        <f>F4A!M730+F4B!M730</f>
        <v>26.133816526632</v>
      </c>
      <c r="N730" s="162">
        <f>F4A!N730+F4B!N730</f>
        <v>122.82240137673601</v>
      </c>
      <c r="O730" s="162">
        <f>F4A!O730+F4B!O730</f>
        <v>144.131893112016</v>
      </c>
      <c r="P730" s="162">
        <f>F4A!P730+F4B!P730</f>
        <v>154.24232098867205</v>
      </c>
      <c r="Q730" s="167">
        <f t="shared" si="75"/>
        <v>1370.8965873879613</v>
      </c>
      <c r="R730" s="166"/>
      <c r="S730" s="166"/>
    </row>
    <row r="731" spans="3:19" hidden="1" x14ac:dyDescent="0.25">
      <c r="C731" s="17" t="s">
        <v>204</v>
      </c>
      <c r="D731" s="17" t="s">
        <v>216</v>
      </c>
      <c r="E731" s="162">
        <f>F4A!E731+F4B!E731</f>
        <v>2.6707168648497586</v>
      </c>
      <c r="F731" s="162">
        <f>F4A!F731+F4B!F731</f>
        <v>2.7349764828385696</v>
      </c>
      <c r="G731" s="162">
        <f>F4A!G731+F4B!G731</f>
        <v>2.6803817480288008</v>
      </c>
      <c r="H731" s="162">
        <f>F4A!H731+F4B!H731</f>
        <v>2.6125186333968444</v>
      </c>
      <c r="I731" s="162">
        <f>F4A!I731+F4B!I731</f>
        <v>2.7277084531270521</v>
      </c>
      <c r="J731" s="162">
        <f>F4A!J731+F4B!J731</f>
        <v>2.7588511153211694</v>
      </c>
      <c r="K731" s="162">
        <f>F4A!K731+F4B!K731</f>
        <v>2.6823677794034597</v>
      </c>
      <c r="L731" s="162">
        <f>F4A!L731+F4B!L731</f>
        <v>2.6006447011355873</v>
      </c>
      <c r="M731" s="162">
        <f>F4A!M731+F4B!M731</f>
        <v>2.7988675347212078</v>
      </c>
      <c r="N731" s="162">
        <f>F4A!N731+F4B!N731</f>
        <v>2.8546031811717376</v>
      </c>
      <c r="O731" s="162">
        <f>F4A!O731+F4B!O731</f>
        <v>2.6537182204243401</v>
      </c>
      <c r="P731" s="162">
        <f>F4A!P731+F4B!P731</f>
        <v>3.0446283533385552</v>
      </c>
      <c r="Q731" s="167">
        <f t="shared" si="75"/>
        <v>32.819983067757079</v>
      </c>
      <c r="R731" s="166"/>
      <c r="S731" s="166"/>
    </row>
    <row r="732" spans="3:19" hidden="1" x14ac:dyDescent="0.25">
      <c r="C732" s="17" t="s">
        <v>217</v>
      </c>
      <c r="D732" s="17" t="s">
        <v>218</v>
      </c>
      <c r="E732" s="162">
        <f>F4A!E732+F4B!E732</f>
        <v>80.11331726127321</v>
      </c>
      <c r="F732" s="162">
        <f>F4A!F732+F4B!F732</f>
        <v>77.927883385421538</v>
      </c>
      <c r="G732" s="162">
        <f>F4A!G732+F4B!G732</f>
        <v>76.350794379318586</v>
      </c>
      <c r="H732" s="162">
        <f>F4A!H732+F4B!H732</f>
        <v>76.970421857550022</v>
      </c>
      <c r="I732" s="162">
        <f>F4A!I732+F4B!I732</f>
        <v>77.917588190627043</v>
      </c>
      <c r="J732" s="162">
        <f>F4A!J732+F4B!J732</f>
        <v>73.991634272325371</v>
      </c>
      <c r="K732" s="162">
        <f>F4A!K732+F4B!K732</f>
        <v>78.125042644133657</v>
      </c>
      <c r="L732" s="162">
        <f>F4A!L732+F4B!L732</f>
        <v>79.298678485580751</v>
      </c>
      <c r="M732" s="162">
        <f>F4A!M732+F4B!M732</f>
        <v>77.92199056293201</v>
      </c>
      <c r="N732" s="162">
        <f>F4A!N732+F4B!N732</f>
        <v>80.757140963218944</v>
      </c>
      <c r="O732" s="162">
        <f>F4A!O732+F4B!O732</f>
        <v>76.567616568418188</v>
      </c>
      <c r="P732" s="162">
        <f>F4A!P732+F4B!P732</f>
        <v>82.639311586456074</v>
      </c>
      <c r="Q732" s="167">
        <f t="shared" si="75"/>
        <v>938.58142015725548</v>
      </c>
      <c r="R732" s="166"/>
      <c r="S732" s="166"/>
    </row>
    <row r="733" spans="3:19" hidden="1" x14ac:dyDescent="0.25">
      <c r="C733" s="17" t="s">
        <v>252</v>
      </c>
      <c r="D733" s="17" t="s">
        <v>236</v>
      </c>
      <c r="E733" s="162">
        <f>F4A!E733+F4B!E733</f>
        <v>0</v>
      </c>
      <c r="F733" s="162">
        <f>F4A!F733+F4B!F733</f>
        <v>0</v>
      </c>
      <c r="G733" s="162">
        <f>F4A!G733+F4B!G733</f>
        <v>0</v>
      </c>
      <c r="H733" s="162">
        <f>F4A!H733+F4B!H733</f>
        <v>0</v>
      </c>
      <c r="I733" s="162">
        <f>F4A!I733+F4B!I733</f>
        <v>0</v>
      </c>
      <c r="J733" s="162">
        <f>F4A!J733+F4B!J733</f>
        <v>0</v>
      </c>
      <c r="K733" s="162">
        <f>F4A!K733+F4B!K733</f>
        <v>0</v>
      </c>
      <c r="L733" s="162">
        <f>F4A!L733+F4B!L733</f>
        <v>0</v>
      </c>
      <c r="M733" s="162">
        <f>F4A!M733+F4B!M733</f>
        <v>0</v>
      </c>
      <c r="N733" s="162">
        <f>F4A!N733+F4B!N733</f>
        <v>0</v>
      </c>
      <c r="O733" s="162">
        <f>F4A!O733+F4B!O733</f>
        <v>0</v>
      </c>
      <c r="P733" s="162">
        <f>F4A!P733+F4B!P733</f>
        <v>0</v>
      </c>
      <c r="Q733" s="167">
        <f t="shared" si="75"/>
        <v>0</v>
      </c>
      <c r="R733" s="166"/>
      <c r="S733" s="166"/>
    </row>
    <row r="734" spans="3:19" hidden="1" x14ac:dyDescent="0.25">
      <c r="C734" s="17" t="s">
        <v>206</v>
      </c>
      <c r="D734" s="17" t="s">
        <v>207</v>
      </c>
      <c r="E734" s="162">
        <f>F4A!E734+F4B!E734</f>
        <v>6.5271341180260807</v>
      </c>
      <c r="F734" s="162">
        <f>F4A!F734+F4B!F734</f>
        <v>8.0333276443444799</v>
      </c>
      <c r="G734" s="162">
        <f>F4A!G734+F4B!G734</f>
        <v>7.4767983965769611</v>
      </c>
      <c r="H734" s="162">
        <f>F4A!H734+F4B!H734</f>
        <v>7.2085154208566413</v>
      </c>
      <c r="I734" s="162">
        <f>F4A!I734+F4B!I734</f>
        <v>7.0926973446009614</v>
      </c>
      <c r="J734" s="162">
        <f>F4A!J734+F4B!J734</f>
        <v>6.5867804597707194</v>
      </c>
      <c r="K734" s="162">
        <f>F4A!K734+F4B!K734</f>
        <v>5.7678187821076801</v>
      </c>
      <c r="L734" s="162">
        <f>F4A!L734+F4B!L734</f>
        <v>5.0816704480444796</v>
      </c>
      <c r="M734" s="162">
        <f>F4A!M734+F4B!M734</f>
        <v>3.2122408320662408</v>
      </c>
      <c r="N734" s="162">
        <f>F4A!N734+F4B!N734</f>
        <v>3.4825609451116799</v>
      </c>
      <c r="O734" s="162">
        <f>F4A!O734+F4B!O734</f>
        <v>4.1865466787395196</v>
      </c>
      <c r="P734" s="162">
        <f>F4A!P734+F4B!P734</f>
        <v>6.1851679322859807</v>
      </c>
      <c r="Q734" s="167">
        <f t="shared" si="75"/>
        <v>70.84125900253143</v>
      </c>
      <c r="R734" s="166"/>
      <c r="S734" s="166"/>
    </row>
    <row r="735" spans="3:19" hidden="1" x14ac:dyDescent="0.25">
      <c r="C735" s="17" t="s">
        <v>208</v>
      </c>
      <c r="D735" s="17" t="s">
        <v>187</v>
      </c>
      <c r="E735" s="162">
        <f>F4A!E735+F4B!E735</f>
        <v>0.13092016975199999</v>
      </c>
      <c r="F735" s="162">
        <f>F4A!F735+F4B!F735</f>
        <v>0.12729402201600001</v>
      </c>
      <c r="G735" s="162">
        <f>F4A!G735+F4B!G735</f>
        <v>0.12989185920000001</v>
      </c>
      <c r="H735" s="162">
        <f>F4A!H735+F4B!H735</f>
        <v>9.4063354704000013E-2</v>
      </c>
      <c r="I735" s="162">
        <f>F4A!I735+F4B!I735</f>
        <v>0.121015915488</v>
      </c>
      <c r="J735" s="162">
        <f>F4A!J735+F4B!J735</f>
        <v>0.126861049152</v>
      </c>
      <c r="K735" s="162">
        <f>F4A!K735+F4B!K735</f>
        <v>0.12664456272000002</v>
      </c>
      <c r="L735" s="162">
        <f>F4A!L735+F4B!L735</f>
        <v>8.3130789888000003E-2</v>
      </c>
      <c r="M735" s="162">
        <f>F4A!M735+F4B!M735</f>
        <v>5.011660900800001E-2</v>
      </c>
      <c r="N735" s="162">
        <f>F4A!N735+F4B!N735</f>
        <v>9.3089165760000016E-3</v>
      </c>
      <c r="O735" s="162">
        <f>F4A!O735+F4B!O735</f>
        <v>0.11939226724800001</v>
      </c>
      <c r="P735" s="162">
        <f>F4A!P735+F4B!P735</f>
        <v>0.114413079312</v>
      </c>
      <c r="Q735" s="167">
        <f t="shared" si="75"/>
        <v>1.2330525950640001</v>
      </c>
      <c r="R735" s="166"/>
      <c r="S735" s="166"/>
    </row>
    <row r="736" spans="3:19" hidden="1" x14ac:dyDescent="0.25">
      <c r="C736" s="17" t="s">
        <v>209</v>
      </c>
      <c r="D736" s="17" t="s">
        <v>210</v>
      </c>
      <c r="E736" s="162">
        <f>F4A!E736+F4B!E736</f>
        <v>0</v>
      </c>
      <c r="F736" s="162">
        <f>F4A!F736+F4B!F736</f>
        <v>0</v>
      </c>
      <c r="G736" s="162">
        <f>F4A!G736+F4B!G736</f>
        <v>0</v>
      </c>
      <c r="H736" s="162">
        <f>F4A!H736+F4B!H736</f>
        <v>0</v>
      </c>
      <c r="I736" s="162">
        <f>F4A!I736+F4B!I736</f>
        <v>0</v>
      </c>
      <c r="J736" s="162">
        <f>F4A!J736+F4B!J736</f>
        <v>0</v>
      </c>
      <c r="K736" s="162">
        <f>F4A!K736+F4B!K736</f>
        <v>0</v>
      </c>
      <c r="L736" s="162">
        <f>F4A!L736+F4B!L736</f>
        <v>0</v>
      </c>
      <c r="M736" s="162">
        <f>F4A!M736+F4B!M736</f>
        <v>0</v>
      </c>
      <c r="N736" s="162">
        <f>F4A!N736+F4B!N736</f>
        <v>0</v>
      </c>
      <c r="O736" s="162">
        <f>F4A!O736+F4B!O736</f>
        <v>0</v>
      </c>
      <c r="P736" s="162">
        <f>F4A!P736+F4B!P736</f>
        <v>0</v>
      </c>
      <c r="Q736" s="167">
        <f t="shared" si="75"/>
        <v>0</v>
      </c>
      <c r="R736" s="166"/>
      <c r="S736" s="166"/>
    </row>
    <row r="737" spans="3:19" hidden="1" x14ac:dyDescent="0.25">
      <c r="C737" s="17" t="s">
        <v>211</v>
      </c>
      <c r="D737" s="17" t="s">
        <v>189</v>
      </c>
      <c r="E737" s="162">
        <f>F4A!E737+F4B!E737</f>
        <v>0</v>
      </c>
      <c r="F737" s="162">
        <f>F4A!F737+F4B!F737</f>
        <v>0</v>
      </c>
      <c r="G737" s="162">
        <f>F4A!G737+F4B!G737</f>
        <v>0</v>
      </c>
      <c r="H737" s="162">
        <f>F4A!H737+F4B!H737</f>
        <v>0</v>
      </c>
      <c r="I737" s="162">
        <f>F4A!I737+F4B!I737</f>
        <v>0</v>
      </c>
      <c r="J737" s="162">
        <f>F4A!J737+F4B!J737</f>
        <v>0</v>
      </c>
      <c r="K737" s="162">
        <f>F4A!K737+F4B!K737</f>
        <v>0</v>
      </c>
      <c r="L737" s="162">
        <f>F4A!L737+F4B!L737</f>
        <v>0</v>
      </c>
      <c r="M737" s="162">
        <f>F4A!M737+F4B!M737</f>
        <v>0</v>
      </c>
      <c r="N737" s="162">
        <f>F4A!N737+F4B!N737</f>
        <v>0</v>
      </c>
      <c r="O737" s="162">
        <f>F4A!O737+F4B!O737</f>
        <v>0</v>
      </c>
      <c r="P737" s="162">
        <f>F4A!P737+F4B!P737</f>
        <v>0</v>
      </c>
      <c r="Q737" s="167">
        <f t="shared" si="75"/>
        <v>0</v>
      </c>
      <c r="R737" s="166"/>
      <c r="S737" s="166"/>
    </row>
    <row r="738" spans="3:19" hidden="1" x14ac:dyDescent="0.25">
      <c r="C738" s="17"/>
      <c r="D738" s="17"/>
      <c r="E738" s="162">
        <f>F4A!E738+F4B!E738</f>
        <v>0</v>
      </c>
      <c r="F738" s="162">
        <f>F4A!F738+F4B!F738</f>
        <v>0</v>
      </c>
      <c r="G738" s="162">
        <f>F4A!G738+F4B!G738</f>
        <v>0</v>
      </c>
      <c r="H738" s="162">
        <f>F4A!H738+F4B!H738</f>
        <v>0</v>
      </c>
      <c r="I738" s="162">
        <f>F4A!I738+F4B!I738</f>
        <v>0</v>
      </c>
      <c r="J738" s="162">
        <f>F4A!J738+F4B!J738</f>
        <v>0</v>
      </c>
      <c r="K738" s="162">
        <f>F4A!K738+F4B!K738</f>
        <v>0</v>
      </c>
      <c r="L738" s="162">
        <f>F4A!L738+F4B!L738</f>
        <v>0</v>
      </c>
      <c r="M738" s="162">
        <f>F4A!M738+F4B!M738</f>
        <v>0</v>
      </c>
      <c r="N738" s="162">
        <f>F4A!N738+F4B!N738</f>
        <v>0</v>
      </c>
      <c r="O738" s="162">
        <f>F4A!O738+F4B!O738</f>
        <v>0</v>
      </c>
      <c r="P738" s="162">
        <f>F4A!P738+F4B!P738</f>
        <v>0</v>
      </c>
      <c r="Q738" s="167">
        <f t="shared" si="75"/>
        <v>0</v>
      </c>
      <c r="R738" s="166"/>
      <c r="S738" s="166"/>
    </row>
    <row r="739" spans="3:19" hidden="1" x14ac:dyDescent="0.25">
      <c r="C739" s="17"/>
      <c r="D739" s="17"/>
      <c r="E739" s="162">
        <f>F4A!E739+F4B!E739</f>
        <v>0</v>
      </c>
      <c r="F739" s="162">
        <f>F4A!F739+F4B!F739</f>
        <v>0</v>
      </c>
      <c r="G739" s="162">
        <f>F4A!G739+F4B!G739</f>
        <v>0</v>
      </c>
      <c r="H739" s="162">
        <f>F4A!H739+F4B!H739</f>
        <v>0</v>
      </c>
      <c r="I739" s="162">
        <f>F4A!I739+F4B!I739</f>
        <v>0</v>
      </c>
      <c r="J739" s="162">
        <f>F4A!J739+F4B!J739</f>
        <v>0</v>
      </c>
      <c r="K739" s="162">
        <f>F4A!K739+F4B!K739</f>
        <v>0</v>
      </c>
      <c r="L739" s="162">
        <f>F4A!L739+F4B!L739</f>
        <v>0</v>
      </c>
      <c r="M739" s="162">
        <f>F4A!M739+F4B!M739</f>
        <v>0</v>
      </c>
      <c r="N739" s="162">
        <f>F4A!N739+F4B!N739</f>
        <v>0</v>
      </c>
      <c r="O739" s="162">
        <f>F4A!O739+F4B!O739</f>
        <v>0</v>
      </c>
      <c r="P739" s="162">
        <f>F4A!P739+F4B!P739</f>
        <v>0</v>
      </c>
      <c r="Q739" s="167">
        <f t="shared" ref="Q739:Q744" si="77">SUM(E739:P739)</f>
        <v>0</v>
      </c>
      <c r="R739" s="166"/>
      <c r="S739" s="166"/>
    </row>
    <row r="740" spans="3:19" hidden="1" x14ac:dyDescent="0.25">
      <c r="C740" s="17"/>
      <c r="D740" s="17"/>
      <c r="E740" s="162">
        <f>F4A!E740+F4B!E740</f>
        <v>0</v>
      </c>
      <c r="F740" s="162">
        <f>F4A!F740+F4B!F740</f>
        <v>0</v>
      </c>
      <c r="G740" s="162">
        <f>F4A!G740+F4B!G740</f>
        <v>0</v>
      </c>
      <c r="H740" s="162">
        <f>F4A!H740+F4B!H740</f>
        <v>0</v>
      </c>
      <c r="I740" s="162">
        <f>F4A!I740+F4B!I740</f>
        <v>0</v>
      </c>
      <c r="J740" s="162">
        <f>F4A!J740+F4B!J740</f>
        <v>0</v>
      </c>
      <c r="K740" s="162">
        <f>F4A!K740+F4B!K740</f>
        <v>0</v>
      </c>
      <c r="L740" s="162">
        <f>F4A!L740+F4B!L740</f>
        <v>0</v>
      </c>
      <c r="M740" s="162">
        <f>F4A!M740+F4B!M740</f>
        <v>0</v>
      </c>
      <c r="N740" s="162">
        <f>F4A!N740+F4B!N740</f>
        <v>0</v>
      </c>
      <c r="O740" s="162">
        <f>F4A!O740+F4B!O740</f>
        <v>0</v>
      </c>
      <c r="P740" s="162">
        <f>F4A!P740+F4B!P740</f>
        <v>0</v>
      </c>
      <c r="Q740" s="167">
        <f t="shared" si="77"/>
        <v>0</v>
      </c>
      <c r="R740" s="166"/>
      <c r="S740" s="166"/>
    </row>
    <row r="741" spans="3:19" hidden="1" x14ac:dyDescent="0.25">
      <c r="C741" s="17" t="s">
        <v>226</v>
      </c>
      <c r="D741" s="17" t="s">
        <v>226</v>
      </c>
      <c r="E741" s="162">
        <f>F4A!E741+F4B!E741</f>
        <v>0</v>
      </c>
      <c r="F741" s="162">
        <f>F4A!F741+F4B!F741</f>
        <v>0</v>
      </c>
      <c r="G741" s="162">
        <f>F4A!G741+F4B!G741</f>
        <v>0</v>
      </c>
      <c r="H741" s="162">
        <f>F4A!H741+F4B!H741</f>
        <v>0</v>
      </c>
      <c r="I741" s="162">
        <f>F4A!I741+F4B!I741</f>
        <v>0</v>
      </c>
      <c r="J741" s="162">
        <f>F4A!J741+F4B!J741</f>
        <v>0</v>
      </c>
      <c r="K741" s="162">
        <f>F4A!K741+F4B!K741</f>
        <v>0</v>
      </c>
      <c r="L741" s="162">
        <f>F4A!L741+F4B!L741</f>
        <v>0</v>
      </c>
      <c r="M741" s="162">
        <f>F4A!M741+F4B!M741</f>
        <v>0</v>
      </c>
      <c r="N741" s="162">
        <f>F4A!N741+F4B!N741</f>
        <v>0</v>
      </c>
      <c r="O741" s="162">
        <f>F4A!O741+F4B!O741</f>
        <v>0</v>
      </c>
      <c r="P741" s="162">
        <f>F4A!P741+F4B!P741</f>
        <v>0</v>
      </c>
      <c r="Q741" s="167">
        <f t="shared" si="77"/>
        <v>0</v>
      </c>
      <c r="R741" s="166"/>
      <c r="S741" s="166"/>
    </row>
    <row r="742" spans="3:19" hidden="1" x14ac:dyDescent="0.25">
      <c r="C742" s="751" t="s">
        <v>212</v>
      </c>
      <c r="D742" s="752"/>
      <c r="E742" s="167">
        <f t="shared" ref="E742:P742" si="78">SUM(E725:E741)</f>
        <v>405.45238066283213</v>
      </c>
      <c r="F742" s="167">
        <f t="shared" si="78"/>
        <v>205.02654296554218</v>
      </c>
      <c r="G742" s="167">
        <f t="shared" si="78"/>
        <v>160.12681865429846</v>
      </c>
      <c r="H742" s="167">
        <f t="shared" si="78"/>
        <v>428.47649438451555</v>
      </c>
      <c r="I742" s="167">
        <f t="shared" si="78"/>
        <v>159.31876919353272</v>
      </c>
      <c r="J742" s="167">
        <f t="shared" si="78"/>
        <v>210.040829349245</v>
      </c>
      <c r="K742" s="167">
        <f t="shared" si="78"/>
        <v>228.28179709093271</v>
      </c>
      <c r="L742" s="167">
        <f t="shared" si="78"/>
        <v>298.26325926365325</v>
      </c>
      <c r="M742" s="167">
        <f t="shared" si="78"/>
        <v>166.6731113153449</v>
      </c>
      <c r="N742" s="167">
        <f t="shared" si="78"/>
        <v>270.79248280146237</v>
      </c>
      <c r="O742" s="167">
        <f t="shared" si="78"/>
        <v>284.48370758025214</v>
      </c>
      <c r="P742" s="167">
        <f t="shared" si="78"/>
        <v>303.62049896215757</v>
      </c>
      <c r="Q742" s="167">
        <f t="shared" si="77"/>
        <v>3120.556692223769</v>
      </c>
      <c r="R742" s="166"/>
      <c r="S742" s="166"/>
    </row>
    <row r="743" spans="3:19" hidden="1" x14ac:dyDescent="0.25">
      <c r="C743" s="751" t="s">
        <v>219</v>
      </c>
      <c r="D743" s="752"/>
      <c r="E743" s="167">
        <f t="shared" ref="E743:P743" si="79">E742+E723+E706</f>
        <v>755.45836274952171</v>
      </c>
      <c r="F743" s="167">
        <f t="shared" si="79"/>
        <v>492.24441605394071</v>
      </c>
      <c r="G743" s="167">
        <f t="shared" si="79"/>
        <v>489.08484905298405</v>
      </c>
      <c r="H743" s="167">
        <f t="shared" si="79"/>
        <v>782.53571984665348</v>
      </c>
      <c r="I743" s="167">
        <f t="shared" si="79"/>
        <v>534.17942850448651</v>
      </c>
      <c r="J743" s="167">
        <f t="shared" si="79"/>
        <v>564.15694458259622</v>
      </c>
      <c r="K743" s="167">
        <f t="shared" si="79"/>
        <v>593.24470722479055</v>
      </c>
      <c r="L743" s="167">
        <f t="shared" si="79"/>
        <v>612.00232198647063</v>
      </c>
      <c r="M743" s="167">
        <f t="shared" si="79"/>
        <v>560.43518801106075</v>
      </c>
      <c r="N743" s="167">
        <f t="shared" si="79"/>
        <v>698.56987537088548</v>
      </c>
      <c r="O743" s="167">
        <f t="shared" si="79"/>
        <v>705.6938530435317</v>
      </c>
      <c r="P743" s="167">
        <f t="shared" si="79"/>
        <v>738.85080677268979</v>
      </c>
      <c r="Q743" s="167">
        <f t="shared" si="77"/>
        <v>7526.4564731996124</v>
      </c>
      <c r="R743" s="166"/>
      <c r="S743" s="166"/>
    </row>
    <row r="744" spans="3:19" hidden="1" x14ac:dyDescent="0.25">
      <c r="C744" s="751" t="s">
        <v>220</v>
      </c>
      <c r="D744" s="752"/>
      <c r="E744" s="167">
        <f t="shared" ref="E744:P744" si="80">E743+E689</f>
        <v>2272.058351009131</v>
      </c>
      <c r="F744" s="167">
        <f t="shared" si="80"/>
        <v>1399.793504545564</v>
      </c>
      <c r="G744" s="167">
        <f t="shared" si="80"/>
        <v>1422.432242362142</v>
      </c>
      <c r="H744" s="167">
        <f t="shared" si="80"/>
        <v>1730.7120578080494</v>
      </c>
      <c r="I744" s="167">
        <f t="shared" si="80"/>
        <v>1897.139524491758</v>
      </c>
      <c r="J744" s="167">
        <f t="shared" si="80"/>
        <v>1863.3670560633154</v>
      </c>
      <c r="K744" s="167">
        <f t="shared" si="80"/>
        <v>1704.4564839977538</v>
      </c>
      <c r="L744" s="167">
        <f t="shared" si="80"/>
        <v>1601.8612594185547</v>
      </c>
      <c r="M744" s="167">
        <f t="shared" si="80"/>
        <v>1979.6776702856541</v>
      </c>
      <c r="N744" s="167">
        <f t="shared" si="80"/>
        <v>2245.3708571789907</v>
      </c>
      <c r="O744" s="167">
        <f t="shared" si="80"/>
        <v>2488.1032976692304</v>
      </c>
      <c r="P744" s="167">
        <f t="shared" si="80"/>
        <v>2762.9007474676218</v>
      </c>
      <c r="Q744" s="167">
        <f t="shared" si="77"/>
        <v>23367.873052297764</v>
      </c>
      <c r="R744" s="166"/>
      <c r="S744" s="166"/>
    </row>
    <row r="745" spans="3:19" hidden="1" x14ac:dyDescent="0.25"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</row>
    <row r="746" spans="3:19" hidden="1" x14ac:dyDescent="0.25">
      <c r="C746" s="14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9" t="s">
        <v>229</v>
      </c>
      <c r="R746" s="166"/>
      <c r="S746" s="166"/>
    </row>
    <row r="747" spans="3:19" hidden="1" x14ac:dyDescent="0.25">
      <c r="C747" s="760" t="s">
        <v>163</v>
      </c>
      <c r="D747" s="760"/>
      <c r="E747" s="761" t="s">
        <v>260</v>
      </c>
      <c r="F747" s="761"/>
      <c r="G747" s="761"/>
      <c r="H747" s="761"/>
      <c r="I747" s="761"/>
      <c r="J747" s="761"/>
      <c r="K747" s="761"/>
      <c r="L747" s="761"/>
      <c r="M747" s="761"/>
      <c r="N747" s="761"/>
      <c r="O747" s="761"/>
      <c r="P747" s="761"/>
      <c r="Q747" s="761"/>
      <c r="R747" s="166"/>
      <c r="S747" s="166"/>
    </row>
    <row r="748" spans="3:19" hidden="1" x14ac:dyDescent="0.25">
      <c r="C748" s="760"/>
      <c r="D748" s="760"/>
      <c r="E748" s="168" t="s">
        <v>239</v>
      </c>
      <c r="F748" s="168" t="s">
        <v>240</v>
      </c>
      <c r="G748" s="168" t="s">
        <v>241</v>
      </c>
      <c r="H748" s="168" t="s">
        <v>242</v>
      </c>
      <c r="I748" s="168" t="s">
        <v>243</v>
      </c>
      <c r="J748" s="168" t="s">
        <v>244</v>
      </c>
      <c r="K748" s="168" t="s">
        <v>245</v>
      </c>
      <c r="L748" s="168" t="s">
        <v>246</v>
      </c>
      <c r="M748" s="168" t="s">
        <v>247</v>
      </c>
      <c r="N748" s="168" t="s">
        <v>248</v>
      </c>
      <c r="O748" s="168" t="s">
        <v>249</v>
      </c>
      <c r="P748" s="168" t="s">
        <v>250</v>
      </c>
      <c r="Q748" s="168" t="s">
        <v>251</v>
      </c>
      <c r="R748" s="166"/>
      <c r="S748" s="166"/>
    </row>
    <row r="749" spans="3:19" hidden="1" x14ac:dyDescent="0.25">
      <c r="C749" s="753" t="s">
        <v>171</v>
      </c>
      <c r="D749" s="754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7">
        <f t="shared" ref="Q749:Q780" si="81">SUM(E749:P749)</f>
        <v>0</v>
      </c>
      <c r="R749" s="166"/>
      <c r="S749" s="166"/>
    </row>
    <row r="750" spans="3:19" hidden="1" x14ac:dyDescent="0.25">
      <c r="C750" s="59" t="s">
        <v>172</v>
      </c>
      <c r="D750" s="59" t="s">
        <v>173</v>
      </c>
      <c r="E750" s="162">
        <f>F4A!E750+F4B!E750</f>
        <v>410.26992394479822</v>
      </c>
      <c r="F750" s="162">
        <f>F4A!F750+F4B!F750</f>
        <v>448.95478049600268</v>
      </c>
      <c r="G750" s="162">
        <f>F4A!G750+F4B!G750</f>
        <v>562.95752269545767</v>
      </c>
      <c r="H750" s="162">
        <f>F4A!H750+F4B!H750</f>
        <v>497.48474349764581</v>
      </c>
      <c r="I750" s="162">
        <f>F4A!I750+F4B!I750</f>
        <v>407.96165831284509</v>
      </c>
      <c r="J750" s="162">
        <f>F4A!J750+F4B!J750</f>
        <v>456.76972554893007</v>
      </c>
      <c r="K750" s="162">
        <f>F4A!K750+F4B!K750</f>
        <v>418.04071418431585</v>
      </c>
      <c r="L750" s="162">
        <f>F4A!L750+F4B!L750</f>
        <v>414.94127352803594</v>
      </c>
      <c r="M750" s="162">
        <f>F4A!M750+F4B!M750</f>
        <v>353.68230720416045</v>
      </c>
      <c r="N750" s="162">
        <f>F4A!N750+F4B!N750</f>
        <v>286.88256132943349</v>
      </c>
      <c r="O750" s="162">
        <f>F4A!O750+F4B!O750</f>
        <v>345.63656621143946</v>
      </c>
      <c r="P750" s="162">
        <f>F4A!P750+F4B!P750</f>
        <v>354.49878906732744</v>
      </c>
      <c r="Q750" s="167">
        <f t="shared" si="81"/>
        <v>4958.0805660203923</v>
      </c>
      <c r="R750" s="166"/>
      <c r="S750" s="166"/>
    </row>
    <row r="751" spans="3:19" hidden="1" x14ac:dyDescent="0.25">
      <c r="C751" s="17" t="s">
        <v>174</v>
      </c>
      <c r="D751" s="17" t="s">
        <v>175</v>
      </c>
      <c r="E751" s="162">
        <f>F4A!E751+F4B!E751</f>
        <v>119.32994026314435</v>
      </c>
      <c r="F751" s="162">
        <f>F4A!F751+F4B!F751</f>
        <v>123.17598401186132</v>
      </c>
      <c r="G751" s="162">
        <f>F4A!G751+F4B!G751</f>
        <v>147.11301919849896</v>
      </c>
      <c r="H751" s="162">
        <f>F4A!H751+F4B!H751</f>
        <v>133.37314536307778</v>
      </c>
      <c r="I751" s="162">
        <f>F4A!I751+F4B!I751</f>
        <v>114.15790426528285</v>
      </c>
      <c r="J751" s="162">
        <f>F4A!J751+F4B!J751</f>
        <v>127.26303210874248</v>
      </c>
      <c r="K751" s="162">
        <f>F4A!K751+F4B!K751</f>
        <v>118.28190928836217</v>
      </c>
      <c r="L751" s="162">
        <f>F4A!L751+F4B!L751</f>
        <v>122.38173589633432</v>
      </c>
      <c r="M751" s="162">
        <f>F4A!M751+F4B!M751</f>
        <v>111.66443544742272</v>
      </c>
      <c r="N751" s="162">
        <f>F4A!N751+F4B!N751</f>
        <v>100.96786840425432</v>
      </c>
      <c r="O751" s="162">
        <f>F4A!O751+F4B!O751</f>
        <v>109.84841927438401</v>
      </c>
      <c r="P751" s="162">
        <f>F4A!P751+F4B!P751</f>
        <v>114.48845774039113</v>
      </c>
      <c r="Q751" s="167">
        <f t="shared" si="81"/>
        <v>1442.0458512617563</v>
      </c>
      <c r="R751" s="166"/>
      <c r="S751" s="166"/>
    </row>
    <row r="752" spans="3:19" hidden="1" x14ac:dyDescent="0.25">
      <c r="C752" s="17" t="s">
        <v>176</v>
      </c>
      <c r="D752" s="17" t="s">
        <v>177</v>
      </c>
      <c r="E752" s="162">
        <f>F4A!E752+F4B!E752</f>
        <v>23.113276537276786</v>
      </c>
      <c r="F752" s="162">
        <f>F4A!F752+F4B!F752</f>
        <v>22.518929823473471</v>
      </c>
      <c r="G752" s="162">
        <f>F4A!G752+F4B!G752</f>
        <v>24.824537768457578</v>
      </c>
      <c r="H752" s="162">
        <f>F4A!H752+F4B!H752</f>
        <v>20.918210198887422</v>
      </c>
      <c r="I752" s="162">
        <f>F4A!I752+F4B!I752</f>
        <v>18.036483641555733</v>
      </c>
      <c r="J752" s="162">
        <f>F4A!J752+F4B!J752</f>
        <v>19.788518892842088</v>
      </c>
      <c r="K752" s="162">
        <f>F4A!K752+F4B!K752</f>
        <v>17.476129725428621</v>
      </c>
      <c r="L752" s="162">
        <f>F4A!L752+F4B!L752</f>
        <v>20.197648256939058</v>
      </c>
      <c r="M752" s="162">
        <f>F4A!M752+F4B!M752</f>
        <v>21.575509260909914</v>
      </c>
      <c r="N752" s="162">
        <f>F4A!N752+F4B!N752</f>
        <v>27.720414915505931</v>
      </c>
      <c r="O752" s="162">
        <f>F4A!O752+F4B!O752</f>
        <v>26.025672215466162</v>
      </c>
      <c r="P752" s="162">
        <f>F4A!P752+F4B!P752</f>
        <v>21.446659451041096</v>
      </c>
      <c r="Q752" s="167">
        <f t="shared" si="81"/>
        <v>263.64199068778385</v>
      </c>
      <c r="R752" s="166"/>
      <c r="S752" s="166"/>
    </row>
    <row r="753" spans="3:19" hidden="1" x14ac:dyDescent="0.25">
      <c r="C753" s="17" t="s">
        <v>178</v>
      </c>
      <c r="D753" s="17" t="s">
        <v>179</v>
      </c>
      <c r="E753" s="162">
        <f>F4A!E753+F4B!E753</f>
        <v>0.79419151278806732</v>
      </c>
      <c r="F753" s="162">
        <f>F4A!F753+F4B!F753</f>
        <v>0.78936953611852279</v>
      </c>
      <c r="G753" s="162">
        <f>F4A!G753+F4B!G753</f>
        <v>0.91370366370709699</v>
      </c>
      <c r="H753" s="162">
        <f>F4A!H753+F4B!H753</f>
        <v>0.84565401609623292</v>
      </c>
      <c r="I753" s="162">
        <f>F4A!I753+F4B!I753</f>
        <v>0.81255259797651558</v>
      </c>
      <c r="J753" s="162">
        <f>F4A!J753+F4B!J753</f>
        <v>0.87294856738839988</v>
      </c>
      <c r="K753" s="162">
        <f>F4A!K753+F4B!K753</f>
        <v>0.7749138535219372</v>
      </c>
      <c r="L753" s="162">
        <f>F4A!L753+F4B!L753</f>
        <v>0.75866828962085975</v>
      </c>
      <c r="M753" s="162">
        <f>F4A!M753+F4B!M753</f>
        <v>0.73440811089642333</v>
      </c>
      <c r="N753" s="162">
        <f>F4A!N753+F4B!N753</f>
        <v>0.70041402932713714</v>
      </c>
      <c r="O753" s="162">
        <f>F4A!O753+F4B!O753</f>
        <v>0.73572547264534005</v>
      </c>
      <c r="P753" s="162">
        <f>F4A!P753+F4B!P753</f>
        <v>0.74762385663512576</v>
      </c>
      <c r="Q753" s="167">
        <f t="shared" si="81"/>
        <v>9.480173506721659</v>
      </c>
      <c r="R753" s="166"/>
      <c r="S753" s="166"/>
    </row>
    <row r="754" spans="3:19" hidden="1" x14ac:dyDescent="0.25">
      <c r="C754" s="17" t="s">
        <v>180</v>
      </c>
      <c r="D754" s="17" t="s">
        <v>181</v>
      </c>
      <c r="E754" s="162">
        <f>F4A!E754+F4B!E754</f>
        <v>965.03829679435614</v>
      </c>
      <c r="F754" s="162">
        <f>F4A!F754+F4B!F754</f>
        <v>304.18875180729339</v>
      </c>
      <c r="G754" s="162">
        <f>F4A!G754+F4B!G754</f>
        <v>192.74885164315614</v>
      </c>
      <c r="H754" s="162">
        <f>F4A!H754+F4B!H754</f>
        <v>289.5664652947504</v>
      </c>
      <c r="I754" s="162">
        <f>F4A!I754+F4B!I754</f>
        <v>825.41374719334499</v>
      </c>
      <c r="J754" s="162">
        <f>F4A!J754+F4B!J754</f>
        <v>694.49804228360983</v>
      </c>
      <c r="K754" s="162">
        <f>F4A!K754+F4B!K754</f>
        <v>551.45145366922839</v>
      </c>
      <c r="L754" s="162">
        <f>F4A!L754+F4B!L754</f>
        <v>421.7377719935979</v>
      </c>
      <c r="M754" s="162">
        <f>F4A!M754+F4B!M754</f>
        <v>930.60126293822691</v>
      </c>
      <c r="N754" s="162">
        <f>F4A!N754+F4B!N754</f>
        <v>1132.5162405921456</v>
      </c>
      <c r="O754" s="162">
        <f>F4A!O754+F4B!O754</f>
        <v>1308.5793325042127</v>
      </c>
      <c r="P754" s="162">
        <f>F4A!P754+F4B!P754</f>
        <v>1547.9438565071746</v>
      </c>
      <c r="Q754" s="167">
        <f t="shared" si="81"/>
        <v>9164.2840732210952</v>
      </c>
      <c r="R754" s="166"/>
      <c r="S754" s="166"/>
    </row>
    <row r="755" spans="3:19" hidden="1" x14ac:dyDescent="0.25">
      <c r="C755" s="17" t="s">
        <v>182</v>
      </c>
      <c r="D755" s="17" t="s">
        <v>183</v>
      </c>
      <c r="E755" s="162">
        <f>F4A!E755+F4B!E755</f>
        <v>38.746273987173105</v>
      </c>
      <c r="F755" s="162">
        <f>F4A!F755+F4B!F755</f>
        <v>35.93050958453788</v>
      </c>
      <c r="G755" s="162">
        <f>F4A!G755+F4B!G755</f>
        <v>38.310808032919567</v>
      </c>
      <c r="H755" s="162">
        <f>F4A!H755+F4B!H755</f>
        <v>36.055721028832622</v>
      </c>
      <c r="I755" s="162">
        <f>F4A!I755+F4B!I755</f>
        <v>33.726641037019007</v>
      </c>
      <c r="J755" s="162">
        <f>F4A!J755+F4B!J755</f>
        <v>35.516333550934831</v>
      </c>
      <c r="K755" s="162">
        <f>F4A!K755+F4B!K755</f>
        <v>34.928290841958571</v>
      </c>
      <c r="L755" s="162">
        <f>F4A!L755+F4B!L755</f>
        <v>39.145379709209642</v>
      </c>
      <c r="M755" s="162">
        <f>F4A!M755+F4B!M755</f>
        <v>38.348295357195823</v>
      </c>
      <c r="N755" s="162">
        <f>F4A!N755+F4B!N755</f>
        <v>38.280610449220113</v>
      </c>
      <c r="O755" s="162">
        <f>F4A!O755+F4B!O755</f>
        <v>39.33752587870088</v>
      </c>
      <c r="P755" s="162">
        <f>F4A!P755+F4B!P755</f>
        <v>37.410061509627781</v>
      </c>
      <c r="Q755" s="167">
        <f t="shared" si="81"/>
        <v>445.7364509673298</v>
      </c>
      <c r="R755" s="166"/>
      <c r="S755" s="166"/>
    </row>
    <row r="756" spans="3:19" hidden="1" x14ac:dyDescent="0.25">
      <c r="C756" s="17" t="s">
        <v>184</v>
      </c>
      <c r="D756" s="17" t="s">
        <v>185</v>
      </c>
      <c r="E756" s="162">
        <f>F4A!E756+F4B!E756</f>
        <v>10.106489205864683</v>
      </c>
      <c r="F756" s="162">
        <f>F4A!F756+F4B!F756</f>
        <v>7.6459217461966986</v>
      </c>
      <c r="G756" s="162">
        <f>F4A!G756+F4B!G756</f>
        <v>5.3856956902058615</v>
      </c>
      <c r="H756" s="162">
        <f>F4A!H756+F4B!H756</f>
        <v>7.6658913683185599</v>
      </c>
      <c r="I756" s="162">
        <f>F4A!I756+F4B!I756</f>
        <v>9.0416359752074662</v>
      </c>
      <c r="J756" s="162">
        <f>F4A!J756+F4B!J756</f>
        <v>10.432958063380205</v>
      </c>
      <c r="K756" s="162">
        <f>F4A!K756+F4B!K756</f>
        <v>10.244607253192065</v>
      </c>
      <c r="L756" s="162">
        <f>F4A!L756+F4B!L756</f>
        <v>7.5376258288137796</v>
      </c>
      <c r="M756" s="162">
        <f>F4A!M756+F4B!M756</f>
        <v>9.3415069816979273</v>
      </c>
      <c r="N756" s="162">
        <f>F4A!N756+F4B!N756</f>
        <v>7.9322912888838495</v>
      </c>
      <c r="O756" s="162">
        <f>F4A!O756+F4B!O756</f>
        <v>7.7634707233964342</v>
      </c>
      <c r="P756" s="162">
        <f>F4A!P756+F4B!P756</f>
        <v>9.6601797483916201</v>
      </c>
      <c r="Q756" s="167">
        <f t="shared" si="81"/>
        <v>102.75827387354914</v>
      </c>
      <c r="R756" s="166"/>
      <c r="S756" s="166"/>
    </row>
    <row r="757" spans="3:19" hidden="1" x14ac:dyDescent="0.25">
      <c r="C757" s="17" t="s">
        <v>186</v>
      </c>
      <c r="D757" s="17" t="s">
        <v>187</v>
      </c>
      <c r="E757" s="162">
        <f>F4A!E757+F4B!E757</f>
        <v>1.4292068956003132</v>
      </c>
      <c r="F757" s="162">
        <f>F4A!F757+F4B!F757</f>
        <v>1.4205460489171875</v>
      </c>
      <c r="G757" s="162">
        <f>F4A!G757+F4B!G757</f>
        <v>1.7198391804496878</v>
      </c>
      <c r="H757" s="162">
        <f>F4A!H757+F4B!H757</f>
        <v>1.6061059015706249</v>
      </c>
      <c r="I757" s="162">
        <f>F4A!I757+F4B!I757</f>
        <v>1.4496848332706251</v>
      </c>
      <c r="J757" s="162">
        <f>F4A!J757+F4B!J757</f>
        <v>1.6185675147468754</v>
      </c>
      <c r="K757" s="162">
        <f>F4A!K757+F4B!K757</f>
        <v>1.5668500332712505</v>
      </c>
      <c r="L757" s="162">
        <f>F4A!L757+F4B!L757</f>
        <v>1.612814037463125</v>
      </c>
      <c r="M757" s="162">
        <f>F4A!M757+F4B!M757</f>
        <v>1.313601311669063</v>
      </c>
      <c r="N757" s="162">
        <f>F4A!N757+F4B!N757</f>
        <v>1.3393068986193755</v>
      </c>
      <c r="O757" s="162">
        <f>F4A!O757+F4B!O757</f>
        <v>1.496870238917813</v>
      </c>
      <c r="P757" s="162">
        <f>F4A!P757+F4B!P757</f>
        <v>1.4932251787753128</v>
      </c>
      <c r="Q757" s="167">
        <f t="shared" si="81"/>
        <v>18.06661807327125</v>
      </c>
      <c r="R757" s="166"/>
      <c r="S757" s="166"/>
    </row>
    <row r="758" spans="3:19" hidden="1" x14ac:dyDescent="0.25">
      <c r="C758" s="17" t="s">
        <v>188</v>
      </c>
      <c r="D758" s="17" t="s">
        <v>189</v>
      </c>
      <c r="E758" s="162">
        <f>F4A!E758+F4B!E758</f>
        <v>0.66800937986606246</v>
      </c>
      <c r="F758" s="162">
        <f>F4A!F758+F4B!F758</f>
        <v>0.73795886435564995</v>
      </c>
      <c r="G758" s="162">
        <f>F4A!G758+F4B!G758</f>
        <v>0.76146017447981251</v>
      </c>
      <c r="H758" s="162">
        <f>F4A!H758+F4B!H758</f>
        <v>0.83048329734615001</v>
      </c>
      <c r="I758" s="162">
        <f>F4A!I758+F4B!I758</f>
        <v>0.87617118713827502</v>
      </c>
      <c r="J758" s="162">
        <f>F4A!J758+F4B!J758</f>
        <v>0.89327672216606269</v>
      </c>
      <c r="K758" s="162">
        <f>F4A!K758+F4B!K758</f>
        <v>0.96576527766127507</v>
      </c>
      <c r="L758" s="162">
        <f>F4A!L758+F4B!L758</f>
        <v>0.98627188426199996</v>
      </c>
      <c r="M758" s="162">
        <f>F4A!M758+F4B!M758</f>
        <v>1.0607644206014626</v>
      </c>
      <c r="N758" s="162">
        <f>F4A!N758+F4B!N758</f>
        <v>1.1069998351839003</v>
      </c>
      <c r="O758" s="162">
        <f>F4A!O758+F4B!O758</f>
        <v>1.0816704376939126</v>
      </c>
      <c r="P758" s="162">
        <f>F4A!P758+F4B!P758</f>
        <v>1.1986525678672129</v>
      </c>
      <c r="Q758" s="167">
        <f t="shared" si="81"/>
        <v>11.167484048621777</v>
      </c>
      <c r="R758" s="166"/>
      <c r="S758" s="166"/>
    </row>
    <row r="759" spans="3:19" hidden="1" x14ac:dyDescent="0.25">
      <c r="C759" s="17"/>
      <c r="D759" s="17"/>
      <c r="E759" s="162">
        <f>F4A!E759+F4B!E759</f>
        <v>0</v>
      </c>
      <c r="F759" s="162">
        <f>F4A!F759+F4B!F759</f>
        <v>0</v>
      </c>
      <c r="G759" s="162">
        <f>F4A!G759+F4B!G759</f>
        <v>0</v>
      </c>
      <c r="H759" s="162">
        <f>F4A!H759+F4B!H759</f>
        <v>0</v>
      </c>
      <c r="I759" s="162">
        <f>F4A!I759+F4B!I759</f>
        <v>0</v>
      </c>
      <c r="J759" s="162">
        <f>F4A!J759+F4B!J759</f>
        <v>0</v>
      </c>
      <c r="K759" s="162">
        <f>F4A!K759+F4B!K759</f>
        <v>0</v>
      </c>
      <c r="L759" s="162">
        <f>F4A!L759+F4B!L759</f>
        <v>0</v>
      </c>
      <c r="M759" s="162">
        <f>F4A!M759+F4B!M759</f>
        <v>0</v>
      </c>
      <c r="N759" s="162">
        <f>F4A!N759+F4B!N759</f>
        <v>0</v>
      </c>
      <c r="O759" s="162">
        <f>F4A!O759+F4B!O759</f>
        <v>0</v>
      </c>
      <c r="P759" s="162">
        <f>F4A!P759+F4B!P759</f>
        <v>0</v>
      </c>
      <c r="Q759" s="167">
        <f t="shared" si="81"/>
        <v>0</v>
      </c>
      <c r="R759" s="166"/>
      <c r="S759" s="166"/>
    </row>
    <row r="760" spans="3:19" hidden="1" x14ac:dyDescent="0.25">
      <c r="C760" s="17"/>
      <c r="D760" s="17"/>
      <c r="E760" s="162">
        <f>F4A!E760+F4B!E760</f>
        <v>0</v>
      </c>
      <c r="F760" s="162">
        <f>F4A!F760+F4B!F760</f>
        <v>0</v>
      </c>
      <c r="G760" s="162">
        <f>F4A!G760+F4B!G760</f>
        <v>0</v>
      </c>
      <c r="H760" s="162">
        <f>F4A!H760+F4B!H760</f>
        <v>0</v>
      </c>
      <c r="I760" s="162">
        <f>F4A!I760+F4B!I760</f>
        <v>0</v>
      </c>
      <c r="J760" s="162">
        <f>F4A!J760+F4B!J760</f>
        <v>0</v>
      </c>
      <c r="K760" s="162">
        <f>F4A!K760+F4B!K760</f>
        <v>0</v>
      </c>
      <c r="L760" s="162">
        <f>F4A!L760+F4B!L760</f>
        <v>0</v>
      </c>
      <c r="M760" s="162">
        <f>F4A!M760+F4B!M760</f>
        <v>0</v>
      </c>
      <c r="N760" s="162">
        <f>F4A!N760+F4B!N760</f>
        <v>0</v>
      </c>
      <c r="O760" s="162">
        <f>F4A!O760+F4B!O760</f>
        <v>0</v>
      </c>
      <c r="P760" s="162">
        <f>F4A!P760+F4B!P760</f>
        <v>0</v>
      </c>
      <c r="Q760" s="167">
        <f t="shared" si="81"/>
        <v>0</v>
      </c>
      <c r="R760" s="166"/>
      <c r="S760" s="166"/>
    </row>
    <row r="761" spans="3:19" hidden="1" x14ac:dyDescent="0.25">
      <c r="C761" s="17"/>
      <c r="D761" s="17"/>
      <c r="E761" s="162">
        <f>F4A!E761+F4B!E761</f>
        <v>0</v>
      </c>
      <c r="F761" s="162">
        <f>F4A!F761+F4B!F761</f>
        <v>0</v>
      </c>
      <c r="G761" s="162">
        <f>F4A!G761+F4B!G761</f>
        <v>0</v>
      </c>
      <c r="H761" s="162">
        <f>F4A!H761+F4B!H761</f>
        <v>0</v>
      </c>
      <c r="I761" s="162">
        <f>F4A!I761+F4B!I761</f>
        <v>0</v>
      </c>
      <c r="J761" s="162">
        <f>F4A!J761+F4B!J761</f>
        <v>0</v>
      </c>
      <c r="K761" s="162">
        <f>F4A!K761+F4B!K761</f>
        <v>0</v>
      </c>
      <c r="L761" s="162">
        <f>F4A!L761+F4B!L761</f>
        <v>0</v>
      </c>
      <c r="M761" s="162">
        <f>F4A!M761+F4B!M761</f>
        <v>0</v>
      </c>
      <c r="N761" s="162">
        <f>F4A!N761+F4B!N761</f>
        <v>0</v>
      </c>
      <c r="O761" s="162">
        <f>F4A!O761+F4B!O761</f>
        <v>0</v>
      </c>
      <c r="P761" s="162">
        <f>F4A!P761+F4B!P761</f>
        <v>0</v>
      </c>
      <c r="Q761" s="167">
        <f t="shared" si="81"/>
        <v>0</v>
      </c>
      <c r="R761" s="166"/>
      <c r="S761" s="166"/>
    </row>
    <row r="762" spans="3:19" hidden="1" x14ac:dyDescent="0.25">
      <c r="C762" s="17" t="s">
        <v>226</v>
      </c>
      <c r="D762" s="17" t="s">
        <v>226</v>
      </c>
      <c r="E762" s="162">
        <f>F4A!E762+F4B!E762</f>
        <v>0</v>
      </c>
      <c r="F762" s="162">
        <f>F4A!F762+F4B!F762</f>
        <v>0</v>
      </c>
      <c r="G762" s="162">
        <f>F4A!G762+F4B!G762</f>
        <v>0</v>
      </c>
      <c r="H762" s="162">
        <f>F4A!H762+F4B!H762</f>
        <v>0</v>
      </c>
      <c r="I762" s="162">
        <f>F4A!I762+F4B!I762</f>
        <v>0</v>
      </c>
      <c r="J762" s="162">
        <f>F4A!J762+F4B!J762</f>
        <v>0</v>
      </c>
      <c r="K762" s="162">
        <f>F4A!K762+F4B!K762</f>
        <v>0</v>
      </c>
      <c r="L762" s="162">
        <f>F4A!L762+F4B!L762</f>
        <v>0</v>
      </c>
      <c r="M762" s="162">
        <f>F4A!M762+F4B!M762</f>
        <v>0</v>
      </c>
      <c r="N762" s="162">
        <f>F4A!N762+F4B!N762</f>
        <v>0</v>
      </c>
      <c r="O762" s="162">
        <f>F4A!O762+F4B!O762</f>
        <v>0</v>
      </c>
      <c r="P762" s="162">
        <f>F4A!P762+F4B!P762</f>
        <v>0</v>
      </c>
      <c r="Q762" s="167">
        <f t="shared" si="81"/>
        <v>0</v>
      </c>
      <c r="R762" s="166"/>
      <c r="S762" s="166"/>
    </row>
    <row r="763" spans="3:19" hidden="1" x14ac:dyDescent="0.25">
      <c r="C763" s="751" t="s">
        <v>190</v>
      </c>
      <c r="D763" s="752"/>
      <c r="E763" s="167">
        <f t="shared" ref="E763:P763" si="82">SUM(E750:E762)</f>
        <v>1569.4956085208676</v>
      </c>
      <c r="F763" s="167">
        <f t="shared" si="82"/>
        <v>945.36275191875677</v>
      </c>
      <c r="G763" s="167">
        <f t="shared" si="82"/>
        <v>974.73543804733231</v>
      </c>
      <c r="H763" s="167">
        <f t="shared" si="82"/>
        <v>988.34641996652556</v>
      </c>
      <c r="I763" s="167">
        <f t="shared" si="82"/>
        <v>1411.4764790436404</v>
      </c>
      <c r="J763" s="167">
        <f t="shared" si="82"/>
        <v>1347.6534032527409</v>
      </c>
      <c r="K763" s="167">
        <f t="shared" si="82"/>
        <v>1153.7306341269405</v>
      </c>
      <c r="L763" s="167">
        <f t="shared" si="82"/>
        <v>1029.2991894242766</v>
      </c>
      <c r="M763" s="167">
        <f t="shared" si="82"/>
        <v>1468.3220910327809</v>
      </c>
      <c r="N763" s="167">
        <f t="shared" si="82"/>
        <v>1597.4467077425736</v>
      </c>
      <c r="O763" s="167">
        <f t="shared" si="82"/>
        <v>1840.505252956857</v>
      </c>
      <c r="P763" s="167">
        <f t="shared" si="82"/>
        <v>2088.8875056272313</v>
      </c>
      <c r="Q763" s="167">
        <f t="shared" si="81"/>
        <v>16415.261481660524</v>
      </c>
      <c r="R763" s="166"/>
      <c r="S763" s="166"/>
    </row>
    <row r="764" spans="3:19" hidden="1" x14ac:dyDescent="0.25">
      <c r="C764" s="753" t="s">
        <v>191</v>
      </c>
      <c r="D764" s="754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7">
        <f t="shared" si="81"/>
        <v>0</v>
      </c>
      <c r="R764" s="166"/>
      <c r="S764" s="166"/>
    </row>
    <row r="765" spans="3:19" hidden="1" x14ac:dyDescent="0.25">
      <c r="C765" s="17" t="s">
        <v>192</v>
      </c>
      <c r="D765" s="17" t="s">
        <v>193</v>
      </c>
      <c r="E765" s="162">
        <f>F4A!E765+F4B!E765</f>
        <v>138.91407200362946</v>
      </c>
      <c r="F765" s="162">
        <f>F4A!F765+F4B!F765</f>
        <v>124.53591577383864</v>
      </c>
      <c r="G765" s="162">
        <f>F4A!G765+F4B!G765</f>
        <v>134.70765866060736</v>
      </c>
      <c r="H765" s="162">
        <f>F4A!H765+F4B!H765</f>
        <v>133.75437502947241</v>
      </c>
      <c r="I765" s="162">
        <f>F4A!I765+F4B!I765</f>
        <v>139.33786773965252</v>
      </c>
      <c r="J765" s="162">
        <f>F4A!J765+F4B!J765</f>
        <v>133.23363217660744</v>
      </c>
      <c r="K765" s="162">
        <f>F4A!K765+F4B!K765</f>
        <v>139.38394145670964</v>
      </c>
      <c r="L765" s="162">
        <f>F4A!L765+F4B!L765</f>
        <v>146.15714716893146</v>
      </c>
      <c r="M765" s="162">
        <f>F4A!M765+F4B!M765</f>
        <v>164.39941080236579</v>
      </c>
      <c r="N765" s="162">
        <f>F4A!N765+F4B!N765</f>
        <v>173.56015959366539</v>
      </c>
      <c r="O765" s="162">
        <f>F4A!O765+F4B!O765</f>
        <v>156.83704930935139</v>
      </c>
      <c r="P765" s="162">
        <f>F4A!P765+F4B!P765</f>
        <v>135.79038478184151</v>
      </c>
      <c r="Q765" s="167">
        <f t="shared" si="81"/>
        <v>1720.6116144966729</v>
      </c>
      <c r="R765" s="166"/>
      <c r="S765" s="166"/>
    </row>
    <row r="766" spans="3:19" hidden="1" x14ac:dyDescent="0.25">
      <c r="C766" s="17" t="s">
        <v>194</v>
      </c>
      <c r="D766" s="17" t="s">
        <v>195</v>
      </c>
      <c r="E766" s="162">
        <f>F4A!E766+F4B!E766</f>
        <v>0</v>
      </c>
      <c r="F766" s="162">
        <f>F4A!F766+F4B!F766</f>
        <v>0</v>
      </c>
      <c r="G766" s="162">
        <f>F4A!G766+F4B!G766</f>
        <v>0</v>
      </c>
      <c r="H766" s="162">
        <f>F4A!H766+F4B!H766</f>
        <v>0</v>
      </c>
      <c r="I766" s="162">
        <f>F4A!I766+F4B!I766</f>
        <v>0</v>
      </c>
      <c r="J766" s="162">
        <f>F4A!J766+F4B!J766</f>
        <v>0</v>
      </c>
      <c r="K766" s="162">
        <f>F4A!K766+F4B!K766</f>
        <v>0</v>
      </c>
      <c r="L766" s="162">
        <f>F4A!L766+F4B!L766</f>
        <v>0</v>
      </c>
      <c r="M766" s="162">
        <f>F4A!M766+F4B!M766</f>
        <v>0</v>
      </c>
      <c r="N766" s="162">
        <f>F4A!N766+F4B!N766</f>
        <v>0</v>
      </c>
      <c r="O766" s="162">
        <f>F4A!O766+F4B!O766</f>
        <v>0</v>
      </c>
      <c r="P766" s="162">
        <f>F4A!P766+F4B!P766</f>
        <v>0</v>
      </c>
      <c r="Q766" s="167">
        <f t="shared" si="81"/>
        <v>0</v>
      </c>
      <c r="R766" s="166"/>
      <c r="S766" s="166"/>
    </row>
    <row r="767" spans="3:19" hidden="1" x14ac:dyDescent="0.25">
      <c r="C767" s="17" t="s">
        <v>233</v>
      </c>
      <c r="D767" s="17" t="s">
        <v>197</v>
      </c>
      <c r="E767" s="162">
        <f>F4A!E767+F4B!E767</f>
        <v>31.360270845058878</v>
      </c>
      <c r="F767" s="162">
        <f>F4A!F767+F4B!F767</f>
        <v>33.864577707534139</v>
      </c>
      <c r="G767" s="162">
        <f>F4A!G767+F4B!G767</f>
        <v>37.422742511796699</v>
      </c>
      <c r="H767" s="162">
        <f>F4A!H767+F4B!H767</f>
        <v>30.139965006237265</v>
      </c>
      <c r="I767" s="162">
        <f>F4A!I767+F4B!I767</f>
        <v>32.576297740783517</v>
      </c>
      <c r="J767" s="162">
        <f>F4A!J767+F4B!J767</f>
        <v>31.860909670936703</v>
      </c>
      <c r="K767" s="162">
        <f>F4A!K767+F4B!K767</f>
        <v>33.404475472403021</v>
      </c>
      <c r="L767" s="162">
        <f>F4A!L767+F4B!L767</f>
        <v>29.86776925641032</v>
      </c>
      <c r="M767" s="162">
        <f>F4A!M767+F4B!M767</f>
        <v>25.595839012271412</v>
      </c>
      <c r="N767" s="162">
        <f>F4A!N767+F4B!N767</f>
        <v>26.721698397217871</v>
      </c>
      <c r="O767" s="162">
        <f>F4A!O767+F4B!O767</f>
        <v>28.989782912584655</v>
      </c>
      <c r="P767" s="162">
        <f>F4A!P767+F4B!P767</f>
        <v>33.998980930025134</v>
      </c>
      <c r="Q767" s="167">
        <f t="shared" si="81"/>
        <v>375.80330946325961</v>
      </c>
      <c r="R767" s="166"/>
      <c r="S767" s="166"/>
    </row>
    <row r="768" spans="3:19" hidden="1" x14ac:dyDescent="0.25">
      <c r="C768" s="17" t="s">
        <v>198</v>
      </c>
      <c r="D768" s="17" t="s">
        <v>199</v>
      </c>
      <c r="E768" s="162">
        <f>F4A!E768+F4B!E768</f>
        <v>6.7558704347808023E-3</v>
      </c>
      <c r="F768" s="162">
        <f>F4A!F768+F4B!F768</f>
        <v>3.1026878731526399E-2</v>
      </c>
      <c r="G768" s="162">
        <f>F4A!G768+F4B!G768</f>
        <v>2.4936769021075202E-2</v>
      </c>
      <c r="H768" s="162">
        <f>F4A!H768+F4B!H768</f>
        <v>2.40314227624512E-2</v>
      </c>
      <c r="I768" s="162">
        <f>F4A!I768+F4B!I768</f>
        <v>2.6872222669084799E-2</v>
      </c>
      <c r="J768" s="162">
        <f>F4A!J768+F4B!J768</f>
        <v>2.4326212336905607E-2</v>
      </c>
      <c r="K768" s="162">
        <f>F4A!K768+F4B!K768</f>
        <v>2.3668180178198404E-2</v>
      </c>
      <c r="L768" s="162">
        <f>F4A!L768+F4B!L768</f>
        <v>1.9822666740652802E-2</v>
      </c>
      <c r="M768" s="162">
        <f>F4A!M768+F4B!M768</f>
        <v>2.2049597720707203E-2</v>
      </c>
      <c r="N768" s="162">
        <f>F4A!N768+F4B!N768</f>
        <v>2.88474232260096E-2</v>
      </c>
      <c r="O768" s="162">
        <f>F4A!O768+F4B!O768</f>
        <v>2.8509574500230402E-2</v>
      </c>
      <c r="P768" s="162">
        <f>F4A!P768+F4B!P768</f>
        <v>3.4356786433977604E-2</v>
      </c>
      <c r="Q768" s="167">
        <f t="shared" si="81"/>
        <v>0.29520360475560004</v>
      </c>
      <c r="R768" s="166"/>
      <c r="S768" s="166"/>
    </row>
    <row r="769" spans="3:19" hidden="1" x14ac:dyDescent="0.25">
      <c r="C769" s="17" t="s">
        <v>200</v>
      </c>
      <c r="D769" s="17" t="s">
        <v>201</v>
      </c>
      <c r="E769" s="162">
        <f>F4A!E769+F4B!E769</f>
        <v>0.88852520539151048</v>
      </c>
      <c r="F769" s="162">
        <f>F4A!F769+F4B!F769</f>
        <v>0.96520645901008595</v>
      </c>
      <c r="G769" s="162">
        <f>F4A!G769+F4B!G769</f>
        <v>1.0571575221495713</v>
      </c>
      <c r="H769" s="162">
        <f>F4A!H769+F4B!H769</f>
        <v>0.89156418425180628</v>
      </c>
      <c r="I769" s="162">
        <f>F4A!I769+F4B!I769</f>
        <v>0.8487955767269002</v>
      </c>
      <c r="J769" s="162">
        <f>F4A!J769+F4B!J769</f>
        <v>0.88336096772428663</v>
      </c>
      <c r="K769" s="162">
        <f>F4A!K769+F4B!K769</f>
        <v>0.88468610742534115</v>
      </c>
      <c r="L769" s="162">
        <f>F4A!L769+F4B!L769</f>
        <v>0.77459389405960311</v>
      </c>
      <c r="M769" s="162">
        <f>F4A!M769+F4B!M769</f>
        <v>0.70269002082759102</v>
      </c>
      <c r="N769" s="162">
        <f>F4A!N769+F4B!N769</f>
        <v>0.73909513311522734</v>
      </c>
      <c r="O769" s="162">
        <f>F4A!O769+F4B!O769</f>
        <v>0.7600087605195438</v>
      </c>
      <c r="P769" s="162">
        <f>F4A!P769+F4B!P769</f>
        <v>0.8317615751943459</v>
      </c>
      <c r="Q769" s="167">
        <f t="shared" si="81"/>
        <v>10.227445406395812</v>
      </c>
      <c r="R769" s="166"/>
      <c r="S769" s="166"/>
    </row>
    <row r="770" spans="3:19" hidden="1" x14ac:dyDescent="0.25">
      <c r="C770" s="17" t="s">
        <v>202</v>
      </c>
      <c r="D770" s="17" t="s">
        <v>203</v>
      </c>
      <c r="E770" s="162">
        <f>F4A!E770+F4B!E770</f>
        <v>3.0952319490066489</v>
      </c>
      <c r="F770" s="162">
        <f>F4A!F770+F4B!F770</f>
        <v>0.3249474923144357</v>
      </c>
      <c r="G770" s="162">
        <f>F4A!G770+F4B!G770</f>
        <v>0.44577766334928876</v>
      </c>
      <c r="H770" s="162">
        <f>F4A!H770+F4B!H770</f>
        <v>1.0402744447964574</v>
      </c>
      <c r="I770" s="162">
        <f>F4A!I770+F4B!I770</f>
        <v>2.1090472837683221</v>
      </c>
      <c r="J770" s="162">
        <f>F4A!J770+F4B!J770</f>
        <v>1.4495111694218206</v>
      </c>
      <c r="K770" s="162">
        <f>F4A!K770+F4B!K770</f>
        <v>3.0119022992641709</v>
      </c>
      <c r="L770" s="162">
        <f>F4A!L770+F4B!L770</f>
        <v>1.289803665954339</v>
      </c>
      <c r="M770" s="162">
        <f>F4A!M770+F4B!M770</f>
        <v>1.5768594042902744</v>
      </c>
      <c r="N770" s="162">
        <f>F4A!N770+F4B!N770</f>
        <v>4.0466671264312133</v>
      </c>
      <c r="O770" s="162">
        <f>F4A!O770+F4B!O770</f>
        <v>4.4066607401096851</v>
      </c>
      <c r="P770" s="162">
        <f>F4A!P770+F4B!P770</f>
        <v>4.8852320514423475</v>
      </c>
      <c r="Q770" s="167">
        <f t="shared" si="81"/>
        <v>27.681915290149004</v>
      </c>
      <c r="R770" s="166"/>
      <c r="S770" s="166"/>
    </row>
    <row r="771" spans="3:19" hidden="1" x14ac:dyDescent="0.25">
      <c r="C771" s="17" t="s">
        <v>204</v>
      </c>
      <c r="D771" s="17" t="s">
        <v>205</v>
      </c>
      <c r="E771" s="162">
        <f>F4A!E771+F4B!E771</f>
        <v>16.450991494671932</v>
      </c>
      <c r="F771" s="162">
        <f>F4A!F771+F4B!F771</f>
        <v>16.281792327609438</v>
      </c>
      <c r="G771" s="162">
        <f>F4A!G771+F4B!G771</f>
        <v>16.15214405602558</v>
      </c>
      <c r="H771" s="162">
        <f>F4A!H771+F4B!H771</f>
        <v>14.89561498165609</v>
      </c>
      <c r="I771" s="162">
        <f>F4A!I771+F4B!I771</f>
        <v>15.306469178287035</v>
      </c>
      <c r="J771" s="162">
        <f>F4A!J771+F4B!J771</f>
        <v>15.612333071695888</v>
      </c>
      <c r="K771" s="162">
        <f>F4A!K771+F4B!K771</f>
        <v>16.139175635133743</v>
      </c>
      <c r="L771" s="162">
        <f>F4A!L771+F4B!L771</f>
        <v>15.77763985366318</v>
      </c>
      <c r="M771" s="162">
        <f>F4A!M771+F4B!M771</f>
        <v>15.921439999741523</v>
      </c>
      <c r="N771" s="162">
        <f>F4A!N771+F4B!N771</f>
        <v>16.865786405916928</v>
      </c>
      <c r="O771" s="162">
        <f>F4A!O771+F4B!O771</f>
        <v>15.664809015421239</v>
      </c>
      <c r="P771" s="162">
        <f>F4A!P771+F4B!P771</f>
        <v>16.789293169759208</v>
      </c>
      <c r="Q771" s="167">
        <f t="shared" si="81"/>
        <v>191.8574891895818</v>
      </c>
      <c r="R771" s="166"/>
      <c r="S771" s="166"/>
    </row>
    <row r="772" spans="3:19" hidden="1" x14ac:dyDescent="0.25">
      <c r="C772" s="17" t="s">
        <v>206</v>
      </c>
      <c r="D772" s="17" t="s">
        <v>207</v>
      </c>
      <c r="E772" s="162">
        <f>F4A!E772+F4B!E772</f>
        <v>0.85774491887483517</v>
      </c>
      <c r="F772" s="162">
        <f>F4A!F772+F4B!F772</f>
        <v>0.92636795711692821</v>
      </c>
      <c r="G772" s="162">
        <f>F4A!G772+F4B!G772</f>
        <v>1.0313262945923329</v>
      </c>
      <c r="H772" s="162">
        <f>F4A!H772+F4B!H772</f>
        <v>0.78643675611936004</v>
      </c>
      <c r="I772" s="162">
        <f>F4A!I772+F4B!I772</f>
        <v>0.84414374746021448</v>
      </c>
      <c r="J772" s="162">
        <f>F4A!J772+F4B!J772</f>
        <v>0.79366406905710718</v>
      </c>
      <c r="K772" s="162">
        <f>F4A!K772+F4B!K772</f>
        <v>0.80639853704121611</v>
      </c>
      <c r="L772" s="162">
        <f>F4A!L772+F4B!L772</f>
        <v>0.73266029243789765</v>
      </c>
      <c r="M772" s="162">
        <f>F4A!M772+F4B!M772</f>
        <v>0.60987546631402578</v>
      </c>
      <c r="N772" s="162">
        <f>F4A!N772+F4B!N772</f>
        <v>0.68947969222474559</v>
      </c>
      <c r="O772" s="162">
        <f>F4A!O772+F4B!O772</f>
        <v>0.70392990177702719</v>
      </c>
      <c r="P772" s="162">
        <f>F4A!P772+F4B!P772</f>
        <v>0.82646299747776963</v>
      </c>
      <c r="Q772" s="167">
        <f t="shared" si="81"/>
        <v>9.6084906304934599</v>
      </c>
      <c r="R772" s="166"/>
      <c r="S772" s="166"/>
    </row>
    <row r="773" spans="3:19" hidden="1" x14ac:dyDescent="0.25">
      <c r="C773" s="17" t="s">
        <v>208</v>
      </c>
      <c r="D773" s="17" t="s">
        <v>187</v>
      </c>
      <c r="E773" s="162">
        <f>F4A!E773+F4B!E773</f>
        <v>1.7235805418755203</v>
      </c>
      <c r="F773" s="162">
        <f>F4A!F773+F4B!F773</f>
        <v>1.6150990825571041</v>
      </c>
      <c r="G773" s="162">
        <f>F4A!G773+F4B!G773</f>
        <v>1.5400911450301058</v>
      </c>
      <c r="H773" s="162">
        <f>F4A!H773+F4B!H773</f>
        <v>1.4943899283432482</v>
      </c>
      <c r="I773" s="162">
        <f>F4A!I773+F4B!I773</f>
        <v>1.6451102069496866</v>
      </c>
      <c r="J773" s="162">
        <f>F4A!J773+F4B!J773</f>
        <v>1.6272770938164003</v>
      </c>
      <c r="K773" s="162">
        <f>F4A!K773+F4B!K773</f>
        <v>1.578830028171984</v>
      </c>
      <c r="L773" s="162">
        <f>F4A!L773+F4B!L773</f>
        <v>1.5029377219216227</v>
      </c>
      <c r="M773" s="162">
        <f>F4A!M773+F4B!M773</f>
        <v>1.5065602110369221</v>
      </c>
      <c r="N773" s="162">
        <f>F4A!N773+F4B!N773</f>
        <v>1.5171516581820192</v>
      </c>
      <c r="O773" s="162">
        <f>F4A!O773+F4B!O773</f>
        <v>1.3789317824294116</v>
      </c>
      <c r="P773" s="162">
        <f>F4A!P773+F4B!P773</f>
        <v>1.2686628162906146</v>
      </c>
      <c r="Q773" s="167">
        <f t="shared" si="81"/>
        <v>18.39862221660464</v>
      </c>
      <c r="R773" s="166"/>
      <c r="S773" s="166"/>
    </row>
    <row r="774" spans="3:19" hidden="1" x14ac:dyDescent="0.25">
      <c r="C774" s="17" t="s">
        <v>209</v>
      </c>
      <c r="D774" s="17" t="s">
        <v>210</v>
      </c>
      <c r="E774" s="162">
        <f>F4A!E774+F4B!E774</f>
        <v>106.54759388785189</v>
      </c>
      <c r="F774" s="162">
        <f>F4A!F774+F4B!F774</f>
        <v>53.219834754598807</v>
      </c>
      <c r="G774" s="162">
        <f>F4A!G774+F4B!G774</f>
        <v>90.277025178497524</v>
      </c>
      <c r="H774" s="162">
        <f>F4A!H774+F4B!H774</f>
        <v>127.10291674158277</v>
      </c>
      <c r="I774" s="162">
        <f>F4A!I774+F4B!I774</f>
        <v>138.22075343897208</v>
      </c>
      <c r="J774" s="162">
        <f>F4A!J774+F4B!J774</f>
        <v>122.90608332582099</v>
      </c>
      <c r="K774" s="162">
        <f>F4A!K774+F4B!K774</f>
        <v>125.44189347582621</v>
      </c>
      <c r="L774" s="162">
        <f>F4A!L774+F4B!L774</f>
        <v>70.528879082082724</v>
      </c>
      <c r="M774" s="162">
        <f>F4A!M774+F4B!M774</f>
        <v>143.0831270915705</v>
      </c>
      <c r="N774" s="162">
        <f>F4A!N774+F4B!N774</f>
        <v>153.17815194484621</v>
      </c>
      <c r="O774" s="162">
        <f>F4A!O774+F4B!O774</f>
        <v>166.8160563031162</v>
      </c>
      <c r="P774" s="162">
        <f>F4A!P774+F4B!P774</f>
        <v>182.49584969584498</v>
      </c>
      <c r="Q774" s="167">
        <f t="shared" si="81"/>
        <v>1479.818164920611</v>
      </c>
      <c r="R774" s="166"/>
      <c r="S774" s="166"/>
    </row>
    <row r="775" spans="3:19" hidden="1" x14ac:dyDescent="0.25">
      <c r="C775" s="17" t="s">
        <v>211</v>
      </c>
      <c r="D775" s="17" t="s">
        <v>189</v>
      </c>
      <c r="E775" s="162">
        <f>F4A!E775+F4B!E775</f>
        <v>0</v>
      </c>
      <c r="F775" s="162">
        <f>F4A!F775+F4B!F775</f>
        <v>0</v>
      </c>
      <c r="G775" s="162">
        <f>F4A!G775+F4B!G775</f>
        <v>0</v>
      </c>
      <c r="H775" s="162">
        <f>F4A!H775+F4B!H775</f>
        <v>0</v>
      </c>
      <c r="I775" s="162">
        <f>F4A!I775+F4B!I775</f>
        <v>0</v>
      </c>
      <c r="J775" s="162">
        <f>F4A!J775+F4B!J775</f>
        <v>0</v>
      </c>
      <c r="K775" s="162">
        <f>F4A!K775+F4B!K775</f>
        <v>0</v>
      </c>
      <c r="L775" s="162">
        <f>F4A!L775+F4B!L775</f>
        <v>0</v>
      </c>
      <c r="M775" s="162">
        <f>F4A!M775+F4B!M775</f>
        <v>0</v>
      </c>
      <c r="N775" s="162">
        <f>F4A!N775+F4B!N775</f>
        <v>0</v>
      </c>
      <c r="O775" s="162">
        <f>F4A!O775+F4B!O775</f>
        <v>0</v>
      </c>
      <c r="P775" s="162">
        <f>F4A!P775+F4B!P775</f>
        <v>0</v>
      </c>
      <c r="Q775" s="167">
        <f t="shared" si="81"/>
        <v>0</v>
      </c>
      <c r="R775" s="166"/>
      <c r="S775" s="166"/>
    </row>
    <row r="776" spans="3:19" hidden="1" x14ac:dyDescent="0.25">
      <c r="C776" s="17"/>
      <c r="D776" s="17"/>
      <c r="E776" s="162">
        <f>F4A!E776+F4B!E776</f>
        <v>0</v>
      </c>
      <c r="F776" s="162">
        <f>F4A!F776+F4B!F776</f>
        <v>0</v>
      </c>
      <c r="G776" s="162">
        <f>F4A!G776+F4B!G776</f>
        <v>0</v>
      </c>
      <c r="H776" s="162">
        <f>F4A!H776+F4B!H776</f>
        <v>0</v>
      </c>
      <c r="I776" s="162">
        <f>F4A!I776+F4B!I776</f>
        <v>0</v>
      </c>
      <c r="J776" s="162">
        <f>F4A!J776+F4B!J776</f>
        <v>0</v>
      </c>
      <c r="K776" s="162">
        <f>F4A!K776+F4B!K776</f>
        <v>0</v>
      </c>
      <c r="L776" s="162">
        <f>F4A!L776+F4B!L776</f>
        <v>0</v>
      </c>
      <c r="M776" s="162">
        <f>F4A!M776+F4B!M776</f>
        <v>0</v>
      </c>
      <c r="N776" s="162">
        <f>F4A!N776+F4B!N776</f>
        <v>0</v>
      </c>
      <c r="O776" s="162">
        <f>F4A!O776+F4B!O776</f>
        <v>0</v>
      </c>
      <c r="P776" s="162">
        <f>F4A!P776+F4B!P776</f>
        <v>0</v>
      </c>
      <c r="Q776" s="167">
        <f t="shared" si="81"/>
        <v>0</v>
      </c>
      <c r="R776" s="166"/>
      <c r="S776" s="166"/>
    </row>
    <row r="777" spans="3:19" hidden="1" x14ac:dyDescent="0.25">
      <c r="C777" s="17"/>
      <c r="D777" s="17"/>
      <c r="E777" s="162">
        <f>F4A!E777+F4B!E777</f>
        <v>0</v>
      </c>
      <c r="F777" s="162">
        <f>F4A!F777+F4B!F777</f>
        <v>0</v>
      </c>
      <c r="G777" s="162">
        <f>F4A!G777+F4B!G777</f>
        <v>0</v>
      </c>
      <c r="H777" s="162">
        <f>F4A!H777+F4B!H777</f>
        <v>0</v>
      </c>
      <c r="I777" s="162">
        <f>F4A!I777+F4B!I777</f>
        <v>0</v>
      </c>
      <c r="J777" s="162">
        <f>F4A!J777+F4B!J777</f>
        <v>0</v>
      </c>
      <c r="K777" s="162">
        <f>F4A!K777+F4B!K777</f>
        <v>0</v>
      </c>
      <c r="L777" s="162">
        <f>F4A!L777+F4B!L777</f>
        <v>0</v>
      </c>
      <c r="M777" s="162">
        <f>F4A!M777+F4B!M777</f>
        <v>0</v>
      </c>
      <c r="N777" s="162">
        <f>F4A!N777+F4B!N777</f>
        <v>0</v>
      </c>
      <c r="O777" s="162">
        <f>F4A!O777+F4B!O777</f>
        <v>0</v>
      </c>
      <c r="P777" s="162">
        <f>F4A!P777+F4B!P777</f>
        <v>0</v>
      </c>
      <c r="Q777" s="167">
        <f t="shared" si="81"/>
        <v>0</v>
      </c>
      <c r="R777" s="166"/>
      <c r="S777" s="166"/>
    </row>
    <row r="778" spans="3:19" hidden="1" x14ac:dyDescent="0.25">
      <c r="C778" s="17"/>
      <c r="D778" s="17"/>
      <c r="E778" s="162">
        <f>F4A!E778+F4B!E778</f>
        <v>0</v>
      </c>
      <c r="F778" s="162">
        <f>F4A!F778+F4B!F778</f>
        <v>0</v>
      </c>
      <c r="G778" s="162">
        <f>F4A!G778+F4B!G778</f>
        <v>0</v>
      </c>
      <c r="H778" s="162">
        <f>F4A!H778+F4B!H778</f>
        <v>0</v>
      </c>
      <c r="I778" s="162">
        <f>F4A!I778+F4B!I778</f>
        <v>0</v>
      </c>
      <c r="J778" s="162">
        <f>F4A!J778+F4B!J778</f>
        <v>0</v>
      </c>
      <c r="K778" s="162">
        <f>F4A!K778+F4B!K778</f>
        <v>0</v>
      </c>
      <c r="L778" s="162">
        <f>F4A!L778+F4B!L778</f>
        <v>0</v>
      </c>
      <c r="M778" s="162">
        <f>F4A!M778+F4B!M778</f>
        <v>0</v>
      </c>
      <c r="N778" s="162">
        <f>F4A!N778+F4B!N778</f>
        <v>0</v>
      </c>
      <c r="O778" s="162">
        <f>F4A!O778+F4B!O778</f>
        <v>0</v>
      </c>
      <c r="P778" s="162">
        <f>F4A!P778+F4B!P778</f>
        <v>0</v>
      </c>
      <c r="Q778" s="167">
        <f t="shared" si="81"/>
        <v>0</v>
      </c>
      <c r="R778" s="166"/>
      <c r="S778" s="166"/>
    </row>
    <row r="779" spans="3:19" hidden="1" x14ac:dyDescent="0.25">
      <c r="C779" s="17" t="s">
        <v>226</v>
      </c>
      <c r="D779" s="17" t="s">
        <v>226</v>
      </c>
      <c r="E779" s="162">
        <f>F4A!E779+F4B!E779</f>
        <v>0</v>
      </c>
      <c r="F779" s="162">
        <f>F4A!F779+F4B!F779</f>
        <v>0</v>
      </c>
      <c r="G779" s="162">
        <f>F4A!G779+F4B!G779</f>
        <v>0</v>
      </c>
      <c r="H779" s="162">
        <f>F4A!H779+F4B!H779</f>
        <v>0</v>
      </c>
      <c r="I779" s="162">
        <f>F4A!I779+F4B!I779</f>
        <v>0</v>
      </c>
      <c r="J779" s="162">
        <f>F4A!J779+F4B!J779</f>
        <v>0</v>
      </c>
      <c r="K779" s="162">
        <f>F4A!K779+F4B!K779</f>
        <v>0</v>
      </c>
      <c r="L779" s="162">
        <f>F4A!L779+F4B!L779</f>
        <v>0</v>
      </c>
      <c r="M779" s="162">
        <f>F4A!M779+F4B!M779</f>
        <v>0</v>
      </c>
      <c r="N779" s="162">
        <f>F4A!N779+F4B!N779</f>
        <v>0</v>
      </c>
      <c r="O779" s="162">
        <f>F4A!O779+F4B!O779</f>
        <v>0</v>
      </c>
      <c r="P779" s="162">
        <f>F4A!P779+F4B!P779</f>
        <v>0</v>
      </c>
      <c r="Q779" s="167">
        <f t="shared" si="81"/>
        <v>0</v>
      </c>
      <c r="R779" s="166"/>
      <c r="S779" s="166"/>
    </row>
    <row r="780" spans="3:19" hidden="1" x14ac:dyDescent="0.25">
      <c r="C780" s="751" t="s">
        <v>212</v>
      </c>
      <c r="D780" s="752"/>
      <c r="E780" s="167">
        <f t="shared" ref="E780:P780" si="83">SUM(E765:E779)</f>
        <v>299.84476671679545</v>
      </c>
      <c r="F780" s="167">
        <f t="shared" si="83"/>
        <v>231.76476843331108</v>
      </c>
      <c r="G780" s="167">
        <f t="shared" si="83"/>
        <v>282.65885980106953</v>
      </c>
      <c r="H780" s="167">
        <f t="shared" si="83"/>
        <v>310.12956849522192</v>
      </c>
      <c r="I780" s="167">
        <f t="shared" si="83"/>
        <v>330.91535713526935</v>
      </c>
      <c r="J780" s="167">
        <f t="shared" si="83"/>
        <v>308.39109775741758</v>
      </c>
      <c r="K780" s="167">
        <f t="shared" si="83"/>
        <v>320.67497119215352</v>
      </c>
      <c r="L780" s="167">
        <f t="shared" si="83"/>
        <v>266.65125360220179</v>
      </c>
      <c r="M780" s="167">
        <f t="shared" si="83"/>
        <v>353.4178516061387</v>
      </c>
      <c r="N780" s="167">
        <f t="shared" si="83"/>
        <v>377.34703737482562</v>
      </c>
      <c r="O780" s="167">
        <f t="shared" si="83"/>
        <v>375.58573829980935</v>
      </c>
      <c r="P780" s="167">
        <f t="shared" si="83"/>
        <v>376.92098480430991</v>
      </c>
      <c r="Q780" s="167">
        <f t="shared" si="81"/>
        <v>3834.3022552185239</v>
      </c>
      <c r="R780" s="166"/>
      <c r="S780" s="166"/>
    </row>
    <row r="781" spans="3:19" hidden="1" x14ac:dyDescent="0.25">
      <c r="C781" s="753" t="s">
        <v>213</v>
      </c>
      <c r="D781" s="754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7">
        <f t="shared" ref="Q781:Q812" si="84">SUM(E781:P781)</f>
        <v>0</v>
      </c>
      <c r="R781" s="166"/>
      <c r="S781" s="166"/>
    </row>
    <row r="782" spans="3:19" hidden="1" x14ac:dyDescent="0.25">
      <c r="C782" s="17" t="s">
        <v>192</v>
      </c>
      <c r="D782" s="17" t="s">
        <v>193</v>
      </c>
      <c r="E782" s="162">
        <f>F4A!E782+F4B!E782</f>
        <v>20.989211470061697</v>
      </c>
      <c r="F782" s="162">
        <f>F4A!F782+F4B!F782</f>
        <v>20.617593475206341</v>
      </c>
      <c r="G782" s="162">
        <f>F4A!G782+F4B!G782</f>
        <v>17.946446109593481</v>
      </c>
      <c r="H782" s="162">
        <f>F4A!H782+F4B!H782</f>
        <v>18.356329669989268</v>
      </c>
      <c r="I782" s="162">
        <f>F4A!I782+F4B!I782</f>
        <v>18.438161798529674</v>
      </c>
      <c r="J782" s="162">
        <f>F4A!J782+F4B!J782</f>
        <v>18.935533959354274</v>
      </c>
      <c r="K782" s="162">
        <f>F4A!K782+F4B!K782</f>
        <v>17.019700335848597</v>
      </c>
      <c r="L782" s="162">
        <f>F4A!L782+F4B!L782</f>
        <v>19.121113155130963</v>
      </c>
      <c r="M782" s="162">
        <f>F4A!M782+F4B!M782</f>
        <v>19.564197069676638</v>
      </c>
      <c r="N782" s="162">
        <f>F4A!N782+F4B!N782</f>
        <v>20.820771647421264</v>
      </c>
      <c r="O782" s="162">
        <f>F4A!O782+F4B!O782</f>
        <v>21.049615791530993</v>
      </c>
      <c r="P782" s="162">
        <f>F4A!P782+F4B!P782</f>
        <v>21.876651214972057</v>
      </c>
      <c r="Q782" s="167">
        <f t="shared" si="84"/>
        <v>234.7353256973152</v>
      </c>
      <c r="R782" s="166"/>
      <c r="S782" s="166"/>
    </row>
    <row r="783" spans="3:19" hidden="1" x14ac:dyDescent="0.25">
      <c r="C783" s="17" t="s">
        <v>194</v>
      </c>
      <c r="D783" s="17" t="s">
        <v>195</v>
      </c>
      <c r="E783" s="162">
        <f>F4A!E783+F4B!E783</f>
        <v>4.7224605723750002E-3</v>
      </c>
      <c r="F783" s="162">
        <f>F4A!F783+F4B!F783</f>
        <v>3.0995409375000008E-3</v>
      </c>
      <c r="G783" s="162">
        <f>F4A!G783+F4B!G783</f>
        <v>2.6036143875000002E-3</v>
      </c>
      <c r="H783" s="162">
        <f>F4A!H783+F4B!H783</f>
        <v>3.0995409375000008E-3</v>
      </c>
      <c r="I783" s="162">
        <f>F4A!I783+F4B!I783</f>
        <v>2.7275960250000013E-3</v>
      </c>
      <c r="J783" s="162">
        <f>F4A!J783+F4B!J783</f>
        <v>3.2235225750000002E-3</v>
      </c>
      <c r="K783" s="162">
        <f>F4A!K783+F4B!K783</f>
        <v>2.9755592999999997E-3</v>
      </c>
      <c r="L783" s="162">
        <f>F4A!L783+F4B!L783</f>
        <v>3.0995409375000008E-3</v>
      </c>
      <c r="M783" s="162">
        <f>F4A!M783+F4B!M783</f>
        <v>2.2316694750000006E-3</v>
      </c>
      <c r="N783" s="162">
        <f>F4A!N783+F4B!N783</f>
        <v>2.6036143875000002E-3</v>
      </c>
      <c r="O783" s="162">
        <f>F4A!O783+F4B!O783</f>
        <v>2.4796327500000006E-4</v>
      </c>
      <c r="P783" s="162">
        <f>F4A!P783+F4B!P783</f>
        <v>9.9185310000000026E-4</v>
      </c>
      <c r="Q783" s="167">
        <f t="shared" si="84"/>
        <v>3.1626475909875003E-2</v>
      </c>
      <c r="R783" s="166"/>
      <c r="S783" s="166"/>
    </row>
    <row r="784" spans="3:19" hidden="1" x14ac:dyDescent="0.25">
      <c r="C784" s="17" t="s">
        <v>233</v>
      </c>
      <c r="D784" s="17" t="s">
        <v>197</v>
      </c>
      <c r="E784" s="162">
        <f>F4A!E784+F4B!E784</f>
        <v>2.779923382981242</v>
      </c>
      <c r="F784" s="162">
        <f>F4A!F784+F4B!F784</f>
        <v>2.4981674238034386</v>
      </c>
      <c r="G784" s="162">
        <f>F4A!G784+F4B!G784</f>
        <v>2.7354556413982047</v>
      </c>
      <c r="H784" s="162">
        <f>F4A!H784+F4B!H784</f>
        <v>2.914055249672606</v>
      </c>
      <c r="I784" s="162">
        <f>F4A!I784+F4B!I784</f>
        <v>3.6341510864316549</v>
      </c>
      <c r="J784" s="162">
        <f>F4A!J784+F4B!J784</f>
        <v>3.2722095223265057</v>
      </c>
      <c r="K784" s="162">
        <f>F4A!K784+F4B!K784</f>
        <v>3.4338918760151369</v>
      </c>
      <c r="L784" s="162">
        <f>F4A!L784+F4B!L784</f>
        <v>2.9194953645126338</v>
      </c>
      <c r="M784" s="162">
        <f>F4A!M784+F4B!M784</f>
        <v>2.3103111812276471</v>
      </c>
      <c r="N784" s="162">
        <f>F4A!N784+F4B!N784</f>
        <v>2.1505002435104705</v>
      </c>
      <c r="O784" s="162">
        <f>F4A!O784+F4B!O784</f>
        <v>2.4127290102980554</v>
      </c>
      <c r="P784" s="162">
        <f>F4A!P784+F4B!P784</f>
        <v>2.6685811309356566</v>
      </c>
      <c r="Q784" s="167">
        <f t="shared" si="84"/>
        <v>33.729471113113249</v>
      </c>
      <c r="R784" s="166"/>
      <c r="S784" s="166"/>
    </row>
    <row r="785" spans="3:19" hidden="1" x14ac:dyDescent="0.25">
      <c r="C785" s="17" t="s">
        <v>198</v>
      </c>
      <c r="D785" s="17" t="s">
        <v>199</v>
      </c>
      <c r="E785" s="162">
        <f>F4A!E785+F4B!E785</f>
        <v>0</v>
      </c>
      <c r="F785" s="162">
        <f>F4A!F785+F4B!F785</f>
        <v>0</v>
      </c>
      <c r="G785" s="162">
        <f>F4A!G785+F4B!G785</f>
        <v>0</v>
      </c>
      <c r="H785" s="162">
        <f>F4A!H785+F4B!H785</f>
        <v>0</v>
      </c>
      <c r="I785" s="162">
        <f>F4A!I785+F4B!I785</f>
        <v>0</v>
      </c>
      <c r="J785" s="162">
        <f>F4A!J785+F4B!J785</f>
        <v>0</v>
      </c>
      <c r="K785" s="162">
        <f>F4A!K785+F4B!K785</f>
        <v>0</v>
      </c>
      <c r="L785" s="162">
        <f>F4A!L785+F4B!L785</f>
        <v>0</v>
      </c>
      <c r="M785" s="162">
        <f>F4A!M785+F4B!M785</f>
        <v>0</v>
      </c>
      <c r="N785" s="162">
        <f>F4A!N785+F4B!N785</f>
        <v>0</v>
      </c>
      <c r="O785" s="162">
        <f>F4A!O785+F4B!O785</f>
        <v>0</v>
      </c>
      <c r="P785" s="162">
        <f>F4A!P785+F4B!P785</f>
        <v>0</v>
      </c>
      <c r="Q785" s="167">
        <f t="shared" si="84"/>
        <v>0</v>
      </c>
      <c r="R785" s="166"/>
      <c r="S785" s="166"/>
    </row>
    <row r="786" spans="3:19" hidden="1" x14ac:dyDescent="0.25">
      <c r="C786" s="17" t="s">
        <v>200</v>
      </c>
      <c r="D786" s="17" t="s">
        <v>201</v>
      </c>
      <c r="E786" s="162">
        <f>F4A!E786+F4B!E786</f>
        <v>0</v>
      </c>
      <c r="F786" s="162">
        <f>F4A!F786+F4B!F786</f>
        <v>0</v>
      </c>
      <c r="G786" s="162">
        <f>F4A!G786+F4B!G786</f>
        <v>0</v>
      </c>
      <c r="H786" s="162">
        <f>F4A!H786+F4B!H786</f>
        <v>0</v>
      </c>
      <c r="I786" s="162">
        <f>F4A!I786+F4B!I786</f>
        <v>0</v>
      </c>
      <c r="J786" s="162">
        <f>F4A!J786+F4B!J786</f>
        <v>0</v>
      </c>
      <c r="K786" s="162">
        <f>F4A!K786+F4B!K786</f>
        <v>0</v>
      </c>
      <c r="L786" s="162">
        <f>F4A!L786+F4B!L786</f>
        <v>0</v>
      </c>
      <c r="M786" s="162">
        <f>F4A!M786+F4B!M786</f>
        <v>0</v>
      </c>
      <c r="N786" s="162">
        <f>F4A!N786+F4B!N786</f>
        <v>0</v>
      </c>
      <c r="O786" s="162">
        <f>F4A!O786+F4B!O786</f>
        <v>0</v>
      </c>
      <c r="P786" s="162">
        <f>F4A!P786+F4B!P786</f>
        <v>0</v>
      </c>
      <c r="Q786" s="167">
        <f t="shared" si="84"/>
        <v>0</v>
      </c>
      <c r="R786" s="166"/>
      <c r="S786" s="166"/>
    </row>
    <row r="787" spans="3:19" hidden="1" x14ac:dyDescent="0.25">
      <c r="C787" s="17" t="s">
        <v>202</v>
      </c>
      <c r="D787" s="17" t="s">
        <v>203</v>
      </c>
      <c r="E787" s="162">
        <f>F4A!E787+F4B!E787</f>
        <v>4.4165750665522658</v>
      </c>
      <c r="F787" s="162">
        <f>F4A!F787+F4B!F787</f>
        <v>4.3787424288875352</v>
      </c>
      <c r="G787" s="162">
        <f>F4A!G787+F4B!G787</f>
        <v>0.16120675027029213</v>
      </c>
      <c r="H787" s="162">
        <f>F4A!H787+F4B!H787</f>
        <v>0.59925408792736667</v>
      </c>
      <c r="I787" s="162">
        <f>F4A!I787+F4B!I787</f>
        <v>0.52829176479379891</v>
      </c>
      <c r="J787" s="162">
        <f>F4A!J787+F4B!J787</f>
        <v>4.3727004416914239</v>
      </c>
      <c r="K787" s="162">
        <f>F4A!K787+F4B!K787</f>
        <v>2.6980314197587427</v>
      </c>
      <c r="L787" s="162">
        <f>F4A!L787+F4B!L787</f>
        <v>1.4271500351116746</v>
      </c>
      <c r="M787" s="162">
        <f>F4A!M787+F4B!M787</f>
        <v>0.60317974663532659</v>
      </c>
      <c r="N787" s="162">
        <f>F4A!N787+F4B!N787</f>
        <v>9.7151300305415944</v>
      </c>
      <c r="O787" s="162">
        <f>F4A!O787+F4B!O787</f>
        <v>7.9267606073951784</v>
      </c>
      <c r="P787" s="162">
        <f>F4A!P787+F4B!P787</f>
        <v>5.7508287320389764</v>
      </c>
      <c r="Q787" s="167">
        <f t="shared" si="84"/>
        <v>42.577851111604176</v>
      </c>
      <c r="R787" s="166"/>
      <c r="S787" s="166"/>
    </row>
    <row r="788" spans="3:19" hidden="1" x14ac:dyDescent="0.25">
      <c r="C788" s="17" t="s">
        <v>204</v>
      </c>
      <c r="D788" s="17" t="s">
        <v>205</v>
      </c>
      <c r="E788" s="162">
        <f>F4A!E788+F4B!E788</f>
        <v>37.882023104219023</v>
      </c>
      <c r="F788" s="162">
        <f>F4A!F788+F4B!F788</f>
        <v>38.818425551314967</v>
      </c>
      <c r="G788" s="162">
        <f>F4A!G788+F4B!G788</f>
        <v>38.886781554696832</v>
      </c>
      <c r="H788" s="162">
        <f>F4A!H788+F4B!H788</f>
        <v>37.448603525317559</v>
      </c>
      <c r="I788" s="162">
        <f>F4A!I788+F4B!I788</f>
        <v>38.372458072541406</v>
      </c>
      <c r="J788" s="162">
        <f>F4A!J788+F4B!J788</f>
        <v>34.983298793288334</v>
      </c>
      <c r="K788" s="162">
        <f>F4A!K788+F4B!K788</f>
        <v>39.089890349771466</v>
      </c>
      <c r="L788" s="162">
        <f>F4A!L788+F4B!L788</f>
        <v>39.114646272286322</v>
      </c>
      <c r="M788" s="162">
        <f>F4A!M788+F4B!M788</f>
        <v>38.729016843723919</v>
      </c>
      <c r="N788" s="162">
        <f>F4A!N788+F4B!N788</f>
        <v>40.381102315746062</v>
      </c>
      <c r="O788" s="162">
        <f>F4A!O788+F4B!O788</f>
        <v>36.345287239669915</v>
      </c>
      <c r="P788" s="162">
        <f>F4A!P788+F4B!P788</f>
        <v>48.451641973776439</v>
      </c>
      <c r="Q788" s="167">
        <f t="shared" si="84"/>
        <v>468.50317559635221</v>
      </c>
      <c r="R788" s="166"/>
      <c r="S788" s="166"/>
    </row>
    <row r="789" spans="3:19" hidden="1" x14ac:dyDescent="0.25">
      <c r="C789" s="17" t="s">
        <v>206</v>
      </c>
      <c r="D789" s="17" t="s">
        <v>207</v>
      </c>
      <c r="E789" s="162">
        <f>F4A!E789+F4B!E789</f>
        <v>3.4494464882793676</v>
      </c>
      <c r="F789" s="162">
        <f>F4A!F789+F4B!F789</f>
        <v>4.2840005885585901</v>
      </c>
      <c r="G789" s="162">
        <f>F4A!G789+F4B!G789</f>
        <v>4.5753967749872357</v>
      </c>
      <c r="H789" s="162">
        <f>F4A!H789+F4B!H789</f>
        <v>3.6771057313326283</v>
      </c>
      <c r="I789" s="162">
        <f>F4A!I789+F4B!I789</f>
        <v>3.640077100962142</v>
      </c>
      <c r="J789" s="162">
        <f>F4A!J789+F4B!J789</f>
        <v>3.7336637713109897</v>
      </c>
      <c r="K789" s="162">
        <f>F4A!K789+F4B!K789</f>
        <v>1.9954444634440474</v>
      </c>
      <c r="L789" s="162">
        <f>F4A!L789+F4B!L789</f>
        <v>1.468927460528604</v>
      </c>
      <c r="M789" s="162">
        <f>F4A!M789+F4B!M789</f>
        <v>0.7283216651388722</v>
      </c>
      <c r="N789" s="162">
        <f>F4A!N789+F4B!N789</f>
        <v>2.0204682003608814</v>
      </c>
      <c r="O789" s="162">
        <f>F4A!O789+F4B!O789</f>
        <v>2.5431365420099148</v>
      </c>
      <c r="P789" s="162">
        <f>F4A!P789+F4B!P789</f>
        <v>3.6863410266887255</v>
      </c>
      <c r="Q789" s="167">
        <f t="shared" si="84"/>
        <v>35.802329813602</v>
      </c>
      <c r="R789" s="166"/>
      <c r="S789" s="166"/>
    </row>
    <row r="790" spans="3:19" hidden="1" x14ac:dyDescent="0.25">
      <c r="C790" s="17" t="s">
        <v>214</v>
      </c>
      <c r="D790" s="17" t="s">
        <v>187</v>
      </c>
      <c r="E790" s="162">
        <f>F4A!E790+F4B!E790</f>
        <v>0.65505785067725042</v>
      </c>
      <c r="F790" s="162">
        <f>F4A!F790+F4B!F790</f>
        <v>0.52404979043615296</v>
      </c>
      <c r="G790" s="162">
        <f>F4A!G790+F4B!G790</f>
        <v>0.61122303081550433</v>
      </c>
      <c r="H790" s="162">
        <f>F4A!H790+F4B!H790</f>
        <v>0.52052360014557864</v>
      </c>
      <c r="I790" s="162">
        <f>F4A!I790+F4B!I790</f>
        <v>0.5593505528865127</v>
      </c>
      <c r="J790" s="162">
        <f>F4A!J790+F4B!J790</f>
        <v>0.75069745764833296</v>
      </c>
      <c r="K790" s="162">
        <f>F4A!K790+F4B!K790</f>
        <v>0.80549317615948568</v>
      </c>
      <c r="L790" s="162">
        <f>F4A!L790+F4B!L790</f>
        <v>0.81840331970823255</v>
      </c>
      <c r="M790" s="162">
        <f>F4A!M790+F4B!M790</f>
        <v>0.96700221832388711</v>
      </c>
      <c r="N790" s="162">
        <f>F4A!N790+F4B!N790</f>
        <v>0.90386674012443313</v>
      </c>
      <c r="O790" s="162">
        <f>F4A!O790+F4B!O790</f>
        <v>0.85171221711354317</v>
      </c>
      <c r="P790" s="162">
        <f>F4A!P790+F4B!P790</f>
        <v>0.83531098221774758</v>
      </c>
      <c r="Q790" s="167">
        <f t="shared" si="84"/>
        <v>8.8026909362566617</v>
      </c>
      <c r="R790" s="166"/>
      <c r="S790" s="166"/>
    </row>
    <row r="791" spans="3:19" hidden="1" x14ac:dyDescent="0.25">
      <c r="C791" s="17" t="s">
        <v>209</v>
      </c>
      <c r="D791" s="17" t="s">
        <v>210</v>
      </c>
      <c r="E791" s="162">
        <f>F4A!E791+F4B!E791</f>
        <v>0</v>
      </c>
      <c r="F791" s="162">
        <f>F4A!F791+F4B!F791</f>
        <v>0</v>
      </c>
      <c r="G791" s="162">
        <f>F4A!G791+F4B!G791</f>
        <v>0</v>
      </c>
      <c r="H791" s="162">
        <f>F4A!H791+F4B!H791</f>
        <v>0</v>
      </c>
      <c r="I791" s="162">
        <f>F4A!I791+F4B!I791</f>
        <v>0</v>
      </c>
      <c r="J791" s="162">
        <f>F4A!J791+F4B!J791</f>
        <v>0</v>
      </c>
      <c r="K791" s="162">
        <f>F4A!K791+F4B!K791</f>
        <v>0</v>
      </c>
      <c r="L791" s="162">
        <f>F4A!L791+F4B!L791</f>
        <v>0</v>
      </c>
      <c r="M791" s="162">
        <f>F4A!M791+F4B!M791</f>
        <v>0</v>
      </c>
      <c r="N791" s="162">
        <f>F4A!N791+F4B!N791</f>
        <v>0</v>
      </c>
      <c r="O791" s="162">
        <f>F4A!O791+F4B!O791</f>
        <v>0</v>
      </c>
      <c r="P791" s="162">
        <f>F4A!P791+F4B!P791</f>
        <v>0</v>
      </c>
      <c r="Q791" s="167">
        <f t="shared" si="84"/>
        <v>0</v>
      </c>
      <c r="R791" s="166"/>
      <c r="S791" s="166"/>
    </row>
    <row r="792" spans="3:19" hidden="1" x14ac:dyDescent="0.25">
      <c r="C792" s="17" t="s">
        <v>211</v>
      </c>
      <c r="D792" s="17" t="s">
        <v>189</v>
      </c>
      <c r="E792" s="162">
        <f>F4A!E792+F4B!E792</f>
        <v>6.9551999999999996</v>
      </c>
      <c r="F792" s="162">
        <f>F4A!F792+F4B!F792</f>
        <v>7.1870399999999997</v>
      </c>
      <c r="G792" s="162">
        <f>F4A!G792+F4B!G792</f>
        <v>6.9551999999999996</v>
      </c>
      <c r="H792" s="162">
        <f>F4A!H792+F4B!H792</f>
        <v>7.1870399999999997</v>
      </c>
      <c r="I792" s="162">
        <f>F4A!I792+F4B!I792</f>
        <v>7.1870399999999997</v>
      </c>
      <c r="J792" s="162">
        <f>F4A!J792+F4B!J792</f>
        <v>6.9551999999999996</v>
      </c>
      <c r="K792" s="162">
        <f>F4A!K792+F4B!K792</f>
        <v>7.1870399999999997</v>
      </c>
      <c r="L792" s="162">
        <f>F4A!L792+F4B!L792</f>
        <v>6.9551999999999996</v>
      </c>
      <c r="M792" s="162">
        <f>F4A!M792+F4B!M792</f>
        <v>7.1870399999999997</v>
      </c>
      <c r="N792" s="162">
        <f>F4A!N792+F4B!N792</f>
        <v>7.1870399999999997</v>
      </c>
      <c r="O792" s="162">
        <f>F4A!O792+F4B!O792</f>
        <v>6.4915200000000004</v>
      </c>
      <c r="P792" s="162">
        <f>F4A!P792+F4B!P792</f>
        <v>7.1870399999999997</v>
      </c>
      <c r="Q792" s="167">
        <f t="shared" si="84"/>
        <v>84.621599999999987</v>
      </c>
      <c r="R792" s="166"/>
      <c r="S792" s="166"/>
    </row>
    <row r="793" spans="3:19" hidden="1" x14ac:dyDescent="0.25">
      <c r="C793" s="17"/>
      <c r="D793" s="17"/>
      <c r="E793" s="162">
        <f>F4A!E793+F4B!E793</f>
        <v>0</v>
      </c>
      <c r="F793" s="162">
        <f>F4A!F793+F4B!F793</f>
        <v>0</v>
      </c>
      <c r="G793" s="162">
        <f>F4A!G793+F4B!G793</f>
        <v>0</v>
      </c>
      <c r="H793" s="162">
        <f>F4A!H793+F4B!H793</f>
        <v>0</v>
      </c>
      <c r="I793" s="162">
        <f>F4A!I793+F4B!I793</f>
        <v>0</v>
      </c>
      <c r="J793" s="162">
        <f>F4A!J793+F4B!J793</f>
        <v>0</v>
      </c>
      <c r="K793" s="162">
        <f>F4A!K793+F4B!K793</f>
        <v>0</v>
      </c>
      <c r="L793" s="162">
        <f>F4A!L793+F4B!L793</f>
        <v>0</v>
      </c>
      <c r="M793" s="162">
        <f>F4A!M793+F4B!M793</f>
        <v>0</v>
      </c>
      <c r="N793" s="162">
        <f>F4A!N793+F4B!N793</f>
        <v>0</v>
      </c>
      <c r="O793" s="162">
        <f>F4A!O793+F4B!O793</f>
        <v>0</v>
      </c>
      <c r="P793" s="162">
        <f>F4A!P793+F4B!P793</f>
        <v>0</v>
      </c>
      <c r="Q793" s="167">
        <f t="shared" si="84"/>
        <v>0</v>
      </c>
      <c r="R793" s="166"/>
      <c r="S793" s="166"/>
    </row>
    <row r="794" spans="3:19" hidden="1" x14ac:dyDescent="0.25">
      <c r="C794" s="17"/>
      <c r="D794" s="17"/>
      <c r="E794" s="162">
        <f>F4A!E794+F4B!E794</f>
        <v>0</v>
      </c>
      <c r="F794" s="162">
        <f>F4A!F794+F4B!F794</f>
        <v>0</v>
      </c>
      <c r="G794" s="162">
        <f>F4A!G794+F4B!G794</f>
        <v>0</v>
      </c>
      <c r="H794" s="162">
        <f>F4A!H794+F4B!H794</f>
        <v>0</v>
      </c>
      <c r="I794" s="162">
        <f>F4A!I794+F4B!I794</f>
        <v>0</v>
      </c>
      <c r="J794" s="162">
        <f>F4A!J794+F4B!J794</f>
        <v>0</v>
      </c>
      <c r="K794" s="162">
        <f>F4A!K794+F4B!K794</f>
        <v>0</v>
      </c>
      <c r="L794" s="162">
        <f>F4A!L794+F4B!L794</f>
        <v>0</v>
      </c>
      <c r="M794" s="162">
        <f>F4A!M794+F4B!M794</f>
        <v>0</v>
      </c>
      <c r="N794" s="162">
        <f>F4A!N794+F4B!N794</f>
        <v>0</v>
      </c>
      <c r="O794" s="162">
        <f>F4A!O794+F4B!O794</f>
        <v>0</v>
      </c>
      <c r="P794" s="162">
        <f>F4A!P794+F4B!P794</f>
        <v>0</v>
      </c>
      <c r="Q794" s="167">
        <f t="shared" si="84"/>
        <v>0</v>
      </c>
      <c r="R794" s="166"/>
      <c r="S794" s="166"/>
    </row>
    <row r="795" spans="3:19" hidden="1" x14ac:dyDescent="0.25">
      <c r="C795" s="17"/>
      <c r="D795" s="17"/>
      <c r="E795" s="162">
        <f>F4A!E795+F4B!E795</f>
        <v>0</v>
      </c>
      <c r="F795" s="162">
        <f>F4A!F795+F4B!F795</f>
        <v>0</v>
      </c>
      <c r="G795" s="162">
        <f>F4A!G795+F4B!G795</f>
        <v>0</v>
      </c>
      <c r="H795" s="162">
        <f>F4A!H795+F4B!H795</f>
        <v>0</v>
      </c>
      <c r="I795" s="162">
        <f>F4A!I795+F4B!I795</f>
        <v>0</v>
      </c>
      <c r="J795" s="162">
        <f>F4A!J795+F4B!J795</f>
        <v>0</v>
      </c>
      <c r="K795" s="162">
        <f>F4A!K795+F4B!K795</f>
        <v>0</v>
      </c>
      <c r="L795" s="162">
        <f>F4A!L795+F4B!L795</f>
        <v>0</v>
      </c>
      <c r="M795" s="162">
        <f>F4A!M795+F4B!M795</f>
        <v>0</v>
      </c>
      <c r="N795" s="162">
        <f>F4A!N795+F4B!N795</f>
        <v>0</v>
      </c>
      <c r="O795" s="162">
        <f>F4A!O795+F4B!O795</f>
        <v>0</v>
      </c>
      <c r="P795" s="162">
        <f>F4A!P795+F4B!P795</f>
        <v>0</v>
      </c>
      <c r="Q795" s="167">
        <f t="shared" si="84"/>
        <v>0</v>
      </c>
      <c r="R795" s="166"/>
      <c r="S795" s="166"/>
    </row>
    <row r="796" spans="3:19" hidden="1" x14ac:dyDescent="0.25">
      <c r="C796" s="17" t="s">
        <v>226</v>
      </c>
      <c r="D796" s="17" t="s">
        <v>226</v>
      </c>
      <c r="E796" s="162">
        <f>F4A!E796+F4B!E796</f>
        <v>0</v>
      </c>
      <c r="F796" s="162">
        <f>F4A!F796+F4B!F796</f>
        <v>0</v>
      </c>
      <c r="G796" s="162">
        <f>F4A!G796+F4B!G796</f>
        <v>0</v>
      </c>
      <c r="H796" s="162">
        <f>F4A!H796+F4B!H796</f>
        <v>0</v>
      </c>
      <c r="I796" s="162">
        <f>F4A!I796+F4B!I796</f>
        <v>0</v>
      </c>
      <c r="J796" s="162">
        <f>F4A!J796+F4B!J796</f>
        <v>0</v>
      </c>
      <c r="K796" s="162">
        <f>F4A!K796+F4B!K796</f>
        <v>0</v>
      </c>
      <c r="L796" s="162">
        <f>F4A!L796+F4B!L796</f>
        <v>0</v>
      </c>
      <c r="M796" s="162">
        <f>F4A!M796+F4B!M796</f>
        <v>0</v>
      </c>
      <c r="N796" s="162">
        <f>F4A!N796+F4B!N796</f>
        <v>0</v>
      </c>
      <c r="O796" s="162">
        <f>F4A!O796+F4B!O796</f>
        <v>0</v>
      </c>
      <c r="P796" s="162">
        <f>F4A!P796+F4B!P796</f>
        <v>0</v>
      </c>
      <c r="Q796" s="167">
        <f t="shared" si="84"/>
        <v>0</v>
      </c>
      <c r="R796" s="166"/>
      <c r="S796" s="166"/>
    </row>
    <row r="797" spans="3:19" hidden="1" x14ac:dyDescent="0.25">
      <c r="C797" s="751" t="s">
        <v>212</v>
      </c>
      <c r="D797" s="752"/>
      <c r="E797" s="167">
        <f t="shared" ref="E797:P797" si="85">SUM(E782:E796)</f>
        <v>77.13215982334323</v>
      </c>
      <c r="F797" s="167">
        <f t="shared" si="85"/>
        <v>78.311118799144509</v>
      </c>
      <c r="G797" s="167">
        <f t="shared" si="85"/>
        <v>71.874313476149055</v>
      </c>
      <c r="H797" s="167">
        <f t="shared" si="85"/>
        <v>70.706011405322513</v>
      </c>
      <c r="I797" s="167">
        <f t="shared" si="85"/>
        <v>72.362257972170184</v>
      </c>
      <c r="J797" s="167">
        <f t="shared" si="85"/>
        <v>73.006527468194861</v>
      </c>
      <c r="K797" s="167">
        <f t="shared" si="85"/>
        <v>72.232467180297476</v>
      </c>
      <c r="L797" s="167">
        <f t="shared" si="85"/>
        <v>71.828035148215946</v>
      </c>
      <c r="M797" s="167">
        <f t="shared" si="85"/>
        <v>70.091300394201284</v>
      </c>
      <c r="N797" s="167">
        <f t="shared" si="85"/>
        <v>83.181482792092197</v>
      </c>
      <c r="O797" s="167">
        <f t="shared" si="85"/>
        <v>77.621009371292601</v>
      </c>
      <c r="P797" s="167">
        <f t="shared" si="85"/>
        <v>90.457386913729593</v>
      </c>
      <c r="Q797" s="167">
        <f t="shared" si="84"/>
        <v>908.80407074415348</v>
      </c>
      <c r="R797" s="166"/>
      <c r="S797" s="166"/>
    </row>
    <row r="798" spans="3:19" hidden="1" x14ac:dyDescent="0.25">
      <c r="C798" s="753" t="s">
        <v>215</v>
      </c>
      <c r="D798" s="754"/>
      <c r="E798" s="162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7">
        <f t="shared" si="84"/>
        <v>0</v>
      </c>
      <c r="R798" s="166"/>
      <c r="S798" s="166"/>
    </row>
    <row r="799" spans="3:19" hidden="1" x14ac:dyDescent="0.25">
      <c r="C799" s="17" t="s">
        <v>192</v>
      </c>
      <c r="D799" s="17" t="s">
        <v>193</v>
      </c>
      <c r="E799" s="162">
        <f>F4A!E799+F4B!E799</f>
        <v>54.790710119047361</v>
      </c>
      <c r="F799" s="162">
        <f>F4A!F799+F4B!F799</f>
        <v>51.353608541789825</v>
      </c>
      <c r="G799" s="162">
        <f>F4A!G799+F4B!G799</f>
        <v>57.787605230407195</v>
      </c>
      <c r="H799" s="162">
        <f>F4A!H799+F4B!H799</f>
        <v>56.847030549868862</v>
      </c>
      <c r="I799" s="162">
        <f>F4A!I799+F4B!I799</f>
        <v>60.595030290043027</v>
      </c>
      <c r="J799" s="162">
        <f>F4A!J799+F4B!J799</f>
        <v>67.599585098722514</v>
      </c>
      <c r="K799" s="162">
        <f>F4A!K799+F4B!K799</f>
        <v>63.346928012692302</v>
      </c>
      <c r="L799" s="162">
        <f>F4A!L799+F4B!L799</f>
        <v>64.718350235314688</v>
      </c>
      <c r="M799" s="162">
        <f>F4A!M799+F4B!M799</f>
        <v>56.988122577422786</v>
      </c>
      <c r="N799" s="162">
        <f>F4A!N799+F4B!N799</f>
        <v>61.0832025354308</v>
      </c>
      <c r="O799" s="162">
        <f>F4A!O799+F4B!O799</f>
        <v>57.396121508033055</v>
      </c>
      <c r="P799" s="162">
        <f>F4A!P799+F4B!P799</f>
        <v>58.009275961006594</v>
      </c>
      <c r="Q799" s="167">
        <f t="shared" si="84"/>
        <v>710.51557065977897</v>
      </c>
      <c r="R799" s="166"/>
      <c r="S799" s="166"/>
    </row>
    <row r="800" spans="3:19" hidden="1" x14ac:dyDescent="0.25">
      <c r="C800" s="17" t="s">
        <v>194</v>
      </c>
      <c r="D800" s="17" t="s">
        <v>195</v>
      </c>
      <c r="E800" s="162">
        <f>F4A!E800+F4B!E800</f>
        <v>0</v>
      </c>
      <c r="F800" s="162">
        <f>F4A!F800+F4B!F800</f>
        <v>0</v>
      </c>
      <c r="G800" s="162">
        <f>F4A!G800+F4B!G800</f>
        <v>0</v>
      </c>
      <c r="H800" s="162">
        <f>F4A!H800+F4B!H800</f>
        <v>0</v>
      </c>
      <c r="I800" s="162">
        <f>F4A!I800+F4B!I800</f>
        <v>0</v>
      </c>
      <c r="J800" s="162">
        <f>F4A!J800+F4B!J800</f>
        <v>0</v>
      </c>
      <c r="K800" s="162">
        <f>F4A!K800+F4B!K800</f>
        <v>0</v>
      </c>
      <c r="L800" s="162">
        <f>F4A!L800+F4B!L800</f>
        <v>0</v>
      </c>
      <c r="M800" s="162">
        <f>F4A!M800+F4B!M800</f>
        <v>0</v>
      </c>
      <c r="N800" s="162">
        <f>F4A!N800+F4B!N800</f>
        <v>0</v>
      </c>
      <c r="O800" s="162">
        <f>F4A!O800+F4B!O800</f>
        <v>0</v>
      </c>
      <c r="P800" s="162">
        <f>F4A!P800+F4B!P800</f>
        <v>0</v>
      </c>
      <c r="Q800" s="167">
        <f t="shared" si="84"/>
        <v>0</v>
      </c>
      <c r="R800" s="166"/>
      <c r="S800" s="166"/>
    </row>
    <row r="801" spans="3:19" hidden="1" x14ac:dyDescent="0.25">
      <c r="C801" s="17" t="s">
        <v>233</v>
      </c>
      <c r="D801" s="17" t="s">
        <v>197</v>
      </c>
      <c r="E801" s="162">
        <f>F4A!E801+F4B!E801</f>
        <v>1.4174100066512807</v>
      </c>
      <c r="F801" s="162">
        <f>F4A!F801+F4B!F801</f>
        <v>0.83890448728413791</v>
      </c>
      <c r="G801" s="162">
        <f>F4A!G801+F4B!G801</f>
        <v>0.79343139090461778</v>
      </c>
      <c r="H801" s="162">
        <f>F4A!H801+F4B!H801</f>
        <v>0.8150558253242266</v>
      </c>
      <c r="I801" s="162">
        <f>F4A!I801+F4B!I801</f>
        <v>0.17484899830712253</v>
      </c>
      <c r="J801" s="162">
        <f>F4A!J801+F4B!J801</f>
        <v>0.36366120283947823</v>
      </c>
      <c r="K801" s="162">
        <f>F4A!K801+F4B!K801</f>
        <v>0.30904405990538053</v>
      </c>
      <c r="L801" s="162">
        <f>F4A!L801+F4B!L801</f>
        <v>0.41555984544653934</v>
      </c>
      <c r="M801" s="162">
        <f>F4A!M801+F4B!M801</f>
        <v>0.45398955461510127</v>
      </c>
      <c r="N801" s="162">
        <f>F4A!N801+F4B!N801</f>
        <v>0.76785277419113762</v>
      </c>
      <c r="O801" s="162">
        <f>F4A!O801+F4B!O801</f>
        <v>0.32893853957142066</v>
      </c>
      <c r="P801" s="162">
        <f>F4A!P801+F4B!P801</f>
        <v>0.28445398876536832</v>
      </c>
      <c r="Q801" s="167">
        <f t="shared" si="84"/>
        <v>6.9631506738058109</v>
      </c>
      <c r="R801" s="166"/>
      <c r="S801" s="166"/>
    </row>
    <row r="802" spans="3:19" hidden="1" x14ac:dyDescent="0.25">
      <c r="C802" s="17" t="s">
        <v>198</v>
      </c>
      <c r="D802" s="17" t="s">
        <v>199</v>
      </c>
      <c r="E802" s="162">
        <f>F4A!E802+F4B!E802</f>
        <v>0</v>
      </c>
      <c r="F802" s="162">
        <f>F4A!F802+F4B!F802</f>
        <v>0</v>
      </c>
      <c r="G802" s="162">
        <f>F4A!G802+F4B!G802</f>
        <v>0</v>
      </c>
      <c r="H802" s="162">
        <f>F4A!H802+F4B!H802</f>
        <v>0</v>
      </c>
      <c r="I802" s="162">
        <f>F4A!I802+F4B!I802</f>
        <v>0</v>
      </c>
      <c r="J802" s="162">
        <f>F4A!J802+F4B!J802</f>
        <v>0</v>
      </c>
      <c r="K802" s="162">
        <f>F4A!K802+F4B!K802</f>
        <v>0</v>
      </c>
      <c r="L802" s="162">
        <f>F4A!L802+F4B!L802</f>
        <v>0</v>
      </c>
      <c r="M802" s="162">
        <f>F4A!M802+F4B!M802</f>
        <v>0</v>
      </c>
      <c r="N802" s="162">
        <f>F4A!N802+F4B!N802</f>
        <v>0</v>
      </c>
      <c r="O802" s="162">
        <f>F4A!O802+F4B!O802</f>
        <v>0</v>
      </c>
      <c r="P802" s="162">
        <f>F4A!P802+F4B!P802</f>
        <v>0</v>
      </c>
      <c r="Q802" s="167">
        <f t="shared" si="84"/>
        <v>0</v>
      </c>
      <c r="R802" s="166"/>
      <c r="S802" s="166"/>
    </row>
    <row r="803" spans="3:19" hidden="1" x14ac:dyDescent="0.25">
      <c r="C803" s="17" t="s">
        <v>200</v>
      </c>
      <c r="D803" s="17" t="s">
        <v>201</v>
      </c>
      <c r="E803" s="162">
        <f>F4A!E803+F4B!E803</f>
        <v>0</v>
      </c>
      <c r="F803" s="162">
        <f>F4A!F803+F4B!F803</f>
        <v>0</v>
      </c>
      <c r="G803" s="162">
        <f>F4A!G803+F4B!G803</f>
        <v>0</v>
      </c>
      <c r="H803" s="162">
        <f>F4A!H803+F4B!H803</f>
        <v>0</v>
      </c>
      <c r="I803" s="162">
        <f>F4A!I803+F4B!I803</f>
        <v>0</v>
      </c>
      <c r="J803" s="162">
        <f>F4A!J803+F4B!J803</f>
        <v>0</v>
      </c>
      <c r="K803" s="162">
        <f>F4A!K803+F4B!K803</f>
        <v>0</v>
      </c>
      <c r="L803" s="162">
        <f>F4A!L803+F4B!L803</f>
        <v>0</v>
      </c>
      <c r="M803" s="162">
        <f>F4A!M803+F4B!M803</f>
        <v>0</v>
      </c>
      <c r="N803" s="162">
        <f>F4A!N803+F4B!N803</f>
        <v>0</v>
      </c>
      <c r="O803" s="162">
        <f>F4A!O803+F4B!O803</f>
        <v>0</v>
      </c>
      <c r="P803" s="162">
        <f>F4A!P803+F4B!P803</f>
        <v>0</v>
      </c>
      <c r="Q803" s="167">
        <f t="shared" si="84"/>
        <v>0</v>
      </c>
      <c r="R803" s="166"/>
      <c r="S803" s="166"/>
    </row>
    <row r="804" spans="3:19" hidden="1" x14ac:dyDescent="0.25">
      <c r="C804" s="17" t="s">
        <v>202</v>
      </c>
      <c r="D804" s="17" t="s">
        <v>234</v>
      </c>
      <c r="E804" s="162">
        <f>F4A!E804+F4B!E804</f>
        <v>265.87655583949447</v>
      </c>
      <c r="F804" s="162">
        <f>F4A!F804+F4B!F804</f>
        <v>66.12706550137392</v>
      </c>
      <c r="G804" s="162">
        <f>F4A!G804+F4B!G804</f>
        <v>16.13953869331824</v>
      </c>
      <c r="H804" s="162">
        <f>F4A!H804+F4B!H804</f>
        <v>290.52667669136343</v>
      </c>
      <c r="I804" s="162">
        <f>F4A!I804+F4B!I804</f>
        <v>11.882231259415201</v>
      </c>
      <c r="J804" s="162">
        <f>F4A!J804+F4B!J804</f>
        <v>60.910381612242801</v>
      </c>
      <c r="K804" s="162">
        <f>F4A!K804+F4B!K804</f>
        <v>80.516919718846083</v>
      </c>
      <c r="L804" s="162">
        <f>F4A!L804+F4B!L804</f>
        <v>150.05810917552924</v>
      </c>
      <c r="M804" s="162">
        <f>F4A!M804+F4B!M804</f>
        <v>26.65649285716464</v>
      </c>
      <c r="N804" s="162">
        <f>F4A!N804+F4B!N804</f>
        <v>125.27884940427073</v>
      </c>
      <c r="O804" s="162">
        <f>F4A!O804+F4B!O804</f>
        <v>147.01453097425633</v>
      </c>
      <c r="P804" s="162">
        <f>F4A!P804+F4B!P804</f>
        <v>157.32716740844549</v>
      </c>
      <c r="Q804" s="167">
        <f t="shared" si="84"/>
        <v>1398.3145191357207</v>
      </c>
      <c r="R804" s="166"/>
      <c r="S804" s="166"/>
    </row>
    <row r="805" spans="3:19" hidden="1" x14ac:dyDescent="0.25">
      <c r="C805" s="17" t="s">
        <v>204</v>
      </c>
      <c r="D805" s="17" t="s">
        <v>216</v>
      </c>
      <c r="E805" s="162">
        <f>F4A!E805+F4B!E805</f>
        <v>2.7730891851888999</v>
      </c>
      <c r="F805" s="162">
        <f>F4A!F805+F4B!F805</f>
        <v>2.8398119643926649</v>
      </c>
      <c r="G805" s="162">
        <f>F4A!G805+F4B!G805</f>
        <v>2.783124536885166</v>
      </c>
      <c r="H805" s="162">
        <f>F4A!H805+F4B!H805</f>
        <v>2.7126601339617582</v>
      </c>
      <c r="I805" s="162">
        <f>F4A!I805+F4B!I805</f>
        <v>2.8322653409164342</v>
      </c>
      <c r="J805" s="162">
        <f>F4A!J805+F4B!J805</f>
        <v>2.8646017449977244</v>
      </c>
      <c r="K805" s="162">
        <f>F4A!K805+F4B!K805</f>
        <v>2.785186695625764</v>
      </c>
      <c r="L805" s="162">
        <f>F4A!L805+F4B!L805</f>
        <v>2.700331057236057</v>
      </c>
      <c r="M805" s="162">
        <f>F4A!M805+F4B!M805</f>
        <v>2.9061520498348759</v>
      </c>
      <c r="N805" s="162">
        <f>F4A!N805+F4B!N805</f>
        <v>2.964024121725271</v>
      </c>
      <c r="O805" s="162">
        <f>F4A!O805+F4B!O805</f>
        <v>2.7554389588996928</v>
      </c>
      <c r="P805" s="162">
        <f>F4A!P805+F4B!P805</f>
        <v>3.1613332250543897</v>
      </c>
      <c r="Q805" s="167">
        <f t="shared" si="84"/>
        <v>34.078019014718699</v>
      </c>
      <c r="R805" s="166"/>
      <c r="S805" s="166"/>
    </row>
    <row r="806" spans="3:19" hidden="1" x14ac:dyDescent="0.25">
      <c r="C806" s="17" t="s">
        <v>217</v>
      </c>
      <c r="D806" s="17" t="s">
        <v>218</v>
      </c>
      <c r="E806" s="162">
        <f>F4A!E806+F4B!E806</f>
        <v>88.495990278751634</v>
      </c>
      <c r="F806" s="162">
        <f>F4A!F806+F4B!F806</f>
        <v>86.081883091035493</v>
      </c>
      <c r="G806" s="162">
        <f>F4A!G806+F4B!G806</f>
        <v>84.339775060511087</v>
      </c>
      <c r="H806" s="162">
        <f>F4A!H806+F4B!H806</f>
        <v>85.024237384186748</v>
      </c>
      <c r="I806" s="162">
        <f>F4A!I806+F4B!I806</f>
        <v>86.070510656469082</v>
      </c>
      <c r="J806" s="162">
        <f>F4A!J806+F4B!J806</f>
        <v>81.73376376261902</v>
      </c>
      <c r="K806" s="162">
        <f>F4A!K806+F4B!K806</f>
        <v>86.299672148321079</v>
      </c>
      <c r="L806" s="162">
        <f>F4A!L806+F4B!L806</f>
        <v>87.596111611397745</v>
      </c>
      <c r="M806" s="162">
        <f>F4A!M806+F4B!M806</f>
        <v>86.075373671883028</v>
      </c>
      <c r="N806" s="162">
        <f>F4A!N806+F4B!N806</f>
        <v>89.207180602862238</v>
      </c>
      <c r="O806" s="162">
        <f>F4A!O806+F4B!O806</f>
        <v>84.579284482848436</v>
      </c>
      <c r="P806" s="162">
        <f>F4A!P806+F4B!P806</f>
        <v>91.286292526710412</v>
      </c>
      <c r="Q806" s="167">
        <f t="shared" si="84"/>
        <v>1036.7900752775961</v>
      </c>
      <c r="R806" s="166"/>
      <c r="S806" s="166"/>
    </row>
    <row r="807" spans="3:19" hidden="1" x14ac:dyDescent="0.25">
      <c r="C807" s="17" t="s">
        <v>252</v>
      </c>
      <c r="D807" s="17" t="s">
        <v>236</v>
      </c>
      <c r="E807" s="162">
        <f>F4A!E807+F4B!E807</f>
        <v>0</v>
      </c>
      <c r="F807" s="162">
        <f>F4A!F807+F4B!F807</f>
        <v>0</v>
      </c>
      <c r="G807" s="162">
        <f>F4A!G807+F4B!G807</f>
        <v>0</v>
      </c>
      <c r="H807" s="162">
        <f>F4A!H807+F4B!H807</f>
        <v>0</v>
      </c>
      <c r="I807" s="162">
        <f>F4A!I807+F4B!I807</f>
        <v>0</v>
      </c>
      <c r="J807" s="162">
        <f>F4A!J807+F4B!J807</f>
        <v>0</v>
      </c>
      <c r="K807" s="162">
        <f>F4A!K807+F4B!K807</f>
        <v>0</v>
      </c>
      <c r="L807" s="162">
        <f>F4A!L807+F4B!L807</f>
        <v>0</v>
      </c>
      <c r="M807" s="162">
        <f>F4A!M807+F4B!M807</f>
        <v>0</v>
      </c>
      <c r="N807" s="162">
        <f>F4A!N807+F4B!N807</f>
        <v>0</v>
      </c>
      <c r="O807" s="162">
        <f>F4A!O807+F4B!O807</f>
        <v>0</v>
      </c>
      <c r="P807" s="162">
        <f>F4A!P807+F4B!P807</f>
        <v>0</v>
      </c>
      <c r="Q807" s="167">
        <f t="shared" si="84"/>
        <v>0</v>
      </c>
      <c r="R807" s="166"/>
      <c r="S807" s="166"/>
    </row>
    <row r="808" spans="3:19" hidden="1" x14ac:dyDescent="0.25">
      <c r="C808" s="17" t="s">
        <v>206</v>
      </c>
      <c r="D808" s="17" t="s">
        <v>207</v>
      </c>
      <c r="E808" s="162">
        <f>F4A!E808+F4B!E808</f>
        <v>6.6576768003866027</v>
      </c>
      <c r="F808" s="162">
        <f>F4A!F808+F4B!F808</f>
        <v>8.193994197231369</v>
      </c>
      <c r="G808" s="162">
        <f>F4A!G808+F4B!G808</f>
        <v>7.6263343645085007</v>
      </c>
      <c r="H808" s="162">
        <f>F4A!H808+F4B!H808</f>
        <v>7.352685729273774</v>
      </c>
      <c r="I808" s="162">
        <f>F4A!I808+F4B!I808</f>
        <v>7.2345512914929806</v>
      </c>
      <c r="J808" s="162">
        <f>F4A!J808+F4B!J808</f>
        <v>6.7185160689661343</v>
      </c>
      <c r="K808" s="162">
        <f>F4A!K808+F4B!K808</f>
        <v>5.8831751577498341</v>
      </c>
      <c r="L808" s="162">
        <f>F4A!L808+F4B!L808</f>
        <v>5.1833038570053693</v>
      </c>
      <c r="M808" s="162">
        <f>F4A!M808+F4B!M808</f>
        <v>3.2764856487075655</v>
      </c>
      <c r="N808" s="162">
        <f>F4A!N808+F4B!N808</f>
        <v>3.5522121640139135</v>
      </c>
      <c r="O808" s="162">
        <f>F4A!O808+F4B!O808</f>
        <v>4.2702776123143105</v>
      </c>
      <c r="P808" s="162">
        <f>F4A!P808+F4B!P808</f>
        <v>6.3088712909317008</v>
      </c>
      <c r="Q808" s="167">
        <f t="shared" si="84"/>
        <v>72.258084182582067</v>
      </c>
      <c r="R808" s="166"/>
      <c r="S808" s="166"/>
    </row>
    <row r="809" spans="3:19" hidden="1" x14ac:dyDescent="0.25">
      <c r="C809" s="17" t="s">
        <v>208</v>
      </c>
      <c r="D809" s="17" t="s">
        <v>187</v>
      </c>
      <c r="E809" s="162">
        <f>F4A!E809+F4B!E809</f>
        <v>0.13758540933593064</v>
      </c>
      <c r="F809" s="162">
        <f>F4A!F809+F4B!F809</f>
        <v>0.1337746518222856</v>
      </c>
      <c r="G809" s="162">
        <f>F4A!G809+F4B!G809</f>
        <v>0.13650474675743429</v>
      </c>
      <c r="H809" s="162">
        <f>F4A!H809+F4B!H809</f>
        <v>9.8852187443508668E-2</v>
      </c>
      <c r="I809" s="162">
        <f>F4A!I809+F4B!I809</f>
        <v>0.12717692239567627</v>
      </c>
      <c r="J809" s="162">
        <f>F4A!J809+F4B!J809</f>
        <v>0.13331963599976082</v>
      </c>
      <c r="K809" s="162">
        <f>F4A!K809+F4B!K809</f>
        <v>0.13309212808849843</v>
      </c>
      <c r="L809" s="162">
        <f>F4A!L809+F4B!L809</f>
        <v>8.7363037924757941E-2</v>
      </c>
      <c r="M809" s="162">
        <f>F4A!M809+F4B!M809</f>
        <v>5.2668081457243401E-2</v>
      </c>
      <c r="N809" s="162">
        <f>F4A!N809+F4B!N809</f>
        <v>9.7828401842827914E-3</v>
      </c>
      <c r="O809" s="162">
        <f>F4A!O809+F4B!O809</f>
        <v>0.12547061306120835</v>
      </c>
      <c r="P809" s="162">
        <f>F4A!P809+F4B!P809</f>
        <v>0.12023793110217336</v>
      </c>
      <c r="Q809" s="167">
        <f t="shared" si="84"/>
        <v>1.2958281855727605</v>
      </c>
      <c r="R809" s="166"/>
      <c r="S809" s="166"/>
    </row>
    <row r="810" spans="3:19" hidden="1" x14ac:dyDescent="0.25">
      <c r="C810" s="17" t="s">
        <v>209</v>
      </c>
      <c r="D810" s="17" t="s">
        <v>210</v>
      </c>
      <c r="E810" s="162">
        <f>F4A!E810+F4B!E810</f>
        <v>0</v>
      </c>
      <c r="F810" s="162">
        <f>F4A!F810+F4B!F810</f>
        <v>0</v>
      </c>
      <c r="G810" s="162">
        <f>F4A!G810+F4B!G810</f>
        <v>0</v>
      </c>
      <c r="H810" s="162">
        <f>F4A!H810+F4B!H810</f>
        <v>0</v>
      </c>
      <c r="I810" s="162">
        <f>F4A!I810+F4B!I810</f>
        <v>0</v>
      </c>
      <c r="J810" s="162">
        <f>F4A!J810+F4B!J810</f>
        <v>0</v>
      </c>
      <c r="K810" s="162">
        <f>F4A!K810+F4B!K810</f>
        <v>0</v>
      </c>
      <c r="L810" s="162">
        <f>F4A!L810+F4B!L810</f>
        <v>0</v>
      </c>
      <c r="M810" s="162">
        <f>F4A!M810+F4B!M810</f>
        <v>0</v>
      </c>
      <c r="N810" s="162">
        <f>F4A!N810+F4B!N810</f>
        <v>0</v>
      </c>
      <c r="O810" s="162">
        <f>F4A!O810+F4B!O810</f>
        <v>0</v>
      </c>
      <c r="P810" s="162">
        <f>F4A!P810+F4B!P810</f>
        <v>0</v>
      </c>
      <c r="Q810" s="167">
        <f t="shared" si="84"/>
        <v>0</v>
      </c>
      <c r="R810" s="166"/>
      <c r="S810" s="166"/>
    </row>
    <row r="811" spans="3:19" hidden="1" x14ac:dyDescent="0.25">
      <c r="C811" s="17" t="s">
        <v>211</v>
      </c>
      <c r="D811" s="17" t="s">
        <v>189</v>
      </c>
      <c r="E811" s="162">
        <f>F4A!E811+F4B!E811</f>
        <v>0</v>
      </c>
      <c r="F811" s="162">
        <f>F4A!F811+F4B!F811</f>
        <v>0</v>
      </c>
      <c r="G811" s="162">
        <f>F4A!G811+F4B!G811</f>
        <v>0</v>
      </c>
      <c r="H811" s="162">
        <f>F4A!H811+F4B!H811</f>
        <v>0</v>
      </c>
      <c r="I811" s="162">
        <f>F4A!I811+F4B!I811</f>
        <v>0</v>
      </c>
      <c r="J811" s="162">
        <f>F4A!J811+F4B!J811</f>
        <v>0</v>
      </c>
      <c r="K811" s="162">
        <f>F4A!K811+F4B!K811</f>
        <v>0</v>
      </c>
      <c r="L811" s="162">
        <f>F4A!L811+F4B!L811</f>
        <v>0</v>
      </c>
      <c r="M811" s="162">
        <f>F4A!M811+F4B!M811</f>
        <v>0</v>
      </c>
      <c r="N811" s="162">
        <f>F4A!N811+F4B!N811</f>
        <v>0</v>
      </c>
      <c r="O811" s="162">
        <f>F4A!O811+F4B!O811</f>
        <v>0</v>
      </c>
      <c r="P811" s="162">
        <f>F4A!P811+F4B!P811</f>
        <v>0</v>
      </c>
      <c r="Q811" s="167">
        <f t="shared" si="84"/>
        <v>0</v>
      </c>
      <c r="R811" s="166"/>
      <c r="S811" s="166"/>
    </row>
    <row r="812" spans="3:19" hidden="1" x14ac:dyDescent="0.25">
      <c r="C812" s="17"/>
      <c r="D812" s="17"/>
      <c r="E812" s="162">
        <f>F4A!E812+F4B!E812</f>
        <v>0</v>
      </c>
      <c r="F812" s="162">
        <f>F4A!F812+F4B!F812</f>
        <v>0</v>
      </c>
      <c r="G812" s="162">
        <f>F4A!G812+F4B!G812</f>
        <v>0</v>
      </c>
      <c r="H812" s="162">
        <f>F4A!H812+F4B!H812</f>
        <v>0</v>
      </c>
      <c r="I812" s="162">
        <f>F4A!I812+F4B!I812</f>
        <v>0</v>
      </c>
      <c r="J812" s="162">
        <f>F4A!J812+F4B!J812</f>
        <v>0</v>
      </c>
      <c r="K812" s="162">
        <f>F4A!K812+F4B!K812</f>
        <v>0</v>
      </c>
      <c r="L812" s="162">
        <f>F4A!L812+F4B!L812</f>
        <v>0</v>
      </c>
      <c r="M812" s="162">
        <f>F4A!M812+F4B!M812</f>
        <v>0</v>
      </c>
      <c r="N812" s="162">
        <f>F4A!N812+F4B!N812</f>
        <v>0</v>
      </c>
      <c r="O812" s="162">
        <f>F4A!O812+F4B!O812</f>
        <v>0</v>
      </c>
      <c r="P812" s="162">
        <f>F4A!P812+F4B!P812</f>
        <v>0</v>
      </c>
      <c r="Q812" s="167">
        <f t="shared" si="84"/>
        <v>0</v>
      </c>
      <c r="R812" s="166"/>
      <c r="S812" s="166"/>
    </row>
    <row r="813" spans="3:19" hidden="1" x14ac:dyDescent="0.25">
      <c r="C813" s="17"/>
      <c r="D813" s="17"/>
      <c r="E813" s="162">
        <f>F4A!E813+F4B!E813</f>
        <v>0</v>
      </c>
      <c r="F813" s="162">
        <f>F4A!F813+F4B!F813</f>
        <v>0</v>
      </c>
      <c r="G813" s="162">
        <f>F4A!G813+F4B!G813</f>
        <v>0</v>
      </c>
      <c r="H813" s="162">
        <f>F4A!H813+F4B!H813</f>
        <v>0</v>
      </c>
      <c r="I813" s="162">
        <f>F4A!I813+F4B!I813</f>
        <v>0</v>
      </c>
      <c r="J813" s="162">
        <f>F4A!J813+F4B!J813</f>
        <v>0</v>
      </c>
      <c r="K813" s="162">
        <f>F4A!K813+F4B!K813</f>
        <v>0</v>
      </c>
      <c r="L813" s="162">
        <f>F4A!L813+F4B!L813</f>
        <v>0</v>
      </c>
      <c r="M813" s="162">
        <f>F4A!M813+F4B!M813</f>
        <v>0</v>
      </c>
      <c r="N813" s="162">
        <f>F4A!N813+F4B!N813</f>
        <v>0</v>
      </c>
      <c r="O813" s="162">
        <f>F4A!O813+F4B!O813</f>
        <v>0</v>
      </c>
      <c r="P813" s="162">
        <f>F4A!P813+F4B!P813</f>
        <v>0</v>
      </c>
      <c r="Q813" s="167">
        <f t="shared" ref="Q813:Q818" si="86">SUM(E813:P813)</f>
        <v>0</v>
      </c>
      <c r="R813" s="166"/>
      <c r="S813" s="166"/>
    </row>
    <row r="814" spans="3:19" hidden="1" x14ac:dyDescent="0.25">
      <c r="C814" s="17"/>
      <c r="D814" s="17"/>
      <c r="E814" s="162">
        <f>F4A!E814+F4B!E814</f>
        <v>0</v>
      </c>
      <c r="F814" s="162">
        <f>F4A!F814+F4B!F814</f>
        <v>0</v>
      </c>
      <c r="G814" s="162">
        <f>F4A!G814+F4B!G814</f>
        <v>0</v>
      </c>
      <c r="H814" s="162">
        <f>F4A!H814+F4B!H814</f>
        <v>0</v>
      </c>
      <c r="I814" s="162">
        <f>F4A!I814+F4B!I814</f>
        <v>0</v>
      </c>
      <c r="J814" s="162">
        <f>F4A!J814+F4B!J814</f>
        <v>0</v>
      </c>
      <c r="K814" s="162">
        <f>F4A!K814+F4B!K814</f>
        <v>0</v>
      </c>
      <c r="L814" s="162">
        <f>F4A!L814+F4B!L814</f>
        <v>0</v>
      </c>
      <c r="M814" s="162">
        <f>F4A!M814+F4B!M814</f>
        <v>0</v>
      </c>
      <c r="N814" s="162">
        <f>F4A!N814+F4B!N814</f>
        <v>0</v>
      </c>
      <c r="O814" s="162">
        <f>F4A!O814+F4B!O814</f>
        <v>0</v>
      </c>
      <c r="P814" s="162">
        <f>F4A!P814+F4B!P814</f>
        <v>0</v>
      </c>
      <c r="Q814" s="167">
        <f t="shared" si="86"/>
        <v>0</v>
      </c>
      <c r="R814" s="166"/>
      <c r="S814" s="166"/>
    </row>
    <row r="815" spans="3:19" hidden="1" x14ac:dyDescent="0.25">
      <c r="C815" s="17" t="s">
        <v>226</v>
      </c>
      <c r="D815" s="17" t="s">
        <v>226</v>
      </c>
      <c r="E815" s="162">
        <f>F4A!E815+F4B!E815</f>
        <v>0</v>
      </c>
      <c r="F815" s="162">
        <f>F4A!F815+F4B!F815</f>
        <v>0</v>
      </c>
      <c r="G815" s="162">
        <f>F4A!G815+F4B!G815</f>
        <v>0</v>
      </c>
      <c r="H815" s="162">
        <f>F4A!H815+F4B!H815</f>
        <v>0</v>
      </c>
      <c r="I815" s="162">
        <f>F4A!I815+F4B!I815</f>
        <v>0</v>
      </c>
      <c r="J815" s="162">
        <f>F4A!J815+F4B!J815</f>
        <v>0</v>
      </c>
      <c r="K815" s="162">
        <f>F4A!K815+F4B!K815</f>
        <v>0</v>
      </c>
      <c r="L815" s="162">
        <f>F4A!L815+F4B!L815</f>
        <v>0</v>
      </c>
      <c r="M815" s="162">
        <f>F4A!M815+F4B!M815</f>
        <v>0</v>
      </c>
      <c r="N815" s="162">
        <f>F4A!N815+F4B!N815</f>
        <v>0</v>
      </c>
      <c r="O815" s="162">
        <f>F4A!O815+F4B!O815</f>
        <v>0</v>
      </c>
      <c r="P815" s="162">
        <f>F4A!P815+F4B!P815</f>
        <v>0</v>
      </c>
      <c r="Q815" s="167">
        <f t="shared" si="86"/>
        <v>0</v>
      </c>
      <c r="R815" s="166"/>
      <c r="S815" s="166"/>
    </row>
    <row r="816" spans="3:19" hidden="1" x14ac:dyDescent="0.25">
      <c r="C816" s="751" t="s">
        <v>212</v>
      </c>
      <c r="D816" s="752"/>
      <c r="E816" s="167">
        <f t="shared" ref="E816:P816" si="87">SUM(E799:E815)</f>
        <v>420.14901763885621</v>
      </c>
      <c r="F816" s="167">
        <f t="shared" si="87"/>
        <v>215.56904243492971</v>
      </c>
      <c r="G816" s="167">
        <f t="shared" si="87"/>
        <v>169.60631402329221</v>
      </c>
      <c r="H816" s="167">
        <f t="shared" si="87"/>
        <v>443.37719850142236</v>
      </c>
      <c r="I816" s="167">
        <f t="shared" si="87"/>
        <v>168.9166147590395</v>
      </c>
      <c r="J816" s="167">
        <f t="shared" si="87"/>
        <v>220.32382912638741</v>
      </c>
      <c r="K816" s="167">
        <f t="shared" si="87"/>
        <v>239.27401792122893</v>
      </c>
      <c r="L816" s="167">
        <f t="shared" si="87"/>
        <v>310.75912881985437</v>
      </c>
      <c r="M816" s="167">
        <f t="shared" si="87"/>
        <v>176.40928444108525</v>
      </c>
      <c r="N816" s="167">
        <f t="shared" si="87"/>
        <v>282.86310444267838</v>
      </c>
      <c r="O816" s="167">
        <f t="shared" si="87"/>
        <v>296.47006268898451</v>
      </c>
      <c r="P816" s="167">
        <f t="shared" si="87"/>
        <v>316.49763233201611</v>
      </c>
      <c r="Q816" s="167">
        <f t="shared" si="86"/>
        <v>3260.215247129775</v>
      </c>
      <c r="R816" s="166"/>
      <c r="S816" s="166"/>
    </row>
    <row r="817" spans="3:19" hidden="1" x14ac:dyDescent="0.25">
      <c r="C817" s="751" t="s">
        <v>219</v>
      </c>
      <c r="D817" s="752"/>
      <c r="E817" s="167">
        <f t="shared" ref="E817:P817" si="88">E816+E797+E780</f>
        <v>797.12594417899481</v>
      </c>
      <c r="F817" s="167">
        <f t="shared" si="88"/>
        <v>525.64492966738521</v>
      </c>
      <c r="G817" s="167">
        <f t="shared" si="88"/>
        <v>524.13948730051084</v>
      </c>
      <c r="H817" s="167">
        <f t="shared" si="88"/>
        <v>824.21277840196672</v>
      </c>
      <c r="I817" s="167">
        <f t="shared" si="88"/>
        <v>572.19422986647896</v>
      </c>
      <c r="J817" s="167">
        <f t="shared" si="88"/>
        <v>601.72145435199991</v>
      </c>
      <c r="K817" s="167">
        <f t="shared" si="88"/>
        <v>632.18145629367996</v>
      </c>
      <c r="L817" s="167">
        <f t="shared" si="88"/>
        <v>649.23841757027208</v>
      </c>
      <c r="M817" s="167">
        <f t="shared" si="88"/>
        <v>599.91843644142523</v>
      </c>
      <c r="N817" s="167">
        <f t="shared" si="88"/>
        <v>743.39162460959619</v>
      </c>
      <c r="O817" s="167">
        <f t="shared" si="88"/>
        <v>749.67681036008639</v>
      </c>
      <c r="P817" s="167">
        <f t="shared" si="88"/>
        <v>783.8760040500556</v>
      </c>
      <c r="Q817" s="167">
        <f t="shared" si="86"/>
        <v>8003.3215730924512</v>
      </c>
      <c r="R817" s="166"/>
      <c r="S817" s="166"/>
    </row>
    <row r="818" spans="3:19" hidden="1" x14ac:dyDescent="0.25">
      <c r="C818" s="751" t="s">
        <v>220</v>
      </c>
      <c r="D818" s="752"/>
      <c r="E818" s="167">
        <f t="shared" ref="E818:P818" si="89">E817+E763</f>
        <v>2366.6215526998621</v>
      </c>
      <c r="F818" s="167">
        <f t="shared" si="89"/>
        <v>1471.0076815861421</v>
      </c>
      <c r="G818" s="167">
        <f t="shared" si="89"/>
        <v>1498.8749253478431</v>
      </c>
      <c r="H818" s="167">
        <f t="shared" si="89"/>
        <v>1812.5591983684922</v>
      </c>
      <c r="I818" s="167">
        <f t="shared" si="89"/>
        <v>1983.6707089101194</v>
      </c>
      <c r="J818" s="167">
        <f t="shared" si="89"/>
        <v>1949.3748576047408</v>
      </c>
      <c r="K818" s="167">
        <f t="shared" si="89"/>
        <v>1785.9120904206204</v>
      </c>
      <c r="L818" s="167">
        <f t="shared" si="89"/>
        <v>1678.5376069945487</v>
      </c>
      <c r="M818" s="167">
        <f t="shared" si="89"/>
        <v>2068.2405274742059</v>
      </c>
      <c r="N818" s="167">
        <f t="shared" si="89"/>
        <v>2340.8383323521698</v>
      </c>
      <c r="O818" s="167">
        <f t="shared" si="89"/>
        <v>2590.1820633169436</v>
      </c>
      <c r="P818" s="167">
        <f t="shared" si="89"/>
        <v>2872.7635096772869</v>
      </c>
      <c r="Q818" s="167">
        <f t="shared" si="86"/>
        <v>24418.583054752977</v>
      </c>
      <c r="R818" s="166"/>
      <c r="S818" s="166"/>
    </row>
    <row r="819" spans="3:19" hidden="1" x14ac:dyDescent="0.25"/>
    <row r="820" spans="3:19" x14ac:dyDescent="0.25">
      <c r="D820" s="22"/>
      <c r="E820" s="22"/>
    </row>
    <row r="821" spans="3:19" x14ac:dyDescent="0.25">
      <c r="D821" s="24"/>
      <c r="E821" s="24"/>
    </row>
    <row r="822" spans="3:19" x14ac:dyDescent="0.25">
      <c r="E822" s="24"/>
    </row>
    <row r="823" spans="3:19" x14ac:dyDescent="0.25">
      <c r="E823" s="24"/>
    </row>
  </sheetData>
  <mergeCells count="137">
    <mergeCell ref="C596:D596"/>
    <mergeCell ref="C599:D600"/>
    <mergeCell ref="E599:Q599"/>
    <mergeCell ref="C601:D601"/>
    <mergeCell ref="C615:D615"/>
    <mergeCell ref="C559:D559"/>
    <mergeCell ref="C575:D575"/>
    <mergeCell ref="C747:D748"/>
    <mergeCell ref="E747:Q747"/>
    <mergeCell ref="C576:D576"/>
    <mergeCell ref="C594:D594"/>
    <mergeCell ref="C595:D595"/>
    <mergeCell ref="C749:D749"/>
    <mergeCell ref="C763:D763"/>
    <mergeCell ref="C764:D764"/>
    <mergeCell ref="C670:D670"/>
    <mergeCell ref="C673:D674"/>
    <mergeCell ref="E673:Q673"/>
    <mergeCell ref="C616:D616"/>
    <mergeCell ref="C632:D632"/>
    <mergeCell ref="C633:D633"/>
    <mergeCell ref="C649:D649"/>
    <mergeCell ref="C650:D650"/>
    <mergeCell ref="C335:D335"/>
    <mergeCell ref="C817:D817"/>
    <mergeCell ref="C818:D818"/>
    <mergeCell ref="C780:D780"/>
    <mergeCell ref="C781:D781"/>
    <mergeCell ref="C797:D797"/>
    <mergeCell ref="C798:D798"/>
    <mergeCell ref="C816:D816"/>
    <mergeCell ref="C723:D723"/>
    <mergeCell ref="C724:D724"/>
    <mergeCell ref="C742:D742"/>
    <mergeCell ref="C743:D743"/>
    <mergeCell ref="C744:D744"/>
    <mergeCell ref="C675:D675"/>
    <mergeCell ref="C689:D689"/>
    <mergeCell ref="C690:D690"/>
    <mergeCell ref="C706:D706"/>
    <mergeCell ref="C707:D707"/>
    <mergeCell ref="C668:D668"/>
    <mergeCell ref="C669:D669"/>
    <mergeCell ref="C336:D336"/>
    <mergeCell ref="C352:D352"/>
    <mergeCell ref="C353:D353"/>
    <mergeCell ref="C371:D371"/>
    <mergeCell ref="E525:Q525"/>
    <mergeCell ref="C527:D527"/>
    <mergeCell ref="C541:D541"/>
    <mergeCell ref="C542:D542"/>
    <mergeCell ref="C558:D558"/>
    <mergeCell ref="C502:D502"/>
    <mergeCell ref="C520:D520"/>
    <mergeCell ref="C521:D521"/>
    <mergeCell ref="C522:D522"/>
    <mergeCell ref="C525:D526"/>
    <mergeCell ref="C448:D448"/>
    <mergeCell ref="C376:D378"/>
    <mergeCell ref="C393:D393"/>
    <mergeCell ref="C394:D394"/>
    <mergeCell ref="C410:D410"/>
    <mergeCell ref="C411:D411"/>
    <mergeCell ref="C427:D427"/>
    <mergeCell ref="C484:D484"/>
    <mergeCell ref="C485:D485"/>
    <mergeCell ref="C501:D501"/>
    <mergeCell ref="C299:D299"/>
    <mergeCell ref="C300:D300"/>
    <mergeCell ref="C451:D452"/>
    <mergeCell ref="C302:D303"/>
    <mergeCell ref="C372:D372"/>
    <mergeCell ref="C373:D373"/>
    <mergeCell ref="C453:D453"/>
    <mergeCell ref="E229:Q229"/>
    <mergeCell ref="C231:D231"/>
    <mergeCell ref="C245:D245"/>
    <mergeCell ref="C246:D246"/>
    <mergeCell ref="C467:D467"/>
    <mergeCell ref="C468:D468"/>
    <mergeCell ref="E451:Q451"/>
    <mergeCell ref="C428:D428"/>
    <mergeCell ref="C446:D446"/>
    <mergeCell ref="C447:D447"/>
    <mergeCell ref="C262:D262"/>
    <mergeCell ref="C263:D263"/>
    <mergeCell ref="C279:D279"/>
    <mergeCell ref="C280:D280"/>
    <mergeCell ref="C298:D298"/>
    <mergeCell ref="C229:D230"/>
    <mergeCell ref="E376:Q376"/>
    <mergeCell ref="C379:D379"/>
    <mergeCell ref="E156:Q156"/>
    <mergeCell ref="C158:D158"/>
    <mergeCell ref="C172:D172"/>
    <mergeCell ref="C173:D173"/>
    <mergeCell ref="C189:D189"/>
    <mergeCell ref="C116:D116"/>
    <mergeCell ref="C132:D132"/>
    <mergeCell ref="C133:D133"/>
    <mergeCell ref="C151:D151"/>
    <mergeCell ref="C190:D190"/>
    <mergeCell ref="C206:D206"/>
    <mergeCell ref="C207:D207"/>
    <mergeCell ref="C224:D224"/>
    <mergeCell ref="C225:D225"/>
    <mergeCell ref="C226:D226"/>
    <mergeCell ref="C152:D152"/>
    <mergeCell ref="C153:D153"/>
    <mergeCell ref="C156:D157"/>
    <mergeCell ref="E302:Q302"/>
    <mergeCell ref="C304:D304"/>
    <mergeCell ref="C318:D318"/>
    <mergeCell ref="C319:D319"/>
    <mergeCell ref="C115:D115"/>
    <mergeCell ref="C40:D40"/>
    <mergeCell ref="C56:D56"/>
    <mergeCell ref="C57:D57"/>
    <mergeCell ref="C75:D75"/>
    <mergeCell ref="C77:D77"/>
    <mergeCell ref="C76:D76"/>
    <mergeCell ref="H5:J5"/>
    <mergeCell ref="K5:N5"/>
    <mergeCell ref="G5:G6"/>
    <mergeCell ref="F5:F6"/>
    <mergeCell ref="E5:E6"/>
    <mergeCell ref="C82:D83"/>
    <mergeCell ref="E82:Q82"/>
    <mergeCell ref="C84:D84"/>
    <mergeCell ref="C98:D98"/>
    <mergeCell ref="C99:D99"/>
    <mergeCell ref="C8:D8"/>
    <mergeCell ref="C5:D7"/>
    <mergeCell ref="C22:D22"/>
    <mergeCell ref="C23:D23"/>
    <mergeCell ref="C39:D39"/>
    <mergeCell ref="O5:S5"/>
  </mergeCells>
  <pageMargins left="0.75" right="0.75" top="1" bottom="1" header="0.5" footer="0.5"/>
  <pageSetup paperSize="9" scale="65" orientation="landscape" r:id="rId1"/>
  <headerFooter alignWithMargins="0"/>
  <rowBreaks count="3" manualBreakCount="3">
    <brk id="427" max="16" man="1"/>
    <brk id="479" max="16" man="1"/>
    <brk id="541" max="16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217"/>
  <sheetViews>
    <sheetView showGridLines="0" view="pageBreakPreview" topLeftCell="B1" zoomScale="60" zoomScaleNormal="80" workbookViewId="0">
      <pane xSplit="2" ySplit="7" topLeftCell="D8" activePane="bottomRight" state="frozen"/>
      <selection activeCell="K17" sqref="K17"/>
      <selection pane="topRight" activeCell="K17" sqref="K17"/>
      <selection pane="bottomLeft" activeCell="K17" sqref="K17"/>
      <selection pane="bottomRight" activeCell="K17" sqref="K17"/>
    </sheetView>
  </sheetViews>
  <sheetFormatPr defaultColWidth="9.109375" defaultRowHeight="13.8" x14ac:dyDescent="0.25"/>
  <cols>
    <col min="1" max="1" width="9.109375" style="657"/>
    <col min="2" max="2" width="48.5546875" style="657" customWidth="1"/>
    <col min="3" max="3" width="38.6640625" style="657" hidden="1" customWidth="1"/>
    <col min="4" max="4" width="12.5546875" style="657" customWidth="1"/>
    <col min="5" max="5" width="16.88671875" style="657" customWidth="1"/>
    <col min="6" max="6" width="11.88671875" style="657" customWidth="1"/>
    <col min="7" max="7" width="10.5546875" style="657" customWidth="1"/>
    <col min="8" max="8" width="10.6640625" style="657" customWidth="1"/>
    <col min="9" max="9" width="12.44140625" style="657" customWidth="1"/>
    <col min="10" max="10" width="12.109375" style="657" customWidth="1"/>
    <col min="11" max="11" width="11.109375" style="657" customWidth="1"/>
    <col min="12" max="12" width="11.88671875" style="657" customWidth="1"/>
    <col min="13" max="13" width="17.44140625" style="657" customWidth="1"/>
    <col min="14" max="14" width="9.109375" style="657"/>
    <col min="15" max="15" width="13.5546875" style="657" customWidth="1"/>
    <col min="16" max="16" width="33.88671875" style="657" customWidth="1"/>
    <col min="17" max="16384" width="9.109375" style="657"/>
  </cols>
  <sheetData>
    <row r="2" spans="2:14" x14ac:dyDescent="0.25">
      <c r="B2" s="890" t="s">
        <v>160</v>
      </c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</row>
    <row r="3" spans="2:14" x14ac:dyDescent="0.25">
      <c r="B3" s="928" t="s">
        <v>1217</v>
      </c>
      <c r="C3" s="928"/>
      <c r="D3" s="928"/>
      <c r="E3" s="928"/>
      <c r="F3" s="928"/>
      <c r="G3" s="928"/>
      <c r="H3" s="928"/>
      <c r="I3" s="928"/>
      <c r="J3" s="928"/>
      <c r="K3" s="928"/>
      <c r="L3" s="928"/>
      <c r="M3" s="928"/>
    </row>
    <row r="4" spans="2:14" x14ac:dyDescent="0.25">
      <c r="B4" s="933"/>
      <c r="C4" s="933"/>
      <c r="D4" s="933"/>
      <c r="E4" s="933"/>
      <c r="F4" s="933"/>
      <c r="G4" s="933"/>
      <c r="H4" s="933"/>
      <c r="I4" s="933"/>
      <c r="J4" s="933"/>
      <c r="K4" s="933"/>
      <c r="L4" s="933"/>
      <c r="M4" s="933"/>
    </row>
    <row r="5" spans="2:14" x14ac:dyDescent="0.25">
      <c r="B5" s="922" t="s">
        <v>163</v>
      </c>
      <c r="C5" s="923"/>
      <c r="D5" s="919" t="s">
        <v>987</v>
      </c>
      <c r="E5" s="919" t="s">
        <v>988</v>
      </c>
      <c r="F5" s="921" t="s">
        <v>770</v>
      </c>
      <c r="G5" s="921" t="s">
        <v>989</v>
      </c>
      <c r="H5" s="921"/>
      <c r="I5" s="919" t="s">
        <v>990</v>
      </c>
      <c r="J5" s="921" t="s">
        <v>992</v>
      </c>
      <c r="K5" s="921"/>
      <c r="L5" s="921"/>
      <c r="M5" s="921"/>
    </row>
    <row r="6" spans="2:14" ht="41.25" customHeight="1" x14ac:dyDescent="0.25">
      <c r="B6" s="924"/>
      <c r="C6" s="925"/>
      <c r="D6" s="919"/>
      <c r="E6" s="919"/>
      <c r="F6" s="921"/>
      <c r="G6" s="658" t="s">
        <v>993</v>
      </c>
      <c r="H6" s="658" t="s">
        <v>994</v>
      </c>
      <c r="I6" s="919"/>
      <c r="J6" s="658" t="s">
        <v>993</v>
      </c>
      <c r="K6" s="658" t="s">
        <v>994</v>
      </c>
      <c r="L6" s="658" t="s">
        <v>990</v>
      </c>
      <c r="M6" s="659" t="s">
        <v>251</v>
      </c>
    </row>
    <row r="7" spans="2:14" ht="57" customHeight="1" x14ac:dyDescent="0.25">
      <c r="B7" s="926"/>
      <c r="C7" s="927"/>
      <c r="D7" s="660" t="s">
        <v>1111</v>
      </c>
      <c r="E7" s="660" t="s">
        <v>995</v>
      </c>
      <c r="F7" s="660" t="s">
        <v>996</v>
      </c>
      <c r="G7" s="661" t="s">
        <v>997</v>
      </c>
      <c r="H7" s="661" t="s">
        <v>998</v>
      </c>
      <c r="I7" s="661" t="s">
        <v>997</v>
      </c>
      <c r="J7" s="658" t="s">
        <v>682</v>
      </c>
      <c r="K7" s="658" t="s">
        <v>682</v>
      </c>
      <c r="L7" s="658" t="s">
        <v>682</v>
      </c>
      <c r="M7" s="658" t="s">
        <v>682</v>
      </c>
    </row>
    <row r="8" spans="2:14" x14ac:dyDescent="0.25">
      <c r="B8" s="773" t="s">
        <v>781</v>
      </c>
      <c r="C8" s="774"/>
      <c r="J8" s="662"/>
      <c r="K8" s="662"/>
      <c r="L8" s="662"/>
      <c r="M8" s="662"/>
    </row>
    <row r="9" spans="2:14" ht="14.4" x14ac:dyDescent="0.25">
      <c r="B9" s="663" t="s">
        <v>899</v>
      </c>
      <c r="C9" s="579"/>
      <c r="D9" s="666">
        <f>'[9]Rev_NP-12me'!AJ10</f>
        <v>4253453</v>
      </c>
      <c r="E9" s="666">
        <f>'[9]Rev_NP-12me'!AK10</f>
        <v>4788.0126213445601</v>
      </c>
      <c r="F9" s="666">
        <f>'[9]Rev_NP-12me'!AQ10</f>
        <v>5004.1429709956828</v>
      </c>
      <c r="G9" s="664"/>
      <c r="H9" s="665"/>
      <c r="I9" s="664"/>
      <c r="J9" s="666">
        <f>'[9]Rev_NP-12me'!AT10</f>
        <v>58.746459594038548</v>
      </c>
      <c r="K9" s="666">
        <f>'[9]Rev_NP-12me'!AU10</f>
        <v>1896.417459617079</v>
      </c>
      <c r="L9" s="666">
        <f>'[9]Rev_NP-12me'!AW10</f>
        <v>309.89197200000001</v>
      </c>
      <c r="M9" s="666">
        <f t="shared" ref="M9:M40" si="0">SUM(J9:L9)</f>
        <v>2265.0558912111173</v>
      </c>
    </row>
    <row r="10" spans="2:14" ht="14.4" x14ac:dyDescent="0.25">
      <c r="B10" s="667" t="s">
        <v>900</v>
      </c>
      <c r="C10" s="579"/>
      <c r="D10" s="664">
        <f>'[9]Rev_NP-12me'!AJ11</f>
        <v>3222582</v>
      </c>
      <c r="E10" s="664">
        <f>'[9]Rev_NP-12me'!AK11</f>
        <v>2624.8564669773014</v>
      </c>
      <c r="F10" s="664">
        <f>'[9]Rev_NP-12me'!AQ11</f>
        <v>2137.2662371660895</v>
      </c>
      <c r="G10" s="664"/>
      <c r="H10" s="665"/>
      <c r="I10" s="664"/>
      <c r="J10" s="664">
        <f>'[9]Rev_NP-12me'!AT11</f>
        <v>31.498277603727615</v>
      </c>
      <c r="K10" s="664">
        <f>'[9]Rev_NP-12me'!AU11</f>
        <v>460.83167326347865</v>
      </c>
      <c r="L10" s="664">
        <f>'[9]Rev_NP-12me'!AW11</f>
        <v>192.86188200000001</v>
      </c>
      <c r="M10" s="664">
        <f t="shared" si="0"/>
        <v>685.19183286720624</v>
      </c>
    </row>
    <row r="11" spans="2:14" ht="14.4" x14ac:dyDescent="0.25">
      <c r="B11" s="668" t="s">
        <v>901</v>
      </c>
      <c r="C11" s="579"/>
      <c r="D11" s="665">
        <f>'[9]Rev_NP-12me'!AJ12</f>
        <v>2090605</v>
      </c>
      <c r="E11" s="665">
        <f>'[9]Rev_NP-12me'!AK12</f>
        <v>1340.8078185025824</v>
      </c>
      <c r="F11" s="665">
        <f>'[9]Rev_NP-12me'!AQ12</f>
        <v>1754.0944370261652</v>
      </c>
      <c r="G11" s="669">
        <f>'[9]Rev_NP-12me'!O12</f>
        <v>10</v>
      </c>
      <c r="H11" s="670">
        <f>'[9]Rev_NP-12me'!P12</f>
        <v>1.95</v>
      </c>
      <c r="I11" s="669">
        <f>'[9]Rev_NP-12me'!AA12</f>
        <v>40</v>
      </c>
      <c r="J11" s="665">
        <f>'[9]Rev_NP-12me'!AT12</f>
        <v>16.089693822030988</v>
      </c>
      <c r="K11" s="665">
        <f>'[9]Rev_NP-12me'!AU12</f>
        <v>342.04841522010219</v>
      </c>
      <c r="L11" s="665">
        <f>'[9]Rev_NP-12me'!AW12</f>
        <v>99.027792000000005</v>
      </c>
      <c r="M11" s="664">
        <f t="shared" si="0"/>
        <v>457.16590104213321</v>
      </c>
    </row>
    <row r="12" spans="2:14" ht="14.4" x14ac:dyDescent="0.25">
      <c r="B12" s="668" t="s">
        <v>903</v>
      </c>
      <c r="C12" s="579"/>
      <c r="D12" s="665">
        <f>'[9]Rev_NP-12me'!AJ13</f>
        <v>1131977</v>
      </c>
      <c r="E12" s="665">
        <f>'[9]Rev_NP-12me'!AK13</f>
        <v>1284.0486484747191</v>
      </c>
      <c r="F12" s="665">
        <f>'[9]Rev_NP-12me'!AQ13</f>
        <v>383.17180013992407</v>
      </c>
      <c r="G12" s="669">
        <f>'[9]Rev_NP-12me'!O13</f>
        <v>10</v>
      </c>
      <c r="H12" s="670">
        <f>'[9]Rev_NP-12me'!P13</f>
        <v>3.1</v>
      </c>
      <c r="I12" s="669">
        <f>'[9]Rev_NP-12me'!AA13</f>
        <v>70</v>
      </c>
      <c r="J12" s="665">
        <f>'[9]Rev_NP-12me'!AT13</f>
        <v>15.408583781696629</v>
      </c>
      <c r="K12" s="665">
        <f>'[9]Rev_NP-12me'!AU13</f>
        <v>118.78325804337646</v>
      </c>
      <c r="L12" s="665">
        <f>'[9]Rev_NP-12me'!AW13</f>
        <v>93.834090000000003</v>
      </c>
      <c r="M12" s="664">
        <f t="shared" si="0"/>
        <v>228.02593182507309</v>
      </c>
    </row>
    <row r="13" spans="2:14" x14ac:dyDescent="0.25">
      <c r="B13" s="667" t="s">
        <v>904</v>
      </c>
      <c r="C13" s="579"/>
      <c r="D13" s="664">
        <f>'[9]Rev_NP-12me'!AJ14</f>
        <v>708035</v>
      </c>
      <c r="E13" s="664">
        <f>'[9]Rev_NP-12me'!AK14</f>
        <v>1441.3126822371696</v>
      </c>
      <c r="F13" s="664">
        <f>'[9]Rev_NP-12me'!AQ14</f>
        <v>1572.8638749992313</v>
      </c>
      <c r="G13" s="671">
        <f>'[9]Rev_NP-12me'!O14</f>
        <v>0</v>
      </c>
      <c r="H13" s="672">
        <f>'[9]Rev_NP-12me'!P14</f>
        <v>0</v>
      </c>
      <c r="I13" s="671">
        <f>'[9]Rev_NP-12me'!AA14</f>
        <v>0</v>
      </c>
      <c r="J13" s="664">
        <f>'[9]Rev_NP-12me'!AT14</f>
        <v>17.295752186846034</v>
      </c>
      <c r="K13" s="664">
        <f>'[9]Rev_NP-12me'!AU14</f>
        <v>624.11950176719847</v>
      </c>
      <c r="L13" s="664">
        <f>'[9]Rev_NP-12me'!AW14</f>
        <v>75.460949999999997</v>
      </c>
      <c r="M13" s="664">
        <f t="shared" si="0"/>
        <v>716.87620395404451</v>
      </c>
    </row>
    <row r="14" spans="2:14" ht="14.4" x14ac:dyDescent="0.25">
      <c r="B14" s="668" t="s">
        <v>905</v>
      </c>
      <c r="C14" s="579"/>
      <c r="D14" s="665">
        <f>'[9]Rev_NP-12me'!AJ15</f>
        <v>0</v>
      </c>
      <c r="E14" s="665">
        <f>'[9]Rev_NP-12me'!AK15</f>
        <v>0</v>
      </c>
      <c r="F14" s="665">
        <f>'[9]Rev_NP-12me'!AQ15</f>
        <v>934.67970166023224</v>
      </c>
      <c r="G14" s="669">
        <f>'[9]Rev_NP-12me'!O15</f>
        <v>10</v>
      </c>
      <c r="H14" s="670">
        <f>'[9]Rev_NP-12me'!P15</f>
        <v>3.4</v>
      </c>
      <c r="I14" s="671">
        <f>'[9]Rev_NP-12me'!AA15</f>
        <v>0</v>
      </c>
      <c r="J14" s="665">
        <f>'[9]Rev_NP-12me'!AT15</f>
        <v>0</v>
      </c>
      <c r="K14" s="665">
        <f>'[9]Rev_NP-12me'!AU15</f>
        <v>317.79109856447894</v>
      </c>
      <c r="L14" s="665">
        <f>'[9]Rev_NP-12me'!AW15</f>
        <v>0</v>
      </c>
      <c r="M14" s="664">
        <f t="shared" si="0"/>
        <v>317.79109856447894</v>
      </c>
    </row>
    <row r="15" spans="2:14" ht="14.4" x14ac:dyDescent="0.25">
      <c r="B15" s="668" t="s">
        <v>906</v>
      </c>
      <c r="C15" s="579"/>
      <c r="D15" s="665">
        <f>'[9]Rev_NP-12me'!AJ16</f>
        <v>708035</v>
      </c>
      <c r="E15" s="665">
        <f>'[9]Rev_NP-12me'!AK16</f>
        <v>1441.3126822371696</v>
      </c>
      <c r="F15" s="665">
        <f>'[9]Rev_NP-12me'!AQ16</f>
        <v>638.18417333899902</v>
      </c>
      <c r="G15" s="669">
        <f>'[9]Rev_NP-12me'!O16</f>
        <v>10</v>
      </c>
      <c r="H15" s="670">
        <f>'[9]Rev_NP-12me'!P16</f>
        <v>4.8</v>
      </c>
      <c r="I15" s="669">
        <f>'[9]Rev_NP-12me'!AA16</f>
        <v>90</v>
      </c>
      <c r="J15" s="665">
        <f>'[9]Rev_NP-12me'!AT16</f>
        <v>17.295752186846034</v>
      </c>
      <c r="K15" s="665">
        <f>'[9]Rev_NP-12me'!AU16</f>
        <v>306.32840320271953</v>
      </c>
      <c r="L15" s="665">
        <f>'[9]Rev_NP-12me'!AW16</f>
        <v>75.460949999999997</v>
      </c>
      <c r="M15" s="664">
        <f t="shared" si="0"/>
        <v>399.08510538956557</v>
      </c>
    </row>
    <row r="16" spans="2:14" x14ac:dyDescent="0.25">
      <c r="B16" s="667" t="s">
        <v>907</v>
      </c>
      <c r="C16" s="579"/>
      <c r="D16" s="664">
        <f>'[9]Rev_NP-12me'!AJ17</f>
        <v>322836</v>
      </c>
      <c r="E16" s="664">
        <f>'[9]Rev_NP-12me'!AK17</f>
        <v>721.84347213008925</v>
      </c>
      <c r="F16" s="664">
        <f>'[9]Rev_NP-12me'!AQ17</f>
        <v>1294.0128588303619</v>
      </c>
      <c r="G16" s="671">
        <f>'[9]Rev_NP-12me'!O17</f>
        <v>0</v>
      </c>
      <c r="H16" s="672">
        <f>'[9]Rev_NP-12me'!P17</f>
        <v>0</v>
      </c>
      <c r="I16" s="671">
        <f>'[9]Rev_NP-12me'!AA17</f>
        <v>0</v>
      </c>
      <c r="J16" s="664">
        <f>'[9]Rev_NP-12me'!AT17</f>
        <v>9.9524298034649039</v>
      </c>
      <c r="K16" s="664">
        <f>'[9]Rev_NP-12me'!AU17</f>
        <v>811.4662845864018</v>
      </c>
      <c r="L16" s="664">
        <f>'[9]Rev_NP-12me'!AW17</f>
        <v>41.569139999999997</v>
      </c>
      <c r="M16" s="664">
        <f t="shared" si="0"/>
        <v>862.9878543898667</v>
      </c>
    </row>
    <row r="17" spans="2:13" ht="14.4" x14ac:dyDescent="0.25">
      <c r="B17" s="668" t="s">
        <v>908</v>
      </c>
      <c r="C17" s="579"/>
      <c r="D17" s="665">
        <f>'[9]Rev_NP-12me'!AJ18</f>
        <v>0</v>
      </c>
      <c r="E17" s="665">
        <f>'[9]Rev_NP-12me'!AK18</f>
        <v>0</v>
      </c>
      <c r="F17" s="665">
        <f>'[9]Rev_NP-12me'!AQ18</f>
        <v>842.45931081913943</v>
      </c>
      <c r="G17" s="669">
        <f>'[9]Rev_NP-12me'!O18</f>
        <v>10</v>
      </c>
      <c r="H17" s="670">
        <f>'[9]Rev_NP-12me'!P18</f>
        <v>5.0999999999999996</v>
      </c>
      <c r="I17" s="671">
        <f>'[9]Rev_NP-12me'!AA18</f>
        <v>0</v>
      </c>
      <c r="J17" s="665">
        <f>'[9]Rev_NP-12me'!AT18</f>
        <v>0</v>
      </c>
      <c r="K17" s="665">
        <f>'[9]Rev_NP-12me'!AU18</f>
        <v>429.65424851776106</v>
      </c>
      <c r="L17" s="665">
        <f>'[9]Rev_NP-12me'!AW18</f>
        <v>0</v>
      </c>
      <c r="M17" s="664">
        <f t="shared" si="0"/>
        <v>429.65424851776106</v>
      </c>
    </row>
    <row r="18" spans="2:13" ht="14.4" x14ac:dyDescent="0.25">
      <c r="B18" s="668" t="s">
        <v>909</v>
      </c>
      <c r="C18" s="579"/>
      <c r="D18" s="665">
        <f>'[9]Rev_NP-12me'!AJ19</f>
        <v>228303</v>
      </c>
      <c r="E18" s="665">
        <f>'[9]Rev_NP-12me'!AK19</f>
        <v>424.5768691655519</v>
      </c>
      <c r="F18" s="665">
        <f>'[9]Rev_NP-12me'!AQ19</f>
        <v>247.28794028469397</v>
      </c>
      <c r="G18" s="669">
        <f>'[9]Rev_NP-12me'!O19</f>
        <v>10</v>
      </c>
      <c r="H18" s="670">
        <f>'[9]Rev_NP-12me'!P19</f>
        <v>7.7</v>
      </c>
      <c r="I18" s="669">
        <f>'[9]Rev_NP-12me'!AA19</f>
        <v>100</v>
      </c>
      <c r="J18" s="665">
        <f>'[9]Rev_NP-12me'!AT19</f>
        <v>5.0949224299866227</v>
      </c>
      <c r="K18" s="665">
        <f>'[9]Rev_NP-12me'!AU19</f>
        <v>190.41171401921434</v>
      </c>
      <c r="L18" s="665">
        <f>'[9]Rev_NP-12me'!AW19</f>
        <v>27.035640000000001</v>
      </c>
      <c r="M18" s="664">
        <f t="shared" si="0"/>
        <v>222.54227644920095</v>
      </c>
    </row>
    <row r="19" spans="2:13" ht="14.4" x14ac:dyDescent="0.25">
      <c r="B19" s="668" t="s">
        <v>910</v>
      </c>
      <c r="C19" s="579"/>
      <c r="D19" s="665">
        <f>'[9]Rev_NP-12me'!AJ20</f>
        <v>53140</v>
      </c>
      <c r="E19" s="665">
        <f>'[9]Rev_NP-12me'!AK20</f>
        <v>143.43187931812565</v>
      </c>
      <c r="F19" s="665">
        <f>'[9]Rev_NP-12me'!AQ20</f>
        <v>89.428816819840961</v>
      </c>
      <c r="G19" s="669">
        <f>'[9]Rev_NP-12me'!O20</f>
        <v>10</v>
      </c>
      <c r="H19" s="670">
        <f>'[9]Rev_NP-12me'!P20</f>
        <v>9</v>
      </c>
      <c r="I19" s="669">
        <f>'[9]Rev_NP-12me'!AA20</f>
        <v>120</v>
      </c>
      <c r="J19" s="665">
        <f>'[9]Rev_NP-12me'!AT20</f>
        <v>1.7211825518175081</v>
      </c>
      <c r="K19" s="665">
        <f>'[9]Rev_NP-12me'!AU20</f>
        <v>80.485935137856856</v>
      </c>
      <c r="L19" s="665">
        <f>'[9]Rev_NP-12me'!AW20</f>
        <v>7.5514320000000001</v>
      </c>
      <c r="M19" s="664">
        <f t="shared" si="0"/>
        <v>89.758549689674368</v>
      </c>
    </row>
    <row r="20" spans="2:13" ht="14.4" x14ac:dyDescent="0.25">
      <c r="B20" s="668" t="s">
        <v>911</v>
      </c>
      <c r="C20" s="579"/>
      <c r="D20" s="665">
        <f>'[9]Rev_NP-12me'!AJ21</f>
        <v>36343</v>
      </c>
      <c r="E20" s="665">
        <f>'[9]Rev_NP-12me'!AK21</f>
        <v>126.95330410674848</v>
      </c>
      <c r="F20" s="665">
        <f>'[9]Rev_NP-12me'!AQ21</f>
        <v>78.448079902358728</v>
      </c>
      <c r="G20" s="669">
        <f>'[9]Rev_NP-12me'!O21</f>
        <v>10</v>
      </c>
      <c r="H20" s="670">
        <f>'[9]Rev_NP-12me'!P21</f>
        <v>9.5</v>
      </c>
      <c r="I20" s="669">
        <f>'[9]Rev_NP-12me'!AA21</f>
        <v>140</v>
      </c>
      <c r="J20" s="665">
        <f>'[9]Rev_NP-12me'!AT21</f>
        <v>1.5234396492809816</v>
      </c>
      <c r="K20" s="665">
        <f>'[9]Rev_NP-12me'!AU21</f>
        <v>74.525675907240796</v>
      </c>
      <c r="L20" s="665">
        <f>'[9]Rev_NP-12me'!AW21</f>
        <v>6.0252359999999996</v>
      </c>
      <c r="M20" s="664">
        <f t="shared" si="0"/>
        <v>82.074351556521776</v>
      </c>
    </row>
    <row r="21" spans="2:13" ht="14.4" x14ac:dyDescent="0.25">
      <c r="B21" s="668" t="s">
        <v>912</v>
      </c>
      <c r="C21" s="579"/>
      <c r="D21" s="665">
        <f>'[9]Rev_NP-12me'!AJ22</f>
        <v>5050</v>
      </c>
      <c r="E21" s="665">
        <f>'[9]Rev_NP-12me'!AK22</f>
        <v>26.88141953966322</v>
      </c>
      <c r="F21" s="665">
        <f>'[9]Rev_NP-12me'!AQ22</f>
        <v>36.388711004328826</v>
      </c>
      <c r="G21" s="669">
        <f>'[9]Rev_NP-12me'!O22</f>
        <v>50</v>
      </c>
      <c r="H21" s="670">
        <f>'[9]Rev_NP-12me'!P22</f>
        <v>10</v>
      </c>
      <c r="I21" s="669">
        <f>'[9]Rev_NP-12me'!AA22</f>
        <v>160</v>
      </c>
      <c r="J21" s="665">
        <f>'[9]Rev_NP-12me'!AT22</f>
        <v>1.6128851723797932</v>
      </c>
      <c r="K21" s="665">
        <f>'[9]Rev_NP-12me'!AU22</f>
        <v>36.388711004328826</v>
      </c>
      <c r="L21" s="665">
        <f>'[9]Rev_NP-12me'!AW22</f>
        <v>0.95683200000000002</v>
      </c>
      <c r="M21" s="664">
        <f t="shared" si="0"/>
        <v>38.958428176708615</v>
      </c>
    </row>
    <row r="22" spans="2:13" x14ac:dyDescent="0.25">
      <c r="B22" s="663" t="s">
        <v>913</v>
      </c>
      <c r="C22" s="579"/>
      <c r="D22" s="666">
        <f>'[9]Rev_NP-12me'!AJ23</f>
        <v>559269</v>
      </c>
      <c r="E22" s="666">
        <f>'[9]Rev_NP-12me'!AK23</f>
        <v>1242.2418227833746</v>
      </c>
      <c r="F22" s="666">
        <f>'[9]Rev_NP-12me'!AQ23</f>
        <v>1096.1498398291596</v>
      </c>
      <c r="G22" s="671">
        <f>'[9]Rev_NP-12me'!O23</f>
        <v>0</v>
      </c>
      <c r="H22" s="672">
        <f>'[9]Rev_NP-12me'!P23</f>
        <v>0</v>
      </c>
      <c r="I22" s="671">
        <f>'[9]Rev_NP-12me'!AA23</f>
        <v>0</v>
      </c>
      <c r="J22" s="666">
        <f>'[9]Rev_NP-12me'!AT23</f>
        <v>100.89265602219575</v>
      </c>
      <c r="K22" s="666">
        <f>'[9]Rev_NP-12me'!AU23</f>
        <v>1105.0308193805963</v>
      </c>
      <c r="L22" s="666">
        <f>'[9]Rev_NP-12me'!AW23</f>
        <v>47.105880000000006</v>
      </c>
      <c r="M22" s="666">
        <f t="shared" si="0"/>
        <v>1253.0293554027921</v>
      </c>
    </row>
    <row r="23" spans="2:13" x14ac:dyDescent="0.25">
      <c r="B23" s="667" t="s">
        <v>914</v>
      </c>
      <c r="C23" s="579"/>
      <c r="D23" s="664">
        <f>'[9]Rev_NP-12me'!AJ24</f>
        <v>328729</v>
      </c>
      <c r="E23" s="664">
        <f>'[9]Rev_NP-12me'!AK24</f>
        <v>422.49449459668011</v>
      </c>
      <c r="F23" s="664">
        <f>'[9]Rev_NP-12me'!AQ24</f>
        <v>74.043495779434963</v>
      </c>
      <c r="G23" s="671">
        <f>'[9]Rev_NP-12me'!O24</f>
        <v>0</v>
      </c>
      <c r="H23" s="672">
        <f>'[9]Rev_NP-12me'!P24</f>
        <v>0</v>
      </c>
      <c r="I23" s="671">
        <f>'[9]Rev_NP-12me'!AA24</f>
        <v>0</v>
      </c>
      <c r="J23" s="664">
        <f>'[9]Rev_NP-12me'!AT24</f>
        <v>15.209801805480486</v>
      </c>
      <c r="K23" s="664">
        <f>'[9]Rev_NP-12me'!AU24</f>
        <v>51.83044704560448</v>
      </c>
      <c r="L23" s="664">
        <f>'[9]Rev_NP-12me'!AW24</f>
        <v>19.276620000000001</v>
      </c>
      <c r="M23" s="664">
        <f t="shared" si="0"/>
        <v>86.316868851084962</v>
      </c>
    </row>
    <row r="24" spans="2:13" ht="14.4" x14ac:dyDescent="0.25">
      <c r="B24" s="673" t="s">
        <v>901</v>
      </c>
      <c r="C24" s="579"/>
      <c r="D24" s="665">
        <f>'[9]Rev_NP-12me'!AJ25</f>
        <v>328729</v>
      </c>
      <c r="E24" s="665">
        <f>'[9]Rev_NP-12me'!AK25</f>
        <v>422.49449459668011</v>
      </c>
      <c r="F24" s="665">
        <f>'[9]Rev_NP-12me'!AQ25</f>
        <v>74.043495779434963</v>
      </c>
      <c r="G24" s="669">
        <f>'[9]Rev_NP-12me'!O25</f>
        <v>30</v>
      </c>
      <c r="H24" s="670">
        <f>'[9]Rev_NP-12me'!P25</f>
        <v>7</v>
      </c>
      <c r="I24" s="669">
        <f>'[9]Rev_NP-12me'!AA25</f>
        <v>50</v>
      </c>
      <c r="J24" s="665">
        <f>'[9]Rev_NP-12me'!AT25</f>
        <v>15.209801805480486</v>
      </c>
      <c r="K24" s="665">
        <f>'[9]Rev_NP-12me'!AU25</f>
        <v>51.83044704560448</v>
      </c>
      <c r="L24" s="665">
        <f>'[9]Rev_NP-12me'!AW25</f>
        <v>19.276620000000001</v>
      </c>
      <c r="M24" s="664">
        <f t="shared" si="0"/>
        <v>86.316868851084962</v>
      </c>
    </row>
    <row r="25" spans="2:13" x14ac:dyDescent="0.25">
      <c r="B25" s="667" t="s">
        <v>915</v>
      </c>
      <c r="C25" s="579"/>
      <c r="D25" s="664">
        <f>'[9]Rev_NP-12me'!AJ26</f>
        <v>216202</v>
      </c>
      <c r="E25" s="664">
        <f>'[9]Rev_NP-12me'!AK26</f>
        <v>804.71193976933182</v>
      </c>
      <c r="F25" s="664">
        <f>'[9]Rev_NP-12me'!AQ26</f>
        <v>1017.7413998505668</v>
      </c>
      <c r="G25" s="671">
        <f>'[9]Rev_NP-12me'!O26</f>
        <v>0</v>
      </c>
      <c r="H25" s="672">
        <f>'[9]Rev_NP-12me'!P26</f>
        <v>0</v>
      </c>
      <c r="I25" s="671">
        <f>'[9]Rev_NP-12me'!AA26</f>
        <v>0</v>
      </c>
      <c r="J25" s="664">
        <f>'[9]Rev_NP-12me'!AT26</f>
        <v>84.375687001135418</v>
      </c>
      <c r="K25" s="664">
        <f>'[9]Rev_NP-12me'!AU26</f>
        <v>1049.6386299756032</v>
      </c>
      <c r="L25" s="664">
        <f>'[9]Rev_NP-12me'!AW26</f>
        <v>26.959110000000003</v>
      </c>
      <c r="M25" s="664">
        <f t="shared" si="0"/>
        <v>1160.9734269767387</v>
      </c>
    </row>
    <row r="26" spans="2:13" ht="14.4" x14ac:dyDescent="0.25">
      <c r="B26" s="668" t="s">
        <v>905</v>
      </c>
      <c r="C26" s="579"/>
      <c r="D26" s="665">
        <f>'[9]Rev_NP-12me'!AJ27</f>
        <v>91611</v>
      </c>
      <c r="E26" s="665">
        <f>'[9]Rev_NP-12me'!AK27</f>
        <v>143.63837664856459</v>
      </c>
      <c r="F26" s="665">
        <f>'[9]Rev_NP-12me'!AQ27</f>
        <v>197.30593257815084</v>
      </c>
      <c r="G26" s="669">
        <f>'[9]Rev_NP-12me'!O27</f>
        <v>70</v>
      </c>
      <c r="H26" s="670">
        <f>'[9]Rev_NP-12me'!P27</f>
        <v>8.5</v>
      </c>
      <c r="I26" s="669">
        <f>'[9]Rev_NP-12me'!AA27</f>
        <v>90</v>
      </c>
      <c r="J26" s="665">
        <f>'[9]Rev_NP-12me'!AT27</f>
        <v>12.065623638479424</v>
      </c>
      <c r="K26" s="665">
        <f>'[9]Rev_NP-12me'!AU27</f>
        <v>167.71004269142821</v>
      </c>
      <c r="L26" s="665">
        <f>'[9]Rev_NP-12me'!AW27</f>
        <v>9.6697260000000007</v>
      </c>
      <c r="M26" s="664">
        <f t="shared" si="0"/>
        <v>189.44539232990763</v>
      </c>
    </row>
    <row r="27" spans="2:13" ht="14.4" x14ac:dyDescent="0.25">
      <c r="B27" s="668" t="s">
        <v>916</v>
      </c>
      <c r="C27" s="579"/>
      <c r="D27" s="665">
        <f>'[9]Rev_NP-12me'!AJ28</f>
        <v>79441</v>
      </c>
      <c r="E27" s="665">
        <f>'[9]Rev_NP-12me'!AK28</f>
        <v>194.96567255100209</v>
      </c>
      <c r="F27" s="665">
        <f>'[9]Rev_NP-12me'!AQ28</f>
        <v>118.73326101652279</v>
      </c>
      <c r="G27" s="669">
        <f>'[9]Rev_NP-12me'!O28</f>
        <v>70</v>
      </c>
      <c r="H27" s="670">
        <f>'[9]Rev_NP-12me'!P28</f>
        <v>9.9</v>
      </c>
      <c r="I27" s="669">
        <f>'[9]Rev_NP-12me'!AA28</f>
        <v>105</v>
      </c>
      <c r="J27" s="665">
        <f>'[9]Rev_NP-12me'!AT28</f>
        <v>16.377116494284177</v>
      </c>
      <c r="K27" s="665">
        <f>'[9]Rev_NP-12me'!AU28</f>
        <v>117.54592840635758</v>
      </c>
      <c r="L27" s="665">
        <f>'[9]Rev_NP-12me'!AW28</f>
        <v>9.7826400000000007</v>
      </c>
      <c r="M27" s="664">
        <f t="shared" si="0"/>
        <v>143.70568490064176</v>
      </c>
    </row>
    <row r="28" spans="2:13" ht="14.4" x14ac:dyDescent="0.25">
      <c r="B28" s="668" t="s">
        <v>917</v>
      </c>
      <c r="C28" s="579"/>
      <c r="D28" s="665">
        <f>'[9]Rev_NP-12me'!AJ29</f>
        <v>20582</v>
      </c>
      <c r="E28" s="665">
        <f>'[9]Rev_NP-12me'!AK29</f>
        <v>79.15434575133807</v>
      </c>
      <c r="F28" s="665">
        <f>'[9]Rev_NP-12me'!AQ29</f>
        <v>124.82946672775154</v>
      </c>
      <c r="G28" s="669">
        <f>'[9]Rev_NP-12me'!O29</f>
        <v>100</v>
      </c>
      <c r="H28" s="670">
        <f>'[9]Rev_NP-12me'!P29</f>
        <v>10.4</v>
      </c>
      <c r="I28" s="669">
        <f>'[9]Rev_NP-12me'!AA29</f>
        <v>120</v>
      </c>
      <c r="J28" s="665">
        <f>'[9]Rev_NP-12me'!AT29</f>
        <v>9.4985214901605683</v>
      </c>
      <c r="K28" s="665">
        <f>'[9]Rev_NP-12me'!AU29</f>
        <v>129.82264539686159</v>
      </c>
      <c r="L28" s="665">
        <f>'[9]Rev_NP-12me'!AW29</f>
        <v>2.8966319999999999</v>
      </c>
      <c r="M28" s="664">
        <f t="shared" si="0"/>
        <v>142.21779888702216</v>
      </c>
    </row>
    <row r="29" spans="2:13" ht="14.4" x14ac:dyDescent="0.25">
      <c r="B29" s="668" t="s">
        <v>918</v>
      </c>
      <c r="C29" s="579"/>
      <c r="D29" s="665">
        <f>'[9]Rev_NP-12me'!AJ30</f>
        <v>24568</v>
      </c>
      <c r="E29" s="665">
        <f>'[9]Rev_NP-12me'!AK30</f>
        <v>386.95354481842702</v>
      </c>
      <c r="F29" s="665">
        <f>'[9]Rev_NP-12me'!AQ30</f>
        <v>576.87273952814166</v>
      </c>
      <c r="G29" s="669">
        <f>'[9]Rev_NP-12me'!O30</f>
        <v>100</v>
      </c>
      <c r="H29" s="670">
        <f>'[9]Rev_NP-12me'!P30</f>
        <v>11</v>
      </c>
      <c r="I29" s="669">
        <f>'[9]Rev_NP-12me'!AA30</f>
        <v>160</v>
      </c>
      <c r="J29" s="665">
        <f>'[9]Rev_NP-12me'!AT30</f>
        <v>46.434425378211245</v>
      </c>
      <c r="K29" s="665">
        <f>'[9]Rev_NP-12me'!AU30</f>
        <v>634.56001348095583</v>
      </c>
      <c r="L29" s="665">
        <f>'[9]Rev_NP-12me'!AW30</f>
        <v>4.610112</v>
      </c>
      <c r="M29" s="664">
        <f t="shared" si="0"/>
        <v>685.60455085916703</v>
      </c>
    </row>
    <row r="30" spans="2:13" x14ac:dyDescent="0.25">
      <c r="B30" s="667" t="s">
        <v>919</v>
      </c>
      <c r="C30" s="579"/>
      <c r="D30" s="664">
        <f>'[9]Rev_NP-12me'!AJ31</f>
        <v>537</v>
      </c>
      <c r="E30" s="664">
        <f>'[9]Rev_NP-12me'!AK31</f>
        <v>2.079807866016119</v>
      </c>
      <c r="F30" s="664">
        <f>'[9]Rev_NP-12me'!AQ31</f>
        <v>1.3151810160961181</v>
      </c>
      <c r="G30" s="669">
        <f>'[9]Rev_NP-12me'!O31</f>
        <v>150</v>
      </c>
      <c r="H30" s="670">
        <f>'[9]Rev_NP-12me'!P31</f>
        <v>13</v>
      </c>
      <c r="I30" s="669">
        <f>'[9]Rev_NP-12me'!AA31</f>
        <v>160</v>
      </c>
      <c r="J30" s="664">
        <f>'[9]Rev_NP-12me'!AT31</f>
        <v>0.37436541588290145</v>
      </c>
      <c r="K30" s="664">
        <f>'[9]Rev_NP-12me'!AU31</f>
        <v>1.7097353209249537</v>
      </c>
      <c r="L30" s="664">
        <f>'[9]Rev_NP-12me'!AW31</f>
        <v>0.1008</v>
      </c>
      <c r="M30" s="664">
        <f t="shared" si="0"/>
        <v>2.184900736807855</v>
      </c>
    </row>
    <row r="31" spans="2:13" x14ac:dyDescent="0.25">
      <c r="B31" s="667" t="s">
        <v>920</v>
      </c>
      <c r="C31" s="579"/>
      <c r="D31" s="664">
        <f>'[9]Rev_NP-12me'!AJ32</f>
        <v>13801</v>
      </c>
      <c r="E31" s="664">
        <f>'[9]Rev_NP-12me'!AK32</f>
        <v>12.955580551346383</v>
      </c>
      <c r="F31" s="664">
        <f>'[9]Rev_NP-12me'!AQ32</f>
        <v>3.0497631830616241</v>
      </c>
      <c r="G31" s="671">
        <f>'[9]Rev_NP-12me'!O32</f>
        <v>0</v>
      </c>
      <c r="H31" s="672">
        <f>'[9]Rev_NP-12me'!P32</f>
        <v>0</v>
      </c>
      <c r="I31" s="671">
        <f>'[9]Rev_NP-12me'!AA32</f>
        <v>0</v>
      </c>
      <c r="J31" s="664">
        <f>'[9]Rev_NP-12me'!AT32</f>
        <v>0.93280179969693977</v>
      </c>
      <c r="K31" s="664">
        <f>'[9]Rev_NP-12me'!AU32</f>
        <v>1.852007038463797</v>
      </c>
      <c r="L31" s="664">
        <f>'[9]Rev_NP-12me'!AW32</f>
        <v>0.76935000000000009</v>
      </c>
      <c r="M31" s="664">
        <f t="shared" si="0"/>
        <v>3.554158838160737</v>
      </c>
    </row>
    <row r="32" spans="2:13" ht="14.4" x14ac:dyDescent="0.25">
      <c r="B32" s="668" t="s">
        <v>901</v>
      </c>
      <c r="C32" s="579"/>
      <c r="D32" s="665">
        <f>'[9]Rev_NP-12me'!AJ33</f>
        <v>11140</v>
      </c>
      <c r="E32" s="665">
        <f>'[9]Rev_NP-12me'!AK33</f>
        <v>10.105895325418894</v>
      </c>
      <c r="F32" s="665">
        <f>'[9]Rev_NP-12me'!AQ33</f>
        <v>1.6161879574347566</v>
      </c>
      <c r="G32" s="669">
        <f>'[9]Rev_NP-12me'!O33</f>
        <v>60</v>
      </c>
      <c r="H32" s="670">
        <f>'[9]Rev_NP-12me'!P33</f>
        <v>5.3</v>
      </c>
      <c r="I32" s="669">
        <f>'[9]Rev_NP-12me'!AA33</f>
        <v>45</v>
      </c>
      <c r="J32" s="665">
        <f>'[9]Rev_NP-12me'!AT33</f>
        <v>0.72762446343016052</v>
      </c>
      <c r="K32" s="665">
        <f>'[9]Rev_NP-12me'!AU33</f>
        <v>0.85657961744042088</v>
      </c>
      <c r="L32" s="665">
        <f>'[9]Rev_NP-12me'!AW33</f>
        <v>0.58792500000000003</v>
      </c>
      <c r="M32" s="664">
        <f t="shared" si="0"/>
        <v>2.1721290808705813</v>
      </c>
    </row>
    <row r="33" spans="2:13" ht="14.4" x14ac:dyDescent="0.25">
      <c r="B33" s="668" t="s">
        <v>921</v>
      </c>
      <c r="C33" s="579"/>
      <c r="D33" s="665">
        <f>'[9]Rev_NP-12me'!AJ34</f>
        <v>1826</v>
      </c>
      <c r="E33" s="665">
        <f>'[9]Rev_NP-12me'!AK34</f>
        <v>1.757459424876459</v>
      </c>
      <c r="F33" s="665">
        <f>'[9]Rev_NP-12me'!AQ34</f>
        <v>0.88615553551971638</v>
      </c>
      <c r="G33" s="669">
        <f>'[9]Rev_NP-12me'!O34</f>
        <v>60</v>
      </c>
      <c r="H33" s="670">
        <f>'[9]Rev_NP-12me'!P34</f>
        <v>6.6</v>
      </c>
      <c r="I33" s="669">
        <f>'[9]Rev_NP-12me'!AA34</f>
        <v>55</v>
      </c>
      <c r="J33" s="665">
        <f>'[9]Rev_NP-12me'!AT34</f>
        <v>0.12653707859110505</v>
      </c>
      <c r="K33" s="665">
        <f>'[9]Rev_NP-12me'!AU34</f>
        <v>0.5848626534430128</v>
      </c>
      <c r="L33" s="665">
        <f>'[9]Rev_NP-12me'!AW34</f>
        <v>0.11777700000000001</v>
      </c>
      <c r="M33" s="664">
        <f t="shared" si="0"/>
        <v>0.8291767320341179</v>
      </c>
    </row>
    <row r="34" spans="2:13" ht="14.4" x14ac:dyDescent="0.25">
      <c r="B34" s="668" t="s">
        <v>922</v>
      </c>
      <c r="C34" s="579"/>
      <c r="D34" s="665">
        <f>'[9]Rev_NP-12me'!AJ35</f>
        <v>835</v>
      </c>
      <c r="E34" s="665">
        <f>'[9]Rev_NP-12me'!AK35</f>
        <v>1.0922258010510306</v>
      </c>
      <c r="F34" s="665">
        <f>'[9]Rev_NP-12me'!AQ35</f>
        <v>0.54741969010715097</v>
      </c>
      <c r="G34" s="669">
        <f>'[9]Rev_NP-12me'!O35</f>
        <v>60</v>
      </c>
      <c r="H34" s="670">
        <f>'[9]Rev_NP-12me'!P35</f>
        <v>7.5</v>
      </c>
      <c r="I34" s="669">
        <f>'[9]Rev_NP-12me'!AA35</f>
        <v>65</v>
      </c>
      <c r="J34" s="665">
        <f>'[9]Rev_NP-12me'!AT35</f>
        <v>7.8640257675674202E-2</v>
      </c>
      <c r="K34" s="665">
        <f>'[9]Rev_NP-12me'!AU35</f>
        <v>0.4105647675803632</v>
      </c>
      <c r="L34" s="665">
        <f>'[9]Rev_NP-12me'!AW35</f>
        <v>6.3647999999999996E-2</v>
      </c>
      <c r="M34" s="664">
        <f t="shared" si="0"/>
        <v>0.55285302525603741</v>
      </c>
    </row>
    <row r="35" spans="2:13" x14ac:dyDescent="0.25">
      <c r="B35" s="663" t="s">
        <v>923</v>
      </c>
      <c r="C35" s="579"/>
      <c r="D35" s="666">
        <f>'[9]Rev_NP-12me'!AJ36</f>
        <v>22596</v>
      </c>
      <c r="E35" s="666">
        <f>'[9]Rev_NP-12me'!$AK$36</f>
        <v>410.32331610233894</v>
      </c>
      <c r="F35" s="666">
        <f>'[9]Rev_NP-12me'!AQ36</f>
        <v>244.09749984720008</v>
      </c>
      <c r="G35" s="671">
        <f>'[9]Rev_NP-12me'!O36</f>
        <v>0</v>
      </c>
      <c r="H35" s="672">
        <f>'[9]Rev_NP-12me'!P36</f>
        <v>0</v>
      </c>
      <c r="I35" s="671">
        <f>'[9]Rev_NP-12me'!AA36</f>
        <v>0</v>
      </c>
      <c r="J35" s="666">
        <f>'[9]Rev_NP-12me'!AT36</f>
        <v>47.723736439603705</v>
      </c>
      <c r="K35" s="666">
        <f>'[9]Rev_NP-12me'!AU36</f>
        <v>186.66514273536794</v>
      </c>
      <c r="L35" s="666">
        <f>'[9]Rev_NP-12me'!AW36</f>
        <v>7.9685999999999995</v>
      </c>
      <c r="M35" s="666">
        <f t="shared" si="0"/>
        <v>242.35747917497164</v>
      </c>
    </row>
    <row r="36" spans="2:13" ht="14.4" x14ac:dyDescent="0.25">
      <c r="B36" s="668" t="s">
        <v>924</v>
      </c>
      <c r="C36" s="579"/>
      <c r="D36" s="665">
        <f>'[9]Rev_NP-12me'!AJ37</f>
        <v>19131</v>
      </c>
      <c r="E36" s="665">
        <f>'[9]Rev_NP-12me'!AK37</f>
        <v>374.62934494669639</v>
      </c>
      <c r="F36" s="665">
        <f>'[9]Rev_NP-12me'!AQ37</f>
        <v>226.50429385946813</v>
      </c>
      <c r="G36" s="669">
        <f>'[9]Rev_NP-12me'!O37</f>
        <v>100</v>
      </c>
      <c r="H36" s="670">
        <f>'[9]Rev_NP-12me'!P37</f>
        <v>7.7</v>
      </c>
      <c r="I36" s="669">
        <f>'[9]Rev_NP-12me'!AA37</f>
        <v>287.37189355619091</v>
      </c>
      <c r="J36" s="665">
        <f>'[9]Rev_NP-12me'!AT37</f>
        <v>44.955521393603561</v>
      </c>
      <c r="K36" s="665">
        <f>'[9]Rev_NP-12me'!AU37</f>
        <v>174.40830627179045</v>
      </c>
      <c r="L36" s="665">
        <f>'[9]Rev_NP-12me'!AW37</f>
        <v>7.8738277617434251</v>
      </c>
      <c r="M36" s="664">
        <f t="shared" si="0"/>
        <v>227.23765542713744</v>
      </c>
    </row>
    <row r="37" spans="2:13" ht="14.4" x14ac:dyDescent="0.25">
      <c r="B37" s="668" t="s">
        <v>925</v>
      </c>
      <c r="C37" s="579"/>
      <c r="D37" s="665">
        <f>'[9]Rev_NP-12me'!AJ38</f>
        <v>0</v>
      </c>
      <c r="E37" s="665">
        <f>'[9]Rev_NP-12me'!AK38</f>
        <v>0</v>
      </c>
      <c r="F37" s="665">
        <f>'[9]Rev_NP-12me'!AQ38</f>
        <v>0</v>
      </c>
      <c r="G37" s="669">
        <f>'[9]Rev_NP-12me'!O38</f>
        <v>100</v>
      </c>
      <c r="H37" s="670">
        <f>'[9]Rev_NP-12me'!P38</f>
        <v>8.4</v>
      </c>
      <c r="I37" s="669">
        <f>'[9]Rev_NP-12me'!AA38</f>
        <v>287.37189355619091</v>
      </c>
      <c r="J37" s="665">
        <f>'[9]Rev_NP-12me'!AT38</f>
        <v>0</v>
      </c>
      <c r="K37" s="665">
        <f>'[9]Rev_NP-12me'!AU38</f>
        <v>0</v>
      </c>
      <c r="L37" s="665">
        <f>'[9]Rev_NP-12me'!AW38</f>
        <v>0</v>
      </c>
      <c r="M37" s="664">
        <f t="shared" si="0"/>
        <v>0</v>
      </c>
    </row>
    <row r="38" spans="2:13" ht="14.4" x14ac:dyDescent="0.25">
      <c r="B38" s="668" t="s">
        <v>926</v>
      </c>
      <c r="C38" s="579"/>
      <c r="D38" s="665">
        <f>'[9]Rev_NP-12me'!AJ39</f>
        <v>107</v>
      </c>
      <c r="E38" s="665">
        <f>'[9]Rev_NP-12me'!AK39</f>
        <v>1.0104138060386452</v>
      </c>
      <c r="F38" s="665">
        <f>'[9]Rev_NP-12me'!AQ39</f>
        <v>0.73383437566877074</v>
      </c>
      <c r="G38" s="669">
        <f>'[9]Rev_NP-12me'!O39</f>
        <v>50</v>
      </c>
      <c r="H38" s="670">
        <f>'[9]Rev_NP-12me'!P39</f>
        <v>6.2</v>
      </c>
      <c r="I38" s="669">
        <f>'[9]Rev_NP-12me'!AA39</f>
        <v>287.37189355619091</v>
      </c>
      <c r="J38" s="665">
        <f>'[9]Rev_NP-12me'!AT39</f>
        <v>6.0624828362318708E-2</v>
      </c>
      <c r="K38" s="665">
        <f>'[9]Rev_NP-12me'!AU39</f>
        <v>0.45497731291463789</v>
      </c>
      <c r="L38" s="665">
        <f>'[9]Rev_NP-12me'!AW39</f>
        <v>2.4738385467193143E-3</v>
      </c>
      <c r="M38" s="664">
        <f t="shared" si="0"/>
        <v>0.51807597982367593</v>
      </c>
    </row>
    <row r="39" spans="2:13" ht="14.4" x14ac:dyDescent="0.25">
      <c r="B39" s="668" t="s">
        <v>927</v>
      </c>
      <c r="C39" s="579"/>
      <c r="D39" s="665">
        <f>'[9]Rev_NP-12me'!AJ40</f>
        <v>3</v>
      </c>
      <c r="E39" s="665">
        <f>'[9]Rev_NP-12me'!AK40</f>
        <v>1.6397441176099509E-2</v>
      </c>
      <c r="F39" s="665">
        <f>'[9]Rev_NP-12me'!AQ40</f>
        <v>1.0648420302423601E-2</v>
      </c>
      <c r="G39" s="669">
        <f>'[9]Rev_NP-12me'!O40</f>
        <v>50</v>
      </c>
      <c r="H39" s="670">
        <f>'[9]Rev_NP-12me'!P40</f>
        <v>6.2</v>
      </c>
      <c r="I39" s="669">
        <f>'[9]Rev_NP-12me'!AA40</f>
        <v>287.37189355619091</v>
      </c>
      <c r="J39" s="665">
        <f>'[9]Rev_NP-12me'!AT40</f>
        <v>9.8384647056597055E-4</v>
      </c>
      <c r="K39" s="665">
        <f>'[9]Rev_NP-12me'!AU40</f>
        <v>6.6020205875026326E-3</v>
      </c>
      <c r="L39" s="665">
        <f>'[9]Rev_NP-12me'!AW40</f>
        <v>3.8781297349560208E-4</v>
      </c>
      <c r="M39" s="664">
        <f t="shared" si="0"/>
        <v>7.9736800315642047E-3</v>
      </c>
    </row>
    <row r="40" spans="2:13" ht="14.4" x14ac:dyDescent="0.25">
      <c r="B40" s="668" t="s">
        <v>928</v>
      </c>
      <c r="C40" s="579"/>
      <c r="D40" s="665">
        <f>'[9]Rev_NP-12me'!AJ41</f>
        <v>3348</v>
      </c>
      <c r="E40" s="665">
        <f>'[9]Rev_NP-12me'!AK41</f>
        <v>34.606019472478195</v>
      </c>
      <c r="F40" s="665">
        <f>'[9]Rev_NP-12me'!AQ41</f>
        <v>16.810359996999797</v>
      </c>
      <c r="G40" s="669">
        <f>'[9]Rev_NP-12me'!O41</f>
        <v>65</v>
      </c>
      <c r="H40" s="670">
        <f>'[9]Rev_NP-12me'!P41</f>
        <v>7</v>
      </c>
      <c r="I40" s="669">
        <f>'[9]Rev_NP-12me'!AA41</f>
        <v>287.37189355619091</v>
      </c>
      <c r="J40" s="665">
        <f>'[9]Rev_NP-12me'!AT41</f>
        <v>2.6992695188532996</v>
      </c>
      <c r="K40" s="665">
        <f>'[9]Rev_NP-12me'!AU41</f>
        <v>11.767251997899859</v>
      </c>
      <c r="L40" s="665">
        <f>'[9]Rev_NP-12me'!AW41</f>
        <v>9.1269203741732752E-2</v>
      </c>
      <c r="M40" s="664">
        <f t="shared" si="0"/>
        <v>14.557790720494891</v>
      </c>
    </row>
    <row r="41" spans="2:13" ht="14.4" x14ac:dyDescent="0.25">
      <c r="B41" s="668" t="s">
        <v>929</v>
      </c>
      <c r="C41" s="579"/>
      <c r="D41" s="665">
        <f>'[9]Rev_NP-12me'!AJ42</f>
        <v>7</v>
      </c>
      <c r="E41" s="665">
        <f>'[9]Rev_NP-12me'!AK42</f>
        <v>6.1140435949646542E-2</v>
      </c>
      <c r="F41" s="665">
        <f>'[9]Rev_NP-12me'!AQ42</f>
        <v>3.8363194760924819E-2</v>
      </c>
      <c r="G41" s="669">
        <f>'[9]Rev_NP-12me'!O42</f>
        <v>100</v>
      </c>
      <c r="H41" s="670">
        <f>'[9]Rev_NP-12me'!P42</f>
        <v>7.3</v>
      </c>
      <c r="I41" s="669">
        <f>'[9]Rev_NP-12me'!AA42</f>
        <v>287.37189355619091</v>
      </c>
      <c r="J41" s="665">
        <f>'[9]Rev_NP-12me'!AT42</f>
        <v>7.3368523139575844E-3</v>
      </c>
      <c r="K41" s="665">
        <f>'[9]Rev_NP-12me'!AU42</f>
        <v>2.8005132175475116E-2</v>
      </c>
      <c r="L41" s="665">
        <f>'[9]Rev_NP-12me'!AW42</f>
        <v>6.4138299462734177E-4</v>
      </c>
      <c r="M41" s="664">
        <f t="shared" ref="M41:M68" si="1">SUM(J41:L41)</f>
        <v>3.5983367484060044E-2</v>
      </c>
    </row>
    <row r="42" spans="2:13" x14ac:dyDescent="0.25">
      <c r="B42" s="663" t="s">
        <v>930</v>
      </c>
      <c r="C42" s="579"/>
      <c r="D42" s="666">
        <f>'[9]Rev_NP-12me'!AJ43</f>
        <v>7073</v>
      </c>
      <c r="E42" s="666">
        <f>'[9]Rev_NP-12me'!$AK$43</f>
        <v>19.080725208681216</v>
      </c>
      <c r="F42" s="666">
        <f>'[9]Rev_NP-12me'!AQ43</f>
        <v>8.6405391582405286</v>
      </c>
      <c r="G42" s="671">
        <f>'[9]Rev_NP-12me'!O43</f>
        <v>0</v>
      </c>
      <c r="H42" s="672">
        <f>'[9]Rev_NP-12me'!P43</f>
        <v>0</v>
      </c>
      <c r="I42" s="671">
        <f>'[9]Rev_NP-12me'!AA43</f>
        <v>0</v>
      </c>
      <c r="J42" s="666">
        <f>'[9]Rev_NP-12me'!AT43</f>
        <v>0.45793740500834912</v>
      </c>
      <c r="K42" s="666">
        <f>'[9]Rev_NP-12me'!AU43</f>
        <v>3.4562156632962111</v>
      </c>
      <c r="L42" s="666">
        <f>'[9]Rev_NP-12me'!AW43</f>
        <v>0.41660999999999998</v>
      </c>
      <c r="M42" s="666">
        <f t="shared" si="1"/>
        <v>4.3307630683045604</v>
      </c>
    </row>
    <row r="43" spans="2:13" ht="14.4" x14ac:dyDescent="0.25">
      <c r="B43" s="668" t="s">
        <v>179</v>
      </c>
      <c r="C43" s="579"/>
      <c r="D43" s="665">
        <f>'[9]Rev_NP-12me'!AJ44</f>
        <v>6764</v>
      </c>
      <c r="E43" s="665">
        <f>'[9]Rev_NP-12me'!$AK$44</f>
        <v>17.991390989324614</v>
      </c>
      <c r="F43" s="665">
        <f>'[9]Rev_NP-12me'!AQ44</f>
        <v>8.1442333500181423</v>
      </c>
      <c r="G43" s="669">
        <f>'[9]Rev_NP-12me'!O44</f>
        <v>20</v>
      </c>
      <c r="H43" s="670">
        <f>'[9]Rev_NP-12me'!P44</f>
        <v>4</v>
      </c>
      <c r="I43" s="669">
        <f>'[9]Rev_NP-12me'!AA44</f>
        <v>50</v>
      </c>
      <c r="J43" s="665">
        <f>'[9]Rev_NP-12me'!AT44</f>
        <v>0.43179338374379073</v>
      </c>
      <c r="K43" s="665">
        <f>'[9]Rev_NP-12me'!AU44</f>
        <v>3.2576933400072567</v>
      </c>
      <c r="L43" s="665">
        <f>'[9]Rev_NP-12me'!AW44</f>
        <v>0.39839999999999998</v>
      </c>
      <c r="M43" s="664">
        <f t="shared" si="1"/>
        <v>4.0878867237510477</v>
      </c>
    </row>
    <row r="44" spans="2:13" ht="14.4" x14ac:dyDescent="0.25">
      <c r="B44" s="668" t="s">
        <v>932</v>
      </c>
      <c r="C44" s="579"/>
      <c r="D44" s="665">
        <f>'[9]Rev_NP-12me'!AJ45</f>
        <v>309</v>
      </c>
      <c r="E44" s="665">
        <f>'[9]Rev_NP-12me'!$AK$45</f>
        <v>1.0893342193566</v>
      </c>
      <c r="F44" s="665">
        <f>'[9]Rev_NP-12me'!AQ45</f>
        <v>0.49630580822238607</v>
      </c>
      <c r="G44" s="669">
        <f>'[9]Rev_NP-12me'!O45</f>
        <v>20</v>
      </c>
      <c r="H44" s="670">
        <f>'[9]Rev_NP-12me'!P45</f>
        <v>4</v>
      </c>
      <c r="I44" s="669">
        <f>'[9]Rev_NP-12me'!AA45</f>
        <v>50</v>
      </c>
      <c r="J44" s="665">
        <f>'[9]Rev_NP-12me'!AT45</f>
        <v>2.6144021264558403E-2</v>
      </c>
      <c r="K44" s="665">
        <f>'[9]Rev_NP-12me'!AU45</f>
        <v>0.19852232328895442</v>
      </c>
      <c r="L44" s="665">
        <f>'[9]Rev_NP-12me'!AW45</f>
        <v>1.821E-2</v>
      </c>
      <c r="M44" s="664">
        <f t="shared" si="1"/>
        <v>0.24287634455351281</v>
      </c>
    </row>
    <row r="45" spans="2:13" x14ac:dyDescent="0.25">
      <c r="B45" s="663" t="s">
        <v>933</v>
      </c>
      <c r="C45" s="579"/>
      <c r="D45" s="666">
        <f>'[9]Rev_NP-12me'!AJ46</f>
        <v>1409365</v>
      </c>
      <c r="E45" s="666">
        <f>'[9]Rev_NP-12me'!AN46*0.746/10^3</f>
        <v>5331.9100154263233</v>
      </c>
      <c r="F45" s="666">
        <f>'[9]Rev_NP-12me'!AQ46</f>
        <v>10456.606075527796</v>
      </c>
      <c r="G45" s="671">
        <f>'[9]Rev_NP-12me'!O46</f>
        <v>0</v>
      </c>
      <c r="H45" s="672">
        <f>'[9]Rev_NP-12me'!P46</f>
        <v>0</v>
      </c>
      <c r="I45" s="671">
        <f>'[9]Rev_NP-12me'!AA46</f>
        <v>0</v>
      </c>
      <c r="J45" s="666">
        <f>'[9]Rev_NP-12me'!AT46</f>
        <v>6.5820000000000004E-2</v>
      </c>
      <c r="K45" s="666">
        <f>'[9]Rev_NP-12me'!AU46</f>
        <v>1.3949344975719185</v>
      </c>
      <c r="L45" s="666">
        <f>'[9]Rev_NP-12me'!AW46</f>
        <v>49.918464</v>
      </c>
      <c r="M45" s="666">
        <f t="shared" si="1"/>
        <v>51.379218497571919</v>
      </c>
    </row>
    <row r="46" spans="2:13" x14ac:dyDescent="0.25">
      <c r="B46" s="667" t="s">
        <v>934</v>
      </c>
      <c r="C46" s="579"/>
      <c r="D46" s="664">
        <f>'[9]Rev_NP-12me'!AJ47</f>
        <v>1409007</v>
      </c>
      <c r="E46" s="664">
        <f>'[9]Rev_NP-12me'!AN47*0.746/10^3</f>
        <v>5329.8641104263243</v>
      </c>
      <c r="F46" s="664">
        <f>'[9]Rev_NP-12me'!AQ47</f>
        <v>10453.118739283866</v>
      </c>
      <c r="G46" s="671">
        <f>'[9]Rev_NP-12me'!O47</f>
        <v>0</v>
      </c>
      <c r="H46" s="672">
        <f>'[9]Rev_NP-12me'!P47</f>
        <v>0</v>
      </c>
      <c r="I46" s="671">
        <f>'[9]Rev_NP-12me'!AA47</f>
        <v>0</v>
      </c>
      <c r="J46" s="664">
        <f>'[9]Rev_NP-12me'!AT47</f>
        <v>0</v>
      </c>
      <c r="K46" s="664">
        <f>'[9]Rev_NP-12me'!AU47</f>
        <v>0</v>
      </c>
      <c r="L46" s="664">
        <f>'[9]Rev_NP-12me'!AW47</f>
        <v>49.905755999999997</v>
      </c>
      <c r="M46" s="664">
        <f t="shared" si="1"/>
        <v>49.905755999999997</v>
      </c>
    </row>
    <row r="47" spans="2:13" ht="14.4" x14ac:dyDescent="0.25">
      <c r="B47" s="668" t="s">
        <v>935</v>
      </c>
      <c r="C47" s="579"/>
      <c r="D47" s="665">
        <f>'[9]Rev_NP-12me'!AJ48</f>
        <v>0</v>
      </c>
      <c r="E47" s="665">
        <f>'[9]Rev_NP-12me'!AN48*0.746/10^3</f>
        <v>0</v>
      </c>
      <c r="F47" s="665">
        <f>'[9]Rev_NP-12me'!AQ48</f>
        <v>0</v>
      </c>
      <c r="G47" s="671">
        <f>'[9]Rev_NP-12me'!O48</f>
        <v>0</v>
      </c>
      <c r="H47" s="670">
        <f>'[9]Rev_NP-12me'!P48</f>
        <v>2.5</v>
      </c>
      <c r="I47" s="669">
        <f>'[9]Rev_NP-12me'!AA48</f>
        <v>30</v>
      </c>
      <c r="J47" s="665">
        <f>'[9]Rev_NP-12me'!AT48</f>
        <v>0</v>
      </c>
      <c r="K47" s="665">
        <f>'[9]Rev_NP-12me'!AU48</f>
        <v>0</v>
      </c>
      <c r="L47" s="665">
        <f>'[9]Rev_NP-12me'!AW48</f>
        <v>0</v>
      </c>
      <c r="M47" s="664">
        <f t="shared" si="1"/>
        <v>0</v>
      </c>
    </row>
    <row r="48" spans="2:13" ht="14.4" x14ac:dyDescent="0.25">
      <c r="B48" s="667" t="s">
        <v>937</v>
      </c>
      <c r="C48" s="579"/>
      <c r="D48" s="665">
        <f>'[9]Rev_NP-12me'!AJ49</f>
        <v>1409007</v>
      </c>
      <c r="E48" s="665">
        <f>'[9]Rev_NP-12me'!AN49*0.746/10^3</f>
        <v>5329.8641104263243</v>
      </c>
      <c r="F48" s="665">
        <f>'[9]Rev_NP-12me'!AQ49</f>
        <v>10453.118739283866</v>
      </c>
      <c r="G48" s="671">
        <f>'[9]Rev_NP-12me'!O49</f>
        <v>0</v>
      </c>
      <c r="H48" s="672">
        <f>'[9]Rev_NP-12me'!P49</f>
        <v>0</v>
      </c>
      <c r="I48" s="671">
        <f>'[9]Rev_NP-12me'!AA49</f>
        <v>0</v>
      </c>
      <c r="J48" s="665">
        <f>'[9]Rev_NP-12me'!AT49</f>
        <v>0</v>
      </c>
      <c r="K48" s="665">
        <f>'[9]Rev_NP-12me'!AU49</f>
        <v>0</v>
      </c>
      <c r="L48" s="665">
        <f>'[9]Rev_NP-12me'!AW49</f>
        <v>0</v>
      </c>
      <c r="M48" s="664">
        <f t="shared" si="1"/>
        <v>0</v>
      </c>
    </row>
    <row r="49" spans="2:13" ht="14.4" x14ac:dyDescent="0.25">
      <c r="B49" s="668" t="s">
        <v>1112</v>
      </c>
      <c r="C49" s="579"/>
      <c r="D49" s="665">
        <f>'[9]Rev_NP-12me'!AJ50</f>
        <v>1409007</v>
      </c>
      <c r="E49" s="665">
        <f>'[9]Rev_NP-12me'!AN50*0.746/10^3</f>
        <v>5329.8641104263243</v>
      </c>
      <c r="F49" s="665">
        <f>'[9]Rev_NP-12me'!AQ50</f>
        <v>10453.118739283866</v>
      </c>
      <c r="G49" s="671">
        <f>'[9]Rev_NP-12me'!O50</f>
        <v>0</v>
      </c>
      <c r="H49" s="672">
        <f>'[9]Rev_NP-12me'!P50</f>
        <v>0</v>
      </c>
      <c r="I49" s="669">
        <f>'[9]Rev_NP-12me'!AA50</f>
        <v>30</v>
      </c>
      <c r="J49" s="665">
        <f>'[9]Rev_NP-12me'!AT50</f>
        <v>0</v>
      </c>
      <c r="K49" s="665">
        <f>'[9]Rev_NP-12me'!AU50</f>
        <v>0</v>
      </c>
      <c r="L49" s="665">
        <f>'[9]Rev_NP-12me'!AW50</f>
        <v>49.905755999999997</v>
      </c>
      <c r="M49" s="664">
        <f t="shared" si="1"/>
        <v>49.905755999999997</v>
      </c>
    </row>
    <row r="50" spans="2:13" ht="14.4" x14ac:dyDescent="0.25">
      <c r="B50" s="668" t="s">
        <v>1113</v>
      </c>
      <c r="C50" s="579"/>
      <c r="D50" s="665">
        <f>'[9]Rev_NP-12me'!AJ51</f>
        <v>0</v>
      </c>
      <c r="E50" s="665">
        <f>'[9]Rev_NP-12me'!AN51*0.746/10^3</f>
        <v>0</v>
      </c>
      <c r="F50" s="665">
        <f>'[9]Rev_NP-12me'!AQ51</f>
        <v>0</v>
      </c>
      <c r="G50" s="671">
        <f>'[9]Rev_NP-12me'!O51</f>
        <v>0</v>
      </c>
      <c r="H50" s="672">
        <f>'[9]Rev_NP-12me'!P51</f>
        <v>0</v>
      </c>
      <c r="I50" s="669">
        <f>'[9]Rev_NP-12me'!AA51</f>
        <v>30</v>
      </c>
      <c r="J50" s="665">
        <f>'[9]Rev_NP-12me'!AT51</f>
        <v>0</v>
      </c>
      <c r="K50" s="665">
        <f>'[9]Rev_NP-12me'!AU51</f>
        <v>0</v>
      </c>
      <c r="L50" s="665">
        <f>'[9]Rev_NP-12me'!AW51</f>
        <v>0</v>
      </c>
      <c r="M50" s="664">
        <f t="shared" si="1"/>
        <v>0</v>
      </c>
    </row>
    <row r="51" spans="2:13" x14ac:dyDescent="0.25">
      <c r="B51" s="667" t="s">
        <v>938</v>
      </c>
      <c r="C51" s="579"/>
      <c r="D51" s="664">
        <f>'[9]Rev_NP-12me'!AJ52</f>
        <v>358</v>
      </c>
      <c r="E51" s="664">
        <f>'[9]Rev_NP-12me'!AN52*0.746/10^3</f>
        <v>2.0459049999999999</v>
      </c>
      <c r="F51" s="664">
        <f>'[9]Rev_NP-12me'!AQ52</f>
        <v>3.4873362439297964</v>
      </c>
      <c r="G51" s="671">
        <f>'[9]Rev_NP-12me'!O52</f>
        <v>0</v>
      </c>
      <c r="H51" s="672">
        <f>'[9]Rev_NP-12me'!P52</f>
        <v>0</v>
      </c>
      <c r="I51" s="671">
        <f>'[9]Rev_NP-12me'!AA52</f>
        <v>0</v>
      </c>
      <c r="J51" s="664">
        <f>'[9]Rev_NP-12me'!AT52</f>
        <v>6.5820000000000004E-2</v>
      </c>
      <c r="K51" s="664">
        <f>'[9]Rev_NP-12me'!AU52</f>
        <v>1.3949344975719185</v>
      </c>
      <c r="L51" s="664">
        <f>'[9]Rev_NP-12me'!AW52</f>
        <v>1.2708000000000001E-2</v>
      </c>
      <c r="M51" s="664">
        <f t="shared" si="1"/>
        <v>1.4734624975719184</v>
      </c>
    </row>
    <row r="52" spans="2:13" ht="14.4" x14ac:dyDescent="0.25">
      <c r="B52" s="668" t="s">
        <v>939</v>
      </c>
      <c r="C52" s="579"/>
      <c r="D52" s="665">
        <f>'[9]Rev_NP-12me'!AJ53</f>
        <v>358</v>
      </c>
      <c r="E52" s="665">
        <f>'[9]Rev_NP-12me'!AN53*0.746/10^3</f>
        <v>2.0459049999999999</v>
      </c>
      <c r="F52" s="665">
        <f>'[9]Rev_NP-12me'!AQ53</f>
        <v>3.4873362439297964</v>
      </c>
      <c r="G52" s="669">
        <f>'[9]Rev_NP-12me'!O53</f>
        <v>20</v>
      </c>
      <c r="H52" s="670">
        <f>'[9]Rev_NP-12me'!P53</f>
        <v>4</v>
      </c>
      <c r="I52" s="669">
        <f>'[9]Rev_NP-12me'!AA53</f>
        <v>30</v>
      </c>
      <c r="J52" s="665">
        <f>'[9]Rev_NP-12me'!AT53</f>
        <v>6.5820000000000004E-2</v>
      </c>
      <c r="K52" s="665">
        <f>'[9]Rev_NP-12me'!AU53</f>
        <v>1.3949344975719185</v>
      </c>
      <c r="L52" s="665">
        <f>'[9]Rev_NP-12me'!AW53</f>
        <v>1.2708000000000001E-2</v>
      </c>
      <c r="M52" s="664">
        <f t="shared" si="1"/>
        <v>1.4734624975719184</v>
      </c>
    </row>
    <row r="53" spans="2:13" x14ac:dyDescent="0.25">
      <c r="B53" s="663" t="s">
        <v>941</v>
      </c>
      <c r="C53" s="579"/>
      <c r="D53" s="666">
        <f>'[9]Rev_NP-12me'!AJ54</f>
        <v>47334</v>
      </c>
      <c r="E53" s="666">
        <f>'[9]Rev_NP-12me'!AK54</f>
        <v>89.026404578075471</v>
      </c>
      <c r="F53" s="666">
        <f>'[9]Rev_NP-12me'!AQ54</f>
        <v>140.91635851925764</v>
      </c>
      <c r="G53" s="671">
        <f>'[9]Rev_NP-12me'!O54</f>
        <v>0</v>
      </c>
      <c r="H53" s="672">
        <f>'[9]Rev_NP-12me'!P54</f>
        <v>0</v>
      </c>
      <c r="I53" s="671">
        <f>'[9]Rev_NP-12me'!AA54</f>
        <v>0</v>
      </c>
      <c r="J53" s="666">
        <f>'[9]Rev_NP-12me'!AT54</f>
        <v>3.4186139357980982</v>
      </c>
      <c r="K53" s="666">
        <f>'[9]Rev_NP-12me'!AU54</f>
        <v>104.0778844923542</v>
      </c>
      <c r="L53" s="666">
        <f>'[9]Rev_NP-12me'!AW54</f>
        <v>6.772176</v>
      </c>
      <c r="M53" s="666">
        <f t="shared" si="1"/>
        <v>114.26867442815229</v>
      </c>
    </row>
    <row r="54" spans="2:13" ht="14.4" x14ac:dyDescent="0.25">
      <c r="B54" s="668" t="s">
        <v>942</v>
      </c>
      <c r="C54" s="579"/>
      <c r="D54" s="665">
        <f>'[9]Rev_NP-12me'!AJ55</f>
        <v>34968</v>
      </c>
      <c r="E54" s="665">
        <f>'[9]Rev_NP-12me'!AK55</f>
        <v>58.248651438395498</v>
      </c>
      <c r="F54" s="665">
        <f>'[9]Rev_NP-12me'!AQ55</f>
        <v>86.351947480269999</v>
      </c>
      <c r="G54" s="669">
        <f>'[9]Rev_NP-12me'!O55</f>
        <v>32</v>
      </c>
      <c r="H54" s="670">
        <f>'[9]Rev_NP-12me'!P55</f>
        <v>7.1</v>
      </c>
      <c r="I54" s="669">
        <f>'[9]Rev_NP-12me'!AA55</f>
        <v>120</v>
      </c>
      <c r="J54" s="665">
        <f>'[9]Rev_NP-12me'!AT55</f>
        <v>2.2367482152343872</v>
      </c>
      <c r="K54" s="665">
        <f>'[9]Rev_NP-12me'!AU55</f>
        <v>61.309882710991701</v>
      </c>
      <c r="L54" s="665">
        <f>'[9]Rev_NP-12me'!AW55</f>
        <v>5.0029199999999996</v>
      </c>
      <c r="M54" s="664">
        <f t="shared" si="1"/>
        <v>68.54955092622609</v>
      </c>
    </row>
    <row r="55" spans="2:13" ht="14.4" x14ac:dyDescent="0.25">
      <c r="B55" s="668" t="s">
        <v>943</v>
      </c>
      <c r="C55" s="579"/>
      <c r="D55" s="665">
        <f>'[9]Rev_NP-12me'!AJ56</f>
        <v>6530</v>
      </c>
      <c r="E55" s="665">
        <f>'[9]Rev_NP-12me'!AK56</f>
        <v>14.83386850660029</v>
      </c>
      <c r="F55" s="665">
        <f>'[9]Rev_NP-12me'!AQ56</f>
        <v>28.583423204349842</v>
      </c>
      <c r="G55" s="669">
        <f>'[9]Rev_NP-12me'!O56</f>
        <v>32</v>
      </c>
      <c r="H55" s="670">
        <f>'[9]Rev_NP-12me'!P56</f>
        <v>7.6</v>
      </c>
      <c r="I55" s="669">
        <f>'[9]Rev_NP-12me'!AA56</f>
        <v>120</v>
      </c>
      <c r="J55" s="665">
        <f>'[9]Rev_NP-12me'!AT56</f>
        <v>0.56962055065345107</v>
      </c>
      <c r="K55" s="665">
        <f>'[9]Rev_NP-12me'!AU56</f>
        <v>21.72340163530588</v>
      </c>
      <c r="L55" s="665">
        <f>'[9]Rev_NP-12me'!AW56</f>
        <v>0.93427199999999999</v>
      </c>
      <c r="M55" s="664">
        <f t="shared" si="1"/>
        <v>23.22729418595933</v>
      </c>
    </row>
    <row r="56" spans="2:13" ht="14.4" x14ac:dyDescent="0.25">
      <c r="B56" s="668" t="s">
        <v>944</v>
      </c>
      <c r="C56" s="579"/>
      <c r="D56" s="665">
        <f>'[9]Rev_NP-12me'!AJ57</f>
        <v>5836</v>
      </c>
      <c r="E56" s="665">
        <f>'[9]Rev_NP-12me'!AK57</f>
        <v>15.94388463307968</v>
      </c>
      <c r="F56" s="665">
        <f>'[9]Rev_NP-12me'!AQ57</f>
        <v>25.980987834637808</v>
      </c>
      <c r="G56" s="669">
        <f>'[9]Rev_NP-12me'!O57</f>
        <v>32</v>
      </c>
      <c r="H56" s="670">
        <f>'[9]Rev_NP-12me'!P57</f>
        <v>8.1</v>
      </c>
      <c r="I56" s="669">
        <f>'[9]Rev_NP-12me'!AA57</f>
        <v>120</v>
      </c>
      <c r="J56" s="665">
        <f>'[9]Rev_NP-12me'!AT57</f>
        <v>0.61224516991025968</v>
      </c>
      <c r="K56" s="665">
        <f>'[9]Rev_NP-12me'!AU57</f>
        <v>21.044600146056624</v>
      </c>
      <c r="L56" s="665">
        <f>'[9]Rev_NP-12me'!AW57</f>
        <v>0.83498399999999995</v>
      </c>
      <c r="M56" s="664">
        <f t="shared" si="1"/>
        <v>22.491829315966882</v>
      </c>
    </row>
    <row r="57" spans="2:13" x14ac:dyDescent="0.25">
      <c r="B57" s="663" t="s">
        <v>945</v>
      </c>
      <c r="C57" s="579"/>
      <c r="D57" s="666">
        <f>'[9]Rev_NP-12me'!AJ65</f>
        <v>33081</v>
      </c>
      <c r="E57" s="666">
        <f>'[9]Rev_NP-12me'!AN65*0.746/10^3</f>
        <v>104.71537772011337</v>
      </c>
      <c r="F57" s="666">
        <f>'[9]Rev_NP-12me'!AQ65</f>
        <v>255.59907628206133</v>
      </c>
      <c r="G57" s="669"/>
      <c r="H57" s="670"/>
      <c r="I57" s="669"/>
      <c r="J57" s="666">
        <f>'[9]Rev_NP-12me'!AT65</f>
        <v>5.3901749389441722</v>
      </c>
      <c r="K57" s="666">
        <f>'[9]Rev_NP-12me'!AU65</f>
        <v>157.12279916917771</v>
      </c>
      <c r="L57" s="666">
        <f>'[9]Rev_NP-12me'!AW65</f>
        <v>4.7328479999999997</v>
      </c>
      <c r="M57" s="666">
        <f t="shared" si="1"/>
        <v>167.24582210812187</v>
      </c>
    </row>
    <row r="58" spans="2:13" ht="14.4" x14ac:dyDescent="0.25">
      <c r="B58" s="668" t="s">
        <v>942</v>
      </c>
      <c r="C58" s="579"/>
      <c r="D58" s="665">
        <f>'[9]Rev_NP-12me'!AJ66</f>
        <v>28311</v>
      </c>
      <c r="E58" s="665">
        <f>'[9]Rev_NP-12me'!AN66*0.746/10^3</f>
        <v>88.864324798823787</v>
      </c>
      <c r="F58" s="665">
        <f>'[9]Rev_NP-12me'!AQ66</f>
        <v>225.10294686343687</v>
      </c>
      <c r="G58" s="669">
        <v>32</v>
      </c>
      <c r="H58" s="670">
        <v>6</v>
      </c>
      <c r="I58" s="669">
        <f>'[9]Rev_NP-12me'!AA66</f>
        <v>120</v>
      </c>
      <c r="J58" s="665">
        <f>'[9]Rev_NP-12me'!AT66</f>
        <v>4.5742494266418676</v>
      </c>
      <c r="K58" s="665">
        <f>'[9]Rev_NP-12me'!AU66</f>
        <v>135.06176811806213</v>
      </c>
      <c r="L58" s="665">
        <f>'[9]Rev_NP-12me'!AW66</f>
        <v>4.0503600000000004</v>
      </c>
      <c r="M58" s="664">
        <f t="shared" si="1"/>
        <v>143.68637754470402</v>
      </c>
    </row>
    <row r="59" spans="2:13" ht="14.4" x14ac:dyDescent="0.25">
      <c r="B59" s="668" t="s">
        <v>943</v>
      </c>
      <c r="C59" s="579"/>
      <c r="D59" s="665">
        <f>'[9]Rev_NP-12me'!AJ67</f>
        <v>3366</v>
      </c>
      <c r="E59" s="665">
        <f>'[9]Rev_NP-12me'!AN67*0.746/10^3</f>
        <v>10.666591624643878</v>
      </c>
      <c r="F59" s="665">
        <f>'[9]Rev_NP-12me'!AQ67</f>
        <v>22.320546140780706</v>
      </c>
      <c r="G59" s="669">
        <v>32</v>
      </c>
      <c r="H59" s="670">
        <v>7.1</v>
      </c>
      <c r="I59" s="669">
        <f>'[9]Rev_NP-12me'!AA67</f>
        <v>120</v>
      </c>
      <c r="J59" s="665">
        <f>'[9]Rev_NP-12me'!AT67</f>
        <v>0.54905779944547584</v>
      </c>
      <c r="K59" s="665">
        <f>'[9]Rev_NP-12me'!AU67</f>
        <v>15.847587759954299</v>
      </c>
      <c r="L59" s="665">
        <f>'[9]Rev_NP-12me'!AW67</f>
        <v>0.48160799999999998</v>
      </c>
      <c r="M59" s="664">
        <f t="shared" si="1"/>
        <v>16.878253559399777</v>
      </c>
    </row>
    <row r="60" spans="2:13" ht="14.4" x14ac:dyDescent="0.25">
      <c r="B60" s="668" t="s">
        <v>944</v>
      </c>
      <c r="C60" s="579"/>
      <c r="D60" s="665">
        <f>'[9]Rev_NP-12me'!AJ68</f>
        <v>1404</v>
      </c>
      <c r="E60" s="665">
        <f>'[9]Rev_NP-12me'!AN68*0.746/10^3</f>
        <v>5.1844612966456873</v>
      </c>
      <c r="F60" s="665">
        <f>'[9]Rev_NP-12me'!AQ68</f>
        <v>8.1755832778437583</v>
      </c>
      <c r="G60" s="669">
        <v>32</v>
      </c>
      <c r="H60" s="670">
        <v>7.6</v>
      </c>
      <c r="I60" s="669">
        <f>'[9]Rev_NP-12me'!AA68</f>
        <v>120</v>
      </c>
      <c r="J60" s="665">
        <f>'[9]Rev_NP-12me'!AT68</f>
        <v>0.26686771285682892</v>
      </c>
      <c r="K60" s="665">
        <f>'[9]Rev_NP-12me'!AU68</f>
        <v>6.2134432911612558</v>
      </c>
      <c r="L60" s="665">
        <f>'[9]Rev_NP-12me'!AW68</f>
        <v>0.20088</v>
      </c>
      <c r="M60" s="664">
        <f t="shared" si="1"/>
        <v>6.6811910040180846</v>
      </c>
    </row>
    <row r="61" spans="2:13" x14ac:dyDescent="0.25">
      <c r="B61" s="663" t="s">
        <v>1114</v>
      </c>
      <c r="C61" s="579"/>
      <c r="D61" s="666">
        <f>'[9]Rev_NP-12me'!AJ69</f>
        <v>0</v>
      </c>
      <c r="E61" s="666">
        <f>'[9]Rev_NP-12me'!AK69</f>
        <v>0</v>
      </c>
      <c r="F61" s="666">
        <f>'[9]Rev_NP-12me'!AQ69</f>
        <v>0</v>
      </c>
      <c r="G61" s="671">
        <f>'[9]Rev_NP-12me'!O69</f>
        <v>0</v>
      </c>
      <c r="H61" s="671">
        <f>'[9]Rev_NP-12me'!P69</f>
        <v>0</v>
      </c>
      <c r="I61" s="671">
        <f>'[9]Rev_NP-12me'!AA69</f>
        <v>0</v>
      </c>
      <c r="J61" s="666">
        <f>'[9]Rev_NP-12me'!AT69</f>
        <v>0</v>
      </c>
      <c r="K61" s="666">
        <f>'[9]Rev_NP-12me'!AU69</f>
        <v>0</v>
      </c>
      <c r="L61" s="666">
        <f>'[9]Rev_NP-12me'!AW69</f>
        <v>0</v>
      </c>
      <c r="M61" s="664">
        <f t="shared" si="1"/>
        <v>0</v>
      </c>
    </row>
    <row r="62" spans="2:13" x14ac:dyDescent="0.25">
      <c r="B62" s="663" t="s">
        <v>948</v>
      </c>
      <c r="C62" s="579"/>
      <c r="D62" s="666">
        <f>'[9]Rev_NP-12me'!AJ58</f>
        <v>25656</v>
      </c>
      <c r="E62" s="666">
        <f>'[9]Rev_NP-12me'!AK58</f>
        <v>61.132073034183989</v>
      </c>
      <c r="F62" s="666">
        <f>'[9]Rev_NP-12me'!AQ58</f>
        <v>73.648007460605655</v>
      </c>
      <c r="G62" s="669"/>
      <c r="H62" s="670"/>
      <c r="I62" s="669"/>
      <c r="J62" s="666">
        <f>'[9]Rev_NP-12me'!AT58</f>
        <v>1.6781414041845726</v>
      </c>
      <c r="K62" s="666">
        <f>'[9]Rev_NP-12me'!AU58</f>
        <v>57.228115521677616</v>
      </c>
      <c r="L62" s="666">
        <f>'[9]Rev_NP-12me'!AW58</f>
        <v>3.0409199999999998</v>
      </c>
      <c r="M62" s="666">
        <f t="shared" si="1"/>
        <v>61.947176925862188</v>
      </c>
    </row>
    <row r="63" spans="2:13" ht="14.4" x14ac:dyDescent="0.25">
      <c r="B63" s="667" t="s">
        <v>949</v>
      </c>
      <c r="C63" s="579"/>
      <c r="D63" s="665">
        <f>'[9]Rev_NP-12me'!AJ59</f>
        <v>18959</v>
      </c>
      <c r="E63" s="665">
        <f>'[9]Rev_NP-12me'!AK59</f>
        <v>48.390113430189906</v>
      </c>
      <c r="F63" s="665">
        <f>'[9]Rev_NP-12me'!AQ59</f>
        <v>61.830641792044808</v>
      </c>
      <c r="G63" s="669">
        <f>'[9]Rev_NP-12me'!O59</f>
        <v>21</v>
      </c>
      <c r="H63" s="670">
        <f>'[9]Rev_NP-12me'!P59</f>
        <v>8.3000000000000007</v>
      </c>
      <c r="I63" s="669">
        <f>'[9]Rev_NP-12me'!AA59</f>
        <v>100</v>
      </c>
      <c r="J63" s="665">
        <f>'[9]Rev_NP-12me'!AT59</f>
        <v>1.2194308584407856</v>
      </c>
      <c r="K63" s="665">
        <f>'[9]Rev_NP-12me'!AU59</f>
        <v>51.319432687397196</v>
      </c>
      <c r="L63" s="665">
        <f>'[9]Rev_NP-12me'!AW59</f>
        <v>2.2471199999999998</v>
      </c>
      <c r="M63" s="664">
        <f t="shared" si="1"/>
        <v>54.785983545837986</v>
      </c>
    </row>
    <row r="64" spans="2:13" ht="14.4" x14ac:dyDescent="0.25">
      <c r="B64" s="667" t="s">
        <v>950</v>
      </c>
      <c r="C64" s="579"/>
      <c r="D64" s="665">
        <f>'[9]Rev_NP-12me'!AJ60</f>
        <v>6697</v>
      </c>
      <c r="E64" s="665">
        <f>'[9]Rev_NP-12me'!AK60</f>
        <v>12.741959603994083</v>
      </c>
      <c r="F64" s="665">
        <f>'[9]Rev_NP-12me'!AQ60</f>
        <v>11.817365668560843</v>
      </c>
      <c r="G64" s="669">
        <f>'[9]Rev_NP-12me'!O60</f>
        <v>30</v>
      </c>
      <c r="H64" s="670">
        <f>'[9]Rev_NP-12me'!P60</f>
        <v>5</v>
      </c>
      <c r="I64" s="669">
        <f>'[9]Rev_NP-12me'!AA60</f>
        <v>100</v>
      </c>
      <c r="J64" s="665">
        <f>'[9]Rev_NP-12me'!AT60</f>
        <v>0.45871054574378695</v>
      </c>
      <c r="K64" s="665">
        <f>'[9]Rev_NP-12me'!AU60</f>
        <v>5.9086828342804223</v>
      </c>
      <c r="L64" s="665">
        <f>'[9]Rev_NP-12me'!AW60</f>
        <v>0.79379999999999995</v>
      </c>
      <c r="M64" s="664">
        <f t="shared" si="1"/>
        <v>7.1611933800242094</v>
      </c>
    </row>
    <row r="65" spans="2:16" x14ac:dyDescent="0.25">
      <c r="B65" s="667" t="s">
        <v>951</v>
      </c>
      <c r="C65" s="579"/>
      <c r="D65" s="664">
        <f>'[9]Rev_NP-12me'!AJ61</f>
        <v>4880</v>
      </c>
      <c r="E65" s="664">
        <f>'[9]Rev_NP-12me'!AK61</f>
        <v>4.9051895129142142</v>
      </c>
      <c r="F65" s="664">
        <f>'[9]Rev_NP-12me'!AQ61</f>
        <v>4.3979372363732718</v>
      </c>
      <c r="G65" s="669">
        <f>'[9]Rev_NP-12me'!O61</f>
        <v>30</v>
      </c>
      <c r="H65" s="670">
        <f>'[9]Rev_NP-12me'!P61</f>
        <v>5</v>
      </c>
      <c r="I65" s="669">
        <f>'[9]Rev_NP-12me'!AA61</f>
        <v>100</v>
      </c>
      <c r="J65" s="664">
        <f>'[9]Rev_NP-12me'!AT61</f>
        <v>0.1765868224649117</v>
      </c>
      <c r="K65" s="664">
        <f>'[9]Rev_NP-12me'!AU61</f>
        <v>2.1989686181866359</v>
      </c>
      <c r="L65" s="664">
        <f>'[9]Rev_NP-12me'!AW61</f>
        <v>0.57845999999999997</v>
      </c>
      <c r="M65" s="664">
        <f t="shared" si="1"/>
        <v>2.9540154406515473</v>
      </c>
    </row>
    <row r="66" spans="2:16" x14ac:dyDescent="0.25">
      <c r="B66" s="667" t="s">
        <v>952</v>
      </c>
      <c r="C66" s="579"/>
      <c r="D66" s="664">
        <f>'[9]Rev_NP-12me'!AJ62</f>
        <v>1817</v>
      </c>
      <c r="E66" s="664">
        <f>'[9]Rev_NP-12me'!AK62</f>
        <v>7.8367700910798677</v>
      </c>
      <c r="F66" s="664">
        <f>'[9]Rev_NP-12me'!AQ62</f>
        <v>7.4194284321875728</v>
      </c>
      <c r="G66" s="669">
        <f>'[9]Rev_NP-12me'!O62</f>
        <v>30</v>
      </c>
      <c r="H66" s="670">
        <f>'[9]Rev_NP-12me'!P62</f>
        <v>5</v>
      </c>
      <c r="I66" s="669">
        <f>'[9]Rev_NP-12me'!AA62</f>
        <v>100</v>
      </c>
      <c r="J66" s="664">
        <f>'[9]Rev_NP-12me'!AT62</f>
        <v>0.28212372327887525</v>
      </c>
      <c r="K66" s="664">
        <f>'[9]Rev_NP-12me'!AU62</f>
        <v>3.7097142160937864</v>
      </c>
      <c r="L66" s="664">
        <f>'[9]Rev_NP-12me'!AW62</f>
        <v>0.21534</v>
      </c>
      <c r="M66" s="664">
        <f t="shared" si="1"/>
        <v>4.207177939372662</v>
      </c>
    </row>
    <row r="67" spans="2:16" x14ac:dyDescent="0.25">
      <c r="B67" s="663" t="s">
        <v>953</v>
      </c>
      <c r="C67" s="579"/>
      <c r="D67" s="666">
        <f>'[9]Rev_NP-12me'!AJ63</f>
        <v>3626</v>
      </c>
      <c r="E67" s="666">
        <f>'[9]Rev_NP-12me'!AK63</f>
        <v>13.851504367607362</v>
      </c>
      <c r="F67" s="666">
        <f>'[9]Rev_NP-12me'!AQ63</f>
        <v>16.373973589713991</v>
      </c>
      <c r="G67" s="669">
        <f>'[9]Rev_NP-12me'!O63</f>
        <v>21</v>
      </c>
      <c r="H67" s="670">
        <f>'[9]Rev_NP-12me'!P63</f>
        <v>12</v>
      </c>
      <c r="I67" s="669">
        <f>'[9]Rev_NP-12me'!$AC$63</f>
        <v>100</v>
      </c>
      <c r="J67" s="666">
        <f>'[9]Rev_NP-12me'!AT63</f>
        <v>0.34905791006370557</v>
      </c>
      <c r="K67" s="666">
        <f>'[9]Rev_NP-12me'!AU63</f>
        <v>19.648768307656788</v>
      </c>
      <c r="L67" s="666">
        <f>'[9]Rev_NP-12me'!AW63</f>
        <v>0.42276000000000002</v>
      </c>
      <c r="M67" s="666">
        <f t="shared" si="1"/>
        <v>20.420586217720494</v>
      </c>
    </row>
    <row r="68" spans="2:16" x14ac:dyDescent="0.25">
      <c r="B68" s="663" t="s">
        <v>1115</v>
      </c>
      <c r="C68" s="579"/>
      <c r="D68" s="666">
        <f>'[9]Rev_NP-12me'!AJ64</f>
        <v>60</v>
      </c>
      <c r="E68" s="666">
        <f>'[9]Rev_NP-12me'!AK64</f>
        <v>1.88</v>
      </c>
      <c r="F68" s="666">
        <f>'[9]Rev_NP-12me'!AQ64</f>
        <v>0.17605145250000001</v>
      </c>
      <c r="G68" s="669">
        <f>'[9]Rev_NP-12me'!O64</f>
        <v>0</v>
      </c>
      <c r="H68" s="670">
        <f>'[9]Rev_NP-12me'!P64</f>
        <v>6</v>
      </c>
      <c r="I68" s="669">
        <f>'[9]Rev_NP-12me'!$AC$64</f>
        <v>120</v>
      </c>
      <c r="J68" s="666">
        <f>'[9]Rev_NP-12me'!AT64</f>
        <v>0</v>
      </c>
      <c r="K68" s="666">
        <f>'[9]Rev_NP-12me'!AU64</f>
        <v>0.10563087150000001</v>
      </c>
      <c r="L68" s="666">
        <f>'[9]Rev_NP-12me'!AW64</f>
        <v>7.5599999999999999E-3</v>
      </c>
      <c r="M68" s="666">
        <f t="shared" si="1"/>
        <v>0.11319087150000001</v>
      </c>
    </row>
    <row r="69" spans="2:16" x14ac:dyDescent="0.25">
      <c r="B69" s="663"/>
      <c r="C69" s="579"/>
      <c r="D69" s="664"/>
      <c r="E69" s="664"/>
      <c r="F69" s="664"/>
      <c r="G69" s="669"/>
      <c r="H69" s="669"/>
      <c r="I69" s="669"/>
      <c r="J69" s="664"/>
      <c r="K69" s="664"/>
      <c r="L69" s="664"/>
      <c r="M69" s="664"/>
    </row>
    <row r="70" spans="2:16" x14ac:dyDescent="0.25">
      <c r="B70" s="663" t="s">
        <v>1116</v>
      </c>
      <c r="C70" s="579"/>
      <c r="D70" s="666">
        <f>SUM(D9,D22,D35,D42,D45,D53,D57,D61,D62,D67,D68)</f>
        <v>6361513</v>
      </c>
      <c r="E70" s="666">
        <f>SUM(E9,E22,E35,E42,E45,E53,E57,E61,E62,E67,E68)</f>
        <v>12062.173860565257</v>
      </c>
      <c r="F70" s="666">
        <f>SUM(F9,F22,F35,F42,F45,F53,F57,F61,F62,F67,F68)</f>
        <v>17296.350392662218</v>
      </c>
      <c r="G70" s="674"/>
      <c r="H70" s="674"/>
      <c r="I70" s="674"/>
      <c r="J70" s="666">
        <f>SUM(J9,J22,J35,J42,J45,J53,J57,J61,J62,J67,J68)</f>
        <v>218.7225976498369</v>
      </c>
      <c r="K70" s="666">
        <f>SUM(K9,K22,K35,K42,K45,K53,K57,K61,K62,K67,K68)</f>
        <v>3531.1477702562775</v>
      </c>
      <c r="L70" s="666">
        <f>SUM(L9,L22,L35,L42,L45,L53,L57,L61,L62,L67,L68)</f>
        <v>430.27778999999992</v>
      </c>
      <c r="M70" s="666">
        <f>SUM(M9,M22,M35,M42,M45,M53,M57,M61,M62,M67,M68)</f>
        <v>4180.1481579061137</v>
      </c>
    </row>
    <row r="71" spans="2:16" x14ac:dyDescent="0.25">
      <c r="B71" s="675"/>
      <c r="C71" s="676"/>
      <c r="D71" s="666"/>
      <c r="E71" s="666"/>
      <c r="F71" s="666"/>
      <c r="G71" s="674"/>
      <c r="H71" s="674"/>
      <c r="I71" s="674"/>
      <c r="J71" s="666"/>
      <c r="K71" s="666"/>
      <c r="L71" s="666"/>
      <c r="M71" s="666"/>
    </row>
    <row r="72" spans="2:16" x14ac:dyDescent="0.25">
      <c r="B72" s="786" t="s">
        <v>799</v>
      </c>
      <c r="C72" s="786"/>
      <c r="D72" s="664"/>
      <c r="E72" s="664"/>
      <c r="F72" s="664"/>
      <c r="G72" s="669"/>
      <c r="H72" s="669"/>
      <c r="I72" s="669"/>
      <c r="J72" s="664"/>
      <c r="K72" s="664"/>
      <c r="L72" s="664"/>
      <c r="M72" s="664"/>
    </row>
    <row r="73" spans="2:16" x14ac:dyDescent="0.25">
      <c r="B73" s="677" t="s">
        <v>191</v>
      </c>
      <c r="C73" s="579"/>
      <c r="D73" s="664"/>
      <c r="E73" s="664"/>
      <c r="F73" s="664"/>
      <c r="G73" s="669"/>
      <c r="H73" s="669"/>
      <c r="I73" s="669"/>
      <c r="J73" s="664"/>
      <c r="K73" s="664"/>
      <c r="L73" s="664"/>
      <c r="M73" s="664"/>
    </row>
    <row r="74" spans="2:16" x14ac:dyDescent="0.25">
      <c r="B74" s="677" t="s">
        <v>1117</v>
      </c>
      <c r="C74" s="678"/>
      <c r="D74" s="666">
        <f>'[9]Rev_NP-12me'!AJ84</f>
        <v>2517</v>
      </c>
      <c r="E74" s="666">
        <f>'[9]Rev_NP-12me'!AK$84</f>
        <v>548.7979499999999</v>
      </c>
      <c r="F74" s="666">
        <f>'[9]Rev_NP-12me'!AQ$84</f>
        <v>1211.3663986092286</v>
      </c>
      <c r="G74" s="674"/>
      <c r="H74" s="674"/>
      <c r="I74" s="674"/>
      <c r="J74" s="666">
        <f>'[9]Rev_NP-12me'!AT$84</f>
        <v>227.090856</v>
      </c>
      <c r="K74" s="666">
        <f>'[9]Rev_NP-12me'!AU$84</f>
        <v>917.57686388958018</v>
      </c>
      <c r="L74" s="666">
        <f>'[9]Rev_NP-12me'!AW$84</f>
        <v>5.9592000000000001</v>
      </c>
      <c r="M74" s="666">
        <f t="shared" ref="M74:M119" si="2">SUM(J74:L74)</f>
        <v>1150.6269198895802</v>
      </c>
    </row>
    <row r="75" spans="2:16" x14ac:dyDescent="0.25">
      <c r="B75" s="679" t="s">
        <v>1118</v>
      </c>
      <c r="C75" s="678"/>
      <c r="D75" s="664">
        <f>'[9]Rev_NP-12me'!AJ85</f>
        <v>2500</v>
      </c>
      <c r="E75" s="664">
        <f>'[9]Rev_NP-12me'!$AK$85</f>
        <v>543.59694999999988</v>
      </c>
      <c r="F75" s="664">
        <f>'[9]Rev_NP-12me'!$AQ$85</f>
        <v>1193.4652577153099</v>
      </c>
      <c r="G75" s="669"/>
      <c r="H75" s="669"/>
      <c r="I75" s="669"/>
      <c r="J75" s="664">
        <f>'[9]Rev_NP-12me'!$AT$85</f>
        <v>224.59437600000001</v>
      </c>
      <c r="K75" s="664">
        <f>'[9]Rev_NP-12me'!$AU$85</f>
        <v>904.0726641540457</v>
      </c>
      <c r="L75" s="664">
        <f>'[9]Rev_NP-12me'!$AW$85</f>
        <v>5.9184000000000001</v>
      </c>
      <c r="M75" s="664">
        <f t="shared" si="2"/>
        <v>1134.5854401540457</v>
      </c>
    </row>
    <row r="76" spans="2:16" ht="14.4" x14ac:dyDescent="0.25">
      <c r="B76" s="680" t="s">
        <v>1119</v>
      </c>
      <c r="C76" s="678"/>
      <c r="D76" s="665">
        <f>'[9]Rev_NP-12me'!AJ86</f>
        <v>1744</v>
      </c>
      <c r="E76" s="665">
        <f>'[9]Rev_NP-12me'!$AK$86</f>
        <v>448.98194999999993</v>
      </c>
      <c r="F76" s="665">
        <f>'[9]Rev_NP-12me'!$AQ$86</f>
        <v>341.6356783381778</v>
      </c>
      <c r="G76" s="681">
        <f>'[9]Rev_NP-12me'!O86</f>
        <v>500</v>
      </c>
      <c r="H76" s="682">
        <f>'[9]Rev_NP-12me'!P86</f>
        <v>7.65</v>
      </c>
      <c r="I76" s="681">
        <f>'[9]Rev_NP-12me'!AA86</f>
        <v>2000</v>
      </c>
      <c r="J76" s="665">
        <f>'[9]Rev_NP-12me'!$AT$86</f>
        <v>215.511336</v>
      </c>
      <c r="K76" s="665">
        <f>'[9]Rev_NP-12me'!$AU$86</f>
        <v>261.35129392870601</v>
      </c>
      <c r="L76" s="665">
        <f>'[9]Rev_NP-12me'!$AW$86</f>
        <v>4.1399999999999997</v>
      </c>
      <c r="M76" s="664">
        <f t="shared" si="2"/>
        <v>481.00262992870603</v>
      </c>
      <c r="O76" s="920"/>
      <c r="P76" s="920"/>
    </row>
    <row r="77" spans="2:16" ht="25.95" customHeight="1" x14ac:dyDescent="0.25">
      <c r="B77" s="683" t="s">
        <v>1120</v>
      </c>
      <c r="C77" s="579"/>
      <c r="D77" s="665">
        <f>'[9]Rev_NP-12me'!AJ87</f>
        <v>756</v>
      </c>
      <c r="E77" s="665">
        <f>'[9]Rev_NP-12me'!$AK$87</f>
        <v>94.614999999999995</v>
      </c>
      <c r="F77" s="665">
        <f>'[9]Rev_NP-12me'!$AQ$87</f>
        <v>186.92572460403213</v>
      </c>
      <c r="G77" s="681">
        <f>'[9]Rev_NP-12me'!O87</f>
        <v>100</v>
      </c>
      <c r="H77" s="682">
        <f>'[9]Rev_NP-12me'!P87</f>
        <v>8</v>
      </c>
      <c r="I77" s="681">
        <f>'[9]Rev_NP-12me'!AA87</f>
        <v>2000</v>
      </c>
      <c r="J77" s="665">
        <f>'[9]Rev_NP-12me'!$AT$87</f>
        <v>9.0830400000000004</v>
      </c>
      <c r="K77" s="665">
        <f>'[9]Rev_NP-12me'!$AU$87</f>
        <v>149.5405796832257</v>
      </c>
      <c r="L77" s="665">
        <f>'[9]Rev_NP-12me'!$AW$87</f>
        <v>1.7784</v>
      </c>
      <c r="M77" s="664">
        <f t="shared" si="2"/>
        <v>160.40201968322572</v>
      </c>
      <c r="O77" s="684"/>
      <c r="P77" s="684"/>
    </row>
    <row r="78" spans="2:16" ht="14.4" x14ac:dyDescent="0.25">
      <c r="B78" s="680" t="s">
        <v>1121</v>
      </c>
      <c r="C78" s="579"/>
      <c r="D78" s="665">
        <f>'[9]Rev_NP-12me'!AJ88</f>
        <v>0</v>
      </c>
      <c r="E78" s="665">
        <f>'[9]Rev_NP-12me'!$AK$88</f>
        <v>0</v>
      </c>
      <c r="F78" s="665">
        <f>'[9]Rev_NP-12me'!$AQ$88</f>
        <v>0</v>
      </c>
      <c r="G78" s="681">
        <f>'[9]Rev_NP-12me'!O88</f>
        <v>0</v>
      </c>
      <c r="H78" s="682">
        <f>'[9]Rev_NP-12me'!P88</f>
        <v>7.65</v>
      </c>
      <c r="I78" s="681">
        <f>'[9]Rev_NP-12me'!AA88</f>
        <v>2000</v>
      </c>
      <c r="J78" s="665">
        <f>'[9]Rev_NP-12me'!$AT$88</f>
        <v>0</v>
      </c>
      <c r="K78" s="665">
        <f>'[9]Rev_NP-12me'!$AU$88</f>
        <v>0</v>
      </c>
      <c r="L78" s="665">
        <f>'[9]Rev_NP-12me'!$AW$88</f>
        <v>0</v>
      </c>
      <c r="M78" s="664">
        <f t="shared" si="2"/>
        <v>0</v>
      </c>
      <c r="O78" s="685"/>
      <c r="P78" s="686"/>
    </row>
    <row r="79" spans="2:16" ht="14.4" x14ac:dyDescent="0.25">
      <c r="B79" s="680" t="s">
        <v>1122</v>
      </c>
      <c r="C79" s="579"/>
      <c r="D79" s="665">
        <f>'[9]Rev_NP-12me'!AJ89</f>
        <v>0</v>
      </c>
      <c r="E79" s="665">
        <f>'[9]Rev_NP-12me'!$AK$89</f>
        <v>0</v>
      </c>
      <c r="F79" s="665">
        <f>'[9]Rev_NP-12me'!$AQ$89</f>
        <v>0</v>
      </c>
      <c r="G79" s="681">
        <f>'[9]Rev_NP-12me'!O89</f>
        <v>0</v>
      </c>
      <c r="H79" s="682">
        <f>'[9]Rev_NP-12me'!P89</f>
        <v>7.3</v>
      </c>
      <c r="I79" s="681">
        <f>'[9]Rev_NP-12me'!AA89</f>
        <v>2000</v>
      </c>
      <c r="J79" s="665">
        <f>'[9]Rev_NP-12me'!$AT$89</f>
        <v>0</v>
      </c>
      <c r="K79" s="665">
        <f>'[9]Rev_NP-12me'!$AU$89</f>
        <v>0</v>
      </c>
      <c r="L79" s="665">
        <f>'[9]Rev_NP-12me'!$AW$89</f>
        <v>0</v>
      </c>
      <c r="M79" s="664">
        <f t="shared" si="2"/>
        <v>0</v>
      </c>
      <c r="O79" s="685"/>
      <c r="P79" s="686"/>
    </row>
    <row r="80" spans="2:16" ht="14.4" x14ac:dyDescent="0.25">
      <c r="B80" s="680" t="s">
        <v>1123</v>
      </c>
      <c r="C80" s="579"/>
      <c r="D80" s="665">
        <f>'[9]Rev_NP-12me'!AJ90</f>
        <v>0</v>
      </c>
      <c r="E80" s="665">
        <f>'[9]Rev_NP-12me'!$AK$90</f>
        <v>0</v>
      </c>
      <c r="F80" s="665">
        <f>'[9]Rev_NP-12me'!$AQ$90</f>
        <v>0</v>
      </c>
      <c r="G80" s="681">
        <f>'[9]Rev_NP-12me'!O90</f>
        <v>500</v>
      </c>
      <c r="H80" s="682">
        <f>'[9]Rev_NP-12me'!P90</f>
        <v>8.6</v>
      </c>
      <c r="I80" s="681">
        <f>'[9]Rev_NP-12me'!AA90</f>
        <v>2000</v>
      </c>
      <c r="J80" s="665">
        <f>'[9]Rev_NP-12me'!$AT$90</f>
        <v>0</v>
      </c>
      <c r="K80" s="665">
        <f>'[9]Rev_NP-12me'!$AU$90</f>
        <v>0</v>
      </c>
      <c r="L80" s="665">
        <f>'[9]Rev_NP-12me'!$AW$90</f>
        <v>0</v>
      </c>
      <c r="M80" s="664">
        <f t="shared" si="2"/>
        <v>0</v>
      </c>
      <c r="O80" s="685"/>
      <c r="P80" s="686"/>
    </row>
    <row r="81" spans="2:16" ht="17.399999999999999" customHeight="1" x14ac:dyDescent="0.25">
      <c r="B81" s="687" t="s">
        <v>1124</v>
      </c>
      <c r="C81" s="579"/>
      <c r="D81" s="665">
        <f>'[9]Rev_NP-12me'!AJ91</f>
        <v>0</v>
      </c>
      <c r="E81" s="665">
        <f>'[9]Rev_NP-12me'!$AK$91</f>
        <v>0</v>
      </c>
      <c r="F81" s="665">
        <f>'[9]Rev_NP-12me'!$AQ$91</f>
        <v>173.60914280189036</v>
      </c>
      <c r="G81" s="681">
        <f>'[9]Rev_NP-12me'!O91</f>
        <v>0</v>
      </c>
      <c r="H81" s="682">
        <f>'[9]Rev_NP-12me'!P91</f>
        <v>8.65</v>
      </c>
      <c r="I81" s="681">
        <f>'[9]Rev_NP-12me'!AA91</f>
        <v>2000</v>
      </c>
      <c r="J81" s="665">
        <f>'[9]Rev_NP-12me'!$AT$91</f>
        <v>0</v>
      </c>
      <c r="K81" s="665">
        <f>'[9]Rev_NP-12me'!$AU$91</f>
        <v>150.17190852363518</v>
      </c>
      <c r="L81" s="665">
        <f>'[9]Rev_NP-12me'!$AW$91</f>
        <v>0</v>
      </c>
      <c r="M81" s="664">
        <f t="shared" si="2"/>
        <v>150.17190852363518</v>
      </c>
      <c r="O81" s="685"/>
      <c r="P81" s="686"/>
    </row>
    <row r="82" spans="2:16" ht="14.4" x14ac:dyDescent="0.25">
      <c r="B82" s="687" t="s">
        <v>1125</v>
      </c>
      <c r="C82" s="579"/>
      <c r="D82" s="665">
        <f>'[9]Rev_NP-12me'!AJ92</f>
        <v>0</v>
      </c>
      <c r="E82" s="665">
        <f>'[9]Rev_NP-12me'!$AK$92</f>
        <v>0</v>
      </c>
      <c r="F82" s="665">
        <f>'[9]Rev_NP-12me'!$AQ$92</f>
        <v>163.45053662473933</v>
      </c>
      <c r="G82" s="681">
        <f>'[9]Rev_NP-12me'!O92</f>
        <v>0</v>
      </c>
      <c r="H82" s="682">
        <f>'[9]Rev_NP-12me'!P92</f>
        <v>8.65</v>
      </c>
      <c r="I82" s="681">
        <f>'[9]Rev_NP-12me'!AA92</f>
        <v>2000</v>
      </c>
      <c r="J82" s="665">
        <f>'[9]Rev_NP-12me'!$AT$92</f>
        <v>0</v>
      </c>
      <c r="K82" s="665">
        <f>'[9]Rev_NP-12me'!$AU$92</f>
        <v>141.38471418039953</v>
      </c>
      <c r="L82" s="665">
        <f>'[9]Rev_NP-12me'!$AW$92</f>
        <v>0</v>
      </c>
      <c r="M82" s="664">
        <f t="shared" si="2"/>
        <v>141.38471418039953</v>
      </c>
      <c r="O82" s="685"/>
      <c r="P82" s="686"/>
    </row>
    <row r="83" spans="2:16" ht="15" customHeight="1" x14ac:dyDescent="0.25">
      <c r="B83" s="687" t="s">
        <v>1126</v>
      </c>
      <c r="C83" s="579"/>
      <c r="D83" s="665">
        <f>'[9]Rev_NP-12me'!AJ93</f>
        <v>0</v>
      </c>
      <c r="E83" s="665">
        <f>'[9]Rev_NP-12me'!$AK$93</f>
        <v>0</v>
      </c>
      <c r="F83" s="665">
        <f>'[9]Rev_NP-12me'!$AQ$93</f>
        <v>327.84417534647025</v>
      </c>
      <c r="G83" s="681">
        <f>'[9]Rev_NP-12me'!O93</f>
        <v>0</v>
      </c>
      <c r="H83" s="682">
        <f>'[9]Rev_NP-12me'!P93</f>
        <v>6.15</v>
      </c>
      <c r="I83" s="681">
        <f>'[9]Rev_NP-12me'!AA93</f>
        <v>2000</v>
      </c>
      <c r="J83" s="665">
        <f>'[9]Rev_NP-12me'!$AT$93</f>
        <v>0</v>
      </c>
      <c r="K83" s="665">
        <f>'[9]Rev_NP-12me'!$AU$93</f>
        <v>201.62416783807922</v>
      </c>
      <c r="L83" s="665">
        <f>'[9]Rev_NP-12me'!$AW$93</f>
        <v>0</v>
      </c>
      <c r="M83" s="664">
        <f t="shared" si="2"/>
        <v>201.62416783807922</v>
      </c>
      <c r="O83" s="685"/>
      <c r="P83" s="686"/>
    </row>
    <row r="84" spans="2:16" ht="14.4" x14ac:dyDescent="0.25">
      <c r="B84" s="677" t="s">
        <v>1127</v>
      </c>
      <c r="C84" s="579"/>
      <c r="D84" s="664">
        <f>'[9]Rev_NP-12me'!AJ94</f>
        <v>17</v>
      </c>
      <c r="E84" s="664">
        <f>'[9]Rev_NP-12me'!$AK$94</f>
        <v>5.2009999999999996</v>
      </c>
      <c r="F84" s="664">
        <f>'[9]Rev_NP-12me'!$AQ$94</f>
        <v>17.901140893918527</v>
      </c>
      <c r="G84" s="681">
        <f>'[9]Rev_NP-12me'!O94</f>
        <v>0</v>
      </c>
      <c r="H84" s="682">
        <f>'[9]Rev_NP-12me'!P94</f>
        <v>0</v>
      </c>
      <c r="I84" s="669">
        <f>'[9]Rev_NP-12me'!AA94</f>
        <v>0</v>
      </c>
      <c r="J84" s="664">
        <f>'[9]Rev_NP-12me'!$AT$94</f>
        <v>2.49648</v>
      </c>
      <c r="K84" s="664">
        <f>'[9]Rev_NP-12me'!$AU$94</f>
        <v>13.504199735534488</v>
      </c>
      <c r="L84" s="664">
        <f>'[9]Rev_NP-12me'!$AW$94</f>
        <v>4.0800000000000003E-2</v>
      </c>
      <c r="M84" s="666">
        <f t="shared" si="2"/>
        <v>16.041479735534491</v>
      </c>
      <c r="O84" s="685"/>
      <c r="P84" s="686"/>
    </row>
    <row r="85" spans="2:16" ht="13.2" customHeight="1" x14ac:dyDescent="0.25">
      <c r="B85" s="687" t="s">
        <v>1128</v>
      </c>
      <c r="C85" s="579"/>
      <c r="D85" s="665">
        <f>'[9]Rev_NP-12me'!AJ95</f>
        <v>17</v>
      </c>
      <c r="E85" s="665">
        <f>'[9]Rev_NP-12me'!$AK$95</f>
        <v>5.2009999999999996</v>
      </c>
      <c r="F85" s="665">
        <f>'[9]Rev_NP-12me'!$AQ$95</f>
        <v>6.3703142484806028</v>
      </c>
      <c r="G85" s="681">
        <f>'[9]Rev_NP-12me'!O95</f>
        <v>500</v>
      </c>
      <c r="H85" s="682">
        <f>'[9]Rev_NP-12me'!P95</f>
        <v>7.65</v>
      </c>
      <c r="I85" s="681">
        <f>'[9]Rev_NP-12me'!AA95</f>
        <v>2000</v>
      </c>
      <c r="J85" s="665">
        <f>'[9]Rev_NP-12me'!$AT$95</f>
        <v>2.49648</v>
      </c>
      <c r="K85" s="665">
        <f>'[9]Rev_NP-12me'!$AU$95</f>
        <v>4.8732904000876616</v>
      </c>
      <c r="L85" s="665">
        <f>'[9]Rev_NP-12me'!$AW$95</f>
        <v>4.0800000000000003E-2</v>
      </c>
      <c r="M85" s="664">
        <f t="shared" si="2"/>
        <v>7.4105704000876615</v>
      </c>
      <c r="O85" s="685"/>
      <c r="P85" s="686"/>
    </row>
    <row r="86" spans="2:16" ht="14.4" x14ac:dyDescent="0.25">
      <c r="B86" s="687" t="s">
        <v>1129</v>
      </c>
      <c r="C86" s="579"/>
      <c r="D86" s="665">
        <f>'[9]Rev_NP-12me'!AJ96</f>
        <v>0</v>
      </c>
      <c r="E86" s="665">
        <f>'[9]Rev_NP-12me'!$AK$96</f>
        <v>0</v>
      </c>
      <c r="F86" s="665">
        <f>'[9]Rev_NP-12me'!$AQ$96</f>
        <v>3.3096931576563819</v>
      </c>
      <c r="G86" s="681">
        <f>'[9]Rev_NP-12me'!O96</f>
        <v>0</v>
      </c>
      <c r="H86" s="682">
        <f>'[9]Rev_NP-12me'!P96</f>
        <v>8.65</v>
      </c>
      <c r="I86" s="681">
        <f>'[9]Rev_NP-12me'!AA96</f>
        <v>2000</v>
      </c>
      <c r="J86" s="665">
        <f>'[9]Rev_NP-12me'!$AT$96</f>
        <v>0</v>
      </c>
      <c r="K86" s="665">
        <f>'[9]Rev_NP-12me'!$AU$96</f>
        <v>2.8628845813727706</v>
      </c>
      <c r="L86" s="665">
        <f>'[9]Rev_NP-12me'!$AW$96</f>
        <v>0</v>
      </c>
      <c r="M86" s="664">
        <f t="shared" si="2"/>
        <v>2.8628845813727706</v>
      </c>
      <c r="O86" s="685"/>
    </row>
    <row r="87" spans="2:16" ht="14.4" x14ac:dyDescent="0.25">
      <c r="B87" s="687" t="s">
        <v>1130</v>
      </c>
      <c r="C87" s="579"/>
      <c r="D87" s="665">
        <f>'[9]Rev_NP-12me'!AJ97</f>
        <v>0</v>
      </c>
      <c r="E87" s="665">
        <f>'[9]Rev_NP-12me'!$AK$97</f>
        <v>0</v>
      </c>
      <c r="F87" s="665">
        <f>'[9]Rev_NP-12me'!$AQ$97</f>
        <v>2.8481106363536277</v>
      </c>
      <c r="G87" s="681">
        <f>'[9]Rev_NP-12me'!O97</f>
        <v>0</v>
      </c>
      <c r="H87" s="682">
        <f>'[9]Rev_NP-12me'!P97</f>
        <v>8.65</v>
      </c>
      <c r="I87" s="681">
        <f>'[9]Rev_NP-12me'!AA97</f>
        <v>2000</v>
      </c>
      <c r="J87" s="665">
        <f>'[9]Rev_NP-12me'!$AT$97</f>
        <v>0</v>
      </c>
      <c r="K87" s="665">
        <f>'[9]Rev_NP-12me'!$AU$97</f>
        <v>2.4636157004458878</v>
      </c>
      <c r="L87" s="665">
        <f>'[9]Rev_NP-12me'!$AW$97</f>
        <v>0</v>
      </c>
      <c r="M87" s="664">
        <f t="shared" si="2"/>
        <v>2.4636157004458878</v>
      </c>
      <c r="O87" s="685"/>
      <c r="P87" s="686"/>
    </row>
    <row r="88" spans="2:16" ht="17.399999999999999" customHeight="1" x14ac:dyDescent="0.25">
      <c r="B88" s="687" t="s">
        <v>1131</v>
      </c>
      <c r="C88" s="579"/>
      <c r="D88" s="665">
        <f>'[9]Rev_NP-12me'!AJ98</f>
        <v>0</v>
      </c>
      <c r="E88" s="665">
        <f>'[9]Rev_NP-12me'!$AK$98</f>
        <v>0</v>
      </c>
      <c r="F88" s="665">
        <f>'[9]Rev_NP-12me'!$AQ$98</f>
        <v>5.3730228514279137</v>
      </c>
      <c r="G88" s="681">
        <f>'[9]Rev_NP-12me'!O98</f>
        <v>0</v>
      </c>
      <c r="H88" s="682">
        <f>'[9]Rev_NP-12me'!P98</f>
        <v>6.15</v>
      </c>
      <c r="I88" s="681">
        <f>'[9]Rev_NP-12me'!AA98</f>
        <v>2000</v>
      </c>
      <c r="J88" s="665">
        <f>'[9]Rev_NP-12me'!$AT$98</f>
        <v>0</v>
      </c>
      <c r="K88" s="665">
        <f>'[9]Rev_NP-12me'!$AU$98</f>
        <v>3.3044090536281674</v>
      </c>
      <c r="L88" s="665">
        <f>'[9]Rev_NP-12me'!$AW$98</f>
        <v>0</v>
      </c>
      <c r="M88" s="664">
        <f t="shared" si="2"/>
        <v>3.3044090536281674</v>
      </c>
      <c r="O88" s="685"/>
      <c r="P88" s="686"/>
    </row>
    <row r="89" spans="2:16" ht="14.4" x14ac:dyDescent="0.25">
      <c r="B89" s="677" t="s">
        <v>1132</v>
      </c>
      <c r="C89" s="579"/>
      <c r="D89" s="666">
        <f>'[9]Rev_NP-12me'!AJ99</f>
        <v>0</v>
      </c>
      <c r="E89" s="666">
        <f>'[9]Rev_NP-12me'!$AK$99</f>
        <v>0</v>
      </c>
      <c r="F89" s="666">
        <f>'[9]Rev_NP-12me'!$AQ$99</f>
        <v>0</v>
      </c>
      <c r="G89" s="681">
        <f>'[9]Rev_NP-12me'!O99</f>
        <v>500</v>
      </c>
      <c r="H89" s="682">
        <f>'[9]Rev_NP-12me'!P99</f>
        <v>7.65</v>
      </c>
      <c r="I89" s="674">
        <f>'[9]Rev_NP-12me'!AA99</f>
        <v>2000</v>
      </c>
      <c r="J89" s="666">
        <f>'[9]Rev_NP-12me'!$AT$99</f>
        <v>0</v>
      </c>
      <c r="K89" s="666">
        <f>'[9]Rev_NP-12me'!$AU$99</f>
        <v>0</v>
      </c>
      <c r="L89" s="666">
        <f>'[9]Rev_NP-12me'!$AW$99</f>
        <v>0</v>
      </c>
      <c r="M89" s="666">
        <f t="shared" si="2"/>
        <v>0</v>
      </c>
    </row>
    <row r="90" spans="2:16" ht="14.4" x14ac:dyDescent="0.25">
      <c r="B90" s="677" t="s">
        <v>1133</v>
      </c>
      <c r="C90" s="579"/>
      <c r="D90" s="666">
        <f>'[9]Rev_NP-12me'!$AJ$100</f>
        <v>882</v>
      </c>
      <c r="E90" s="666">
        <f>'[9]Rev_NP-12me'!$AK$100</f>
        <v>145.02402999999998</v>
      </c>
      <c r="F90" s="666">
        <f>'[9]Rev_NP-12me'!$AQ$100</f>
        <v>252.98851961016715</v>
      </c>
      <c r="G90" s="681">
        <f>'[9]Rev_NP-12me'!O100</f>
        <v>0</v>
      </c>
      <c r="H90" s="682">
        <f>'[9]Rev_NP-12me'!P100</f>
        <v>0</v>
      </c>
      <c r="I90" s="674">
        <f>'[9]Rev_NP-12me'!AA100</f>
        <v>0</v>
      </c>
      <c r="J90" s="666">
        <f>'[9]Rev_NP-12me'!$AT$100</f>
        <v>69.611534399999982</v>
      </c>
      <c r="K90" s="666">
        <f>'[9]Rev_NP-12me'!$AU$100</f>
        <v>223.1007546712963</v>
      </c>
      <c r="L90" s="666">
        <f>'[9]Rev_NP-12me'!$AW$100</f>
        <v>2.0411999999999999</v>
      </c>
      <c r="M90" s="666">
        <f t="shared" si="2"/>
        <v>294.75348907129626</v>
      </c>
    </row>
    <row r="91" spans="2:16" ht="14.4" x14ac:dyDescent="0.25">
      <c r="B91" s="680" t="s">
        <v>1134</v>
      </c>
      <c r="C91" s="579"/>
      <c r="D91" s="665">
        <f>'[9]Rev_NP-12me'!AJ101</f>
        <v>882</v>
      </c>
      <c r="E91" s="665">
        <f>'[9]Rev_NP-12me'!AK101</f>
        <v>145.02402999999998</v>
      </c>
      <c r="F91" s="665">
        <f>'[9]Rev_NP-12me'!AQ101</f>
        <v>112.22232587703957</v>
      </c>
      <c r="G91" s="681">
        <f>'[9]Rev_NP-12me'!O101</f>
        <v>500</v>
      </c>
      <c r="H91" s="682">
        <f>'[9]Rev_NP-12me'!P101</f>
        <v>8.8000000000000007</v>
      </c>
      <c r="I91" s="681">
        <f>'[9]Rev_NP-12me'!AA101</f>
        <v>2000</v>
      </c>
      <c r="J91" s="665">
        <f>'[9]Rev_NP-12me'!AT101</f>
        <v>69.611534399999982</v>
      </c>
      <c r="K91" s="665">
        <f>'[9]Rev_NP-12me'!AU101</f>
        <v>98.755646771794829</v>
      </c>
      <c r="L91" s="665">
        <f>'[9]Rev_NP-12me'!AW101</f>
        <v>2.0411999999999999</v>
      </c>
      <c r="M91" s="664">
        <f t="shared" si="2"/>
        <v>170.40838117179482</v>
      </c>
    </row>
    <row r="92" spans="2:16" ht="14.4" x14ac:dyDescent="0.25">
      <c r="B92" s="680" t="s">
        <v>1100</v>
      </c>
      <c r="C92" s="579"/>
      <c r="D92" s="665">
        <f>'[9]Rev_NP-12me'!AJ102</f>
        <v>0</v>
      </c>
      <c r="E92" s="665">
        <f>'[9]Rev_NP-12me'!AK102</f>
        <v>0</v>
      </c>
      <c r="F92" s="665">
        <f>'[9]Rev_NP-12me'!AQ102</f>
        <v>56.899626426660383</v>
      </c>
      <c r="G92" s="681">
        <f>'[9]Rev_NP-12me'!O102</f>
        <v>0</v>
      </c>
      <c r="H92" s="682">
        <f>'[9]Rev_NP-12me'!P102</f>
        <v>9.8000000000000007</v>
      </c>
      <c r="I92" s="681">
        <f>'[9]Rev_NP-12me'!AA102</f>
        <v>2000</v>
      </c>
      <c r="J92" s="665">
        <f>'[9]Rev_NP-12me'!AT102</f>
        <v>0</v>
      </c>
      <c r="K92" s="665">
        <f>'[9]Rev_NP-12me'!AU102</f>
        <v>55.761633898127187</v>
      </c>
      <c r="L92" s="665">
        <f>'[9]Rev_NP-12me'!AW102</f>
        <v>0</v>
      </c>
      <c r="M92" s="664">
        <f t="shared" si="2"/>
        <v>55.761633898127187</v>
      </c>
    </row>
    <row r="93" spans="2:16" ht="14.4" x14ac:dyDescent="0.25">
      <c r="B93" s="680" t="s">
        <v>1101</v>
      </c>
      <c r="C93" s="579"/>
      <c r="D93" s="665">
        <f>'[9]Rev_NP-12me'!AJ103</f>
        <v>0</v>
      </c>
      <c r="E93" s="665">
        <f>'[9]Rev_NP-12me'!AK103</f>
        <v>0</v>
      </c>
      <c r="F93" s="665">
        <f>'[9]Rev_NP-12me'!AQ103</f>
        <v>29.443519470612976</v>
      </c>
      <c r="G93" s="681">
        <f>'[9]Rev_NP-12me'!O103</f>
        <v>0</v>
      </c>
      <c r="H93" s="682">
        <f>'[9]Rev_NP-12me'!P103</f>
        <v>9.8000000000000007</v>
      </c>
      <c r="I93" s="681">
        <f>'[9]Rev_NP-12me'!AA103</f>
        <v>2000</v>
      </c>
      <c r="J93" s="665">
        <f>'[9]Rev_NP-12me'!AT103</f>
        <v>0</v>
      </c>
      <c r="K93" s="665">
        <f>'[9]Rev_NP-12me'!AU103</f>
        <v>28.854649081200716</v>
      </c>
      <c r="L93" s="665">
        <f>'[9]Rev_NP-12me'!AW103</f>
        <v>0</v>
      </c>
      <c r="M93" s="664">
        <f t="shared" si="2"/>
        <v>28.854649081200716</v>
      </c>
    </row>
    <row r="94" spans="2:16" ht="14.4" x14ac:dyDescent="0.25">
      <c r="B94" s="680" t="s">
        <v>1102</v>
      </c>
      <c r="C94" s="579"/>
      <c r="D94" s="665">
        <f>'[9]Rev_NP-12me'!AJ104</f>
        <v>0</v>
      </c>
      <c r="E94" s="665">
        <f>'[9]Rev_NP-12me'!AK104</f>
        <v>0</v>
      </c>
      <c r="F94" s="665">
        <f>'[9]Rev_NP-12me'!AQ104</f>
        <v>54.423047835854234</v>
      </c>
      <c r="G94" s="681">
        <f>'[9]Rev_NP-12me'!O104</f>
        <v>0</v>
      </c>
      <c r="H94" s="682">
        <f>'[9]Rev_NP-12me'!P104</f>
        <v>7.3000000000000007</v>
      </c>
      <c r="I94" s="681">
        <f>'[9]Rev_NP-12me'!AA104</f>
        <v>2000</v>
      </c>
      <c r="J94" s="665">
        <f>'[9]Rev_NP-12me'!AT104</f>
        <v>0</v>
      </c>
      <c r="K94" s="665">
        <f>'[9]Rev_NP-12me'!AU104</f>
        <v>39.728824920173594</v>
      </c>
      <c r="L94" s="665">
        <f>'[9]Rev_NP-12me'!AW104</f>
        <v>0</v>
      </c>
      <c r="M94" s="664">
        <f t="shared" si="2"/>
        <v>39.728824920173594</v>
      </c>
    </row>
    <row r="95" spans="2:16" ht="14.4" x14ac:dyDescent="0.25">
      <c r="B95" s="677" t="s">
        <v>1135</v>
      </c>
      <c r="C95" s="579"/>
      <c r="D95" s="666">
        <f>'[9]Rev_NP-12me'!$AJ$105</f>
        <v>2</v>
      </c>
      <c r="E95" s="666">
        <f>'[9]Rev_NP-12me'!$AK$105</f>
        <v>0.23200000000000001</v>
      </c>
      <c r="F95" s="666">
        <f>'[9]Rev_NP-12me'!$AQ$105</f>
        <v>0.33764713200000002</v>
      </c>
      <c r="G95" s="681">
        <f>'[9]Rev_NP-12me'!O105</f>
        <v>0</v>
      </c>
      <c r="H95" s="682">
        <f>'[9]Rev_NP-12me'!P105</f>
        <v>0</v>
      </c>
      <c r="I95" s="674">
        <f>'[9]Rev_NP-12me'!AA105</f>
        <v>2000</v>
      </c>
      <c r="J95" s="666">
        <f>'[9]Rev_NP-12me'!$AT$105</f>
        <v>6.3475199999999996E-2</v>
      </c>
      <c r="K95" s="666">
        <f>'[9]Rev_NP-12me'!$AU$105</f>
        <v>0.16065495618</v>
      </c>
      <c r="L95" s="666">
        <f>'[9]Rev_NP-12me'!$AW$105</f>
        <v>4.7999999999999996E-3</v>
      </c>
      <c r="M95" s="666">
        <f t="shared" si="2"/>
        <v>0.22893015617999998</v>
      </c>
    </row>
    <row r="96" spans="2:16" ht="14.4" x14ac:dyDescent="0.25">
      <c r="B96" s="680" t="s">
        <v>1134</v>
      </c>
      <c r="C96" s="579"/>
      <c r="D96" s="665">
        <f>'[9]Rev_NP-12me'!AJ106</f>
        <v>2</v>
      </c>
      <c r="E96" s="665">
        <f>'[9]Rev_NP-12me'!AK106</f>
        <v>0.23200000000000001</v>
      </c>
      <c r="F96" s="665">
        <f>'[9]Rev_NP-12me'!AQ106</f>
        <v>7.9886767200000014E-2</v>
      </c>
      <c r="G96" s="681">
        <f>'[9]Rev_NP-12me'!O106</f>
        <v>285</v>
      </c>
      <c r="H96" s="682">
        <f>'[9]Rev_NP-12me'!P106</f>
        <v>5</v>
      </c>
      <c r="I96" s="681">
        <f>'[9]Rev_NP-12me'!AA106</f>
        <v>2000</v>
      </c>
      <c r="J96" s="665">
        <f>'[9]Rev_NP-12me'!AT106</f>
        <v>6.3475199999999996E-2</v>
      </c>
      <c r="K96" s="665">
        <f>'[9]Rev_NP-12me'!AU106</f>
        <v>3.9943383600000007E-2</v>
      </c>
      <c r="L96" s="665">
        <f>'[9]Rev_NP-12me'!AW106</f>
        <v>4.7999999999999996E-3</v>
      </c>
      <c r="M96" s="664">
        <f t="shared" si="2"/>
        <v>0.1082185836</v>
      </c>
    </row>
    <row r="97" spans="2:13" ht="14.4" x14ac:dyDescent="0.25">
      <c r="B97" s="680" t="s">
        <v>1100</v>
      </c>
      <c r="C97" s="579"/>
      <c r="D97" s="665">
        <f>'[9]Rev_NP-12me'!AJ107</f>
        <v>0</v>
      </c>
      <c r="E97" s="665">
        <f>'[9]Rev_NP-12me'!AK107</f>
        <v>0</v>
      </c>
      <c r="F97" s="665">
        <f>'[9]Rev_NP-12me'!AQ107</f>
        <v>8.3246157600000009E-2</v>
      </c>
      <c r="G97" s="681">
        <f>'[9]Rev_NP-12me'!O107</f>
        <v>0</v>
      </c>
      <c r="H97" s="682">
        <f>'[9]Rev_NP-12me'!P107</f>
        <v>6</v>
      </c>
      <c r="I97" s="681">
        <f>'[9]Rev_NP-12me'!AA107</f>
        <v>2000</v>
      </c>
      <c r="J97" s="665">
        <f>'[9]Rev_NP-12me'!AT107</f>
        <v>0</v>
      </c>
      <c r="K97" s="665">
        <f>'[9]Rev_NP-12me'!AU107</f>
        <v>4.9947694560000006E-2</v>
      </c>
      <c r="L97" s="665">
        <f>'[9]Rev_NP-12me'!AW107</f>
        <v>0</v>
      </c>
      <c r="M97" s="664">
        <f t="shared" si="2"/>
        <v>4.9947694560000006E-2</v>
      </c>
    </row>
    <row r="98" spans="2:13" ht="14.4" x14ac:dyDescent="0.25">
      <c r="B98" s="680" t="s">
        <v>1101</v>
      </c>
      <c r="C98" s="579"/>
      <c r="D98" s="665">
        <f>'[9]Rev_NP-12me'!AJ108</f>
        <v>0</v>
      </c>
      <c r="E98" s="665">
        <f>'[9]Rev_NP-12me'!AK108</f>
        <v>0</v>
      </c>
      <c r="F98" s="665">
        <f>'[9]Rev_NP-12me'!AQ108</f>
        <v>3.8735621999999997E-2</v>
      </c>
      <c r="G98" s="681">
        <f>'[9]Rev_NP-12me'!O108</f>
        <v>0</v>
      </c>
      <c r="H98" s="682">
        <f>'[9]Rev_NP-12me'!P108</f>
        <v>6</v>
      </c>
      <c r="I98" s="681">
        <f>'[9]Rev_NP-12me'!AA108</f>
        <v>2000</v>
      </c>
      <c r="J98" s="665">
        <f>'[9]Rev_NP-12me'!AT108</f>
        <v>0</v>
      </c>
      <c r="K98" s="665">
        <f>'[9]Rev_NP-12me'!AU108</f>
        <v>2.3241373199999998E-2</v>
      </c>
      <c r="L98" s="665">
        <f>'[9]Rev_NP-12me'!AW108</f>
        <v>0</v>
      </c>
      <c r="M98" s="664">
        <f t="shared" si="2"/>
        <v>2.3241373199999998E-2</v>
      </c>
    </row>
    <row r="99" spans="2:13" ht="14.4" x14ac:dyDescent="0.25">
      <c r="B99" s="680" t="s">
        <v>1102</v>
      </c>
      <c r="C99" s="579"/>
      <c r="D99" s="665">
        <f>'[9]Rev_NP-12me'!AJ109</f>
        <v>0</v>
      </c>
      <c r="E99" s="665">
        <f>'[9]Rev_NP-12me'!AK109</f>
        <v>0</v>
      </c>
      <c r="F99" s="665">
        <f>'[9]Rev_NP-12me'!AQ109</f>
        <v>0.1357785852</v>
      </c>
      <c r="G99" s="681">
        <f>'[9]Rev_NP-12me'!O109</f>
        <v>0</v>
      </c>
      <c r="H99" s="682">
        <f>'[9]Rev_NP-12me'!P109</f>
        <v>3.5</v>
      </c>
      <c r="I99" s="681">
        <f>'[9]Rev_NP-12me'!AA109</f>
        <v>2000</v>
      </c>
      <c r="J99" s="665">
        <f>'[9]Rev_NP-12me'!AT109</f>
        <v>0</v>
      </c>
      <c r="K99" s="665">
        <f>'[9]Rev_NP-12me'!AU109</f>
        <v>4.7522504819999999E-2</v>
      </c>
      <c r="L99" s="665">
        <f>'[9]Rev_NP-12me'!AW109</f>
        <v>0</v>
      </c>
      <c r="M99" s="664">
        <f t="shared" si="2"/>
        <v>4.7522504819999999E-2</v>
      </c>
    </row>
    <row r="100" spans="2:13" ht="14.4" x14ac:dyDescent="0.25">
      <c r="B100" s="677" t="s">
        <v>1079</v>
      </c>
      <c r="C100" s="579"/>
      <c r="D100" s="666">
        <f>'[9]Rev_NP-12me'!$AJ$110</f>
        <v>21</v>
      </c>
      <c r="E100" s="666">
        <f>'[9]Rev_NP-12me'!$AK$110</f>
        <v>2.7829999999999999</v>
      </c>
      <c r="F100" s="666">
        <f>'[9]Rev_NP-12me'!$AQ$110</f>
        <v>8.6112217104417237</v>
      </c>
      <c r="G100" s="681">
        <f>'[9]Rev_NP-12me'!O110</f>
        <v>0</v>
      </c>
      <c r="H100" s="682">
        <f>'[9]Rev_NP-12me'!P110</f>
        <v>0</v>
      </c>
      <c r="I100" s="674">
        <f>'[9]Rev_NP-12me'!AA110</f>
        <v>0</v>
      </c>
      <c r="J100" s="666">
        <f>'[9]Rev_NP-12me'!$AT$110</f>
        <v>1.3358400000000001</v>
      </c>
      <c r="K100" s="666">
        <f>'[9]Rev_NP-12me'!$AU$110</f>
        <v>7.1582725779610996</v>
      </c>
      <c r="L100" s="666">
        <f>'[9]Rev_NP-12me'!$AW$110</f>
        <v>5.04E-2</v>
      </c>
      <c r="M100" s="666">
        <f t="shared" si="2"/>
        <v>8.5445125779611004</v>
      </c>
    </row>
    <row r="101" spans="2:13" ht="14.4" x14ac:dyDescent="0.25">
      <c r="B101" s="680" t="s">
        <v>1134</v>
      </c>
      <c r="C101" s="579"/>
      <c r="D101" s="665">
        <f>'[9]Rev_NP-12me'!AJ111</f>
        <v>21</v>
      </c>
      <c r="E101" s="665">
        <f>'[9]Rev_NP-12me'!AK111</f>
        <v>2.7829999999999999</v>
      </c>
      <c r="F101" s="665">
        <f>'[9]Rev_NP-12me'!AQ111</f>
        <v>2.3086852927483412</v>
      </c>
      <c r="G101" s="681">
        <f>'[9]Rev_NP-12me'!O111</f>
        <v>500</v>
      </c>
      <c r="H101" s="682">
        <f>'[9]Rev_NP-12me'!P111</f>
        <v>8.5</v>
      </c>
      <c r="I101" s="681">
        <f>'[9]Rev_NP-12me'!AA111</f>
        <v>2000</v>
      </c>
      <c r="J101" s="665">
        <f>'[9]Rev_NP-12me'!AT111</f>
        <v>1.3358400000000001</v>
      </c>
      <c r="K101" s="665">
        <f>'[9]Rev_NP-12me'!AU111</f>
        <v>1.9623824988360901</v>
      </c>
      <c r="L101" s="665">
        <f>'[9]Rev_NP-12me'!AW111</f>
        <v>5.04E-2</v>
      </c>
      <c r="M101" s="664">
        <f t="shared" si="2"/>
        <v>3.3486224988360904</v>
      </c>
    </row>
    <row r="102" spans="2:13" ht="14.4" x14ac:dyDescent="0.25">
      <c r="B102" s="680" t="s">
        <v>1100</v>
      </c>
      <c r="C102" s="579"/>
      <c r="D102" s="665">
        <f>'[9]Rev_NP-12me'!AJ112</f>
        <v>0</v>
      </c>
      <c r="E102" s="665">
        <f>'[9]Rev_NP-12me'!AK112</f>
        <v>0</v>
      </c>
      <c r="F102" s="665">
        <f>'[9]Rev_NP-12me'!AQ112</f>
        <v>1.8476757889295239</v>
      </c>
      <c r="G102" s="681">
        <f>'[9]Rev_NP-12me'!O112</f>
        <v>0</v>
      </c>
      <c r="H102" s="682">
        <f>'[9]Rev_NP-12me'!P112</f>
        <v>9.5</v>
      </c>
      <c r="I102" s="681">
        <f>'[9]Rev_NP-12me'!AA112</f>
        <v>2000</v>
      </c>
      <c r="J102" s="665">
        <f>'[9]Rev_NP-12me'!AT112</f>
        <v>0</v>
      </c>
      <c r="K102" s="665">
        <f>'[9]Rev_NP-12me'!AU112</f>
        <v>1.7552919994830478</v>
      </c>
      <c r="L102" s="665">
        <f>'[9]Rev_NP-12me'!AW112</f>
        <v>0</v>
      </c>
      <c r="M102" s="664">
        <f t="shared" si="2"/>
        <v>1.7552919994830478</v>
      </c>
    </row>
    <row r="103" spans="2:13" ht="14.4" x14ac:dyDescent="0.25">
      <c r="B103" s="680" t="s">
        <v>1101</v>
      </c>
      <c r="C103" s="579"/>
      <c r="D103" s="665">
        <f>'[9]Rev_NP-12me'!AJ113</f>
        <v>0</v>
      </c>
      <c r="E103" s="665">
        <f>'[9]Rev_NP-12me'!AK113</f>
        <v>0</v>
      </c>
      <c r="F103" s="665">
        <f>'[9]Rev_NP-12me'!AQ113</f>
        <v>1.2887825580290462</v>
      </c>
      <c r="G103" s="681">
        <f>'[9]Rev_NP-12me'!O113</f>
        <v>0</v>
      </c>
      <c r="H103" s="682">
        <f>'[9]Rev_NP-12me'!P113</f>
        <v>9.5</v>
      </c>
      <c r="I103" s="681">
        <f>'[9]Rev_NP-12me'!AA113</f>
        <v>2000</v>
      </c>
      <c r="J103" s="665">
        <f>'[9]Rev_NP-12me'!AT113</f>
        <v>0</v>
      </c>
      <c r="K103" s="665">
        <f>'[9]Rev_NP-12me'!AU113</f>
        <v>1.2243434301275937</v>
      </c>
      <c r="L103" s="665">
        <f>'[9]Rev_NP-12me'!AW113</f>
        <v>0</v>
      </c>
      <c r="M103" s="664">
        <f t="shared" si="2"/>
        <v>1.2243434301275937</v>
      </c>
    </row>
    <row r="104" spans="2:13" ht="14.4" x14ac:dyDescent="0.25">
      <c r="B104" s="680" t="s">
        <v>1102</v>
      </c>
      <c r="C104" s="579"/>
      <c r="D104" s="665">
        <f>'[9]Rev_NP-12me'!AJ114</f>
        <v>0</v>
      </c>
      <c r="E104" s="665">
        <f>'[9]Rev_NP-12me'!AK114</f>
        <v>0</v>
      </c>
      <c r="F104" s="665">
        <f>'[9]Rev_NP-12me'!AQ114</f>
        <v>3.166078070734812</v>
      </c>
      <c r="G104" s="681">
        <f>'[9]Rev_NP-12me'!O114</f>
        <v>0</v>
      </c>
      <c r="H104" s="682">
        <f>'[9]Rev_NP-12me'!P114</f>
        <v>7</v>
      </c>
      <c r="I104" s="681">
        <f>'[9]Rev_NP-12me'!AA114</f>
        <v>2000</v>
      </c>
      <c r="J104" s="665">
        <f>'[9]Rev_NP-12me'!AT114</f>
        <v>0</v>
      </c>
      <c r="K104" s="665">
        <f>'[9]Rev_NP-12me'!AU114</f>
        <v>2.2162546495143682</v>
      </c>
      <c r="L104" s="665">
        <f>'[9]Rev_NP-12me'!AW114</f>
        <v>0</v>
      </c>
      <c r="M104" s="664">
        <f t="shared" si="2"/>
        <v>2.2162546495143682</v>
      </c>
    </row>
    <row r="105" spans="2:13" ht="14.4" x14ac:dyDescent="0.25">
      <c r="B105" s="677" t="s">
        <v>1136</v>
      </c>
      <c r="C105" s="579"/>
      <c r="D105" s="666">
        <f>'[9]Rev_NP-12me'!$AJ$115</f>
        <v>201</v>
      </c>
      <c r="E105" s="666">
        <f>'[9]Rev_NP-12me'!$AK$115</f>
        <v>66.646100000000004</v>
      </c>
      <c r="F105" s="666">
        <f>'[9]Rev_NP-12me'!$AQ$115</f>
        <v>25.053964301999997</v>
      </c>
      <c r="G105" s="681">
        <f>'[9]Rev_NP-12me'!O115</f>
        <v>0</v>
      </c>
      <c r="H105" s="682">
        <f>'[9]Rev_NP-12me'!P115</f>
        <v>0</v>
      </c>
      <c r="I105" s="674">
        <f>'[9]Rev_NP-12me'!AA115</f>
        <v>0</v>
      </c>
      <c r="J105" s="666">
        <f>'[9]Rev_NP-12me'!$AT$115</f>
        <v>11.496452250000001</v>
      </c>
      <c r="K105" s="666">
        <f>'[9]Rev_NP-12me'!$AU$115</f>
        <v>15.783997510259997</v>
      </c>
      <c r="L105" s="666">
        <f>'[9]Rev_NP-12me'!$AW$115</f>
        <v>0.4824</v>
      </c>
      <c r="M105" s="666">
        <f t="shared" si="2"/>
        <v>27.762849760259996</v>
      </c>
    </row>
    <row r="106" spans="2:13" ht="14.4" x14ac:dyDescent="0.25">
      <c r="B106" s="680" t="s">
        <v>1137</v>
      </c>
      <c r="C106" s="579"/>
      <c r="D106" s="665">
        <f>'[9]Rev_NP-12me'!$AJ$116</f>
        <v>201</v>
      </c>
      <c r="E106" s="665">
        <f>'[9]Rev_NP-12me'!$AK$116</f>
        <v>66.646100000000004</v>
      </c>
      <c r="F106" s="665">
        <f>'[9]Rev_NP-12me'!$AQ$116</f>
        <v>25.053964301999997</v>
      </c>
      <c r="G106" s="681">
        <f>'[9]Rev_NP-12me'!O116</f>
        <v>300</v>
      </c>
      <c r="H106" s="682">
        <f>'[9]Rev_NP-12me'!P116</f>
        <v>6.3</v>
      </c>
      <c r="I106" s="681">
        <f>'[9]Rev_NP-12me'!AA116</f>
        <v>2000</v>
      </c>
      <c r="J106" s="665">
        <f>'[9]Rev_NP-12me'!$AT$116</f>
        <v>11.496452250000001</v>
      </c>
      <c r="K106" s="665">
        <f>'[9]Rev_NP-12me'!$AU$116</f>
        <v>15.783997510259997</v>
      </c>
      <c r="L106" s="665">
        <f>'[9]Rev_NP-12me'!$AW$116</f>
        <v>0.4824</v>
      </c>
      <c r="M106" s="664">
        <f t="shared" si="2"/>
        <v>27.762849760259996</v>
      </c>
    </row>
    <row r="107" spans="2:13" x14ac:dyDescent="0.25">
      <c r="B107" s="677" t="s">
        <v>1138</v>
      </c>
      <c r="C107" s="579"/>
      <c r="D107" s="666">
        <f>'[9]Rev_NP-12me'!$AJ$127</f>
        <v>112</v>
      </c>
      <c r="E107" s="666">
        <f>'[9]Rev_NP-12me'!$AK$127</f>
        <v>34.741</v>
      </c>
      <c r="F107" s="666">
        <f>'[9]Rev_NP-12me'!$AQ$127</f>
        <v>165.21909294276438</v>
      </c>
      <c r="G107" s="674">
        <f>'[9]Rev_NP-12me'!O127</f>
        <v>0</v>
      </c>
      <c r="H107" s="688">
        <f>'[9]Rev_NP-12me'!P127</f>
        <v>0</v>
      </c>
      <c r="I107" s="674">
        <f>'[9]Rev_NP-12me'!AA127</f>
        <v>0</v>
      </c>
      <c r="J107" s="666">
        <f>'[9]Rev_NP-12me'!$AT$127</f>
        <v>0</v>
      </c>
      <c r="K107" s="666">
        <f>'[9]Rev_NP-12me'!$AU$127</f>
        <v>100.78364669508626</v>
      </c>
      <c r="L107" s="666">
        <f>'[9]Rev_NP-12me'!$AW$127</f>
        <v>0.26879999999999998</v>
      </c>
      <c r="M107" s="666">
        <f t="shared" si="2"/>
        <v>101.05244669508626</v>
      </c>
    </row>
    <row r="108" spans="2:13" ht="14.4" x14ac:dyDescent="0.25">
      <c r="B108" s="680" t="s">
        <v>216</v>
      </c>
      <c r="C108" s="579"/>
      <c r="D108" s="665">
        <f>'[9]Rev_NP-12me'!$AJ$128</f>
        <v>112</v>
      </c>
      <c r="E108" s="665">
        <f>'[9]Rev_NP-12me'!$AK$128</f>
        <v>34.741</v>
      </c>
      <c r="F108" s="665">
        <f>'[9]Rev_NP-12me'!$AQ$128</f>
        <v>165.21909294276438</v>
      </c>
      <c r="G108" s="669">
        <f>'[9]Rev_NP-12me'!O128</f>
        <v>0</v>
      </c>
      <c r="H108" s="670">
        <f>'[9]Rev_NP-12me'!P128</f>
        <v>6.1</v>
      </c>
      <c r="I108" s="669">
        <f>'[9]Rev_NP-12me'!AA128</f>
        <v>2000</v>
      </c>
      <c r="J108" s="665">
        <f>'[9]Rev_NP-12me'!$AT$128</f>
        <v>0</v>
      </c>
      <c r="K108" s="665">
        <f>'[9]Rev_NP-12me'!$AU$128</f>
        <v>100.78364669508626</v>
      </c>
      <c r="L108" s="665">
        <f>'[9]Rev_NP-12me'!$AW$128</f>
        <v>0.26879999999999998</v>
      </c>
      <c r="M108" s="664">
        <f t="shared" si="2"/>
        <v>101.05244669508626</v>
      </c>
    </row>
    <row r="109" spans="2:13" ht="14.4" x14ac:dyDescent="0.25">
      <c r="B109" s="680" t="s">
        <v>1139</v>
      </c>
      <c r="C109" s="579"/>
      <c r="D109" s="665">
        <f>'[9]Rev_NP-12me'!AJ129</f>
        <v>0</v>
      </c>
      <c r="E109" s="665">
        <f>'[9]Rev_NP-12me'!AK129</f>
        <v>0</v>
      </c>
      <c r="F109" s="665">
        <f>'[9]Rev_NP-12me'!AQ129</f>
        <v>0</v>
      </c>
      <c r="G109" s="669">
        <f>'[9]Rev_NP-12me'!O129</f>
        <v>0</v>
      </c>
      <c r="H109" s="670">
        <f>'[9]Rev_NP-12me'!P129</f>
        <v>0</v>
      </c>
      <c r="I109" s="669">
        <f>'[9]Rev_NP-12me'!AA129</f>
        <v>2000</v>
      </c>
      <c r="J109" s="665">
        <f>'[9]Rev_NP-12me'!AT129</f>
        <v>0</v>
      </c>
      <c r="K109" s="665">
        <f>'[9]Rev_NP-12me'!AU129</f>
        <v>0</v>
      </c>
      <c r="L109" s="665">
        <f>'[9]Rev_NP-12me'!AW129</f>
        <v>0</v>
      </c>
      <c r="M109" s="664">
        <f t="shared" si="2"/>
        <v>0</v>
      </c>
    </row>
    <row r="110" spans="2:13" x14ac:dyDescent="0.25">
      <c r="B110" s="677" t="s">
        <v>1140</v>
      </c>
      <c r="C110" s="579"/>
      <c r="D110" s="666">
        <f>'[9]Rev_NP-12me'!$AJ$118</f>
        <v>0</v>
      </c>
      <c r="E110" s="666">
        <f>'[9]Rev_NP-12me'!$AK$118</f>
        <v>0</v>
      </c>
      <c r="F110" s="666">
        <f>'[9]Rev_NP-12me'!$AQ$118</f>
        <v>0</v>
      </c>
      <c r="G110" s="674">
        <f>'[9]Rev_NP-12me'!O118</f>
        <v>500</v>
      </c>
      <c r="H110" s="688">
        <f>'[9]Rev_NP-12me'!P118</f>
        <v>5.05</v>
      </c>
      <c r="I110" s="674">
        <f>'[9]Rev_NP-12me'!AA118</f>
        <v>2000</v>
      </c>
      <c r="J110" s="666">
        <f>'[9]Rev_NP-12me'!$AT$118</f>
        <v>0</v>
      </c>
      <c r="K110" s="666">
        <f>'[9]Rev_NP-12me'!$AU$118</f>
        <v>0</v>
      </c>
      <c r="L110" s="666">
        <f>'[9]Rev_NP-12me'!$AW$118</f>
        <v>0</v>
      </c>
      <c r="M110" s="666">
        <f t="shared" si="2"/>
        <v>0</v>
      </c>
    </row>
    <row r="111" spans="2:13" x14ac:dyDescent="0.25">
      <c r="B111" s="677" t="s">
        <v>1141</v>
      </c>
      <c r="C111" s="579"/>
      <c r="D111" s="666">
        <f>'[9]Rev_NP-12me'!$AJ$119</f>
        <v>0</v>
      </c>
      <c r="E111" s="666">
        <f>'[9]Rev_NP-12me'!$AK$119</f>
        <v>0</v>
      </c>
      <c r="F111" s="666">
        <f>'[9]Rev_NP-12me'!$AQ$119</f>
        <v>0</v>
      </c>
      <c r="G111" s="674">
        <f>'[9]Rev_NP-12me'!O119</f>
        <v>500</v>
      </c>
      <c r="H111" s="688">
        <f>'[9]Rev_NP-12me'!P119</f>
        <v>4.95</v>
      </c>
      <c r="I111" s="674">
        <f>'[9]Rev_NP-12me'!AA119</f>
        <v>2000</v>
      </c>
      <c r="J111" s="666">
        <f>'[9]Rev_NP-12me'!$AT$119</f>
        <v>0</v>
      </c>
      <c r="K111" s="666">
        <f>'[9]Rev_NP-12me'!$AU$119</f>
        <v>0</v>
      </c>
      <c r="L111" s="666">
        <f>'[9]Rev_NP-12me'!$AW$119</f>
        <v>0</v>
      </c>
      <c r="M111" s="666">
        <f t="shared" si="2"/>
        <v>0</v>
      </c>
    </row>
    <row r="112" spans="2:13" x14ac:dyDescent="0.25">
      <c r="B112" s="677" t="s">
        <v>811</v>
      </c>
      <c r="C112" s="579"/>
      <c r="D112" s="666">
        <f>'[9]Rev_NP-12me'!$AJ$117</f>
        <v>19</v>
      </c>
      <c r="E112" s="666">
        <f>'[9]Rev_NP-12me'!$AK$117</f>
        <v>5.53</v>
      </c>
      <c r="F112" s="666">
        <f>'[9]Rev_NP-12me'!$AQ$117</f>
        <v>9.2586596461890274</v>
      </c>
      <c r="G112" s="674">
        <f>'[9]Rev_NP-12me'!O117</f>
        <v>285</v>
      </c>
      <c r="H112" s="688">
        <f>'[9]Rev_NP-12me'!P117</f>
        <v>7.3</v>
      </c>
      <c r="I112" s="674">
        <f>'[9]Rev_NP-12me'!AA117</f>
        <v>2000</v>
      </c>
      <c r="J112" s="666">
        <f>'[9]Rev_NP-12me'!$AT$117</f>
        <v>1.5130080000000001</v>
      </c>
      <c r="K112" s="666">
        <f>'[9]Rev_NP-12me'!$AU$117</f>
        <v>6.7588215417179898</v>
      </c>
      <c r="L112" s="666">
        <f>'[9]Rev_NP-12me'!$AW$117</f>
        <v>4.5600000000000002E-2</v>
      </c>
      <c r="M112" s="666">
        <f t="shared" si="2"/>
        <v>8.3174295417179902</v>
      </c>
    </row>
    <row r="113" spans="2:13" x14ac:dyDescent="0.25">
      <c r="B113" s="677" t="s">
        <v>813</v>
      </c>
      <c r="C113" s="579"/>
      <c r="D113" s="666">
        <f>'[9]Rev_NP-12me'!$AJ$120</f>
        <v>41</v>
      </c>
      <c r="E113" s="666">
        <f>'[9]Rev_NP-12me'!$AK$120</f>
        <v>9.6270000000000007</v>
      </c>
      <c r="F113" s="666">
        <f>'[9]Rev_NP-12me'!$AQ$120</f>
        <v>14.611284000000001</v>
      </c>
      <c r="G113" s="674">
        <f>'[9]Rev_NP-12me'!O120</f>
        <v>500</v>
      </c>
      <c r="H113" s="688">
        <f>'[9]Rev_NP-12me'!P120</f>
        <v>11.8</v>
      </c>
      <c r="I113" s="674">
        <f>'[9]Rev_NP-12me'!AA120</f>
        <v>2000</v>
      </c>
      <c r="J113" s="666">
        <f>'[9]Rev_NP-12me'!$AT$120</f>
        <v>4.6209600000000002</v>
      </c>
      <c r="K113" s="666">
        <f>'[9]Rev_NP-12me'!$AU$120</f>
        <v>17.241315120000003</v>
      </c>
      <c r="L113" s="666">
        <f>'[9]Rev_NP-12me'!$AW$120</f>
        <v>9.8400000000000001E-2</v>
      </c>
      <c r="M113" s="666">
        <f t="shared" si="2"/>
        <v>21.960675120000005</v>
      </c>
    </row>
    <row r="114" spans="2:13" x14ac:dyDescent="0.25">
      <c r="B114" s="677" t="s">
        <v>1142</v>
      </c>
      <c r="C114" s="579"/>
      <c r="D114" s="666">
        <f>'[9]Rev_NP-12me'!$AJ$121</f>
        <v>1</v>
      </c>
      <c r="E114" s="666">
        <f>'[9]Rev_NP-12me'!$AK$121</f>
        <v>532.6</v>
      </c>
      <c r="F114" s="666">
        <f>'[9]Rev_NP-12me'!$AQ$121</f>
        <v>1235.0571142844228</v>
      </c>
      <c r="G114" s="674">
        <f>'[9]Rev_NP-12me'!O121</f>
        <v>0</v>
      </c>
      <c r="H114" s="688">
        <f>'[9]Rev_NP-12me'!P121</f>
        <v>4.7699999999999996</v>
      </c>
      <c r="I114" s="674">
        <f>'[9]Rev_NP-12me'!AA121</f>
        <v>2000</v>
      </c>
      <c r="J114" s="666">
        <f>'[9]Rev_NP-12me'!$AT$121</f>
        <v>0</v>
      </c>
      <c r="K114" s="666">
        <f>'[9]Rev_NP-12me'!$AU$121</f>
        <v>589.12224351366967</v>
      </c>
      <c r="L114" s="666">
        <f>'[9]Rev_NP-12me'!$AW$121</f>
        <v>0</v>
      </c>
      <c r="M114" s="666">
        <f t="shared" si="2"/>
        <v>589.12224351366967</v>
      </c>
    </row>
    <row r="115" spans="2:13" x14ac:dyDescent="0.25">
      <c r="B115" s="677" t="s">
        <v>1143</v>
      </c>
      <c r="C115" s="579"/>
      <c r="D115" s="666">
        <f>'[9]Rev_NP-12me'!$AJ$122</f>
        <v>0</v>
      </c>
      <c r="E115" s="666">
        <f>'[9]Rev_NP-12me'!$AK$122</f>
        <v>0</v>
      </c>
      <c r="F115" s="666">
        <f>'[9]Rev_NP-12me'!$AQ$122</f>
        <v>0</v>
      </c>
      <c r="G115" s="674"/>
      <c r="H115" s="688"/>
      <c r="I115" s="674">
        <f>'[9]Rev_NP-12me'!$AC$122</f>
        <v>2000</v>
      </c>
      <c r="J115" s="666">
        <f>'[9]Rev_NP-12me'!$AT$122</f>
        <v>0</v>
      </c>
      <c r="K115" s="666">
        <f>'[9]Rev_NP-12me'!$AU$122</f>
        <v>0</v>
      </c>
      <c r="L115" s="666">
        <f>'[9]Rev_NP-12me'!$AW$122</f>
        <v>0</v>
      </c>
      <c r="M115" s="666">
        <f t="shared" si="2"/>
        <v>0</v>
      </c>
    </row>
    <row r="116" spans="2:13" ht="14.4" x14ac:dyDescent="0.25">
      <c r="B116" s="687" t="s">
        <v>1134</v>
      </c>
      <c r="C116" s="579"/>
      <c r="D116" s="665">
        <f>'[9]Rev_NP-12me'!AJ123</f>
        <v>0</v>
      </c>
      <c r="E116" s="665">
        <f>'[9]Rev_NP-12me'!AK123</f>
        <v>0</v>
      </c>
      <c r="F116" s="665">
        <f>'[9]Rev_NP-12me'!AQ123</f>
        <v>0</v>
      </c>
      <c r="G116" s="681">
        <f>'[9]Rev_NP-12me'!O123</f>
        <v>100</v>
      </c>
      <c r="H116" s="682">
        <f>'[9]Rev_NP-12me'!P123</f>
        <v>6</v>
      </c>
      <c r="I116" s="681">
        <f>'[9]Rev_NP-12me'!AA123</f>
        <v>2000</v>
      </c>
      <c r="J116" s="665">
        <f>'[9]Rev_NP-12me'!AT123</f>
        <v>0</v>
      </c>
      <c r="K116" s="665">
        <f>'[9]Rev_NP-12me'!AU123</f>
        <v>0</v>
      </c>
      <c r="L116" s="665">
        <f>'[9]Rev_NP-12me'!AW123</f>
        <v>0</v>
      </c>
      <c r="M116" s="664">
        <f t="shared" si="2"/>
        <v>0</v>
      </c>
    </row>
    <row r="117" spans="2:13" ht="14.4" x14ac:dyDescent="0.25">
      <c r="B117" s="687" t="s">
        <v>1100</v>
      </c>
      <c r="C117" s="579"/>
      <c r="D117" s="665">
        <f>'[9]Rev_NP-12me'!AJ124</f>
        <v>0</v>
      </c>
      <c r="E117" s="665">
        <f>'[9]Rev_NP-12me'!AK124</f>
        <v>0</v>
      </c>
      <c r="F117" s="665">
        <f>'[9]Rev_NP-12me'!AQ124</f>
        <v>0</v>
      </c>
      <c r="G117" s="681">
        <f>'[9]Rev_NP-12me'!O124</f>
        <v>0</v>
      </c>
      <c r="H117" s="682">
        <f>'[9]Rev_NP-12me'!P124</f>
        <v>7</v>
      </c>
      <c r="I117" s="681">
        <f>'[9]Rev_NP-12me'!AA124</f>
        <v>2000</v>
      </c>
      <c r="J117" s="665">
        <f>'[9]Rev_NP-12me'!AT124</f>
        <v>0</v>
      </c>
      <c r="K117" s="665">
        <f>'[9]Rev_NP-12me'!AU124</f>
        <v>0</v>
      </c>
      <c r="L117" s="665">
        <f>'[9]Rev_NP-12me'!AW124</f>
        <v>0</v>
      </c>
      <c r="M117" s="664">
        <f t="shared" si="2"/>
        <v>0</v>
      </c>
    </row>
    <row r="118" spans="2:13" ht="14.4" x14ac:dyDescent="0.25">
      <c r="B118" s="687" t="s">
        <v>1101</v>
      </c>
      <c r="C118" s="579"/>
      <c r="D118" s="665">
        <f>'[9]Rev_NP-12me'!AJ125</f>
        <v>0</v>
      </c>
      <c r="E118" s="665">
        <f>'[9]Rev_NP-12me'!AK125</f>
        <v>0</v>
      </c>
      <c r="F118" s="665">
        <f>'[9]Rev_NP-12me'!AQ125</f>
        <v>0</v>
      </c>
      <c r="G118" s="681">
        <f>'[9]Rev_NP-12me'!O125</f>
        <v>0</v>
      </c>
      <c r="H118" s="682">
        <f>'[9]Rev_NP-12me'!P125</f>
        <v>7</v>
      </c>
      <c r="I118" s="681">
        <f>'[9]Rev_NP-12me'!AA125</f>
        <v>2000</v>
      </c>
      <c r="J118" s="665">
        <f>'[9]Rev_NP-12me'!AT125</f>
        <v>0</v>
      </c>
      <c r="K118" s="665">
        <f>'[9]Rev_NP-12me'!AU125</f>
        <v>0</v>
      </c>
      <c r="L118" s="665">
        <f>'[9]Rev_NP-12me'!AW125</f>
        <v>0</v>
      </c>
      <c r="M118" s="664">
        <f t="shared" si="2"/>
        <v>0</v>
      </c>
    </row>
    <row r="119" spans="2:13" ht="14.4" x14ac:dyDescent="0.25">
      <c r="B119" s="687" t="s">
        <v>1102</v>
      </c>
      <c r="C119" s="579"/>
      <c r="D119" s="665">
        <f>'[9]Rev_NP-12me'!AJ126</f>
        <v>0</v>
      </c>
      <c r="E119" s="665">
        <f>'[9]Rev_NP-12me'!AK126</f>
        <v>0</v>
      </c>
      <c r="F119" s="665">
        <f>'[9]Rev_NP-12me'!AQ126</f>
        <v>0</v>
      </c>
      <c r="G119" s="681">
        <f>'[9]Rev_NP-12me'!O126</f>
        <v>0</v>
      </c>
      <c r="H119" s="682">
        <f>'[9]Rev_NP-12me'!P126</f>
        <v>4.5</v>
      </c>
      <c r="I119" s="681">
        <f>'[9]Rev_NP-12me'!AA126</f>
        <v>2000</v>
      </c>
      <c r="J119" s="665">
        <f>'[9]Rev_NP-12me'!AT126</f>
        <v>0</v>
      </c>
      <c r="K119" s="665">
        <f>'[9]Rev_NP-12me'!AU126</f>
        <v>0</v>
      </c>
      <c r="L119" s="665">
        <f>'[9]Rev_NP-12me'!AW126</f>
        <v>0</v>
      </c>
      <c r="M119" s="664">
        <f t="shared" si="2"/>
        <v>0</v>
      </c>
    </row>
    <row r="120" spans="2:13" x14ac:dyDescent="0.25">
      <c r="B120" s="689" t="s">
        <v>1144</v>
      </c>
      <c r="C120" s="579"/>
      <c r="D120" s="666">
        <f>SUM(D74,D89,D90,D95,D100,D105,D107,D110,D111,D112,D113,D114,D115)</f>
        <v>3796</v>
      </c>
      <c r="E120" s="666">
        <f>SUM(E74,E89,E90,E95,E100,E105,E107,E110,E111,E112,E113,E114,E115)</f>
        <v>1345.98108</v>
      </c>
      <c r="F120" s="666">
        <f>SUM(F74,F89,F90,F95,F100,F105,F107,F110,F111,F112,F113,F114,F115)</f>
        <v>2922.5039022372134</v>
      </c>
      <c r="G120" s="669"/>
      <c r="H120" s="669"/>
      <c r="I120" s="669"/>
      <c r="J120" s="666">
        <f>SUM(J74,J89,J90,J95,J100,J105,J107,J110,J111,J112,J113,J114,J115)</f>
        <v>315.7321258500001</v>
      </c>
      <c r="K120" s="666">
        <f>SUM(K74,K89,K90,K95,K100,K105,K107,K110,K111,K112,K113,K114,K115)</f>
        <v>1877.6865704757513</v>
      </c>
      <c r="L120" s="666">
        <f>SUM(L74,L89,L90,L95,L100,L105,L107,L110,L111,L112,L113,L114,L115)</f>
        <v>8.9507999999999992</v>
      </c>
      <c r="M120" s="666">
        <f>SUM(M74,M89,M90,M95,M100,M105,M107,M110,M111,M112,M113,M114,M115)</f>
        <v>2202.3694963257512</v>
      </c>
    </row>
    <row r="121" spans="2:13" x14ac:dyDescent="0.25">
      <c r="B121" s="579"/>
      <c r="C121" s="579"/>
      <c r="D121" s="696"/>
      <c r="E121" s="696"/>
      <c r="F121" s="696"/>
      <c r="G121" s="697"/>
      <c r="H121" s="697"/>
      <c r="I121" s="697"/>
      <c r="J121" s="696"/>
      <c r="K121" s="696"/>
      <c r="L121" s="696"/>
      <c r="M121" s="696"/>
    </row>
    <row r="122" spans="2:13" x14ac:dyDescent="0.25">
      <c r="B122" s="677" t="s">
        <v>213</v>
      </c>
      <c r="C122" s="579"/>
      <c r="D122" s="664"/>
      <c r="E122" s="664"/>
      <c r="F122" s="664"/>
      <c r="G122" s="669"/>
      <c r="H122" s="669"/>
      <c r="I122" s="669"/>
      <c r="J122" s="664"/>
      <c r="K122" s="664"/>
      <c r="L122" s="664"/>
      <c r="M122" s="664"/>
    </row>
    <row r="123" spans="2:13" x14ac:dyDescent="0.25">
      <c r="B123" s="677" t="s">
        <v>1145</v>
      </c>
      <c r="C123" s="579"/>
      <c r="D123" s="666">
        <f>'[9]Rev_NP-12me'!AJ144</f>
        <v>52</v>
      </c>
      <c r="E123" s="666">
        <f>'[9]Rev_NP-12me'!AK144</f>
        <v>73.105999999999995</v>
      </c>
      <c r="F123" s="666">
        <f>'[9]Rev_NP-12me'!AQ144</f>
        <v>227.82383538265128</v>
      </c>
      <c r="G123" s="674">
        <f>'[9]Rev_NP-12me'!O144</f>
        <v>0</v>
      </c>
      <c r="H123" s="688">
        <f>'[9]Rev_NP-12me'!P144</f>
        <v>0</v>
      </c>
      <c r="I123" s="674">
        <f>'[9]Rev_NP-12me'!AA144</f>
        <v>0</v>
      </c>
      <c r="J123" s="666">
        <f>'[9]Rev_NP-12me'!AT144</f>
        <v>35.090879999999999</v>
      </c>
      <c r="K123" s="666">
        <f>'[9]Rev_NP-12me'!AU144</f>
        <v>157.52285302137301</v>
      </c>
      <c r="L123" s="666">
        <f>'[9]Rev_NP-12me'!AW144</f>
        <v>0.21840000000000001</v>
      </c>
      <c r="M123" s="666">
        <f t="shared" ref="M123:M163" si="3">SUM(J123:L123)</f>
        <v>192.83213302137301</v>
      </c>
    </row>
    <row r="124" spans="2:13" x14ac:dyDescent="0.25">
      <c r="B124" s="691" t="s">
        <v>1146</v>
      </c>
      <c r="C124" s="579"/>
      <c r="D124" s="664">
        <f>'[9]Rev_NP-12me'!AJ145</f>
        <v>52</v>
      </c>
      <c r="E124" s="664">
        <f>'[9]Rev_NP-12me'!AK145</f>
        <v>73.105999999999995</v>
      </c>
      <c r="F124" s="664">
        <f>'[9]Rev_NP-12me'!AQ145</f>
        <v>227.82383538265128</v>
      </c>
      <c r="G124" s="669">
        <f>'[9]Rev_NP-12me'!O145</f>
        <v>0</v>
      </c>
      <c r="H124" s="670">
        <f>'[9]Rev_NP-12me'!P145</f>
        <v>0</v>
      </c>
      <c r="I124" s="669">
        <f>'[9]Rev_NP-12me'!AA145</f>
        <v>0</v>
      </c>
      <c r="J124" s="664">
        <f>'[9]Rev_NP-12me'!AT145</f>
        <v>35.090879999999999</v>
      </c>
      <c r="K124" s="664">
        <f>'[9]Rev_NP-12me'!AU145</f>
        <v>157.52285302137301</v>
      </c>
      <c r="L124" s="664">
        <f>'[9]Rev_NP-12me'!AW145</f>
        <v>0.21840000000000001</v>
      </c>
      <c r="M124" s="664">
        <f t="shared" si="3"/>
        <v>192.83213302137301</v>
      </c>
    </row>
    <row r="125" spans="2:13" ht="14.4" x14ac:dyDescent="0.25">
      <c r="B125" s="680" t="s">
        <v>1119</v>
      </c>
      <c r="C125" s="579"/>
      <c r="D125" s="665">
        <f>'[9]Rev_NP-12me'!AJ146</f>
        <v>52</v>
      </c>
      <c r="E125" s="665">
        <f>'[9]Rev_NP-12me'!AK146</f>
        <v>73.105999999999995</v>
      </c>
      <c r="F125" s="665">
        <f>'[9]Rev_NP-12me'!AQ146</f>
        <v>41.910336373878579</v>
      </c>
      <c r="G125" s="669">
        <f>'[9]Rev_NP-12me'!O146</f>
        <v>500</v>
      </c>
      <c r="H125" s="670">
        <f>'[9]Rev_NP-12me'!P146</f>
        <v>7.15</v>
      </c>
      <c r="I125" s="669">
        <f>'[9]Rev_NP-12me'!AA146</f>
        <v>3500</v>
      </c>
      <c r="J125" s="665">
        <f>'[9]Rev_NP-12me'!AT146</f>
        <v>35.090879999999999</v>
      </c>
      <c r="K125" s="665">
        <f>'[9]Rev_NP-12me'!AU146</f>
        <v>29.965890507323184</v>
      </c>
      <c r="L125" s="665">
        <f>'[9]Rev_NP-12me'!AW146</f>
        <v>0.21840000000000001</v>
      </c>
      <c r="M125" s="664">
        <f t="shared" si="3"/>
        <v>65.275170507323182</v>
      </c>
    </row>
    <row r="126" spans="2:13" ht="14.4" x14ac:dyDescent="0.25">
      <c r="B126" s="680" t="s">
        <v>1147</v>
      </c>
      <c r="C126" s="579"/>
      <c r="D126" s="665">
        <f>'[9]Rev_NP-12me'!AJ148</f>
        <v>0</v>
      </c>
      <c r="E126" s="665">
        <f>'[9]Rev_NP-12me'!AK148</f>
        <v>0</v>
      </c>
      <c r="F126" s="665">
        <f>'[9]Rev_NP-12me'!AQ148</f>
        <v>0</v>
      </c>
      <c r="G126" s="669">
        <f>'[9]Rev_NP-12me'!O148</f>
        <v>0</v>
      </c>
      <c r="H126" s="670">
        <f>'[9]Rev_NP-12me'!P148</f>
        <v>7.15</v>
      </c>
      <c r="I126" s="669">
        <f>'[9]Rev_NP-12me'!AA148</f>
        <v>3500</v>
      </c>
      <c r="J126" s="665">
        <f>'[9]Rev_NP-12me'!AT148</f>
        <v>0</v>
      </c>
      <c r="K126" s="665">
        <f>'[9]Rev_NP-12me'!AU148</f>
        <v>0</v>
      </c>
      <c r="L126" s="665">
        <f>'[9]Rev_NP-12me'!AW148</f>
        <v>0</v>
      </c>
      <c r="M126" s="664">
        <f t="shared" si="3"/>
        <v>0</v>
      </c>
    </row>
    <row r="127" spans="2:13" ht="14.4" x14ac:dyDescent="0.25">
      <c r="B127" s="680" t="s">
        <v>1148</v>
      </c>
      <c r="C127" s="579"/>
      <c r="D127" s="665">
        <f>'[9]Rev_NP-12me'!AJ149</f>
        <v>0</v>
      </c>
      <c r="E127" s="665">
        <f>'[9]Rev_NP-12me'!AK149</f>
        <v>0</v>
      </c>
      <c r="F127" s="665">
        <f>'[9]Rev_NP-12me'!AQ149</f>
        <v>0</v>
      </c>
      <c r="G127" s="669">
        <f>'[9]Rev_NP-12me'!O149</f>
        <v>0</v>
      </c>
      <c r="H127" s="670">
        <f>'[9]Rev_NP-12me'!P149</f>
        <v>7.3</v>
      </c>
      <c r="I127" s="669">
        <f>'[9]Rev_NP-12me'!AA149</f>
        <v>3500</v>
      </c>
      <c r="J127" s="665">
        <f>'[9]Rev_NP-12me'!AT149</f>
        <v>0</v>
      </c>
      <c r="K127" s="665">
        <f>'[9]Rev_NP-12me'!AU149</f>
        <v>0</v>
      </c>
      <c r="L127" s="665">
        <f>'[9]Rev_NP-12me'!AW149</f>
        <v>0</v>
      </c>
      <c r="M127" s="664">
        <f t="shared" si="3"/>
        <v>0</v>
      </c>
    </row>
    <row r="128" spans="2:13" ht="14.4" x14ac:dyDescent="0.25">
      <c r="B128" s="680" t="s">
        <v>1149</v>
      </c>
      <c r="C128" s="579"/>
      <c r="D128" s="665">
        <f>'[9]Rev_NP-12me'!AJ150</f>
        <v>0</v>
      </c>
      <c r="E128" s="665">
        <f>'[9]Rev_NP-12me'!AK150</f>
        <v>0</v>
      </c>
      <c r="F128" s="665">
        <f>'[9]Rev_NP-12me'!AQ150</f>
        <v>0</v>
      </c>
      <c r="G128" s="669">
        <f>'[9]Rev_NP-12me'!O150</f>
        <v>500</v>
      </c>
      <c r="H128" s="670">
        <f>'[9]Rev_NP-12me'!P150</f>
        <v>7.9</v>
      </c>
      <c r="I128" s="669">
        <f>'[9]Rev_NP-12me'!AA150</f>
        <v>3500</v>
      </c>
      <c r="J128" s="665">
        <f>'[9]Rev_NP-12me'!AT150</f>
        <v>0</v>
      </c>
      <c r="K128" s="665">
        <f>'[9]Rev_NP-12me'!AU150</f>
        <v>0</v>
      </c>
      <c r="L128" s="665">
        <f>'[9]Rev_NP-12me'!AW150</f>
        <v>0</v>
      </c>
      <c r="M128" s="664">
        <f t="shared" si="3"/>
        <v>0</v>
      </c>
    </row>
    <row r="129" spans="2:13" ht="14.4" x14ac:dyDescent="0.25">
      <c r="B129" s="687" t="s">
        <v>1100</v>
      </c>
      <c r="C129" s="579"/>
      <c r="D129" s="665">
        <f>'[9]Rev_NP-12me'!AJ151</f>
        <v>0</v>
      </c>
      <c r="E129" s="665">
        <f>'[9]Rev_NP-12me'!AK151</f>
        <v>0</v>
      </c>
      <c r="F129" s="665">
        <f>'[9]Rev_NP-12me'!AQ151</f>
        <v>49.426819342817723</v>
      </c>
      <c r="G129" s="669">
        <f>'[9]Rev_NP-12me'!O151</f>
        <v>0</v>
      </c>
      <c r="H129" s="670">
        <f>'[9]Rev_NP-12me'!P151</f>
        <v>8.15</v>
      </c>
      <c r="I129" s="669">
        <f>'[9]Rev_NP-12me'!AA151</f>
        <v>3500</v>
      </c>
      <c r="J129" s="665">
        <f>'[9]Rev_NP-12me'!AT151</f>
        <v>0</v>
      </c>
      <c r="K129" s="665">
        <f>'[9]Rev_NP-12me'!AU151</f>
        <v>40.282857764396446</v>
      </c>
      <c r="L129" s="665">
        <f>'[9]Rev_NP-12me'!AW151</f>
        <v>0</v>
      </c>
      <c r="M129" s="664">
        <f t="shared" si="3"/>
        <v>40.282857764396446</v>
      </c>
    </row>
    <row r="130" spans="2:13" ht="14.4" x14ac:dyDescent="0.25">
      <c r="B130" s="687" t="s">
        <v>1101</v>
      </c>
      <c r="C130" s="579"/>
      <c r="D130" s="665">
        <f>'[9]Rev_NP-12me'!AJ152</f>
        <v>0</v>
      </c>
      <c r="E130" s="665">
        <f>'[9]Rev_NP-12me'!AK152</f>
        <v>0</v>
      </c>
      <c r="F130" s="665">
        <f>'[9]Rev_NP-12me'!AQ152</f>
        <v>40.636522953555243</v>
      </c>
      <c r="G130" s="669">
        <f>'[9]Rev_NP-12me'!O152</f>
        <v>0</v>
      </c>
      <c r="H130" s="670">
        <f>'[9]Rev_NP-12me'!P152</f>
        <v>8.15</v>
      </c>
      <c r="I130" s="669">
        <f>'[9]Rev_NP-12me'!AA152</f>
        <v>3500</v>
      </c>
      <c r="J130" s="665">
        <f>'[9]Rev_NP-12me'!AT152</f>
        <v>0</v>
      </c>
      <c r="K130" s="665">
        <f>'[9]Rev_NP-12me'!AU152</f>
        <v>33.118766207147523</v>
      </c>
      <c r="L130" s="665">
        <f>'[9]Rev_NP-12me'!AW152</f>
        <v>0</v>
      </c>
      <c r="M130" s="664">
        <f t="shared" si="3"/>
        <v>33.118766207147523</v>
      </c>
    </row>
    <row r="131" spans="2:13" ht="14.4" x14ac:dyDescent="0.25">
      <c r="B131" s="687" t="s">
        <v>1102</v>
      </c>
      <c r="C131" s="579"/>
      <c r="D131" s="665">
        <f>'[9]Rev_NP-12me'!AJ154</f>
        <v>0</v>
      </c>
      <c r="E131" s="665">
        <f>'[9]Rev_NP-12me'!AK154</f>
        <v>0</v>
      </c>
      <c r="F131" s="665">
        <f>'[9]Rev_NP-12me'!AQ154</f>
        <v>95.850156712399738</v>
      </c>
      <c r="G131" s="669">
        <f>'[9]Rev_NP-12me'!O154</f>
        <v>0</v>
      </c>
      <c r="H131" s="670">
        <f>'[9]Rev_NP-12me'!P154</f>
        <v>5.65</v>
      </c>
      <c r="I131" s="669">
        <f>'[9]Rev_NP-12me'!AA154</f>
        <v>3500</v>
      </c>
      <c r="J131" s="665">
        <f>'[9]Rev_NP-12me'!AT154</f>
        <v>0</v>
      </c>
      <c r="K131" s="665">
        <f>'[9]Rev_NP-12me'!AU154</f>
        <v>54.155338542505852</v>
      </c>
      <c r="L131" s="665">
        <f>'[9]Rev_NP-12me'!AW154</f>
        <v>0</v>
      </c>
      <c r="M131" s="664">
        <f t="shared" si="3"/>
        <v>54.155338542505852</v>
      </c>
    </row>
    <row r="132" spans="2:13" x14ac:dyDescent="0.25">
      <c r="B132" s="677" t="s">
        <v>1127</v>
      </c>
      <c r="C132" s="579"/>
      <c r="D132" s="664">
        <f>'[9]Rev_NP-12me'!AJ156</f>
        <v>0</v>
      </c>
      <c r="E132" s="664">
        <f>'[9]Rev_NP-12me'!AK156</f>
        <v>0</v>
      </c>
      <c r="F132" s="664">
        <f>'[9]Rev_NP-12me'!AQ156</f>
        <v>0</v>
      </c>
      <c r="G132" s="669">
        <f>'[9]Rev_NP-12me'!O156</f>
        <v>0</v>
      </c>
      <c r="H132" s="670">
        <f>'[9]Rev_NP-12me'!P156</f>
        <v>0</v>
      </c>
      <c r="I132" s="669">
        <f>'[9]Rev_NP-12me'!AA156</f>
        <v>0</v>
      </c>
      <c r="J132" s="664">
        <f>'[9]Rev_NP-12me'!AT156</f>
        <v>0</v>
      </c>
      <c r="K132" s="664">
        <f>'[9]Rev_NP-12me'!AU156</f>
        <v>0</v>
      </c>
      <c r="L132" s="664">
        <f>'[9]Rev_NP-12me'!AW156</f>
        <v>0</v>
      </c>
      <c r="M132" s="666">
        <f t="shared" si="3"/>
        <v>0</v>
      </c>
    </row>
    <row r="133" spans="2:13" ht="14.4" x14ac:dyDescent="0.25">
      <c r="B133" s="687" t="s">
        <v>1150</v>
      </c>
      <c r="C133" s="579"/>
      <c r="D133" s="665">
        <f>'[9]Rev_NP-12me'!AJ157</f>
        <v>0</v>
      </c>
      <c r="E133" s="665">
        <f>'[9]Rev_NP-12me'!AK157</f>
        <v>0</v>
      </c>
      <c r="F133" s="665">
        <f>'[9]Rev_NP-12me'!AQ157</f>
        <v>0</v>
      </c>
      <c r="G133" s="669">
        <f>'[9]Rev_NP-12me'!O157</f>
        <v>500</v>
      </c>
      <c r="H133" s="670">
        <f>'[9]Rev_NP-12me'!P157</f>
        <v>7.15</v>
      </c>
      <c r="I133" s="669">
        <f>'[9]Rev_NP-12me'!AA157</f>
        <v>3500</v>
      </c>
      <c r="J133" s="665">
        <f>'[9]Rev_NP-12me'!AT157</f>
        <v>0</v>
      </c>
      <c r="K133" s="665">
        <f>'[9]Rev_NP-12me'!AU157</f>
        <v>0</v>
      </c>
      <c r="L133" s="665">
        <f>'[9]Rev_NP-12me'!AW157</f>
        <v>0</v>
      </c>
      <c r="M133" s="664">
        <f t="shared" si="3"/>
        <v>0</v>
      </c>
    </row>
    <row r="134" spans="2:13" ht="14.4" x14ac:dyDescent="0.25">
      <c r="B134" s="687" t="s">
        <v>1129</v>
      </c>
      <c r="C134" s="579"/>
      <c r="D134" s="665">
        <f>'[9]Rev_NP-12me'!AJ158</f>
        <v>0</v>
      </c>
      <c r="E134" s="665">
        <f>'[9]Rev_NP-12me'!AK158</f>
        <v>0</v>
      </c>
      <c r="F134" s="665">
        <f>'[9]Rev_NP-12me'!AQ158</f>
        <v>0</v>
      </c>
      <c r="G134" s="669">
        <f>'[9]Rev_NP-12me'!O158</f>
        <v>0</v>
      </c>
      <c r="H134" s="670">
        <f>'[9]Rev_NP-12me'!P158</f>
        <v>8.15</v>
      </c>
      <c r="I134" s="669">
        <f>'[9]Rev_NP-12me'!AA158</f>
        <v>3500</v>
      </c>
      <c r="J134" s="665">
        <f>'[9]Rev_NP-12me'!AT158</f>
        <v>0</v>
      </c>
      <c r="K134" s="665">
        <f>'[9]Rev_NP-12me'!AU158</f>
        <v>0</v>
      </c>
      <c r="L134" s="665">
        <f>'[9]Rev_NP-12me'!AW158</f>
        <v>0</v>
      </c>
      <c r="M134" s="664">
        <f t="shared" si="3"/>
        <v>0</v>
      </c>
    </row>
    <row r="135" spans="2:13" ht="14.4" x14ac:dyDescent="0.25">
      <c r="B135" s="687" t="s">
        <v>1130</v>
      </c>
      <c r="C135" s="579"/>
      <c r="D135" s="665">
        <f>'[9]Rev_NP-12me'!AJ159</f>
        <v>0</v>
      </c>
      <c r="E135" s="665">
        <f>'[9]Rev_NP-12me'!AK159</f>
        <v>0</v>
      </c>
      <c r="F135" s="665">
        <f>'[9]Rev_NP-12me'!AQ159</f>
        <v>0</v>
      </c>
      <c r="G135" s="669">
        <f>'[9]Rev_NP-12me'!O159</f>
        <v>0</v>
      </c>
      <c r="H135" s="670">
        <f>'[9]Rev_NP-12me'!P159</f>
        <v>8.15</v>
      </c>
      <c r="I135" s="669">
        <f>'[9]Rev_NP-12me'!AA159</f>
        <v>3500</v>
      </c>
      <c r="J135" s="665">
        <f>'[9]Rev_NP-12me'!AT159</f>
        <v>0</v>
      </c>
      <c r="K135" s="665">
        <f>'[9]Rev_NP-12me'!AU159</f>
        <v>0</v>
      </c>
      <c r="L135" s="665">
        <f>'[9]Rev_NP-12me'!AW159</f>
        <v>0</v>
      </c>
      <c r="M135" s="664">
        <f t="shared" si="3"/>
        <v>0</v>
      </c>
    </row>
    <row r="136" spans="2:13" ht="14.4" x14ac:dyDescent="0.25">
      <c r="B136" s="687" t="s">
        <v>1151</v>
      </c>
      <c r="C136" s="579"/>
      <c r="D136" s="665">
        <f>'[9]Rev_NP-12me'!AJ160</f>
        <v>0</v>
      </c>
      <c r="E136" s="665">
        <f>'[9]Rev_NP-12me'!AK160</f>
        <v>0</v>
      </c>
      <c r="F136" s="665">
        <f>'[9]Rev_NP-12me'!AQ160</f>
        <v>0</v>
      </c>
      <c r="G136" s="669">
        <f>'[9]Rev_NP-12me'!O160</f>
        <v>0</v>
      </c>
      <c r="H136" s="670">
        <f>'[9]Rev_NP-12me'!P160</f>
        <v>5.65</v>
      </c>
      <c r="I136" s="669">
        <f>'[9]Rev_NP-12me'!AA160</f>
        <v>3500</v>
      </c>
      <c r="J136" s="665">
        <f>'[9]Rev_NP-12me'!AT160</f>
        <v>0</v>
      </c>
      <c r="K136" s="665">
        <f>'[9]Rev_NP-12me'!AU160</f>
        <v>0</v>
      </c>
      <c r="L136" s="665">
        <f>'[9]Rev_NP-12me'!AW160</f>
        <v>0</v>
      </c>
      <c r="M136" s="664">
        <f t="shared" si="3"/>
        <v>0</v>
      </c>
    </row>
    <row r="137" spans="2:13" x14ac:dyDescent="0.25">
      <c r="B137" s="677" t="s">
        <v>1132</v>
      </c>
      <c r="C137" s="579"/>
      <c r="D137" s="666">
        <f>'[9]Rev_NP-12me'!AJ161</f>
        <v>1</v>
      </c>
      <c r="E137" s="666">
        <f>'[9]Rev_NP-12me'!AK161</f>
        <v>5.85</v>
      </c>
      <c r="F137" s="666">
        <f>'[9]Rev_NP-12me'!AQ161</f>
        <v>35.5944</v>
      </c>
      <c r="G137" s="674">
        <f>'[9]Rev_NP-12me'!O161</f>
        <v>500</v>
      </c>
      <c r="H137" s="688">
        <f>'[9]Rev_NP-12me'!P161</f>
        <v>7.15</v>
      </c>
      <c r="I137" s="674">
        <f>'[9]Rev_NP-12me'!AA161</f>
        <v>3500</v>
      </c>
      <c r="J137" s="666">
        <f>'[9]Rev_NP-12me'!AT161</f>
        <v>2.8079999999999998</v>
      </c>
      <c r="K137" s="666">
        <f>'[9]Rev_NP-12me'!AU161</f>
        <v>25.449996000000002</v>
      </c>
      <c r="L137" s="666">
        <f>'[9]Rev_NP-12me'!AW161</f>
        <v>4.1999999999999997E-3</v>
      </c>
      <c r="M137" s="666">
        <f t="shared" si="3"/>
        <v>28.262196000000003</v>
      </c>
    </row>
    <row r="138" spans="2:13" x14ac:dyDescent="0.25">
      <c r="B138" s="677" t="s">
        <v>1133</v>
      </c>
      <c r="C138" s="579"/>
      <c r="D138" s="666">
        <f>'[9]Rev_NP-12me'!AJ162</f>
        <v>22</v>
      </c>
      <c r="E138" s="666">
        <f>'[9]Rev_NP-12me'!AK162</f>
        <v>8.8226499999999994</v>
      </c>
      <c r="F138" s="666">
        <f>'[9]Rev_NP-12me'!AQ162</f>
        <v>16.688775793919998</v>
      </c>
      <c r="G138" s="674">
        <f>'[9]Rev_NP-12me'!O162</f>
        <v>0</v>
      </c>
      <c r="H138" s="688">
        <f>'[9]Rev_NP-12me'!P162</f>
        <v>0</v>
      </c>
      <c r="I138" s="674">
        <f>'[9]Rev_NP-12me'!AA162</f>
        <v>0</v>
      </c>
      <c r="J138" s="666">
        <f>'[9]Rev_NP-12me'!AT162</f>
        <v>4.2348720000000002</v>
      </c>
      <c r="K138" s="666">
        <f>'[9]Rev_NP-12me'!AU162</f>
        <v>13.139631324838799</v>
      </c>
      <c r="L138" s="666">
        <f>'[9]Rev_NP-12me'!AW162</f>
        <v>9.2399999999999996E-2</v>
      </c>
      <c r="M138" s="666">
        <f t="shared" si="3"/>
        <v>17.4669033248388</v>
      </c>
    </row>
    <row r="139" spans="2:13" ht="14.4" x14ac:dyDescent="0.25">
      <c r="B139" s="687" t="s">
        <v>1152</v>
      </c>
      <c r="C139" s="579"/>
      <c r="D139" s="665">
        <f>'[9]Rev_NP-12me'!AJ163</f>
        <v>22</v>
      </c>
      <c r="E139" s="665">
        <f>'[9]Rev_NP-12me'!AK163</f>
        <v>8.8226499999999994</v>
      </c>
      <c r="F139" s="665">
        <f>'[9]Rev_NP-12me'!AQ163</f>
        <v>6.0365081586719995</v>
      </c>
      <c r="G139" s="669">
        <f>'[9]Rev_NP-12me'!O163</f>
        <v>500</v>
      </c>
      <c r="H139" s="670">
        <f>'[9]Rev_NP-12me'!P163</f>
        <v>8</v>
      </c>
      <c r="I139" s="669">
        <f>'[9]Rev_NP-12me'!AA163</f>
        <v>3500</v>
      </c>
      <c r="J139" s="665">
        <f>'[9]Rev_NP-12me'!AT163</f>
        <v>4.2348720000000002</v>
      </c>
      <c r="K139" s="665">
        <f>'[9]Rev_NP-12me'!AU163</f>
        <v>4.8292065269375994</v>
      </c>
      <c r="L139" s="665">
        <f>'[9]Rev_NP-12me'!AW163</f>
        <v>9.2399999999999996E-2</v>
      </c>
      <c r="M139" s="664">
        <f t="shared" si="3"/>
        <v>9.1564785269375992</v>
      </c>
    </row>
    <row r="140" spans="2:13" ht="14.4" x14ac:dyDescent="0.25">
      <c r="B140" s="687" t="s">
        <v>1100</v>
      </c>
      <c r="C140" s="579"/>
      <c r="D140" s="665">
        <f>'[9]Rev_NP-12me'!AJ164</f>
        <v>0</v>
      </c>
      <c r="E140" s="665">
        <f>'[9]Rev_NP-12me'!AK164</f>
        <v>0</v>
      </c>
      <c r="F140" s="665">
        <f>'[9]Rev_NP-12me'!AQ164</f>
        <v>3.0615396873479996</v>
      </c>
      <c r="G140" s="669">
        <f>'[9]Rev_NP-12me'!O164</f>
        <v>0</v>
      </c>
      <c r="H140" s="670">
        <f>'[9]Rev_NP-12me'!P164</f>
        <v>9</v>
      </c>
      <c r="I140" s="669">
        <f>'[9]Rev_NP-12me'!AA164</f>
        <v>3500</v>
      </c>
      <c r="J140" s="665">
        <f>'[9]Rev_NP-12me'!AT164</f>
        <v>0</v>
      </c>
      <c r="K140" s="665">
        <f>'[9]Rev_NP-12me'!AU164</f>
        <v>2.7553857186131996</v>
      </c>
      <c r="L140" s="665">
        <f>'[9]Rev_NP-12me'!AW164</f>
        <v>0</v>
      </c>
      <c r="M140" s="664">
        <f t="shared" si="3"/>
        <v>2.7553857186131996</v>
      </c>
    </row>
    <row r="141" spans="2:13" ht="14.4" x14ac:dyDescent="0.25">
      <c r="B141" s="687" t="s">
        <v>1101</v>
      </c>
      <c r="C141" s="579"/>
      <c r="D141" s="665">
        <f>'[9]Rev_NP-12me'!AJ165</f>
        <v>0</v>
      </c>
      <c r="E141" s="665">
        <f>'[9]Rev_NP-12me'!AK165</f>
        <v>0</v>
      </c>
      <c r="F141" s="665">
        <f>'[9]Rev_NP-12me'!AQ165</f>
        <v>2.4842636526119999</v>
      </c>
      <c r="G141" s="669">
        <f>'[9]Rev_NP-12me'!O165</f>
        <v>0</v>
      </c>
      <c r="H141" s="670">
        <f>'[9]Rev_NP-12me'!P165</f>
        <v>9</v>
      </c>
      <c r="I141" s="669">
        <f>'[9]Rev_NP-12me'!AA165</f>
        <v>3500</v>
      </c>
      <c r="J141" s="665">
        <f>'[9]Rev_NP-12me'!AT165</f>
        <v>0</v>
      </c>
      <c r="K141" s="665">
        <f>'[9]Rev_NP-12me'!AU165</f>
        <v>2.2358372873508001</v>
      </c>
      <c r="L141" s="665">
        <f>'[9]Rev_NP-12me'!AW165</f>
        <v>0</v>
      </c>
      <c r="M141" s="664">
        <f t="shared" si="3"/>
        <v>2.2358372873508001</v>
      </c>
    </row>
    <row r="142" spans="2:13" ht="14.4" x14ac:dyDescent="0.25">
      <c r="B142" s="687" t="s">
        <v>1102</v>
      </c>
      <c r="C142" s="579"/>
      <c r="D142" s="665">
        <f>'[9]Rev_NP-12me'!AJ166</f>
        <v>0</v>
      </c>
      <c r="E142" s="665">
        <f>'[9]Rev_NP-12me'!AK166</f>
        <v>0</v>
      </c>
      <c r="F142" s="665">
        <f>'[9]Rev_NP-12me'!AQ166</f>
        <v>5.1064642952879993</v>
      </c>
      <c r="G142" s="669">
        <f>'[9]Rev_NP-12me'!O166</f>
        <v>0</v>
      </c>
      <c r="H142" s="670">
        <f>'[9]Rev_NP-12me'!P166</f>
        <v>6.5</v>
      </c>
      <c r="I142" s="669">
        <f>'[9]Rev_NP-12me'!AA166</f>
        <v>3500</v>
      </c>
      <c r="J142" s="665">
        <f>'[9]Rev_NP-12me'!AT166</f>
        <v>0</v>
      </c>
      <c r="K142" s="665">
        <f>'[9]Rev_NP-12me'!AU166</f>
        <v>3.319201791937199</v>
      </c>
      <c r="L142" s="665">
        <f>'[9]Rev_NP-12me'!AW166</f>
        <v>0</v>
      </c>
      <c r="M142" s="664">
        <f t="shared" si="3"/>
        <v>3.319201791937199</v>
      </c>
    </row>
    <row r="143" spans="2:13" ht="14.4" x14ac:dyDescent="0.25">
      <c r="B143" s="687" t="s">
        <v>1153</v>
      </c>
      <c r="C143" s="579"/>
      <c r="D143" s="665">
        <f>'[9]Rev_NP-12me'!AJ167</f>
        <v>0</v>
      </c>
      <c r="E143" s="665">
        <f>'[9]Rev_NP-12me'!AK167</f>
        <v>0</v>
      </c>
      <c r="F143" s="665">
        <f>'[9]Rev_NP-12me'!AQ167</f>
        <v>0</v>
      </c>
      <c r="G143" s="669">
        <f>'[9]Rev_NP-12me'!O167</f>
        <v>500</v>
      </c>
      <c r="H143" s="670">
        <f>'[9]Rev_NP-12me'!P167</f>
        <v>8</v>
      </c>
      <c r="I143" s="669">
        <f>'[9]Rev_NP-12me'!AA167</f>
        <v>3500</v>
      </c>
      <c r="J143" s="665">
        <f>'[9]Rev_NP-12me'!AT167</f>
        <v>0</v>
      </c>
      <c r="K143" s="665">
        <f>'[9]Rev_NP-12me'!AU167</f>
        <v>0</v>
      </c>
      <c r="L143" s="665">
        <f>'[9]Rev_NP-12me'!AW167</f>
        <v>0</v>
      </c>
      <c r="M143" s="664">
        <f t="shared" si="3"/>
        <v>0</v>
      </c>
    </row>
    <row r="144" spans="2:13" x14ac:dyDescent="0.25">
      <c r="B144" s="677" t="s">
        <v>1135</v>
      </c>
      <c r="C144" s="579"/>
      <c r="D144" s="666">
        <f>'[9]Rev_NP-12me'!AJ168</f>
        <v>0</v>
      </c>
      <c r="E144" s="666">
        <f>'[9]Rev_NP-12me'!AK168</f>
        <v>0</v>
      </c>
      <c r="F144" s="666">
        <f>'[9]Rev_NP-12me'!AQ168</f>
        <v>0</v>
      </c>
      <c r="G144" s="674">
        <f>'[9]Rev_NP-12me'!O168</f>
        <v>0</v>
      </c>
      <c r="H144" s="688">
        <f>'[9]Rev_NP-12me'!P168</f>
        <v>0</v>
      </c>
      <c r="I144" s="674">
        <f>'[9]Rev_NP-12me'!AA168</f>
        <v>0</v>
      </c>
      <c r="J144" s="666">
        <f>'[9]Rev_NP-12me'!AT168</f>
        <v>0</v>
      </c>
      <c r="K144" s="666">
        <f>'[9]Rev_NP-12me'!AU168</f>
        <v>0</v>
      </c>
      <c r="L144" s="666">
        <f>'[9]Rev_NP-12me'!AW168</f>
        <v>0</v>
      </c>
      <c r="M144" s="666">
        <f t="shared" si="3"/>
        <v>0</v>
      </c>
    </row>
    <row r="145" spans="2:13" ht="14.4" x14ac:dyDescent="0.25">
      <c r="B145" s="680" t="s">
        <v>1134</v>
      </c>
      <c r="C145" s="579"/>
      <c r="D145" s="665">
        <f>'[9]Rev_NP-12me'!AJ169</f>
        <v>0</v>
      </c>
      <c r="E145" s="665">
        <f>'[9]Rev_NP-12me'!AK169</f>
        <v>0</v>
      </c>
      <c r="F145" s="665">
        <f>'[9]Rev_NP-12me'!AQ169</f>
        <v>0</v>
      </c>
      <c r="G145" s="669">
        <f>'[9]Rev_NP-12me'!O169</f>
        <v>285</v>
      </c>
      <c r="H145" s="670">
        <f>'[9]Rev_NP-12me'!P169</f>
        <v>5</v>
      </c>
      <c r="I145" s="669">
        <f>'[9]Rev_NP-12me'!AA169</f>
        <v>3500</v>
      </c>
      <c r="J145" s="665">
        <f>'[9]Rev_NP-12me'!AT169</f>
        <v>0</v>
      </c>
      <c r="K145" s="665">
        <f>'[9]Rev_NP-12me'!AU169</f>
        <v>0</v>
      </c>
      <c r="L145" s="665">
        <f>'[9]Rev_NP-12me'!AW169</f>
        <v>0</v>
      </c>
      <c r="M145" s="664">
        <f t="shared" si="3"/>
        <v>0</v>
      </c>
    </row>
    <row r="146" spans="2:13" ht="14.4" x14ac:dyDescent="0.25">
      <c r="B146" s="680" t="s">
        <v>1100</v>
      </c>
      <c r="C146" s="579"/>
      <c r="D146" s="665">
        <f>'[9]Rev_NP-12me'!AJ170</f>
        <v>0</v>
      </c>
      <c r="E146" s="665">
        <f>'[9]Rev_NP-12me'!AK170</f>
        <v>0</v>
      </c>
      <c r="F146" s="665">
        <f>'[9]Rev_NP-12me'!AQ170</f>
        <v>0</v>
      </c>
      <c r="G146" s="669">
        <f>'[9]Rev_NP-12me'!O170</f>
        <v>0</v>
      </c>
      <c r="H146" s="670">
        <f>'[9]Rev_NP-12me'!P170</f>
        <v>6</v>
      </c>
      <c r="I146" s="669">
        <f>'[9]Rev_NP-12me'!AA170</f>
        <v>3500</v>
      </c>
      <c r="J146" s="665">
        <f>'[9]Rev_NP-12me'!AT170</f>
        <v>0</v>
      </c>
      <c r="K146" s="665">
        <f>'[9]Rev_NP-12me'!AU170</f>
        <v>0</v>
      </c>
      <c r="L146" s="665">
        <f>'[9]Rev_NP-12me'!AW170</f>
        <v>0</v>
      </c>
      <c r="M146" s="664">
        <f t="shared" si="3"/>
        <v>0</v>
      </c>
    </row>
    <row r="147" spans="2:13" ht="14.4" x14ac:dyDescent="0.25">
      <c r="B147" s="680" t="s">
        <v>1101</v>
      </c>
      <c r="C147" s="579"/>
      <c r="D147" s="665">
        <f>'[9]Rev_NP-12me'!AJ171</f>
        <v>0</v>
      </c>
      <c r="E147" s="665">
        <f>'[9]Rev_NP-12me'!AK171</f>
        <v>0</v>
      </c>
      <c r="F147" s="665">
        <f>'[9]Rev_NP-12me'!AQ171</f>
        <v>0</v>
      </c>
      <c r="G147" s="669">
        <f>'[9]Rev_NP-12me'!O171</f>
        <v>0</v>
      </c>
      <c r="H147" s="670">
        <f>'[9]Rev_NP-12me'!P171</f>
        <v>6</v>
      </c>
      <c r="I147" s="669">
        <f>'[9]Rev_NP-12me'!AA171</f>
        <v>3500</v>
      </c>
      <c r="J147" s="665">
        <f>'[9]Rev_NP-12me'!AT171</f>
        <v>0</v>
      </c>
      <c r="K147" s="665">
        <f>'[9]Rev_NP-12me'!AU171</f>
        <v>0</v>
      </c>
      <c r="L147" s="665">
        <f>'[9]Rev_NP-12me'!AW171</f>
        <v>0</v>
      </c>
      <c r="M147" s="664">
        <f t="shared" si="3"/>
        <v>0</v>
      </c>
    </row>
    <row r="148" spans="2:13" ht="14.4" x14ac:dyDescent="0.25">
      <c r="B148" s="680" t="s">
        <v>1102</v>
      </c>
      <c r="C148" s="579"/>
      <c r="D148" s="665">
        <f>'[9]Rev_NP-12me'!AJ172</f>
        <v>0</v>
      </c>
      <c r="E148" s="665">
        <f>'[9]Rev_NP-12me'!AK172</f>
        <v>0</v>
      </c>
      <c r="F148" s="665">
        <f>'[9]Rev_NP-12me'!AQ172</f>
        <v>0</v>
      </c>
      <c r="G148" s="669">
        <f>'[9]Rev_NP-12me'!O172</f>
        <v>0</v>
      </c>
      <c r="H148" s="670">
        <f>'[9]Rev_NP-12me'!P172</f>
        <v>3.5</v>
      </c>
      <c r="I148" s="669">
        <f>'[9]Rev_NP-12me'!AA172</f>
        <v>3500</v>
      </c>
      <c r="J148" s="665">
        <f>'[9]Rev_NP-12me'!AT172</f>
        <v>0</v>
      </c>
      <c r="K148" s="665">
        <f>'[9]Rev_NP-12me'!AU172</f>
        <v>0</v>
      </c>
      <c r="L148" s="665">
        <f>'[9]Rev_NP-12me'!AW172</f>
        <v>0</v>
      </c>
      <c r="M148" s="664">
        <f t="shared" si="3"/>
        <v>0</v>
      </c>
    </row>
    <row r="149" spans="2:13" x14ac:dyDescent="0.25">
      <c r="B149" s="677" t="s">
        <v>1079</v>
      </c>
      <c r="C149" s="579"/>
      <c r="D149" s="666">
        <f>'[9]Rev_NP-12me'!AJ173</f>
        <v>0</v>
      </c>
      <c r="E149" s="666">
        <f>'[9]Rev_NP-12me'!AK173</f>
        <v>0</v>
      </c>
      <c r="F149" s="666">
        <f>'[9]Rev_NP-12me'!AQ173</f>
        <v>0</v>
      </c>
      <c r="G149" s="674">
        <f>'[9]Rev_NP-12me'!O173</f>
        <v>0</v>
      </c>
      <c r="H149" s="688">
        <f>'[9]Rev_NP-12me'!P173</f>
        <v>0</v>
      </c>
      <c r="I149" s="674">
        <f>'[9]Rev_NP-12me'!AA173</f>
        <v>0</v>
      </c>
      <c r="J149" s="666">
        <f>'[9]Rev_NP-12me'!AT173</f>
        <v>0</v>
      </c>
      <c r="K149" s="666">
        <f>'[9]Rev_NP-12me'!AU173</f>
        <v>0</v>
      </c>
      <c r="L149" s="666">
        <f>'[9]Rev_NP-12me'!AW173</f>
        <v>0</v>
      </c>
      <c r="M149" s="666">
        <f t="shared" si="3"/>
        <v>0</v>
      </c>
    </row>
    <row r="150" spans="2:13" ht="14.4" x14ac:dyDescent="0.25">
      <c r="B150" s="687" t="s">
        <v>1134</v>
      </c>
      <c r="C150" s="579"/>
      <c r="D150" s="665">
        <f>'[9]Rev_NP-12me'!AJ174</f>
        <v>0</v>
      </c>
      <c r="E150" s="665">
        <f>'[9]Rev_NP-12me'!AK174</f>
        <v>0</v>
      </c>
      <c r="F150" s="665">
        <f>'[9]Rev_NP-12me'!AQ174</f>
        <v>0</v>
      </c>
      <c r="G150" s="669">
        <f>'[9]Rev_NP-12me'!O174</f>
        <v>500</v>
      </c>
      <c r="H150" s="670">
        <f>'[9]Rev_NP-12me'!P174</f>
        <v>7.85</v>
      </c>
      <c r="I150" s="669">
        <f>'[9]Rev_NP-12me'!AA174</f>
        <v>3500</v>
      </c>
      <c r="J150" s="665">
        <f>'[9]Rev_NP-12me'!AT174</f>
        <v>0</v>
      </c>
      <c r="K150" s="665">
        <f>'[9]Rev_NP-12me'!AU174</f>
        <v>0</v>
      </c>
      <c r="L150" s="665">
        <f>'[9]Rev_NP-12me'!AW174</f>
        <v>0</v>
      </c>
      <c r="M150" s="664">
        <f t="shared" si="3"/>
        <v>0</v>
      </c>
    </row>
    <row r="151" spans="2:13" ht="14.4" x14ac:dyDescent="0.25">
      <c r="B151" s="687" t="s">
        <v>1100</v>
      </c>
      <c r="C151" s="579"/>
      <c r="D151" s="665">
        <f>'[9]Rev_NP-12me'!AJ175</f>
        <v>0</v>
      </c>
      <c r="E151" s="665">
        <f>'[9]Rev_NP-12me'!AK175</f>
        <v>0</v>
      </c>
      <c r="F151" s="665">
        <f>'[9]Rev_NP-12me'!AQ175</f>
        <v>0</v>
      </c>
      <c r="G151" s="669">
        <f>'[9]Rev_NP-12me'!O175</f>
        <v>0</v>
      </c>
      <c r="H151" s="670">
        <f>'[9]Rev_NP-12me'!P175</f>
        <v>8.85</v>
      </c>
      <c r="I151" s="669">
        <f>'[9]Rev_NP-12me'!AA175</f>
        <v>3500</v>
      </c>
      <c r="J151" s="665">
        <f>'[9]Rev_NP-12me'!AT175</f>
        <v>0</v>
      </c>
      <c r="K151" s="665">
        <f>'[9]Rev_NP-12me'!AU175</f>
        <v>0</v>
      </c>
      <c r="L151" s="665">
        <f>'[9]Rev_NP-12me'!AW175</f>
        <v>0</v>
      </c>
      <c r="M151" s="664">
        <f t="shared" si="3"/>
        <v>0</v>
      </c>
    </row>
    <row r="152" spans="2:13" ht="14.4" x14ac:dyDescent="0.25">
      <c r="B152" s="687" t="s">
        <v>1101</v>
      </c>
      <c r="C152" s="579"/>
      <c r="D152" s="665">
        <f>'[9]Rev_NP-12me'!AJ176</f>
        <v>0</v>
      </c>
      <c r="E152" s="665">
        <f>'[9]Rev_NP-12me'!AK176</f>
        <v>0</v>
      </c>
      <c r="F152" s="665">
        <f>'[9]Rev_NP-12me'!AQ176</f>
        <v>0</v>
      </c>
      <c r="G152" s="669">
        <f>'[9]Rev_NP-12me'!O176</f>
        <v>0</v>
      </c>
      <c r="H152" s="670">
        <f>'[9]Rev_NP-12me'!P176</f>
        <v>8.85</v>
      </c>
      <c r="I152" s="669">
        <f>'[9]Rev_NP-12me'!AA176</f>
        <v>3500</v>
      </c>
      <c r="J152" s="665">
        <f>'[9]Rev_NP-12me'!AT176</f>
        <v>0</v>
      </c>
      <c r="K152" s="665">
        <f>'[9]Rev_NP-12me'!AU176</f>
        <v>0</v>
      </c>
      <c r="L152" s="665">
        <f>'[9]Rev_NP-12me'!AW176</f>
        <v>0</v>
      </c>
      <c r="M152" s="664">
        <f t="shared" si="3"/>
        <v>0</v>
      </c>
    </row>
    <row r="153" spans="2:13" ht="14.4" x14ac:dyDescent="0.25">
      <c r="B153" s="687" t="s">
        <v>1102</v>
      </c>
      <c r="C153" s="579"/>
      <c r="D153" s="665">
        <f>'[9]Rev_NP-12me'!AJ177</f>
        <v>0</v>
      </c>
      <c r="E153" s="665">
        <f>'[9]Rev_NP-12me'!AK177</f>
        <v>0</v>
      </c>
      <c r="F153" s="665">
        <f>'[9]Rev_NP-12me'!AQ177</f>
        <v>0</v>
      </c>
      <c r="G153" s="669">
        <f>'[9]Rev_NP-12me'!O177</f>
        <v>0</v>
      </c>
      <c r="H153" s="670">
        <f>'[9]Rev_NP-12me'!P177</f>
        <v>6.35</v>
      </c>
      <c r="I153" s="669">
        <f>'[9]Rev_NP-12me'!AA177</f>
        <v>3500</v>
      </c>
      <c r="J153" s="665">
        <f>'[9]Rev_NP-12me'!AT177</f>
        <v>0</v>
      </c>
      <c r="K153" s="665">
        <f>'[9]Rev_NP-12me'!AU177</f>
        <v>0</v>
      </c>
      <c r="L153" s="665">
        <f>'[9]Rev_NP-12me'!AW177</f>
        <v>0</v>
      </c>
      <c r="M153" s="664">
        <f t="shared" si="3"/>
        <v>0</v>
      </c>
    </row>
    <row r="154" spans="2:13" x14ac:dyDescent="0.25">
      <c r="B154" s="677" t="s">
        <v>1154</v>
      </c>
      <c r="C154" s="579"/>
      <c r="D154" s="666">
        <f>'[9]Rev_NP-12me'!AJ178</f>
        <v>22</v>
      </c>
      <c r="E154" s="666">
        <f>'[9]Rev_NP-12me'!AK178</f>
        <v>63.921999999999997</v>
      </c>
      <c r="F154" s="666">
        <f>'[9]Rev_NP-12me'!AQ178</f>
        <v>30.886252800000001</v>
      </c>
      <c r="G154" s="674">
        <f>'[9]Rev_NP-12me'!O178</f>
        <v>0</v>
      </c>
      <c r="H154" s="688">
        <f>'[9]Rev_NP-12me'!P178</f>
        <v>0</v>
      </c>
      <c r="I154" s="674">
        <f>'[9]Rev_NP-12me'!AA178</f>
        <v>0</v>
      </c>
      <c r="J154" s="666">
        <f>'[9]Rev_NP-12me'!AT178</f>
        <v>11.026545</v>
      </c>
      <c r="K154" s="666">
        <f>'[9]Rev_NP-12me'!AU178</f>
        <v>19.458339263999999</v>
      </c>
      <c r="L154" s="666">
        <f>'[9]Rev_NP-12me'!AW178</f>
        <v>9.2399999999999996E-2</v>
      </c>
      <c r="M154" s="666">
        <f t="shared" si="3"/>
        <v>30.577284264000003</v>
      </c>
    </row>
    <row r="155" spans="2:13" x14ac:dyDescent="0.25">
      <c r="B155" s="692" t="s">
        <v>1137</v>
      </c>
      <c r="C155" s="579"/>
      <c r="D155" s="664">
        <f>'[9]Rev_NP-12me'!AJ179</f>
        <v>22</v>
      </c>
      <c r="E155" s="664">
        <f>'[9]Rev_NP-12me'!AK179</f>
        <v>63.921999999999997</v>
      </c>
      <c r="F155" s="664">
        <f>'[9]Rev_NP-12me'!AQ179</f>
        <v>30.886252800000001</v>
      </c>
      <c r="G155" s="669">
        <f>'[9]Rev_NP-12me'!O179</f>
        <v>300</v>
      </c>
      <c r="H155" s="670">
        <f>'[9]Rev_NP-12me'!P179</f>
        <v>6.3</v>
      </c>
      <c r="I155" s="669">
        <f>'[9]Rev_NP-12me'!AA179</f>
        <v>3500</v>
      </c>
      <c r="J155" s="664">
        <f>'[9]Rev_NP-12me'!AT179</f>
        <v>11.026545</v>
      </c>
      <c r="K155" s="664">
        <f>'[9]Rev_NP-12me'!AU179</f>
        <v>19.458339263999999</v>
      </c>
      <c r="L155" s="664">
        <f>'[9]Rev_NP-12me'!AW179</f>
        <v>9.2399999999999996E-2</v>
      </c>
      <c r="M155" s="664">
        <f t="shared" si="3"/>
        <v>30.577284264000003</v>
      </c>
    </row>
    <row r="156" spans="2:13" x14ac:dyDescent="0.25">
      <c r="B156" s="693" t="s">
        <v>1155</v>
      </c>
      <c r="C156" s="579"/>
      <c r="D156" s="666">
        <f>'[9]Rev_NP-12me'!AJ184</f>
        <v>28</v>
      </c>
      <c r="E156" s="666">
        <f>'[9]Rev_NP-12me'!AK184</f>
        <v>64.918000000000006</v>
      </c>
      <c r="F156" s="666">
        <f>'[9]Rev_NP-12me'!AQ184</f>
        <v>383.84906110650508</v>
      </c>
      <c r="G156" s="674">
        <f>'[9]Rev_NP-12me'!O184</f>
        <v>0</v>
      </c>
      <c r="H156" s="688">
        <f>'[9]Rev_NP-12me'!P184</f>
        <v>0</v>
      </c>
      <c r="I156" s="674">
        <f>'[9]Rev_NP-12me'!AA184</f>
        <v>0</v>
      </c>
      <c r="J156" s="666">
        <f>'[9]Rev_NP-12me'!AT184</f>
        <v>0</v>
      </c>
      <c r="K156" s="666">
        <f>'[9]Rev_NP-12me'!AU184</f>
        <v>234.14792727496805</v>
      </c>
      <c r="L156" s="666">
        <f>'[9]Rev_NP-12me'!AW184</f>
        <v>0.1176</v>
      </c>
      <c r="M156" s="666">
        <f t="shared" si="3"/>
        <v>234.26552727496806</v>
      </c>
    </row>
    <row r="157" spans="2:13" x14ac:dyDescent="0.25">
      <c r="B157" s="680" t="s">
        <v>1156</v>
      </c>
      <c r="C157" s="579"/>
      <c r="D157" s="664">
        <f>'[9]Rev_NP-12me'!AJ185</f>
        <v>28</v>
      </c>
      <c r="E157" s="664">
        <f>'[9]Rev_NP-12me'!AK185</f>
        <v>64.918000000000006</v>
      </c>
      <c r="F157" s="664">
        <f>'[9]Rev_NP-12me'!AQ185</f>
        <v>383.84906110650508</v>
      </c>
      <c r="G157" s="669">
        <f>'[9]Rev_NP-12me'!O185</f>
        <v>0</v>
      </c>
      <c r="H157" s="670">
        <f>'[9]Rev_NP-12me'!P185</f>
        <v>6.1</v>
      </c>
      <c r="I157" s="669">
        <f>'[9]Rev_NP-12me'!AA185</f>
        <v>3500</v>
      </c>
      <c r="J157" s="664">
        <f>'[9]Rev_NP-12me'!AT185</f>
        <v>0</v>
      </c>
      <c r="K157" s="664">
        <f>'[9]Rev_NP-12me'!AU185</f>
        <v>234.14792727496805</v>
      </c>
      <c r="L157" s="664">
        <f>'[9]Rev_NP-12me'!AW185</f>
        <v>0.1176</v>
      </c>
      <c r="M157" s="664">
        <f t="shared" si="3"/>
        <v>234.26552727496806</v>
      </c>
    </row>
    <row r="158" spans="2:13" x14ac:dyDescent="0.25">
      <c r="B158" s="689" t="s">
        <v>1157</v>
      </c>
      <c r="C158" s="579"/>
      <c r="D158" s="666">
        <f>'[9]Rev_NP-12me'!AJ186</f>
        <v>0</v>
      </c>
      <c r="E158" s="666">
        <f>'[9]Rev_NP-12me'!AK186</f>
        <v>0</v>
      </c>
      <c r="F158" s="666">
        <f>'[9]Rev_NP-12me'!AQ186</f>
        <v>0</v>
      </c>
      <c r="G158" s="674">
        <f>'[9]Rev_NP-12me'!O186</f>
        <v>0</v>
      </c>
      <c r="H158" s="688">
        <f>'[9]Rev_NP-12me'!P186</f>
        <v>0</v>
      </c>
      <c r="I158" s="674">
        <f>'[9]Rev_NP-12me'!AA186</f>
        <v>0</v>
      </c>
      <c r="J158" s="666">
        <f>'[9]Rev_NP-12me'!AT186</f>
        <v>0</v>
      </c>
      <c r="K158" s="666">
        <f>'[9]Rev_NP-12me'!AU186</f>
        <v>0</v>
      </c>
      <c r="L158" s="666">
        <f>'[9]Rev_NP-12me'!AW186</f>
        <v>0</v>
      </c>
      <c r="M158" s="664">
        <f t="shared" si="3"/>
        <v>0</v>
      </c>
    </row>
    <row r="159" spans="2:13" x14ac:dyDescent="0.25">
      <c r="B159" s="677" t="s">
        <v>1140</v>
      </c>
      <c r="C159" s="579"/>
      <c r="D159" s="666">
        <f>'[9]Rev_NP-12me'!AJ180</f>
        <v>0</v>
      </c>
      <c r="E159" s="666">
        <f>'[9]Rev_NP-12me'!AK180</f>
        <v>0</v>
      </c>
      <c r="F159" s="666">
        <f>'[9]Rev_NP-12me'!AQ180</f>
        <v>0</v>
      </c>
      <c r="G159" s="674">
        <f>'[9]Rev_NP-12me'!O180</f>
        <v>500</v>
      </c>
      <c r="H159" s="688">
        <f>'[9]Rev_NP-12me'!P180</f>
        <v>5.05</v>
      </c>
      <c r="I159" s="674">
        <f>'[9]Rev_NP-12me'!AA180</f>
        <v>3500</v>
      </c>
      <c r="J159" s="666">
        <f>'[9]Rev_NP-12me'!AT180</f>
        <v>0</v>
      </c>
      <c r="K159" s="666">
        <f>'[9]Rev_NP-12me'!AU180</f>
        <v>0</v>
      </c>
      <c r="L159" s="666">
        <f>'[9]Rev_NP-12me'!AW180</f>
        <v>0</v>
      </c>
      <c r="M159" s="666">
        <f t="shared" si="3"/>
        <v>0</v>
      </c>
    </row>
    <row r="160" spans="2:13" x14ac:dyDescent="0.25">
      <c r="B160" s="677" t="s">
        <v>1141</v>
      </c>
      <c r="C160" s="579"/>
      <c r="D160" s="666">
        <f>'[9]Rev_NP-12me'!AJ181</f>
        <v>0</v>
      </c>
      <c r="E160" s="666">
        <f>'[9]Rev_NP-12me'!AK181</f>
        <v>0</v>
      </c>
      <c r="F160" s="666">
        <f>'[9]Rev_NP-12me'!AQ181</f>
        <v>0</v>
      </c>
      <c r="G160" s="674">
        <f>'[9]Rev_NP-12me'!O181</f>
        <v>500</v>
      </c>
      <c r="H160" s="688">
        <f>'[9]Rev_NP-12me'!P181</f>
        <v>4.95</v>
      </c>
      <c r="I160" s="674">
        <f>'[9]Rev_NP-12me'!AA181</f>
        <v>3500</v>
      </c>
      <c r="J160" s="666">
        <f>'[9]Rev_NP-12me'!AT181</f>
        <v>0</v>
      </c>
      <c r="K160" s="666">
        <f>'[9]Rev_NP-12me'!AU181</f>
        <v>0</v>
      </c>
      <c r="L160" s="666">
        <f>'[9]Rev_NP-12me'!AW181</f>
        <v>0</v>
      </c>
      <c r="M160" s="666">
        <f t="shared" si="3"/>
        <v>0</v>
      </c>
    </row>
    <row r="161" spans="2:13" x14ac:dyDescent="0.25">
      <c r="B161" s="677" t="s">
        <v>811</v>
      </c>
      <c r="C161" s="579"/>
      <c r="D161" s="666">
        <f>'[9]Rev_NP-12me'!AJ182</f>
        <v>7</v>
      </c>
      <c r="E161" s="666">
        <f>'[9]Rev_NP-12me'!AK182</f>
        <v>14.57</v>
      </c>
      <c r="F161" s="666">
        <f>'[9]Rev_NP-12me'!AQ182</f>
        <v>34.61275435448276</v>
      </c>
      <c r="G161" s="674">
        <f>'[9]Rev_NP-12me'!O182</f>
        <v>285</v>
      </c>
      <c r="H161" s="688">
        <f>'[9]Rev_NP-12me'!P182</f>
        <v>7.3</v>
      </c>
      <c r="I161" s="674">
        <f>'[9]Rev_NP-12me'!AA182</f>
        <v>3500</v>
      </c>
      <c r="J161" s="666">
        <f>'[9]Rev_NP-12me'!AT182</f>
        <v>3.9863520000000001</v>
      </c>
      <c r="K161" s="666">
        <f>'[9]Rev_NP-12me'!AU182</f>
        <v>25.267310678772414</v>
      </c>
      <c r="L161" s="666">
        <f>'[9]Rev_NP-12me'!AW182</f>
        <v>2.9399999999999999E-2</v>
      </c>
      <c r="M161" s="666">
        <f t="shared" si="3"/>
        <v>29.283062678772414</v>
      </c>
    </row>
    <row r="162" spans="2:13" x14ac:dyDescent="0.25">
      <c r="B162" s="677" t="s">
        <v>813</v>
      </c>
      <c r="C162" s="579"/>
      <c r="D162" s="666">
        <f>'[9]Rev_NP-12me'!AJ183</f>
        <v>9</v>
      </c>
      <c r="E162" s="666">
        <f>'[9]Rev_NP-12me'!AK183</f>
        <v>6.65</v>
      </c>
      <c r="F162" s="666">
        <f>'[9]Rev_NP-12me'!AQ183</f>
        <v>8.3104927379999989</v>
      </c>
      <c r="G162" s="674">
        <f>'[9]Rev_NP-12me'!O183</f>
        <v>500</v>
      </c>
      <c r="H162" s="688">
        <f>'[9]Rev_NP-12me'!P183</f>
        <v>11</v>
      </c>
      <c r="I162" s="674">
        <f>'[9]Rev_NP-12me'!AA183</f>
        <v>3500</v>
      </c>
      <c r="J162" s="666">
        <f>'[9]Rev_NP-12me'!AT183</f>
        <v>3.1920000000000002</v>
      </c>
      <c r="K162" s="666">
        <f>'[9]Rev_NP-12me'!AU183</f>
        <v>9.1415420117999986</v>
      </c>
      <c r="L162" s="666">
        <f>'[9]Rev_NP-12me'!AW183</f>
        <v>3.3599999999999998E-2</v>
      </c>
      <c r="M162" s="666">
        <f t="shared" si="3"/>
        <v>12.367142011799999</v>
      </c>
    </row>
    <row r="163" spans="2:13" x14ac:dyDescent="0.25">
      <c r="B163" s="677" t="s">
        <v>1158</v>
      </c>
      <c r="C163" s="579"/>
      <c r="D163" s="666">
        <f>'[9]Rev_NP-12me'!$AJ$191</f>
        <v>3</v>
      </c>
      <c r="E163" s="666">
        <f>'[9]Rev_NP-12me'!$AK$191</f>
        <v>8.1999999999999993</v>
      </c>
      <c r="F163" s="666">
        <f>'[9]Rev_NP-12me'!AQ191</f>
        <v>39.244800000000005</v>
      </c>
      <c r="G163" s="674">
        <f>'[9]Rev_NP-12me'!O191</f>
        <v>100</v>
      </c>
      <c r="H163" s="688">
        <f>'[9]Rev_NP-12me'!P191</f>
        <v>6</v>
      </c>
      <c r="I163" s="674">
        <f>'[9]Rev_NP-12me'!AA191</f>
        <v>3500</v>
      </c>
      <c r="J163" s="666">
        <f>'[9]Rev_NP-12me'!AT191</f>
        <v>0.78720000000000001</v>
      </c>
      <c r="K163" s="666">
        <f>'[9]Rev_NP-12me'!AU191</f>
        <v>23.546880000000005</v>
      </c>
      <c r="L163" s="666">
        <f>'[9]Rev_NP-12me'!AW191</f>
        <v>1.26E-2</v>
      </c>
      <c r="M163" s="666">
        <f t="shared" si="3"/>
        <v>24.346680000000003</v>
      </c>
    </row>
    <row r="164" spans="2:13" x14ac:dyDescent="0.25">
      <c r="B164" s="689" t="s">
        <v>1159</v>
      </c>
      <c r="C164" s="579"/>
      <c r="D164" s="666">
        <f>SUM(D123,D137,D138,D144,D149,D154,D156,D158,D159,D160,D161,D162,D163)</f>
        <v>144</v>
      </c>
      <c r="E164" s="666">
        <f>SUM(E123,E137,E138,E144,E149,E154,E156,E158,E159,E160,E161,E162,E163)</f>
        <v>246.03864999999999</v>
      </c>
      <c r="F164" s="666">
        <f>SUM(F123,F137,F138,F144,F149,F154,F156,F158,F159,F160,F161,F162,F163)</f>
        <v>777.01037217555916</v>
      </c>
      <c r="G164" s="674"/>
      <c r="H164" s="669"/>
      <c r="I164" s="669"/>
      <c r="J164" s="666">
        <f>SUM(J123,J137,J138,J144,J149,J154,J156,J158,J159,J160,J161,J162,J163)</f>
        <v>61.125848999999995</v>
      </c>
      <c r="K164" s="666">
        <f>SUM(K123,K137,K138,K144,K149,K154,K156,K158,K159,K160,K161,K162,K163)</f>
        <v>507.67447957575223</v>
      </c>
      <c r="L164" s="666">
        <f>SUM(L123,L137,L138,L144,L149,L154,L156,L158,L159,L160,L161,L162,L163)</f>
        <v>0.60060000000000002</v>
      </c>
      <c r="M164" s="666">
        <f>SUM(M123,M137,M138,M144,M149,M154,M156,M158,M159,M160,M161,M162,M163)</f>
        <v>569.40092857575223</v>
      </c>
    </row>
    <row r="165" spans="2:13" x14ac:dyDescent="0.25">
      <c r="B165" s="579"/>
      <c r="C165" s="579"/>
      <c r="D165" s="664"/>
      <c r="E165" s="664"/>
      <c r="F165" s="664"/>
      <c r="G165" s="669"/>
      <c r="H165" s="669"/>
      <c r="I165" s="669"/>
      <c r="J165" s="664"/>
      <c r="K165" s="664"/>
      <c r="L165" s="664"/>
      <c r="M165" s="664"/>
    </row>
    <row r="166" spans="2:13" x14ac:dyDescent="0.25">
      <c r="B166" s="677" t="s">
        <v>1160</v>
      </c>
      <c r="C166" s="579"/>
      <c r="D166" s="664"/>
      <c r="E166" s="664"/>
      <c r="F166" s="664"/>
      <c r="G166" s="669"/>
      <c r="H166" s="669"/>
      <c r="I166" s="669"/>
      <c r="J166" s="664"/>
      <c r="K166" s="664"/>
      <c r="L166" s="664"/>
      <c r="M166" s="664"/>
    </row>
    <row r="167" spans="2:13" x14ac:dyDescent="0.25">
      <c r="B167" s="677" t="s">
        <v>1145</v>
      </c>
      <c r="C167" s="579"/>
      <c r="D167" s="666">
        <f>'[9]Rev_NP-12me'!AJ201</f>
        <v>13</v>
      </c>
      <c r="E167" s="666">
        <f>'[9]Rev_NP-12me'!AK201</f>
        <v>174.32</v>
      </c>
      <c r="F167" s="666">
        <f>'[9]Rev_NP-12me'!AQ201</f>
        <v>364.22166626975172</v>
      </c>
      <c r="G167" s="674">
        <f>'[9]Rev_NP-12me'!O201</f>
        <v>0</v>
      </c>
      <c r="H167" s="688">
        <f>'[9]Rev_NP-12me'!P201</f>
        <v>0</v>
      </c>
      <c r="I167" s="674">
        <f>'[9]Rev_NP-12me'!AA201</f>
        <v>0</v>
      </c>
      <c r="J167" s="666">
        <f>'[9]Rev_NP-12me'!AT201</f>
        <v>83.673600000000008</v>
      </c>
      <c r="K167" s="666">
        <f>'[9]Rev_NP-12me'!AU201</f>
        <v>233.07771476110491</v>
      </c>
      <c r="L167" s="666">
        <f>'[9]Rev_NP-12me'!AW201</f>
        <v>7.8E-2</v>
      </c>
      <c r="M167" s="666">
        <f t="shared" ref="M167:M208" si="4">SUM(J167:L167)</f>
        <v>316.82931476110491</v>
      </c>
    </row>
    <row r="168" spans="2:13" x14ac:dyDescent="0.25">
      <c r="B168" s="680" t="s">
        <v>1119</v>
      </c>
      <c r="C168" s="579"/>
      <c r="D168" s="664">
        <f>'[9]Rev_NP-12me'!AJ202</f>
        <v>13</v>
      </c>
      <c r="E168" s="664">
        <f>'[9]Rev_NP-12me'!AK202</f>
        <v>174.32</v>
      </c>
      <c r="F168" s="664">
        <f>'[9]Rev_NP-12me'!AQ202</f>
        <v>51.114102106551769</v>
      </c>
      <c r="G168" s="669">
        <f>'[9]Rev_NP-12me'!O202</f>
        <v>500</v>
      </c>
      <c r="H168" s="670">
        <f>'[9]Rev_NP-12me'!P202</f>
        <v>6.65</v>
      </c>
      <c r="I168" s="669">
        <f>'[9]Rev_NP-12me'!AA202</f>
        <v>5000</v>
      </c>
      <c r="J168" s="664">
        <f>'[9]Rev_NP-12me'!AT202</f>
        <v>83.673600000000008</v>
      </c>
      <c r="K168" s="664">
        <f>'[9]Rev_NP-12me'!AU202</f>
        <v>33.99087790085693</v>
      </c>
      <c r="L168" s="664">
        <f>'[9]Rev_NP-12me'!AW202</f>
        <v>7.8E-2</v>
      </c>
      <c r="M168" s="664">
        <f t="shared" si="4"/>
        <v>117.74247790085694</v>
      </c>
    </row>
    <row r="169" spans="2:13" ht="14.4" x14ac:dyDescent="0.25">
      <c r="B169" s="680" t="s">
        <v>1147</v>
      </c>
      <c r="C169" s="579"/>
      <c r="D169" s="665">
        <f>'[9]Rev_NP-12me'!AJ204</f>
        <v>0</v>
      </c>
      <c r="E169" s="665">
        <f>'[9]Rev_NP-12me'!AK204</f>
        <v>0</v>
      </c>
      <c r="F169" s="665">
        <f>'[9]Rev_NP-12me'!AQ204</f>
        <v>0</v>
      </c>
      <c r="G169" s="681">
        <f>'[9]Rev_NP-12me'!O204</f>
        <v>0</v>
      </c>
      <c r="H169" s="682">
        <f>'[9]Rev_NP-12me'!P204</f>
        <v>6.65</v>
      </c>
      <c r="I169" s="681">
        <f>'[9]Rev_NP-12me'!AA204</f>
        <v>5000</v>
      </c>
      <c r="J169" s="665">
        <f>'[9]Rev_NP-12me'!AT204</f>
        <v>0</v>
      </c>
      <c r="K169" s="665">
        <f>'[9]Rev_NP-12me'!AU204</f>
        <v>0</v>
      </c>
      <c r="L169" s="665">
        <f>'[9]Rev_NP-12me'!AW204</f>
        <v>0</v>
      </c>
      <c r="M169" s="664">
        <f t="shared" si="4"/>
        <v>0</v>
      </c>
    </row>
    <row r="170" spans="2:13" ht="14.4" x14ac:dyDescent="0.25">
      <c r="B170" s="680" t="s">
        <v>1148</v>
      </c>
      <c r="C170" s="579"/>
      <c r="D170" s="665">
        <f>'[9]Rev_NP-12me'!AJ205</f>
        <v>0</v>
      </c>
      <c r="E170" s="665">
        <f>'[9]Rev_NP-12me'!AK205</f>
        <v>0</v>
      </c>
      <c r="F170" s="665">
        <f>'[9]Rev_NP-12me'!AQ205</f>
        <v>0</v>
      </c>
      <c r="G170" s="681">
        <f>'[9]Rev_NP-12me'!O205</f>
        <v>0</v>
      </c>
      <c r="H170" s="682">
        <f>'[9]Rev_NP-12me'!P205</f>
        <v>7.3</v>
      </c>
      <c r="I170" s="681">
        <f>'[9]Rev_NP-12me'!AA205</f>
        <v>5000</v>
      </c>
      <c r="J170" s="665">
        <f>'[9]Rev_NP-12me'!AT205</f>
        <v>0</v>
      </c>
      <c r="K170" s="665">
        <f>'[9]Rev_NP-12me'!AU205</f>
        <v>0</v>
      </c>
      <c r="L170" s="665">
        <f>'[9]Rev_NP-12me'!AW205</f>
        <v>0</v>
      </c>
      <c r="M170" s="664">
        <f t="shared" si="4"/>
        <v>0</v>
      </c>
    </row>
    <row r="171" spans="2:13" ht="14.4" x14ac:dyDescent="0.25">
      <c r="B171" s="680" t="s">
        <v>1149</v>
      </c>
      <c r="C171" s="579"/>
      <c r="D171" s="665">
        <f>'[9]Rev_NP-12me'!AJ206</f>
        <v>0</v>
      </c>
      <c r="E171" s="665">
        <f>'[9]Rev_NP-12me'!AK206</f>
        <v>0</v>
      </c>
      <c r="F171" s="665">
        <f>'[9]Rev_NP-12me'!AQ206</f>
        <v>0</v>
      </c>
      <c r="G171" s="681">
        <f>'[9]Rev_NP-12me'!O206</f>
        <v>500</v>
      </c>
      <c r="H171" s="682">
        <f>'[9]Rev_NP-12me'!P206</f>
        <v>7.7</v>
      </c>
      <c r="I171" s="681">
        <f>'[9]Rev_NP-12me'!AA206</f>
        <v>5000</v>
      </c>
      <c r="J171" s="665">
        <f>'[9]Rev_NP-12me'!AT206</f>
        <v>0</v>
      </c>
      <c r="K171" s="665">
        <f>'[9]Rev_NP-12me'!AU206</f>
        <v>0</v>
      </c>
      <c r="L171" s="665">
        <f>'[9]Rev_NP-12me'!AW206</f>
        <v>0</v>
      </c>
      <c r="M171" s="664">
        <f t="shared" si="4"/>
        <v>0</v>
      </c>
    </row>
    <row r="172" spans="2:13" ht="14.4" x14ac:dyDescent="0.25">
      <c r="B172" s="687" t="s">
        <v>1100</v>
      </c>
      <c r="C172" s="579"/>
      <c r="D172" s="665">
        <f>'[9]Rev_NP-12me'!AJ207</f>
        <v>0</v>
      </c>
      <c r="E172" s="665">
        <f>'[9]Rev_NP-12me'!AK207</f>
        <v>0</v>
      </c>
      <c r="F172" s="665">
        <f>'[9]Rev_NP-12me'!AQ207</f>
        <v>117.46273125899998</v>
      </c>
      <c r="G172" s="681">
        <f>'[9]Rev_NP-12me'!O207</f>
        <v>0</v>
      </c>
      <c r="H172" s="682">
        <f>'[9]Rev_NP-12me'!P207</f>
        <v>7.65</v>
      </c>
      <c r="I172" s="681">
        <f>'[9]Rev_NP-12me'!AA207</f>
        <v>5000</v>
      </c>
      <c r="J172" s="665">
        <f>'[9]Rev_NP-12me'!AT207</f>
        <v>0</v>
      </c>
      <c r="K172" s="665">
        <f>'[9]Rev_NP-12me'!AU207</f>
        <v>89.858989413134992</v>
      </c>
      <c r="L172" s="665">
        <f>'[9]Rev_NP-12me'!AW207</f>
        <v>0</v>
      </c>
      <c r="M172" s="664">
        <f t="shared" si="4"/>
        <v>89.858989413134992</v>
      </c>
    </row>
    <row r="173" spans="2:13" ht="14.4" x14ac:dyDescent="0.25">
      <c r="B173" s="687" t="s">
        <v>1101</v>
      </c>
      <c r="C173" s="579"/>
      <c r="D173" s="665">
        <f>'[9]Rev_NP-12me'!AJ208</f>
        <v>0</v>
      </c>
      <c r="E173" s="665">
        <f>'[9]Rev_NP-12me'!AK208</f>
        <v>0</v>
      </c>
      <c r="F173" s="665">
        <f>'[9]Rev_NP-12me'!AQ208</f>
        <v>33.883034005799992</v>
      </c>
      <c r="G173" s="681">
        <f>'[9]Rev_NP-12me'!O208</f>
        <v>0</v>
      </c>
      <c r="H173" s="682">
        <f>'[9]Rev_NP-12me'!P208</f>
        <v>7.65</v>
      </c>
      <c r="I173" s="681">
        <f>'[9]Rev_NP-12me'!AA208</f>
        <v>5000</v>
      </c>
      <c r="J173" s="665">
        <f>'[9]Rev_NP-12me'!AT208</f>
        <v>0</v>
      </c>
      <c r="K173" s="665">
        <f>'[9]Rev_NP-12me'!AU208</f>
        <v>25.920521014436996</v>
      </c>
      <c r="L173" s="665">
        <f>'[9]Rev_NP-12me'!AW208</f>
        <v>0</v>
      </c>
      <c r="M173" s="664">
        <f t="shared" si="4"/>
        <v>25.920521014436996</v>
      </c>
    </row>
    <row r="174" spans="2:13" ht="14.4" x14ac:dyDescent="0.25">
      <c r="B174" s="687" t="s">
        <v>1102</v>
      </c>
      <c r="C174" s="579"/>
      <c r="D174" s="665">
        <f>'[9]Rev_NP-12me'!AJ210</f>
        <v>0</v>
      </c>
      <c r="E174" s="665">
        <f>'[9]Rev_NP-12me'!AK210</f>
        <v>0</v>
      </c>
      <c r="F174" s="665">
        <f>'[9]Rev_NP-12me'!AQ210</f>
        <v>161.76179889839997</v>
      </c>
      <c r="G174" s="681">
        <f>'[9]Rev_NP-12me'!O210</f>
        <v>0</v>
      </c>
      <c r="H174" s="682">
        <f>'[9]Rev_NP-12me'!P210</f>
        <v>5.15</v>
      </c>
      <c r="I174" s="681">
        <f>'[9]Rev_NP-12me'!AA210</f>
        <v>5000</v>
      </c>
      <c r="J174" s="665">
        <f>'[9]Rev_NP-12me'!AT210</f>
        <v>0</v>
      </c>
      <c r="K174" s="665">
        <f>'[9]Rev_NP-12me'!AU210</f>
        <v>83.307326432675993</v>
      </c>
      <c r="L174" s="665">
        <f>'[9]Rev_NP-12me'!AW210</f>
        <v>0</v>
      </c>
      <c r="M174" s="664">
        <f t="shared" si="4"/>
        <v>83.307326432675993</v>
      </c>
    </row>
    <row r="175" spans="2:13" x14ac:dyDescent="0.25">
      <c r="B175" s="677" t="s">
        <v>1161</v>
      </c>
      <c r="C175" s="579"/>
      <c r="D175" s="666">
        <f>'[9]Rev_NP-12me'!AJ212</f>
        <v>2</v>
      </c>
      <c r="E175" s="666">
        <f>'[9]Rev_NP-12me'!AK212</f>
        <v>35</v>
      </c>
      <c r="F175" s="666">
        <f>'[9]Rev_NP-12me'!AQ212</f>
        <v>283.67313653890687</v>
      </c>
      <c r="G175" s="674">
        <f>'[9]Rev_NP-12me'!O212</f>
        <v>0</v>
      </c>
      <c r="H175" s="688">
        <f>'[9]Rev_NP-12me'!P212</f>
        <v>0</v>
      </c>
      <c r="I175" s="674">
        <f>'[9]Rev_NP-12me'!AA212</f>
        <v>0</v>
      </c>
      <c r="J175" s="666">
        <f>'[9]Rev_NP-12me'!AT212</f>
        <v>16.8</v>
      </c>
      <c r="K175" s="666">
        <f>'[9]Rev_NP-12me'!AU212</f>
        <v>183.65227223437918</v>
      </c>
      <c r="L175" s="666">
        <f>'[9]Rev_NP-12me'!AW212</f>
        <v>1.2E-2</v>
      </c>
      <c r="M175" s="666">
        <f t="shared" si="4"/>
        <v>200.46427223437919</v>
      </c>
    </row>
    <row r="176" spans="2:13" ht="14.4" x14ac:dyDescent="0.25">
      <c r="B176" s="680" t="s">
        <v>1134</v>
      </c>
      <c r="C176" s="579"/>
      <c r="D176" s="665">
        <f>'[9]Rev_NP-12me'!AJ213</f>
        <v>2</v>
      </c>
      <c r="E176" s="665">
        <f>'[9]Rev_NP-12me'!AK213</f>
        <v>35</v>
      </c>
      <c r="F176" s="665">
        <f>'[9]Rev_NP-12me'!AQ213</f>
        <v>75.184271566377504</v>
      </c>
      <c r="G176" s="681">
        <f>'[9]Rev_NP-12me'!O213</f>
        <v>500</v>
      </c>
      <c r="H176" s="682">
        <f>'[9]Rev_NP-12me'!P213</f>
        <v>6.65</v>
      </c>
      <c r="I176" s="681">
        <f>'[9]Rev_NP-12me'!AA213</f>
        <v>5000</v>
      </c>
      <c r="J176" s="665">
        <f>'[9]Rev_NP-12me'!AT213</f>
        <v>16.8</v>
      </c>
      <c r="K176" s="665">
        <f>'[9]Rev_NP-12me'!AU213</f>
        <v>49.997540591641041</v>
      </c>
      <c r="L176" s="665">
        <f>'[9]Rev_NP-12me'!AW213</f>
        <v>1.2E-2</v>
      </c>
      <c r="M176" s="664">
        <f t="shared" si="4"/>
        <v>66.809540591641039</v>
      </c>
    </row>
    <row r="177" spans="2:13" ht="14.4" x14ac:dyDescent="0.25">
      <c r="B177" s="680" t="s">
        <v>1100</v>
      </c>
      <c r="C177" s="579"/>
      <c r="D177" s="665">
        <f>'[9]Rev_NP-12me'!AJ214</f>
        <v>0</v>
      </c>
      <c r="E177" s="665">
        <f>'[9]Rev_NP-12me'!AK214</f>
        <v>0</v>
      </c>
      <c r="F177" s="665">
        <f>'[9]Rev_NP-12me'!AQ214</f>
        <v>52.416710336199223</v>
      </c>
      <c r="G177" s="681">
        <f>'[9]Rev_NP-12me'!O214</f>
        <v>0</v>
      </c>
      <c r="H177" s="682">
        <f>'[9]Rev_NP-12me'!P214</f>
        <v>7.65</v>
      </c>
      <c r="I177" s="681">
        <f>'[9]Rev_NP-12me'!AA214</f>
        <v>5000</v>
      </c>
      <c r="J177" s="665">
        <f>'[9]Rev_NP-12me'!AT214</f>
        <v>0</v>
      </c>
      <c r="K177" s="665">
        <f>'[9]Rev_NP-12me'!AU214</f>
        <v>40.098783407192407</v>
      </c>
      <c r="L177" s="665">
        <f>'[9]Rev_NP-12me'!AW214</f>
        <v>0</v>
      </c>
      <c r="M177" s="664">
        <f t="shared" si="4"/>
        <v>40.098783407192407</v>
      </c>
    </row>
    <row r="178" spans="2:13" ht="14.4" x14ac:dyDescent="0.25">
      <c r="B178" s="680" t="s">
        <v>1101</v>
      </c>
      <c r="C178" s="579"/>
      <c r="D178" s="665">
        <f>'[9]Rev_NP-12me'!AJ215</f>
        <v>0</v>
      </c>
      <c r="E178" s="665">
        <f>'[9]Rev_NP-12me'!AK215</f>
        <v>0</v>
      </c>
      <c r="F178" s="665">
        <f>'[9]Rev_NP-12me'!AQ215</f>
        <v>52.715154391342786</v>
      </c>
      <c r="G178" s="681">
        <f>'[9]Rev_NP-12me'!O215</f>
        <v>0</v>
      </c>
      <c r="H178" s="682">
        <f>'[9]Rev_NP-12me'!P215</f>
        <v>7.65</v>
      </c>
      <c r="I178" s="681">
        <f>'[9]Rev_NP-12me'!AA215</f>
        <v>5000</v>
      </c>
      <c r="J178" s="665">
        <f>'[9]Rev_NP-12me'!AT215</f>
        <v>0</v>
      </c>
      <c r="K178" s="665">
        <f>'[9]Rev_NP-12me'!AU215</f>
        <v>40.32709310937723</v>
      </c>
      <c r="L178" s="665">
        <f>'[9]Rev_NP-12me'!AW215</f>
        <v>0</v>
      </c>
      <c r="M178" s="664">
        <f t="shared" si="4"/>
        <v>40.32709310937723</v>
      </c>
    </row>
    <row r="179" spans="2:13" ht="14.4" x14ac:dyDescent="0.25">
      <c r="B179" s="680" t="s">
        <v>1102</v>
      </c>
      <c r="C179" s="579"/>
      <c r="D179" s="665">
        <f>'[9]Rev_NP-12me'!AJ216</f>
        <v>0</v>
      </c>
      <c r="E179" s="665">
        <f>'[9]Rev_NP-12me'!AK216</f>
        <v>0</v>
      </c>
      <c r="F179" s="665">
        <f>'[9]Rev_NP-12me'!AQ216</f>
        <v>103.35700024498736</v>
      </c>
      <c r="G179" s="681">
        <f>'[9]Rev_NP-12me'!O216</f>
        <v>0</v>
      </c>
      <c r="H179" s="682">
        <f>'[9]Rev_NP-12me'!P216</f>
        <v>5.15</v>
      </c>
      <c r="I179" s="681">
        <f>'[9]Rev_NP-12me'!AA216</f>
        <v>5000</v>
      </c>
      <c r="J179" s="665">
        <f>'[9]Rev_NP-12me'!AT216</f>
        <v>0</v>
      </c>
      <c r="K179" s="665">
        <f>'[9]Rev_NP-12me'!AU216</f>
        <v>53.22885512616849</v>
      </c>
      <c r="L179" s="665">
        <f>'[9]Rev_NP-12me'!AW216</f>
        <v>0</v>
      </c>
      <c r="M179" s="664">
        <f t="shared" si="4"/>
        <v>53.22885512616849</v>
      </c>
    </row>
    <row r="180" spans="2:13" x14ac:dyDescent="0.25">
      <c r="B180" s="677" t="s">
        <v>1162</v>
      </c>
      <c r="C180" s="579"/>
      <c r="D180" s="666">
        <f>'[9]Rev_NP-12me'!AJ211</f>
        <v>0</v>
      </c>
      <c r="E180" s="666">
        <f>'[9]Rev_NP-12me'!AK211</f>
        <v>0</v>
      </c>
      <c r="F180" s="666">
        <f>'[9]Rev_NP-12me'!AQ211</f>
        <v>0</v>
      </c>
      <c r="G180" s="674">
        <f>'[9]Rev_NP-12me'!O211</f>
        <v>500</v>
      </c>
      <c r="H180" s="688">
        <f>'[9]Rev_NP-12me'!P211</f>
        <v>6.65</v>
      </c>
      <c r="I180" s="674">
        <f>'[9]Rev_NP-12me'!AA211</f>
        <v>5000</v>
      </c>
      <c r="J180" s="666">
        <f>'[9]Rev_NP-12me'!AT211</f>
        <v>0</v>
      </c>
      <c r="K180" s="666">
        <f>'[9]Rev_NP-12me'!AU211</f>
        <v>0</v>
      </c>
      <c r="L180" s="666">
        <f>'[9]Rev_NP-12me'!AW211</f>
        <v>0</v>
      </c>
      <c r="M180" s="666">
        <f t="shared" si="4"/>
        <v>0</v>
      </c>
    </row>
    <row r="181" spans="2:13" x14ac:dyDescent="0.25">
      <c r="B181" s="677" t="s">
        <v>1163</v>
      </c>
      <c r="C181" s="579"/>
      <c r="D181" s="666">
        <f>'[9]Rev_NP-12me'!AJ217</f>
        <v>7</v>
      </c>
      <c r="E181" s="666">
        <f>'[9]Rev_NP-12me'!AK217</f>
        <v>17.350000000000001</v>
      </c>
      <c r="F181" s="666">
        <f>'[9]Rev_NP-12me'!AQ217</f>
        <v>4.6745669736802009</v>
      </c>
      <c r="G181" s="674">
        <f>'[9]Rev_NP-12me'!O217</f>
        <v>0</v>
      </c>
      <c r="H181" s="688">
        <f>'[9]Rev_NP-12me'!P217</f>
        <v>0</v>
      </c>
      <c r="I181" s="674">
        <f>'[9]Rev_NP-12me'!AA217</f>
        <v>0</v>
      </c>
      <c r="J181" s="666">
        <f>'[9]Rev_NP-12me'!AT217</f>
        <v>8.3280000000000012</v>
      </c>
      <c r="K181" s="666">
        <f>'[9]Rev_NP-12me'!AU217</f>
        <v>3.4522025187132637</v>
      </c>
      <c r="L181" s="666">
        <f>'[9]Rev_NP-12me'!AW217</f>
        <v>4.2000000000000003E-2</v>
      </c>
      <c r="M181" s="666">
        <f t="shared" si="4"/>
        <v>11.822202518713265</v>
      </c>
    </row>
    <row r="182" spans="2:13" ht="14.4" x14ac:dyDescent="0.25">
      <c r="B182" s="687" t="s">
        <v>1134</v>
      </c>
      <c r="C182" s="579"/>
      <c r="D182" s="665">
        <f>'[9]Rev_NP-12me'!AJ218</f>
        <v>7</v>
      </c>
      <c r="E182" s="665">
        <f>'[9]Rev_NP-12me'!AK218</f>
        <v>17.350000000000001</v>
      </c>
      <c r="F182" s="665">
        <f>'[9]Rev_NP-12me'!AQ218</f>
        <v>0.87885207268631382</v>
      </c>
      <c r="G182" s="681">
        <f>'[9]Rev_NP-12me'!O218</f>
        <v>500</v>
      </c>
      <c r="H182" s="682">
        <f>'[9]Rev_NP-12me'!P218</f>
        <v>7.8</v>
      </c>
      <c r="I182" s="681">
        <f>'[9]Rev_NP-12me'!AA218</f>
        <v>5000</v>
      </c>
      <c r="J182" s="665">
        <f>'[9]Rev_NP-12me'!AT218</f>
        <v>8.3280000000000012</v>
      </c>
      <c r="K182" s="665">
        <f>'[9]Rev_NP-12me'!AU218</f>
        <v>0.6855046166953247</v>
      </c>
      <c r="L182" s="665">
        <f>'[9]Rev_NP-12me'!AW218</f>
        <v>4.2000000000000003E-2</v>
      </c>
      <c r="M182" s="664">
        <f t="shared" si="4"/>
        <v>9.055504616695325</v>
      </c>
    </row>
    <row r="183" spans="2:13" ht="14.4" x14ac:dyDescent="0.25">
      <c r="B183" s="687" t="s">
        <v>1100</v>
      </c>
      <c r="C183" s="579"/>
      <c r="D183" s="665">
        <f>'[9]Rev_NP-12me'!AJ219</f>
        <v>0</v>
      </c>
      <c r="E183" s="665">
        <f>'[9]Rev_NP-12me'!AK219</f>
        <v>0</v>
      </c>
      <c r="F183" s="665">
        <f>'[9]Rev_NP-12me'!AQ219</f>
        <v>0.95923963956064007</v>
      </c>
      <c r="G183" s="681">
        <f>'[9]Rev_NP-12me'!O219</f>
        <v>0</v>
      </c>
      <c r="H183" s="682">
        <f>'[9]Rev_NP-12me'!P219</f>
        <v>8.8000000000000007</v>
      </c>
      <c r="I183" s="681">
        <f>'[9]Rev_NP-12me'!AA219</f>
        <v>5000</v>
      </c>
      <c r="J183" s="665">
        <f>'[9]Rev_NP-12me'!AT219</f>
        <v>0</v>
      </c>
      <c r="K183" s="665">
        <f>'[9]Rev_NP-12me'!AU219</f>
        <v>0.84413088281336335</v>
      </c>
      <c r="L183" s="665">
        <f>'[9]Rev_NP-12me'!AW219</f>
        <v>0</v>
      </c>
      <c r="M183" s="664">
        <f t="shared" si="4"/>
        <v>0.84413088281336335</v>
      </c>
    </row>
    <row r="184" spans="2:13" ht="14.4" x14ac:dyDescent="0.25">
      <c r="B184" s="687" t="s">
        <v>1101</v>
      </c>
      <c r="C184" s="579"/>
      <c r="D184" s="665">
        <f>'[9]Rev_NP-12me'!AJ220</f>
        <v>0</v>
      </c>
      <c r="E184" s="665">
        <f>'[9]Rev_NP-12me'!AK220</f>
        <v>0</v>
      </c>
      <c r="F184" s="665">
        <f>'[9]Rev_NP-12me'!AQ220</f>
        <v>0.54235041800651917</v>
      </c>
      <c r="G184" s="681">
        <f>'[9]Rev_NP-12me'!O220</f>
        <v>0</v>
      </c>
      <c r="H184" s="682">
        <f>'[9]Rev_NP-12me'!P220</f>
        <v>8.8000000000000007</v>
      </c>
      <c r="I184" s="681">
        <f>'[9]Rev_NP-12me'!AA220</f>
        <v>5000</v>
      </c>
      <c r="J184" s="665">
        <f>'[9]Rev_NP-12me'!AT220</f>
        <v>0</v>
      </c>
      <c r="K184" s="665">
        <f>'[9]Rev_NP-12me'!AU220</f>
        <v>0.4772683678457369</v>
      </c>
      <c r="L184" s="665">
        <f>'[9]Rev_NP-12me'!AW220</f>
        <v>0</v>
      </c>
      <c r="M184" s="664">
        <f t="shared" si="4"/>
        <v>0.4772683678457369</v>
      </c>
    </row>
    <row r="185" spans="2:13" ht="14.4" x14ac:dyDescent="0.25">
      <c r="B185" s="687" t="s">
        <v>1102</v>
      </c>
      <c r="C185" s="579"/>
      <c r="D185" s="665">
        <f>'[9]Rev_NP-12me'!AJ221</f>
        <v>0</v>
      </c>
      <c r="E185" s="665">
        <f>'[9]Rev_NP-12me'!AK221</f>
        <v>0</v>
      </c>
      <c r="F185" s="665">
        <f>'[9]Rev_NP-12me'!AQ221</f>
        <v>2.2941248434267281</v>
      </c>
      <c r="G185" s="681">
        <f>'[9]Rev_NP-12me'!O221</f>
        <v>0</v>
      </c>
      <c r="H185" s="682">
        <f>'[9]Rev_NP-12me'!P221</f>
        <v>6.3</v>
      </c>
      <c r="I185" s="681">
        <f>'[9]Rev_NP-12me'!AA221</f>
        <v>5000</v>
      </c>
      <c r="J185" s="665">
        <f>'[9]Rev_NP-12me'!AT221</f>
        <v>0</v>
      </c>
      <c r="K185" s="665">
        <f>'[9]Rev_NP-12me'!AU221</f>
        <v>1.4452986513588386</v>
      </c>
      <c r="L185" s="665">
        <f>'[9]Rev_NP-12me'!AW221</f>
        <v>0</v>
      </c>
      <c r="M185" s="664">
        <f t="shared" si="4"/>
        <v>1.4452986513588386</v>
      </c>
    </row>
    <row r="186" spans="2:13" x14ac:dyDescent="0.25">
      <c r="B186" s="677" t="s">
        <v>1135</v>
      </c>
      <c r="C186" s="579"/>
      <c r="D186" s="666">
        <f>'[9]Rev_NP-12me'!AJ222</f>
        <v>0</v>
      </c>
      <c r="E186" s="666">
        <f>'[9]Rev_NP-12me'!AK222</f>
        <v>0</v>
      </c>
      <c r="F186" s="666">
        <f>'[9]Rev_NP-12me'!AQ222</f>
        <v>0</v>
      </c>
      <c r="G186" s="674">
        <f>'[9]Rev_NP-12me'!O222</f>
        <v>0</v>
      </c>
      <c r="H186" s="688">
        <f>'[9]Rev_NP-12me'!P222</f>
        <v>0</v>
      </c>
      <c r="I186" s="674">
        <f>'[9]Rev_NP-12me'!AA222</f>
        <v>0</v>
      </c>
      <c r="J186" s="666">
        <f>'[9]Rev_NP-12me'!AT222</f>
        <v>0</v>
      </c>
      <c r="K186" s="666">
        <f>'[9]Rev_NP-12me'!AU222</f>
        <v>0</v>
      </c>
      <c r="L186" s="666">
        <f>'[9]Rev_NP-12me'!AW222</f>
        <v>0</v>
      </c>
      <c r="M186" s="666">
        <f t="shared" si="4"/>
        <v>0</v>
      </c>
    </row>
    <row r="187" spans="2:13" ht="14.4" x14ac:dyDescent="0.25">
      <c r="B187" s="680" t="s">
        <v>1134</v>
      </c>
      <c r="C187" s="579"/>
      <c r="D187" s="665">
        <f>'[9]Rev_NP-12me'!AJ223</f>
        <v>0</v>
      </c>
      <c r="E187" s="665">
        <f>'[9]Rev_NP-12me'!AK223</f>
        <v>0</v>
      </c>
      <c r="F187" s="665">
        <f>'[9]Rev_NP-12me'!AQ223</f>
        <v>0</v>
      </c>
      <c r="G187" s="681">
        <f>'[9]Rev_NP-12me'!O223</f>
        <v>285</v>
      </c>
      <c r="H187" s="682">
        <f>'[9]Rev_NP-12me'!P223</f>
        <v>5</v>
      </c>
      <c r="I187" s="681">
        <f>'[9]Rev_NP-12me'!AA223</f>
        <v>5000</v>
      </c>
      <c r="J187" s="665">
        <f>'[9]Rev_NP-12me'!AT223</f>
        <v>0</v>
      </c>
      <c r="K187" s="665">
        <f>'[9]Rev_NP-12me'!AU223</f>
        <v>0</v>
      </c>
      <c r="L187" s="665">
        <f>'[9]Rev_NP-12me'!AW223</f>
        <v>0</v>
      </c>
      <c r="M187" s="664">
        <f t="shared" si="4"/>
        <v>0</v>
      </c>
    </row>
    <row r="188" spans="2:13" ht="14.4" x14ac:dyDescent="0.25">
      <c r="B188" s="680" t="s">
        <v>1100</v>
      </c>
      <c r="C188" s="579"/>
      <c r="D188" s="665">
        <f>'[9]Rev_NP-12me'!AJ224</f>
        <v>0</v>
      </c>
      <c r="E188" s="665">
        <f>'[9]Rev_NP-12me'!AK224</f>
        <v>0</v>
      </c>
      <c r="F188" s="665">
        <f>'[9]Rev_NP-12me'!AQ224</f>
        <v>0</v>
      </c>
      <c r="G188" s="681">
        <f>'[9]Rev_NP-12me'!O224</f>
        <v>0</v>
      </c>
      <c r="H188" s="682">
        <f>'[9]Rev_NP-12me'!P224</f>
        <v>6</v>
      </c>
      <c r="I188" s="681">
        <f>'[9]Rev_NP-12me'!AA224</f>
        <v>5000</v>
      </c>
      <c r="J188" s="665">
        <f>'[9]Rev_NP-12me'!AT224</f>
        <v>0</v>
      </c>
      <c r="K188" s="665">
        <f>'[9]Rev_NP-12me'!AU224</f>
        <v>0</v>
      </c>
      <c r="L188" s="665">
        <f>'[9]Rev_NP-12me'!AW224</f>
        <v>0</v>
      </c>
      <c r="M188" s="664">
        <f t="shared" si="4"/>
        <v>0</v>
      </c>
    </row>
    <row r="189" spans="2:13" ht="14.4" x14ac:dyDescent="0.25">
      <c r="B189" s="680" t="s">
        <v>1101</v>
      </c>
      <c r="C189" s="579"/>
      <c r="D189" s="665">
        <f>'[9]Rev_NP-12me'!AJ225</f>
        <v>0</v>
      </c>
      <c r="E189" s="665">
        <f>'[9]Rev_NP-12me'!AK225</f>
        <v>0</v>
      </c>
      <c r="F189" s="665">
        <f>'[9]Rev_NP-12me'!AQ225</f>
        <v>0</v>
      </c>
      <c r="G189" s="681">
        <f>'[9]Rev_NP-12me'!O225</f>
        <v>0</v>
      </c>
      <c r="H189" s="682">
        <f>'[9]Rev_NP-12me'!P225</f>
        <v>6</v>
      </c>
      <c r="I189" s="681">
        <f>'[9]Rev_NP-12me'!AA225</f>
        <v>5000</v>
      </c>
      <c r="J189" s="665">
        <f>'[9]Rev_NP-12me'!AT225</f>
        <v>0</v>
      </c>
      <c r="K189" s="665">
        <f>'[9]Rev_NP-12me'!AU225</f>
        <v>0</v>
      </c>
      <c r="L189" s="665">
        <f>'[9]Rev_NP-12me'!AW225</f>
        <v>0</v>
      </c>
      <c r="M189" s="664">
        <f t="shared" si="4"/>
        <v>0</v>
      </c>
    </row>
    <row r="190" spans="2:13" ht="14.4" x14ac:dyDescent="0.25">
      <c r="B190" s="680" t="s">
        <v>1102</v>
      </c>
      <c r="C190" s="579"/>
      <c r="D190" s="665">
        <f>'[9]Rev_NP-12me'!AJ226</f>
        <v>0</v>
      </c>
      <c r="E190" s="665">
        <f>'[9]Rev_NP-12me'!AK226</f>
        <v>0</v>
      </c>
      <c r="F190" s="665">
        <f>'[9]Rev_NP-12me'!AQ226</f>
        <v>0</v>
      </c>
      <c r="G190" s="681">
        <f>'[9]Rev_NP-12me'!O226</f>
        <v>0</v>
      </c>
      <c r="H190" s="682">
        <f>'[9]Rev_NP-12me'!P226</f>
        <v>3.5</v>
      </c>
      <c r="I190" s="681">
        <f>'[9]Rev_NP-12me'!AA226</f>
        <v>5000</v>
      </c>
      <c r="J190" s="665">
        <f>'[9]Rev_NP-12me'!AT226</f>
        <v>0</v>
      </c>
      <c r="K190" s="665">
        <f>'[9]Rev_NP-12me'!AU226</f>
        <v>0</v>
      </c>
      <c r="L190" s="665">
        <f>'[9]Rev_NP-12me'!AW226</f>
        <v>0</v>
      </c>
      <c r="M190" s="664">
        <f t="shared" si="4"/>
        <v>0</v>
      </c>
    </row>
    <row r="191" spans="2:13" x14ac:dyDescent="0.25">
      <c r="B191" s="677" t="s">
        <v>1079</v>
      </c>
      <c r="C191" s="579"/>
      <c r="D191" s="666">
        <f>'[9]Rev_NP-12me'!AJ227</f>
        <v>0</v>
      </c>
      <c r="E191" s="666">
        <f>'[9]Rev_NP-12me'!AK227</f>
        <v>0</v>
      </c>
      <c r="F191" s="666">
        <f>'[9]Rev_NP-12me'!AQ227</f>
        <v>0</v>
      </c>
      <c r="G191" s="674">
        <f>'[9]Rev_NP-12me'!O227</f>
        <v>0</v>
      </c>
      <c r="H191" s="688">
        <f>'[9]Rev_NP-12me'!P227</f>
        <v>0</v>
      </c>
      <c r="I191" s="674">
        <f>'[9]Rev_NP-12me'!AA227</f>
        <v>0</v>
      </c>
      <c r="J191" s="666">
        <f>'[9]Rev_NP-12me'!AT227</f>
        <v>0</v>
      </c>
      <c r="K191" s="666">
        <f>'[9]Rev_NP-12me'!AU227</f>
        <v>0</v>
      </c>
      <c r="L191" s="666">
        <f>'[9]Rev_NP-12me'!AW227</f>
        <v>0</v>
      </c>
      <c r="M191" s="666">
        <f t="shared" si="4"/>
        <v>0</v>
      </c>
    </row>
    <row r="192" spans="2:13" ht="14.4" x14ac:dyDescent="0.25">
      <c r="B192" s="687" t="s">
        <v>1134</v>
      </c>
      <c r="C192" s="579"/>
      <c r="D192" s="665">
        <f>'[9]Rev_NP-12me'!AJ228</f>
        <v>0</v>
      </c>
      <c r="E192" s="665">
        <f>'[9]Rev_NP-12me'!AK228</f>
        <v>0</v>
      </c>
      <c r="F192" s="665">
        <f>'[9]Rev_NP-12me'!AQ228</f>
        <v>0</v>
      </c>
      <c r="G192" s="681">
        <f>'[9]Rev_NP-12me'!O228</f>
        <v>500</v>
      </c>
      <c r="H192" s="682">
        <f>'[9]Rev_NP-12me'!P228</f>
        <v>7.45</v>
      </c>
      <c r="I192" s="681">
        <f>'[9]Rev_NP-12me'!AA228</f>
        <v>5000</v>
      </c>
      <c r="J192" s="665">
        <f>'[9]Rev_NP-12me'!AT228</f>
        <v>0</v>
      </c>
      <c r="K192" s="665">
        <f>'[9]Rev_NP-12me'!AU228</f>
        <v>0</v>
      </c>
      <c r="L192" s="665">
        <f>'[9]Rev_NP-12me'!AW228</f>
        <v>0</v>
      </c>
      <c r="M192" s="664">
        <f t="shared" si="4"/>
        <v>0</v>
      </c>
    </row>
    <row r="193" spans="2:13" ht="14.4" x14ac:dyDescent="0.25">
      <c r="B193" s="687" t="s">
        <v>1100</v>
      </c>
      <c r="C193" s="579"/>
      <c r="D193" s="665">
        <f>'[9]Rev_NP-12me'!AJ229</f>
        <v>0</v>
      </c>
      <c r="E193" s="665">
        <f>'[9]Rev_NP-12me'!AK229</f>
        <v>0</v>
      </c>
      <c r="F193" s="665">
        <f>'[9]Rev_NP-12me'!AQ229</f>
        <v>0</v>
      </c>
      <c r="G193" s="681">
        <f>'[9]Rev_NP-12me'!O229</f>
        <v>0</v>
      </c>
      <c r="H193" s="682">
        <f>'[9]Rev_NP-12me'!P229</f>
        <v>8.4499999999999993</v>
      </c>
      <c r="I193" s="681">
        <f>'[9]Rev_NP-12me'!AA229</f>
        <v>5000</v>
      </c>
      <c r="J193" s="665">
        <f>'[9]Rev_NP-12me'!AT229</f>
        <v>0</v>
      </c>
      <c r="K193" s="665">
        <f>'[9]Rev_NP-12me'!AU229</f>
        <v>0</v>
      </c>
      <c r="L193" s="665">
        <f>'[9]Rev_NP-12me'!AW229</f>
        <v>0</v>
      </c>
      <c r="M193" s="664">
        <f t="shared" si="4"/>
        <v>0</v>
      </c>
    </row>
    <row r="194" spans="2:13" ht="14.4" x14ac:dyDescent="0.25">
      <c r="B194" s="687" t="s">
        <v>1101</v>
      </c>
      <c r="C194" s="579"/>
      <c r="D194" s="665">
        <f>'[9]Rev_NP-12me'!AJ230</f>
        <v>0</v>
      </c>
      <c r="E194" s="665">
        <f>'[9]Rev_NP-12me'!AK230</f>
        <v>0</v>
      </c>
      <c r="F194" s="665">
        <f>'[9]Rev_NP-12me'!AQ230</f>
        <v>0</v>
      </c>
      <c r="G194" s="681">
        <f>'[9]Rev_NP-12me'!O230</f>
        <v>0</v>
      </c>
      <c r="H194" s="682">
        <f>'[9]Rev_NP-12me'!P230</f>
        <v>8.4499999999999993</v>
      </c>
      <c r="I194" s="681">
        <f>'[9]Rev_NP-12me'!AA230</f>
        <v>5000</v>
      </c>
      <c r="J194" s="665">
        <f>'[9]Rev_NP-12me'!AT230</f>
        <v>0</v>
      </c>
      <c r="K194" s="665">
        <f>'[9]Rev_NP-12me'!AU230</f>
        <v>0</v>
      </c>
      <c r="L194" s="665">
        <f>'[9]Rev_NP-12me'!AW230</f>
        <v>0</v>
      </c>
      <c r="M194" s="664">
        <f t="shared" si="4"/>
        <v>0</v>
      </c>
    </row>
    <row r="195" spans="2:13" ht="14.4" x14ac:dyDescent="0.25">
      <c r="B195" s="687" t="s">
        <v>1102</v>
      </c>
      <c r="C195" s="579"/>
      <c r="D195" s="665">
        <f>'[9]Rev_NP-12me'!AJ231</f>
        <v>0</v>
      </c>
      <c r="E195" s="665">
        <f>'[9]Rev_NP-12me'!AK231</f>
        <v>0</v>
      </c>
      <c r="F195" s="665">
        <f>'[9]Rev_NP-12me'!AQ231</f>
        <v>0</v>
      </c>
      <c r="G195" s="681">
        <f>'[9]Rev_NP-12me'!O231</f>
        <v>0</v>
      </c>
      <c r="H195" s="682">
        <f>'[9]Rev_NP-12me'!P231</f>
        <v>5.95</v>
      </c>
      <c r="I195" s="681">
        <f>'[9]Rev_NP-12me'!AA231</f>
        <v>5000</v>
      </c>
      <c r="J195" s="665">
        <f>'[9]Rev_NP-12me'!AT231</f>
        <v>0</v>
      </c>
      <c r="K195" s="665">
        <f>'[9]Rev_NP-12me'!AU231</f>
        <v>0</v>
      </c>
      <c r="L195" s="665">
        <f>'[9]Rev_NP-12me'!AW231</f>
        <v>0</v>
      </c>
      <c r="M195" s="664">
        <f t="shared" si="4"/>
        <v>0</v>
      </c>
    </row>
    <row r="196" spans="2:13" x14ac:dyDescent="0.25">
      <c r="B196" s="677" t="s">
        <v>1164</v>
      </c>
      <c r="C196" s="579"/>
      <c r="D196" s="666">
        <f>'[9]Rev_NP-12me'!AJ232</f>
        <v>35</v>
      </c>
      <c r="E196" s="666">
        <f>'[9]Rev_NP-12me'!AK232</f>
        <v>2676.415</v>
      </c>
      <c r="F196" s="666">
        <f>'[9]Rev_NP-12me'!AQ232</f>
        <v>1525.3609561559997</v>
      </c>
      <c r="G196" s="674">
        <f>'[9]Rev_NP-12me'!O232</f>
        <v>0</v>
      </c>
      <c r="H196" s="688">
        <f>'[9]Rev_NP-12me'!P232</f>
        <v>0</v>
      </c>
      <c r="I196" s="674">
        <f>'[9]Rev_NP-12me'!AA232</f>
        <v>0</v>
      </c>
      <c r="J196" s="666">
        <f>'[9]Rev_NP-12me'!AT232</f>
        <v>461.68158750000003</v>
      </c>
      <c r="K196" s="666">
        <f>'[9]Rev_NP-12me'!AU232</f>
        <v>960.97740237827986</v>
      </c>
      <c r="L196" s="666">
        <f>'[9]Rev_NP-12me'!AW232</f>
        <v>0.21</v>
      </c>
      <c r="M196" s="666">
        <f t="shared" si="4"/>
        <v>1422.86898987828</v>
      </c>
    </row>
    <row r="197" spans="2:13" ht="14.4" x14ac:dyDescent="0.25">
      <c r="B197" s="680" t="s">
        <v>1137</v>
      </c>
      <c r="C197" s="579"/>
      <c r="D197" s="665">
        <f>'[9]Rev_NP-12me'!AJ233</f>
        <v>35</v>
      </c>
      <c r="E197" s="665">
        <f>'[9]Rev_NP-12me'!AK233</f>
        <v>2676.415</v>
      </c>
      <c r="F197" s="665">
        <f>'[9]Rev_NP-12me'!AQ233</f>
        <v>1525.3609561559997</v>
      </c>
      <c r="G197" s="681">
        <f>'[9]Rev_NP-12me'!O233</f>
        <v>300</v>
      </c>
      <c r="H197" s="682">
        <f>'[9]Rev_NP-12me'!P233</f>
        <v>6.3</v>
      </c>
      <c r="I197" s="681">
        <f>'[9]Rev_NP-12me'!AA233</f>
        <v>5000</v>
      </c>
      <c r="J197" s="665">
        <f>'[9]Rev_NP-12me'!AT233</f>
        <v>461.68158750000003</v>
      </c>
      <c r="K197" s="665">
        <f>'[9]Rev_NP-12me'!AU233</f>
        <v>960.97740237827986</v>
      </c>
      <c r="L197" s="665">
        <f>'[9]Rev_NP-12me'!AW233</f>
        <v>0.21</v>
      </c>
      <c r="M197" s="664">
        <f t="shared" si="4"/>
        <v>1422.86898987828</v>
      </c>
    </row>
    <row r="198" spans="2:13" ht="14.4" x14ac:dyDescent="0.25">
      <c r="B198" s="680" t="s">
        <v>1165</v>
      </c>
      <c r="C198" s="579"/>
      <c r="D198" s="665">
        <f>'[9]Rev_NP-12me'!AJ234</f>
        <v>0</v>
      </c>
      <c r="E198" s="665">
        <f>'[9]Rev_NP-12me'!AK234</f>
        <v>0</v>
      </c>
      <c r="F198" s="665">
        <f>'[9]Rev_NP-12me'!AQ234</f>
        <v>0</v>
      </c>
      <c r="G198" s="681">
        <f>'[9]Rev_NP-12me'!O234</f>
        <v>300</v>
      </c>
      <c r="H198" s="682">
        <f>'[9]Rev_NP-12me'!P234</f>
        <v>6.3</v>
      </c>
      <c r="I198" s="681">
        <f>'[9]Rev_NP-12me'!AA234</f>
        <v>5000</v>
      </c>
      <c r="J198" s="665">
        <f>'[9]Rev_NP-12me'!AT234</f>
        <v>0</v>
      </c>
      <c r="K198" s="665">
        <f>'[9]Rev_NP-12me'!AU234</f>
        <v>0</v>
      </c>
      <c r="L198" s="665">
        <f>'[9]Rev_NP-12me'!AW234</f>
        <v>0</v>
      </c>
      <c r="M198" s="664">
        <f t="shared" si="4"/>
        <v>0</v>
      </c>
    </row>
    <row r="199" spans="2:13" x14ac:dyDescent="0.25">
      <c r="B199" s="677" t="s">
        <v>1166</v>
      </c>
      <c r="C199" s="579"/>
      <c r="D199" s="666">
        <f>'[9]Rev_NP-12me'!AJ242</f>
        <v>1</v>
      </c>
      <c r="E199" s="666">
        <f>'[9]Rev_NP-12me'!AK242</f>
        <v>5.3079999999999998</v>
      </c>
      <c r="F199" s="666">
        <f>'[9]Rev_NP-12me'!AQ242</f>
        <v>29.878563282553817</v>
      </c>
      <c r="G199" s="674">
        <f>'[9]Rev_NP-12me'!O242</f>
        <v>0</v>
      </c>
      <c r="H199" s="688">
        <f>'[9]Rev_NP-12me'!P242</f>
        <v>0</v>
      </c>
      <c r="I199" s="674">
        <f>'[9]Rev_NP-12me'!AA242</f>
        <v>0</v>
      </c>
      <c r="J199" s="666">
        <f>'[9]Rev_NP-12me'!AT242</f>
        <v>0</v>
      </c>
      <c r="K199" s="666">
        <f>'[9]Rev_NP-12me'!AU242</f>
        <v>18.225923602357827</v>
      </c>
      <c r="L199" s="666">
        <f>'[9]Rev_NP-12me'!AW242</f>
        <v>6.0000000000000001E-3</v>
      </c>
      <c r="M199" s="666">
        <f t="shared" si="4"/>
        <v>18.231923602357828</v>
      </c>
    </row>
    <row r="200" spans="2:13" ht="14.4" x14ac:dyDescent="0.25">
      <c r="B200" s="680" t="s">
        <v>216</v>
      </c>
      <c r="C200" s="579"/>
      <c r="D200" s="665">
        <f>'[9]Rev_NP-12me'!AJ243</f>
        <v>1</v>
      </c>
      <c r="E200" s="665">
        <f>'[9]Rev_NP-12me'!AK243</f>
        <v>5.3079999999999998</v>
      </c>
      <c r="F200" s="665">
        <f>'[9]Rev_NP-12me'!AQ243</f>
        <v>29.878563282553817</v>
      </c>
      <c r="G200" s="681">
        <f>'[9]Rev_NP-12me'!O243</f>
        <v>0</v>
      </c>
      <c r="H200" s="682">
        <f>'[9]Rev_NP-12me'!P243</f>
        <v>6.1</v>
      </c>
      <c r="I200" s="681">
        <f>'[9]Rev_NP-12me'!AA243</f>
        <v>5000</v>
      </c>
      <c r="J200" s="665">
        <f>'[9]Rev_NP-12me'!AT243</f>
        <v>0</v>
      </c>
      <c r="K200" s="665">
        <f>'[9]Rev_NP-12me'!AU243</f>
        <v>18.225923602357827</v>
      </c>
      <c r="L200" s="665">
        <f>'[9]Rev_NP-12me'!AW243</f>
        <v>6.0000000000000001E-3</v>
      </c>
      <c r="M200" s="664">
        <f t="shared" si="4"/>
        <v>18.231923602357828</v>
      </c>
    </row>
    <row r="201" spans="2:13" x14ac:dyDescent="0.25">
      <c r="B201" s="677" t="s">
        <v>1167</v>
      </c>
      <c r="C201" s="579"/>
      <c r="D201" s="666">
        <f>'[9]Rev_NP-12me'!AJ244</f>
        <v>0</v>
      </c>
      <c r="E201" s="666">
        <f>'[9]Rev_NP-12me'!AK244</f>
        <v>0</v>
      </c>
      <c r="F201" s="666">
        <f>'[9]Rev_NP-12me'!AQ244</f>
        <v>0</v>
      </c>
      <c r="G201" s="674">
        <f>'[9]Rev_NP-12me'!O244</f>
        <v>0</v>
      </c>
      <c r="H201" s="688">
        <f>'[9]Rev_NP-12me'!P244</f>
        <v>0</v>
      </c>
      <c r="I201" s="674">
        <f>'[9]Rev_NP-12me'!AA244</f>
        <v>5000</v>
      </c>
      <c r="J201" s="666">
        <f>'[9]Rev_NP-12me'!AT244</f>
        <v>0</v>
      </c>
      <c r="K201" s="666">
        <f>'[9]Rev_NP-12me'!AU244</f>
        <v>0</v>
      </c>
      <c r="L201" s="666">
        <f>'[9]Rev_NP-12me'!AW244</f>
        <v>0</v>
      </c>
      <c r="M201" s="664">
        <f t="shared" si="4"/>
        <v>0</v>
      </c>
    </row>
    <row r="202" spans="2:13" x14ac:dyDescent="0.25">
      <c r="B202" s="694" t="s">
        <v>1168</v>
      </c>
      <c r="C202" s="579"/>
      <c r="D202" s="666">
        <f>'[9]Rev_NP-12me'!AJ235</f>
        <v>14</v>
      </c>
      <c r="E202" s="666">
        <f>'[9]Rev_NP-12me'!AK235</f>
        <v>203.5</v>
      </c>
      <c r="F202" s="666">
        <f>'[9]Rev_NP-12me'!AQ235</f>
        <v>680.75377750250368</v>
      </c>
      <c r="G202" s="674">
        <f>'[9]Rev_NP-12me'!O235</f>
        <v>0</v>
      </c>
      <c r="H202" s="688">
        <f>'[9]Rev_NP-12me'!P235</f>
        <v>0</v>
      </c>
      <c r="I202" s="674">
        <f>'[9]Rev_NP-12me'!AA235</f>
        <v>0</v>
      </c>
      <c r="J202" s="666">
        <f>'[9]Rev_NP-12me'!AT235</f>
        <v>97.68</v>
      </c>
      <c r="K202" s="666">
        <f>'[9]Rev_NP-12me'!AU235</f>
        <v>343.78065763876435</v>
      </c>
      <c r="L202" s="666">
        <f>'[9]Rev_NP-12me'!AW235</f>
        <v>8.4000000000000005E-2</v>
      </c>
      <c r="M202" s="666">
        <f t="shared" si="4"/>
        <v>441.54465763876436</v>
      </c>
    </row>
    <row r="203" spans="2:13" ht="14.4" x14ac:dyDescent="0.25">
      <c r="B203" s="680" t="s">
        <v>1169</v>
      </c>
      <c r="C203" s="579"/>
      <c r="D203" s="665">
        <f>'[9]Rev_NP-12me'!AJ236</f>
        <v>14</v>
      </c>
      <c r="E203" s="665">
        <f>'[9]Rev_NP-12me'!AK236</f>
        <v>203.5</v>
      </c>
      <c r="F203" s="665">
        <f>'[9]Rev_NP-12me'!AQ236</f>
        <v>680.75377750250368</v>
      </c>
      <c r="G203" s="681">
        <f>'[9]Rev_NP-12me'!O236</f>
        <v>500</v>
      </c>
      <c r="H203" s="682">
        <f>'[9]Rev_NP-12me'!P236</f>
        <v>5.05</v>
      </c>
      <c r="I203" s="681">
        <f>'[9]Rev_NP-12me'!AA236</f>
        <v>5000</v>
      </c>
      <c r="J203" s="665">
        <f>'[9]Rev_NP-12me'!AT236</f>
        <v>97.68</v>
      </c>
      <c r="K203" s="665">
        <f>'[9]Rev_NP-12me'!AU236</f>
        <v>343.78065763876435</v>
      </c>
      <c r="L203" s="665">
        <f>'[9]Rev_NP-12me'!AW236</f>
        <v>8.4000000000000005E-2</v>
      </c>
      <c r="M203" s="664">
        <f t="shared" si="4"/>
        <v>441.54465763876436</v>
      </c>
    </row>
    <row r="204" spans="2:13" ht="14.4" x14ac:dyDescent="0.25">
      <c r="B204" s="680" t="s">
        <v>1170</v>
      </c>
      <c r="C204" s="579"/>
      <c r="D204" s="665">
        <f>'[9]Rev_NP-12me'!AJ237</f>
        <v>0</v>
      </c>
      <c r="E204" s="665">
        <f>'[9]Rev_NP-12me'!AK237</f>
        <v>0</v>
      </c>
      <c r="F204" s="665">
        <f>'[9]Rev_NP-12me'!AQ237</f>
        <v>0</v>
      </c>
      <c r="G204" s="681">
        <f>'[9]Rev_NP-12me'!O237</f>
        <v>0</v>
      </c>
      <c r="H204" s="682">
        <f>'[9]Rev_NP-12me'!P237</f>
        <v>0</v>
      </c>
      <c r="I204" s="681">
        <f>'[9]Rev_NP-12me'!AA237</f>
        <v>5000</v>
      </c>
      <c r="J204" s="665">
        <f>'[9]Rev_NP-12me'!AT237</f>
        <v>0</v>
      </c>
      <c r="K204" s="665">
        <f>'[9]Rev_NP-12me'!AU237</f>
        <v>0</v>
      </c>
      <c r="L204" s="665">
        <f>'[9]Rev_NP-12me'!AW237</f>
        <v>0</v>
      </c>
      <c r="M204" s="664">
        <f t="shared" si="4"/>
        <v>0</v>
      </c>
    </row>
    <row r="205" spans="2:13" ht="14.4" x14ac:dyDescent="0.25">
      <c r="B205" s="680" t="s">
        <v>1171</v>
      </c>
      <c r="C205" s="579"/>
      <c r="D205" s="665">
        <f>'[9]Rev_NP-12me'!AJ238</f>
        <v>0</v>
      </c>
      <c r="E205" s="665">
        <f>'[9]Rev_NP-12me'!AK238</f>
        <v>0</v>
      </c>
      <c r="F205" s="665">
        <f>'[9]Rev_NP-12me'!AQ238</f>
        <v>0</v>
      </c>
      <c r="G205" s="681">
        <f>'[9]Rev_NP-12me'!O238</f>
        <v>500</v>
      </c>
      <c r="H205" s="682">
        <f>'[9]Rev_NP-12me'!P238</f>
        <v>4.95</v>
      </c>
      <c r="I205" s="681">
        <f>'[9]Rev_NP-12me'!AA238</f>
        <v>5000</v>
      </c>
      <c r="J205" s="665">
        <f>'[9]Rev_NP-12me'!AT238</f>
        <v>0</v>
      </c>
      <c r="K205" s="665">
        <f>'[9]Rev_NP-12me'!AU238</f>
        <v>0</v>
      </c>
      <c r="L205" s="665">
        <f>'[9]Rev_NP-12me'!AW238</f>
        <v>0</v>
      </c>
      <c r="M205" s="664">
        <f t="shared" si="4"/>
        <v>0</v>
      </c>
    </row>
    <row r="206" spans="2:13" ht="14.4" x14ac:dyDescent="0.25">
      <c r="B206" s="680" t="s">
        <v>1172</v>
      </c>
      <c r="C206" s="579"/>
      <c r="D206" s="665">
        <f>'[9]Rev_NP-12me'!AJ239</f>
        <v>0</v>
      </c>
      <c r="E206" s="665">
        <f>'[9]Rev_NP-12me'!AK239</f>
        <v>0</v>
      </c>
      <c r="F206" s="665">
        <f>'[9]Rev_NP-12me'!AQ239</f>
        <v>0</v>
      </c>
      <c r="G206" s="681">
        <f>'[9]Rev_NP-12me'!O239</f>
        <v>500</v>
      </c>
      <c r="H206" s="682">
        <f>'[9]Rev_NP-12me'!P239</f>
        <v>4.95</v>
      </c>
      <c r="I206" s="681">
        <f>'[9]Rev_NP-12me'!AA239</f>
        <v>5000</v>
      </c>
      <c r="J206" s="665">
        <f>'[9]Rev_NP-12me'!AT239</f>
        <v>0</v>
      </c>
      <c r="K206" s="665">
        <f>'[9]Rev_NP-12me'!AU239</f>
        <v>0</v>
      </c>
      <c r="L206" s="665">
        <f>'[9]Rev_NP-12me'!AW239</f>
        <v>0</v>
      </c>
      <c r="M206" s="664">
        <f t="shared" si="4"/>
        <v>0</v>
      </c>
    </row>
    <row r="207" spans="2:13" x14ac:dyDescent="0.25">
      <c r="B207" s="677" t="s">
        <v>811</v>
      </c>
      <c r="C207" s="579"/>
      <c r="D207" s="666">
        <f>'[9]Rev_NP-12me'!AJ240</f>
        <v>2</v>
      </c>
      <c r="E207" s="666">
        <f>'[9]Rev_NP-12me'!AK240</f>
        <v>30</v>
      </c>
      <c r="F207" s="666">
        <f>'[9]Rev_NP-12me'!AQ240</f>
        <v>66.945765103448267</v>
      </c>
      <c r="G207" s="674">
        <f>'[9]Rev_NP-12me'!O240</f>
        <v>285</v>
      </c>
      <c r="H207" s="688">
        <f>'[9]Rev_NP-12me'!P240</f>
        <v>7.3</v>
      </c>
      <c r="I207" s="674">
        <f>'[9]Rev_NP-12me'!AA240</f>
        <v>5000</v>
      </c>
      <c r="J207" s="666">
        <f>'[9]Rev_NP-12me'!AT240</f>
        <v>8.2080000000000002</v>
      </c>
      <c r="K207" s="666">
        <f>'[9]Rev_NP-12me'!AU240</f>
        <v>48.870408525517234</v>
      </c>
      <c r="L207" s="666">
        <f>'[9]Rev_NP-12me'!AW240</f>
        <v>1.2E-2</v>
      </c>
      <c r="M207" s="666">
        <f t="shared" si="4"/>
        <v>57.090408525517233</v>
      </c>
    </row>
    <row r="208" spans="2:13" x14ac:dyDescent="0.25">
      <c r="B208" s="677" t="s">
        <v>813</v>
      </c>
      <c r="C208" s="579"/>
      <c r="D208" s="666">
        <f>'[9]Rev_NP-12me'!AJ241</f>
        <v>0</v>
      </c>
      <c r="E208" s="666">
        <f>'[9]Rev_NP-12me'!AK241</f>
        <v>0</v>
      </c>
      <c r="F208" s="666">
        <f>'[9]Rev_NP-12me'!AQ241</f>
        <v>0</v>
      </c>
      <c r="G208" s="674">
        <f>'[9]Rev_NP-12me'!O241</f>
        <v>500</v>
      </c>
      <c r="H208" s="688">
        <f>'[9]Rev_NP-12me'!P241</f>
        <v>10.8</v>
      </c>
      <c r="I208" s="674">
        <f>'[9]Rev_NP-12me'!AA241</f>
        <v>5000</v>
      </c>
      <c r="J208" s="666">
        <f>'[9]Rev_NP-12me'!AT241</f>
        <v>0</v>
      </c>
      <c r="K208" s="666">
        <f>'[9]Rev_NP-12me'!AU241</f>
        <v>0</v>
      </c>
      <c r="L208" s="666">
        <f>'[9]Rev_NP-12me'!AW241</f>
        <v>0</v>
      </c>
      <c r="M208" s="666">
        <f t="shared" si="4"/>
        <v>0</v>
      </c>
    </row>
    <row r="209" spans="2:13" x14ac:dyDescent="0.25">
      <c r="B209" s="689" t="s">
        <v>1173</v>
      </c>
      <c r="C209" s="579"/>
      <c r="D209" s="666">
        <f>SUM(D167,D175,D180,D181,D186,D191,D196,D199,D201,D202,D207,D208)</f>
        <v>74</v>
      </c>
      <c r="E209" s="666">
        <f>SUM(E167,E175,E180,E181,E186,E191,E196,E199,E201,E202,E207,E208)</f>
        <v>3141.893</v>
      </c>
      <c r="F209" s="666">
        <f>SUM(F167,F175,F180,F181,F186,F191,F196,F199,F201,F202,F207,F208)</f>
        <v>2955.5084318268446</v>
      </c>
      <c r="G209" s="664"/>
      <c r="H209" s="664"/>
      <c r="I209" s="664"/>
      <c r="J209" s="666">
        <f>SUM(J167,J175,J180,J181,J186,J191,J196,J199,J201,J202,J207,J208)</f>
        <v>676.37118750000002</v>
      </c>
      <c r="K209" s="666">
        <f>SUM(K167,K175,K180,K181,K186,K191,K196,K199,K201,K202,K207,K208)</f>
        <v>1792.0365816591166</v>
      </c>
      <c r="L209" s="666">
        <f>SUM(L167,L175,L180,L181,L186,L191,L196,L199,L201,L202,L207,L208)</f>
        <v>0.44400000000000001</v>
      </c>
      <c r="M209" s="666">
        <f>SUM(M167,M175,M180,M181,M186,M191,M196,M199,M201,M202,M207,M208)</f>
        <v>2468.8517691591169</v>
      </c>
    </row>
    <row r="210" spans="2:13" x14ac:dyDescent="0.25">
      <c r="B210" s="689"/>
      <c r="C210" s="579"/>
      <c r="D210" s="664"/>
      <c r="E210" s="664"/>
      <c r="F210" s="664"/>
      <c r="G210" s="664"/>
      <c r="H210" s="664"/>
      <c r="I210" s="664"/>
      <c r="J210" s="664"/>
      <c r="K210" s="664"/>
      <c r="L210" s="664"/>
      <c r="M210" s="664"/>
    </row>
    <row r="211" spans="2:13" x14ac:dyDescent="0.25">
      <c r="B211" s="663" t="s">
        <v>1174</v>
      </c>
      <c r="C211" s="579"/>
      <c r="D211" s="666">
        <f>D120+D164+D209</f>
        <v>4014</v>
      </c>
      <c r="E211" s="666">
        <f>E120+E164+E209</f>
        <v>4733.91273</v>
      </c>
      <c r="F211" s="666">
        <f>F120+F164+F209</f>
        <v>6655.022706239617</v>
      </c>
      <c r="G211" s="666"/>
      <c r="H211" s="666"/>
      <c r="I211" s="666"/>
      <c r="J211" s="666">
        <f>J120+J164+J209</f>
        <v>1053.22916235</v>
      </c>
      <c r="K211" s="666">
        <f>K120+K164+K209</f>
        <v>4177.3976317106199</v>
      </c>
      <c r="L211" s="666">
        <f>L120+L164+L209</f>
        <v>9.9954000000000001</v>
      </c>
      <c r="M211" s="666">
        <f>M120+M164+M209</f>
        <v>5240.6221940606201</v>
      </c>
    </row>
    <row r="212" spans="2:13" x14ac:dyDescent="0.25">
      <c r="B212" s="663" t="s">
        <v>1175</v>
      </c>
      <c r="C212" s="579"/>
      <c r="D212" s="666">
        <f>D211+D70</f>
        <v>6365527</v>
      </c>
      <c r="E212" s="695">
        <f>E211+E70</f>
        <v>16796.086590565257</v>
      </c>
      <c r="F212" s="666">
        <f>F211+F70</f>
        <v>23951.373098901837</v>
      </c>
      <c r="G212" s="666"/>
      <c r="H212" s="666"/>
      <c r="I212" s="666"/>
      <c r="J212" s="695">
        <f>J211+J70</f>
        <v>1271.9517599998369</v>
      </c>
      <c r="K212" s="695">
        <f>K211+K70</f>
        <v>7708.5454019668978</v>
      </c>
      <c r="L212" s="695">
        <f>L211+L70</f>
        <v>440.27318999999994</v>
      </c>
      <c r="M212" s="695">
        <f>M211+M70</f>
        <v>9420.7703519667339</v>
      </c>
    </row>
    <row r="213" spans="2:13" hidden="1" x14ac:dyDescent="0.25"/>
    <row r="214" spans="2:13" hidden="1" x14ac:dyDescent="0.25">
      <c r="D214" s="589" t="s">
        <v>36</v>
      </c>
      <c r="E214" s="571"/>
    </row>
    <row r="215" spans="2:13" hidden="1" x14ac:dyDescent="0.25">
      <c r="D215" s="591">
        <v>1</v>
      </c>
      <c r="E215" s="571" t="s">
        <v>984</v>
      </c>
    </row>
    <row r="216" spans="2:13" hidden="1" x14ac:dyDescent="0.25">
      <c r="D216" s="591">
        <f>D215+1</f>
        <v>2</v>
      </c>
      <c r="E216" s="571" t="s">
        <v>985</v>
      </c>
    </row>
    <row r="217" spans="2:13" hidden="1" x14ac:dyDescent="0.25"/>
  </sheetData>
  <mergeCells count="12">
    <mergeCell ref="B8:C8"/>
    <mergeCell ref="B72:C72"/>
    <mergeCell ref="O76:P76"/>
    <mergeCell ref="B2:N2"/>
    <mergeCell ref="B5:C7"/>
    <mergeCell ref="D5:D6"/>
    <mergeCell ref="E5:E6"/>
    <mergeCell ref="F5:F6"/>
    <mergeCell ref="G5:H5"/>
    <mergeCell ref="I5:I6"/>
    <mergeCell ref="J5:M5"/>
    <mergeCell ref="B3:M4"/>
  </mergeCells>
  <pageMargins left="0.7" right="0.7" top="0.75" bottom="0.75" header="0.3" footer="0.3"/>
  <pageSetup paperSize="9" scale="7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P219"/>
  <sheetViews>
    <sheetView showGridLines="0" view="pageBreakPreview" topLeftCell="B154" zoomScale="60" zoomScaleNormal="80" workbookViewId="0">
      <selection activeCell="K17" sqref="K17"/>
    </sheetView>
  </sheetViews>
  <sheetFormatPr defaultColWidth="9.109375" defaultRowHeight="13.8" x14ac:dyDescent="0.25"/>
  <cols>
    <col min="1" max="1" width="9.109375" style="698"/>
    <col min="2" max="2" width="33" style="698" customWidth="1"/>
    <col min="3" max="3" width="38.6640625" style="698" customWidth="1"/>
    <col min="4" max="4" width="13.44140625" style="698" customWidth="1"/>
    <col min="5" max="5" width="11.44140625" style="698" customWidth="1"/>
    <col min="6" max="6" width="11" style="698" customWidth="1"/>
    <col min="7" max="7" width="12.5546875" style="698" customWidth="1"/>
    <col min="8" max="9" width="10.5546875" style="698" customWidth="1"/>
    <col min="10" max="10" width="14.44140625" style="698" customWidth="1"/>
    <col min="11" max="12" width="11.6640625" style="698" customWidth="1"/>
    <col min="13" max="13" width="14.109375" style="698" customWidth="1"/>
    <col min="14" max="14" width="9.109375" style="698"/>
    <col min="15" max="15" width="13.5546875" style="698" customWidth="1"/>
    <col min="16" max="16" width="33.88671875" style="698" customWidth="1"/>
    <col min="17" max="16384" width="9.109375" style="698"/>
  </cols>
  <sheetData>
    <row r="2" spans="2:14" x14ac:dyDescent="0.25">
      <c r="B2" s="890" t="s">
        <v>160</v>
      </c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</row>
    <row r="3" spans="2:14" ht="14.25" customHeight="1" x14ac:dyDescent="0.25">
      <c r="B3" s="928" t="s">
        <v>1216</v>
      </c>
      <c r="C3" s="928"/>
      <c r="D3" s="928"/>
      <c r="E3" s="928"/>
      <c r="F3" s="928"/>
      <c r="G3" s="928"/>
      <c r="H3" s="928"/>
      <c r="I3" s="928"/>
      <c r="J3" s="928"/>
      <c r="K3" s="928"/>
      <c r="L3" s="928"/>
      <c r="M3" s="928"/>
    </row>
    <row r="5" spans="2:14" x14ac:dyDescent="0.25">
      <c r="B5" s="922" t="s">
        <v>163</v>
      </c>
      <c r="C5" s="923"/>
      <c r="D5" s="919" t="s">
        <v>987</v>
      </c>
      <c r="E5" s="919" t="s">
        <v>988</v>
      </c>
      <c r="F5" s="921" t="s">
        <v>770</v>
      </c>
      <c r="G5" s="921" t="s">
        <v>989</v>
      </c>
      <c r="H5" s="921"/>
      <c r="I5" s="919" t="s">
        <v>990</v>
      </c>
      <c r="J5" s="921" t="s">
        <v>992</v>
      </c>
      <c r="K5" s="921"/>
      <c r="L5" s="921"/>
      <c r="M5" s="921"/>
    </row>
    <row r="6" spans="2:14" ht="63" customHeight="1" x14ac:dyDescent="0.25">
      <c r="B6" s="924"/>
      <c r="C6" s="925"/>
      <c r="D6" s="919"/>
      <c r="E6" s="919"/>
      <c r="F6" s="921"/>
      <c r="G6" s="658" t="s">
        <v>993</v>
      </c>
      <c r="H6" s="658" t="s">
        <v>994</v>
      </c>
      <c r="I6" s="919"/>
      <c r="J6" s="658" t="s">
        <v>993</v>
      </c>
      <c r="K6" s="658" t="s">
        <v>994</v>
      </c>
      <c r="L6" s="658" t="s">
        <v>990</v>
      </c>
      <c r="M6" s="659" t="s">
        <v>251</v>
      </c>
    </row>
    <row r="7" spans="2:14" ht="57.75" customHeight="1" x14ac:dyDescent="0.25">
      <c r="B7" s="926"/>
      <c r="C7" s="927"/>
      <c r="D7" s="699" t="s">
        <v>1111</v>
      </c>
      <c r="E7" s="699" t="s">
        <v>995</v>
      </c>
      <c r="F7" s="699" t="s">
        <v>996</v>
      </c>
      <c r="G7" s="699" t="s">
        <v>997</v>
      </c>
      <c r="H7" s="700" t="s">
        <v>998</v>
      </c>
      <c r="I7" s="699" t="s">
        <v>997</v>
      </c>
      <c r="J7" s="659" t="s">
        <v>682</v>
      </c>
      <c r="K7" s="659" t="s">
        <v>682</v>
      </c>
      <c r="L7" s="659" t="s">
        <v>682</v>
      </c>
      <c r="M7" s="659" t="s">
        <v>682</v>
      </c>
    </row>
    <row r="8" spans="2:14" x14ac:dyDescent="0.25">
      <c r="B8" s="773" t="s">
        <v>781</v>
      </c>
      <c r="C8" s="774"/>
      <c r="J8" s="701"/>
      <c r="K8" s="701"/>
      <c r="L8" s="701"/>
      <c r="M8" s="701"/>
    </row>
    <row r="9" spans="2:14" ht="14.4" x14ac:dyDescent="0.25">
      <c r="B9" s="663" t="s">
        <v>899</v>
      </c>
      <c r="C9" s="579"/>
      <c r="D9" s="674">
        <f>'[9]Rev_NP-12me'!AJ10</f>
        <v>4253453</v>
      </c>
      <c r="E9" s="674">
        <f>'[9]Rev_NP-12me'!AK10</f>
        <v>4788.0126213445601</v>
      </c>
      <c r="F9" s="674">
        <f>'[9]Rev_NP-12me'!AQ10</f>
        <v>5004.1429709956828</v>
      </c>
      <c r="G9" s="669"/>
      <c r="H9" s="681"/>
      <c r="I9" s="669"/>
      <c r="J9" s="674">
        <f>'[9]Rev_NP-12me'!BN10</f>
        <v>58.746459594038548</v>
      </c>
      <c r="K9" s="674">
        <f>'[9]Rev_NP-12me'!BO10</f>
        <v>1896.417459617079</v>
      </c>
      <c r="L9" s="674">
        <f>'[9]Rev_NP-12me'!BQ10</f>
        <v>309.89197200000001</v>
      </c>
      <c r="M9" s="674">
        <f t="shared" ref="M9:M40" si="0">SUM(J9:L9)</f>
        <v>2265.0558912111173</v>
      </c>
    </row>
    <row r="10" spans="2:14" ht="14.4" x14ac:dyDescent="0.25">
      <c r="B10" s="667" t="s">
        <v>900</v>
      </c>
      <c r="C10" s="579"/>
      <c r="D10" s="669">
        <f>'[9]Rev_NP-12me'!AJ11</f>
        <v>3222582</v>
      </c>
      <c r="E10" s="669">
        <f>'[9]Rev_NP-12me'!AK11</f>
        <v>2624.8564669773014</v>
      </c>
      <c r="F10" s="669">
        <f>'[9]Rev_NP-12me'!AQ11</f>
        <v>2137.2662371660895</v>
      </c>
      <c r="G10" s="669"/>
      <c r="H10" s="681"/>
      <c r="I10" s="669"/>
      <c r="J10" s="669">
        <f>'[9]Rev_NP-12me'!BN11</f>
        <v>31.498277603727615</v>
      </c>
      <c r="K10" s="669">
        <f>'[9]Rev_NP-12me'!BO11</f>
        <v>460.83167326347865</v>
      </c>
      <c r="L10" s="669">
        <f>'[9]Rev_NP-12me'!BQ11</f>
        <v>192.86188200000001</v>
      </c>
      <c r="M10" s="669">
        <f t="shared" si="0"/>
        <v>685.19183286720624</v>
      </c>
    </row>
    <row r="11" spans="2:14" ht="14.4" x14ac:dyDescent="0.25">
      <c r="B11" s="668" t="s">
        <v>901</v>
      </c>
      <c r="C11" s="579"/>
      <c r="D11" s="681">
        <f>'[9]Rev_NP-12me'!AJ12</f>
        <v>2090605</v>
      </c>
      <c r="E11" s="681">
        <f>'[9]Rev_NP-12me'!AK12</f>
        <v>1340.8078185025824</v>
      </c>
      <c r="F11" s="681">
        <f>'[9]Rev_NP-12me'!AQ12</f>
        <v>1754.0944370261652</v>
      </c>
      <c r="G11" s="669">
        <f>'[9]Rev_NP-12me'!S12</f>
        <v>10</v>
      </c>
      <c r="H11" s="670">
        <f>'[9]Rev_NP-12me'!T12</f>
        <v>1.95</v>
      </c>
      <c r="I11" s="669">
        <f>'[9]Rev_NP-12me'!AC12</f>
        <v>40</v>
      </c>
      <c r="J11" s="681">
        <f>'[9]Rev_NP-12me'!BN12</f>
        <v>16.089693822030988</v>
      </c>
      <c r="K11" s="681">
        <f>'[9]Rev_NP-12me'!BO12</f>
        <v>342.04841522010219</v>
      </c>
      <c r="L11" s="681">
        <f>'[9]Rev_NP-12me'!BQ12</f>
        <v>99.027792000000005</v>
      </c>
      <c r="M11" s="669">
        <f t="shared" si="0"/>
        <v>457.16590104213321</v>
      </c>
    </row>
    <row r="12" spans="2:14" ht="14.4" x14ac:dyDescent="0.25">
      <c r="B12" s="668" t="s">
        <v>903</v>
      </c>
      <c r="C12" s="579"/>
      <c r="D12" s="681">
        <f>'[9]Rev_NP-12me'!AJ13</f>
        <v>1131977</v>
      </c>
      <c r="E12" s="681">
        <f>'[9]Rev_NP-12me'!AK13</f>
        <v>1284.0486484747191</v>
      </c>
      <c r="F12" s="681">
        <f>'[9]Rev_NP-12me'!AQ13</f>
        <v>383.17180013992407</v>
      </c>
      <c r="G12" s="669">
        <f>'[9]Rev_NP-12me'!S13</f>
        <v>10</v>
      </c>
      <c r="H12" s="670">
        <f>'[9]Rev_NP-12me'!T13</f>
        <v>3.1</v>
      </c>
      <c r="I12" s="669">
        <f>'[9]Rev_NP-12me'!AC13</f>
        <v>70</v>
      </c>
      <c r="J12" s="681">
        <f>'[9]Rev_NP-12me'!BN13</f>
        <v>15.408583781696629</v>
      </c>
      <c r="K12" s="681">
        <f>'[9]Rev_NP-12me'!BO13</f>
        <v>118.78325804337646</v>
      </c>
      <c r="L12" s="681">
        <f>'[9]Rev_NP-12me'!BQ13</f>
        <v>93.834090000000003</v>
      </c>
      <c r="M12" s="669">
        <f t="shared" si="0"/>
        <v>228.02593182507309</v>
      </c>
    </row>
    <row r="13" spans="2:14" x14ac:dyDescent="0.25">
      <c r="B13" s="667" t="s">
        <v>904</v>
      </c>
      <c r="C13" s="579"/>
      <c r="D13" s="669">
        <f>'[9]Rev_NP-12me'!AJ14</f>
        <v>708035</v>
      </c>
      <c r="E13" s="669">
        <f>'[9]Rev_NP-12me'!AK14</f>
        <v>1441.3126822371696</v>
      </c>
      <c r="F13" s="669">
        <f>'[9]Rev_NP-12me'!AQ14</f>
        <v>1572.8638749992313</v>
      </c>
      <c r="G13" s="671">
        <f>'[9]Rev_NP-12me'!S14</f>
        <v>0</v>
      </c>
      <c r="H13" s="672">
        <f>'[9]Rev_NP-12me'!T14</f>
        <v>0</v>
      </c>
      <c r="I13" s="671">
        <f>'[9]Rev_NP-12me'!AC14</f>
        <v>0</v>
      </c>
      <c r="J13" s="669">
        <f>'[9]Rev_NP-12me'!BN14</f>
        <v>17.295752186846034</v>
      </c>
      <c r="K13" s="669">
        <f>'[9]Rev_NP-12me'!BO14</f>
        <v>624.11950176719847</v>
      </c>
      <c r="L13" s="669">
        <f>'[9]Rev_NP-12me'!BQ14</f>
        <v>75.460949999999997</v>
      </c>
      <c r="M13" s="669">
        <f t="shared" si="0"/>
        <v>716.87620395404451</v>
      </c>
    </row>
    <row r="14" spans="2:14" ht="14.4" x14ac:dyDescent="0.25">
      <c r="B14" s="668" t="s">
        <v>905</v>
      </c>
      <c r="C14" s="579"/>
      <c r="D14" s="681">
        <f>'[9]Rev_NP-12me'!AJ15</f>
        <v>0</v>
      </c>
      <c r="E14" s="681">
        <f>'[9]Rev_NP-12me'!AK15</f>
        <v>0</v>
      </c>
      <c r="F14" s="681">
        <f>'[9]Rev_NP-12me'!AQ15</f>
        <v>934.67970166023224</v>
      </c>
      <c r="G14" s="669">
        <f>'[9]Rev_NP-12me'!S15</f>
        <v>10</v>
      </c>
      <c r="H14" s="670">
        <f>'[9]Rev_NP-12me'!T15</f>
        <v>3.4</v>
      </c>
      <c r="I14" s="671">
        <f>'[9]Rev_NP-12me'!AC15</f>
        <v>0</v>
      </c>
      <c r="J14" s="681">
        <f>'[9]Rev_NP-12me'!BN15</f>
        <v>0</v>
      </c>
      <c r="K14" s="681">
        <f>'[9]Rev_NP-12me'!BO15</f>
        <v>317.79109856447894</v>
      </c>
      <c r="L14" s="681">
        <f>'[9]Rev_NP-12me'!BQ15</f>
        <v>0</v>
      </c>
      <c r="M14" s="669">
        <f t="shared" si="0"/>
        <v>317.79109856447894</v>
      </c>
    </row>
    <row r="15" spans="2:14" ht="14.4" x14ac:dyDescent="0.25">
      <c r="B15" s="668" t="s">
        <v>906</v>
      </c>
      <c r="C15" s="579"/>
      <c r="D15" s="681">
        <f>'[9]Rev_NP-12me'!AJ16</f>
        <v>708035</v>
      </c>
      <c r="E15" s="681">
        <f>'[9]Rev_NP-12me'!AK16</f>
        <v>1441.3126822371696</v>
      </c>
      <c r="F15" s="681">
        <f>'[9]Rev_NP-12me'!AQ16</f>
        <v>638.18417333899902</v>
      </c>
      <c r="G15" s="669">
        <f>'[9]Rev_NP-12me'!S16</f>
        <v>10</v>
      </c>
      <c r="H15" s="670">
        <f>'[9]Rev_NP-12me'!T16</f>
        <v>4.8</v>
      </c>
      <c r="I15" s="669">
        <f>'[9]Rev_NP-12me'!AC16</f>
        <v>90</v>
      </c>
      <c r="J15" s="681">
        <f>'[9]Rev_NP-12me'!BN16</f>
        <v>17.295752186846034</v>
      </c>
      <c r="K15" s="681">
        <f>'[9]Rev_NP-12me'!BO16</f>
        <v>306.32840320271953</v>
      </c>
      <c r="L15" s="681">
        <f>'[9]Rev_NP-12me'!BQ16</f>
        <v>75.460949999999997</v>
      </c>
      <c r="M15" s="669">
        <f t="shared" si="0"/>
        <v>399.08510538956557</v>
      </c>
    </row>
    <row r="16" spans="2:14" x14ac:dyDescent="0.25">
      <c r="B16" s="667" t="s">
        <v>907</v>
      </c>
      <c r="C16" s="579"/>
      <c r="D16" s="669">
        <f>'[9]Rev_NP-12me'!AJ17</f>
        <v>322836</v>
      </c>
      <c r="E16" s="669">
        <f>'[9]Rev_NP-12me'!AK17</f>
        <v>721.84347213008925</v>
      </c>
      <c r="F16" s="669">
        <f>'[9]Rev_NP-12me'!AQ17</f>
        <v>1294.0128588303619</v>
      </c>
      <c r="G16" s="671">
        <f>'[9]Rev_NP-12me'!S17</f>
        <v>0</v>
      </c>
      <c r="H16" s="672">
        <f>'[9]Rev_NP-12me'!T17</f>
        <v>0</v>
      </c>
      <c r="I16" s="671">
        <f>'[9]Rev_NP-12me'!AC17</f>
        <v>0</v>
      </c>
      <c r="J16" s="669">
        <f>'[9]Rev_NP-12me'!BN17</f>
        <v>9.9524298034649039</v>
      </c>
      <c r="K16" s="669">
        <f>'[9]Rev_NP-12me'!BO17</f>
        <v>811.4662845864018</v>
      </c>
      <c r="L16" s="669">
        <f>'[9]Rev_NP-12me'!BQ17</f>
        <v>41.569139999999997</v>
      </c>
      <c r="M16" s="669">
        <f t="shared" si="0"/>
        <v>862.9878543898667</v>
      </c>
    </row>
    <row r="17" spans="2:13" ht="14.4" x14ac:dyDescent="0.25">
      <c r="B17" s="668" t="s">
        <v>908</v>
      </c>
      <c r="C17" s="579"/>
      <c r="D17" s="681">
        <f>'[9]Rev_NP-12me'!AJ18</f>
        <v>0</v>
      </c>
      <c r="E17" s="681">
        <f>'[9]Rev_NP-12me'!AK18</f>
        <v>0</v>
      </c>
      <c r="F17" s="681">
        <f>'[9]Rev_NP-12me'!AQ18</f>
        <v>842.45931081913943</v>
      </c>
      <c r="G17" s="669">
        <f>'[9]Rev_NP-12me'!S18</f>
        <v>10</v>
      </c>
      <c r="H17" s="670">
        <f>'[9]Rev_NP-12me'!T18</f>
        <v>5.0999999999999996</v>
      </c>
      <c r="I17" s="671">
        <f>'[9]Rev_NP-12me'!AC18</f>
        <v>0</v>
      </c>
      <c r="J17" s="681">
        <f>'[9]Rev_NP-12me'!BN18</f>
        <v>0</v>
      </c>
      <c r="K17" s="681">
        <f>'[9]Rev_NP-12me'!BO18</f>
        <v>429.65424851776106</v>
      </c>
      <c r="L17" s="681">
        <f>'[9]Rev_NP-12me'!BQ18</f>
        <v>0</v>
      </c>
      <c r="M17" s="669">
        <f t="shared" si="0"/>
        <v>429.65424851776106</v>
      </c>
    </row>
    <row r="18" spans="2:13" ht="14.4" x14ac:dyDescent="0.25">
      <c r="B18" s="668" t="s">
        <v>909</v>
      </c>
      <c r="C18" s="579"/>
      <c r="D18" s="681">
        <f>'[9]Rev_NP-12me'!AJ19</f>
        <v>228303</v>
      </c>
      <c r="E18" s="681">
        <f>'[9]Rev_NP-12me'!AK19</f>
        <v>424.5768691655519</v>
      </c>
      <c r="F18" s="681">
        <f>'[9]Rev_NP-12me'!AQ19</f>
        <v>247.28794028469397</v>
      </c>
      <c r="G18" s="669">
        <f>'[9]Rev_NP-12me'!S19</f>
        <v>10</v>
      </c>
      <c r="H18" s="670">
        <f>'[9]Rev_NP-12me'!T19</f>
        <v>7.7</v>
      </c>
      <c r="I18" s="669">
        <f>'[9]Rev_NP-12me'!AC19</f>
        <v>100</v>
      </c>
      <c r="J18" s="681">
        <f>'[9]Rev_NP-12me'!BN19</f>
        <v>5.0949224299866227</v>
      </c>
      <c r="K18" s="681">
        <f>'[9]Rev_NP-12me'!BO19</f>
        <v>190.41171401921434</v>
      </c>
      <c r="L18" s="681">
        <f>'[9]Rev_NP-12me'!BQ19</f>
        <v>27.035640000000001</v>
      </c>
      <c r="M18" s="669">
        <f t="shared" si="0"/>
        <v>222.54227644920095</v>
      </c>
    </row>
    <row r="19" spans="2:13" ht="14.4" x14ac:dyDescent="0.25">
      <c r="B19" s="668" t="s">
        <v>910</v>
      </c>
      <c r="C19" s="579"/>
      <c r="D19" s="681">
        <f>'[9]Rev_NP-12me'!AJ20</f>
        <v>53140</v>
      </c>
      <c r="E19" s="681">
        <f>'[9]Rev_NP-12me'!AK20</f>
        <v>143.43187931812565</v>
      </c>
      <c r="F19" s="681">
        <f>'[9]Rev_NP-12me'!AQ20</f>
        <v>89.428816819840961</v>
      </c>
      <c r="G19" s="669">
        <f>'[9]Rev_NP-12me'!S20</f>
        <v>10</v>
      </c>
      <c r="H19" s="670">
        <f>'[9]Rev_NP-12me'!T20</f>
        <v>9</v>
      </c>
      <c r="I19" s="669">
        <f>'[9]Rev_NP-12me'!AC20</f>
        <v>120</v>
      </c>
      <c r="J19" s="681">
        <f>'[9]Rev_NP-12me'!BN20</f>
        <v>1.7211825518175081</v>
      </c>
      <c r="K19" s="681">
        <f>'[9]Rev_NP-12me'!BO20</f>
        <v>80.485935137856856</v>
      </c>
      <c r="L19" s="681">
        <f>'[9]Rev_NP-12me'!BQ20</f>
        <v>7.5514320000000001</v>
      </c>
      <c r="M19" s="669">
        <f t="shared" si="0"/>
        <v>89.758549689674368</v>
      </c>
    </row>
    <row r="20" spans="2:13" ht="14.4" x14ac:dyDescent="0.25">
      <c r="B20" s="668" t="s">
        <v>911</v>
      </c>
      <c r="C20" s="579"/>
      <c r="D20" s="681">
        <f>'[9]Rev_NP-12me'!AJ21</f>
        <v>36343</v>
      </c>
      <c r="E20" s="681">
        <f>'[9]Rev_NP-12me'!AK21</f>
        <v>126.95330410674848</v>
      </c>
      <c r="F20" s="681">
        <f>'[9]Rev_NP-12me'!AQ21</f>
        <v>78.448079902358728</v>
      </c>
      <c r="G20" s="669">
        <f>'[9]Rev_NP-12me'!S21</f>
        <v>10</v>
      </c>
      <c r="H20" s="670">
        <f>'[9]Rev_NP-12me'!T21</f>
        <v>9.5</v>
      </c>
      <c r="I20" s="669">
        <f>'[9]Rev_NP-12me'!AC21</f>
        <v>140</v>
      </c>
      <c r="J20" s="681">
        <f>'[9]Rev_NP-12me'!BN21</f>
        <v>1.5234396492809816</v>
      </c>
      <c r="K20" s="681">
        <f>'[9]Rev_NP-12me'!BO21</f>
        <v>74.525675907240796</v>
      </c>
      <c r="L20" s="681">
        <f>'[9]Rev_NP-12me'!BQ21</f>
        <v>6.0252359999999996</v>
      </c>
      <c r="M20" s="669">
        <f t="shared" si="0"/>
        <v>82.074351556521776</v>
      </c>
    </row>
    <row r="21" spans="2:13" ht="14.4" x14ac:dyDescent="0.25">
      <c r="B21" s="668" t="s">
        <v>912</v>
      </c>
      <c r="C21" s="579"/>
      <c r="D21" s="681">
        <f>'[9]Rev_NP-12me'!AJ22</f>
        <v>5050</v>
      </c>
      <c r="E21" s="681">
        <f>'[9]Rev_NP-12me'!AK22</f>
        <v>26.88141953966322</v>
      </c>
      <c r="F21" s="681">
        <f>'[9]Rev_NP-12me'!AQ22</f>
        <v>36.388711004328826</v>
      </c>
      <c r="G21" s="669">
        <f>'[9]Rev_NP-12me'!S22</f>
        <v>50</v>
      </c>
      <c r="H21" s="670">
        <f>'[9]Rev_NP-12me'!T22</f>
        <v>10</v>
      </c>
      <c r="I21" s="669">
        <f>'[9]Rev_NP-12me'!AC22</f>
        <v>160</v>
      </c>
      <c r="J21" s="681">
        <f>'[9]Rev_NP-12me'!BN22</f>
        <v>1.6128851723797932</v>
      </c>
      <c r="K21" s="681">
        <f>'[9]Rev_NP-12me'!BO22</f>
        <v>36.388711004328826</v>
      </c>
      <c r="L21" s="681">
        <f>'[9]Rev_NP-12me'!BQ22</f>
        <v>0.95683200000000002</v>
      </c>
      <c r="M21" s="669">
        <f t="shared" si="0"/>
        <v>38.958428176708615</v>
      </c>
    </row>
    <row r="22" spans="2:13" x14ac:dyDescent="0.25">
      <c r="B22" s="663" t="s">
        <v>913</v>
      </c>
      <c r="C22" s="579"/>
      <c r="D22" s="674">
        <f>'[9]Rev_NP-12me'!AJ23</f>
        <v>559269</v>
      </c>
      <c r="E22" s="674">
        <f>'[9]Rev_NP-12me'!AK23</f>
        <v>1242.2418227833746</v>
      </c>
      <c r="F22" s="674">
        <f>'[9]Rev_NP-12me'!AQ23</f>
        <v>1096.1498398291596</v>
      </c>
      <c r="G22" s="671">
        <f>'[9]Rev_NP-12me'!S23</f>
        <v>0</v>
      </c>
      <c r="H22" s="672">
        <f>'[9]Rev_NP-12me'!T23</f>
        <v>0</v>
      </c>
      <c r="I22" s="671">
        <f>'[9]Rev_NP-12me'!AC23</f>
        <v>0</v>
      </c>
      <c r="J22" s="674">
        <f>'[9]Rev_NP-12me'!BN23</f>
        <v>100.89265602219575</v>
      </c>
      <c r="K22" s="674">
        <f>'[9]Rev_NP-12me'!BO23</f>
        <v>1105.0308193805963</v>
      </c>
      <c r="L22" s="674">
        <f>'[9]Rev_NP-12me'!BQ23</f>
        <v>47.105880000000006</v>
      </c>
      <c r="M22" s="674">
        <f t="shared" si="0"/>
        <v>1253.0293554027921</v>
      </c>
    </row>
    <row r="23" spans="2:13" x14ac:dyDescent="0.25">
      <c r="B23" s="667" t="s">
        <v>914</v>
      </c>
      <c r="C23" s="579"/>
      <c r="D23" s="669">
        <f>'[9]Rev_NP-12me'!AJ24</f>
        <v>328729</v>
      </c>
      <c r="E23" s="669">
        <f>'[9]Rev_NP-12me'!AK24</f>
        <v>422.49449459668011</v>
      </c>
      <c r="F23" s="669">
        <f>'[9]Rev_NP-12me'!AQ24</f>
        <v>74.043495779434963</v>
      </c>
      <c r="G23" s="671">
        <f>'[9]Rev_NP-12me'!S24</f>
        <v>0</v>
      </c>
      <c r="H23" s="672">
        <f>'[9]Rev_NP-12me'!T24</f>
        <v>0</v>
      </c>
      <c r="I23" s="671">
        <f>'[9]Rev_NP-12me'!AC24</f>
        <v>0</v>
      </c>
      <c r="J23" s="669">
        <f>'[9]Rev_NP-12me'!BN24</f>
        <v>15.209801805480486</v>
      </c>
      <c r="K23" s="669">
        <f>'[9]Rev_NP-12me'!BO24</f>
        <v>51.83044704560448</v>
      </c>
      <c r="L23" s="669">
        <f>'[9]Rev_NP-12me'!BQ24</f>
        <v>19.276620000000001</v>
      </c>
      <c r="M23" s="669">
        <f t="shared" si="0"/>
        <v>86.316868851084962</v>
      </c>
    </row>
    <row r="24" spans="2:13" ht="14.4" x14ac:dyDescent="0.25">
      <c r="B24" s="702" t="s">
        <v>901</v>
      </c>
      <c r="C24" s="579"/>
      <c r="D24" s="681">
        <f>'[9]Rev_NP-12me'!AJ25</f>
        <v>328729</v>
      </c>
      <c r="E24" s="681">
        <f>'[9]Rev_NP-12me'!AK25</f>
        <v>422.49449459668011</v>
      </c>
      <c r="F24" s="681">
        <f>'[9]Rev_NP-12me'!AQ25</f>
        <v>74.043495779434963</v>
      </c>
      <c r="G24" s="669">
        <f>'[9]Rev_NP-12me'!S25</f>
        <v>30</v>
      </c>
      <c r="H24" s="670">
        <f>'[9]Rev_NP-12me'!T25</f>
        <v>7</v>
      </c>
      <c r="I24" s="669">
        <f>'[9]Rev_NP-12me'!AC25</f>
        <v>50</v>
      </c>
      <c r="J24" s="681">
        <f>'[9]Rev_NP-12me'!BN25</f>
        <v>15.209801805480486</v>
      </c>
      <c r="K24" s="681">
        <f>'[9]Rev_NP-12me'!BO25</f>
        <v>51.83044704560448</v>
      </c>
      <c r="L24" s="681">
        <f>'[9]Rev_NP-12me'!BQ25</f>
        <v>19.276620000000001</v>
      </c>
      <c r="M24" s="669">
        <f t="shared" si="0"/>
        <v>86.316868851084962</v>
      </c>
    </row>
    <row r="25" spans="2:13" x14ac:dyDescent="0.25">
      <c r="B25" s="667" t="s">
        <v>915</v>
      </c>
      <c r="C25" s="579"/>
      <c r="D25" s="669">
        <f>'[9]Rev_NP-12me'!AJ26</f>
        <v>216202</v>
      </c>
      <c r="E25" s="669">
        <f>'[9]Rev_NP-12me'!AK26</f>
        <v>804.71193976933182</v>
      </c>
      <c r="F25" s="669">
        <f>'[9]Rev_NP-12me'!AQ26</f>
        <v>1017.7413998505668</v>
      </c>
      <c r="G25" s="671">
        <f>'[9]Rev_NP-12me'!S26</f>
        <v>0</v>
      </c>
      <c r="H25" s="672">
        <f>'[9]Rev_NP-12me'!T26</f>
        <v>0</v>
      </c>
      <c r="I25" s="671">
        <f>'[9]Rev_NP-12me'!AC26</f>
        <v>0</v>
      </c>
      <c r="J25" s="669">
        <f>'[9]Rev_NP-12me'!BN26</f>
        <v>84.375687001135418</v>
      </c>
      <c r="K25" s="669">
        <f>'[9]Rev_NP-12me'!BO26</f>
        <v>1049.6386299756032</v>
      </c>
      <c r="L25" s="669">
        <f>'[9]Rev_NP-12me'!BQ26</f>
        <v>26.959110000000003</v>
      </c>
      <c r="M25" s="669">
        <f t="shared" si="0"/>
        <v>1160.9734269767387</v>
      </c>
    </row>
    <row r="26" spans="2:13" ht="14.4" x14ac:dyDescent="0.25">
      <c r="B26" s="668" t="s">
        <v>905</v>
      </c>
      <c r="C26" s="579"/>
      <c r="D26" s="681">
        <f>'[9]Rev_NP-12me'!AJ27</f>
        <v>91611</v>
      </c>
      <c r="E26" s="681">
        <f>'[9]Rev_NP-12me'!AK27</f>
        <v>143.63837664856459</v>
      </c>
      <c r="F26" s="681">
        <f>'[9]Rev_NP-12me'!AQ27</f>
        <v>197.30593257815084</v>
      </c>
      <c r="G26" s="669">
        <f>'[9]Rev_NP-12me'!S27</f>
        <v>70</v>
      </c>
      <c r="H26" s="670">
        <f>'[9]Rev_NP-12me'!T27</f>
        <v>8.5</v>
      </c>
      <c r="I26" s="669">
        <f>'[9]Rev_NP-12me'!AC27</f>
        <v>90</v>
      </c>
      <c r="J26" s="681">
        <f>'[9]Rev_NP-12me'!BN27</f>
        <v>12.065623638479424</v>
      </c>
      <c r="K26" s="681">
        <f>'[9]Rev_NP-12me'!BO27</f>
        <v>167.71004269142821</v>
      </c>
      <c r="L26" s="681">
        <f>'[9]Rev_NP-12me'!BQ27</f>
        <v>9.6697260000000007</v>
      </c>
      <c r="M26" s="669">
        <f t="shared" si="0"/>
        <v>189.44539232990763</v>
      </c>
    </row>
    <row r="27" spans="2:13" ht="14.4" x14ac:dyDescent="0.25">
      <c r="B27" s="668" t="s">
        <v>916</v>
      </c>
      <c r="C27" s="579"/>
      <c r="D27" s="681">
        <f>'[9]Rev_NP-12me'!AJ28</f>
        <v>79441</v>
      </c>
      <c r="E27" s="681">
        <f>'[9]Rev_NP-12me'!AK28</f>
        <v>194.96567255100209</v>
      </c>
      <c r="F27" s="681">
        <f>'[9]Rev_NP-12me'!AQ28</f>
        <v>118.73326101652279</v>
      </c>
      <c r="G27" s="669">
        <f>'[9]Rev_NP-12me'!S28</f>
        <v>70</v>
      </c>
      <c r="H27" s="670">
        <f>'[9]Rev_NP-12me'!T28</f>
        <v>9.9</v>
      </c>
      <c r="I27" s="669">
        <f>'[9]Rev_NP-12me'!AC28</f>
        <v>105</v>
      </c>
      <c r="J27" s="681">
        <f>'[9]Rev_NP-12me'!BN28</f>
        <v>16.377116494284177</v>
      </c>
      <c r="K27" s="681">
        <f>'[9]Rev_NP-12me'!BO28</f>
        <v>117.54592840635758</v>
      </c>
      <c r="L27" s="681">
        <f>'[9]Rev_NP-12me'!BQ28</f>
        <v>9.7826400000000007</v>
      </c>
      <c r="M27" s="669">
        <f t="shared" si="0"/>
        <v>143.70568490064176</v>
      </c>
    </row>
    <row r="28" spans="2:13" ht="14.4" x14ac:dyDescent="0.25">
      <c r="B28" s="668" t="s">
        <v>917</v>
      </c>
      <c r="C28" s="579"/>
      <c r="D28" s="681">
        <f>'[9]Rev_NP-12me'!AJ29</f>
        <v>20582</v>
      </c>
      <c r="E28" s="681">
        <f>'[9]Rev_NP-12me'!AK29</f>
        <v>79.15434575133807</v>
      </c>
      <c r="F28" s="681">
        <f>'[9]Rev_NP-12me'!AQ29</f>
        <v>124.82946672775154</v>
      </c>
      <c r="G28" s="669">
        <f>'[9]Rev_NP-12me'!S29</f>
        <v>100</v>
      </c>
      <c r="H28" s="670">
        <f>'[9]Rev_NP-12me'!T29</f>
        <v>10.4</v>
      </c>
      <c r="I28" s="669">
        <f>'[9]Rev_NP-12me'!AC29</f>
        <v>120</v>
      </c>
      <c r="J28" s="681">
        <f>'[9]Rev_NP-12me'!BN29</f>
        <v>9.4985214901605683</v>
      </c>
      <c r="K28" s="681">
        <f>'[9]Rev_NP-12me'!BO29</f>
        <v>129.82264539686159</v>
      </c>
      <c r="L28" s="681">
        <f>'[9]Rev_NP-12me'!BQ29</f>
        <v>2.8966319999999999</v>
      </c>
      <c r="M28" s="669">
        <f t="shared" si="0"/>
        <v>142.21779888702216</v>
      </c>
    </row>
    <row r="29" spans="2:13" ht="14.4" x14ac:dyDescent="0.25">
      <c r="B29" s="668" t="s">
        <v>918</v>
      </c>
      <c r="C29" s="579"/>
      <c r="D29" s="681">
        <f>'[9]Rev_NP-12me'!AJ30</f>
        <v>24568</v>
      </c>
      <c r="E29" s="681">
        <f>'[9]Rev_NP-12me'!AK30</f>
        <v>386.95354481842702</v>
      </c>
      <c r="F29" s="681">
        <f>'[9]Rev_NP-12me'!AQ30</f>
        <v>576.87273952814166</v>
      </c>
      <c r="G29" s="669">
        <f>'[9]Rev_NP-12me'!S30</f>
        <v>100</v>
      </c>
      <c r="H29" s="670">
        <f>'[9]Rev_NP-12me'!T30</f>
        <v>11</v>
      </c>
      <c r="I29" s="669">
        <f>'[9]Rev_NP-12me'!AC30</f>
        <v>160</v>
      </c>
      <c r="J29" s="681">
        <f>'[9]Rev_NP-12me'!BN30</f>
        <v>46.434425378211245</v>
      </c>
      <c r="K29" s="681">
        <f>'[9]Rev_NP-12me'!BO30</f>
        <v>634.56001348095583</v>
      </c>
      <c r="L29" s="681">
        <f>'[9]Rev_NP-12me'!BQ30</f>
        <v>4.610112</v>
      </c>
      <c r="M29" s="669">
        <f t="shared" si="0"/>
        <v>685.60455085916703</v>
      </c>
    </row>
    <row r="30" spans="2:13" x14ac:dyDescent="0.25">
      <c r="B30" s="667" t="s">
        <v>919</v>
      </c>
      <c r="C30" s="579"/>
      <c r="D30" s="669">
        <f>'[9]Rev_NP-12me'!AJ31</f>
        <v>537</v>
      </c>
      <c r="E30" s="669">
        <f>'[9]Rev_NP-12me'!AK31</f>
        <v>2.079807866016119</v>
      </c>
      <c r="F30" s="669">
        <f>'[9]Rev_NP-12me'!AQ31</f>
        <v>1.3151810160961181</v>
      </c>
      <c r="G30" s="669">
        <f>'[9]Rev_NP-12me'!S31</f>
        <v>150</v>
      </c>
      <c r="H30" s="670">
        <f>'[9]Rev_NP-12me'!T31</f>
        <v>13</v>
      </c>
      <c r="I30" s="669">
        <f>'[9]Rev_NP-12me'!AC31</f>
        <v>160</v>
      </c>
      <c r="J30" s="669">
        <f>'[9]Rev_NP-12me'!BN31</f>
        <v>0.37436541588290145</v>
      </c>
      <c r="K30" s="669">
        <f>'[9]Rev_NP-12me'!BO31</f>
        <v>1.7097353209249537</v>
      </c>
      <c r="L30" s="669">
        <f>'[9]Rev_NP-12me'!BQ31</f>
        <v>0.1008</v>
      </c>
      <c r="M30" s="669">
        <f t="shared" si="0"/>
        <v>2.184900736807855</v>
      </c>
    </row>
    <row r="31" spans="2:13" x14ac:dyDescent="0.25">
      <c r="B31" s="667" t="s">
        <v>920</v>
      </c>
      <c r="C31" s="579"/>
      <c r="D31" s="669">
        <f>'[9]Rev_NP-12me'!AJ32</f>
        <v>13801</v>
      </c>
      <c r="E31" s="669">
        <f>'[9]Rev_NP-12me'!AK32</f>
        <v>12.955580551346383</v>
      </c>
      <c r="F31" s="669">
        <f>'[9]Rev_NP-12me'!AQ32</f>
        <v>3.0497631830616241</v>
      </c>
      <c r="G31" s="671">
        <f>'[9]Rev_NP-12me'!S32</f>
        <v>0</v>
      </c>
      <c r="H31" s="672">
        <f>'[9]Rev_NP-12me'!T32</f>
        <v>0</v>
      </c>
      <c r="I31" s="671">
        <f>'[9]Rev_NP-12me'!AC32</f>
        <v>0</v>
      </c>
      <c r="J31" s="669">
        <f>'[9]Rev_NP-12me'!BN32</f>
        <v>0.93280179969693977</v>
      </c>
      <c r="K31" s="669">
        <f>'[9]Rev_NP-12me'!BO32</f>
        <v>1.852007038463797</v>
      </c>
      <c r="L31" s="669">
        <f>'[9]Rev_NP-12me'!BQ32</f>
        <v>0.76935000000000009</v>
      </c>
      <c r="M31" s="669">
        <f t="shared" si="0"/>
        <v>3.554158838160737</v>
      </c>
    </row>
    <row r="32" spans="2:13" ht="14.4" x14ac:dyDescent="0.25">
      <c r="B32" s="668" t="s">
        <v>901</v>
      </c>
      <c r="C32" s="579"/>
      <c r="D32" s="681">
        <f>'[9]Rev_NP-12me'!AJ33</f>
        <v>11140</v>
      </c>
      <c r="E32" s="681">
        <f>'[9]Rev_NP-12me'!AK33</f>
        <v>10.105895325418894</v>
      </c>
      <c r="F32" s="681">
        <f>'[9]Rev_NP-12me'!AQ33</f>
        <v>1.6161879574347566</v>
      </c>
      <c r="G32" s="669">
        <f>'[9]Rev_NP-12me'!S33</f>
        <v>60</v>
      </c>
      <c r="H32" s="670">
        <f>'[9]Rev_NP-12me'!T33</f>
        <v>5.3</v>
      </c>
      <c r="I32" s="669">
        <f>'[9]Rev_NP-12me'!AC33</f>
        <v>45</v>
      </c>
      <c r="J32" s="681">
        <f>'[9]Rev_NP-12me'!BN33</f>
        <v>0.72762446343016052</v>
      </c>
      <c r="K32" s="681">
        <f>'[9]Rev_NP-12me'!BO33</f>
        <v>0.85657961744042088</v>
      </c>
      <c r="L32" s="681">
        <f>'[9]Rev_NP-12me'!BQ33</f>
        <v>0.58792500000000003</v>
      </c>
      <c r="M32" s="669">
        <f t="shared" si="0"/>
        <v>2.1721290808705813</v>
      </c>
    </row>
    <row r="33" spans="2:13" ht="14.4" x14ac:dyDescent="0.25">
      <c r="B33" s="668" t="s">
        <v>921</v>
      </c>
      <c r="C33" s="579"/>
      <c r="D33" s="681">
        <f>'[9]Rev_NP-12me'!AJ34</f>
        <v>1826</v>
      </c>
      <c r="E33" s="681">
        <f>'[9]Rev_NP-12me'!AK34</f>
        <v>1.757459424876459</v>
      </c>
      <c r="F33" s="681">
        <f>'[9]Rev_NP-12me'!AQ34</f>
        <v>0.88615553551971638</v>
      </c>
      <c r="G33" s="669">
        <f>'[9]Rev_NP-12me'!S34</f>
        <v>60</v>
      </c>
      <c r="H33" s="670">
        <f>'[9]Rev_NP-12me'!T34</f>
        <v>6.6</v>
      </c>
      <c r="I33" s="669">
        <f>'[9]Rev_NP-12me'!AC34</f>
        <v>55</v>
      </c>
      <c r="J33" s="681">
        <f>'[9]Rev_NP-12me'!BN34</f>
        <v>0.12653707859110505</v>
      </c>
      <c r="K33" s="681">
        <f>'[9]Rev_NP-12me'!BO34</f>
        <v>0.5848626534430128</v>
      </c>
      <c r="L33" s="681">
        <f>'[9]Rev_NP-12me'!BQ34</f>
        <v>0.11777700000000001</v>
      </c>
      <c r="M33" s="669">
        <f t="shared" si="0"/>
        <v>0.8291767320341179</v>
      </c>
    </row>
    <row r="34" spans="2:13" ht="14.4" x14ac:dyDescent="0.25">
      <c r="B34" s="668" t="s">
        <v>922</v>
      </c>
      <c r="C34" s="579"/>
      <c r="D34" s="681">
        <f>'[9]Rev_NP-12me'!AJ35</f>
        <v>835</v>
      </c>
      <c r="E34" s="681">
        <f>'[9]Rev_NP-12me'!AK35</f>
        <v>1.0922258010510306</v>
      </c>
      <c r="F34" s="681">
        <f>'[9]Rev_NP-12me'!AQ35</f>
        <v>0.54741969010715097</v>
      </c>
      <c r="G34" s="669">
        <f>'[9]Rev_NP-12me'!S35</f>
        <v>60</v>
      </c>
      <c r="H34" s="670">
        <f>'[9]Rev_NP-12me'!T35</f>
        <v>7.5</v>
      </c>
      <c r="I34" s="669">
        <f>'[9]Rev_NP-12me'!AC35</f>
        <v>65</v>
      </c>
      <c r="J34" s="681">
        <f>'[9]Rev_NP-12me'!BN35</f>
        <v>7.8640257675674202E-2</v>
      </c>
      <c r="K34" s="681">
        <f>'[9]Rev_NP-12me'!BO35</f>
        <v>0.4105647675803632</v>
      </c>
      <c r="L34" s="681">
        <f>'[9]Rev_NP-12me'!BQ35</f>
        <v>6.3647999999999996E-2</v>
      </c>
      <c r="M34" s="669">
        <f t="shared" si="0"/>
        <v>0.55285302525603741</v>
      </c>
    </row>
    <row r="35" spans="2:13" x14ac:dyDescent="0.25">
      <c r="B35" s="663" t="s">
        <v>923</v>
      </c>
      <c r="C35" s="579"/>
      <c r="D35" s="674">
        <f>'[9]Rev_NP-12me'!AJ36</f>
        <v>22596</v>
      </c>
      <c r="E35" s="674">
        <f>'[9]Rev_NP-12me'!$AK$36</f>
        <v>410.32331610233894</v>
      </c>
      <c r="F35" s="674">
        <f>'[9]Rev_NP-12me'!AQ36</f>
        <v>244.09749984720008</v>
      </c>
      <c r="G35" s="671">
        <f>'[9]Rev_NP-12me'!S36</f>
        <v>0</v>
      </c>
      <c r="H35" s="672">
        <f>'[9]Rev_NP-12me'!T36</f>
        <v>0</v>
      </c>
      <c r="I35" s="671">
        <f>'[9]Rev_NP-12me'!AC36</f>
        <v>0</v>
      </c>
      <c r="J35" s="674">
        <f>'[9]Rev_NP-12me'!BN36</f>
        <v>47.723736439603705</v>
      </c>
      <c r="K35" s="674">
        <f>'[9]Rev_NP-12me'!BO36</f>
        <v>186.66514273536794</v>
      </c>
      <c r="L35" s="674">
        <f>'[9]Rev_NP-12me'!BQ36</f>
        <v>7.9685999999999995</v>
      </c>
      <c r="M35" s="674">
        <f t="shared" si="0"/>
        <v>242.35747917497164</v>
      </c>
    </row>
    <row r="36" spans="2:13" ht="14.4" x14ac:dyDescent="0.25">
      <c r="B36" s="668" t="s">
        <v>924</v>
      </c>
      <c r="C36" s="579"/>
      <c r="D36" s="681">
        <f>'[9]Rev_NP-12me'!AJ37</f>
        <v>19131</v>
      </c>
      <c r="E36" s="681">
        <f>'[9]Rev_NP-12me'!AK37</f>
        <v>374.62934494669639</v>
      </c>
      <c r="F36" s="681">
        <f>'[9]Rev_NP-12me'!AQ37</f>
        <v>226.50429385946813</v>
      </c>
      <c r="G36" s="669">
        <f>'[9]Rev_NP-12me'!S37</f>
        <v>100</v>
      </c>
      <c r="H36" s="670">
        <f>'[9]Rev_NP-12me'!T37</f>
        <v>7.7</v>
      </c>
      <c r="I36" s="669">
        <f>'[9]Rev_NP-12me'!AC37</f>
        <v>287.37189355619091</v>
      </c>
      <c r="J36" s="681">
        <f>'[9]Rev_NP-12me'!BN37</f>
        <v>44.955521393603561</v>
      </c>
      <c r="K36" s="681">
        <f>'[9]Rev_NP-12me'!BO37</f>
        <v>174.40830627179045</v>
      </c>
      <c r="L36" s="681">
        <f>'[9]Rev_NP-12me'!BQ37</f>
        <v>7.8738277617434251</v>
      </c>
      <c r="M36" s="669">
        <f t="shared" si="0"/>
        <v>227.23765542713744</v>
      </c>
    </row>
    <row r="37" spans="2:13" ht="14.4" x14ac:dyDescent="0.25">
      <c r="B37" s="668" t="s">
        <v>925</v>
      </c>
      <c r="C37" s="579"/>
      <c r="D37" s="681">
        <f>'[9]Rev_NP-12me'!AJ38</f>
        <v>0</v>
      </c>
      <c r="E37" s="681">
        <f>'[9]Rev_NP-12me'!AK38</f>
        <v>0</v>
      </c>
      <c r="F37" s="681">
        <f>'[9]Rev_NP-12me'!AQ38</f>
        <v>0</v>
      </c>
      <c r="G37" s="669">
        <f>'[9]Rev_NP-12me'!S38</f>
        <v>100</v>
      </c>
      <c r="H37" s="670">
        <f>'[9]Rev_NP-12me'!T38</f>
        <v>8.4</v>
      </c>
      <c r="I37" s="669">
        <f>'[9]Rev_NP-12me'!AC38</f>
        <v>287.37189355619091</v>
      </c>
      <c r="J37" s="681">
        <f>'[9]Rev_NP-12me'!BN38</f>
        <v>0</v>
      </c>
      <c r="K37" s="681">
        <f>'[9]Rev_NP-12me'!BO38</f>
        <v>0</v>
      </c>
      <c r="L37" s="681">
        <f>'[9]Rev_NP-12me'!BQ38</f>
        <v>0</v>
      </c>
      <c r="M37" s="669">
        <f t="shared" si="0"/>
        <v>0</v>
      </c>
    </row>
    <row r="38" spans="2:13" ht="14.4" x14ac:dyDescent="0.25">
      <c r="B38" s="668" t="s">
        <v>926</v>
      </c>
      <c r="C38" s="579"/>
      <c r="D38" s="681">
        <f>'[9]Rev_NP-12me'!AJ39</f>
        <v>107</v>
      </c>
      <c r="E38" s="681">
        <f>'[9]Rev_NP-12me'!AK39</f>
        <v>1.0104138060386452</v>
      </c>
      <c r="F38" s="681">
        <f>'[9]Rev_NP-12me'!AQ39</f>
        <v>0.73383437566877074</v>
      </c>
      <c r="G38" s="669">
        <f>'[9]Rev_NP-12me'!S39</f>
        <v>50</v>
      </c>
      <c r="H38" s="670">
        <f>'[9]Rev_NP-12me'!T39</f>
        <v>6.2</v>
      </c>
      <c r="I38" s="669">
        <f>'[9]Rev_NP-12me'!AC39</f>
        <v>287.37189355619091</v>
      </c>
      <c r="J38" s="681">
        <f>'[9]Rev_NP-12me'!BN39</f>
        <v>6.0624828362318708E-2</v>
      </c>
      <c r="K38" s="681">
        <f>'[9]Rev_NP-12me'!BO39</f>
        <v>0.45497731291463789</v>
      </c>
      <c r="L38" s="681">
        <f>'[9]Rev_NP-12me'!BQ39</f>
        <v>2.4738385467193143E-3</v>
      </c>
      <c r="M38" s="669">
        <f t="shared" si="0"/>
        <v>0.51807597982367593</v>
      </c>
    </row>
    <row r="39" spans="2:13" ht="14.4" x14ac:dyDescent="0.25">
      <c r="B39" s="668" t="s">
        <v>927</v>
      </c>
      <c r="C39" s="579"/>
      <c r="D39" s="681">
        <f>'[9]Rev_NP-12me'!AJ40</f>
        <v>3</v>
      </c>
      <c r="E39" s="681">
        <f>'[9]Rev_NP-12me'!AK40</f>
        <v>1.6397441176099509E-2</v>
      </c>
      <c r="F39" s="681">
        <f>'[9]Rev_NP-12me'!AQ40</f>
        <v>1.0648420302423601E-2</v>
      </c>
      <c r="G39" s="669">
        <f>'[9]Rev_NP-12me'!S40</f>
        <v>50</v>
      </c>
      <c r="H39" s="670">
        <f>'[9]Rev_NP-12me'!T40</f>
        <v>6.2</v>
      </c>
      <c r="I39" s="669">
        <f>'[9]Rev_NP-12me'!AC40</f>
        <v>287.37189355619091</v>
      </c>
      <c r="J39" s="681">
        <f>'[9]Rev_NP-12me'!BN40</f>
        <v>9.8384647056597055E-4</v>
      </c>
      <c r="K39" s="681">
        <f>'[9]Rev_NP-12me'!BO40</f>
        <v>6.6020205875026326E-3</v>
      </c>
      <c r="L39" s="681">
        <f>'[9]Rev_NP-12me'!BQ40</f>
        <v>3.8781297349560208E-4</v>
      </c>
      <c r="M39" s="669">
        <f t="shared" si="0"/>
        <v>7.9736800315642047E-3</v>
      </c>
    </row>
    <row r="40" spans="2:13" ht="14.4" x14ac:dyDescent="0.25">
      <c r="B40" s="668" t="s">
        <v>928</v>
      </c>
      <c r="C40" s="579"/>
      <c r="D40" s="681">
        <f>'[9]Rev_NP-12me'!AJ41</f>
        <v>3348</v>
      </c>
      <c r="E40" s="681">
        <f>'[9]Rev_NP-12me'!AK41</f>
        <v>34.606019472478195</v>
      </c>
      <c r="F40" s="681">
        <f>'[9]Rev_NP-12me'!AQ41</f>
        <v>16.810359996999797</v>
      </c>
      <c r="G40" s="669">
        <f>'[9]Rev_NP-12me'!S41</f>
        <v>65</v>
      </c>
      <c r="H40" s="670">
        <f>'[9]Rev_NP-12me'!T41</f>
        <v>7</v>
      </c>
      <c r="I40" s="669">
        <f>'[9]Rev_NP-12me'!AC41</f>
        <v>287.37189355619091</v>
      </c>
      <c r="J40" s="681">
        <f>'[9]Rev_NP-12me'!BN41</f>
        <v>2.6992695188532996</v>
      </c>
      <c r="K40" s="681">
        <f>'[9]Rev_NP-12me'!BO41</f>
        <v>11.767251997899859</v>
      </c>
      <c r="L40" s="681">
        <f>'[9]Rev_NP-12me'!BQ41</f>
        <v>9.1269203741732752E-2</v>
      </c>
      <c r="M40" s="669">
        <f t="shared" si="0"/>
        <v>14.557790720494891</v>
      </c>
    </row>
    <row r="41" spans="2:13" ht="14.4" x14ac:dyDescent="0.25">
      <c r="B41" s="668" t="s">
        <v>929</v>
      </c>
      <c r="C41" s="579"/>
      <c r="D41" s="681">
        <f>'[9]Rev_NP-12me'!AJ42</f>
        <v>7</v>
      </c>
      <c r="E41" s="681">
        <f>'[9]Rev_NP-12me'!AK42</f>
        <v>6.1140435949646542E-2</v>
      </c>
      <c r="F41" s="681">
        <f>'[9]Rev_NP-12me'!AQ42</f>
        <v>3.8363194760924819E-2</v>
      </c>
      <c r="G41" s="669">
        <f>'[9]Rev_NP-12me'!S42</f>
        <v>100</v>
      </c>
      <c r="H41" s="670">
        <f>'[9]Rev_NP-12me'!T42</f>
        <v>7.3</v>
      </c>
      <c r="I41" s="669">
        <f>'[9]Rev_NP-12me'!AC42</f>
        <v>287.37189355619091</v>
      </c>
      <c r="J41" s="681">
        <f>'[9]Rev_NP-12me'!BN42</f>
        <v>7.3368523139575844E-3</v>
      </c>
      <c r="K41" s="681">
        <f>'[9]Rev_NP-12me'!BO42</f>
        <v>2.8005132175475116E-2</v>
      </c>
      <c r="L41" s="681">
        <f>'[9]Rev_NP-12me'!BQ42</f>
        <v>6.4138299462734177E-4</v>
      </c>
      <c r="M41" s="669">
        <f t="shared" ref="M41:M68" si="1">SUM(J41:L41)</f>
        <v>3.5983367484060044E-2</v>
      </c>
    </row>
    <row r="42" spans="2:13" x14ac:dyDescent="0.25">
      <c r="B42" s="663" t="s">
        <v>930</v>
      </c>
      <c r="C42" s="579"/>
      <c r="D42" s="674">
        <f>'[9]Rev_NP-12me'!AJ43</f>
        <v>7073</v>
      </c>
      <c r="E42" s="674">
        <f>'[9]Rev_NP-12me'!$AK$43</f>
        <v>19.080725208681216</v>
      </c>
      <c r="F42" s="674">
        <f>'[9]Rev_NP-12me'!AQ43</f>
        <v>8.6405391582405286</v>
      </c>
      <c r="G42" s="671">
        <f>'[9]Rev_NP-12me'!S43</f>
        <v>0</v>
      </c>
      <c r="H42" s="672">
        <f>'[9]Rev_NP-12me'!T43</f>
        <v>0</v>
      </c>
      <c r="I42" s="671">
        <f>'[9]Rev_NP-12me'!AC43</f>
        <v>0</v>
      </c>
      <c r="J42" s="674">
        <f>'[9]Rev_NP-12me'!BN43</f>
        <v>0.45793740500834912</v>
      </c>
      <c r="K42" s="674">
        <f>'[9]Rev_NP-12me'!BO43</f>
        <v>3.4562156632962111</v>
      </c>
      <c r="L42" s="674">
        <f>'[9]Rev_NP-12me'!BQ43</f>
        <v>0.41660999999999998</v>
      </c>
      <c r="M42" s="674">
        <f t="shared" si="1"/>
        <v>4.3307630683045604</v>
      </c>
    </row>
    <row r="43" spans="2:13" ht="14.4" x14ac:dyDescent="0.25">
      <c r="B43" s="668" t="s">
        <v>179</v>
      </c>
      <c r="C43" s="579"/>
      <c r="D43" s="681">
        <f>'[9]Rev_NP-12me'!AJ44</f>
        <v>6764</v>
      </c>
      <c r="E43" s="681">
        <f>'[9]Rev_NP-12me'!$AK$44</f>
        <v>17.991390989324614</v>
      </c>
      <c r="F43" s="681">
        <f>'[9]Rev_NP-12me'!AQ44</f>
        <v>8.1442333500181423</v>
      </c>
      <c r="G43" s="669">
        <f>'[9]Rev_NP-12me'!S44</f>
        <v>20</v>
      </c>
      <c r="H43" s="670">
        <f>'[9]Rev_NP-12me'!T44</f>
        <v>4</v>
      </c>
      <c r="I43" s="669">
        <f>'[9]Rev_NP-12me'!AC44</f>
        <v>50</v>
      </c>
      <c r="J43" s="681">
        <f>'[9]Rev_NP-12me'!BN44</f>
        <v>0.43179338374379073</v>
      </c>
      <c r="K43" s="681">
        <f>'[9]Rev_NP-12me'!BO44</f>
        <v>3.2576933400072567</v>
      </c>
      <c r="L43" s="681">
        <f>'[9]Rev_NP-12me'!BQ44</f>
        <v>0.39839999999999998</v>
      </c>
      <c r="M43" s="669">
        <f t="shared" si="1"/>
        <v>4.0878867237510477</v>
      </c>
    </row>
    <row r="44" spans="2:13" ht="14.4" x14ac:dyDescent="0.25">
      <c r="B44" s="668" t="s">
        <v>932</v>
      </c>
      <c r="C44" s="579"/>
      <c r="D44" s="681">
        <f>'[9]Rev_NP-12me'!AJ45</f>
        <v>309</v>
      </c>
      <c r="E44" s="681">
        <f>'[9]Rev_NP-12me'!$AK$45</f>
        <v>1.0893342193566</v>
      </c>
      <c r="F44" s="681">
        <f>'[9]Rev_NP-12me'!AQ45</f>
        <v>0.49630580822238607</v>
      </c>
      <c r="G44" s="669">
        <f>'[9]Rev_NP-12me'!S45</f>
        <v>20</v>
      </c>
      <c r="H44" s="670">
        <f>'[9]Rev_NP-12me'!T45</f>
        <v>4</v>
      </c>
      <c r="I44" s="669">
        <f>'[9]Rev_NP-12me'!AC45</f>
        <v>50</v>
      </c>
      <c r="J44" s="681">
        <f>'[9]Rev_NP-12me'!BN45</f>
        <v>2.6144021264558403E-2</v>
      </c>
      <c r="K44" s="681">
        <f>'[9]Rev_NP-12me'!BO45</f>
        <v>0.19852232328895442</v>
      </c>
      <c r="L44" s="681">
        <f>'[9]Rev_NP-12me'!BQ45</f>
        <v>1.821E-2</v>
      </c>
      <c r="M44" s="669">
        <f t="shared" si="1"/>
        <v>0.24287634455351281</v>
      </c>
    </row>
    <row r="45" spans="2:13" x14ac:dyDescent="0.25">
      <c r="B45" s="663" t="s">
        <v>933</v>
      </c>
      <c r="C45" s="579"/>
      <c r="D45" s="674">
        <f>'[9]Rev_NP-12me'!AJ46</f>
        <v>1409365</v>
      </c>
      <c r="E45" s="674">
        <f>'[9]Rev_NP-12me'!AN46*0.746/10^3</f>
        <v>5331.9100154263233</v>
      </c>
      <c r="F45" s="674">
        <f>'[9]Rev_NP-12me'!AQ46</f>
        <v>10456.606075527796</v>
      </c>
      <c r="G45" s="671">
        <f>'[9]Rev_NP-12me'!S46</f>
        <v>0</v>
      </c>
      <c r="H45" s="672">
        <f>'[9]Rev_NP-12me'!T46</f>
        <v>0</v>
      </c>
      <c r="I45" s="671">
        <f>'[9]Rev_NP-12me'!AC46</f>
        <v>0</v>
      </c>
      <c r="J45" s="674">
        <f>'[9]Rev_NP-12me'!BN46</f>
        <v>6.5820000000000004E-2</v>
      </c>
      <c r="K45" s="674">
        <f>'[9]Rev_NP-12me'!BO46</f>
        <v>1.3949344975719185</v>
      </c>
      <c r="L45" s="674">
        <f>'[9]Rev_NP-12me'!BQ46</f>
        <v>49.918464</v>
      </c>
      <c r="M45" s="674">
        <f t="shared" si="1"/>
        <v>51.379218497571919</v>
      </c>
    </row>
    <row r="46" spans="2:13" x14ac:dyDescent="0.25">
      <c r="B46" s="667" t="s">
        <v>934</v>
      </c>
      <c r="C46" s="579"/>
      <c r="D46" s="669">
        <f>'[9]Rev_NP-12me'!AJ47</f>
        <v>1409007</v>
      </c>
      <c r="E46" s="669">
        <f>'[9]Rev_NP-12me'!AN47*0.746/10^3</f>
        <v>5329.8641104263243</v>
      </c>
      <c r="F46" s="669">
        <f>'[9]Rev_NP-12me'!AQ47</f>
        <v>10453.118739283866</v>
      </c>
      <c r="G46" s="671">
        <f>'[9]Rev_NP-12me'!S47</f>
        <v>0</v>
      </c>
      <c r="H46" s="672">
        <f>'[9]Rev_NP-12me'!T47</f>
        <v>0</v>
      </c>
      <c r="I46" s="671">
        <f>'[9]Rev_NP-12me'!AC47</f>
        <v>0</v>
      </c>
      <c r="J46" s="669">
        <f>'[9]Rev_NP-12me'!BN47</f>
        <v>0</v>
      </c>
      <c r="K46" s="669">
        <f>'[9]Rev_NP-12me'!BO47</f>
        <v>0</v>
      </c>
      <c r="L46" s="669">
        <f>'[9]Rev_NP-12me'!BQ47</f>
        <v>49.905755999999997</v>
      </c>
      <c r="M46" s="669">
        <f t="shared" si="1"/>
        <v>49.905755999999997</v>
      </c>
    </row>
    <row r="47" spans="2:13" ht="14.4" x14ac:dyDescent="0.25">
      <c r="B47" s="668" t="s">
        <v>935</v>
      </c>
      <c r="C47" s="579"/>
      <c r="D47" s="681">
        <f>'[9]Rev_NP-12me'!AJ48</f>
        <v>0</v>
      </c>
      <c r="E47" s="681">
        <f>'[9]Rev_NP-12me'!AN48*0.746/10^3</f>
        <v>0</v>
      </c>
      <c r="F47" s="681">
        <f>'[9]Rev_NP-12me'!AQ48</f>
        <v>0</v>
      </c>
      <c r="G47" s="671">
        <f>'[9]Rev_NP-12me'!S48</f>
        <v>0</v>
      </c>
      <c r="H47" s="670">
        <f>'[9]Rev_NP-12me'!T48</f>
        <v>2.5</v>
      </c>
      <c r="I47" s="669">
        <f>'[9]Rev_NP-12me'!AC48</f>
        <v>30</v>
      </c>
      <c r="J47" s="681">
        <f>'[9]Rev_NP-12me'!BN48</f>
        <v>0</v>
      </c>
      <c r="K47" s="681">
        <f>'[9]Rev_NP-12me'!BO48</f>
        <v>0</v>
      </c>
      <c r="L47" s="681">
        <f>'[9]Rev_NP-12me'!BQ48</f>
        <v>0</v>
      </c>
      <c r="M47" s="669">
        <f t="shared" si="1"/>
        <v>0</v>
      </c>
    </row>
    <row r="48" spans="2:13" ht="14.4" x14ac:dyDescent="0.25">
      <c r="B48" s="667" t="s">
        <v>937</v>
      </c>
      <c r="C48" s="579"/>
      <c r="D48" s="681">
        <f>'[9]Rev_NP-12me'!AJ49</f>
        <v>1409007</v>
      </c>
      <c r="E48" s="681">
        <f>'[9]Rev_NP-12me'!AN49*0.746/10^3</f>
        <v>5329.8641104263243</v>
      </c>
      <c r="F48" s="681">
        <f>'[9]Rev_NP-12me'!AQ49</f>
        <v>10453.118739283866</v>
      </c>
      <c r="G48" s="671">
        <f>'[9]Rev_NP-12me'!S49</f>
        <v>0</v>
      </c>
      <c r="H48" s="672">
        <f>'[9]Rev_NP-12me'!T49</f>
        <v>0</v>
      </c>
      <c r="I48" s="671">
        <f>'[9]Rev_NP-12me'!AC49</f>
        <v>0</v>
      </c>
      <c r="J48" s="681">
        <f>'[9]Rev_NP-12me'!BN49</f>
        <v>0</v>
      </c>
      <c r="K48" s="681">
        <f>'[9]Rev_NP-12me'!BO49</f>
        <v>0</v>
      </c>
      <c r="L48" s="681">
        <f>'[9]Rev_NP-12me'!BQ49</f>
        <v>0</v>
      </c>
      <c r="M48" s="669">
        <f t="shared" si="1"/>
        <v>0</v>
      </c>
    </row>
    <row r="49" spans="2:13" ht="14.4" x14ac:dyDescent="0.25">
      <c r="B49" s="668" t="s">
        <v>1112</v>
      </c>
      <c r="C49" s="579"/>
      <c r="D49" s="681">
        <f>'[9]Rev_NP-12me'!AJ50</f>
        <v>1409007</v>
      </c>
      <c r="E49" s="681">
        <f>'[9]Rev_NP-12me'!AN50*0.746/10^3</f>
        <v>5329.8641104263243</v>
      </c>
      <c r="F49" s="681">
        <f>'[9]Rev_NP-12me'!AQ50</f>
        <v>10453.118739283866</v>
      </c>
      <c r="G49" s="671">
        <f>'[9]Rev_NP-12me'!S50</f>
        <v>0</v>
      </c>
      <c r="H49" s="672">
        <f>'[9]Rev_NP-12me'!T50</f>
        <v>0</v>
      </c>
      <c r="I49" s="669">
        <f>'[9]Rev_NP-12me'!AC50</f>
        <v>30</v>
      </c>
      <c r="J49" s="681">
        <f>'[9]Rev_NP-12me'!BN50</f>
        <v>0</v>
      </c>
      <c r="K49" s="681">
        <f>'[9]Rev_NP-12me'!BO50</f>
        <v>0</v>
      </c>
      <c r="L49" s="681">
        <f>'[9]Rev_NP-12me'!BQ50</f>
        <v>49.905755999999997</v>
      </c>
      <c r="M49" s="669">
        <f t="shared" si="1"/>
        <v>49.905755999999997</v>
      </c>
    </row>
    <row r="50" spans="2:13" ht="14.4" x14ac:dyDescent="0.25">
      <c r="B50" s="668" t="s">
        <v>1113</v>
      </c>
      <c r="C50" s="579"/>
      <c r="D50" s="681">
        <f>'[9]Rev_NP-12me'!AJ51</f>
        <v>0</v>
      </c>
      <c r="E50" s="681">
        <f>'[9]Rev_NP-12me'!AN51*0.746/10^3</f>
        <v>0</v>
      </c>
      <c r="F50" s="681">
        <f>'[9]Rev_NP-12me'!AQ51</f>
        <v>0</v>
      </c>
      <c r="G50" s="671">
        <f>'[9]Rev_NP-12me'!S51</f>
        <v>0</v>
      </c>
      <c r="H50" s="672">
        <f>'[9]Rev_NP-12me'!T51</f>
        <v>0</v>
      </c>
      <c r="I50" s="669">
        <f>'[9]Rev_NP-12me'!AC51</f>
        <v>30</v>
      </c>
      <c r="J50" s="681">
        <f>'[9]Rev_NP-12me'!BN51</f>
        <v>0</v>
      </c>
      <c r="K50" s="681">
        <f>'[9]Rev_NP-12me'!BO51</f>
        <v>0</v>
      </c>
      <c r="L50" s="681">
        <f>'[9]Rev_NP-12me'!BQ51</f>
        <v>0</v>
      </c>
      <c r="M50" s="669">
        <f t="shared" si="1"/>
        <v>0</v>
      </c>
    </row>
    <row r="51" spans="2:13" x14ac:dyDescent="0.25">
      <c r="B51" s="667" t="s">
        <v>938</v>
      </c>
      <c r="C51" s="579"/>
      <c r="D51" s="669">
        <f>'[9]Rev_NP-12me'!AJ52</f>
        <v>358</v>
      </c>
      <c r="E51" s="669">
        <f>'[9]Rev_NP-12me'!AN52*0.746/10^3</f>
        <v>2.0459049999999999</v>
      </c>
      <c r="F51" s="669">
        <f>'[9]Rev_NP-12me'!AQ52</f>
        <v>3.4873362439297964</v>
      </c>
      <c r="G51" s="671">
        <f>'[9]Rev_NP-12me'!S52</f>
        <v>0</v>
      </c>
      <c r="H51" s="672">
        <f>'[9]Rev_NP-12me'!T52</f>
        <v>0</v>
      </c>
      <c r="I51" s="671">
        <f>'[9]Rev_NP-12me'!AC52</f>
        <v>0</v>
      </c>
      <c r="J51" s="669">
        <f>'[9]Rev_NP-12me'!BN52</f>
        <v>6.5820000000000004E-2</v>
      </c>
      <c r="K51" s="669">
        <f>'[9]Rev_NP-12me'!BO52</f>
        <v>1.3949344975719185</v>
      </c>
      <c r="L51" s="669">
        <f>'[9]Rev_NP-12me'!BQ52</f>
        <v>1.2708000000000001E-2</v>
      </c>
      <c r="M51" s="669">
        <f t="shared" si="1"/>
        <v>1.4734624975719184</v>
      </c>
    </row>
    <row r="52" spans="2:13" ht="14.4" x14ac:dyDescent="0.25">
      <c r="B52" s="668" t="s">
        <v>939</v>
      </c>
      <c r="C52" s="579"/>
      <c r="D52" s="681">
        <f>'[9]Rev_NP-12me'!AJ53</f>
        <v>358</v>
      </c>
      <c r="E52" s="681">
        <f>'[9]Rev_NP-12me'!AN53*0.746/10^3</f>
        <v>2.0459049999999999</v>
      </c>
      <c r="F52" s="681">
        <f>'[9]Rev_NP-12me'!AQ53</f>
        <v>3.4873362439297964</v>
      </c>
      <c r="G52" s="669">
        <f>'[9]Rev_NP-12me'!S53</f>
        <v>20</v>
      </c>
      <c r="H52" s="670">
        <f>'[9]Rev_NP-12me'!T53</f>
        <v>4</v>
      </c>
      <c r="I52" s="669">
        <f>'[9]Rev_NP-12me'!AC53</f>
        <v>30</v>
      </c>
      <c r="J52" s="681">
        <f>'[9]Rev_NP-12me'!BN53</f>
        <v>6.5820000000000004E-2</v>
      </c>
      <c r="K52" s="681">
        <f>'[9]Rev_NP-12me'!BO53</f>
        <v>1.3949344975719185</v>
      </c>
      <c r="L52" s="681">
        <f>'[9]Rev_NP-12me'!BQ53</f>
        <v>1.2708000000000001E-2</v>
      </c>
      <c r="M52" s="669">
        <f t="shared" si="1"/>
        <v>1.4734624975719184</v>
      </c>
    </row>
    <row r="53" spans="2:13" x14ac:dyDescent="0.25">
      <c r="B53" s="663" t="s">
        <v>941</v>
      </c>
      <c r="C53" s="579"/>
      <c r="D53" s="674">
        <f>'[9]Rev_NP-12me'!AJ54</f>
        <v>47334</v>
      </c>
      <c r="E53" s="674">
        <f>'[9]Rev_NP-12me'!AK54</f>
        <v>89.026404578075471</v>
      </c>
      <c r="F53" s="674">
        <f>'[9]Rev_NP-12me'!AQ54</f>
        <v>140.91635851925764</v>
      </c>
      <c r="G53" s="671">
        <f>'[9]Rev_NP-12me'!S54</f>
        <v>0</v>
      </c>
      <c r="H53" s="672">
        <f>'[9]Rev_NP-12me'!T54</f>
        <v>0</v>
      </c>
      <c r="I53" s="671">
        <f>'[9]Rev_NP-12me'!AC54</f>
        <v>0</v>
      </c>
      <c r="J53" s="674">
        <f>'[9]Rev_NP-12me'!BN54</f>
        <v>3.4186139357980982</v>
      </c>
      <c r="K53" s="674">
        <f>'[9]Rev_NP-12me'!BO54</f>
        <v>104.0778844923542</v>
      </c>
      <c r="L53" s="674">
        <f>'[9]Rev_NP-12me'!BQ54</f>
        <v>6.772176</v>
      </c>
      <c r="M53" s="674">
        <f t="shared" si="1"/>
        <v>114.26867442815229</v>
      </c>
    </row>
    <row r="54" spans="2:13" ht="14.4" x14ac:dyDescent="0.25">
      <c r="B54" s="668" t="s">
        <v>942</v>
      </c>
      <c r="C54" s="579"/>
      <c r="D54" s="681">
        <f>'[9]Rev_NP-12me'!AJ55</f>
        <v>34968</v>
      </c>
      <c r="E54" s="681">
        <f>'[9]Rev_NP-12me'!AK55</f>
        <v>58.248651438395498</v>
      </c>
      <c r="F54" s="681">
        <f>'[9]Rev_NP-12me'!AQ55</f>
        <v>86.351947480269999</v>
      </c>
      <c r="G54" s="669">
        <f>'[9]Rev_NP-12me'!S55</f>
        <v>32</v>
      </c>
      <c r="H54" s="670">
        <f>'[9]Rev_NP-12me'!T55</f>
        <v>7.1</v>
      </c>
      <c r="I54" s="669">
        <f>'[9]Rev_NP-12me'!AC55</f>
        <v>120</v>
      </c>
      <c r="J54" s="681">
        <f>'[9]Rev_NP-12me'!BN55</f>
        <v>2.2367482152343872</v>
      </c>
      <c r="K54" s="681">
        <f>'[9]Rev_NP-12me'!BO55</f>
        <v>61.309882710991701</v>
      </c>
      <c r="L54" s="681">
        <f>'[9]Rev_NP-12me'!BQ55</f>
        <v>5.0029199999999996</v>
      </c>
      <c r="M54" s="669">
        <f t="shared" si="1"/>
        <v>68.54955092622609</v>
      </c>
    </row>
    <row r="55" spans="2:13" ht="14.4" x14ac:dyDescent="0.25">
      <c r="B55" s="668" t="s">
        <v>943</v>
      </c>
      <c r="C55" s="579"/>
      <c r="D55" s="681">
        <f>'[9]Rev_NP-12me'!AJ56</f>
        <v>6530</v>
      </c>
      <c r="E55" s="681">
        <f>'[9]Rev_NP-12me'!AK56</f>
        <v>14.83386850660029</v>
      </c>
      <c r="F55" s="681">
        <f>'[9]Rev_NP-12me'!AQ56</f>
        <v>28.583423204349842</v>
      </c>
      <c r="G55" s="669">
        <f>'[9]Rev_NP-12me'!S56</f>
        <v>32</v>
      </c>
      <c r="H55" s="670">
        <f>'[9]Rev_NP-12me'!T56</f>
        <v>7.6</v>
      </c>
      <c r="I55" s="669">
        <f>'[9]Rev_NP-12me'!AC56</f>
        <v>120</v>
      </c>
      <c r="J55" s="681">
        <f>'[9]Rev_NP-12me'!BN56</f>
        <v>0.56962055065345107</v>
      </c>
      <c r="K55" s="681">
        <f>'[9]Rev_NP-12me'!BO56</f>
        <v>21.72340163530588</v>
      </c>
      <c r="L55" s="681">
        <f>'[9]Rev_NP-12me'!BQ56</f>
        <v>0.93427199999999999</v>
      </c>
      <c r="M55" s="669">
        <f t="shared" si="1"/>
        <v>23.22729418595933</v>
      </c>
    </row>
    <row r="56" spans="2:13" ht="14.4" x14ac:dyDescent="0.25">
      <c r="B56" s="668" t="s">
        <v>944</v>
      </c>
      <c r="C56" s="579"/>
      <c r="D56" s="681">
        <f>'[9]Rev_NP-12me'!AJ57</f>
        <v>5836</v>
      </c>
      <c r="E56" s="681">
        <f>'[9]Rev_NP-12me'!AK57</f>
        <v>15.94388463307968</v>
      </c>
      <c r="F56" s="681">
        <f>'[9]Rev_NP-12me'!AQ57</f>
        <v>25.980987834637808</v>
      </c>
      <c r="G56" s="669">
        <f>'[9]Rev_NP-12me'!S57</f>
        <v>32</v>
      </c>
      <c r="H56" s="670">
        <f>'[9]Rev_NP-12me'!T57</f>
        <v>8.1</v>
      </c>
      <c r="I56" s="669">
        <f>'[9]Rev_NP-12me'!AC57</f>
        <v>120</v>
      </c>
      <c r="J56" s="681">
        <f>'[9]Rev_NP-12me'!BN57</f>
        <v>0.61224516991025968</v>
      </c>
      <c r="K56" s="681">
        <f>'[9]Rev_NP-12me'!BO57</f>
        <v>21.044600146056624</v>
      </c>
      <c r="L56" s="681">
        <f>'[9]Rev_NP-12me'!BQ57</f>
        <v>0.83498399999999995</v>
      </c>
      <c r="M56" s="669">
        <f t="shared" si="1"/>
        <v>22.491829315966882</v>
      </c>
    </row>
    <row r="57" spans="2:13" x14ac:dyDescent="0.25">
      <c r="B57" s="663" t="s">
        <v>945</v>
      </c>
      <c r="C57" s="579"/>
      <c r="D57" s="674">
        <f>'[9]Rev_NP-12me'!AJ65</f>
        <v>33081</v>
      </c>
      <c r="E57" s="674">
        <f>'[9]Rev_NP-12me'!AN65*0.746/10^3</f>
        <v>104.71537772011337</v>
      </c>
      <c r="F57" s="674">
        <f>'[9]Rev_NP-12me'!AQ65</f>
        <v>255.59907628206133</v>
      </c>
      <c r="G57" s="669"/>
      <c r="H57" s="670"/>
      <c r="I57" s="669"/>
      <c r="J57" s="674">
        <f>'[9]Rev_NP-12me'!BN65</f>
        <v>5.3901749389441722</v>
      </c>
      <c r="K57" s="674">
        <f>'[9]Rev_NP-12me'!BO65</f>
        <v>157.12279916917771</v>
      </c>
      <c r="L57" s="674">
        <f>'[9]Rev_NP-12me'!BQ65</f>
        <v>4.7328479999999997</v>
      </c>
      <c r="M57" s="674">
        <f t="shared" si="1"/>
        <v>167.24582210812187</v>
      </c>
    </row>
    <row r="58" spans="2:13" ht="14.4" x14ac:dyDescent="0.25">
      <c r="B58" s="668" t="s">
        <v>942</v>
      </c>
      <c r="C58" s="579"/>
      <c r="D58" s="681">
        <f>'[9]Rev_NP-12me'!AJ66</f>
        <v>28311</v>
      </c>
      <c r="E58" s="681">
        <f>'[9]Rev_NP-12me'!AN66*0.746/10^3</f>
        <v>88.864324798823787</v>
      </c>
      <c r="F58" s="681">
        <f>'[9]Rev_NP-12me'!AQ66</f>
        <v>225.10294686343687</v>
      </c>
      <c r="G58" s="669">
        <v>32</v>
      </c>
      <c r="H58" s="670">
        <v>6</v>
      </c>
      <c r="I58" s="669">
        <f>'[9]Rev_NP-12me'!AC66</f>
        <v>120</v>
      </c>
      <c r="J58" s="681">
        <f>'[9]Rev_NP-12me'!BN66</f>
        <v>4.5742494266418676</v>
      </c>
      <c r="K58" s="681">
        <f>'[9]Rev_NP-12me'!BO66</f>
        <v>135.06176811806213</v>
      </c>
      <c r="L58" s="681">
        <f>'[9]Rev_NP-12me'!BQ66</f>
        <v>4.0503600000000004</v>
      </c>
      <c r="M58" s="669">
        <f t="shared" si="1"/>
        <v>143.68637754470402</v>
      </c>
    </row>
    <row r="59" spans="2:13" ht="14.4" x14ac:dyDescent="0.25">
      <c r="B59" s="668" t="s">
        <v>943</v>
      </c>
      <c r="C59" s="579"/>
      <c r="D59" s="681">
        <f>'[9]Rev_NP-12me'!AJ67</f>
        <v>3366</v>
      </c>
      <c r="E59" s="681">
        <f>'[9]Rev_NP-12me'!AN67*0.746/10^3</f>
        <v>10.666591624643878</v>
      </c>
      <c r="F59" s="681">
        <f>'[9]Rev_NP-12me'!AQ67</f>
        <v>22.320546140780706</v>
      </c>
      <c r="G59" s="669">
        <v>32</v>
      </c>
      <c r="H59" s="670">
        <v>7.1</v>
      </c>
      <c r="I59" s="669">
        <f>'[9]Rev_NP-12me'!AC67</f>
        <v>120</v>
      </c>
      <c r="J59" s="681">
        <f>'[9]Rev_NP-12me'!BN67</f>
        <v>0.54905779944547584</v>
      </c>
      <c r="K59" s="681">
        <f>'[9]Rev_NP-12me'!BO67</f>
        <v>15.847587759954299</v>
      </c>
      <c r="L59" s="681">
        <f>'[9]Rev_NP-12me'!BQ67</f>
        <v>0.48160799999999998</v>
      </c>
      <c r="M59" s="669">
        <f t="shared" si="1"/>
        <v>16.878253559399777</v>
      </c>
    </row>
    <row r="60" spans="2:13" ht="14.4" x14ac:dyDescent="0.25">
      <c r="B60" s="668" t="s">
        <v>944</v>
      </c>
      <c r="C60" s="579"/>
      <c r="D60" s="681">
        <f>'[9]Rev_NP-12me'!AJ68</f>
        <v>1404</v>
      </c>
      <c r="E60" s="681">
        <f>'[9]Rev_NP-12me'!AN68*0.746/10^3</f>
        <v>5.1844612966456873</v>
      </c>
      <c r="F60" s="681">
        <f>'[9]Rev_NP-12me'!AQ68</f>
        <v>8.1755832778437583</v>
      </c>
      <c r="G60" s="669">
        <v>32</v>
      </c>
      <c r="H60" s="670">
        <v>7.6</v>
      </c>
      <c r="I60" s="669">
        <f>'[9]Rev_NP-12me'!AC68</f>
        <v>120</v>
      </c>
      <c r="J60" s="681">
        <f>'[9]Rev_NP-12me'!BN68</f>
        <v>0.26686771285682892</v>
      </c>
      <c r="K60" s="681">
        <f>'[9]Rev_NP-12me'!BO68</f>
        <v>6.2134432911612558</v>
      </c>
      <c r="L60" s="681">
        <f>'[9]Rev_NP-12me'!BQ68</f>
        <v>0.20088</v>
      </c>
      <c r="M60" s="669">
        <f t="shared" si="1"/>
        <v>6.6811910040180846</v>
      </c>
    </row>
    <row r="61" spans="2:13" x14ac:dyDescent="0.25">
      <c r="B61" s="663" t="s">
        <v>1114</v>
      </c>
      <c r="C61" s="579"/>
      <c r="D61" s="674">
        <f>'[9]Rev_NP-12me'!AJ69</f>
        <v>0</v>
      </c>
      <c r="E61" s="674">
        <f>'[9]Rev_NP-12me'!AK69</f>
        <v>0</v>
      </c>
      <c r="F61" s="674">
        <f>'[9]Rev_NP-12me'!AQ69</f>
        <v>0</v>
      </c>
      <c r="G61" s="671">
        <f>'[9]Rev_NP-12me'!S69</f>
        <v>0</v>
      </c>
      <c r="H61" s="671">
        <f>'[9]Rev_NP-12me'!T69</f>
        <v>0</v>
      </c>
      <c r="I61" s="671">
        <f>'[9]Rev_NP-12me'!AC69</f>
        <v>0</v>
      </c>
      <c r="J61" s="674">
        <f>'[9]Rev_NP-12me'!BN69</f>
        <v>0</v>
      </c>
      <c r="K61" s="674">
        <f>'[9]Rev_NP-12me'!BO69</f>
        <v>0</v>
      </c>
      <c r="L61" s="674">
        <f>'[9]Rev_NP-12me'!BQ69</f>
        <v>0</v>
      </c>
      <c r="M61" s="669">
        <f t="shared" si="1"/>
        <v>0</v>
      </c>
    </row>
    <row r="62" spans="2:13" x14ac:dyDescent="0.25">
      <c r="B62" s="663" t="s">
        <v>948</v>
      </c>
      <c r="C62" s="579"/>
      <c r="D62" s="674">
        <f>'[9]Rev_NP-12me'!AJ58</f>
        <v>25656</v>
      </c>
      <c r="E62" s="674">
        <f>'[9]Rev_NP-12me'!AK58</f>
        <v>61.132073034183989</v>
      </c>
      <c r="F62" s="674">
        <f>'[9]Rev_NP-12me'!AQ58</f>
        <v>73.648007460605655</v>
      </c>
      <c r="G62" s="669"/>
      <c r="H62" s="670"/>
      <c r="I62" s="669"/>
      <c r="J62" s="674">
        <f>'[9]Rev_NP-12me'!BN58</f>
        <v>1.6781414041845726</v>
      </c>
      <c r="K62" s="674">
        <f>'[9]Rev_NP-12me'!BO58</f>
        <v>57.228115521677616</v>
      </c>
      <c r="L62" s="674">
        <f>'[9]Rev_NP-12me'!BQ58</f>
        <v>3.0409199999999998</v>
      </c>
      <c r="M62" s="674">
        <f t="shared" si="1"/>
        <v>61.947176925862188</v>
      </c>
    </row>
    <row r="63" spans="2:13" ht="14.4" x14ac:dyDescent="0.25">
      <c r="B63" s="667" t="s">
        <v>949</v>
      </c>
      <c r="C63" s="579"/>
      <c r="D63" s="681">
        <f>'[9]Rev_NP-12me'!AJ59</f>
        <v>18959</v>
      </c>
      <c r="E63" s="681">
        <f>'[9]Rev_NP-12me'!AK59</f>
        <v>48.390113430189906</v>
      </c>
      <c r="F63" s="681">
        <f>'[9]Rev_NP-12me'!AQ59</f>
        <v>61.830641792044808</v>
      </c>
      <c r="G63" s="669">
        <f>'[9]Rev_NP-12me'!S59</f>
        <v>21</v>
      </c>
      <c r="H63" s="670">
        <f>'[9]Rev_NP-12me'!T59</f>
        <v>8.3000000000000007</v>
      </c>
      <c r="I63" s="669">
        <f>'[9]Rev_NP-12me'!AC59</f>
        <v>100</v>
      </c>
      <c r="J63" s="681">
        <f>'[9]Rev_NP-12me'!BN59</f>
        <v>1.2194308584407856</v>
      </c>
      <c r="K63" s="681">
        <f>'[9]Rev_NP-12me'!BO59</f>
        <v>51.319432687397196</v>
      </c>
      <c r="L63" s="681">
        <f>'[9]Rev_NP-12me'!BQ59</f>
        <v>2.2471199999999998</v>
      </c>
      <c r="M63" s="669">
        <f t="shared" si="1"/>
        <v>54.785983545837986</v>
      </c>
    </row>
    <row r="64" spans="2:13" ht="14.4" x14ac:dyDescent="0.25">
      <c r="B64" s="667" t="s">
        <v>950</v>
      </c>
      <c r="C64" s="579"/>
      <c r="D64" s="681">
        <f>'[9]Rev_NP-12me'!AJ60</f>
        <v>6697</v>
      </c>
      <c r="E64" s="681">
        <f>'[9]Rev_NP-12me'!AK60</f>
        <v>12.741959603994083</v>
      </c>
      <c r="F64" s="681">
        <f>'[9]Rev_NP-12me'!AQ60</f>
        <v>11.817365668560843</v>
      </c>
      <c r="G64" s="669">
        <f>'[9]Rev_NP-12me'!S60</f>
        <v>30</v>
      </c>
      <c r="H64" s="670">
        <f>'[9]Rev_NP-12me'!T60</f>
        <v>5</v>
      </c>
      <c r="I64" s="669">
        <f>'[9]Rev_NP-12me'!AC60</f>
        <v>100</v>
      </c>
      <c r="J64" s="681">
        <f>'[9]Rev_NP-12me'!BN60</f>
        <v>0.45871054574378695</v>
      </c>
      <c r="K64" s="681">
        <f>'[9]Rev_NP-12me'!BO60</f>
        <v>5.9086828342804223</v>
      </c>
      <c r="L64" s="681">
        <f>'[9]Rev_NP-12me'!BQ60</f>
        <v>0.79379999999999995</v>
      </c>
      <c r="M64" s="669">
        <f t="shared" si="1"/>
        <v>7.1611933800242094</v>
      </c>
    </row>
    <row r="65" spans="2:16" x14ac:dyDescent="0.25">
      <c r="B65" s="667" t="s">
        <v>951</v>
      </c>
      <c r="C65" s="579"/>
      <c r="D65" s="669">
        <f>'[9]Rev_NP-12me'!AJ61</f>
        <v>4880</v>
      </c>
      <c r="E65" s="669">
        <f>'[9]Rev_NP-12me'!AK61</f>
        <v>4.9051895129142142</v>
      </c>
      <c r="F65" s="669">
        <f>'[9]Rev_NP-12me'!AQ61</f>
        <v>4.3979372363732718</v>
      </c>
      <c r="G65" s="669">
        <f>'[9]Rev_NP-12me'!S61</f>
        <v>30</v>
      </c>
      <c r="H65" s="670">
        <f>'[9]Rev_NP-12me'!T61</f>
        <v>5</v>
      </c>
      <c r="I65" s="669">
        <f>'[9]Rev_NP-12me'!AC61</f>
        <v>100</v>
      </c>
      <c r="J65" s="669">
        <f>'[9]Rev_NP-12me'!BN61</f>
        <v>0.1765868224649117</v>
      </c>
      <c r="K65" s="669">
        <f>'[9]Rev_NP-12me'!BO61</f>
        <v>2.1989686181866359</v>
      </c>
      <c r="L65" s="669">
        <f>'[9]Rev_NP-12me'!BQ61</f>
        <v>0.57845999999999997</v>
      </c>
      <c r="M65" s="669">
        <f t="shared" si="1"/>
        <v>2.9540154406515473</v>
      </c>
    </row>
    <row r="66" spans="2:16" x14ac:dyDescent="0.25">
      <c r="B66" s="667" t="s">
        <v>952</v>
      </c>
      <c r="C66" s="579"/>
      <c r="D66" s="669">
        <f>'[9]Rev_NP-12me'!AJ62</f>
        <v>1817</v>
      </c>
      <c r="E66" s="669">
        <f>'[9]Rev_NP-12me'!AK62</f>
        <v>7.8367700910798677</v>
      </c>
      <c r="F66" s="669">
        <f>'[9]Rev_NP-12me'!AQ62</f>
        <v>7.4194284321875728</v>
      </c>
      <c r="G66" s="669">
        <f>'[9]Rev_NP-12me'!S62</f>
        <v>30</v>
      </c>
      <c r="H66" s="670">
        <f>'[9]Rev_NP-12me'!T62</f>
        <v>5</v>
      </c>
      <c r="I66" s="669">
        <f>'[9]Rev_NP-12me'!AC62</f>
        <v>100</v>
      </c>
      <c r="J66" s="669">
        <f>'[9]Rev_NP-12me'!BN62</f>
        <v>0.28212372327887525</v>
      </c>
      <c r="K66" s="669">
        <f>'[9]Rev_NP-12me'!BO62</f>
        <v>3.7097142160937864</v>
      </c>
      <c r="L66" s="669">
        <f>'[9]Rev_NP-12me'!BQ62</f>
        <v>0.21534</v>
      </c>
      <c r="M66" s="669">
        <f t="shared" si="1"/>
        <v>4.207177939372662</v>
      </c>
    </row>
    <row r="67" spans="2:16" x14ac:dyDescent="0.25">
      <c r="B67" s="663" t="s">
        <v>953</v>
      </c>
      <c r="C67" s="579"/>
      <c r="D67" s="674">
        <f>'[9]Rev_NP-12me'!AJ63</f>
        <v>3626</v>
      </c>
      <c r="E67" s="674">
        <f>'[9]Rev_NP-12me'!AK63</f>
        <v>13.851504367607362</v>
      </c>
      <c r="F67" s="674">
        <f>'[9]Rev_NP-12me'!AQ63</f>
        <v>16.373973589713991</v>
      </c>
      <c r="G67" s="669">
        <f>'[9]Rev_NP-12me'!S63</f>
        <v>21</v>
      </c>
      <c r="H67" s="670">
        <f>'[9]Rev_NP-12me'!T63</f>
        <v>12</v>
      </c>
      <c r="I67" s="669">
        <f>'[9]Rev_NP-12me'!$AC$63</f>
        <v>100</v>
      </c>
      <c r="J67" s="674">
        <f>'[9]Rev_NP-12me'!BN63</f>
        <v>0.34905791006370557</v>
      </c>
      <c r="K67" s="674">
        <f>'[9]Rev_NP-12me'!BO63</f>
        <v>19.648768307656788</v>
      </c>
      <c r="L67" s="674">
        <f>'[9]Rev_NP-12me'!BQ63</f>
        <v>0.42276000000000002</v>
      </c>
      <c r="M67" s="674">
        <f t="shared" si="1"/>
        <v>20.420586217720494</v>
      </c>
    </row>
    <row r="68" spans="2:16" x14ac:dyDescent="0.25">
      <c r="B68" s="663" t="s">
        <v>1115</v>
      </c>
      <c r="C68" s="579"/>
      <c r="D68" s="674">
        <f>'[9]Rev_NP-12me'!AJ64</f>
        <v>60</v>
      </c>
      <c r="E68" s="674">
        <f>'[9]Rev_NP-12me'!AK64</f>
        <v>1.88</v>
      </c>
      <c r="F68" s="674">
        <f>'[9]Rev_NP-12me'!AQ64</f>
        <v>0.17605145250000001</v>
      </c>
      <c r="G68" s="669">
        <f>'[9]Rev_NP-12me'!S64</f>
        <v>0</v>
      </c>
      <c r="H68" s="670">
        <f>'[9]Rev_NP-12me'!T64</f>
        <v>6</v>
      </c>
      <c r="I68" s="669">
        <f>'[9]Rev_NP-12me'!$AC$64</f>
        <v>120</v>
      </c>
      <c r="J68" s="674">
        <f>'[9]Rev_NP-12me'!BN64</f>
        <v>0</v>
      </c>
      <c r="K68" s="674">
        <f>'[9]Rev_NP-12me'!BO64</f>
        <v>0.10563087150000001</v>
      </c>
      <c r="L68" s="674">
        <f>'[9]Rev_NP-12me'!BQ64</f>
        <v>7.5599999999999999E-3</v>
      </c>
      <c r="M68" s="674">
        <f t="shared" si="1"/>
        <v>0.11319087150000001</v>
      </c>
    </row>
    <row r="69" spans="2:16" x14ac:dyDescent="0.25">
      <c r="B69" s="663"/>
      <c r="C69" s="579"/>
      <c r="D69" s="669"/>
      <c r="E69" s="669"/>
      <c r="F69" s="669"/>
      <c r="G69" s="669"/>
      <c r="H69" s="669"/>
      <c r="I69" s="669"/>
      <c r="J69" s="669"/>
      <c r="K69" s="669"/>
      <c r="L69" s="669"/>
      <c r="M69" s="669"/>
    </row>
    <row r="70" spans="2:16" x14ac:dyDescent="0.25">
      <c r="B70" s="663" t="s">
        <v>1116</v>
      </c>
      <c r="C70" s="579"/>
      <c r="D70" s="674">
        <f>SUM(D9,D22,D35,D42,D45,D53,D57,D61,D62,D67,D68)</f>
        <v>6361513</v>
      </c>
      <c r="E70" s="703">
        <f>SUM(E9,E22,E35,E42,E45,E53,E57,E61,E62,E67,E68)</f>
        <v>12062.173860565257</v>
      </c>
      <c r="F70" s="674">
        <f>SUM(F9,F22,F35,F42,F45,F53,F57,F61,F62,F67,F68)</f>
        <v>17296.350392662218</v>
      </c>
      <c r="G70" s="674"/>
      <c r="H70" s="674"/>
      <c r="I70" s="674"/>
      <c r="J70" s="674">
        <f>SUM(J9,J22,J35,J42,J45,J53,J57,J61,J62,J67,J68)</f>
        <v>218.7225976498369</v>
      </c>
      <c r="K70" s="674">
        <f>SUM(K9,K22,K35,K42,K45,K53,K57,K61,K62,K67,K68)</f>
        <v>3531.1477702562775</v>
      </c>
      <c r="L70" s="674">
        <f>SUM(L9,L22,L35,L42,L45,L53,L57,L61,L62,L67,L68)</f>
        <v>430.27778999999992</v>
      </c>
      <c r="M70" s="674">
        <f>SUM(M9,M22,M35,M42,M45,M53,M57,M61,M62,M67,M68)</f>
        <v>4180.1481579061137</v>
      </c>
    </row>
    <row r="71" spans="2:16" x14ac:dyDescent="0.25">
      <c r="B71" s="675"/>
      <c r="C71" s="676"/>
      <c r="D71" s="674"/>
      <c r="E71" s="674"/>
      <c r="F71" s="674"/>
      <c r="G71" s="674"/>
      <c r="H71" s="674"/>
      <c r="I71" s="674"/>
      <c r="J71" s="674"/>
      <c r="K71" s="674"/>
      <c r="L71" s="674"/>
      <c r="M71" s="674"/>
    </row>
    <row r="72" spans="2:16" x14ac:dyDescent="0.25">
      <c r="B72" s="786" t="s">
        <v>799</v>
      </c>
      <c r="C72" s="786"/>
      <c r="D72" s="669"/>
      <c r="E72" s="669"/>
      <c r="F72" s="669"/>
      <c r="G72" s="669"/>
      <c r="H72" s="669"/>
      <c r="I72" s="669"/>
      <c r="J72" s="669"/>
      <c r="K72" s="669"/>
      <c r="L72" s="669"/>
      <c r="M72" s="669"/>
    </row>
    <row r="73" spans="2:16" x14ac:dyDescent="0.25">
      <c r="B73" s="704" t="s">
        <v>191</v>
      </c>
      <c r="C73" s="579"/>
      <c r="D73" s="669"/>
      <c r="E73" s="669"/>
      <c r="F73" s="669"/>
      <c r="G73" s="669"/>
      <c r="H73" s="669"/>
      <c r="I73" s="669"/>
      <c r="J73" s="669"/>
      <c r="K73" s="669"/>
      <c r="L73" s="669"/>
      <c r="M73" s="669"/>
    </row>
    <row r="74" spans="2:16" x14ac:dyDescent="0.25">
      <c r="B74" s="704" t="s">
        <v>1117</v>
      </c>
      <c r="C74" s="678"/>
      <c r="D74" s="674">
        <f>'[9]Rev_NP-12me'!AJ84</f>
        <v>2517</v>
      </c>
      <c r="E74" s="674">
        <f>'[9]Rev_NP-12me'!AK$84</f>
        <v>548.7979499999999</v>
      </c>
      <c r="F74" s="674">
        <f>'[9]Rev_NP-12me'!AQ$84</f>
        <v>1211.3663986092286</v>
      </c>
      <c r="G74" s="674"/>
      <c r="H74" s="674"/>
      <c r="I74" s="674"/>
      <c r="J74" s="674">
        <f>'[9]Rev_NP-12me'!BN$84</f>
        <v>227.090856</v>
      </c>
      <c r="K74" s="674">
        <f>'[9]Rev_NP-12me'!BO$84</f>
        <v>917.57686388958018</v>
      </c>
      <c r="L74" s="674">
        <f>'[9]Rev_NP-12me'!BQ$84</f>
        <v>5.9592000000000001</v>
      </c>
      <c r="M74" s="674">
        <f t="shared" ref="M74:M119" si="2">SUM(J74:L74)</f>
        <v>1150.6269198895802</v>
      </c>
    </row>
    <row r="75" spans="2:16" x14ac:dyDescent="0.25">
      <c r="B75" s="705" t="s">
        <v>1118</v>
      </c>
      <c r="C75" s="678"/>
      <c r="D75" s="669">
        <f>'[9]Rev_NP-12me'!AJ85</f>
        <v>2500</v>
      </c>
      <c r="E75" s="669">
        <f>'[9]Rev_NP-12me'!$AK$85</f>
        <v>543.59694999999988</v>
      </c>
      <c r="F75" s="669">
        <f>'[9]Rev_NP-12me'!$AQ$85</f>
        <v>1193.4652577153099</v>
      </c>
      <c r="G75" s="669"/>
      <c r="H75" s="669"/>
      <c r="I75" s="669"/>
      <c r="J75" s="669">
        <f>'[9]Rev_NP-12me'!$BN$85</f>
        <v>224.59437600000001</v>
      </c>
      <c r="K75" s="669">
        <f>'[9]Rev_NP-12me'!$BO$85</f>
        <v>904.0726641540457</v>
      </c>
      <c r="L75" s="669">
        <f>'[9]Rev_NP-12me'!$BQ$85</f>
        <v>5.9184000000000001</v>
      </c>
      <c r="M75" s="669">
        <f t="shared" si="2"/>
        <v>1134.5854401540457</v>
      </c>
    </row>
    <row r="76" spans="2:16" ht="14.4" x14ac:dyDescent="0.25">
      <c r="B76" s="706" t="s">
        <v>1119</v>
      </c>
      <c r="C76" s="678"/>
      <c r="D76" s="681">
        <f>'[9]Rev_NP-12me'!AJ86</f>
        <v>1744</v>
      </c>
      <c r="E76" s="681">
        <f>'[9]Rev_NP-12me'!$AK$86</f>
        <v>448.98194999999993</v>
      </c>
      <c r="F76" s="681">
        <f>'[9]Rev_NP-12me'!$AQ$86</f>
        <v>341.6356783381778</v>
      </c>
      <c r="G76" s="681">
        <f>'[9]Rev_NP-12me'!S86</f>
        <v>500</v>
      </c>
      <c r="H76" s="682">
        <f>'[9]Rev_NP-12me'!T86</f>
        <v>7.65</v>
      </c>
      <c r="I76" s="681">
        <f>'[9]Rev_NP-12me'!AC86</f>
        <v>2000</v>
      </c>
      <c r="J76" s="681">
        <f>'[9]Rev_NP-12me'!$BN$86</f>
        <v>215.511336</v>
      </c>
      <c r="K76" s="681">
        <f>'[9]Rev_NP-12me'!$BO$86</f>
        <v>261.35129392870601</v>
      </c>
      <c r="L76" s="681">
        <f>'[9]Rev_NP-12me'!$BQ$86</f>
        <v>4.1399999999999997</v>
      </c>
      <c r="M76" s="669">
        <f t="shared" si="2"/>
        <v>481.00262992870603</v>
      </c>
      <c r="O76" s="934"/>
      <c r="P76" s="934"/>
    </row>
    <row r="77" spans="2:16" ht="25.95" customHeight="1" x14ac:dyDescent="0.25">
      <c r="B77" s="707" t="s">
        <v>1120</v>
      </c>
      <c r="C77" s="579"/>
      <c r="D77" s="681">
        <f>'[9]Rev_NP-12me'!AJ87</f>
        <v>756</v>
      </c>
      <c r="E77" s="681">
        <f>'[9]Rev_NP-12me'!$AK$87</f>
        <v>94.614999999999995</v>
      </c>
      <c r="F77" s="681">
        <f>'[9]Rev_NP-12me'!$AQ$87</f>
        <v>186.92572460403213</v>
      </c>
      <c r="G77" s="681">
        <f>'[9]Rev_NP-12me'!S87</f>
        <v>100</v>
      </c>
      <c r="H77" s="682">
        <f>'[9]Rev_NP-12me'!T87</f>
        <v>8</v>
      </c>
      <c r="I77" s="681">
        <f>'[9]Rev_NP-12me'!AC87</f>
        <v>2000</v>
      </c>
      <c r="J77" s="681">
        <f>'[9]Rev_NP-12me'!$BN$87</f>
        <v>9.0830400000000004</v>
      </c>
      <c r="K77" s="681">
        <f>'[9]Rev_NP-12me'!$BO$87</f>
        <v>149.5405796832257</v>
      </c>
      <c r="L77" s="681">
        <f>'[9]Rev_NP-12me'!$BQ$87</f>
        <v>1.7784</v>
      </c>
      <c r="M77" s="669">
        <f t="shared" si="2"/>
        <v>160.40201968322572</v>
      </c>
      <c r="O77" s="708"/>
      <c r="P77" s="708"/>
    </row>
    <row r="78" spans="2:16" ht="14.4" x14ac:dyDescent="0.25">
      <c r="B78" s="706" t="s">
        <v>1121</v>
      </c>
      <c r="C78" s="579"/>
      <c r="D78" s="681">
        <f>'[9]Rev_NP-12me'!AJ88</f>
        <v>0</v>
      </c>
      <c r="E78" s="681">
        <f>'[9]Rev_NP-12me'!$AK$88</f>
        <v>0</v>
      </c>
      <c r="F78" s="681">
        <f>'[9]Rev_NP-12me'!$AQ$88</f>
        <v>0</v>
      </c>
      <c r="G78" s="681">
        <f>'[9]Rev_NP-12me'!S88</f>
        <v>0</v>
      </c>
      <c r="H78" s="682">
        <f>'[9]Rev_NP-12me'!T88</f>
        <v>7.65</v>
      </c>
      <c r="I78" s="681">
        <f>'[9]Rev_NP-12me'!AC88</f>
        <v>2000</v>
      </c>
      <c r="J78" s="681">
        <f>'[9]Rev_NP-12me'!$BN$88</f>
        <v>0</v>
      </c>
      <c r="K78" s="681">
        <f>'[9]Rev_NP-12me'!$BO$88</f>
        <v>0</v>
      </c>
      <c r="L78" s="681">
        <f>'[9]Rev_NP-12me'!$BQ$88</f>
        <v>0</v>
      </c>
      <c r="M78" s="669">
        <f t="shared" si="2"/>
        <v>0</v>
      </c>
      <c r="O78" s="709"/>
      <c r="P78" s="710"/>
    </row>
    <row r="79" spans="2:16" ht="14.4" x14ac:dyDescent="0.25">
      <c r="B79" s="706" t="s">
        <v>1122</v>
      </c>
      <c r="C79" s="579"/>
      <c r="D79" s="681">
        <f>'[9]Rev_NP-12me'!AJ89</f>
        <v>0</v>
      </c>
      <c r="E79" s="681">
        <f>'[9]Rev_NP-12me'!$AK$89</f>
        <v>0</v>
      </c>
      <c r="F79" s="681">
        <f>'[9]Rev_NP-12me'!$AQ$89</f>
        <v>0</v>
      </c>
      <c r="G79" s="681">
        <f>'[9]Rev_NP-12me'!S89</f>
        <v>0</v>
      </c>
      <c r="H79" s="682">
        <f>'[9]Rev_NP-12me'!T89</f>
        <v>7.3</v>
      </c>
      <c r="I79" s="681">
        <f>'[9]Rev_NP-12me'!AC89</f>
        <v>2000</v>
      </c>
      <c r="J79" s="681">
        <f>'[9]Rev_NP-12me'!$BN$89</f>
        <v>0</v>
      </c>
      <c r="K79" s="681">
        <f>'[9]Rev_NP-12me'!$BO$89</f>
        <v>0</v>
      </c>
      <c r="L79" s="681">
        <f>'[9]Rev_NP-12me'!$BQ$89</f>
        <v>0</v>
      </c>
      <c r="M79" s="669">
        <f t="shared" si="2"/>
        <v>0</v>
      </c>
      <c r="O79" s="709"/>
      <c r="P79" s="710"/>
    </row>
    <row r="80" spans="2:16" ht="14.4" x14ac:dyDescent="0.25">
      <c r="B80" s="706" t="s">
        <v>1123</v>
      </c>
      <c r="C80" s="579"/>
      <c r="D80" s="681">
        <f>'[9]Rev_NP-12me'!AJ90</f>
        <v>0</v>
      </c>
      <c r="E80" s="681">
        <f>'[9]Rev_NP-12me'!$AK$90</f>
        <v>0</v>
      </c>
      <c r="F80" s="681">
        <f>'[9]Rev_NP-12me'!$AQ$90</f>
        <v>0</v>
      </c>
      <c r="G80" s="681">
        <f>'[9]Rev_NP-12me'!S90</f>
        <v>500</v>
      </c>
      <c r="H80" s="682">
        <f>'[9]Rev_NP-12me'!T90</f>
        <v>8.6</v>
      </c>
      <c r="I80" s="681">
        <f>'[9]Rev_NP-12me'!AC90</f>
        <v>2000</v>
      </c>
      <c r="J80" s="681">
        <f>'[9]Rev_NP-12me'!$BN$90</f>
        <v>0</v>
      </c>
      <c r="K80" s="681">
        <f>'[9]Rev_NP-12me'!$BO$90</f>
        <v>0</v>
      </c>
      <c r="L80" s="681">
        <f>'[9]Rev_NP-12me'!$BQ$90</f>
        <v>0</v>
      </c>
      <c r="M80" s="669">
        <f t="shared" si="2"/>
        <v>0</v>
      </c>
      <c r="O80" s="709"/>
      <c r="P80" s="710"/>
    </row>
    <row r="81" spans="2:16" ht="17.399999999999999" customHeight="1" x14ac:dyDescent="0.25">
      <c r="B81" s="711" t="s">
        <v>1124</v>
      </c>
      <c r="C81" s="579"/>
      <c r="D81" s="681">
        <f>'[9]Rev_NP-12me'!AJ91</f>
        <v>0</v>
      </c>
      <c r="E81" s="681">
        <f>'[9]Rev_NP-12me'!$AK$91</f>
        <v>0</v>
      </c>
      <c r="F81" s="681">
        <f>'[9]Rev_NP-12me'!$AQ$91</f>
        <v>173.60914280189036</v>
      </c>
      <c r="G81" s="681">
        <f>'[9]Rev_NP-12me'!S91</f>
        <v>0</v>
      </c>
      <c r="H81" s="682">
        <f>'[9]Rev_NP-12me'!T91</f>
        <v>8.65</v>
      </c>
      <c r="I81" s="681">
        <f>'[9]Rev_NP-12me'!AC91</f>
        <v>2000</v>
      </c>
      <c r="J81" s="681">
        <f>'[9]Rev_NP-12me'!$BN$91</f>
        <v>0</v>
      </c>
      <c r="K81" s="681">
        <f>'[9]Rev_NP-12me'!$BO$91</f>
        <v>150.17190852363518</v>
      </c>
      <c r="L81" s="681">
        <f>'[9]Rev_NP-12me'!$BQ$91</f>
        <v>0</v>
      </c>
      <c r="M81" s="669">
        <f t="shared" si="2"/>
        <v>150.17190852363518</v>
      </c>
      <c r="O81" s="709"/>
      <c r="P81" s="710"/>
    </row>
    <row r="82" spans="2:16" ht="14.4" x14ac:dyDescent="0.25">
      <c r="B82" s="711" t="s">
        <v>1125</v>
      </c>
      <c r="C82" s="579"/>
      <c r="D82" s="681">
        <f>'[9]Rev_NP-12me'!AJ92</f>
        <v>0</v>
      </c>
      <c r="E82" s="681">
        <f>'[9]Rev_NP-12me'!$AK$92</f>
        <v>0</v>
      </c>
      <c r="F82" s="681">
        <f>'[9]Rev_NP-12me'!$AQ$92</f>
        <v>163.45053662473933</v>
      </c>
      <c r="G82" s="681">
        <f>'[9]Rev_NP-12me'!S92</f>
        <v>0</v>
      </c>
      <c r="H82" s="682">
        <f>'[9]Rev_NP-12me'!T92</f>
        <v>8.65</v>
      </c>
      <c r="I82" s="681">
        <f>'[9]Rev_NP-12me'!AC92</f>
        <v>2000</v>
      </c>
      <c r="J82" s="681">
        <f>'[9]Rev_NP-12me'!$BN$92</f>
        <v>0</v>
      </c>
      <c r="K82" s="681">
        <f>'[9]Rev_NP-12me'!$BO$92</f>
        <v>141.38471418039953</v>
      </c>
      <c r="L82" s="681">
        <f>'[9]Rev_NP-12me'!$BQ$92</f>
        <v>0</v>
      </c>
      <c r="M82" s="669">
        <f t="shared" si="2"/>
        <v>141.38471418039953</v>
      </c>
      <c r="O82" s="709"/>
      <c r="P82" s="710"/>
    </row>
    <row r="83" spans="2:16" ht="15" customHeight="1" x14ac:dyDescent="0.25">
      <c r="B83" s="711" t="s">
        <v>1126</v>
      </c>
      <c r="C83" s="579"/>
      <c r="D83" s="681">
        <f>'[9]Rev_NP-12me'!AJ93</f>
        <v>0</v>
      </c>
      <c r="E83" s="681">
        <f>'[9]Rev_NP-12me'!$AK$93</f>
        <v>0</v>
      </c>
      <c r="F83" s="681">
        <f>'[9]Rev_NP-12me'!$AQ$93</f>
        <v>327.84417534647025</v>
      </c>
      <c r="G83" s="681">
        <f>'[9]Rev_NP-12me'!S93</f>
        <v>0</v>
      </c>
      <c r="H83" s="682">
        <f>'[9]Rev_NP-12me'!T93</f>
        <v>6.15</v>
      </c>
      <c r="I83" s="681">
        <f>'[9]Rev_NP-12me'!AC93</f>
        <v>2000</v>
      </c>
      <c r="J83" s="681">
        <f>'[9]Rev_NP-12me'!$BN$93</f>
        <v>0</v>
      </c>
      <c r="K83" s="681">
        <f>'[9]Rev_NP-12me'!$BO$93</f>
        <v>201.62416783807922</v>
      </c>
      <c r="L83" s="681">
        <f>'[9]Rev_NP-12me'!$BQ$93</f>
        <v>0</v>
      </c>
      <c r="M83" s="669">
        <f t="shared" si="2"/>
        <v>201.62416783807922</v>
      </c>
      <c r="O83" s="709"/>
      <c r="P83" s="710"/>
    </row>
    <row r="84" spans="2:16" ht="14.4" x14ac:dyDescent="0.25">
      <c r="B84" s="704" t="s">
        <v>1127</v>
      </c>
      <c r="C84" s="579"/>
      <c r="D84" s="669">
        <f>'[9]Rev_NP-12me'!AJ94</f>
        <v>17</v>
      </c>
      <c r="E84" s="669">
        <f>'[9]Rev_NP-12me'!$AK$94</f>
        <v>5.2009999999999996</v>
      </c>
      <c r="F84" s="669">
        <f>'[9]Rev_NP-12me'!$AQ$94</f>
        <v>17.901140893918527</v>
      </c>
      <c r="G84" s="681">
        <f>'[9]Rev_NP-12me'!S94</f>
        <v>0</v>
      </c>
      <c r="H84" s="682">
        <f>'[9]Rev_NP-12me'!T94</f>
        <v>0</v>
      </c>
      <c r="I84" s="669">
        <f>'[9]Rev_NP-12me'!AC94</f>
        <v>0</v>
      </c>
      <c r="J84" s="669">
        <f>'[9]Rev_NP-12me'!$BN$94</f>
        <v>2.49648</v>
      </c>
      <c r="K84" s="669">
        <f>'[9]Rev_NP-12me'!$BO$94</f>
        <v>13.504199735534488</v>
      </c>
      <c r="L84" s="669">
        <f>'[9]Rev_NP-12me'!$BQ$94</f>
        <v>4.0800000000000003E-2</v>
      </c>
      <c r="M84" s="674">
        <f t="shared" si="2"/>
        <v>16.041479735534491</v>
      </c>
      <c r="O84" s="709"/>
      <c r="P84" s="710"/>
    </row>
    <row r="85" spans="2:16" ht="13.2" customHeight="1" x14ac:dyDescent="0.25">
      <c r="B85" s="711" t="s">
        <v>1128</v>
      </c>
      <c r="C85" s="579"/>
      <c r="D85" s="681">
        <f>'[9]Rev_NP-12me'!AJ95</f>
        <v>17</v>
      </c>
      <c r="E85" s="681">
        <f>'[9]Rev_NP-12me'!$AK$95</f>
        <v>5.2009999999999996</v>
      </c>
      <c r="F85" s="681">
        <f>'[9]Rev_NP-12me'!$AQ$95</f>
        <v>6.3703142484806028</v>
      </c>
      <c r="G85" s="681">
        <f>'[9]Rev_NP-12me'!S95</f>
        <v>500</v>
      </c>
      <c r="H85" s="682">
        <f>'[9]Rev_NP-12me'!T95</f>
        <v>7.65</v>
      </c>
      <c r="I85" s="681">
        <f>'[9]Rev_NP-12me'!AC95</f>
        <v>2000</v>
      </c>
      <c r="J85" s="681">
        <f>'[9]Rev_NP-12me'!$BN$95</f>
        <v>2.49648</v>
      </c>
      <c r="K85" s="681">
        <f>'[9]Rev_NP-12me'!$BO$95</f>
        <v>4.8732904000876616</v>
      </c>
      <c r="L85" s="681">
        <f>'[9]Rev_NP-12me'!$BQ$95</f>
        <v>4.0800000000000003E-2</v>
      </c>
      <c r="M85" s="669">
        <f t="shared" si="2"/>
        <v>7.4105704000876615</v>
      </c>
      <c r="O85" s="709"/>
      <c r="P85" s="710"/>
    </row>
    <row r="86" spans="2:16" ht="14.4" x14ac:dyDescent="0.25">
      <c r="B86" s="711" t="s">
        <v>1129</v>
      </c>
      <c r="C86" s="579"/>
      <c r="D86" s="681">
        <f>'[9]Rev_NP-12me'!AJ96</f>
        <v>0</v>
      </c>
      <c r="E86" s="681">
        <f>'[9]Rev_NP-12me'!$AK$96</f>
        <v>0</v>
      </c>
      <c r="F86" s="681">
        <f>'[9]Rev_NP-12me'!$AQ$96</f>
        <v>3.3096931576563819</v>
      </c>
      <c r="G86" s="681">
        <f>'[9]Rev_NP-12me'!S96</f>
        <v>0</v>
      </c>
      <c r="H86" s="682">
        <f>'[9]Rev_NP-12me'!T96</f>
        <v>8.65</v>
      </c>
      <c r="I86" s="681">
        <f>'[9]Rev_NP-12me'!AC96</f>
        <v>2000</v>
      </c>
      <c r="J86" s="681">
        <f>'[9]Rev_NP-12me'!$BN$96</f>
        <v>0</v>
      </c>
      <c r="K86" s="681">
        <f>'[9]Rev_NP-12me'!$BO$96</f>
        <v>2.8628845813727706</v>
      </c>
      <c r="L86" s="681">
        <f>'[9]Rev_NP-12me'!$BQ$96</f>
        <v>0</v>
      </c>
      <c r="M86" s="669">
        <f t="shared" si="2"/>
        <v>2.8628845813727706</v>
      </c>
      <c r="O86" s="709"/>
    </row>
    <row r="87" spans="2:16" ht="14.4" x14ac:dyDescent="0.25">
      <c r="B87" s="711" t="s">
        <v>1130</v>
      </c>
      <c r="C87" s="579"/>
      <c r="D87" s="681">
        <f>'[9]Rev_NP-12me'!AJ97</f>
        <v>0</v>
      </c>
      <c r="E87" s="681">
        <f>'[9]Rev_NP-12me'!$AK$97</f>
        <v>0</v>
      </c>
      <c r="F87" s="681">
        <f>'[9]Rev_NP-12me'!$AQ$97</f>
        <v>2.8481106363536277</v>
      </c>
      <c r="G87" s="681">
        <f>'[9]Rev_NP-12me'!S97</f>
        <v>0</v>
      </c>
      <c r="H87" s="682">
        <f>'[9]Rev_NP-12me'!T97</f>
        <v>8.65</v>
      </c>
      <c r="I87" s="681">
        <f>'[9]Rev_NP-12me'!AC97</f>
        <v>2000</v>
      </c>
      <c r="J87" s="681">
        <f>'[9]Rev_NP-12me'!$BN$97</f>
        <v>0</v>
      </c>
      <c r="K87" s="681">
        <f>'[9]Rev_NP-12me'!$BO$97</f>
        <v>2.4636157004458878</v>
      </c>
      <c r="L87" s="681">
        <f>'[9]Rev_NP-12me'!$BQ$97</f>
        <v>0</v>
      </c>
      <c r="M87" s="669">
        <f t="shared" si="2"/>
        <v>2.4636157004458878</v>
      </c>
      <c r="O87" s="709"/>
      <c r="P87" s="710"/>
    </row>
    <row r="88" spans="2:16" ht="17.399999999999999" customHeight="1" x14ac:dyDescent="0.25">
      <c r="B88" s="711" t="s">
        <v>1131</v>
      </c>
      <c r="C88" s="579"/>
      <c r="D88" s="681">
        <f>'[9]Rev_NP-12me'!AJ98</f>
        <v>0</v>
      </c>
      <c r="E88" s="681">
        <f>'[9]Rev_NP-12me'!$AK$98</f>
        <v>0</v>
      </c>
      <c r="F88" s="681">
        <f>'[9]Rev_NP-12me'!$AQ$98</f>
        <v>5.3730228514279137</v>
      </c>
      <c r="G88" s="681">
        <f>'[9]Rev_NP-12me'!S98</f>
        <v>0</v>
      </c>
      <c r="H88" s="682">
        <f>'[9]Rev_NP-12me'!T98</f>
        <v>6.15</v>
      </c>
      <c r="I88" s="681">
        <f>'[9]Rev_NP-12me'!AC98</f>
        <v>2000</v>
      </c>
      <c r="J88" s="681">
        <f>'[9]Rev_NP-12me'!$BN$98</f>
        <v>0</v>
      </c>
      <c r="K88" s="681">
        <f>'[9]Rev_NP-12me'!$BO$98</f>
        <v>3.3044090536281674</v>
      </c>
      <c r="L88" s="681">
        <f>'[9]Rev_NP-12me'!$BQ$98</f>
        <v>0</v>
      </c>
      <c r="M88" s="669">
        <f t="shared" si="2"/>
        <v>3.3044090536281674</v>
      </c>
      <c r="O88" s="709"/>
      <c r="P88" s="710"/>
    </row>
    <row r="89" spans="2:16" ht="14.4" x14ac:dyDescent="0.25">
      <c r="B89" s="704" t="s">
        <v>1132</v>
      </c>
      <c r="C89" s="579"/>
      <c r="D89" s="674">
        <f>'[9]Rev_NP-12me'!AJ99</f>
        <v>0</v>
      </c>
      <c r="E89" s="674">
        <f>'[9]Rev_NP-12me'!$AK$99</f>
        <v>0</v>
      </c>
      <c r="F89" s="674">
        <f>'[9]Rev_NP-12me'!$AQ$99</f>
        <v>0</v>
      </c>
      <c r="G89" s="681">
        <f>'[9]Rev_NP-12me'!S99</f>
        <v>500</v>
      </c>
      <c r="H89" s="682">
        <f>'[9]Rev_NP-12me'!T99</f>
        <v>7.65</v>
      </c>
      <c r="I89" s="674">
        <f>'[9]Rev_NP-12me'!AC99</f>
        <v>2000</v>
      </c>
      <c r="J89" s="674">
        <f>'[9]Rev_NP-12me'!$BN$99</f>
        <v>0</v>
      </c>
      <c r="K89" s="674">
        <f>'[9]Rev_NP-12me'!$BO$99</f>
        <v>0</v>
      </c>
      <c r="L89" s="674">
        <f>'[9]Rev_NP-12me'!$BQ$99</f>
        <v>0</v>
      </c>
      <c r="M89" s="674">
        <f t="shared" si="2"/>
        <v>0</v>
      </c>
    </row>
    <row r="90" spans="2:16" ht="14.4" x14ac:dyDescent="0.25">
      <c r="B90" s="704" t="s">
        <v>1133</v>
      </c>
      <c r="C90" s="579"/>
      <c r="D90" s="674">
        <f>'[9]Rev_NP-12me'!$AJ$100</f>
        <v>882</v>
      </c>
      <c r="E90" s="674">
        <f>'[9]Rev_NP-12me'!$AK$100</f>
        <v>145.02402999999998</v>
      </c>
      <c r="F90" s="674">
        <f>'[9]Rev_NP-12me'!$AQ$100</f>
        <v>252.98851961016715</v>
      </c>
      <c r="G90" s="681">
        <f>'[9]Rev_NP-12me'!S100</f>
        <v>0</v>
      </c>
      <c r="H90" s="682">
        <f>'[9]Rev_NP-12me'!T100</f>
        <v>0</v>
      </c>
      <c r="I90" s="674">
        <f>'[9]Rev_NP-12me'!AC100</f>
        <v>0</v>
      </c>
      <c r="J90" s="674">
        <f>'[9]Rev_NP-12me'!$BN$100</f>
        <v>69.611534399999982</v>
      </c>
      <c r="K90" s="674">
        <f>'[9]Rev_NP-12me'!$BO$100</f>
        <v>223.1007546712963</v>
      </c>
      <c r="L90" s="674">
        <f>'[9]Rev_NP-12me'!$BQ$100</f>
        <v>2.0411999999999999</v>
      </c>
      <c r="M90" s="674">
        <f t="shared" si="2"/>
        <v>294.75348907129626</v>
      </c>
    </row>
    <row r="91" spans="2:16" ht="14.4" x14ac:dyDescent="0.25">
      <c r="B91" s="706" t="s">
        <v>1134</v>
      </c>
      <c r="C91" s="579"/>
      <c r="D91" s="681">
        <f>'[9]Rev_NP-12me'!AJ101</f>
        <v>882</v>
      </c>
      <c r="E91" s="681">
        <f>'[9]Rev_NP-12me'!AK101</f>
        <v>145.02402999999998</v>
      </c>
      <c r="F91" s="681">
        <f>'[9]Rev_NP-12me'!AQ101</f>
        <v>112.22232587703957</v>
      </c>
      <c r="G91" s="681">
        <f>'[9]Rev_NP-12me'!S101</f>
        <v>500</v>
      </c>
      <c r="H91" s="682">
        <f>'[9]Rev_NP-12me'!T101</f>
        <v>8.8000000000000007</v>
      </c>
      <c r="I91" s="681">
        <f>'[9]Rev_NP-12me'!AC101</f>
        <v>2000</v>
      </c>
      <c r="J91" s="681">
        <f>'[9]Rev_NP-12me'!BN101</f>
        <v>69.611534399999982</v>
      </c>
      <c r="K91" s="681">
        <f>'[9]Rev_NP-12me'!BO101</f>
        <v>98.755646771794829</v>
      </c>
      <c r="L91" s="681">
        <f>'[9]Rev_NP-12me'!BQ101</f>
        <v>2.0411999999999999</v>
      </c>
      <c r="M91" s="669">
        <f t="shared" si="2"/>
        <v>170.40838117179482</v>
      </c>
    </row>
    <row r="92" spans="2:16" ht="14.4" x14ac:dyDescent="0.25">
      <c r="B92" s="706" t="s">
        <v>1100</v>
      </c>
      <c r="C92" s="579"/>
      <c r="D92" s="681">
        <f>'[9]Rev_NP-12me'!AJ102</f>
        <v>0</v>
      </c>
      <c r="E92" s="681">
        <f>'[9]Rev_NP-12me'!AK102</f>
        <v>0</v>
      </c>
      <c r="F92" s="681">
        <f>'[9]Rev_NP-12me'!AQ102</f>
        <v>56.899626426660383</v>
      </c>
      <c r="G92" s="681">
        <f>'[9]Rev_NP-12me'!S102</f>
        <v>0</v>
      </c>
      <c r="H92" s="682">
        <f>'[9]Rev_NP-12me'!T102</f>
        <v>9.8000000000000007</v>
      </c>
      <c r="I92" s="681">
        <f>'[9]Rev_NP-12me'!AC102</f>
        <v>2000</v>
      </c>
      <c r="J92" s="681">
        <f>'[9]Rev_NP-12me'!BN102</f>
        <v>0</v>
      </c>
      <c r="K92" s="681">
        <f>'[9]Rev_NP-12me'!BO102</f>
        <v>55.761633898127187</v>
      </c>
      <c r="L92" s="681">
        <f>'[9]Rev_NP-12me'!BQ102</f>
        <v>0</v>
      </c>
      <c r="M92" s="669">
        <f t="shared" si="2"/>
        <v>55.761633898127187</v>
      </c>
    </row>
    <row r="93" spans="2:16" ht="14.4" x14ac:dyDescent="0.25">
      <c r="B93" s="706" t="s">
        <v>1101</v>
      </c>
      <c r="C93" s="579"/>
      <c r="D93" s="681">
        <f>'[9]Rev_NP-12me'!AJ103</f>
        <v>0</v>
      </c>
      <c r="E93" s="681">
        <f>'[9]Rev_NP-12me'!AK103</f>
        <v>0</v>
      </c>
      <c r="F93" s="681">
        <f>'[9]Rev_NP-12me'!AQ103</f>
        <v>29.443519470612976</v>
      </c>
      <c r="G93" s="681">
        <f>'[9]Rev_NP-12me'!S103</f>
        <v>0</v>
      </c>
      <c r="H93" s="682">
        <f>'[9]Rev_NP-12me'!T103</f>
        <v>9.8000000000000007</v>
      </c>
      <c r="I93" s="681">
        <f>'[9]Rev_NP-12me'!AC103</f>
        <v>2000</v>
      </c>
      <c r="J93" s="681">
        <f>'[9]Rev_NP-12me'!BN103</f>
        <v>0</v>
      </c>
      <c r="K93" s="681">
        <f>'[9]Rev_NP-12me'!BO103</f>
        <v>28.854649081200716</v>
      </c>
      <c r="L93" s="681">
        <f>'[9]Rev_NP-12me'!BQ103</f>
        <v>0</v>
      </c>
      <c r="M93" s="669">
        <f t="shared" si="2"/>
        <v>28.854649081200716</v>
      </c>
    </row>
    <row r="94" spans="2:16" ht="14.4" x14ac:dyDescent="0.25">
      <c r="B94" s="706" t="s">
        <v>1102</v>
      </c>
      <c r="C94" s="579"/>
      <c r="D94" s="681">
        <f>'[9]Rev_NP-12me'!AJ104</f>
        <v>0</v>
      </c>
      <c r="E94" s="681">
        <f>'[9]Rev_NP-12me'!AK104</f>
        <v>0</v>
      </c>
      <c r="F94" s="681">
        <f>'[9]Rev_NP-12me'!AQ104</f>
        <v>54.423047835854234</v>
      </c>
      <c r="G94" s="681">
        <f>'[9]Rev_NP-12me'!S104</f>
        <v>0</v>
      </c>
      <c r="H94" s="682">
        <f>'[9]Rev_NP-12me'!T104</f>
        <v>7.3000000000000007</v>
      </c>
      <c r="I94" s="681">
        <f>'[9]Rev_NP-12me'!AC104</f>
        <v>2000</v>
      </c>
      <c r="J94" s="681">
        <f>'[9]Rev_NP-12me'!BN104</f>
        <v>0</v>
      </c>
      <c r="K94" s="681">
        <f>'[9]Rev_NP-12me'!BO104</f>
        <v>39.728824920173594</v>
      </c>
      <c r="L94" s="681">
        <f>'[9]Rev_NP-12me'!BQ104</f>
        <v>0</v>
      </c>
      <c r="M94" s="669">
        <f t="shared" si="2"/>
        <v>39.728824920173594</v>
      </c>
    </row>
    <row r="95" spans="2:16" ht="14.4" x14ac:dyDescent="0.25">
      <c r="B95" s="704" t="s">
        <v>1135</v>
      </c>
      <c r="C95" s="579"/>
      <c r="D95" s="674">
        <f>'[9]Rev_NP-12me'!$AJ$105</f>
        <v>2</v>
      </c>
      <c r="E95" s="674">
        <f>'[9]Rev_NP-12me'!$AK$105</f>
        <v>0.23200000000000001</v>
      </c>
      <c r="F95" s="674">
        <f>'[9]Rev_NP-12me'!$AQ$105</f>
        <v>0.33764713200000002</v>
      </c>
      <c r="G95" s="681">
        <f>'[9]Rev_NP-12me'!S105</f>
        <v>0</v>
      </c>
      <c r="H95" s="682">
        <f>'[9]Rev_NP-12me'!T105</f>
        <v>0</v>
      </c>
      <c r="I95" s="674">
        <f>'[9]Rev_NP-12me'!AC105</f>
        <v>2000</v>
      </c>
      <c r="J95" s="674">
        <f>'[9]Rev_NP-12me'!$BN$105</f>
        <v>6.3475199999999996E-2</v>
      </c>
      <c r="K95" s="674">
        <f>'[9]Rev_NP-12me'!$BO$105</f>
        <v>0.16065495618</v>
      </c>
      <c r="L95" s="674">
        <f>'[9]Rev_NP-12me'!$BQ$105</f>
        <v>4.7999999999999996E-3</v>
      </c>
      <c r="M95" s="674">
        <f t="shared" si="2"/>
        <v>0.22893015617999998</v>
      </c>
    </row>
    <row r="96" spans="2:16" ht="14.4" x14ac:dyDescent="0.25">
      <c r="B96" s="706" t="s">
        <v>1134</v>
      </c>
      <c r="C96" s="579"/>
      <c r="D96" s="681">
        <f>'[9]Rev_NP-12me'!AJ106</f>
        <v>2</v>
      </c>
      <c r="E96" s="681">
        <f>'[9]Rev_NP-12me'!AK106</f>
        <v>0.23200000000000001</v>
      </c>
      <c r="F96" s="681">
        <f>'[9]Rev_NP-12me'!AQ106</f>
        <v>7.9886767200000014E-2</v>
      </c>
      <c r="G96" s="681">
        <f>'[9]Rev_NP-12me'!S106</f>
        <v>285</v>
      </c>
      <c r="H96" s="682">
        <f>'[9]Rev_NP-12me'!T106</f>
        <v>5</v>
      </c>
      <c r="I96" s="681">
        <f>'[9]Rev_NP-12me'!AC106</f>
        <v>2000</v>
      </c>
      <c r="J96" s="681">
        <f>'[9]Rev_NP-12me'!BN106</f>
        <v>6.3475199999999996E-2</v>
      </c>
      <c r="K96" s="681">
        <f>'[9]Rev_NP-12me'!BO106</f>
        <v>3.9943383600000007E-2</v>
      </c>
      <c r="L96" s="681">
        <f>'[9]Rev_NP-12me'!BQ106</f>
        <v>4.7999999999999996E-3</v>
      </c>
      <c r="M96" s="669">
        <f t="shared" si="2"/>
        <v>0.1082185836</v>
      </c>
    </row>
    <row r="97" spans="2:13" ht="14.4" x14ac:dyDescent="0.25">
      <c r="B97" s="706" t="s">
        <v>1100</v>
      </c>
      <c r="C97" s="579"/>
      <c r="D97" s="681">
        <f>'[9]Rev_NP-12me'!AJ107</f>
        <v>0</v>
      </c>
      <c r="E97" s="681">
        <f>'[9]Rev_NP-12me'!AK107</f>
        <v>0</v>
      </c>
      <c r="F97" s="681">
        <f>'[9]Rev_NP-12me'!AQ107</f>
        <v>8.3246157600000009E-2</v>
      </c>
      <c r="G97" s="681">
        <f>'[9]Rev_NP-12me'!S107</f>
        <v>0</v>
      </c>
      <c r="H97" s="682">
        <f>'[9]Rev_NP-12me'!T107</f>
        <v>6</v>
      </c>
      <c r="I97" s="681">
        <f>'[9]Rev_NP-12me'!AC107</f>
        <v>2000</v>
      </c>
      <c r="J97" s="681">
        <f>'[9]Rev_NP-12me'!BN107</f>
        <v>0</v>
      </c>
      <c r="K97" s="681">
        <f>'[9]Rev_NP-12me'!BO107</f>
        <v>4.9947694560000006E-2</v>
      </c>
      <c r="L97" s="681">
        <f>'[9]Rev_NP-12me'!BQ107</f>
        <v>0</v>
      </c>
      <c r="M97" s="669">
        <f t="shared" si="2"/>
        <v>4.9947694560000006E-2</v>
      </c>
    </row>
    <row r="98" spans="2:13" ht="14.4" x14ac:dyDescent="0.25">
      <c r="B98" s="706" t="s">
        <v>1101</v>
      </c>
      <c r="C98" s="579"/>
      <c r="D98" s="681">
        <f>'[9]Rev_NP-12me'!AJ108</f>
        <v>0</v>
      </c>
      <c r="E98" s="681">
        <f>'[9]Rev_NP-12me'!AK108</f>
        <v>0</v>
      </c>
      <c r="F98" s="681">
        <f>'[9]Rev_NP-12me'!AQ108</f>
        <v>3.8735621999999997E-2</v>
      </c>
      <c r="G98" s="681">
        <f>'[9]Rev_NP-12me'!S108</f>
        <v>0</v>
      </c>
      <c r="H98" s="682">
        <f>'[9]Rev_NP-12me'!T108</f>
        <v>6</v>
      </c>
      <c r="I98" s="681">
        <f>'[9]Rev_NP-12me'!AC108</f>
        <v>2000</v>
      </c>
      <c r="J98" s="681">
        <f>'[9]Rev_NP-12me'!BN108</f>
        <v>0</v>
      </c>
      <c r="K98" s="681">
        <f>'[9]Rev_NP-12me'!BO108</f>
        <v>2.3241373199999998E-2</v>
      </c>
      <c r="L98" s="681">
        <f>'[9]Rev_NP-12me'!BQ108</f>
        <v>0</v>
      </c>
      <c r="M98" s="669">
        <f t="shared" si="2"/>
        <v>2.3241373199999998E-2</v>
      </c>
    </row>
    <row r="99" spans="2:13" ht="14.4" x14ac:dyDescent="0.25">
      <c r="B99" s="706" t="s">
        <v>1102</v>
      </c>
      <c r="C99" s="579"/>
      <c r="D99" s="681">
        <f>'[9]Rev_NP-12me'!AJ109</f>
        <v>0</v>
      </c>
      <c r="E99" s="681">
        <f>'[9]Rev_NP-12me'!AK109</f>
        <v>0</v>
      </c>
      <c r="F99" s="681">
        <f>'[9]Rev_NP-12me'!AQ109</f>
        <v>0.1357785852</v>
      </c>
      <c r="G99" s="681">
        <f>'[9]Rev_NP-12me'!S109</f>
        <v>0</v>
      </c>
      <c r="H99" s="682">
        <f>'[9]Rev_NP-12me'!T109</f>
        <v>3.5</v>
      </c>
      <c r="I99" s="681">
        <f>'[9]Rev_NP-12me'!AC109</f>
        <v>2000</v>
      </c>
      <c r="J99" s="681">
        <f>'[9]Rev_NP-12me'!BN109</f>
        <v>0</v>
      </c>
      <c r="K99" s="681">
        <f>'[9]Rev_NP-12me'!BO109</f>
        <v>4.7522504819999999E-2</v>
      </c>
      <c r="L99" s="681">
        <f>'[9]Rev_NP-12me'!BQ109</f>
        <v>0</v>
      </c>
      <c r="M99" s="669">
        <f t="shared" si="2"/>
        <v>4.7522504819999999E-2</v>
      </c>
    </row>
    <row r="100" spans="2:13" ht="14.4" x14ac:dyDescent="0.25">
      <c r="B100" s="704" t="s">
        <v>1079</v>
      </c>
      <c r="C100" s="579"/>
      <c r="D100" s="674">
        <f>'[9]Rev_NP-12me'!$AJ$110</f>
        <v>21</v>
      </c>
      <c r="E100" s="674">
        <f>'[9]Rev_NP-12me'!$AK$110</f>
        <v>2.7829999999999999</v>
      </c>
      <c r="F100" s="674">
        <f>'[9]Rev_NP-12me'!$AQ$110</f>
        <v>8.6112217104417237</v>
      </c>
      <c r="G100" s="681">
        <f>'[9]Rev_NP-12me'!S110</f>
        <v>0</v>
      </c>
      <c r="H100" s="682">
        <f>'[9]Rev_NP-12me'!T110</f>
        <v>0</v>
      </c>
      <c r="I100" s="674">
        <f>'[9]Rev_NP-12me'!AC110</f>
        <v>0</v>
      </c>
      <c r="J100" s="674">
        <f>'[9]Rev_NP-12me'!$BN$110</f>
        <v>1.3358400000000001</v>
      </c>
      <c r="K100" s="674">
        <f>'[9]Rev_NP-12me'!$BO$110</f>
        <v>7.1582725779610996</v>
      </c>
      <c r="L100" s="674">
        <f>'[9]Rev_NP-12me'!$BQ$110</f>
        <v>5.04E-2</v>
      </c>
      <c r="M100" s="674">
        <f t="shared" si="2"/>
        <v>8.5445125779611004</v>
      </c>
    </row>
    <row r="101" spans="2:13" ht="14.4" x14ac:dyDescent="0.25">
      <c r="B101" s="706" t="s">
        <v>1134</v>
      </c>
      <c r="C101" s="579"/>
      <c r="D101" s="681">
        <f>'[9]Rev_NP-12me'!AJ111</f>
        <v>21</v>
      </c>
      <c r="E101" s="681">
        <f>'[9]Rev_NP-12me'!AK111</f>
        <v>2.7829999999999999</v>
      </c>
      <c r="F101" s="681">
        <f>'[9]Rev_NP-12me'!AQ111</f>
        <v>2.3086852927483412</v>
      </c>
      <c r="G101" s="681">
        <f>'[9]Rev_NP-12me'!S111</f>
        <v>500</v>
      </c>
      <c r="H101" s="682">
        <f>'[9]Rev_NP-12me'!T111</f>
        <v>8.5</v>
      </c>
      <c r="I101" s="681">
        <f>'[9]Rev_NP-12me'!AC111</f>
        <v>2000</v>
      </c>
      <c r="J101" s="681">
        <f>'[9]Rev_NP-12me'!BN111</f>
        <v>1.3358400000000001</v>
      </c>
      <c r="K101" s="681">
        <f>'[9]Rev_NP-12me'!BO111</f>
        <v>1.9623824988360901</v>
      </c>
      <c r="L101" s="681">
        <f>'[9]Rev_NP-12me'!BQ111</f>
        <v>5.04E-2</v>
      </c>
      <c r="M101" s="669">
        <f t="shared" si="2"/>
        <v>3.3486224988360904</v>
      </c>
    </row>
    <row r="102" spans="2:13" ht="14.4" x14ac:dyDescent="0.25">
      <c r="B102" s="706" t="s">
        <v>1100</v>
      </c>
      <c r="C102" s="579"/>
      <c r="D102" s="681">
        <f>'[9]Rev_NP-12me'!AJ112</f>
        <v>0</v>
      </c>
      <c r="E102" s="681">
        <f>'[9]Rev_NP-12me'!AK112</f>
        <v>0</v>
      </c>
      <c r="F102" s="681">
        <f>'[9]Rev_NP-12me'!AQ112</f>
        <v>1.8476757889295239</v>
      </c>
      <c r="G102" s="681">
        <f>'[9]Rev_NP-12me'!S112</f>
        <v>0</v>
      </c>
      <c r="H102" s="682">
        <f>'[9]Rev_NP-12me'!T112</f>
        <v>9.5</v>
      </c>
      <c r="I102" s="681">
        <f>'[9]Rev_NP-12me'!AC112</f>
        <v>2000</v>
      </c>
      <c r="J102" s="681">
        <f>'[9]Rev_NP-12me'!BN112</f>
        <v>0</v>
      </c>
      <c r="K102" s="681">
        <f>'[9]Rev_NP-12me'!BO112</f>
        <v>1.7552919994830478</v>
      </c>
      <c r="L102" s="681">
        <f>'[9]Rev_NP-12me'!BQ112</f>
        <v>0</v>
      </c>
      <c r="M102" s="669">
        <f t="shared" si="2"/>
        <v>1.7552919994830478</v>
      </c>
    </row>
    <row r="103" spans="2:13" ht="14.4" x14ac:dyDescent="0.25">
      <c r="B103" s="706" t="s">
        <v>1101</v>
      </c>
      <c r="C103" s="579"/>
      <c r="D103" s="681">
        <f>'[9]Rev_NP-12me'!AJ113</f>
        <v>0</v>
      </c>
      <c r="E103" s="681">
        <f>'[9]Rev_NP-12me'!AK113</f>
        <v>0</v>
      </c>
      <c r="F103" s="681">
        <f>'[9]Rev_NP-12me'!AQ113</f>
        <v>1.2887825580290462</v>
      </c>
      <c r="G103" s="681">
        <f>'[9]Rev_NP-12me'!S113</f>
        <v>0</v>
      </c>
      <c r="H103" s="682">
        <f>'[9]Rev_NP-12me'!T113</f>
        <v>9.5</v>
      </c>
      <c r="I103" s="681">
        <f>'[9]Rev_NP-12me'!AC113</f>
        <v>2000</v>
      </c>
      <c r="J103" s="681">
        <f>'[9]Rev_NP-12me'!BN113</f>
        <v>0</v>
      </c>
      <c r="K103" s="681">
        <f>'[9]Rev_NP-12me'!BO113</f>
        <v>1.2243434301275937</v>
      </c>
      <c r="L103" s="681">
        <f>'[9]Rev_NP-12me'!BQ113</f>
        <v>0</v>
      </c>
      <c r="M103" s="669">
        <f t="shared" si="2"/>
        <v>1.2243434301275937</v>
      </c>
    </row>
    <row r="104" spans="2:13" ht="14.4" x14ac:dyDescent="0.25">
      <c r="B104" s="706" t="s">
        <v>1102</v>
      </c>
      <c r="C104" s="579"/>
      <c r="D104" s="681">
        <f>'[9]Rev_NP-12me'!AJ114</f>
        <v>0</v>
      </c>
      <c r="E104" s="681">
        <f>'[9]Rev_NP-12me'!AK114</f>
        <v>0</v>
      </c>
      <c r="F104" s="681">
        <f>'[9]Rev_NP-12me'!AQ114</f>
        <v>3.166078070734812</v>
      </c>
      <c r="G104" s="681">
        <f>'[9]Rev_NP-12me'!S114</f>
        <v>0</v>
      </c>
      <c r="H104" s="682">
        <f>'[9]Rev_NP-12me'!T114</f>
        <v>7</v>
      </c>
      <c r="I104" s="681">
        <f>'[9]Rev_NP-12me'!AC114</f>
        <v>2000</v>
      </c>
      <c r="J104" s="681">
        <f>'[9]Rev_NP-12me'!BN114</f>
        <v>0</v>
      </c>
      <c r="K104" s="681">
        <f>'[9]Rev_NP-12me'!BO114</f>
        <v>2.2162546495143682</v>
      </c>
      <c r="L104" s="681">
        <f>'[9]Rev_NP-12me'!BQ114</f>
        <v>0</v>
      </c>
      <c r="M104" s="669">
        <f t="shared" si="2"/>
        <v>2.2162546495143682</v>
      </c>
    </row>
    <row r="105" spans="2:13" ht="14.4" x14ac:dyDescent="0.25">
      <c r="B105" s="704" t="s">
        <v>1136</v>
      </c>
      <c r="C105" s="579"/>
      <c r="D105" s="674">
        <f>'[9]Rev_NP-12me'!$AJ$115</f>
        <v>201</v>
      </c>
      <c r="E105" s="674">
        <f>'[9]Rev_NP-12me'!$AK$115</f>
        <v>66.646100000000004</v>
      </c>
      <c r="F105" s="674">
        <f>'[9]Rev_NP-12me'!$AQ$115</f>
        <v>25.053964301999997</v>
      </c>
      <c r="G105" s="681">
        <f>'[9]Rev_NP-12me'!S115</f>
        <v>0</v>
      </c>
      <c r="H105" s="682">
        <f>'[9]Rev_NP-12me'!T115</f>
        <v>0</v>
      </c>
      <c r="I105" s="674">
        <f>'[9]Rev_NP-12me'!AC115</f>
        <v>0</v>
      </c>
      <c r="J105" s="674">
        <f>'[9]Rev_NP-12me'!$BN$115</f>
        <v>11.496452250000001</v>
      </c>
      <c r="K105" s="674">
        <f>'[9]Rev_NP-12me'!$BO$115</f>
        <v>15.783997510259997</v>
      </c>
      <c r="L105" s="674">
        <f>'[9]Rev_NP-12me'!$BQ$115</f>
        <v>0.4824</v>
      </c>
      <c r="M105" s="674">
        <f t="shared" si="2"/>
        <v>27.762849760259996</v>
      </c>
    </row>
    <row r="106" spans="2:13" ht="14.4" x14ac:dyDescent="0.25">
      <c r="B106" s="706" t="s">
        <v>1137</v>
      </c>
      <c r="C106" s="579"/>
      <c r="D106" s="681">
        <f>'[9]Rev_NP-12me'!$AJ$116</f>
        <v>201</v>
      </c>
      <c r="E106" s="681">
        <f>'[9]Rev_NP-12me'!$AK$116</f>
        <v>66.646100000000004</v>
      </c>
      <c r="F106" s="681">
        <f>'[9]Rev_NP-12me'!$AQ$116</f>
        <v>25.053964301999997</v>
      </c>
      <c r="G106" s="681">
        <f>'[9]Rev_NP-12me'!S116</f>
        <v>300</v>
      </c>
      <c r="H106" s="682">
        <f>'[9]Rev_NP-12me'!T116</f>
        <v>6.3</v>
      </c>
      <c r="I106" s="681">
        <f>'[9]Rev_NP-12me'!AC116</f>
        <v>2000</v>
      </c>
      <c r="J106" s="681">
        <f>'[9]Rev_NP-12me'!$BN$116</f>
        <v>11.496452250000001</v>
      </c>
      <c r="K106" s="681">
        <f>'[9]Rev_NP-12me'!$BO$116</f>
        <v>15.783997510259997</v>
      </c>
      <c r="L106" s="681">
        <f>'[9]Rev_NP-12me'!$BQ$116</f>
        <v>0.4824</v>
      </c>
      <c r="M106" s="669">
        <f t="shared" si="2"/>
        <v>27.762849760259996</v>
      </c>
    </row>
    <row r="107" spans="2:13" x14ac:dyDescent="0.25">
      <c r="B107" s="704" t="s">
        <v>1138</v>
      </c>
      <c r="C107" s="579"/>
      <c r="D107" s="674">
        <f>'[9]Rev_NP-12me'!$AJ$127</f>
        <v>112</v>
      </c>
      <c r="E107" s="674">
        <f>'[9]Rev_NP-12me'!$AK$127</f>
        <v>34.741</v>
      </c>
      <c r="F107" s="674">
        <f>'[9]Rev_NP-12me'!$AQ$127</f>
        <v>165.21909294276438</v>
      </c>
      <c r="G107" s="674">
        <f>'[9]Rev_NP-12me'!S127</f>
        <v>0</v>
      </c>
      <c r="H107" s="688">
        <f>'[9]Rev_NP-12me'!T127</f>
        <v>0</v>
      </c>
      <c r="I107" s="674">
        <f>'[9]Rev_NP-12me'!AC127</f>
        <v>0</v>
      </c>
      <c r="J107" s="674">
        <f>'[9]Rev_NP-12me'!$BN$127</f>
        <v>0</v>
      </c>
      <c r="K107" s="674">
        <f>'[9]Rev_NP-12me'!$BO$127</f>
        <v>100.78364669508626</v>
      </c>
      <c r="L107" s="674">
        <f>'[9]Rev_NP-12me'!$BQ$127</f>
        <v>0.26879999999999998</v>
      </c>
      <c r="M107" s="674">
        <f t="shared" si="2"/>
        <v>101.05244669508626</v>
      </c>
    </row>
    <row r="108" spans="2:13" ht="14.4" x14ac:dyDescent="0.25">
      <c r="B108" s="706" t="s">
        <v>216</v>
      </c>
      <c r="C108" s="579"/>
      <c r="D108" s="681">
        <f>'[9]Rev_NP-12me'!$AJ$128</f>
        <v>112</v>
      </c>
      <c r="E108" s="681">
        <f>'[9]Rev_NP-12me'!$AK$128</f>
        <v>34.741</v>
      </c>
      <c r="F108" s="681">
        <f>'[9]Rev_NP-12me'!$AQ$128</f>
        <v>165.21909294276438</v>
      </c>
      <c r="G108" s="669">
        <f>'[9]Rev_NP-12me'!S128</f>
        <v>0</v>
      </c>
      <c r="H108" s="670">
        <f>'[9]Rev_NP-12me'!T128</f>
        <v>6.1</v>
      </c>
      <c r="I108" s="669">
        <f>'[9]Rev_NP-12me'!AC128</f>
        <v>2000</v>
      </c>
      <c r="J108" s="681">
        <f>'[9]Rev_NP-12me'!$BN$128</f>
        <v>0</v>
      </c>
      <c r="K108" s="681">
        <f>'[9]Rev_NP-12me'!$BO$128</f>
        <v>100.78364669508626</v>
      </c>
      <c r="L108" s="681">
        <f>'[9]Rev_NP-12me'!$BQ$128</f>
        <v>0.26879999999999998</v>
      </c>
      <c r="M108" s="669">
        <f t="shared" si="2"/>
        <v>101.05244669508626</v>
      </c>
    </row>
    <row r="109" spans="2:13" ht="14.4" x14ac:dyDescent="0.25">
      <c r="B109" s="706" t="s">
        <v>1139</v>
      </c>
      <c r="C109" s="579"/>
      <c r="D109" s="681">
        <f>'[9]Rev_NP-12me'!AJ129</f>
        <v>0</v>
      </c>
      <c r="E109" s="681">
        <f>'[9]Rev_NP-12me'!AK129</f>
        <v>0</v>
      </c>
      <c r="F109" s="681">
        <f>'[9]Rev_NP-12me'!AQ129</f>
        <v>0</v>
      </c>
      <c r="G109" s="669">
        <f>'[9]Rev_NP-12me'!S129</f>
        <v>0</v>
      </c>
      <c r="H109" s="670">
        <f>'[9]Rev_NP-12me'!T129</f>
        <v>0</v>
      </c>
      <c r="I109" s="669">
        <f>'[9]Rev_NP-12me'!AC129</f>
        <v>2000</v>
      </c>
      <c r="J109" s="681">
        <f>'[9]Rev_NP-12me'!BN129</f>
        <v>0</v>
      </c>
      <c r="K109" s="681">
        <f>'[9]Rev_NP-12me'!BO129</f>
        <v>0</v>
      </c>
      <c r="L109" s="681">
        <f>'[9]Rev_NP-12me'!BQ129</f>
        <v>0</v>
      </c>
      <c r="M109" s="669">
        <f t="shared" si="2"/>
        <v>0</v>
      </c>
    </row>
    <row r="110" spans="2:13" x14ac:dyDescent="0.25">
      <c r="B110" s="704" t="s">
        <v>1140</v>
      </c>
      <c r="C110" s="579"/>
      <c r="D110" s="674">
        <f>'[9]Rev_NP-12me'!$AJ$118</f>
        <v>0</v>
      </c>
      <c r="E110" s="674">
        <f>'[9]Rev_NP-12me'!$AK$118</f>
        <v>0</v>
      </c>
      <c r="F110" s="674">
        <f>'[9]Rev_NP-12me'!$AQ$118</f>
        <v>0</v>
      </c>
      <c r="G110" s="674">
        <f>'[9]Rev_NP-12me'!S118</f>
        <v>500</v>
      </c>
      <c r="H110" s="688">
        <f>'[9]Rev_NP-12me'!T118</f>
        <v>5.05</v>
      </c>
      <c r="I110" s="674">
        <f>'[9]Rev_NP-12me'!AC118</f>
        <v>2000</v>
      </c>
      <c r="J110" s="674">
        <f>'[9]Rev_NP-12me'!$BN$118</f>
        <v>0</v>
      </c>
      <c r="K110" s="674">
        <f>'[9]Rev_NP-12me'!$BO$118</f>
        <v>0</v>
      </c>
      <c r="L110" s="674">
        <f>'[9]Rev_NP-12me'!$BQ$118</f>
        <v>0</v>
      </c>
      <c r="M110" s="674">
        <f t="shared" si="2"/>
        <v>0</v>
      </c>
    </row>
    <row r="111" spans="2:13" x14ac:dyDescent="0.25">
      <c r="B111" s="704" t="s">
        <v>1141</v>
      </c>
      <c r="C111" s="579"/>
      <c r="D111" s="674">
        <f>'[9]Rev_NP-12me'!$AJ$119</f>
        <v>0</v>
      </c>
      <c r="E111" s="674">
        <f>'[9]Rev_NP-12me'!$AK$119</f>
        <v>0</v>
      </c>
      <c r="F111" s="674">
        <f>'[9]Rev_NP-12me'!$AQ$119</f>
        <v>0</v>
      </c>
      <c r="G111" s="674">
        <f>'[9]Rev_NP-12me'!S119</f>
        <v>500</v>
      </c>
      <c r="H111" s="688">
        <f>'[9]Rev_NP-12me'!T119</f>
        <v>4.95</v>
      </c>
      <c r="I111" s="674">
        <f>'[9]Rev_NP-12me'!AC119</f>
        <v>2000</v>
      </c>
      <c r="J111" s="674">
        <f>'[9]Rev_NP-12me'!$BN$119</f>
        <v>0</v>
      </c>
      <c r="K111" s="674">
        <f>'[9]Rev_NP-12me'!$BO$119</f>
        <v>0</v>
      </c>
      <c r="L111" s="674">
        <f>'[9]Rev_NP-12me'!$BQ$119</f>
        <v>0</v>
      </c>
      <c r="M111" s="674">
        <f t="shared" si="2"/>
        <v>0</v>
      </c>
    </row>
    <row r="112" spans="2:13" x14ac:dyDescent="0.25">
      <c r="B112" s="704" t="s">
        <v>811</v>
      </c>
      <c r="C112" s="579"/>
      <c r="D112" s="674">
        <f>'[9]Rev_NP-12me'!$AJ$117</f>
        <v>19</v>
      </c>
      <c r="E112" s="674">
        <f>'[9]Rev_NP-12me'!$AK$117</f>
        <v>5.53</v>
      </c>
      <c r="F112" s="674">
        <f>'[9]Rev_NP-12me'!$AQ$117</f>
        <v>9.2586596461890274</v>
      </c>
      <c r="G112" s="674">
        <f>'[9]Rev_NP-12me'!S117</f>
        <v>285</v>
      </c>
      <c r="H112" s="688">
        <f>'[9]Rev_NP-12me'!T117</f>
        <v>7.3</v>
      </c>
      <c r="I112" s="674">
        <f>'[9]Rev_NP-12me'!AC117</f>
        <v>2000</v>
      </c>
      <c r="J112" s="674">
        <f>'[9]Rev_NP-12me'!$BN$117</f>
        <v>1.5130080000000001</v>
      </c>
      <c r="K112" s="674">
        <f>'[9]Rev_NP-12me'!$BO$117</f>
        <v>6.7588215417179898</v>
      </c>
      <c r="L112" s="674">
        <f>'[9]Rev_NP-12me'!$BQ$117</f>
        <v>4.5600000000000002E-2</v>
      </c>
      <c r="M112" s="674">
        <f t="shared" si="2"/>
        <v>8.3174295417179902</v>
      </c>
    </row>
    <row r="113" spans="2:13" x14ac:dyDescent="0.25">
      <c r="B113" s="704" t="s">
        <v>813</v>
      </c>
      <c r="C113" s="579"/>
      <c r="D113" s="674">
        <f>'[9]Rev_NP-12me'!$AJ$120</f>
        <v>41</v>
      </c>
      <c r="E113" s="674">
        <f>'[9]Rev_NP-12me'!$AK$120</f>
        <v>9.6270000000000007</v>
      </c>
      <c r="F113" s="674">
        <f>'[9]Rev_NP-12me'!$AQ$120</f>
        <v>14.611284000000001</v>
      </c>
      <c r="G113" s="674">
        <f>'[9]Rev_NP-12me'!S120</f>
        <v>500</v>
      </c>
      <c r="H113" s="688">
        <f>'[9]Rev_NP-12me'!T120</f>
        <v>11.8</v>
      </c>
      <c r="I113" s="674">
        <f>'[9]Rev_NP-12me'!AC120</f>
        <v>2000</v>
      </c>
      <c r="J113" s="674">
        <f>'[9]Rev_NP-12me'!$BN$120</f>
        <v>4.6209600000000002</v>
      </c>
      <c r="K113" s="674">
        <f>'[9]Rev_NP-12me'!$BO$120</f>
        <v>17.241315120000003</v>
      </c>
      <c r="L113" s="674">
        <f>'[9]Rev_NP-12me'!$BQ$120</f>
        <v>9.8400000000000001E-2</v>
      </c>
      <c r="M113" s="674">
        <f t="shared" si="2"/>
        <v>21.960675120000005</v>
      </c>
    </row>
    <row r="114" spans="2:13" x14ac:dyDescent="0.25">
      <c r="B114" s="704" t="s">
        <v>1142</v>
      </c>
      <c r="C114" s="579"/>
      <c r="D114" s="674">
        <f>'[9]Rev_NP-12me'!$AJ$121</f>
        <v>1</v>
      </c>
      <c r="E114" s="674">
        <f>'[9]Rev_NP-12me'!$AK$121</f>
        <v>532.6</v>
      </c>
      <c r="F114" s="674">
        <f>'[9]Rev_NP-12me'!$AQ$121</f>
        <v>1235.0571142844228</v>
      </c>
      <c r="G114" s="674">
        <f>'[9]Rev_NP-12me'!S121</f>
        <v>0</v>
      </c>
      <c r="H114" s="688">
        <f>'[9]Rev_NP-12me'!T121</f>
        <v>4.7699999999999996</v>
      </c>
      <c r="I114" s="674">
        <f>'[9]Rev_NP-12me'!AC121</f>
        <v>2000</v>
      </c>
      <c r="J114" s="674">
        <f>'[9]Rev_NP-12me'!$BN$121</f>
        <v>0</v>
      </c>
      <c r="K114" s="674">
        <f>'[9]Rev_NP-12me'!$BO$121</f>
        <v>589.12224351366967</v>
      </c>
      <c r="L114" s="674">
        <f>'[9]Rev_NP-12me'!$BQ$121</f>
        <v>0</v>
      </c>
      <c r="M114" s="674">
        <f t="shared" si="2"/>
        <v>589.12224351366967</v>
      </c>
    </row>
    <row r="115" spans="2:13" x14ac:dyDescent="0.25">
      <c r="B115" s="704" t="s">
        <v>1143</v>
      </c>
      <c r="C115" s="579"/>
      <c r="D115" s="674">
        <f>'[9]Rev_NP-12me'!$AJ$122</f>
        <v>0</v>
      </c>
      <c r="E115" s="674">
        <f>'[9]Rev_NP-12me'!$AK$122</f>
        <v>0</v>
      </c>
      <c r="F115" s="674">
        <f>'[9]Rev_NP-12me'!$AQ$122</f>
        <v>0</v>
      </c>
      <c r="G115" s="674"/>
      <c r="H115" s="688"/>
      <c r="I115" s="674">
        <f>'[9]Rev_NP-12me'!$AC$122</f>
        <v>2000</v>
      </c>
      <c r="J115" s="674">
        <f>'[9]Rev_NP-12me'!$BN$122</f>
        <v>0</v>
      </c>
      <c r="K115" s="674">
        <f>'[9]Rev_NP-12me'!$BO$122</f>
        <v>0</v>
      </c>
      <c r="L115" s="674">
        <f>'[9]Rev_NP-12me'!$BQ$122</f>
        <v>0</v>
      </c>
      <c r="M115" s="674">
        <f t="shared" si="2"/>
        <v>0</v>
      </c>
    </row>
    <row r="116" spans="2:13" ht="14.4" x14ac:dyDescent="0.25">
      <c r="B116" s="711" t="s">
        <v>1134</v>
      </c>
      <c r="C116" s="579"/>
      <c r="D116" s="681">
        <f>'[9]Rev_NP-12me'!AJ123</f>
        <v>0</v>
      </c>
      <c r="E116" s="681">
        <f>'[9]Rev_NP-12me'!AK123</f>
        <v>0</v>
      </c>
      <c r="F116" s="681">
        <f>'[9]Rev_NP-12me'!AQ123</f>
        <v>0</v>
      </c>
      <c r="G116" s="681">
        <f>'[9]Rev_NP-12me'!S123</f>
        <v>100</v>
      </c>
      <c r="H116" s="682">
        <f>'[9]Rev_NP-12me'!T123</f>
        <v>6</v>
      </c>
      <c r="I116" s="681">
        <f>'[9]Rev_NP-12me'!AC123</f>
        <v>2000</v>
      </c>
      <c r="J116" s="681">
        <f>'[9]Rev_NP-12me'!BN123</f>
        <v>0</v>
      </c>
      <c r="K116" s="681">
        <f>'[9]Rev_NP-12me'!BO123</f>
        <v>0</v>
      </c>
      <c r="L116" s="681">
        <f>'[9]Rev_NP-12me'!BQ123</f>
        <v>0</v>
      </c>
      <c r="M116" s="669">
        <f t="shared" si="2"/>
        <v>0</v>
      </c>
    </row>
    <row r="117" spans="2:13" ht="14.4" x14ac:dyDescent="0.25">
      <c r="B117" s="711" t="s">
        <v>1100</v>
      </c>
      <c r="C117" s="579"/>
      <c r="D117" s="681">
        <f>'[9]Rev_NP-12me'!AJ124</f>
        <v>0</v>
      </c>
      <c r="E117" s="681">
        <f>'[9]Rev_NP-12me'!AK124</f>
        <v>0</v>
      </c>
      <c r="F117" s="681">
        <f>'[9]Rev_NP-12me'!AQ124</f>
        <v>0</v>
      </c>
      <c r="G117" s="681">
        <f>'[9]Rev_NP-12me'!S124</f>
        <v>0</v>
      </c>
      <c r="H117" s="682">
        <f>'[9]Rev_NP-12me'!T124</f>
        <v>7</v>
      </c>
      <c r="I117" s="681">
        <f>'[9]Rev_NP-12me'!AC124</f>
        <v>2000</v>
      </c>
      <c r="J117" s="681">
        <f>'[9]Rev_NP-12me'!BN124</f>
        <v>0</v>
      </c>
      <c r="K117" s="681">
        <f>'[9]Rev_NP-12me'!BO124</f>
        <v>0</v>
      </c>
      <c r="L117" s="681">
        <f>'[9]Rev_NP-12me'!BQ124</f>
        <v>0</v>
      </c>
      <c r="M117" s="669">
        <f t="shared" si="2"/>
        <v>0</v>
      </c>
    </row>
    <row r="118" spans="2:13" ht="14.4" x14ac:dyDescent="0.25">
      <c r="B118" s="711" t="s">
        <v>1101</v>
      </c>
      <c r="C118" s="579"/>
      <c r="D118" s="681">
        <f>'[9]Rev_NP-12me'!AJ125</f>
        <v>0</v>
      </c>
      <c r="E118" s="681">
        <f>'[9]Rev_NP-12me'!AK125</f>
        <v>0</v>
      </c>
      <c r="F118" s="681">
        <f>'[9]Rev_NP-12me'!AQ125</f>
        <v>0</v>
      </c>
      <c r="G118" s="681">
        <f>'[9]Rev_NP-12me'!S125</f>
        <v>0</v>
      </c>
      <c r="H118" s="682">
        <f>'[9]Rev_NP-12me'!T125</f>
        <v>7</v>
      </c>
      <c r="I118" s="681">
        <f>'[9]Rev_NP-12me'!AC125</f>
        <v>2000</v>
      </c>
      <c r="J118" s="681">
        <f>'[9]Rev_NP-12me'!BN125</f>
        <v>0</v>
      </c>
      <c r="K118" s="681">
        <f>'[9]Rev_NP-12me'!BO125</f>
        <v>0</v>
      </c>
      <c r="L118" s="681">
        <f>'[9]Rev_NP-12me'!BQ125</f>
        <v>0</v>
      </c>
      <c r="M118" s="669">
        <f t="shared" si="2"/>
        <v>0</v>
      </c>
    </row>
    <row r="119" spans="2:13" ht="14.4" x14ac:dyDescent="0.25">
      <c r="B119" s="711" t="s">
        <v>1102</v>
      </c>
      <c r="C119" s="579"/>
      <c r="D119" s="681">
        <f>'[9]Rev_NP-12me'!AJ126</f>
        <v>0</v>
      </c>
      <c r="E119" s="681">
        <f>'[9]Rev_NP-12me'!AK126</f>
        <v>0</v>
      </c>
      <c r="F119" s="681">
        <f>'[9]Rev_NP-12me'!AQ126</f>
        <v>0</v>
      </c>
      <c r="G119" s="681">
        <f>'[9]Rev_NP-12me'!S126</f>
        <v>0</v>
      </c>
      <c r="H119" s="682">
        <f>'[9]Rev_NP-12me'!T126</f>
        <v>4.5</v>
      </c>
      <c r="I119" s="681">
        <f>'[9]Rev_NP-12me'!AC126</f>
        <v>2000</v>
      </c>
      <c r="J119" s="681">
        <f>'[9]Rev_NP-12me'!BN126</f>
        <v>0</v>
      </c>
      <c r="K119" s="681">
        <f>'[9]Rev_NP-12me'!BO126</f>
        <v>0</v>
      </c>
      <c r="L119" s="681">
        <f>'[9]Rev_NP-12me'!BQ126</f>
        <v>0</v>
      </c>
      <c r="M119" s="669">
        <f t="shared" si="2"/>
        <v>0</v>
      </c>
    </row>
    <row r="120" spans="2:13" x14ac:dyDescent="0.25">
      <c r="B120" s="712" t="s">
        <v>1144</v>
      </c>
      <c r="C120" s="579"/>
      <c r="D120" s="674">
        <f>SUM(D74,D89,D90,D95,D100,D105,D107,D110,D111,D112,D113,D114,D115)</f>
        <v>3796</v>
      </c>
      <c r="E120" s="688">
        <f t="shared" ref="E120:F120" si="3">SUM(E74,E89,E90,E95,E100,E105,E107,E110,E111,E112,E113,E114,E115)</f>
        <v>1345.98108</v>
      </c>
      <c r="F120" s="674">
        <f t="shared" si="3"/>
        <v>2922.5039022372134</v>
      </c>
      <c r="G120" s="669"/>
      <c r="H120" s="669"/>
      <c r="I120" s="669"/>
      <c r="J120" s="674">
        <f t="shared" ref="J120:M120" si="4">SUM(J74,J89,J90,J95,J100,J105,J107,J110,J111,J112,J113,J114,J115)</f>
        <v>315.7321258500001</v>
      </c>
      <c r="K120" s="674">
        <f t="shared" si="4"/>
        <v>1877.6865704757513</v>
      </c>
      <c r="L120" s="674">
        <f t="shared" si="4"/>
        <v>8.9507999999999992</v>
      </c>
      <c r="M120" s="674">
        <f t="shared" si="4"/>
        <v>2202.3694963257512</v>
      </c>
    </row>
    <row r="121" spans="2:13" x14ac:dyDescent="0.25">
      <c r="B121" s="579"/>
      <c r="C121" s="579"/>
      <c r="D121" s="697"/>
      <c r="E121" s="697"/>
      <c r="F121" s="697"/>
      <c r="G121" s="697"/>
      <c r="H121" s="697"/>
      <c r="I121" s="697"/>
      <c r="J121" s="697"/>
      <c r="K121" s="697"/>
      <c r="L121" s="697"/>
      <c r="M121" s="697"/>
    </row>
    <row r="122" spans="2:13" x14ac:dyDescent="0.25">
      <c r="B122" s="704" t="s">
        <v>213</v>
      </c>
      <c r="C122" s="579"/>
      <c r="D122" s="669"/>
      <c r="E122" s="669"/>
      <c r="F122" s="669"/>
      <c r="G122" s="669"/>
      <c r="H122" s="669"/>
      <c r="I122" s="669"/>
      <c r="J122" s="669"/>
      <c r="K122" s="669"/>
      <c r="L122" s="669"/>
      <c r="M122" s="669"/>
    </row>
    <row r="123" spans="2:13" x14ac:dyDescent="0.25">
      <c r="B123" s="704" t="s">
        <v>1145</v>
      </c>
      <c r="C123" s="579"/>
      <c r="D123" s="674">
        <f>'[9]Rev_NP-12me'!AJ144</f>
        <v>52</v>
      </c>
      <c r="E123" s="674">
        <f>'[9]Rev_NP-12me'!AK144</f>
        <v>73.105999999999995</v>
      </c>
      <c r="F123" s="674">
        <f>'[9]Rev_NP-12me'!AQ144</f>
        <v>227.82383538265128</v>
      </c>
      <c r="G123" s="674">
        <f>'[9]Rev_NP-12me'!S144</f>
        <v>0</v>
      </c>
      <c r="H123" s="688">
        <f>'[9]Rev_NP-12me'!T144</f>
        <v>0</v>
      </c>
      <c r="I123" s="674">
        <f>'[9]Rev_NP-12me'!AC144</f>
        <v>0</v>
      </c>
      <c r="J123" s="674">
        <f>'[9]Rev_NP-12me'!BN144</f>
        <v>35.090879999999999</v>
      </c>
      <c r="K123" s="674">
        <f>'[9]Rev_NP-12me'!BO144</f>
        <v>157.52285302137301</v>
      </c>
      <c r="L123" s="674">
        <f>'[9]Rev_NP-12me'!BQ144</f>
        <v>0.21840000000000001</v>
      </c>
      <c r="M123" s="674">
        <f t="shared" ref="M123:M163" si="5">SUM(J123:L123)</f>
        <v>192.83213302137301</v>
      </c>
    </row>
    <row r="124" spans="2:13" x14ac:dyDescent="0.25">
      <c r="B124" s="713" t="s">
        <v>1146</v>
      </c>
      <c r="C124" s="579"/>
      <c r="D124" s="669">
        <f>'[9]Rev_NP-12me'!AJ145</f>
        <v>52</v>
      </c>
      <c r="E124" s="669">
        <f>'[9]Rev_NP-12me'!AK145</f>
        <v>73.105999999999995</v>
      </c>
      <c r="F124" s="669">
        <f>'[9]Rev_NP-12me'!AQ145</f>
        <v>227.82383538265128</v>
      </c>
      <c r="G124" s="669">
        <f>'[9]Rev_NP-12me'!S145</f>
        <v>0</v>
      </c>
      <c r="H124" s="670">
        <f>'[9]Rev_NP-12me'!T145</f>
        <v>0</v>
      </c>
      <c r="I124" s="669">
        <f>'[9]Rev_NP-12me'!AC145</f>
        <v>0</v>
      </c>
      <c r="J124" s="669">
        <f>'[9]Rev_NP-12me'!BN145</f>
        <v>35.090879999999999</v>
      </c>
      <c r="K124" s="669">
        <f>'[9]Rev_NP-12me'!BO145</f>
        <v>157.52285302137301</v>
      </c>
      <c r="L124" s="669">
        <f>'[9]Rev_NP-12me'!BQ145</f>
        <v>0.21840000000000001</v>
      </c>
      <c r="M124" s="669">
        <f t="shared" si="5"/>
        <v>192.83213302137301</v>
      </c>
    </row>
    <row r="125" spans="2:13" ht="14.4" x14ac:dyDescent="0.25">
      <c r="B125" s="706" t="s">
        <v>1119</v>
      </c>
      <c r="C125" s="579"/>
      <c r="D125" s="681">
        <f>'[9]Rev_NP-12me'!AJ146</f>
        <v>52</v>
      </c>
      <c r="E125" s="681">
        <f>'[9]Rev_NP-12me'!AK146</f>
        <v>73.105999999999995</v>
      </c>
      <c r="F125" s="681">
        <f>'[9]Rev_NP-12me'!AQ146</f>
        <v>41.910336373878579</v>
      </c>
      <c r="G125" s="669">
        <f>'[9]Rev_NP-12me'!S146</f>
        <v>500</v>
      </c>
      <c r="H125" s="670">
        <f>'[9]Rev_NP-12me'!T146</f>
        <v>7.15</v>
      </c>
      <c r="I125" s="669">
        <f>'[9]Rev_NP-12me'!AC146</f>
        <v>3500</v>
      </c>
      <c r="J125" s="681">
        <f>'[9]Rev_NP-12me'!BN146</f>
        <v>35.090879999999999</v>
      </c>
      <c r="K125" s="681">
        <f>'[9]Rev_NP-12me'!BO146</f>
        <v>29.965890507323184</v>
      </c>
      <c r="L125" s="681">
        <f>'[9]Rev_NP-12me'!BQ146</f>
        <v>0.21840000000000001</v>
      </c>
      <c r="M125" s="669">
        <f t="shared" si="5"/>
        <v>65.275170507323182</v>
      </c>
    </row>
    <row r="126" spans="2:13" ht="14.4" x14ac:dyDescent="0.25">
      <c r="B126" s="706" t="s">
        <v>1147</v>
      </c>
      <c r="C126" s="579"/>
      <c r="D126" s="681">
        <f>'[9]Rev_NP-12me'!AJ148</f>
        <v>0</v>
      </c>
      <c r="E126" s="681">
        <f>'[9]Rev_NP-12me'!AK148</f>
        <v>0</v>
      </c>
      <c r="F126" s="681">
        <f>'[9]Rev_NP-12me'!AQ148</f>
        <v>0</v>
      </c>
      <c r="G126" s="669">
        <f>'[9]Rev_NP-12me'!S148</f>
        <v>0</v>
      </c>
      <c r="H126" s="670">
        <f>'[9]Rev_NP-12me'!T148</f>
        <v>7.15</v>
      </c>
      <c r="I126" s="669">
        <f>'[9]Rev_NP-12me'!AC148</f>
        <v>3500</v>
      </c>
      <c r="J126" s="681">
        <f>'[9]Rev_NP-12me'!BN148</f>
        <v>0</v>
      </c>
      <c r="K126" s="681">
        <f>'[9]Rev_NP-12me'!BO148</f>
        <v>0</v>
      </c>
      <c r="L126" s="681">
        <f>'[9]Rev_NP-12me'!BQ148</f>
        <v>0</v>
      </c>
      <c r="M126" s="669">
        <f t="shared" si="5"/>
        <v>0</v>
      </c>
    </row>
    <row r="127" spans="2:13" ht="14.4" x14ac:dyDescent="0.25">
      <c r="B127" s="706" t="s">
        <v>1148</v>
      </c>
      <c r="C127" s="579"/>
      <c r="D127" s="681">
        <f>'[9]Rev_NP-12me'!AJ149</f>
        <v>0</v>
      </c>
      <c r="E127" s="681">
        <f>'[9]Rev_NP-12me'!AK149</f>
        <v>0</v>
      </c>
      <c r="F127" s="681">
        <f>'[9]Rev_NP-12me'!AQ149</f>
        <v>0</v>
      </c>
      <c r="G127" s="669">
        <f>'[9]Rev_NP-12me'!S149</f>
        <v>0</v>
      </c>
      <c r="H127" s="670">
        <f>'[9]Rev_NP-12me'!T149</f>
        <v>7.3</v>
      </c>
      <c r="I127" s="669">
        <f>'[9]Rev_NP-12me'!AC149</f>
        <v>3500</v>
      </c>
      <c r="J127" s="681">
        <f>'[9]Rev_NP-12me'!BN149</f>
        <v>0</v>
      </c>
      <c r="K127" s="681">
        <f>'[9]Rev_NP-12me'!BO149</f>
        <v>0</v>
      </c>
      <c r="L127" s="681">
        <f>'[9]Rev_NP-12me'!BQ149</f>
        <v>0</v>
      </c>
      <c r="M127" s="669">
        <f t="shared" si="5"/>
        <v>0</v>
      </c>
    </row>
    <row r="128" spans="2:13" ht="14.4" x14ac:dyDescent="0.25">
      <c r="B128" s="706" t="s">
        <v>1149</v>
      </c>
      <c r="C128" s="579"/>
      <c r="D128" s="681">
        <f>'[9]Rev_NP-12me'!AJ150</f>
        <v>0</v>
      </c>
      <c r="E128" s="681">
        <f>'[9]Rev_NP-12me'!AK150</f>
        <v>0</v>
      </c>
      <c r="F128" s="681">
        <f>'[9]Rev_NP-12me'!AQ150</f>
        <v>0</v>
      </c>
      <c r="G128" s="669">
        <f>'[9]Rev_NP-12me'!S150</f>
        <v>500</v>
      </c>
      <c r="H128" s="670">
        <f>'[9]Rev_NP-12me'!T150</f>
        <v>7.9</v>
      </c>
      <c r="I128" s="669">
        <f>'[9]Rev_NP-12me'!AC150</f>
        <v>3500</v>
      </c>
      <c r="J128" s="681">
        <f>'[9]Rev_NP-12me'!BN150</f>
        <v>0</v>
      </c>
      <c r="K128" s="681">
        <f>'[9]Rev_NP-12me'!BO150</f>
        <v>0</v>
      </c>
      <c r="L128" s="681">
        <f>'[9]Rev_NP-12me'!BQ150</f>
        <v>0</v>
      </c>
      <c r="M128" s="669">
        <f t="shared" si="5"/>
        <v>0</v>
      </c>
    </row>
    <row r="129" spans="2:13" ht="14.4" x14ac:dyDescent="0.25">
      <c r="B129" s="711" t="s">
        <v>1100</v>
      </c>
      <c r="C129" s="579"/>
      <c r="D129" s="681">
        <f>'[9]Rev_NP-12me'!AJ151</f>
        <v>0</v>
      </c>
      <c r="E129" s="681">
        <f>'[9]Rev_NP-12me'!AK151</f>
        <v>0</v>
      </c>
      <c r="F129" s="681">
        <f>'[9]Rev_NP-12me'!AQ151</f>
        <v>49.426819342817723</v>
      </c>
      <c r="G129" s="669">
        <f>'[9]Rev_NP-12me'!S151</f>
        <v>0</v>
      </c>
      <c r="H129" s="670">
        <f>'[9]Rev_NP-12me'!T151</f>
        <v>8.15</v>
      </c>
      <c r="I129" s="669">
        <f>'[9]Rev_NP-12me'!AC151</f>
        <v>3500</v>
      </c>
      <c r="J129" s="681">
        <f>'[9]Rev_NP-12me'!BN151</f>
        <v>0</v>
      </c>
      <c r="K129" s="681">
        <f>'[9]Rev_NP-12me'!BO151</f>
        <v>40.282857764396446</v>
      </c>
      <c r="L129" s="681">
        <f>'[9]Rev_NP-12me'!BQ151</f>
        <v>0</v>
      </c>
      <c r="M129" s="669">
        <f t="shared" si="5"/>
        <v>40.282857764396446</v>
      </c>
    </row>
    <row r="130" spans="2:13" ht="14.4" x14ac:dyDescent="0.25">
      <c r="B130" s="711" t="s">
        <v>1101</v>
      </c>
      <c r="C130" s="579"/>
      <c r="D130" s="681">
        <f>'[9]Rev_NP-12me'!AJ152</f>
        <v>0</v>
      </c>
      <c r="E130" s="681">
        <f>'[9]Rev_NP-12me'!AK152</f>
        <v>0</v>
      </c>
      <c r="F130" s="681">
        <f>'[9]Rev_NP-12me'!AQ152</f>
        <v>40.636522953555243</v>
      </c>
      <c r="G130" s="669">
        <f>'[9]Rev_NP-12me'!S152</f>
        <v>0</v>
      </c>
      <c r="H130" s="670">
        <f>'[9]Rev_NP-12me'!T152</f>
        <v>8.15</v>
      </c>
      <c r="I130" s="669">
        <f>'[9]Rev_NP-12me'!AC152</f>
        <v>3500</v>
      </c>
      <c r="J130" s="681">
        <f>'[9]Rev_NP-12me'!BN152</f>
        <v>0</v>
      </c>
      <c r="K130" s="681">
        <f>'[9]Rev_NP-12me'!BO152</f>
        <v>33.118766207147523</v>
      </c>
      <c r="L130" s="681">
        <f>'[9]Rev_NP-12me'!BQ152</f>
        <v>0</v>
      </c>
      <c r="M130" s="669">
        <f t="shared" si="5"/>
        <v>33.118766207147523</v>
      </c>
    </row>
    <row r="131" spans="2:13" ht="14.4" x14ac:dyDescent="0.25">
      <c r="B131" s="711" t="s">
        <v>1102</v>
      </c>
      <c r="C131" s="579"/>
      <c r="D131" s="681">
        <f>'[9]Rev_NP-12me'!AJ154</f>
        <v>0</v>
      </c>
      <c r="E131" s="681">
        <f>'[9]Rev_NP-12me'!AK154</f>
        <v>0</v>
      </c>
      <c r="F131" s="681">
        <f>'[9]Rev_NP-12me'!AQ154</f>
        <v>95.850156712399738</v>
      </c>
      <c r="G131" s="669">
        <f>'[9]Rev_NP-12me'!S154</f>
        <v>0</v>
      </c>
      <c r="H131" s="670">
        <f>'[9]Rev_NP-12me'!T154</f>
        <v>5.65</v>
      </c>
      <c r="I131" s="669">
        <f>'[9]Rev_NP-12me'!AC154</f>
        <v>3500</v>
      </c>
      <c r="J131" s="681">
        <f>'[9]Rev_NP-12me'!BN154</f>
        <v>0</v>
      </c>
      <c r="K131" s="681">
        <f>'[9]Rev_NP-12me'!BO154</f>
        <v>54.155338542505852</v>
      </c>
      <c r="L131" s="681">
        <f>'[9]Rev_NP-12me'!BQ154</f>
        <v>0</v>
      </c>
      <c r="M131" s="669">
        <f t="shared" si="5"/>
        <v>54.155338542505852</v>
      </c>
    </row>
    <row r="132" spans="2:13" x14ac:dyDescent="0.25">
      <c r="B132" s="704" t="s">
        <v>1127</v>
      </c>
      <c r="C132" s="579"/>
      <c r="D132" s="669">
        <f>'[9]Rev_NP-12me'!AJ156</f>
        <v>0</v>
      </c>
      <c r="E132" s="669">
        <f>'[9]Rev_NP-12me'!AK156</f>
        <v>0</v>
      </c>
      <c r="F132" s="669">
        <f>'[9]Rev_NP-12me'!AQ156</f>
        <v>0</v>
      </c>
      <c r="G132" s="669">
        <f>'[9]Rev_NP-12me'!S156</f>
        <v>0</v>
      </c>
      <c r="H132" s="670">
        <f>'[9]Rev_NP-12me'!T156</f>
        <v>0</v>
      </c>
      <c r="I132" s="669">
        <f>'[9]Rev_NP-12me'!AC156</f>
        <v>0</v>
      </c>
      <c r="J132" s="669">
        <f>'[9]Rev_NP-12me'!BN156</f>
        <v>0</v>
      </c>
      <c r="K132" s="669">
        <f>'[9]Rev_NP-12me'!BO156</f>
        <v>0</v>
      </c>
      <c r="L132" s="669">
        <f>'[9]Rev_NP-12me'!BQ156</f>
        <v>0</v>
      </c>
      <c r="M132" s="674">
        <f t="shared" si="5"/>
        <v>0</v>
      </c>
    </row>
    <row r="133" spans="2:13" ht="14.4" x14ac:dyDescent="0.25">
      <c r="B133" s="711" t="s">
        <v>1150</v>
      </c>
      <c r="C133" s="579"/>
      <c r="D133" s="681">
        <f>'[9]Rev_NP-12me'!AJ157</f>
        <v>0</v>
      </c>
      <c r="E133" s="681">
        <f>'[9]Rev_NP-12me'!AK157</f>
        <v>0</v>
      </c>
      <c r="F133" s="681">
        <f>'[9]Rev_NP-12me'!AQ157</f>
        <v>0</v>
      </c>
      <c r="G133" s="669">
        <f>'[9]Rev_NP-12me'!S157</f>
        <v>500</v>
      </c>
      <c r="H133" s="670">
        <f>'[9]Rev_NP-12me'!T157</f>
        <v>7.15</v>
      </c>
      <c r="I133" s="669">
        <f>'[9]Rev_NP-12me'!AC157</f>
        <v>3500</v>
      </c>
      <c r="J133" s="681">
        <f>'[9]Rev_NP-12me'!BN157</f>
        <v>0</v>
      </c>
      <c r="K133" s="681">
        <f>'[9]Rev_NP-12me'!BO157</f>
        <v>0</v>
      </c>
      <c r="L133" s="681">
        <f>'[9]Rev_NP-12me'!BQ157</f>
        <v>0</v>
      </c>
      <c r="M133" s="669">
        <f t="shared" si="5"/>
        <v>0</v>
      </c>
    </row>
    <row r="134" spans="2:13" ht="14.4" x14ac:dyDescent="0.25">
      <c r="B134" s="711" t="s">
        <v>1129</v>
      </c>
      <c r="C134" s="579"/>
      <c r="D134" s="681">
        <f>'[9]Rev_NP-12me'!AJ158</f>
        <v>0</v>
      </c>
      <c r="E134" s="681">
        <f>'[9]Rev_NP-12me'!AK158</f>
        <v>0</v>
      </c>
      <c r="F134" s="681">
        <f>'[9]Rev_NP-12me'!AQ158</f>
        <v>0</v>
      </c>
      <c r="G134" s="669">
        <f>'[9]Rev_NP-12me'!S158</f>
        <v>0</v>
      </c>
      <c r="H134" s="670">
        <f>'[9]Rev_NP-12me'!T158</f>
        <v>8.15</v>
      </c>
      <c r="I134" s="669">
        <f>'[9]Rev_NP-12me'!AC158</f>
        <v>3500</v>
      </c>
      <c r="J134" s="681">
        <f>'[9]Rev_NP-12me'!BN158</f>
        <v>0</v>
      </c>
      <c r="K134" s="681">
        <f>'[9]Rev_NP-12me'!BO158</f>
        <v>0</v>
      </c>
      <c r="L134" s="681">
        <f>'[9]Rev_NP-12me'!BQ158</f>
        <v>0</v>
      </c>
      <c r="M134" s="669">
        <f t="shared" si="5"/>
        <v>0</v>
      </c>
    </row>
    <row r="135" spans="2:13" ht="14.4" x14ac:dyDescent="0.25">
      <c r="B135" s="711" t="s">
        <v>1130</v>
      </c>
      <c r="C135" s="579"/>
      <c r="D135" s="681">
        <f>'[9]Rev_NP-12me'!AJ159</f>
        <v>0</v>
      </c>
      <c r="E135" s="681">
        <f>'[9]Rev_NP-12me'!AK159</f>
        <v>0</v>
      </c>
      <c r="F135" s="681">
        <f>'[9]Rev_NP-12me'!AQ159</f>
        <v>0</v>
      </c>
      <c r="G135" s="669">
        <f>'[9]Rev_NP-12me'!S159</f>
        <v>0</v>
      </c>
      <c r="H135" s="670">
        <f>'[9]Rev_NP-12me'!T159</f>
        <v>8.15</v>
      </c>
      <c r="I135" s="669">
        <f>'[9]Rev_NP-12me'!AC159</f>
        <v>3500</v>
      </c>
      <c r="J135" s="681">
        <f>'[9]Rev_NP-12me'!BN159</f>
        <v>0</v>
      </c>
      <c r="K135" s="681">
        <f>'[9]Rev_NP-12me'!BO159</f>
        <v>0</v>
      </c>
      <c r="L135" s="681">
        <f>'[9]Rev_NP-12me'!BQ159</f>
        <v>0</v>
      </c>
      <c r="M135" s="669">
        <f t="shared" si="5"/>
        <v>0</v>
      </c>
    </row>
    <row r="136" spans="2:13" ht="14.4" x14ac:dyDescent="0.25">
      <c r="B136" s="711" t="s">
        <v>1151</v>
      </c>
      <c r="C136" s="579"/>
      <c r="D136" s="681">
        <f>'[9]Rev_NP-12me'!AJ160</f>
        <v>0</v>
      </c>
      <c r="E136" s="681">
        <f>'[9]Rev_NP-12me'!AK160</f>
        <v>0</v>
      </c>
      <c r="F136" s="681">
        <f>'[9]Rev_NP-12me'!AQ160</f>
        <v>0</v>
      </c>
      <c r="G136" s="669">
        <f>'[9]Rev_NP-12me'!S160</f>
        <v>0</v>
      </c>
      <c r="H136" s="670">
        <f>'[9]Rev_NP-12me'!T160</f>
        <v>5.65</v>
      </c>
      <c r="I136" s="669">
        <f>'[9]Rev_NP-12me'!AC160</f>
        <v>3500</v>
      </c>
      <c r="J136" s="681">
        <f>'[9]Rev_NP-12me'!BN160</f>
        <v>0</v>
      </c>
      <c r="K136" s="681">
        <f>'[9]Rev_NP-12me'!BO160</f>
        <v>0</v>
      </c>
      <c r="L136" s="681">
        <f>'[9]Rev_NP-12me'!BQ160</f>
        <v>0</v>
      </c>
      <c r="M136" s="669">
        <f t="shared" si="5"/>
        <v>0</v>
      </c>
    </row>
    <row r="137" spans="2:13" x14ac:dyDescent="0.25">
      <c r="B137" s="704" t="s">
        <v>1132</v>
      </c>
      <c r="C137" s="579"/>
      <c r="D137" s="674">
        <f>'[9]Rev_NP-12me'!AJ161</f>
        <v>1</v>
      </c>
      <c r="E137" s="674">
        <f>'[9]Rev_NP-12me'!AK161</f>
        <v>5.85</v>
      </c>
      <c r="F137" s="674">
        <f>'[9]Rev_NP-12me'!AQ161</f>
        <v>35.5944</v>
      </c>
      <c r="G137" s="674">
        <f>'[9]Rev_NP-12me'!S161</f>
        <v>500</v>
      </c>
      <c r="H137" s="688">
        <f>'[9]Rev_NP-12me'!T161</f>
        <v>7.15</v>
      </c>
      <c r="I137" s="674">
        <f>'[9]Rev_NP-12me'!AC161</f>
        <v>3500</v>
      </c>
      <c r="J137" s="674">
        <f>'[9]Rev_NP-12me'!BN161</f>
        <v>2.8079999999999998</v>
      </c>
      <c r="K137" s="674">
        <f>'[9]Rev_NP-12me'!BO161</f>
        <v>25.449996000000002</v>
      </c>
      <c r="L137" s="674">
        <f>'[9]Rev_NP-12me'!BQ161</f>
        <v>4.1999999999999997E-3</v>
      </c>
      <c r="M137" s="674">
        <f t="shared" si="5"/>
        <v>28.262196000000003</v>
      </c>
    </row>
    <row r="138" spans="2:13" x14ac:dyDescent="0.25">
      <c r="B138" s="704" t="s">
        <v>1133</v>
      </c>
      <c r="C138" s="579"/>
      <c r="D138" s="674">
        <f>'[9]Rev_NP-12me'!AJ162</f>
        <v>22</v>
      </c>
      <c r="E138" s="674">
        <f>'[9]Rev_NP-12me'!AK162</f>
        <v>8.8226499999999994</v>
      </c>
      <c r="F138" s="674">
        <f>'[9]Rev_NP-12me'!AQ162</f>
        <v>16.688775793919998</v>
      </c>
      <c r="G138" s="674">
        <f>'[9]Rev_NP-12me'!S162</f>
        <v>0</v>
      </c>
      <c r="H138" s="688">
        <f>'[9]Rev_NP-12me'!T162</f>
        <v>0</v>
      </c>
      <c r="I138" s="674">
        <f>'[9]Rev_NP-12me'!AC162</f>
        <v>0</v>
      </c>
      <c r="J138" s="674">
        <f>'[9]Rev_NP-12me'!BN162</f>
        <v>4.2348720000000002</v>
      </c>
      <c r="K138" s="674">
        <f>'[9]Rev_NP-12me'!BO162</f>
        <v>13.139631324838799</v>
      </c>
      <c r="L138" s="674">
        <f>'[9]Rev_NP-12me'!BQ162</f>
        <v>9.2399999999999996E-2</v>
      </c>
      <c r="M138" s="674">
        <f t="shared" si="5"/>
        <v>17.4669033248388</v>
      </c>
    </row>
    <row r="139" spans="2:13" ht="14.4" x14ac:dyDescent="0.25">
      <c r="B139" s="711" t="s">
        <v>1152</v>
      </c>
      <c r="C139" s="579"/>
      <c r="D139" s="681">
        <f>'[9]Rev_NP-12me'!AJ163</f>
        <v>22</v>
      </c>
      <c r="E139" s="681">
        <f>'[9]Rev_NP-12me'!AK163</f>
        <v>8.8226499999999994</v>
      </c>
      <c r="F139" s="681">
        <f>'[9]Rev_NP-12me'!AQ163</f>
        <v>6.0365081586719995</v>
      </c>
      <c r="G139" s="669">
        <f>'[9]Rev_NP-12me'!S163</f>
        <v>500</v>
      </c>
      <c r="H139" s="670">
        <f>'[9]Rev_NP-12me'!T163</f>
        <v>8</v>
      </c>
      <c r="I139" s="669">
        <f>'[9]Rev_NP-12me'!AC163</f>
        <v>3500</v>
      </c>
      <c r="J139" s="681">
        <f>'[9]Rev_NP-12me'!BN163</f>
        <v>4.2348720000000002</v>
      </c>
      <c r="K139" s="681">
        <f>'[9]Rev_NP-12me'!BO163</f>
        <v>4.8292065269375994</v>
      </c>
      <c r="L139" s="681">
        <f>'[9]Rev_NP-12me'!BQ163</f>
        <v>9.2399999999999996E-2</v>
      </c>
      <c r="M139" s="669">
        <f t="shared" si="5"/>
        <v>9.1564785269375992</v>
      </c>
    </row>
    <row r="140" spans="2:13" ht="14.4" x14ac:dyDescent="0.25">
      <c r="B140" s="711" t="s">
        <v>1100</v>
      </c>
      <c r="C140" s="579"/>
      <c r="D140" s="681">
        <f>'[9]Rev_NP-12me'!AJ164</f>
        <v>0</v>
      </c>
      <c r="E140" s="681">
        <f>'[9]Rev_NP-12me'!AK164</f>
        <v>0</v>
      </c>
      <c r="F140" s="681">
        <f>'[9]Rev_NP-12me'!AQ164</f>
        <v>3.0615396873479996</v>
      </c>
      <c r="G140" s="669">
        <f>'[9]Rev_NP-12me'!S164</f>
        <v>0</v>
      </c>
      <c r="H140" s="670">
        <f>'[9]Rev_NP-12me'!T164</f>
        <v>9</v>
      </c>
      <c r="I140" s="669">
        <f>'[9]Rev_NP-12me'!AC164</f>
        <v>3500</v>
      </c>
      <c r="J140" s="681">
        <f>'[9]Rev_NP-12me'!BN164</f>
        <v>0</v>
      </c>
      <c r="K140" s="681">
        <f>'[9]Rev_NP-12me'!BO164</f>
        <v>2.7553857186131996</v>
      </c>
      <c r="L140" s="681">
        <f>'[9]Rev_NP-12me'!BQ164</f>
        <v>0</v>
      </c>
      <c r="M140" s="669">
        <f t="shared" si="5"/>
        <v>2.7553857186131996</v>
      </c>
    </row>
    <row r="141" spans="2:13" ht="14.4" x14ac:dyDescent="0.25">
      <c r="B141" s="711" t="s">
        <v>1101</v>
      </c>
      <c r="C141" s="579"/>
      <c r="D141" s="681">
        <f>'[9]Rev_NP-12me'!AJ165</f>
        <v>0</v>
      </c>
      <c r="E141" s="681">
        <f>'[9]Rev_NP-12me'!AK165</f>
        <v>0</v>
      </c>
      <c r="F141" s="681">
        <f>'[9]Rev_NP-12me'!AQ165</f>
        <v>2.4842636526119999</v>
      </c>
      <c r="G141" s="669">
        <f>'[9]Rev_NP-12me'!S165</f>
        <v>0</v>
      </c>
      <c r="H141" s="670">
        <f>'[9]Rev_NP-12me'!T165</f>
        <v>9</v>
      </c>
      <c r="I141" s="669">
        <f>'[9]Rev_NP-12me'!AC165</f>
        <v>3500</v>
      </c>
      <c r="J141" s="681">
        <f>'[9]Rev_NP-12me'!BN165</f>
        <v>0</v>
      </c>
      <c r="K141" s="681">
        <f>'[9]Rev_NP-12me'!BO165</f>
        <v>2.2358372873508001</v>
      </c>
      <c r="L141" s="681">
        <f>'[9]Rev_NP-12me'!BQ165</f>
        <v>0</v>
      </c>
      <c r="M141" s="669">
        <f t="shared" si="5"/>
        <v>2.2358372873508001</v>
      </c>
    </row>
    <row r="142" spans="2:13" ht="14.4" x14ac:dyDescent="0.25">
      <c r="B142" s="711" t="s">
        <v>1102</v>
      </c>
      <c r="C142" s="579"/>
      <c r="D142" s="681">
        <f>'[9]Rev_NP-12me'!AJ166</f>
        <v>0</v>
      </c>
      <c r="E142" s="681">
        <f>'[9]Rev_NP-12me'!AK166</f>
        <v>0</v>
      </c>
      <c r="F142" s="681">
        <f>'[9]Rev_NP-12me'!AQ166</f>
        <v>5.1064642952879993</v>
      </c>
      <c r="G142" s="669">
        <f>'[9]Rev_NP-12me'!S166</f>
        <v>0</v>
      </c>
      <c r="H142" s="670">
        <f>'[9]Rev_NP-12me'!T166</f>
        <v>6.5</v>
      </c>
      <c r="I142" s="669">
        <f>'[9]Rev_NP-12me'!AC166</f>
        <v>3500</v>
      </c>
      <c r="J142" s="681">
        <f>'[9]Rev_NP-12me'!BN166</f>
        <v>0</v>
      </c>
      <c r="K142" s="681">
        <f>'[9]Rev_NP-12me'!BO166</f>
        <v>3.319201791937199</v>
      </c>
      <c r="L142" s="681">
        <f>'[9]Rev_NP-12me'!BQ166</f>
        <v>0</v>
      </c>
      <c r="M142" s="669">
        <f t="shared" si="5"/>
        <v>3.319201791937199</v>
      </c>
    </row>
    <row r="143" spans="2:13" ht="14.4" x14ac:dyDescent="0.25">
      <c r="B143" s="711" t="s">
        <v>1153</v>
      </c>
      <c r="C143" s="579"/>
      <c r="D143" s="681">
        <f>'[9]Rev_NP-12me'!AJ167</f>
        <v>0</v>
      </c>
      <c r="E143" s="681">
        <f>'[9]Rev_NP-12me'!AK167</f>
        <v>0</v>
      </c>
      <c r="F143" s="681">
        <f>'[9]Rev_NP-12me'!AQ167</f>
        <v>0</v>
      </c>
      <c r="G143" s="669">
        <f>'[9]Rev_NP-12me'!S167</f>
        <v>500</v>
      </c>
      <c r="H143" s="670">
        <f>'[9]Rev_NP-12me'!T167</f>
        <v>8</v>
      </c>
      <c r="I143" s="669">
        <f>'[9]Rev_NP-12me'!AC167</f>
        <v>3500</v>
      </c>
      <c r="J143" s="681">
        <f>'[9]Rev_NP-12me'!BN167</f>
        <v>0</v>
      </c>
      <c r="K143" s="681">
        <f>'[9]Rev_NP-12me'!BO167</f>
        <v>0</v>
      </c>
      <c r="L143" s="681">
        <f>'[9]Rev_NP-12me'!BQ167</f>
        <v>0</v>
      </c>
      <c r="M143" s="669">
        <f t="shared" si="5"/>
        <v>0</v>
      </c>
    </row>
    <row r="144" spans="2:13" x14ac:dyDescent="0.25">
      <c r="B144" s="704" t="s">
        <v>1135</v>
      </c>
      <c r="C144" s="579"/>
      <c r="D144" s="674">
        <f>'[9]Rev_NP-12me'!AJ168</f>
        <v>0</v>
      </c>
      <c r="E144" s="674">
        <f>'[9]Rev_NP-12me'!AK168</f>
        <v>0</v>
      </c>
      <c r="F144" s="674">
        <f>'[9]Rev_NP-12me'!AQ168</f>
        <v>0</v>
      </c>
      <c r="G144" s="674">
        <f>'[9]Rev_NP-12me'!S168</f>
        <v>0</v>
      </c>
      <c r="H144" s="688">
        <f>'[9]Rev_NP-12me'!T168</f>
        <v>0</v>
      </c>
      <c r="I144" s="674">
        <f>'[9]Rev_NP-12me'!AC168</f>
        <v>0</v>
      </c>
      <c r="J144" s="674">
        <f>'[9]Rev_NP-12me'!BN168</f>
        <v>0</v>
      </c>
      <c r="K144" s="674">
        <f>'[9]Rev_NP-12me'!BO168</f>
        <v>0</v>
      </c>
      <c r="L144" s="674">
        <f>'[9]Rev_NP-12me'!BQ168</f>
        <v>0</v>
      </c>
      <c r="M144" s="674">
        <f t="shared" si="5"/>
        <v>0</v>
      </c>
    </row>
    <row r="145" spans="2:13" ht="14.4" x14ac:dyDescent="0.25">
      <c r="B145" s="706" t="s">
        <v>1134</v>
      </c>
      <c r="C145" s="579"/>
      <c r="D145" s="681">
        <f>'[9]Rev_NP-12me'!AJ169</f>
        <v>0</v>
      </c>
      <c r="E145" s="681">
        <f>'[9]Rev_NP-12me'!AK169</f>
        <v>0</v>
      </c>
      <c r="F145" s="681">
        <f>'[9]Rev_NP-12me'!AQ169</f>
        <v>0</v>
      </c>
      <c r="G145" s="669">
        <f>'[9]Rev_NP-12me'!S169</f>
        <v>285</v>
      </c>
      <c r="H145" s="670">
        <f>'[9]Rev_NP-12me'!T169</f>
        <v>5</v>
      </c>
      <c r="I145" s="669">
        <f>'[9]Rev_NP-12me'!AC169</f>
        <v>3500</v>
      </c>
      <c r="J145" s="681">
        <f>'[9]Rev_NP-12me'!BN169</f>
        <v>0</v>
      </c>
      <c r="K145" s="681">
        <f>'[9]Rev_NP-12me'!BO169</f>
        <v>0</v>
      </c>
      <c r="L145" s="681">
        <f>'[9]Rev_NP-12me'!BQ169</f>
        <v>0</v>
      </c>
      <c r="M145" s="669">
        <f t="shared" si="5"/>
        <v>0</v>
      </c>
    </row>
    <row r="146" spans="2:13" ht="14.4" x14ac:dyDescent="0.25">
      <c r="B146" s="706" t="s">
        <v>1100</v>
      </c>
      <c r="C146" s="579"/>
      <c r="D146" s="681">
        <f>'[9]Rev_NP-12me'!AJ170</f>
        <v>0</v>
      </c>
      <c r="E146" s="681">
        <f>'[9]Rev_NP-12me'!AK170</f>
        <v>0</v>
      </c>
      <c r="F146" s="681">
        <f>'[9]Rev_NP-12me'!AQ170</f>
        <v>0</v>
      </c>
      <c r="G146" s="669">
        <f>'[9]Rev_NP-12me'!S170</f>
        <v>0</v>
      </c>
      <c r="H146" s="670">
        <f>'[9]Rev_NP-12me'!T170</f>
        <v>6</v>
      </c>
      <c r="I146" s="669">
        <f>'[9]Rev_NP-12me'!AC170</f>
        <v>3500</v>
      </c>
      <c r="J146" s="681">
        <f>'[9]Rev_NP-12me'!BN170</f>
        <v>0</v>
      </c>
      <c r="K146" s="681">
        <f>'[9]Rev_NP-12me'!BO170</f>
        <v>0</v>
      </c>
      <c r="L146" s="681">
        <f>'[9]Rev_NP-12me'!BQ170</f>
        <v>0</v>
      </c>
      <c r="M146" s="669">
        <f t="shared" si="5"/>
        <v>0</v>
      </c>
    </row>
    <row r="147" spans="2:13" ht="14.4" x14ac:dyDescent="0.25">
      <c r="B147" s="706" t="s">
        <v>1101</v>
      </c>
      <c r="C147" s="579"/>
      <c r="D147" s="681">
        <f>'[9]Rev_NP-12me'!AJ171</f>
        <v>0</v>
      </c>
      <c r="E147" s="681">
        <f>'[9]Rev_NP-12me'!AK171</f>
        <v>0</v>
      </c>
      <c r="F147" s="681">
        <f>'[9]Rev_NP-12me'!AQ171</f>
        <v>0</v>
      </c>
      <c r="G147" s="669">
        <f>'[9]Rev_NP-12me'!S171</f>
        <v>0</v>
      </c>
      <c r="H147" s="670">
        <f>'[9]Rev_NP-12me'!T171</f>
        <v>6</v>
      </c>
      <c r="I147" s="669">
        <f>'[9]Rev_NP-12me'!AC171</f>
        <v>3500</v>
      </c>
      <c r="J147" s="681">
        <f>'[9]Rev_NP-12me'!BN171</f>
        <v>0</v>
      </c>
      <c r="K147" s="681">
        <f>'[9]Rev_NP-12me'!BO171</f>
        <v>0</v>
      </c>
      <c r="L147" s="681">
        <f>'[9]Rev_NP-12me'!BQ171</f>
        <v>0</v>
      </c>
      <c r="M147" s="669">
        <f t="shared" si="5"/>
        <v>0</v>
      </c>
    </row>
    <row r="148" spans="2:13" ht="14.4" x14ac:dyDescent="0.25">
      <c r="B148" s="706" t="s">
        <v>1102</v>
      </c>
      <c r="C148" s="579"/>
      <c r="D148" s="681">
        <f>'[9]Rev_NP-12me'!AJ172</f>
        <v>0</v>
      </c>
      <c r="E148" s="681">
        <f>'[9]Rev_NP-12me'!AK172</f>
        <v>0</v>
      </c>
      <c r="F148" s="681">
        <f>'[9]Rev_NP-12me'!AQ172</f>
        <v>0</v>
      </c>
      <c r="G148" s="669">
        <f>'[9]Rev_NP-12me'!S172</f>
        <v>0</v>
      </c>
      <c r="H148" s="670">
        <f>'[9]Rev_NP-12me'!T172</f>
        <v>3.5</v>
      </c>
      <c r="I148" s="669">
        <f>'[9]Rev_NP-12me'!AC172</f>
        <v>3500</v>
      </c>
      <c r="J148" s="681">
        <f>'[9]Rev_NP-12me'!BN172</f>
        <v>0</v>
      </c>
      <c r="K148" s="681">
        <f>'[9]Rev_NP-12me'!BO172</f>
        <v>0</v>
      </c>
      <c r="L148" s="681">
        <f>'[9]Rev_NP-12me'!BQ172</f>
        <v>0</v>
      </c>
      <c r="M148" s="669">
        <f t="shared" si="5"/>
        <v>0</v>
      </c>
    </row>
    <row r="149" spans="2:13" x14ac:dyDescent="0.25">
      <c r="B149" s="704" t="s">
        <v>1079</v>
      </c>
      <c r="C149" s="579"/>
      <c r="D149" s="674">
        <f>'[9]Rev_NP-12me'!AJ173</f>
        <v>0</v>
      </c>
      <c r="E149" s="674">
        <f>'[9]Rev_NP-12me'!AK173</f>
        <v>0</v>
      </c>
      <c r="F149" s="674">
        <f>'[9]Rev_NP-12me'!AQ173</f>
        <v>0</v>
      </c>
      <c r="G149" s="674">
        <f>'[9]Rev_NP-12me'!S173</f>
        <v>0</v>
      </c>
      <c r="H149" s="688">
        <f>'[9]Rev_NP-12me'!T173</f>
        <v>0</v>
      </c>
      <c r="I149" s="674">
        <f>'[9]Rev_NP-12me'!AC173</f>
        <v>0</v>
      </c>
      <c r="J149" s="674">
        <f>'[9]Rev_NP-12me'!BN173</f>
        <v>0</v>
      </c>
      <c r="K149" s="674">
        <f>'[9]Rev_NP-12me'!BO173</f>
        <v>0</v>
      </c>
      <c r="L149" s="674">
        <f>'[9]Rev_NP-12me'!BQ173</f>
        <v>0</v>
      </c>
      <c r="M149" s="674">
        <f t="shared" si="5"/>
        <v>0</v>
      </c>
    </row>
    <row r="150" spans="2:13" ht="14.4" x14ac:dyDescent="0.25">
      <c r="B150" s="711" t="s">
        <v>1134</v>
      </c>
      <c r="C150" s="579"/>
      <c r="D150" s="681">
        <f>'[9]Rev_NP-12me'!AJ174</f>
        <v>0</v>
      </c>
      <c r="E150" s="681">
        <f>'[9]Rev_NP-12me'!AK174</f>
        <v>0</v>
      </c>
      <c r="F150" s="681">
        <f>'[9]Rev_NP-12me'!AQ174</f>
        <v>0</v>
      </c>
      <c r="G150" s="669">
        <f>'[9]Rev_NP-12me'!S174</f>
        <v>500</v>
      </c>
      <c r="H150" s="670">
        <f>'[9]Rev_NP-12me'!T174</f>
        <v>7.85</v>
      </c>
      <c r="I150" s="669">
        <f>'[9]Rev_NP-12me'!AC174</f>
        <v>3500</v>
      </c>
      <c r="J150" s="681">
        <f>'[9]Rev_NP-12me'!BN174</f>
        <v>0</v>
      </c>
      <c r="K150" s="681">
        <f>'[9]Rev_NP-12me'!BO174</f>
        <v>0</v>
      </c>
      <c r="L150" s="681">
        <f>'[9]Rev_NP-12me'!BQ174</f>
        <v>0</v>
      </c>
      <c r="M150" s="669">
        <f t="shared" si="5"/>
        <v>0</v>
      </c>
    </row>
    <row r="151" spans="2:13" ht="14.4" x14ac:dyDescent="0.25">
      <c r="B151" s="711" t="s">
        <v>1100</v>
      </c>
      <c r="C151" s="579"/>
      <c r="D151" s="681">
        <f>'[9]Rev_NP-12me'!AJ175</f>
        <v>0</v>
      </c>
      <c r="E151" s="681">
        <f>'[9]Rev_NP-12me'!AK175</f>
        <v>0</v>
      </c>
      <c r="F151" s="681">
        <f>'[9]Rev_NP-12me'!AQ175</f>
        <v>0</v>
      </c>
      <c r="G151" s="669">
        <f>'[9]Rev_NP-12me'!S175</f>
        <v>0</v>
      </c>
      <c r="H151" s="670">
        <f>'[9]Rev_NP-12me'!T175</f>
        <v>8.85</v>
      </c>
      <c r="I151" s="669">
        <f>'[9]Rev_NP-12me'!AC175</f>
        <v>3500</v>
      </c>
      <c r="J151" s="681">
        <f>'[9]Rev_NP-12me'!BN175</f>
        <v>0</v>
      </c>
      <c r="K151" s="681">
        <f>'[9]Rev_NP-12me'!BO175</f>
        <v>0</v>
      </c>
      <c r="L151" s="681">
        <f>'[9]Rev_NP-12me'!BQ175</f>
        <v>0</v>
      </c>
      <c r="M151" s="669">
        <f t="shared" si="5"/>
        <v>0</v>
      </c>
    </row>
    <row r="152" spans="2:13" ht="14.4" x14ac:dyDescent="0.25">
      <c r="B152" s="711" t="s">
        <v>1101</v>
      </c>
      <c r="C152" s="579"/>
      <c r="D152" s="681">
        <f>'[9]Rev_NP-12me'!AJ176</f>
        <v>0</v>
      </c>
      <c r="E152" s="681">
        <f>'[9]Rev_NP-12me'!AK176</f>
        <v>0</v>
      </c>
      <c r="F152" s="681">
        <f>'[9]Rev_NP-12me'!AQ176</f>
        <v>0</v>
      </c>
      <c r="G152" s="669">
        <f>'[9]Rev_NP-12me'!S176</f>
        <v>0</v>
      </c>
      <c r="H152" s="670">
        <f>'[9]Rev_NP-12me'!T176</f>
        <v>8.85</v>
      </c>
      <c r="I152" s="669">
        <f>'[9]Rev_NP-12me'!AC176</f>
        <v>3500</v>
      </c>
      <c r="J152" s="681">
        <f>'[9]Rev_NP-12me'!BN176</f>
        <v>0</v>
      </c>
      <c r="K152" s="681">
        <f>'[9]Rev_NP-12me'!BO176</f>
        <v>0</v>
      </c>
      <c r="L152" s="681">
        <f>'[9]Rev_NP-12me'!BQ176</f>
        <v>0</v>
      </c>
      <c r="M152" s="669">
        <f t="shared" si="5"/>
        <v>0</v>
      </c>
    </row>
    <row r="153" spans="2:13" ht="14.4" x14ac:dyDescent="0.25">
      <c r="B153" s="711" t="s">
        <v>1102</v>
      </c>
      <c r="C153" s="579"/>
      <c r="D153" s="681">
        <f>'[9]Rev_NP-12me'!AJ177</f>
        <v>0</v>
      </c>
      <c r="E153" s="681">
        <f>'[9]Rev_NP-12me'!AK177</f>
        <v>0</v>
      </c>
      <c r="F153" s="681">
        <f>'[9]Rev_NP-12me'!AQ177</f>
        <v>0</v>
      </c>
      <c r="G153" s="669">
        <f>'[9]Rev_NP-12me'!S177</f>
        <v>0</v>
      </c>
      <c r="H153" s="670">
        <f>'[9]Rev_NP-12me'!T177</f>
        <v>6.35</v>
      </c>
      <c r="I153" s="669">
        <f>'[9]Rev_NP-12me'!AC177</f>
        <v>3500</v>
      </c>
      <c r="J153" s="681">
        <f>'[9]Rev_NP-12me'!BN177</f>
        <v>0</v>
      </c>
      <c r="K153" s="681">
        <f>'[9]Rev_NP-12me'!BO177</f>
        <v>0</v>
      </c>
      <c r="L153" s="681">
        <f>'[9]Rev_NP-12me'!BQ177</f>
        <v>0</v>
      </c>
      <c r="M153" s="669">
        <f t="shared" si="5"/>
        <v>0</v>
      </c>
    </row>
    <row r="154" spans="2:13" x14ac:dyDescent="0.25">
      <c r="B154" s="704" t="s">
        <v>1154</v>
      </c>
      <c r="C154" s="579"/>
      <c r="D154" s="674">
        <f>'[9]Rev_NP-12me'!AJ178</f>
        <v>22</v>
      </c>
      <c r="E154" s="674">
        <f>'[9]Rev_NP-12me'!AK178</f>
        <v>63.921999999999997</v>
      </c>
      <c r="F154" s="674">
        <f>'[9]Rev_NP-12me'!AQ178</f>
        <v>30.886252800000001</v>
      </c>
      <c r="G154" s="674">
        <f>'[9]Rev_NP-12me'!S178</f>
        <v>0</v>
      </c>
      <c r="H154" s="688">
        <f>'[9]Rev_NP-12me'!T178</f>
        <v>0</v>
      </c>
      <c r="I154" s="674">
        <f>'[9]Rev_NP-12me'!AC178</f>
        <v>0</v>
      </c>
      <c r="J154" s="674">
        <f>'[9]Rev_NP-12me'!BN178</f>
        <v>11.026545</v>
      </c>
      <c r="K154" s="674">
        <f>'[9]Rev_NP-12me'!BO178</f>
        <v>19.458339263999999</v>
      </c>
      <c r="L154" s="674">
        <f>'[9]Rev_NP-12me'!BQ178</f>
        <v>9.2399999999999996E-2</v>
      </c>
      <c r="M154" s="674">
        <f t="shared" si="5"/>
        <v>30.577284264000003</v>
      </c>
    </row>
    <row r="155" spans="2:13" x14ac:dyDescent="0.25">
      <c r="B155" s="714" t="s">
        <v>1137</v>
      </c>
      <c r="C155" s="579"/>
      <c r="D155" s="669">
        <f>'[9]Rev_NP-12me'!AJ179</f>
        <v>22</v>
      </c>
      <c r="E155" s="669">
        <f>'[9]Rev_NP-12me'!AK179</f>
        <v>63.921999999999997</v>
      </c>
      <c r="F155" s="669">
        <f>'[9]Rev_NP-12me'!AQ179</f>
        <v>30.886252800000001</v>
      </c>
      <c r="G155" s="669">
        <f>'[9]Rev_NP-12me'!S179</f>
        <v>300</v>
      </c>
      <c r="H155" s="670">
        <f>'[9]Rev_NP-12me'!T179</f>
        <v>6.3</v>
      </c>
      <c r="I155" s="669">
        <f>'[9]Rev_NP-12me'!AC179</f>
        <v>3500</v>
      </c>
      <c r="J155" s="669">
        <f>'[9]Rev_NP-12me'!BN179</f>
        <v>11.026545</v>
      </c>
      <c r="K155" s="669">
        <f>'[9]Rev_NP-12me'!BO179</f>
        <v>19.458339263999999</v>
      </c>
      <c r="L155" s="669">
        <f>'[9]Rev_NP-12me'!BQ179</f>
        <v>9.2399999999999996E-2</v>
      </c>
      <c r="M155" s="669">
        <f t="shared" si="5"/>
        <v>30.577284264000003</v>
      </c>
    </row>
    <row r="156" spans="2:13" x14ac:dyDescent="0.25">
      <c r="B156" s="715" t="s">
        <v>1155</v>
      </c>
      <c r="C156" s="579"/>
      <c r="D156" s="674">
        <f>'[9]Rev_NP-12me'!AJ184</f>
        <v>28</v>
      </c>
      <c r="E156" s="674">
        <f>'[9]Rev_NP-12me'!AK184</f>
        <v>64.918000000000006</v>
      </c>
      <c r="F156" s="674">
        <f>'[9]Rev_NP-12me'!AQ184</f>
        <v>383.84906110650508</v>
      </c>
      <c r="G156" s="674">
        <f>'[9]Rev_NP-12me'!S184</f>
        <v>0</v>
      </c>
      <c r="H156" s="688">
        <f>'[9]Rev_NP-12me'!T184</f>
        <v>0</v>
      </c>
      <c r="I156" s="674">
        <f>'[9]Rev_NP-12me'!AC184</f>
        <v>0</v>
      </c>
      <c r="J156" s="674">
        <f>'[9]Rev_NP-12me'!BN184</f>
        <v>0</v>
      </c>
      <c r="K156" s="674">
        <f>'[9]Rev_NP-12me'!BO184</f>
        <v>234.14792727496805</v>
      </c>
      <c r="L156" s="674">
        <f>'[9]Rev_NP-12me'!BQ184</f>
        <v>0.1176</v>
      </c>
      <c r="M156" s="674">
        <f t="shared" si="5"/>
        <v>234.26552727496806</v>
      </c>
    </row>
    <row r="157" spans="2:13" x14ac:dyDescent="0.25">
      <c r="B157" s="706" t="s">
        <v>1156</v>
      </c>
      <c r="C157" s="579"/>
      <c r="D157" s="669">
        <f>'[9]Rev_NP-12me'!AJ185</f>
        <v>28</v>
      </c>
      <c r="E157" s="669">
        <f>'[9]Rev_NP-12me'!AK185</f>
        <v>64.918000000000006</v>
      </c>
      <c r="F157" s="669">
        <f>'[9]Rev_NP-12me'!AQ185</f>
        <v>383.84906110650508</v>
      </c>
      <c r="G157" s="669">
        <f>'[9]Rev_NP-12me'!S185</f>
        <v>0</v>
      </c>
      <c r="H157" s="670">
        <f>'[9]Rev_NP-12me'!T185</f>
        <v>6.1</v>
      </c>
      <c r="I157" s="669">
        <f>'[9]Rev_NP-12me'!AC185</f>
        <v>3500</v>
      </c>
      <c r="J157" s="669">
        <f>'[9]Rev_NP-12me'!BN185</f>
        <v>0</v>
      </c>
      <c r="K157" s="669">
        <f>'[9]Rev_NP-12me'!BO185</f>
        <v>234.14792727496805</v>
      </c>
      <c r="L157" s="669">
        <f>'[9]Rev_NP-12me'!BQ185</f>
        <v>0.1176</v>
      </c>
      <c r="M157" s="669">
        <f t="shared" si="5"/>
        <v>234.26552727496806</v>
      </c>
    </row>
    <row r="158" spans="2:13" x14ac:dyDescent="0.25">
      <c r="B158" s="712" t="s">
        <v>1157</v>
      </c>
      <c r="C158" s="579"/>
      <c r="D158" s="674">
        <f>'[9]Rev_NP-12me'!AJ186</f>
        <v>0</v>
      </c>
      <c r="E158" s="674">
        <f>'[9]Rev_NP-12me'!AK186</f>
        <v>0</v>
      </c>
      <c r="F158" s="674">
        <f>'[9]Rev_NP-12me'!AQ186</f>
        <v>0</v>
      </c>
      <c r="G158" s="674">
        <f>'[9]Rev_NP-12me'!S186</f>
        <v>0</v>
      </c>
      <c r="H158" s="688">
        <f>'[9]Rev_NP-12me'!T186</f>
        <v>0</v>
      </c>
      <c r="I158" s="674">
        <f>'[9]Rev_NP-12me'!AC186</f>
        <v>0</v>
      </c>
      <c r="J158" s="674">
        <f>'[9]Rev_NP-12me'!BN186</f>
        <v>0</v>
      </c>
      <c r="K158" s="674">
        <f>'[9]Rev_NP-12me'!BO186</f>
        <v>0</v>
      </c>
      <c r="L158" s="674">
        <f>'[9]Rev_NP-12me'!BQ186</f>
        <v>0</v>
      </c>
      <c r="M158" s="669">
        <f t="shared" si="5"/>
        <v>0</v>
      </c>
    </row>
    <row r="159" spans="2:13" x14ac:dyDescent="0.25">
      <c r="B159" s="704" t="s">
        <v>1140</v>
      </c>
      <c r="C159" s="579"/>
      <c r="D159" s="674">
        <f>'[9]Rev_NP-12me'!AJ180</f>
        <v>0</v>
      </c>
      <c r="E159" s="674">
        <f>'[9]Rev_NP-12me'!AK180</f>
        <v>0</v>
      </c>
      <c r="F159" s="674">
        <f>'[9]Rev_NP-12me'!AQ180</f>
        <v>0</v>
      </c>
      <c r="G159" s="674">
        <f>'[9]Rev_NP-12me'!S180</f>
        <v>500</v>
      </c>
      <c r="H159" s="688">
        <f>'[9]Rev_NP-12me'!T180</f>
        <v>5.05</v>
      </c>
      <c r="I159" s="674">
        <f>'[9]Rev_NP-12me'!AC180</f>
        <v>3500</v>
      </c>
      <c r="J159" s="674">
        <f>'[9]Rev_NP-12me'!BN180</f>
        <v>0</v>
      </c>
      <c r="K159" s="674">
        <f>'[9]Rev_NP-12me'!BO180</f>
        <v>0</v>
      </c>
      <c r="L159" s="674">
        <f>'[9]Rev_NP-12me'!BQ180</f>
        <v>0</v>
      </c>
      <c r="M159" s="674">
        <f t="shared" si="5"/>
        <v>0</v>
      </c>
    </row>
    <row r="160" spans="2:13" x14ac:dyDescent="0.25">
      <c r="B160" s="704" t="s">
        <v>1141</v>
      </c>
      <c r="C160" s="579"/>
      <c r="D160" s="674">
        <f>'[9]Rev_NP-12me'!AJ181</f>
        <v>0</v>
      </c>
      <c r="E160" s="674">
        <f>'[9]Rev_NP-12me'!AK181</f>
        <v>0</v>
      </c>
      <c r="F160" s="674">
        <f>'[9]Rev_NP-12me'!AQ181</f>
        <v>0</v>
      </c>
      <c r="G160" s="674">
        <f>'[9]Rev_NP-12me'!S181</f>
        <v>500</v>
      </c>
      <c r="H160" s="688">
        <f>'[9]Rev_NP-12me'!T181</f>
        <v>4.95</v>
      </c>
      <c r="I160" s="674">
        <f>'[9]Rev_NP-12me'!AC181</f>
        <v>3500</v>
      </c>
      <c r="J160" s="674">
        <f>'[9]Rev_NP-12me'!BN181</f>
        <v>0</v>
      </c>
      <c r="K160" s="674">
        <f>'[9]Rev_NP-12me'!BO181</f>
        <v>0</v>
      </c>
      <c r="L160" s="674">
        <f>'[9]Rev_NP-12me'!BQ181</f>
        <v>0</v>
      </c>
      <c r="M160" s="674">
        <f t="shared" si="5"/>
        <v>0</v>
      </c>
    </row>
    <row r="161" spans="2:13" x14ac:dyDescent="0.25">
      <c r="B161" s="704" t="s">
        <v>811</v>
      </c>
      <c r="C161" s="579"/>
      <c r="D161" s="674">
        <f>'[9]Rev_NP-12me'!AJ182</f>
        <v>7</v>
      </c>
      <c r="E161" s="674">
        <f>'[9]Rev_NP-12me'!AK182</f>
        <v>14.57</v>
      </c>
      <c r="F161" s="674">
        <f>'[9]Rev_NP-12me'!AQ182</f>
        <v>34.61275435448276</v>
      </c>
      <c r="G161" s="674">
        <f>'[9]Rev_NP-12me'!S182</f>
        <v>285</v>
      </c>
      <c r="H161" s="688">
        <f>'[9]Rev_NP-12me'!T182</f>
        <v>7.3</v>
      </c>
      <c r="I161" s="674">
        <f>'[9]Rev_NP-12me'!AC182</f>
        <v>3500</v>
      </c>
      <c r="J161" s="674">
        <f>'[9]Rev_NP-12me'!BN182</f>
        <v>3.9863520000000001</v>
      </c>
      <c r="K161" s="674">
        <f>'[9]Rev_NP-12me'!BO182</f>
        <v>25.267310678772414</v>
      </c>
      <c r="L161" s="674">
        <f>'[9]Rev_NP-12me'!BQ182</f>
        <v>2.9399999999999999E-2</v>
      </c>
      <c r="M161" s="674">
        <f t="shared" si="5"/>
        <v>29.283062678772414</v>
      </c>
    </row>
    <row r="162" spans="2:13" x14ac:dyDescent="0.25">
      <c r="B162" s="704" t="s">
        <v>813</v>
      </c>
      <c r="C162" s="579"/>
      <c r="D162" s="674">
        <f>'[9]Rev_NP-12me'!AJ183</f>
        <v>9</v>
      </c>
      <c r="E162" s="674">
        <f>'[9]Rev_NP-12me'!AK183</f>
        <v>6.65</v>
      </c>
      <c r="F162" s="674">
        <f>'[9]Rev_NP-12me'!AQ183</f>
        <v>8.3104927379999989</v>
      </c>
      <c r="G162" s="674">
        <f>'[9]Rev_NP-12me'!S183</f>
        <v>500</v>
      </c>
      <c r="H162" s="688">
        <f>'[9]Rev_NP-12me'!T183</f>
        <v>11</v>
      </c>
      <c r="I162" s="674">
        <f>'[9]Rev_NP-12me'!AC183</f>
        <v>3500</v>
      </c>
      <c r="J162" s="674">
        <f>'[9]Rev_NP-12me'!BN183</f>
        <v>3.1920000000000002</v>
      </c>
      <c r="K162" s="674">
        <f>'[9]Rev_NP-12me'!BO183</f>
        <v>9.1415420117999986</v>
      </c>
      <c r="L162" s="674">
        <f>'[9]Rev_NP-12me'!BQ183</f>
        <v>3.3599999999999998E-2</v>
      </c>
      <c r="M162" s="674">
        <f t="shared" si="5"/>
        <v>12.367142011799999</v>
      </c>
    </row>
    <row r="163" spans="2:13" x14ac:dyDescent="0.25">
      <c r="B163" s="704" t="s">
        <v>1158</v>
      </c>
      <c r="C163" s="579"/>
      <c r="D163" s="674">
        <f>'[9]Rev_NP-12me'!$AJ$191</f>
        <v>3</v>
      </c>
      <c r="E163" s="674">
        <f>'[9]Rev_NP-12me'!$AK$191</f>
        <v>8.1999999999999993</v>
      </c>
      <c r="F163" s="674">
        <f>'[9]Rev_NP-12me'!AQ191</f>
        <v>39.244800000000005</v>
      </c>
      <c r="G163" s="674">
        <f>'[9]Rev_NP-12me'!S191</f>
        <v>100</v>
      </c>
      <c r="H163" s="688">
        <f>'[9]Rev_NP-12me'!T191</f>
        <v>6</v>
      </c>
      <c r="I163" s="674">
        <f>'[9]Rev_NP-12me'!AC191</f>
        <v>3500</v>
      </c>
      <c r="J163" s="674">
        <f>'[9]Rev_NP-12me'!BN191</f>
        <v>0.78720000000000001</v>
      </c>
      <c r="K163" s="674">
        <f>'[9]Rev_NP-12me'!BO191</f>
        <v>23.546880000000005</v>
      </c>
      <c r="L163" s="674">
        <f>'[9]Rev_NP-12me'!BQ191</f>
        <v>1.26E-2</v>
      </c>
      <c r="M163" s="674">
        <f t="shared" si="5"/>
        <v>24.346680000000003</v>
      </c>
    </row>
    <row r="164" spans="2:13" x14ac:dyDescent="0.25">
      <c r="B164" s="712" t="s">
        <v>1159</v>
      </c>
      <c r="C164" s="579"/>
      <c r="D164" s="674">
        <f>SUM(D123,D137,D138,D144,D149,D154,D156,D158,D159,D160,D161,D162,D163)</f>
        <v>144</v>
      </c>
      <c r="E164" s="688">
        <f t="shared" ref="E164:F164" si="6">SUM(E123,E137,E138,E144,E149,E154,E156,E158,E159,E160,E161,E162,E163)</f>
        <v>246.03864999999999</v>
      </c>
      <c r="F164" s="674">
        <f t="shared" si="6"/>
        <v>777.01037217555916</v>
      </c>
      <c r="G164" s="674"/>
      <c r="H164" s="669"/>
      <c r="I164" s="669"/>
      <c r="J164" s="674">
        <f t="shared" ref="J164:M164" si="7">SUM(J123,J137,J138,J144,J149,J154,J156,J158,J159,J160,J161,J162,J163)</f>
        <v>61.125848999999995</v>
      </c>
      <c r="K164" s="674">
        <f t="shared" si="7"/>
        <v>507.67447957575223</v>
      </c>
      <c r="L164" s="674">
        <f t="shared" si="7"/>
        <v>0.60060000000000002</v>
      </c>
      <c r="M164" s="674">
        <f t="shared" si="7"/>
        <v>569.40092857575223</v>
      </c>
    </row>
    <row r="165" spans="2:13" x14ac:dyDescent="0.25">
      <c r="B165" s="579"/>
      <c r="C165" s="579"/>
      <c r="D165" s="669"/>
      <c r="E165" s="669"/>
      <c r="F165" s="669"/>
      <c r="G165" s="669"/>
      <c r="H165" s="669"/>
      <c r="I165" s="669"/>
      <c r="J165" s="669"/>
      <c r="K165" s="669"/>
      <c r="L165" s="669"/>
      <c r="M165" s="669"/>
    </row>
    <row r="166" spans="2:13" x14ac:dyDescent="0.25">
      <c r="B166" s="704" t="s">
        <v>1160</v>
      </c>
      <c r="C166" s="579"/>
      <c r="D166" s="669"/>
      <c r="E166" s="669"/>
      <c r="F166" s="669"/>
      <c r="G166" s="669"/>
      <c r="H166" s="669"/>
      <c r="I166" s="669"/>
      <c r="J166" s="669"/>
      <c r="K166" s="669"/>
      <c r="L166" s="669"/>
      <c r="M166" s="669"/>
    </row>
    <row r="167" spans="2:13" x14ac:dyDescent="0.25">
      <c r="B167" s="704" t="s">
        <v>1145</v>
      </c>
      <c r="C167" s="579"/>
      <c r="D167" s="674">
        <f>'[9]Rev_NP-12me'!AJ201</f>
        <v>13</v>
      </c>
      <c r="E167" s="674">
        <f>'[9]Rev_NP-12me'!AK201</f>
        <v>174.32</v>
      </c>
      <c r="F167" s="674">
        <f>'[9]Rev_NP-12me'!AQ201</f>
        <v>364.22166626975172</v>
      </c>
      <c r="G167" s="674">
        <f>'[9]Rev_NP-12me'!S201</f>
        <v>0</v>
      </c>
      <c r="H167" s="688">
        <f>'[9]Rev_NP-12me'!T201</f>
        <v>0</v>
      </c>
      <c r="I167" s="674">
        <f>'[9]Rev_NP-12me'!AC201</f>
        <v>0</v>
      </c>
      <c r="J167" s="674">
        <f>'[9]Rev_NP-12me'!BN201</f>
        <v>83.673600000000008</v>
      </c>
      <c r="K167" s="674">
        <f>'[9]Rev_NP-12me'!BO201</f>
        <v>233.07771476110491</v>
      </c>
      <c r="L167" s="674">
        <f>'[9]Rev_NP-12me'!BQ201</f>
        <v>7.8E-2</v>
      </c>
      <c r="M167" s="674">
        <f t="shared" ref="M167:M208" si="8">SUM(J167:L167)</f>
        <v>316.82931476110491</v>
      </c>
    </row>
    <row r="168" spans="2:13" x14ac:dyDescent="0.25">
      <c r="B168" s="706" t="s">
        <v>1119</v>
      </c>
      <c r="C168" s="579"/>
      <c r="D168" s="669">
        <f>'[9]Rev_NP-12me'!AJ202</f>
        <v>13</v>
      </c>
      <c r="E168" s="669">
        <f>'[9]Rev_NP-12me'!AK202</f>
        <v>174.32</v>
      </c>
      <c r="F168" s="669">
        <f>'[9]Rev_NP-12me'!AQ202</f>
        <v>51.114102106551769</v>
      </c>
      <c r="G168" s="669">
        <f>'[9]Rev_NP-12me'!S202</f>
        <v>500</v>
      </c>
      <c r="H168" s="670">
        <f>'[9]Rev_NP-12me'!T202</f>
        <v>6.65</v>
      </c>
      <c r="I168" s="669">
        <f>'[9]Rev_NP-12me'!AC202</f>
        <v>5000</v>
      </c>
      <c r="J168" s="669">
        <f>'[9]Rev_NP-12me'!BN202</f>
        <v>83.673600000000008</v>
      </c>
      <c r="K168" s="669">
        <f>'[9]Rev_NP-12me'!BO202</f>
        <v>33.99087790085693</v>
      </c>
      <c r="L168" s="669">
        <f>'[9]Rev_NP-12me'!BQ202</f>
        <v>7.8E-2</v>
      </c>
      <c r="M168" s="669">
        <f t="shared" si="8"/>
        <v>117.74247790085694</v>
      </c>
    </row>
    <row r="169" spans="2:13" ht="14.4" x14ac:dyDescent="0.25">
      <c r="B169" s="706" t="s">
        <v>1147</v>
      </c>
      <c r="C169" s="579"/>
      <c r="D169" s="681">
        <f>'[9]Rev_NP-12me'!AJ204</f>
        <v>0</v>
      </c>
      <c r="E169" s="681">
        <f>'[9]Rev_NP-12me'!AK204</f>
        <v>0</v>
      </c>
      <c r="F169" s="681">
        <f>'[9]Rev_NP-12me'!AQ204</f>
        <v>0</v>
      </c>
      <c r="G169" s="681">
        <f>'[9]Rev_NP-12me'!S204</f>
        <v>0</v>
      </c>
      <c r="H169" s="682">
        <f>'[9]Rev_NP-12me'!T204</f>
        <v>6.65</v>
      </c>
      <c r="I169" s="681">
        <f>'[9]Rev_NP-12me'!AC204</f>
        <v>5000</v>
      </c>
      <c r="J169" s="681">
        <f>'[9]Rev_NP-12me'!BN204</f>
        <v>0</v>
      </c>
      <c r="K169" s="681">
        <f>'[9]Rev_NP-12me'!BO204</f>
        <v>0</v>
      </c>
      <c r="L169" s="681">
        <f>'[9]Rev_NP-12me'!BQ204</f>
        <v>0</v>
      </c>
      <c r="M169" s="669">
        <f t="shared" si="8"/>
        <v>0</v>
      </c>
    </row>
    <row r="170" spans="2:13" ht="14.4" x14ac:dyDescent="0.25">
      <c r="B170" s="706" t="s">
        <v>1148</v>
      </c>
      <c r="C170" s="579"/>
      <c r="D170" s="681">
        <f>'[9]Rev_NP-12me'!AJ205</f>
        <v>0</v>
      </c>
      <c r="E170" s="681">
        <f>'[9]Rev_NP-12me'!AK205</f>
        <v>0</v>
      </c>
      <c r="F170" s="681">
        <f>'[9]Rev_NP-12me'!AQ205</f>
        <v>0</v>
      </c>
      <c r="G170" s="681">
        <f>'[9]Rev_NP-12me'!S205</f>
        <v>0</v>
      </c>
      <c r="H170" s="682">
        <f>'[9]Rev_NP-12me'!T205</f>
        <v>7.3</v>
      </c>
      <c r="I170" s="681">
        <f>'[9]Rev_NP-12me'!AC205</f>
        <v>5000</v>
      </c>
      <c r="J170" s="681">
        <f>'[9]Rev_NP-12me'!BN205</f>
        <v>0</v>
      </c>
      <c r="K170" s="681">
        <f>'[9]Rev_NP-12me'!BO205</f>
        <v>0</v>
      </c>
      <c r="L170" s="681">
        <f>'[9]Rev_NP-12me'!BQ205</f>
        <v>0</v>
      </c>
      <c r="M170" s="669">
        <f t="shared" si="8"/>
        <v>0</v>
      </c>
    </row>
    <row r="171" spans="2:13" ht="14.4" x14ac:dyDescent="0.25">
      <c r="B171" s="706" t="s">
        <v>1149</v>
      </c>
      <c r="C171" s="579"/>
      <c r="D171" s="681">
        <f>'[9]Rev_NP-12me'!AJ206</f>
        <v>0</v>
      </c>
      <c r="E171" s="681">
        <f>'[9]Rev_NP-12me'!AK206</f>
        <v>0</v>
      </c>
      <c r="F171" s="681">
        <f>'[9]Rev_NP-12me'!AQ206</f>
        <v>0</v>
      </c>
      <c r="G171" s="681">
        <f>'[9]Rev_NP-12me'!S206</f>
        <v>500</v>
      </c>
      <c r="H171" s="682">
        <f>'[9]Rev_NP-12me'!T206</f>
        <v>7.7</v>
      </c>
      <c r="I171" s="681">
        <f>'[9]Rev_NP-12me'!AC206</f>
        <v>5000</v>
      </c>
      <c r="J171" s="681">
        <f>'[9]Rev_NP-12me'!BN206</f>
        <v>0</v>
      </c>
      <c r="K171" s="681">
        <f>'[9]Rev_NP-12me'!BO206</f>
        <v>0</v>
      </c>
      <c r="L171" s="681">
        <f>'[9]Rev_NP-12me'!BQ206</f>
        <v>0</v>
      </c>
      <c r="M171" s="669">
        <f t="shared" si="8"/>
        <v>0</v>
      </c>
    </row>
    <row r="172" spans="2:13" ht="14.4" x14ac:dyDescent="0.25">
      <c r="B172" s="711" t="s">
        <v>1100</v>
      </c>
      <c r="C172" s="579"/>
      <c r="D172" s="681">
        <f>'[9]Rev_NP-12me'!AJ207</f>
        <v>0</v>
      </c>
      <c r="E172" s="681">
        <f>'[9]Rev_NP-12me'!AK207</f>
        <v>0</v>
      </c>
      <c r="F172" s="681">
        <f>'[9]Rev_NP-12me'!AQ207</f>
        <v>117.46273125899998</v>
      </c>
      <c r="G172" s="681">
        <f>'[9]Rev_NP-12me'!S207</f>
        <v>0</v>
      </c>
      <c r="H172" s="682">
        <f>'[9]Rev_NP-12me'!T207</f>
        <v>7.65</v>
      </c>
      <c r="I172" s="681">
        <f>'[9]Rev_NP-12me'!AC207</f>
        <v>5000</v>
      </c>
      <c r="J172" s="681">
        <f>'[9]Rev_NP-12me'!BN207</f>
        <v>0</v>
      </c>
      <c r="K172" s="681">
        <f>'[9]Rev_NP-12me'!BO207</f>
        <v>89.858989413134992</v>
      </c>
      <c r="L172" s="681">
        <f>'[9]Rev_NP-12me'!BQ207</f>
        <v>0</v>
      </c>
      <c r="M172" s="669">
        <f t="shared" si="8"/>
        <v>89.858989413134992</v>
      </c>
    </row>
    <row r="173" spans="2:13" ht="14.4" x14ac:dyDescent="0.25">
      <c r="B173" s="711" t="s">
        <v>1101</v>
      </c>
      <c r="C173" s="579"/>
      <c r="D173" s="681">
        <f>'[9]Rev_NP-12me'!AJ208</f>
        <v>0</v>
      </c>
      <c r="E173" s="681">
        <f>'[9]Rev_NP-12me'!AK208</f>
        <v>0</v>
      </c>
      <c r="F173" s="681">
        <f>'[9]Rev_NP-12me'!AQ208</f>
        <v>33.883034005799992</v>
      </c>
      <c r="G173" s="681">
        <f>'[9]Rev_NP-12me'!S208</f>
        <v>0</v>
      </c>
      <c r="H173" s="682">
        <f>'[9]Rev_NP-12me'!T208</f>
        <v>7.65</v>
      </c>
      <c r="I173" s="681">
        <f>'[9]Rev_NP-12me'!AC208</f>
        <v>5000</v>
      </c>
      <c r="J173" s="681">
        <f>'[9]Rev_NP-12me'!BN208</f>
        <v>0</v>
      </c>
      <c r="K173" s="681">
        <f>'[9]Rev_NP-12me'!BO208</f>
        <v>25.920521014436996</v>
      </c>
      <c r="L173" s="681">
        <f>'[9]Rev_NP-12me'!BQ208</f>
        <v>0</v>
      </c>
      <c r="M173" s="669">
        <f t="shared" si="8"/>
        <v>25.920521014436996</v>
      </c>
    </row>
    <row r="174" spans="2:13" ht="14.4" x14ac:dyDescent="0.25">
      <c r="B174" s="711" t="s">
        <v>1102</v>
      </c>
      <c r="C174" s="579"/>
      <c r="D174" s="681">
        <f>'[9]Rev_NP-12me'!AJ210</f>
        <v>0</v>
      </c>
      <c r="E174" s="681">
        <f>'[9]Rev_NP-12me'!AK210</f>
        <v>0</v>
      </c>
      <c r="F174" s="681">
        <f>'[9]Rev_NP-12me'!AQ210</f>
        <v>161.76179889839997</v>
      </c>
      <c r="G174" s="681">
        <f>'[9]Rev_NP-12me'!S210</f>
        <v>0</v>
      </c>
      <c r="H174" s="682">
        <f>'[9]Rev_NP-12me'!T210</f>
        <v>5.15</v>
      </c>
      <c r="I174" s="681">
        <f>'[9]Rev_NP-12me'!AC210</f>
        <v>5000</v>
      </c>
      <c r="J174" s="681">
        <f>'[9]Rev_NP-12me'!BN210</f>
        <v>0</v>
      </c>
      <c r="K174" s="681">
        <f>'[9]Rev_NP-12me'!BO210</f>
        <v>83.307326432675993</v>
      </c>
      <c r="L174" s="681">
        <f>'[9]Rev_NP-12me'!BQ210</f>
        <v>0</v>
      </c>
      <c r="M174" s="669">
        <f t="shared" si="8"/>
        <v>83.307326432675993</v>
      </c>
    </row>
    <row r="175" spans="2:13" x14ac:dyDescent="0.25">
      <c r="B175" s="704" t="s">
        <v>1161</v>
      </c>
      <c r="C175" s="579"/>
      <c r="D175" s="674">
        <f>'[9]Rev_NP-12me'!AJ212</f>
        <v>2</v>
      </c>
      <c r="E175" s="674">
        <f>'[9]Rev_NP-12me'!AK212</f>
        <v>35</v>
      </c>
      <c r="F175" s="674">
        <f>'[9]Rev_NP-12me'!AQ212</f>
        <v>283.67313653890687</v>
      </c>
      <c r="G175" s="674">
        <f>'[9]Rev_NP-12me'!S212</f>
        <v>0</v>
      </c>
      <c r="H175" s="688">
        <f>'[9]Rev_NP-12me'!T212</f>
        <v>0</v>
      </c>
      <c r="I175" s="674">
        <f>'[9]Rev_NP-12me'!AC212</f>
        <v>0</v>
      </c>
      <c r="J175" s="674">
        <f>'[9]Rev_NP-12me'!BN212</f>
        <v>16.8</v>
      </c>
      <c r="K175" s="674">
        <f>'[9]Rev_NP-12me'!BO212</f>
        <v>183.65227223437918</v>
      </c>
      <c r="L175" s="674">
        <f>'[9]Rev_NP-12me'!BQ212</f>
        <v>1.2E-2</v>
      </c>
      <c r="M175" s="674">
        <f t="shared" si="8"/>
        <v>200.46427223437919</v>
      </c>
    </row>
    <row r="176" spans="2:13" ht="14.4" x14ac:dyDescent="0.25">
      <c r="B176" s="706" t="s">
        <v>1134</v>
      </c>
      <c r="C176" s="579"/>
      <c r="D176" s="681">
        <f>'[9]Rev_NP-12me'!AJ213</f>
        <v>2</v>
      </c>
      <c r="E176" s="681">
        <f>'[9]Rev_NP-12me'!AK213</f>
        <v>35</v>
      </c>
      <c r="F176" s="681">
        <f>'[9]Rev_NP-12me'!AQ213</f>
        <v>75.184271566377504</v>
      </c>
      <c r="G176" s="681">
        <f>'[9]Rev_NP-12me'!S213</f>
        <v>500</v>
      </c>
      <c r="H176" s="682">
        <f>'[9]Rev_NP-12me'!T213</f>
        <v>6.65</v>
      </c>
      <c r="I176" s="681">
        <f>'[9]Rev_NP-12me'!AC213</f>
        <v>5000</v>
      </c>
      <c r="J176" s="681">
        <f>'[9]Rev_NP-12me'!BN213</f>
        <v>16.8</v>
      </c>
      <c r="K176" s="681">
        <f>'[9]Rev_NP-12me'!BO213</f>
        <v>49.997540591641041</v>
      </c>
      <c r="L176" s="681">
        <f>'[9]Rev_NP-12me'!BQ213</f>
        <v>1.2E-2</v>
      </c>
      <c r="M176" s="669">
        <f t="shared" si="8"/>
        <v>66.809540591641039</v>
      </c>
    </row>
    <row r="177" spans="2:13" ht="14.4" x14ac:dyDescent="0.25">
      <c r="B177" s="706" t="s">
        <v>1100</v>
      </c>
      <c r="C177" s="579"/>
      <c r="D177" s="681">
        <f>'[9]Rev_NP-12me'!AJ214</f>
        <v>0</v>
      </c>
      <c r="E177" s="681">
        <f>'[9]Rev_NP-12me'!AK214</f>
        <v>0</v>
      </c>
      <c r="F177" s="681">
        <f>'[9]Rev_NP-12me'!AQ214</f>
        <v>52.416710336199223</v>
      </c>
      <c r="G177" s="681">
        <f>'[9]Rev_NP-12me'!S214</f>
        <v>0</v>
      </c>
      <c r="H177" s="682">
        <f>'[9]Rev_NP-12me'!T214</f>
        <v>7.65</v>
      </c>
      <c r="I177" s="681">
        <f>'[9]Rev_NP-12me'!AC214</f>
        <v>5000</v>
      </c>
      <c r="J177" s="681">
        <f>'[9]Rev_NP-12me'!BN214</f>
        <v>0</v>
      </c>
      <c r="K177" s="681">
        <f>'[9]Rev_NP-12me'!BO214</f>
        <v>40.098783407192407</v>
      </c>
      <c r="L177" s="681">
        <f>'[9]Rev_NP-12me'!BQ214</f>
        <v>0</v>
      </c>
      <c r="M177" s="669">
        <f t="shared" si="8"/>
        <v>40.098783407192407</v>
      </c>
    </row>
    <row r="178" spans="2:13" ht="14.4" x14ac:dyDescent="0.25">
      <c r="B178" s="706" t="s">
        <v>1101</v>
      </c>
      <c r="C178" s="579"/>
      <c r="D178" s="681">
        <f>'[9]Rev_NP-12me'!AJ215</f>
        <v>0</v>
      </c>
      <c r="E178" s="681">
        <f>'[9]Rev_NP-12me'!AK215</f>
        <v>0</v>
      </c>
      <c r="F178" s="681">
        <f>'[9]Rev_NP-12me'!AQ215</f>
        <v>52.715154391342786</v>
      </c>
      <c r="G178" s="681">
        <f>'[9]Rev_NP-12me'!S215</f>
        <v>0</v>
      </c>
      <c r="H178" s="682">
        <f>'[9]Rev_NP-12me'!T215</f>
        <v>7.65</v>
      </c>
      <c r="I178" s="681">
        <f>'[9]Rev_NP-12me'!AC215</f>
        <v>5000</v>
      </c>
      <c r="J178" s="681">
        <f>'[9]Rev_NP-12me'!BN215</f>
        <v>0</v>
      </c>
      <c r="K178" s="681">
        <f>'[9]Rev_NP-12me'!BO215</f>
        <v>40.32709310937723</v>
      </c>
      <c r="L178" s="681">
        <f>'[9]Rev_NP-12me'!BQ215</f>
        <v>0</v>
      </c>
      <c r="M178" s="669">
        <f t="shared" si="8"/>
        <v>40.32709310937723</v>
      </c>
    </row>
    <row r="179" spans="2:13" ht="14.4" x14ac:dyDescent="0.25">
      <c r="B179" s="706" t="s">
        <v>1102</v>
      </c>
      <c r="C179" s="579"/>
      <c r="D179" s="681">
        <f>'[9]Rev_NP-12me'!AJ216</f>
        <v>0</v>
      </c>
      <c r="E179" s="681">
        <f>'[9]Rev_NP-12me'!AK216</f>
        <v>0</v>
      </c>
      <c r="F179" s="681">
        <f>'[9]Rev_NP-12me'!AQ216</f>
        <v>103.35700024498736</v>
      </c>
      <c r="G179" s="681">
        <f>'[9]Rev_NP-12me'!S216</f>
        <v>0</v>
      </c>
      <c r="H179" s="682">
        <f>'[9]Rev_NP-12me'!T216</f>
        <v>5.15</v>
      </c>
      <c r="I179" s="681">
        <f>'[9]Rev_NP-12me'!AC216</f>
        <v>5000</v>
      </c>
      <c r="J179" s="681">
        <f>'[9]Rev_NP-12me'!BN216</f>
        <v>0</v>
      </c>
      <c r="K179" s="681">
        <f>'[9]Rev_NP-12me'!BO216</f>
        <v>53.22885512616849</v>
      </c>
      <c r="L179" s="681">
        <f>'[9]Rev_NP-12me'!BQ216</f>
        <v>0</v>
      </c>
      <c r="M179" s="669">
        <f t="shared" si="8"/>
        <v>53.22885512616849</v>
      </c>
    </row>
    <row r="180" spans="2:13" x14ac:dyDescent="0.25">
      <c r="B180" s="704" t="s">
        <v>1162</v>
      </c>
      <c r="C180" s="579"/>
      <c r="D180" s="674">
        <f>'[9]Rev_NP-12me'!AJ211</f>
        <v>0</v>
      </c>
      <c r="E180" s="674">
        <f>'[9]Rev_NP-12me'!AK211</f>
        <v>0</v>
      </c>
      <c r="F180" s="674">
        <f>'[9]Rev_NP-12me'!AQ211</f>
        <v>0</v>
      </c>
      <c r="G180" s="674">
        <f>'[9]Rev_NP-12me'!S211</f>
        <v>500</v>
      </c>
      <c r="H180" s="688">
        <f>'[9]Rev_NP-12me'!T211</f>
        <v>6.65</v>
      </c>
      <c r="I180" s="674">
        <f>'[9]Rev_NP-12me'!AC211</f>
        <v>5000</v>
      </c>
      <c r="J180" s="674">
        <f>'[9]Rev_NP-12me'!BN211</f>
        <v>0</v>
      </c>
      <c r="K180" s="674">
        <f>'[9]Rev_NP-12me'!BO211</f>
        <v>0</v>
      </c>
      <c r="L180" s="674">
        <f>'[9]Rev_NP-12me'!BQ211</f>
        <v>0</v>
      </c>
      <c r="M180" s="674">
        <f t="shared" si="8"/>
        <v>0</v>
      </c>
    </row>
    <row r="181" spans="2:13" x14ac:dyDescent="0.25">
      <c r="B181" s="704" t="s">
        <v>1163</v>
      </c>
      <c r="C181" s="579"/>
      <c r="D181" s="674">
        <f>'[9]Rev_NP-12me'!AJ217</f>
        <v>7</v>
      </c>
      <c r="E181" s="674">
        <f>'[9]Rev_NP-12me'!AK217</f>
        <v>17.350000000000001</v>
      </c>
      <c r="F181" s="674">
        <f>'[9]Rev_NP-12me'!AQ217</f>
        <v>4.6745669736802009</v>
      </c>
      <c r="G181" s="674">
        <f>'[9]Rev_NP-12me'!S217</f>
        <v>0</v>
      </c>
      <c r="H181" s="688">
        <f>'[9]Rev_NP-12me'!T217</f>
        <v>0</v>
      </c>
      <c r="I181" s="674">
        <f>'[9]Rev_NP-12me'!AC217</f>
        <v>0</v>
      </c>
      <c r="J181" s="674">
        <f>'[9]Rev_NP-12me'!BN217</f>
        <v>8.3280000000000012</v>
      </c>
      <c r="K181" s="674">
        <f>'[9]Rev_NP-12me'!BO217</f>
        <v>3.4522025187132637</v>
      </c>
      <c r="L181" s="674">
        <f>'[9]Rev_NP-12me'!BQ217</f>
        <v>4.2000000000000003E-2</v>
      </c>
      <c r="M181" s="674">
        <f t="shared" si="8"/>
        <v>11.822202518713265</v>
      </c>
    </row>
    <row r="182" spans="2:13" ht="14.4" x14ac:dyDescent="0.25">
      <c r="B182" s="711" t="s">
        <v>1134</v>
      </c>
      <c r="C182" s="579"/>
      <c r="D182" s="681">
        <f>'[9]Rev_NP-12me'!AJ218</f>
        <v>7</v>
      </c>
      <c r="E182" s="681">
        <f>'[9]Rev_NP-12me'!AK218</f>
        <v>17.350000000000001</v>
      </c>
      <c r="F182" s="681">
        <f>'[9]Rev_NP-12me'!AQ218</f>
        <v>0.87885207268631382</v>
      </c>
      <c r="G182" s="681">
        <f>'[9]Rev_NP-12me'!S218</f>
        <v>500</v>
      </c>
      <c r="H182" s="682">
        <f>'[9]Rev_NP-12me'!T218</f>
        <v>7.8</v>
      </c>
      <c r="I182" s="681">
        <f>'[9]Rev_NP-12me'!AC218</f>
        <v>5000</v>
      </c>
      <c r="J182" s="681">
        <f>'[9]Rev_NP-12me'!BN218</f>
        <v>8.3280000000000012</v>
      </c>
      <c r="K182" s="681">
        <f>'[9]Rev_NP-12me'!BO218</f>
        <v>0.6855046166953247</v>
      </c>
      <c r="L182" s="681">
        <f>'[9]Rev_NP-12me'!BQ218</f>
        <v>4.2000000000000003E-2</v>
      </c>
      <c r="M182" s="669">
        <f t="shared" si="8"/>
        <v>9.055504616695325</v>
      </c>
    </row>
    <row r="183" spans="2:13" ht="14.4" x14ac:dyDescent="0.25">
      <c r="B183" s="711" t="s">
        <v>1100</v>
      </c>
      <c r="C183" s="579"/>
      <c r="D183" s="681">
        <f>'[9]Rev_NP-12me'!AJ219</f>
        <v>0</v>
      </c>
      <c r="E183" s="681">
        <f>'[9]Rev_NP-12me'!AK219</f>
        <v>0</v>
      </c>
      <c r="F183" s="681">
        <f>'[9]Rev_NP-12me'!AQ219</f>
        <v>0.95923963956064007</v>
      </c>
      <c r="G183" s="681">
        <f>'[9]Rev_NP-12me'!S219</f>
        <v>0</v>
      </c>
      <c r="H183" s="682">
        <f>'[9]Rev_NP-12me'!T219</f>
        <v>8.8000000000000007</v>
      </c>
      <c r="I183" s="681">
        <f>'[9]Rev_NP-12me'!AC219</f>
        <v>5000</v>
      </c>
      <c r="J183" s="681">
        <f>'[9]Rev_NP-12me'!BN219</f>
        <v>0</v>
      </c>
      <c r="K183" s="681">
        <f>'[9]Rev_NP-12me'!BO219</f>
        <v>0.84413088281336335</v>
      </c>
      <c r="L183" s="681">
        <f>'[9]Rev_NP-12me'!BQ219</f>
        <v>0</v>
      </c>
      <c r="M183" s="669">
        <f t="shared" si="8"/>
        <v>0.84413088281336335</v>
      </c>
    </row>
    <row r="184" spans="2:13" ht="14.4" x14ac:dyDescent="0.25">
      <c r="B184" s="711" t="s">
        <v>1101</v>
      </c>
      <c r="C184" s="579"/>
      <c r="D184" s="681">
        <f>'[9]Rev_NP-12me'!AJ220</f>
        <v>0</v>
      </c>
      <c r="E184" s="681">
        <f>'[9]Rev_NP-12me'!AK220</f>
        <v>0</v>
      </c>
      <c r="F184" s="681">
        <f>'[9]Rev_NP-12me'!AQ220</f>
        <v>0.54235041800651917</v>
      </c>
      <c r="G184" s="681">
        <f>'[9]Rev_NP-12me'!S220</f>
        <v>0</v>
      </c>
      <c r="H184" s="682">
        <f>'[9]Rev_NP-12me'!T220</f>
        <v>8.8000000000000007</v>
      </c>
      <c r="I184" s="681">
        <f>'[9]Rev_NP-12me'!AC220</f>
        <v>5000</v>
      </c>
      <c r="J184" s="681">
        <f>'[9]Rev_NP-12me'!BN220</f>
        <v>0</v>
      </c>
      <c r="K184" s="681">
        <f>'[9]Rev_NP-12me'!BO220</f>
        <v>0.4772683678457369</v>
      </c>
      <c r="L184" s="681">
        <f>'[9]Rev_NP-12me'!BQ220</f>
        <v>0</v>
      </c>
      <c r="M184" s="669">
        <f t="shared" si="8"/>
        <v>0.4772683678457369</v>
      </c>
    </row>
    <row r="185" spans="2:13" ht="14.4" x14ac:dyDescent="0.25">
      <c r="B185" s="711" t="s">
        <v>1102</v>
      </c>
      <c r="C185" s="579"/>
      <c r="D185" s="681">
        <f>'[9]Rev_NP-12me'!AJ221</f>
        <v>0</v>
      </c>
      <c r="E185" s="681">
        <f>'[9]Rev_NP-12me'!AK221</f>
        <v>0</v>
      </c>
      <c r="F185" s="681">
        <f>'[9]Rev_NP-12me'!AQ221</f>
        <v>2.2941248434267281</v>
      </c>
      <c r="G185" s="681">
        <f>'[9]Rev_NP-12me'!S221</f>
        <v>0</v>
      </c>
      <c r="H185" s="682">
        <f>'[9]Rev_NP-12me'!T221</f>
        <v>6.3</v>
      </c>
      <c r="I185" s="681">
        <f>'[9]Rev_NP-12me'!AC221</f>
        <v>5000</v>
      </c>
      <c r="J185" s="681">
        <f>'[9]Rev_NP-12me'!BN221</f>
        <v>0</v>
      </c>
      <c r="K185" s="681">
        <f>'[9]Rev_NP-12me'!BO221</f>
        <v>1.4452986513588386</v>
      </c>
      <c r="L185" s="681">
        <f>'[9]Rev_NP-12me'!BQ221</f>
        <v>0</v>
      </c>
      <c r="M185" s="669">
        <f t="shared" si="8"/>
        <v>1.4452986513588386</v>
      </c>
    </row>
    <row r="186" spans="2:13" x14ac:dyDescent="0.25">
      <c r="B186" s="704" t="s">
        <v>1135</v>
      </c>
      <c r="C186" s="579"/>
      <c r="D186" s="674">
        <f>'[9]Rev_NP-12me'!AJ222</f>
        <v>0</v>
      </c>
      <c r="E186" s="674">
        <f>'[9]Rev_NP-12me'!AK222</f>
        <v>0</v>
      </c>
      <c r="F186" s="674">
        <f>'[9]Rev_NP-12me'!AQ222</f>
        <v>0</v>
      </c>
      <c r="G186" s="674">
        <f>'[9]Rev_NP-12me'!S222</f>
        <v>0</v>
      </c>
      <c r="H186" s="688">
        <f>'[9]Rev_NP-12me'!T222</f>
        <v>0</v>
      </c>
      <c r="I186" s="674">
        <f>'[9]Rev_NP-12me'!AC222</f>
        <v>0</v>
      </c>
      <c r="J186" s="674">
        <f>'[9]Rev_NP-12me'!BN222</f>
        <v>0</v>
      </c>
      <c r="K186" s="674">
        <f>'[9]Rev_NP-12me'!BO222</f>
        <v>0</v>
      </c>
      <c r="L186" s="674">
        <f>'[9]Rev_NP-12me'!BQ222</f>
        <v>0</v>
      </c>
      <c r="M186" s="674">
        <f t="shared" si="8"/>
        <v>0</v>
      </c>
    </row>
    <row r="187" spans="2:13" ht="14.4" x14ac:dyDescent="0.25">
      <c r="B187" s="706" t="s">
        <v>1134</v>
      </c>
      <c r="C187" s="579"/>
      <c r="D187" s="681">
        <f>'[9]Rev_NP-12me'!AJ223</f>
        <v>0</v>
      </c>
      <c r="E187" s="681">
        <f>'[9]Rev_NP-12me'!AK223</f>
        <v>0</v>
      </c>
      <c r="F187" s="681">
        <f>'[9]Rev_NP-12me'!AQ223</f>
        <v>0</v>
      </c>
      <c r="G187" s="681">
        <f>'[9]Rev_NP-12me'!S223</f>
        <v>285</v>
      </c>
      <c r="H187" s="682">
        <f>'[9]Rev_NP-12me'!T223</f>
        <v>5</v>
      </c>
      <c r="I187" s="681">
        <f>'[9]Rev_NP-12me'!AC223</f>
        <v>5000</v>
      </c>
      <c r="J187" s="681">
        <f>'[9]Rev_NP-12me'!BN223</f>
        <v>0</v>
      </c>
      <c r="K187" s="681">
        <f>'[9]Rev_NP-12me'!BO223</f>
        <v>0</v>
      </c>
      <c r="L187" s="681">
        <f>'[9]Rev_NP-12me'!BQ223</f>
        <v>0</v>
      </c>
      <c r="M187" s="669">
        <f t="shared" si="8"/>
        <v>0</v>
      </c>
    </row>
    <row r="188" spans="2:13" ht="14.4" x14ac:dyDescent="0.25">
      <c r="B188" s="706" t="s">
        <v>1100</v>
      </c>
      <c r="C188" s="579"/>
      <c r="D188" s="681">
        <f>'[9]Rev_NP-12me'!AJ224</f>
        <v>0</v>
      </c>
      <c r="E188" s="681">
        <f>'[9]Rev_NP-12me'!AK224</f>
        <v>0</v>
      </c>
      <c r="F188" s="681">
        <f>'[9]Rev_NP-12me'!AQ224</f>
        <v>0</v>
      </c>
      <c r="G188" s="681">
        <f>'[9]Rev_NP-12me'!S224</f>
        <v>0</v>
      </c>
      <c r="H188" s="682">
        <f>'[9]Rev_NP-12me'!T224</f>
        <v>6</v>
      </c>
      <c r="I188" s="681">
        <f>'[9]Rev_NP-12me'!AC224</f>
        <v>5000</v>
      </c>
      <c r="J188" s="681">
        <f>'[9]Rev_NP-12me'!BN224</f>
        <v>0</v>
      </c>
      <c r="K188" s="681">
        <f>'[9]Rev_NP-12me'!BO224</f>
        <v>0</v>
      </c>
      <c r="L188" s="681">
        <f>'[9]Rev_NP-12me'!BQ224</f>
        <v>0</v>
      </c>
      <c r="M188" s="669">
        <f t="shared" si="8"/>
        <v>0</v>
      </c>
    </row>
    <row r="189" spans="2:13" ht="14.4" x14ac:dyDescent="0.25">
      <c r="B189" s="706" t="s">
        <v>1101</v>
      </c>
      <c r="C189" s="579"/>
      <c r="D189" s="681">
        <f>'[9]Rev_NP-12me'!AJ225</f>
        <v>0</v>
      </c>
      <c r="E189" s="681">
        <f>'[9]Rev_NP-12me'!AK225</f>
        <v>0</v>
      </c>
      <c r="F189" s="681">
        <f>'[9]Rev_NP-12me'!AQ225</f>
        <v>0</v>
      </c>
      <c r="G189" s="681">
        <f>'[9]Rev_NP-12me'!S225</f>
        <v>0</v>
      </c>
      <c r="H189" s="682">
        <f>'[9]Rev_NP-12me'!T225</f>
        <v>6</v>
      </c>
      <c r="I189" s="681">
        <f>'[9]Rev_NP-12me'!AC225</f>
        <v>5000</v>
      </c>
      <c r="J189" s="681">
        <f>'[9]Rev_NP-12me'!BN225</f>
        <v>0</v>
      </c>
      <c r="K189" s="681">
        <f>'[9]Rev_NP-12me'!BO225</f>
        <v>0</v>
      </c>
      <c r="L189" s="681">
        <f>'[9]Rev_NP-12me'!BQ225</f>
        <v>0</v>
      </c>
      <c r="M189" s="669">
        <f t="shared" si="8"/>
        <v>0</v>
      </c>
    </row>
    <row r="190" spans="2:13" ht="14.4" x14ac:dyDescent="0.25">
      <c r="B190" s="706" t="s">
        <v>1102</v>
      </c>
      <c r="C190" s="579"/>
      <c r="D190" s="681">
        <f>'[9]Rev_NP-12me'!AJ226</f>
        <v>0</v>
      </c>
      <c r="E190" s="681">
        <f>'[9]Rev_NP-12me'!AK226</f>
        <v>0</v>
      </c>
      <c r="F190" s="681">
        <f>'[9]Rev_NP-12me'!AQ226</f>
        <v>0</v>
      </c>
      <c r="G190" s="681">
        <f>'[9]Rev_NP-12me'!S226</f>
        <v>0</v>
      </c>
      <c r="H190" s="682">
        <f>'[9]Rev_NP-12me'!T226</f>
        <v>3.5</v>
      </c>
      <c r="I190" s="681">
        <f>'[9]Rev_NP-12me'!AC226</f>
        <v>5000</v>
      </c>
      <c r="J190" s="681">
        <f>'[9]Rev_NP-12me'!BN226</f>
        <v>0</v>
      </c>
      <c r="K190" s="681">
        <f>'[9]Rev_NP-12me'!BO226</f>
        <v>0</v>
      </c>
      <c r="L190" s="681">
        <f>'[9]Rev_NP-12me'!BQ226</f>
        <v>0</v>
      </c>
      <c r="M190" s="669">
        <f t="shared" si="8"/>
        <v>0</v>
      </c>
    </row>
    <row r="191" spans="2:13" x14ac:dyDescent="0.25">
      <c r="B191" s="704" t="s">
        <v>1079</v>
      </c>
      <c r="C191" s="579"/>
      <c r="D191" s="674">
        <f>'[9]Rev_NP-12me'!AJ227</f>
        <v>0</v>
      </c>
      <c r="E191" s="674">
        <f>'[9]Rev_NP-12me'!AK227</f>
        <v>0</v>
      </c>
      <c r="F191" s="674">
        <f>'[9]Rev_NP-12me'!AQ227</f>
        <v>0</v>
      </c>
      <c r="G191" s="674">
        <f>'[9]Rev_NP-12me'!S227</f>
        <v>0</v>
      </c>
      <c r="H191" s="688">
        <f>'[9]Rev_NP-12me'!T227</f>
        <v>0</v>
      </c>
      <c r="I191" s="674">
        <f>'[9]Rev_NP-12me'!AC227</f>
        <v>0</v>
      </c>
      <c r="J191" s="674">
        <f>'[9]Rev_NP-12me'!BN227</f>
        <v>0</v>
      </c>
      <c r="K191" s="674">
        <f>'[9]Rev_NP-12me'!BO227</f>
        <v>0</v>
      </c>
      <c r="L191" s="674">
        <f>'[9]Rev_NP-12me'!BQ227</f>
        <v>0</v>
      </c>
      <c r="M191" s="674">
        <f t="shared" si="8"/>
        <v>0</v>
      </c>
    </row>
    <row r="192" spans="2:13" ht="14.4" x14ac:dyDescent="0.25">
      <c r="B192" s="711" t="s">
        <v>1134</v>
      </c>
      <c r="C192" s="579"/>
      <c r="D192" s="681">
        <f>'[9]Rev_NP-12me'!AJ228</f>
        <v>0</v>
      </c>
      <c r="E192" s="681">
        <f>'[9]Rev_NP-12me'!AK228</f>
        <v>0</v>
      </c>
      <c r="F192" s="681">
        <f>'[9]Rev_NP-12me'!AQ228</f>
        <v>0</v>
      </c>
      <c r="G192" s="681">
        <f>'[9]Rev_NP-12me'!S228</f>
        <v>500</v>
      </c>
      <c r="H192" s="682">
        <f>'[9]Rev_NP-12me'!T228</f>
        <v>7.45</v>
      </c>
      <c r="I192" s="681">
        <f>'[9]Rev_NP-12me'!AC228</f>
        <v>5000</v>
      </c>
      <c r="J192" s="681">
        <f>'[9]Rev_NP-12me'!BN228</f>
        <v>0</v>
      </c>
      <c r="K192" s="681">
        <f>'[9]Rev_NP-12me'!BO228</f>
        <v>0</v>
      </c>
      <c r="L192" s="681">
        <f>'[9]Rev_NP-12me'!BQ228</f>
        <v>0</v>
      </c>
      <c r="M192" s="669">
        <f t="shared" si="8"/>
        <v>0</v>
      </c>
    </row>
    <row r="193" spans="2:13" ht="14.4" x14ac:dyDescent="0.25">
      <c r="B193" s="711" t="s">
        <v>1100</v>
      </c>
      <c r="C193" s="579"/>
      <c r="D193" s="681">
        <f>'[9]Rev_NP-12me'!AJ229</f>
        <v>0</v>
      </c>
      <c r="E193" s="681">
        <f>'[9]Rev_NP-12me'!AK229</f>
        <v>0</v>
      </c>
      <c r="F193" s="681">
        <f>'[9]Rev_NP-12me'!AQ229</f>
        <v>0</v>
      </c>
      <c r="G193" s="681">
        <f>'[9]Rev_NP-12me'!S229</f>
        <v>0</v>
      </c>
      <c r="H193" s="682">
        <f>'[9]Rev_NP-12me'!T229</f>
        <v>8.4499999999999993</v>
      </c>
      <c r="I193" s="681">
        <f>'[9]Rev_NP-12me'!AC229</f>
        <v>5000</v>
      </c>
      <c r="J193" s="681">
        <f>'[9]Rev_NP-12me'!BN229</f>
        <v>0</v>
      </c>
      <c r="K193" s="681">
        <f>'[9]Rev_NP-12me'!BO229</f>
        <v>0</v>
      </c>
      <c r="L193" s="681">
        <f>'[9]Rev_NP-12me'!BQ229</f>
        <v>0</v>
      </c>
      <c r="M193" s="669">
        <f t="shared" si="8"/>
        <v>0</v>
      </c>
    </row>
    <row r="194" spans="2:13" ht="14.4" x14ac:dyDescent="0.25">
      <c r="B194" s="711" t="s">
        <v>1101</v>
      </c>
      <c r="C194" s="579"/>
      <c r="D194" s="681">
        <f>'[9]Rev_NP-12me'!AJ230</f>
        <v>0</v>
      </c>
      <c r="E194" s="681">
        <f>'[9]Rev_NP-12me'!AK230</f>
        <v>0</v>
      </c>
      <c r="F194" s="681">
        <f>'[9]Rev_NP-12me'!AQ230</f>
        <v>0</v>
      </c>
      <c r="G194" s="681">
        <f>'[9]Rev_NP-12me'!S230</f>
        <v>0</v>
      </c>
      <c r="H194" s="682">
        <f>'[9]Rev_NP-12me'!T230</f>
        <v>8.4499999999999993</v>
      </c>
      <c r="I194" s="681">
        <f>'[9]Rev_NP-12me'!AC230</f>
        <v>5000</v>
      </c>
      <c r="J194" s="681">
        <f>'[9]Rev_NP-12me'!BN230</f>
        <v>0</v>
      </c>
      <c r="K194" s="681">
        <f>'[9]Rev_NP-12me'!BO230</f>
        <v>0</v>
      </c>
      <c r="L194" s="681">
        <f>'[9]Rev_NP-12me'!BQ230</f>
        <v>0</v>
      </c>
      <c r="M194" s="669">
        <f t="shared" si="8"/>
        <v>0</v>
      </c>
    </row>
    <row r="195" spans="2:13" ht="14.4" x14ac:dyDescent="0.25">
      <c r="B195" s="711" t="s">
        <v>1102</v>
      </c>
      <c r="C195" s="579"/>
      <c r="D195" s="681">
        <f>'[9]Rev_NP-12me'!AJ231</f>
        <v>0</v>
      </c>
      <c r="E195" s="681">
        <f>'[9]Rev_NP-12me'!AK231</f>
        <v>0</v>
      </c>
      <c r="F195" s="681">
        <f>'[9]Rev_NP-12me'!AQ231</f>
        <v>0</v>
      </c>
      <c r="G195" s="681">
        <f>'[9]Rev_NP-12me'!S231</f>
        <v>0</v>
      </c>
      <c r="H195" s="682">
        <f>'[9]Rev_NP-12me'!T231</f>
        <v>5.95</v>
      </c>
      <c r="I195" s="681">
        <f>'[9]Rev_NP-12me'!AC231</f>
        <v>5000</v>
      </c>
      <c r="J195" s="681">
        <f>'[9]Rev_NP-12me'!BN231</f>
        <v>0</v>
      </c>
      <c r="K195" s="681">
        <f>'[9]Rev_NP-12me'!BO231</f>
        <v>0</v>
      </c>
      <c r="L195" s="681">
        <f>'[9]Rev_NP-12me'!BQ231</f>
        <v>0</v>
      </c>
      <c r="M195" s="669">
        <f t="shared" si="8"/>
        <v>0</v>
      </c>
    </row>
    <row r="196" spans="2:13" x14ac:dyDescent="0.25">
      <c r="B196" s="704" t="s">
        <v>1164</v>
      </c>
      <c r="C196" s="579"/>
      <c r="D196" s="674">
        <f>'[9]Rev_NP-12me'!AJ232</f>
        <v>35</v>
      </c>
      <c r="E196" s="674">
        <f>'[9]Rev_NP-12me'!AK232</f>
        <v>2676.415</v>
      </c>
      <c r="F196" s="674">
        <f>'[9]Rev_NP-12me'!AQ232</f>
        <v>1525.3609561559997</v>
      </c>
      <c r="G196" s="674">
        <f>'[9]Rev_NP-12me'!S232</f>
        <v>0</v>
      </c>
      <c r="H196" s="688">
        <f>'[9]Rev_NP-12me'!T232</f>
        <v>0</v>
      </c>
      <c r="I196" s="674">
        <f>'[9]Rev_NP-12me'!AC232</f>
        <v>0</v>
      </c>
      <c r="J196" s="674">
        <f>'[9]Rev_NP-12me'!BN232</f>
        <v>461.68158750000003</v>
      </c>
      <c r="K196" s="674">
        <f>'[9]Rev_NP-12me'!BO232</f>
        <v>960.97740237827986</v>
      </c>
      <c r="L196" s="674">
        <f>'[9]Rev_NP-12me'!BQ232</f>
        <v>0.21</v>
      </c>
      <c r="M196" s="674">
        <f t="shared" si="8"/>
        <v>1422.86898987828</v>
      </c>
    </row>
    <row r="197" spans="2:13" ht="14.4" x14ac:dyDescent="0.25">
      <c r="B197" s="706" t="s">
        <v>1137</v>
      </c>
      <c r="C197" s="579"/>
      <c r="D197" s="681">
        <f>'[9]Rev_NP-12me'!AJ233</f>
        <v>35</v>
      </c>
      <c r="E197" s="681">
        <f>'[9]Rev_NP-12me'!AK233</f>
        <v>2676.415</v>
      </c>
      <c r="F197" s="681">
        <f>'[9]Rev_NP-12me'!AQ233</f>
        <v>1525.3609561559997</v>
      </c>
      <c r="G197" s="681">
        <f>'[9]Rev_NP-12me'!S233</f>
        <v>300</v>
      </c>
      <c r="H197" s="682">
        <f>'[9]Rev_NP-12me'!T233</f>
        <v>6.3</v>
      </c>
      <c r="I197" s="681">
        <f>'[9]Rev_NP-12me'!AC233</f>
        <v>5000</v>
      </c>
      <c r="J197" s="681">
        <f>'[9]Rev_NP-12me'!BN233</f>
        <v>461.68158750000003</v>
      </c>
      <c r="K197" s="681">
        <f>'[9]Rev_NP-12me'!BO233</f>
        <v>960.97740237827986</v>
      </c>
      <c r="L197" s="681">
        <f>'[9]Rev_NP-12me'!BQ233</f>
        <v>0.21</v>
      </c>
      <c r="M197" s="669">
        <f t="shared" si="8"/>
        <v>1422.86898987828</v>
      </c>
    </row>
    <row r="198" spans="2:13" ht="14.4" x14ac:dyDescent="0.25">
      <c r="B198" s="706" t="s">
        <v>1165</v>
      </c>
      <c r="C198" s="579"/>
      <c r="D198" s="681">
        <f>'[9]Rev_NP-12me'!AJ234</f>
        <v>0</v>
      </c>
      <c r="E198" s="681">
        <f>'[9]Rev_NP-12me'!AK234</f>
        <v>0</v>
      </c>
      <c r="F198" s="681">
        <f>'[9]Rev_NP-12me'!AQ234</f>
        <v>0</v>
      </c>
      <c r="G198" s="681">
        <f>'[9]Rev_NP-12me'!S234</f>
        <v>275</v>
      </c>
      <c r="H198" s="682">
        <f>'[9]Rev_NP-12me'!T234</f>
        <v>6.3</v>
      </c>
      <c r="I198" s="681">
        <f>'[9]Rev_NP-12me'!AC234</f>
        <v>5000</v>
      </c>
      <c r="J198" s="681">
        <f>'[9]Rev_NP-12me'!BN234</f>
        <v>0</v>
      </c>
      <c r="K198" s="681">
        <f>'[9]Rev_NP-12me'!BO234</f>
        <v>0</v>
      </c>
      <c r="L198" s="681">
        <f>'[9]Rev_NP-12me'!BQ234</f>
        <v>0</v>
      </c>
      <c r="M198" s="669">
        <f t="shared" si="8"/>
        <v>0</v>
      </c>
    </row>
    <row r="199" spans="2:13" x14ac:dyDescent="0.25">
      <c r="B199" s="704" t="s">
        <v>1166</v>
      </c>
      <c r="C199" s="579"/>
      <c r="D199" s="674">
        <f>'[9]Rev_NP-12me'!AJ242</f>
        <v>1</v>
      </c>
      <c r="E199" s="674">
        <f>'[9]Rev_NP-12me'!AK242</f>
        <v>5.3079999999999998</v>
      </c>
      <c r="F199" s="674">
        <f>'[9]Rev_NP-12me'!AQ242</f>
        <v>29.878563282553817</v>
      </c>
      <c r="G199" s="674">
        <f>'[9]Rev_NP-12me'!S242</f>
        <v>0</v>
      </c>
      <c r="H199" s="688">
        <f>'[9]Rev_NP-12me'!T242</f>
        <v>0</v>
      </c>
      <c r="I199" s="674">
        <f>'[9]Rev_NP-12me'!AC242</f>
        <v>0</v>
      </c>
      <c r="J199" s="674">
        <f>'[9]Rev_NP-12me'!BN242</f>
        <v>0</v>
      </c>
      <c r="K199" s="674">
        <f>'[9]Rev_NP-12me'!BO242</f>
        <v>18.225923602357827</v>
      </c>
      <c r="L199" s="674">
        <f>'[9]Rev_NP-12me'!BQ242</f>
        <v>6.0000000000000001E-3</v>
      </c>
      <c r="M199" s="674">
        <f t="shared" si="8"/>
        <v>18.231923602357828</v>
      </c>
    </row>
    <row r="200" spans="2:13" ht="14.4" x14ac:dyDescent="0.25">
      <c r="B200" s="706" t="s">
        <v>216</v>
      </c>
      <c r="C200" s="579"/>
      <c r="D200" s="681">
        <f>'[9]Rev_NP-12me'!AJ243</f>
        <v>1</v>
      </c>
      <c r="E200" s="681">
        <f>'[9]Rev_NP-12me'!AK243</f>
        <v>5.3079999999999998</v>
      </c>
      <c r="F200" s="681">
        <f>'[9]Rev_NP-12me'!AQ243</f>
        <v>29.878563282553817</v>
      </c>
      <c r="G200" s="681">
        <f>'[9]Rev_NP-12me'!S243</f>
        <v>0</v>
      </c>
      <c r="H200" s="682">
        <f>'[9]Rev_NP-12me'!T243</f>
        <v>6.1</v>
      </c>
      <c r="I200" s="681">
        <f>'[9]Rev_NP-12me'!AC243</f>
        <v>5000</v>
      </c>
      <c r="J200" s="681">
        <f>'[9]Rev_NP-12me'!BN243</f>
        <v>0</v>
      </c>
      <c r="K200" s="681">
        <f>'[9]Rev_NP-12me'!BO243</f>
        <v>18.225923602357827</v>
      </c>
      <c r="L200" s="681">
        <f>'[9]Rev_NP-12me'!BQ243</f>
        <v>6.0000000000000001E-3</v>
      </c>
      <c r="M200" s="669">
        <f t="shared" si="8"/>
        <v>18.231923602357828</v>
      </c>
    </row>
    <row r="201" spans="2:13" x14ac:dyDescent="0.25">
      <c r="B201" s="704" t="s">
        <v>1167</v>
      </c>
      <c r="C201" s="579"/>
      <c r="D201" s="674">
        <f>'[9]Rev_NP-12me'!AJ244</f>
        <v>0</v>
      </c>
      <c r="E201" s="674">
        <f>'[9]Rev_NP-12me'!AK244</f>
        <v>0</v>
      </c>
      <c r="F201" s="674">
        <f>'[9]Rev_NP-12me'!AQ244</f>
        <v>0</v>
      </c>
      <c r="G201" s="674">
        <f>'[9]Rev_NP-12me'!S244</f>
        <v>0</v>
      </c>
      <c r="H201" s="688">
        <f>'[9]Rev_NP-12me'!T244</f>
        <v>0</v>
      </c>
      <c r="I201" s="674">
        <f>'[9]Rev_NP-12me'!AC244</f>
        <v>5000</v>
      </c>
      <c r="J201" s="674">
        <f>'[9]Rev_NP-12me'!BN244</f>
        <v>0</v>
      </c>
      <c r="K201" s="674">
        <f>'[9]Rev_NP-12me'!BO244</f>
        <v>0</v>
      </c>
      <c r="L201" s="674">
        <f>'[9]Rev_NP-12me'!BQ244</f>
        <v>0</v>
      </c>
      <c r="M201" s="669">
        <f t="shared" si="8"/>
        <v>0</v>
      </c>
    </row>
    <row r="202" spans="2:13" x14ac:dyDescent="0.25">
      <c r="B202" s="716" t="s">
        <v>1168</v>
      </c>
      <c r="C202" s="579"/>
      <c r="D202" s="674">
        <f>'[9]Rev_NP-12me'!AJ235</f>
        <v>14</v>
      </c>
      <c r="E202" s="674">
        <f>'[9]Rev_NP-12me'!AK235</f>
        <v>203.5</v>
      </c>
      <c r="F202" s="674">
        <f>'[9]Rev_NP-12me'!AQ235</f>
        <v>680.75377750250368</v>
      </c>
      <c r="G202" s="674">
        <f>'[9]Rev_NP-12me'!S235</f>
        <v>0</v>
      </c>
      <c r="H202" s="688">
        <f>'[9]Rev_NP-12me'!T235</f>
        <v>0</v>
      </c>
      <c r="I202" s="674">
        <f>'[9]Rev_NP-12me'!AC235</f>
        <v>0</v>
      </c>
      <c r="J202" s="674">
        <f>'[9]Rev_NP-12me'!BN235</f>
        <v>97.68</v>
      </c>
      <c r="K202" s="674">
        <f>'[9]Rev_NP-12me'!BO235</f>
        <v>343.78065763876435</v>
      </c>
      <c r="L202" s="674">
        <f>'[9]Rev_NP-12me'!BQ235</f>
        <v>8.4000000000000005E-2</v>
      </c>
      <c r="M202" s="674">
        <f t="shared" si="8"/>
        <v>441.54465763876436</v>
      </c>
    </row>
    <row r="203" spans="2:13" ht="14.4" x14ac:dyDescent="0.25">
      <c r="B203" s="706" t="s">
        <v>1169</v>
      </c>
      <c r="C203" s="579"/>
      <c r="D203" s="681">
        <f>'[9]Rev_NP-12me'!AJ236</f>
        <v>14</v>
      </c>
      <c r="E203" s="681">
        <f>'[9]Rev_NP-12me'!AK236</f>
        <v>203.5</v>
      </c>
      <c r="F203" s="681">
        <f>'[9]Rev_NP-12me'!AQ236</f>
        <v>680.75377750250368</v>
      </c>
      <c r="G203" s="681">
        <f>'[9]Rev_NP-12me'!S236</f>
        <v>500</v>
      </c>
      <c r="H203" s="682">
        <f>'[9]Rev_NP-12me'!T236</f>
        <v>5.05</v>
      </c>
      <c r="I203" s="681">
        <f>'[9]Rev_NP-12me'!AC236</f>
        <v>5000</v>
      </c>
      <c r="J203" s="681">
        <f>'[9]Rev_NP-12me'!BN236</f>
        <v>97.68</v>
      </c>
      <c r="K203" s="681">
        <f>'[9]Rev_NP-12me'!BO236</f>
        <v>343.78065763876435</v>
      </c>
      <c r="L203" s="681">
        <f>'[9]Rev_NP-12me'!BQ236</f>
        <v>8.4000000000000005E-2</v>
      </c>
      <c r="M203" s="669">
        <f t="shared" si="8"/>
        <v>441.54465763876436</v>
      </c>
    </row>
    <row r="204" spans="2:13" ht="14.4" x14ac:dyDescent="0.25">
      <c r="B204" s="706" t="s">
        <v>1170</v>
      </c>
      <c r="C204" s="579"/>
      <c r="D204" s="681">
        <f>'[9]Rev_NP-12me'!AJ237</f>
        <v>0</v>
      </c>
      <c r="E204" s="681">
        <f>'[9]Rev_NP-12me'!AK237</f>
        <v>0</v>
      </c>
      <c r="F204" s="681">
        <f>'[9]Rev_NP-12me'!AQ237</f>
        <v>0</v>
      </c>
      <c r="G204" s="681">
        <f>'[9]Rev_NP-12me'!S237</f>
        <v>0</v>
      </c>
      <c r="H204" s="682">
        <f>'[9]Rev_NP-12me'!T237</f>
        <v>0</v>
      </c>
      <c r="I204" s="681">
        <f>'[9]Rev_NP-12me'!AC237</f>
        <v>5000</v>
      </c>
      <c r="J204" s="681">
        <f>'[9]Rev_NP-12me'!BN237</f>
        <v>0</v>
      </c>
      <c r="K204" s="681">
        <f>'[9]Rev_NP-12me'!BO237</f>
        <v>0</v>
      </c>
      <c r="L204" s="681">
        <f>'[9]Rev_NP-12me'!BQ237</f>
        <v>0</v>
      </c>
      <c r="M204" s="669">
        <f t="shared" si="8"/>
        <v>0</v>
      </c>
    </row>
    <row r="205" spans="2:13" ht="14.4" x14ac:dyDescent="0.25">
      <c r="B205" s="706" t="s">
        <v>1171</v>
      </c>
      <c r="C205" s="579"/>
      <c r="D205" s="681">
        <f>'[9]Rev_NP-12me'!AJ238</f>
        <v>0</v>
      </c>
      <c r="E205" s="681">
        <f>'[9]Rev_NP-12me'!AK238</f>
        <v>0</v>
      </c>
      <c r="F205" s="681">
        <f>'[9]Rev_NP-12me'!AQ238</f>
        <v>0</v>
      </c>
      <c r="G205" s="681">
        <f>'[9]Rev_NP-12me'!S238</f>
        <v>500</v>
      </c>
      <c r="H205" s="682">
        <f>'[9]Rev_NP-12me'!T238</f>
        <v>4.95</v>
      </c>
      <c r="I205" s="681">
        <f>'[9]Rev_NP-12me'!AC238</f>
        <v>5000</v>
      </c>
      <c r="J205" s="681">
        <f>'[9]Rev_NP-12me'!BN238</f>
        <v>0</v>
      </c>
      <c r="K205" s="681">
        <f>'[9]Rev_NP-12me'!BO238</f>
        <v>0</v>
      </c>
      <c r="L205" s="681">
        <f>'[9]Rev_NP-12me'!BQ238</f>
        <v>0</v>
      </c>
      <c r="M205" s="669">
        <f t="shared" si="8"/>
        <v>0</v>
      </c>
    </row>
    <row r="206" spans="2:13" ht="14.4" x14ac:dyDescent="0.25">
      <c r="B206" s="717" t="s">
        <v>1172</v>
      </c>
      <c r="C206" s="579"/>
      <c r="D206" s="681">
        <f>'[9]Rev_NP-12me'!AJ239</f>
        <v>0</v>
      </c>
      <c r="E206" s="681">
        <f>'[9]Rev_NP-12me'!AK239</f>
        <v>0</v>
      </c>
      <c r="F206" s="681">
        <f>'[9]Rev_NP-12me'!AQ239</f>
        <v>0</v>
      </c>
      <c r="G206" s="681">
        <f>'[9]Rev_NP-12me'!S239</f>
        <v>500</v>
      </c>
      <c r="H206" s="682">
        <f>'[9]Rev_NP-12me'!T239</f>
        <v>4.95</v>
      </c>
      <c r="I206" s="681">
        <f>'[9]Rev_NP-12me'!AC239</f>
        <v>5000</v>
      </c>
      <c r="J206" s="681">
        <f>'[9]Rev_NP-12me'!BN239</f>
        <v>0</v>
      </c>
      <c r="K206" s="681">
        <f>'[9]Rev_NP-12me'!BO239</f>
        <v>0</v>
      </c>
      <c r="L206" s="681">
        <f>'[9]Rev_NP-12me'!BQ239</f>
        <v>0</v>
      </c>
      <c r="M206" s="669">
        <f t="shared" si="8"/>
        <v>0</v>
      </c>
    </row>
    <row r="207" spans="2:13" x14ac:dyDescent="0.25">
      <c r="B207" s="704" t="s">
        <v>811</v>
      </c>
      <c r="C207" s="579"/>
      <c r="D207" s="674">
        <f>'[9]Rev_NP-12me'!AJ240</f>
        <v>2</v>
      </c>
      <c r="E207" s="674">
        <f>'[9]Rev_NP-12me'!AK240</f>
        <v>30</v>
      </c>
      <c r="F207" s="674">
        <f>'[9]Rev_NP-12me'!AQ240</f>
        <v>66.945765103448267</v>
      </c>
      <c r="G207" s="674">
        <f>'[9]Rev_NP-12me'!S240</f>
        <v>285</v>
      </c>
      <c r="H207" s="688">
        <f>'[9]Rev_NP-12me'!T240</f>
        <v>7.3</v>
      </c>
      <c r="I207" s="674">
        <f>'[9]Rev_NP-12me'!AC240</f>
        <v>5000</v>
      </c>
      <c r="J207" s="674">
        <f>'[9]Rev_NP-12me'!BN240</f>
        <v>8.2080000000000002</v>
      </c>
      <c r="K207" s="674">
        <f>'[9]Rev_NP-12me'!BO240</f>
        <v>48.870408525517234</v>
      </c>
      <c r="L207" s="674">
        <f>'[9]Rev_NP-12me'!BQ240</f>
        <v>1.2E-2</v>
      </c>
      <c r="M207" s="674">
        <f t="shared" si="8"/>
        <v>57.090408525517233</v>
      </c>
    </row>
    <row r="208" spans="2:13" x14ac:dyDescent="0.25">
      <c r="B208" s="704" t="s">
        <v>813</v>
      </c>
      <c r="C208" s="579"/>
      <c r="D208" s="674">
        <f>'[9]Rev_NP-12me'!AJ241</f>
        <v>0</v>
      </c>
      <c r="E208" s="674">
        <f>'[9]Rev_NP-12me'!AK241</f>
        <v>0</v>
      </c>
      <c r="F208" s="674">
        <f>'[9]Rev_NP-12me'!AQ241</f>
        <v>0</v>
      </c>
      <c r="G208" s="674">
        <f>'[9]Rev_NP-12me'!S241</f>
        <v>500</v>
      </c>
      <c r="H208" s="688">
        <f>'[9]Rev_NP-12me'!T241</f>
        <v>10.8</v>
      </c>
      <c r="I208" s="674">
        <f>'[9]Rev_NP-12me'!AC241</f>
        <v>5000</v>
      </c>
      <c r="J208" s="674">
        <f>'[9]Rev_NP-12me'!BN241</f>
        <v>0</v>
      </c>
      <c r="K208" s="674">
        <f>'[9]Rev_NP-12me'!BO241</f>
        <v>0</v>
      </c>
      <c r="L208" s="674">
        <f>'[9]Rev_NP-12me'!BQ241</f>
        <v>0</v>
      </c>
      <c r="M208" s="674">
        <f t="shared" si="8"/>
        <v>0</v>
      </c>
    </row>
    <row r="209" spans="2:13" x14ac:dyDescent="0.25">
      <c r="B209" s="712" t="s">
        <v>1173</v>
      </c>
      <c r="C209" s="579"/>
      <c r="D209" s="674">
        <f>SUM(D167,D175,D180,D181,D186,D191,D196,D199,D201,D202,D207,D208)</f>
        <v>74</v>
      </c>
      <c r="E209" s="688">
        <f t="shared" ref="E209:F209" si="9">SUM(E167,E175,E180,E181,E186,E191,E196,E199,E201,E202,E207,E208)</f>
        <v>3141.893</v>
      </c>
      <c r="F209" s="674">
        <f t="shared" si="9"/>
        <v>2955.5084318268446</v>
      </c>
      <c r="G209" s="669"/>
      <c r="H209" s="669"/>
      <c r="I209" s="669"/>
      <c r="J209" s="688">
        <f t="shared" ref="J209:L209" si="10">SUM(J167,J175,J180,J181,J186,J191,J196,J199,J201,J202,J207,J208)</f>
        <v>676.37118750000002</v>
      </c>
      <c r="K209" s="688">
        <f t="shared" si="10"/>
        <v>1792.0365816591166</v>
      </c>
      <c r="L209" s="674">
        <f t="shared" si="10"/>
        <v>0.44400000000000001</v>
      </c>
      <c r="M209" s="688">
        <f>SUM(M167,M175,M180,M181,M186,M191,M196,M199,M201,M202,M207,M208)</f>
        <v>2468.8517691591169</v>
      </c>
    </row>
    <row r="210" spans="2:13" x14ac:dyDescent="0.25">
      <c r="B210" s="712"/>
      <c r="C210" s="579"/>
      <c r="D210" s="669"/>
      <c r="E210" s="669"/>
      <c r="F210" s="669"/>
      <c r="G210" s="669"/>
      <c r="H210" s="669"/>
      <c r="I210" s="669"/>
      <c r="J210" s="669"/>
      <c r="K210" s="669"/>
      <c r="L210" s="669"/>
      <c r="M210" s="669"/>
    </row>
    <row r="211" spans="2:13" x14ac:dyDescent="0.25">
      <c r="B211" s="663" t="s">
        <v>1174</v>
      </c>
      <c r="C211" s="579"/>
      <c r="D211" s="674">
        <f>D120+D164+D209</f>
        <v>4014</v>
      </c>
      <c r="E211" s="674">
        <f>E120+E164+E209</f>
        <v>4733.91273</v>
      </c>
      <c r="F211" s="674">
        <f>F120+F164+F209</f>
        <v>6655.022706239617</v>
      </c>
      <c r="G211" s="674"/>
      <c r="H211" s="674"/>
      <c r="I211" s="674"/>
      <c r="J211" s="674">
        <f>J120+J164+J209</f>
        <v>1053.22916235</v>
      </c>
      <c r="K211" s="674">
        <f>K120+K164+K209</f>
        <v>4177.3976317106199</v>
      </c>
      <c r="L211" s="674">
        <f>L120+L164+L209</f>
        <v>9.9954000000000001</v>
      </c>
      <c r="M211" s="674">
        <f>M120+M164+M209</f>
        <v>5240.6221940606201</v>
      </c>
    </row>
    <row r="212" spans="2:13" x14ac:dyDescent="0.25">
      <c r="B212" s="663" t="s">
        <v>1175</v>
      </c>
      <c r="C212" s="579"/>
      <c r="D212" s="674">
        <f>D211+D70</f>
        <v>6365527</v>
      </c>
      <c r="E212" s="688">
        <f>E211+E70</f>
        <v>16796.086590565257</v>
      </c>
      <c r="F212" s="674">
        <f>F211+F70</f>
        <v>23951.373098901837</v>
      </c>
      <c r="G212" s="674"/>
      <c r="H212" s="674"/>
      <c r="I212" s="674"/>
      <c r="J212" s="688">
        <f>J211+J70</f>
        <v>1271.9517599998369</v>
      </c>
      <c r="K212" s="688">
        <f>K211+K70</f>
        <v>7708.5454019668978</v>
      </c>
      <c r="L212" s="688">
        <f>L211+L70</f>
        <v>440.27318999999994</v>
      </c>
      <c r="M212" s="688">
        <f>M211+M70</f>
        <v>9420.7703519667339</v>
      </c>
    </row>
    <row r="214" spans="2:13" hidden="1" x14ac:dyDescent="0.25">
      <c r="D214" s="589" t="s">
        <v>36</v>
      </c>
      <c r="E214" s="571"/>
    </row>
    <row r="215" spans="2:13" hidden="1" x14ac:dyDescent="0.25">
      <c r="D215" s="591">
        <v>1</v>
      </c>
      <c r="E215" s="571" t="s">
        <v>984</v>
      </c>
    </row>
    <row r="216" spans="2:13" hidden="1" x14ac:dyDescent="0.25">
      <c r="D216" s="591">
        <f>D215+1</f>
        <v>2</v>
      </c>
      <c r="E216" s="571" t="s">
        <v>985</v>
      </c>
    </row>
    <row r="217" spans="2:13" hidden="1" x14ac:dyDescent="0.25"/>
    <row r="218" spans="2:13" hidden="1" x14ac:dyDescent="0.25"/>
    <row r="219" spans="2:13" hidden="1" x14ac:dyDescent="0.25"/>
  </sheetData>
  <mergeCells count="12">
    <mergeCell ref="B8:C8"/>
    <mergeCell ref="B72:C72"/>
    <mergeCell ref="O76:P76"/>
    <mergeCell ref="B2:N2"/>
    <mergeCell ref="B5:C7"/>
    <mergeCell ref="D5:D6"/>
    <mergeCell ref="E5:E6"/>
    <mergeCell ref="F5:F6"/>
    <mergeCell ref="G5:H5"/>
    <mergeCell ref="I5:I6"/>
    <mergeCell ref="J5:M5"/>
    <mergeCell ref="B3:M3"/>
  </mergeCells>
  <pageMargins left="0.7" right="0.7" top="0.75" bottom="0.75" header="0.3" footer="0.3"/>
  <pageSetup paperSize="9" scale="6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293"/>
  <sheetViews>
    <sheetView showGridLines="0" zoomScale="60" zoomScaleNormal="60" workbookViewId="0">
      <pane xSplit="3" ySplit="10" topLeftCell="J107" activePane="bottomRight" state="frozen"/>
      <selection activeCell="D198" sqref="D198"/>
      <selection pane="topRight" activeCell="D198" sqref="D198"/>
      <selection pane="bottomLeft" activeCell="D198" sqref="D198"/>
      <selection pane="bottomRight" activeCell="D198" sqref="D198"/>
    </sheetView>
  </sheetViews>
  <sheetFormatPr defaultColWidth="9.109375" defaultRowHeight="13.8" x14ac:dyDescent="0.25"/>
  <cols>
    <col min="1" max="1" width="9.109375" style="61"/>
    <col min="2" max="2" width="33" style="61" customWidth="1"/>
    <col min="3" max="3" width="38.6640625" style="61" customWidth="1"/>
    <col min="4" max="4" width="18.6640625" style="61" customWidth="1"/>
    <col min="5" max="5" width="28.44140625" style="61" bestFit="1" customWidth="1"/>
    <col min="6" max="6" width="20.33203125" style="61" bestFit="1" customWidth="1"/>
    <col min="7" max="7" width="25.5546875" style="61" customWidth="1"/>
    <col min="8" max="8" width="17.44140625" style="61" customWidth="1"/>
    <col min="9" max="9" width="28.44140625" style="61" bestFit="1" customWidth="1"/>
    <col min="10" max="10" width="20.33203125" style="61" bestFit="1" customWidth="1"/>
    <col min="11" max="11" width="25.6640625" style="61" customWidth="1"/>
    <col min="12" max="12" width="16.88671875" style="61" customWidth="1"/>
    <col min="13" max="13" width="34.5546875" style="61" customWidth="1"/>
    <col min="14" max="16384" width="9.109375" style="61"/>
  </cols>
  <sheetData>
    <row r="2" spans="1:23" x14ac:dyDescent="0.25">
      <c r="B2" s="26"/>
      <c r="C2" s="26"/>
      <c r="D2" s="26"/>
      <c r="E2" s="26"/>
      <c r="F2" s="26"/>
      <c r="H2" s="26"/>
      <c r="I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</row>
    <row r="3" spans="1:23" x14ac:dyDescent="0.25">
      <c r="A3" s="826" t="s">
        <v>1178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</row>
    <row r="4" spans="1:23" x14ac:dyDescent="0.25">
      <c r="A4" s="338"/>
      <c r="B4" s="338"/>
      <c r="C4" s="338"/>
      <c r="D4" s="338"/>
      <c r="E4" s="338"/>
      <c r="F4" s="338"/>
      <c r="G4" s="338"/>
      <c r="H4" s="338"/>
    </row>
    <row r="7" spans="1:23" x14ac:dyDescent="0.25">
      <c r="B7" s="909" t="s">
        <v>163</v>
      </c>
      <c r="C7" s="910"/>
      <c r="D7" s="917" t="s">
        <v>770</v>
      </c>
      <c r="E7" s="794" t="s">
        <v>1179</v>
      </c>
      <c r="F7" s="794"/>
      <c r="G7" s="794"/>
      <c r="H7" s="794"/>
      <c r="I7" s="794" t="s">
        <v>1180</v>
      </c>
      <c r="J7" s="794"/>
      <c r="K7" s="794"/>
      <c r="L7" s="794"/>
      <c r="M7" s="794"/>
    </row>
    <row r="8" spans="1:23" x14ac:dyDescent="0.25">
      <c r="B8" s="911"/>
      <c r="C8" s="912"/>
      <c r="D8" s="917"/>
      <c r="E8" s="139" t="s">
        <v>993</v>
      </c>
      <c r="F8" s="139" t="s">
        <v>994</v>
      </c>
      <c r="G8" s="139" t="s">
        <v>990</v>
      </c>
      <c r="H8" s="139" t="s">
        <v>251</v>
      </c>
      <c r="I8" s="139" t="s">
        <v>993</v>
      </c>
      <c r="J8" s="139" t="s">
        <v>994</v>
      </c>
      <c r="K8" s="139" t="s">
        <v>990</v>
      </c>
      <c r="L8" s="139" t="s">
        <v>251</v>
      </c>
      <c r="M8" s="62" t="s">
        <v>1181</v>
      </c>
    </row>
    <row r="9" spans="1:23" x14ac:dyDescent="0.25">
      <c r="B9" s="913"/>
      <c r="C9" s="914"/>
      <c r="D9" s="62" t="s">
        <v>996</v>
      </c>
      <c r="E9" s="139" t="s">
        <v>682</v>
      </c>
      <c r="F9" s="139" t="s">
        <v>682</v>
      </c>
      <c r="G9" s="139" t="s">
        <v>682</v>
      </c>
      <c r="H9" s="139" t="s">
        <v>682</v>
      </c>
      <c r="I9" s="139" t="s">
        <v>682</v>
      </c>
      <c r="J9" s="139" t="s">
        <v>682</v>
      </c>
      <c r="K9" s="139" t="s">
        <v>682</v>
      </c>
      <c r="L9" s="139" t="s">
        <v>682</v>
      </c>
      <c r="M9" s="62" t="s">
        <v>756</v>
      </c>
    </row>
    <row r="10" spans="1:23" x14ac:dyDescent="0.25">
      <c r="B10" s="753" t="s">
        <v>781</v>
      </c>
      <c r="C10" s="754"/>
      <c r="E10" s="18"/>
      <c r="F10" s="18"/>
      <c r="G10" s="18"/>
      <c r="H10" s="18"/>
      <c r="I10" s="18"/>
      <c r="J10" s="18"/>
      <c r="K10" s="18"/>
      <c r="L10" s="401"/>
      <c r="M10" s="18"/>
    </row>
    <row r="11" spans="1:23" x14ac:dyDescent="0.25">
      <c r="B11" s="194" t="s">
        <v>899</v>
      </c>
      <c r="C11" s="59"/>
      <c r="D11" s="373">
        <f>'[8]Rev_NP-12me'!AQ10</f>
        <v>4284.0799010317169</v>
      </c>
      <c r="E11" s="373">
        <f>'[8]Rev_NP-12me'!AT10</f>
        <v>54.670261314302905</v>
      </c>
      <c r="F11" s="373">
        <f>'[8]Rev_NP-12me'!AU10</f>
        <v>1616.2074911703376</v>
      </c>
      <c r="G11" s="373">
        <f>'[8]Rev_NP-12me'!AW10</f>
        <v>305.13602400000002</v>
      </c>
      <c r="H11" s="376">
        <f t="shared" ref="H11:H42" si="0">SUM(E11:G11)</f>
        <v>1976.0137764846404</v>
      </c>
      <c r="I11" s="373">
        <f>'[8]Rev_NP-12me'!BN10</f>
        <v>61.458732502385374</v>
      </c>
      <c r="J11" s="373">
        <f>'[8]Rev_NP-12me'!BO10</f>
        <v>1616.2074911703376</v>
      </c>
      <c r="K11" s="373">
        <f>'[8]Rev_NP-12me'!BQ10</f>
        <v>305.13602400000002</v>
      </c>
      <c r="L11" s="402">
        <f t="shared" ref="L11:L42" si="1">SUM(I11:K11)</f>
        <v>1982.8022476727228</v>
      </c>
      <c r="M11" s="403">
        <f t="shared" ref="M11:M74" si="2">IFERROR(L11*10/D11,"")</f>
        <v>4.6283036112263289</v>
      </c>
    </row>
    <row r="12" spans="1:23" x14ac:dyDescent="0.25">
      <c r="B12" s="192" t="s">
        <v>900</v>
      </c>
      <c r="C12" s="59"/>
      <c r="D12" s="377">
        <f>'[8]Rev_NP-12me'!AQ11</f>
        <v>1844.7571573783707</v>
      </c>
      <c r="E12" s="377">
        <f>'[8]Rev_NP-12me'!AT11</f>
        <v>29.971013092669985</v>
      </c>
      <c r="F12" s="377">
        <f>'[8]Rev_NP-12me'!AU11</f>
        <v>395.83490384870544</v>
      </c>
      <c r="G12" s="377">
        <f>'[8]Rev_NP-12me'!AW11</f>
        <v>189.90199200000001</v>
      </c>
      <c r="H12" s="374">
        <f t="shared" si="0"/>
        <v>615.70790894137542</v>
      </c>
      <c r="I12" s="377">
        <f>'[8]Rev_NP-12me'!BN11</f>
        <v>29.971013092669985</v>
      </c>
      <c r="J12" s="377">
        <f>'[8]Rev_NP-12me'!BO11</f>
        <v>395.83490384870544</v>
      </c>
      <c r="K12" s="377">
        <f>'[8]Rev_NP-12me'!BQ11</f>
        <v>189.90199200000001</v>
      </c>
      <c r="L12" s="404">
        <f t="shared" si="1"/>
        <v>615.70790894137542</v>
      </c>
      <c r="M12" s="403">
        <f t="shared" si="2"/>
        <v>3.3376095410648681</v>
      </c>
    </row>
    <row r="13" spans="1:23" ht="14.4" x14ac:dyDescent="0.25">
      <c r="B13" s="191" t="s">
        <v>901</v>
      </c>
      <c r="C13" s="59"/>
      <c r="D13" s="378">
        <f>'[8]Rev_NP-12me'!AQ12</f>
        <v>1530.7809994659958</v>
      </c>
      <c r="E13" s="378">
        <f>'[8]Rev_NP-12me'!AT12</f>
        <v>15.309548993881304</v>
      </c>
      <c r="F13" s="378">
        <f>'[8]Rev_NP-12me'!AU12</f>
        <v>298.50229489586917</v>
      </c>
      <c r="G13" s="378">
        <f>'[8]Rev_NP-12me'!AW12</f>
        <v>97.508039999999994</v>
      </c>
      <c r="H13" s="374">
        <f t="shared" si="0"/>
        <v>411.31988388975049</v>
      </c>
      <c r="I13" s="378">
        <f>'[8]Rev_NP-12me'!BN12</f>
        <v>15.309548993881304</v>
      </c>
      <c r="J13" s="378">
        <f>'[8]Rev_NP-12me'!BO12</f>
        <v>298.50229489586917</v>
      </c>
      <c r="K13" s="378">
        <f>'[8]Rev_NP-12me'!BQ12</f>
        <v>97.508039999999994</v>
      </c>
      <c r="L13" s="404">
        <f t="shared" si="1"/>
        <v>411.31988388975049</v>
      </c>
      <c r="M13" s="403">
        <f t="shared" si="2"/>
        <v>2.6869936590095977</v>
      </c>
    </row>
    <row r="14" spans="1:23" ht="14.4" x14ac:dyDescent="0.25">
      <c r="B14" s="191" t="s">
        <v>903</v>
      </c>
      <c r="C14" s="59"/>
      <c r="D14" s="378">
        <f>'[8]Rev_NP-12me'!AQ13</f>
        <v>313.97615791237502</v>
      </c>
      <c r="E14" s="378">
        <f>'[8]Rev_NP-12me'!AT13</f>
        <v>14.661464098788681</v>
      </c>
      <c r="F14" s="378">
        <f>'[8]Rev_NP-12me'!AU13</f>
        <v>97.332608952836253</v>
      </c>
      <c r="G14" s="378">
        <f>'[8]Rev_NP-12me'!AW13</f>
        <v>92.393951999999999</v>
      </c>
      <c r="H14" s="374">
        <f t="shared" si="0"/>
        <v>204.38802505162494</v>
      </c>
      <c r="I14" s="378">
        <f>'[8]Rev_NP-12me'!BN13</f>
        <v>14.661464098788681</v>
      </c>
      <c r="J14" s="378">
        <f>'[8]Rev_NP-12me'!BO13</f>
        <v>97.332608952836253</v>
      </c>
      <c r="K14" s="378">
        <f>'[8]Rev_NP-12me'!BQ13</f>
        <v>92.393951999999999</v>
      </c>
      <c r="L14" s="404">
        <f t="shared" si="1"/>
        <v>204.38802505162494</v>
      </c>
      <c r="M14" s="403">
        <f t="shared" si="2"/>
        <v>6.5096670527660221</v>
      </c>
    </row>
    <row r="15" spans="1:23" x14ac:dyDescent="0.25">
      <c r="B15" s="192" t="s">
        <v>904</v>
      </c>
      <c r="C15" s="59"/>
      <c r="D15" s="377">
        <f>'[8]Rev_NP-12me'!AQ14</f>
        <v>1339.266881197949</v>
      </c>
      <c r="E15" s="377">
        <f>'[8]Rev_NP-12me'!AT14</f>
        <v>16.457128918636243</v>
      </c>
      <c r="F15" s="377">
        <f>'[8]Rev_NP-12me'!AU14</f>
        <v>531.50088316616348</v>
      </c>
      <c r="G15" s="377">
        <f>'[8]Rev_NP-12me'!AW14</f>
        <v>74.302812000000003</v>
      </c>
      <c r="H15" s="374">
        <f t="shared" si="0"/>
        <v>622.26082408479976</v>
      </c>
      <c r="I15" s="377">
        <f>'[8]Rev_NP-12me'!BN14</f>
        <v>16.457128918636243</v>
      </c>
      <c r="J15" s="377">
        <f>'[8]Rev_NP-12me'!BO14</f>
        <v>531.50088316616348</v>
      </c>
      <c r="K15" s="377">
        <f>'[8]Rev_NP-12me'!BQ14</f>
        <v>74.302812000000003</v>
      </c>
      <c r="L15" s="404">
        <f t="shared" si="1"/>
        <v>622.26082408479976</v>
      </c>
      <c r="M15" s="403">
        <f t="shared" si="2"/>
        <v>4.6462794893292605</v>
      </c>
    </row>
    <row r="16" spans="1:23" ht="14.4" x14ac:dyDescent="0.25">
      <c r="B16" s="191" t="s">
        <v>905</v>
      </c>
      <c r="C16" s="59"/>
      <c r="D16" s="378">
        <f>'[8]Rev_NP-12me'!AQ15</f>
        <v>795.33728434894351</v>
      </c>
      <c r="E16" s="378">
        <f>'[8]Rev_NP-12me'!AT15</f>
        <v>0</v>
      </c>
      <c r="F16" s="378">
        <f>'[8]Rev_NP-12me'!AU15</f>
        <v>270.41467667864083</v>
      </c>
      <c r="G16" s="378">
        <f>'[8]Rev_NP-12me'!AW15</f>
        <v>0</v>
      </c>
      <c r="H16" s="374">
        <f t="shared" si="0"/>
        <v>270.41467667864083</v>
      </c>
      <c r="I16" s="378">
        <f>'[8]Rev_NP-12me'!BN15</f>
        <v>0</v>
      </c>
      <c r="J16" s="378">
        <f>'[8]Rev_NP-12me'!BO15</f>
        <v>270.41467667864083</v>
      </c>
      <c r="K16" s="378">
        <f>'[8]Rev_NP-12me'!BQ15</f>
        <v>0</v>
      </c>
      <c r="L16" s="404">
        <f t="shared" si="1"/>
        <v>270.41467667864083</v>
      </c>
      <c r="M16" s="403">
        <f t="shared" si="2"/>
        <v>3.4000000000000004</v>
      </c>
    </row>
    <row r="17" spans="2:13" ht="14.4" x14ac:dyDescent="0.25">
      <c r="B17" s="191" t="s">
        <v>906</v>
      </c>
      <c r="C17" s="59"/>
      <c r="D17" s="378">
        <f>'[8]Rev_NP-12me'!AQ16</f>
        <v>543.92959684900552</v>
      </c>
      <c r="E17" s="378">
        <f>'[8]Rev_NP-12me'!AT16</f>
        <v>16.457128918636243</v>
      </c>
      <c r="F17" s="378">
        <f>'[8]Rev_NP-12me'!AU16</f>
        <v>261.08620648752265</v>
      </c>
      <c r="G17" s="378">
        <f>'[8]Rev_NP-12me'!AW16</f>
        <v>74.302812000000003</v>
      </c>
      <c r="H17" s="374">
        <f t="shared" si="0"/>
        <v>351.84614740615893</v>
      </c>
      <c r="I17" s="378">
        <f>'[8]Rev_NP-12me'!BN16</f>
        <v>16.457128918636243</v>
      </c>
      <c r="J17" s="378">
        <f>'[8]Rev_NP-12me'!BO16</f>
        <v>261.08620648752265</v>
      </c>
      <c r="K17" s="378">
        <f>'[8]Rev_NP-12me'!BQ16</f>
        <v>74.302812000000003</v>
      </c>
      <c r="L17" s="404">
        <f t="shared" si="1"/>
        <v>351.84614740615893</v>
      </c>
      <c r="M17" s="403">
        <f t="shared" si="2"/>
        <v>6.4685972126615345</v>
      </c>
    </row>
    <row r="18" spans="2:13" x14ac:dyDescent="0.25">
      <c r="B18" s="192" t="s">
        <v>907</v>
      </c>
      <c r="C18" s="59"/>
      <c r="D18" s="377">
        <f>'[8]Rev_NP-12me'!AQ17</f>
        <v>1100.0558624553967</v>
      </c>
      <c r="E18" s="377">
        <f>'[8]Rev_NP-12me'!AT17</f>
        <v>8.2421193029966755</v>
      </c>
      <c r="F18" s="377">
        <f>'[8]Rev_NP-12me'!AU17</f>
        <v>688.87170415546859</v>
      </c>
      <c r="G18" s="377">
        <f>'[8]Rev_NP-12me'!AW17</f>
        <v>40.931220000000003</v>
      </c>
      <c r="H18" s="374">
        <f t="shared" si="0"/>
        <v>738.04504345846533</v>
      </c>
      <c r="I18" s="377">
        <f>'[8]Rev_NP-12me'!BN17</f>
        <v>15.030590491079145</v>
      </c>
      <c r="J18" s="377">
        <f>'[8]Rev_NP-12me'!BO17</f>
        <v>688.87170415546859</v>
      </c>
      <c r="K18" s="377">
        <f>'[8]Rev_NP-12me'!BQ17</f>
        <v>40.931220000000003</v>
      </c>
      <c r="L18" s="404">
        <f t="shared" si="1"/>
        <v>744.83351464654777</v>
      </c>
      <c r="M18" s="403">
        <f t="shared" si="2"/>
        <v>6.7708699173152045</v>
      </c>
    </row>
    <row r="19" spans="2:13" ht="14.4" x14ac:dyDescent="0.25">
      <c r="B19" s="191" t="s">
        <v>908</v>
      </c>
      <c r="C19" s="59"/>
      <c r="D19" s="378">
        <f>'[8]Rev_NP-12me'!AQ18</f>
        <v>718.81089337300034</v>
      </c>
      <c r="E19" s="378">
        <f>'[8]Rev_NP-12me'!AT18</f>
        <v>0</v>
      </c>
      <c r="F19" s="378">
        <f>'[8]Rev_NP-12me'!AU18</f>
        <v>366.59355562023018</v>
      </c>
      <c r="G19" s="378">
        <f>'[8]Rev_NP-12me'!AW18</f>
        <v>0</v>
      </c>
      <c r="H19" s="374">
        <f t="shared" si="0"/>
        <v>366.59355562023018</v>
      </c>
      <c r="I19" s="378">
        <f>'[8]Rev_NP-12me'!BN18</f>
        <v>0</v>
      </c>
      <c r="J19" s="378">
        <f>'[8]Rev_NP-12me'!BO18</f>
        <v>366.59355562023018</v>
      </c>
      <c r="K19" s="378">
        <f>'[8]Rev_NP-12me'!BQ18</f>
        <v>0</v>
      </c>
      <c r="L19" s="404">
        <f t="shared" si="1"/>
        <v>366.59355562023018</v>
      </c>
      <c r="M19" s="403">
        <f t="shared" si="2"/>
        <v>5.1000000000000005</v>
      </c>
    </row>
    <row r="20" spans="2:13" ht="14.4" x14ac:dyDescent="0.25">
      <c r="B20" s="191" t="s">
        <v>909</v>
      </c>
      <c r="C20" s="59"/>
      <c r="D20" s="378">
        <f>'[8]Rev_NP-12me'!AQ19</f>
        <v>209.28074586228914</v>
      </c>
      <c r="E20" s="378">
        <f>'[8]Rev_NP-12me'!AT19</f>
        <v>4.8478837089554396</v>
      </c>
      <c r="F20" s="378">
        <f>'[8]Rev_NP-12me'!AU19</f>
        <v>161.14617431396263</v>
      </c>
      <c r="G20" s="378">
        <f>'[8]Rev_NP-12me'!AW19</f>
        <v>26.620740000000001</v>
      </c>
      <c r="H20" s="374">
        <f t="shared" si="0"/>
        <v>192.61479802291808</v>
      </c>
      <c r="I20" s="378">
        <f>'[8]Rev_NP-12me'!BN19</f>
        <v>4.8478837089554396</v>
      </c>
      <c r="J20" s="378">
        <f>'[8]Rev_NP-12me'!BO19</f>
        <v>161.14617431396263</v>
      </c>
      <c r="K20" s="378">
        <f>'[8]Rev_NP-12me'!BQ19</f>
        <v>26.620740000000001</v>
      </c>
      <c r="L20" s="404">
        <f t="shared" si="1"/>
        <v>192.61479802291808</v>
      </c>
      <c r="M20" s="403">
        <f t="shared" si="2"/>
        <v>9.2036559421315527</v>
      </c>
    </row>
    <row r="21" spans="2:13" ht="14.4" x14ac:dyDescent="0.25">
      <c r="B21" s="191" t="s">
        <v>910</v>
      </c>
      <c r="C21" s="59"/>
      <c r="D21" s="378">
        <f>'[8]Rev_NP-12me'!AQ20</f>
        <v>75.34855383060011</v>
      </c>
      <c r="E21" s="378">
        <f>'[8]Rev_NP-12me'!AT20</f>
        <v>1.6377271622399077</v>
      </c>
      <c r="F21" s="378">
        <f>'[8]Rev_NP-12me'!AU20</f>
        <v>67.813698447540105</v>
      </c>
      <c r="G21" s="378">
        <f>'[8]Rev_NP-12me'!AW20</f>
        <v>7.4355840000000004</v>
      </c>
      <c r="H21" s="374">
        <f t="shared" si="0"/>
        <v>76.887009609780023</v>
      </c>
      <c r="I21" s="378">
        <f>'[8]Rev_NP-12me'!BN20</f>
        <v>4.9131814867197221</v>
      </c>
      <c r="J21" s="378">
        <f>'[8]Rev_NP-12me'!BO20</f>
        <v>67.813698447540105</v>
      </c>
      <c r="K21" s="378">
        <f>'[8]Rev_NP-12me'!BQ20</f>
        <v>7.4355840000000004</v>
      </c>
      <c r="L21" s="404">
        <f t="shared" si="1"/>
        <v>80.162463934259833</v>
      </c>
      <c r="M21" s="403">
        <f t="shared" si="2"/>
        <v>10.638885533819593</v>
      </c>
    </row>
    <row r="22" spans="2:13" ht="14.4" x14ac:dyDescent="0.25">
      <c r="B22" s="191" t="s">
        <v>911</v>
      </c>
      <c r="C22" s="59"/>
      <c r="D22" s="378">
        <f>'[8]Rev_NP-12me'!AQ21</f>
        <v>65.947872315430999</v>
      </c>
      <c r="E22" s="378">
        <f>'[8]Rev_NP-12me'!AT21</f>
        <v>1.4495722670591176</v>
      </c>
      <c r="F22" s="378">
        <f>'[8]Rev_NP-12me'!AU21</f>
        <v>62.650478699659445</v>
      </c>
      <c r="G22" s="378">
        <f>'[8]Rev_NP-12me'!AW21</f>
        <v>5.9327519999999998</v>
      </c>
      <c r="H22" s="374">
        <f t="shared" si="0"/>
        <v>70.032802966718549</v>
      </c>
      <c r="I22" s="378">
        <f>'[8]Rev_NP-12me'!BN21</f>
        <v>4.3487168011773525</v>
      </c>
      <c r="J22" s="378">
        <f>'[8]Rev_NP-12me'!BO21</f>
        <v>62.650478699659445</v>
      </c>
      <c r="K22" s="378">
        <f>'[8]Rev_NP-12me'!BQ21</f>
        <v>5.9327519999999998</v>
      </c>
      <c r="L22" s="404">
        <f t="shared" si="1"/>
        <v>72.931947500836785</v>
      </c>
      <c r="M22" s="403">
        <f t="shared" si="2"/>
        <v>11.059029645717864</v>
      </c>
    </row>
    <row r="23" spans="2:13" ht="14.4" x14ac:dyDescent="0.25">
      <c r="B23" s="191" t="s">
        <v>912</v>
      </c>
      <c r="C23" s="59"/>
      <c r="D23" s="378">
        <f>'[8]Rev_NP-12me'!AQ22</f>
        <v>30.667797074076244</v>
      </c>
      <c r="E23" s="378">
        <f>'[8]Rev_NP-12me'!AT22</f>
        <v>0.3069361647422103</v>
      </c>
      <c r="F23" s="378">
        <f>'[8]Rev_NP-12me'!AU22</f>
        <v>30.66779707407624</v>
      </c>
      <c r="G23" s="378">
        <f>'[8]Rev_NP-12me'!AW22</f>
        <v>0.94214399999999998</v>
      </c>
      <c r="H23" s="374">
        <f t="shared" si="0"/>
        <v>31.916877238818451</v>
      </c>
      <c r="I23" s="378">
        <f>'[8]Rev_NP-12me'!BN22</f>
        <v>0.92080849422663091</v>
      </c>
      <c r="J23" s="378">
        <f>'[8]Rev_NP-12me'!BO22</f>
        <v>30.66779707407624</v>
      </c>
      <c r="K23" s="378">
        <f>'[8]Rev_NP-12me'!BQ22</f>
        <v>0.94214399999999998</v>
      </c>
      <c r="L23" s="404">
        <f t="shared" si="1"/>
        <v>32.530749568302873</v>
      </c>
      <c r="M23" s="403">
        <f t="shared" si="2"/>
        <v>10.607462117258301</v>
      </c>
    </row>
    <row r="24" spans="2:13" x14ac:dyDescent="0.25">
      <c r="B24" s="28" t="s">
        <v>913</v>
      </c>
      <c r="C24" s="17"/>
      <c r="D24" s="373">
        <f>'[8]Rev_NP-12me'!AQ23</f>
        <v>1023.4617399733908</v>
      </c>
      <c r="E24" s="373">
        <f>'[8]Rev_NP-12me'!AT23</f>
        <v>91.943428783198655</v>
      </c>
      <c r="F24" s="373">
        <f>'[8]Rev_NP-12me'!AU23</f>
        <v>1031.6339175249939</v>
      </c>
      <c r="G24" s="373">
        <f>'[8]Rev_NP-12me'!AW23</f>
        <v>46.364196</v>
      </c>
      <c r="H24" s="376">
        <f t="shared" si="0"/>
        <v>1169.9415423081925</v>
      </c>
      <c r="I24" s="373">
        <f>'[8]Rev_NP-12me'!BN23</f>
        <v>143.14833765506114</v>
      </c>
      <c r="J24" s="373">
        <f>'[8]Rev_NP-12me'!BO23</f>
        <v>1031.6339175249939</v>
      </c>
      <c r="K24" s="373">
        <f>'[8]Rev_NP-12me'!BQ23</f>
        <v>46.364196</v>
      </c>
      <c r="L24" s="402">
        <f t="shared" si="1"/>
        <v>1221.146451180055</v>
      </c>
      <c r="M24" s="403">
        <f t="shared" si="2"/>
        <v>11.931530056138726</v>
      </c>
    </row>
    <row r="25" spans="2:13" x14ac:dyDescent="0.25">
      <c r="B25" s="187" t="s">
        <v>914</v>
      </c>
      <c r="C25" s="17"/>
      <c r="D25" s="377">
        <f>'[8]Rev_NP-12me'!AQ24</f>
        <v>69.678439956150896</v>
      </c>
      <c r="E25" s="377">
        <f>'[8]Rev_NP-12me'!AT24</f>
        <v>28.216308377168129</v>
      </c>
      <c r="F25" s="377">
        <f>'[8]Rev_NP-12me'!AU24</f>
        <v>48.77490796930563</v>
      </c>
      <c r="G25" s="377">
        <f>'[8]Rev_NP-12me'!AW24</f>
        <v>18.973050000000001</v>
      </c>
      <c r="H25" s="374">
        <f t="shared" si="0"/>
        <v>95.964266346473764</v>
      </c>
      <c r="I25" s="377">
        <f>'[8]Rev_NP-12me'!BN24</f>
        <v>43.500142081467537</v>
      </c>
      <c r="J25" s="377">
        <f>'[8]Rev_NP-12me'!BO24</f>
        <v>48.77490796930563</v>
      </c>
      <c r="K25" s="377">
        <f>'[8]Rev_NP-12me'!BQ24</f>
        <v>18.973050000000001</v>
      </c>
      <c r="L25" s="404">
        <f t="shared" si="1"/>
        <v>111.24810005077316</v>
      </c>
      <c r="M25" s="403">
        <f t="shared" si="2"/>
        <v>15.96592864604637</v>
      </c>
    </row>
    <row r="26" spans="2:13" ht="14.4" x14ac:dyDescent="0.25">
      <c r="B26" s="379" t="s">
        <v>901</v>
      </c>
      <c r="C26" s="17"/>
      <c r="D26" s="378">
        <f>'[8]Rev_NP-12me'!AQ25</f>
        <v>69.678439956150896</v>
      </c>
      <c r="E26" s="378">
        <f>'[8]Rev_NP-12me'!AT25</f>
        <v>28.216308377168129</v>
      </c>
      <c r="F26" s="378">
        <f>'[8]Rev_NP-12me'!AU25</f>
        <v>48.77490796930563</v>
      </c>
      <c r="G26" s="378">
        <f>'[8]Rev_NP-12me'!AW25</f>
        <v>18.973050000000001</v>
      </c>
      <c r="H26" s="374">
        <f t="shared" si="0"/>
        <v>95.964266346473764</v>
      </c>
      <c r="I26" s="378">
        <f>'[8]Rev_NP-12me'!BN25</f>
        <v>43.500142081467537</v>
      </c>
      <c r="J26" s="378">
        <f>'[8]Rev_NP-12me'!BO25</f>
        <v>48.77490796930563</v>
      </c>
      <c r="K26" s="378">
        <f>'[8]Rev_NP-12me'!BQ25</f>
        <v>18.973050000000001</v>
      </c>
      <c r="L26" s="404">
        <f t="shared" si="1"/>
        <v>111.24810005077316</v>
      </c>
      <c r="M26" s="403">
        <f t="shared" si="2"/>
        <v>15.96592864604637</v>
      </c>
    </row>
    <row r="27" spans="2:13" x14ac:dyDescent="0.25">
      <c r="B27" s="187" t="s">
        <v>915</v>
      </c>
      <c r="C27" s="17"/>
      <c r="D27" s="377">
        <f>'[8]Rev_NP-12me'!AQ26</f>
        <v>949.70780484072918</v>
      </c>
      <c r="E27" s="377">
        <f>'[8]Rev_NP-12me'!AT26</f>
        <v>62.699831502330312</v>
      </c>
      <c r="F27" s="377">
        <f>'[8]Rev_NP-12me'!AU26</f>
        <v>979.53345414344199</v>
      </c>
      <c r="G27" s="377">
        <f>'[8]Rev_NP-12me'!AW26</f>
        <v>26.534592</v>
      </c>
      <c r="H27" s="374">
        <f t="shared" si="0"/>
        <v>1068.7678776457724</v>
      </c>
      <c r="I27" s="377">
        <f>'[8]Rev_NP-12me'!BN26</f>
        <v>98.52830664651907</v>
      </c>
      <c r="J27" s="377">
        <f>'[8]Rev_NP-12me'!BO26</f>
        <v>979.53345414344199</v>
      </c>
      <c r="K27" s="377">
        <f>'[8]Rev_NP-12me'!BQ26</f>
        <v>26.534592</v>
      </c>
      <c r="L27" s="404">
        <f t="shared" si="1"/>
        <v>1104.596352789961</v>
      </c>
      <c r="M27" s="403">
        <f t="shared" si="2"/>
        <v>11.630907392355351</v>
      </c>
    </row>
    <row r="28" spans="2:13" ht="14.4" x14ac:dyDescent="0.25">
      <c r="B28" s="189" t="s">
        <v>905</v>
      </c>
      <c r="C28" s="17"/>
      <c r="D28" s="378">
        <f>'[8]Rev_NP-12me'!AQ27</f>
        <v>183.94967809169142</v>
      </c>
      <c r="E28" s="378">
        <f>'[8]Rev_NP-12me'!AT27</f>
        <v>11.191709191881543</v>
      </c>
      <c r="F28" s="378">
        <f>'[8]Rev_NP-12me'!AU27</f>
        <v>156.35722637793771</v>
      </c>
      <c r="G28" s="378">
        <f>'[8]Rev_NP-12me'!AW27</f>
        <v>9.5175540000000005</v>
      </c>
      <c r="H28" s="374">
        <f t="shared" si="0"/>
        <v>177.06648956981925</v>
      </c>
      <c r="I28" s="378">
        <f>'[8]Rev_NP-12me'!BN27</f>
        <v>17.586971587242424</v>
      </c>
      <c r="J28" s="378">
        <f>'[8]Rev_NP-12me'!BO27</f>
        <v>156.35722637793771</v>
      </c>
      <c r="K28" s="378">
        <f>'[8]Rev_NP-12me'!BQ27</f>
        <v>9.5175540000000005</v>
      </c>
      <c r="L28" s="404">
        <f t="shared" si="1"/>
        <v>183.46175196518013</v>
      </c>
      <c r="M28" s="403">
        <f t="shared" si="2"/>
        <v>9.9734750214529821</v>
      </c>
    </row>
    <row r="29" spans="2:13" ht="14.4" x14ac:dyDescent="0.25">
      <c r="B29" s="189" t="s">
        <v>916</v>
      </c>
      <c r="C29" s="17"/>
      <c r="D29" s="378">
        <f>'[8]Rev_NP-12me'!AQ28</f>
        <v>110.5873326997924</v>
      </c>
      <c r="E29" s="378">
        <f>'[8]Rev_NP-12me'!AT28</f>
        <v>15.190920146146212</v>
      </c>
      <c r="F29" s="378">
        <f>'[8]Rev_NP-12me'!AU28</f>
        <v>109.48145937279449</v>
      </c>
      <c r="G29" s="378">
        <f>'[8]Rev_NP-12me'!AW28</f>
        <v>9.6285419999999995</v>
      </c>
      <c r="H29" s="374">
        <f t="shared" si="0"/>
        <v>134.3009215189407</v>
      </c>
      <c r="I29" s="378">
        <f>'[8]Rev_NP-12me'!BN28</f>
        <v>23.87144594394405</v>
      </c>
      <c r="J29" s="378">
        <f>'[8]Rev_NP-12me'!BO28</f>
        <v>109.48145937279449</v>
      </c>
      <c r="K29" s="378">
        <f>'[8]Rev_NP-12me'!BQ28</f>
        <v>9.6285419999999995</v>
      </c>
      <c r="L29" s="404">
        <f t="shared" si="1"/>
        <v>142.98144731673855</v>
      </c>
      <c r="M29" s="403">
        <f t="shared" si="2"/>
        <v>12.929278953212963</v>
      </c>
    </row>
    <row r="30" spans="2:13" ht="14.4" x14ac:dyDescent="0.25">
      <c r="B30" s="189" t="s">
        <v>917</v>
      </c>
      <c r="C30" s="17"/>
      <c r="D30" s="378">
        <f>'[8]Rev_NP-12me'!AQ29</f>
        <v>116.55175102433702</v>
      </c>
      <c r="E30" s="378">
        <f>'[8]Rev_NP-12me'!AT29</f>
        <v>6.1673797740701009</v>
      </c>
      <c r="F30" s="378">
        <f>'[8]Rev_NP-12me'!AU29</f>
        <v>121.2138210653105</v>
      </c>
      <c r="G30" s="378">
        <f>'[8]Rev_NP-12me'!AW29</f>
        <v>2.8510559999999998</v>
      </c>
      <c r="H30" s="374">
        <f t="shared" si="0"/>
        <v>130.2322568393806</v>
      </c>
      <c r="I30" s="378">
        <f>'[8]Rev_NP-12me'!BN29</f>
        <v>9.6915967878244444</v>
      </c>
      <c r="J30" s="378">
        <f>'[8]Rev_NP-12me'!BO29</f>
        <v>121.2138210653105</v>
      </c>
      <c r="K30" s="378">
        <f>'[8]Rev_NP-12me'!BQ29</f>
        <v>2.8510559999999998</v>
      </c>
      <c r="L30" s="404">
        <f t="shared" si="1"/>
        <v>133.75647385313493</v>
      </c>
      <c r="M30" s="403">
        <f t="shared" si="2"/>
        <v>11.476144517571891</v>
      </c>
    </row>
    <row r="31" spans="2:13" ht="14.4" x14ac:dyDescent="0.25">
      <c r="B31" s="189" t="s">
        <v>918</v>
      </c>
      <c r="C31" s="17"/>
      <c r="D31" s="378">
        <f>'[8]Rev_NP-12me'!AQ30</f>
        <v>538.61904302490836</v>
      </c>
      <c r="E31" s="378">
        <f>'[8]Rev_NP-12me'!AT30</f>
        <v>30.149822390232455</v>
      </c>
      <c r="F31" s="378">
        <f>'[8]Rev_NP-12me'!AU30</f>
        <v>592.48094732739924</v>
      </c>
      <c r="G31" s="378">
        <f>'[8]Rev_NP-12me'!AW30</f>
        <v>4.5374400000000001</v>
      </c>
      <c r="H31" s="374">
        <f t="shared" si="0"/>
        <v>627.16820971763161</v>
      </c>
      <c r="I31" s="378">
        <f>'[8]Rev_NP-12me'!BN30</f>
        <v>47.378292327508149</v>
      </c>
      <c r="J31" s="378">
        <f>'[8]Rev_NP-12me'!BO30</f>
        <v>592.48094732739924</v>
      </c>
      <c r="K31" s="378">
        <f>'[8]Rev_NP-12me'!BQ30</f>
        <v>4.5374400000000001</v>
      </c>
      <c r="L31" s="404">
        <f t="shared" si="1"/>
        <v>644.3966796549073</v>
      </c>
      <c r="M31" s="403">
        <f t="shared" si="2"/>
        <v>11.963867375277841</v>
      </c>
    </row>
    <row r="32" spans="2:13" x14ac:dyDescent="0.25">
      <c r="B32" s="187" t="s">
        <v>919</v>
      </c>
      <c r="C32" s="17"/>
      <c r="D32" s="377">
        <f>'[8]Rev_NP-12me'!AQ31</f>
        <v>1.2279684785827203</v>
      </c>
      <c r="E32" s="377">
        <f>'[8]Rev_NP-12me'!AT31</f>
        <v>0.16205004090508671</v>
      </c>
      <c r="F32" s="377">
        <f>'[8]Rev_NP-12me'!AU31</f>
        <v>1.5963590221575363</v>
      </c>
      <c r="G32" s="377">
        <f>'[8]Rev_NP-12me'!AW31</f>
        <v>9.9360000000000004E-2</v>
      </c>
      <c r="H32" s="374">
        <f t="shared" si="0"/>
        <v>1.8577690630626229</v>
      </c>
      <c r="I32" s="377">
        <f>'[8]Rev_NP-12me'!BN31</f>
        <v>0.25465006427942199</v>
      </c>
      <c r="J32" s="377">
        <f>'[8]Rev_NP-12me'!BO31</f>
        <v>1.5963590221575363</v>
      </c>
      <c r="K32" s="377">
        <f>'[8]Rev_NP-12me'!BQ31</f>
        <v>9.9360000000000004E-2</v>
      </c>
      <c r="L32" s="404">
        <f t="shared" si="1"/>
        <v>1.9503690864369583</v>
      </c>
      <c r="M32" s="403">
        <f t="shared" si="2"/>
        <v>15.882892113712952</v>
      </c>
    </row>
    <row r="33" spans="2:13" x14ac:dyDescent="0.25">
      <c r="B33" s="187" t="s">
        <v>920</v>
      </c>
      <c r="C33" s="17"/>
      <c r="D33" s="377">
        <f>'[8]Rev_NP-12me'!AQ32</f>
        <v>2.8475266979280032</v>
      </c>
      <c r="E33" s="377">
        <f>'[8]Rev_NP-12me'!AT32</f>
        <v>0.8652388627951223</v>
      </c>
      <c r="F33" s="377">
        <f>'[8]Rev_NP-12me'!AU32</f>
        <v>1.729196390088914</v>
      </c>
      <c r="G33" s="377">
        <f>'[8]Rev_NP-12me'!AW32</f>
        <v>0.75719399999999992</v>
      </c>
      <c r="H33" s="374">
        <f t="shared" si="0"/>
        <v>3.3516292528840363</v>
      </c>
      <c r="I33" s="377">
        <f>'[8]Rev_NP-12me'!BN32</f>
        <v>0.8652388627951223</v>
      </c>
      <c r="J33" s="377">
        <f>'[8]Rev_NP-12me'!BO32</f>
        <v>1.729196390088914</v>
      </c>
      <c r="K33" s="377">
        <f>'[8]Rev_NP-12me'!BQ32</f>
        <v>0.75719399999999992</v>
      </c>
      <c r="L33" s="404">
        <f t="shared" si="1"/>
        <v>3.3516292528840363</v>
      </c>
      <c r="M33" s="403">
        <f t="shared" si="2"/>
        <v>11.770317220635166</v>
      </c>
    </row>
    <row r="34" spans="2:13" ht="14.4" x14ac:dyDescent="0.25">
      <c r="B34" s="189" t="s">
        <v>901</v>
      </c>
      <c r="C34" s="17"/>
      <c r="D34" s="378">
        <f>'[8]Rev_NP-12me'!AQ33</f>
        <v>1.5090149894999914</v>
      </c>
      <c r="E34" s="378">
        <f>'[8]Rev_NP-12me'!AT33</f>
        <v>0.67492254355080072</v>
      </c>
      <c r="F34" s="378">
        <f>'[8]Rev_NP-12me'!AU33</f>
        <v>0.79977794443499539</v>
      </c>
      <c r="G34" s="378">
        <f>'[8]Rev_NP-12me'!AW33</f>
        <v>0.57866399999999996</v>
      </c>
      <c r="H34" s="374">
        <f t="shared" si="0"/>
        <v>2.053364487985796</v>
      </c>
      <c r="I34" s="378">
        <f>'[8]Rev_NP-12me'!BN33</f>
        <v>0.67492254355080072</v>
      </c>
      <c r="J34" s="378">
        <f>'[8]Rev_NP-12me'!BO33</f>
        <v>0.79977794443499539</v>
      </c>
      <c r="K34" s="378">
        <f>'[8]Rev_NP-12me'!BQ33</f>
        <v>0.57866399999999996</v>
      </c>
      <c r="L34" s="404">
        <f t="shared" si="1"/>
        <v>2.053364487985796</v>
      </c>
      <c r="M34" s="403">
        <f t="shared" si="2"/>
        <v>13.607316708405749</v>
      </c>
    </row>
    <row r="35" spans="2:13" ht="14.4" x14ac:dyDescent="0.25">
      <c r="B35" s="189" t="s">
        <v>921</v>
      </c>
      <c r="C35" s="17"/>
      <c r="D35" s="378">
        <f>'[8]Rev_NP-12me'!AQ34</f>
        <v>0.82739261852322399</v>
      </c>
      <c r="E35" s="378">
        <f>'[8]Rev_NP-12me'!AT34</f>
        <v>0.11737198407759886</v>
      </c>
      <c r="F35" s="378">
        <f>'[8]Rev_NP-12me'!AU34</f>
        <v>0.54607912822532778</v>
      </c>
      <c r="G35" s="378">
        <f>'[8]Rev_NP-12me'!AW34</f>
        <v>0.115896</v>
      </c>
      <c r="H35" s="374">
        <f t="shared" si="0"/>
        <v>0.77934711230292664</v>
      </c>
      <c r="I35" s="378">
        <f>'[8]Rev_NP-12me'!BN34</f>
        <v>0.11737198407759886</v>
      </c>
      <c r="J35" s="378">
        <f>'[8]Rev_NP-12me'!BO34</f>
        <v>0.54607912822532778</v>
      </c>
      <c r="K35" s="378">
        <f>'[8]Rev_NP-12me'!BQ34</f>
        <v>0.115896</v>
      </c>
      <c r="L35" s="404">
        <f t="shared" si="1"/>
        <v>0.77934711230292664</v>
      </c>
      <c r="M35" s="403">
        <f t="shared" si="2"/>
        <v>9.4193142995878834</v>
      </c>
    </row>
    <row r="36" spans="2:13" ht="14.4" x14ac:dyDescent="0.25">
      <c r="B36" s="189" t="s">
        <v>922</v>
      </c>
      <c r="C36" s="17"/>
      <c r="D36" s="378">
        <f>'[8]Rev_NP-12me'!AQ35</f>
        <v>0.51111908990478794</v>
      </c>
      <c r="E36" s="378">
        <f>'[8]Rev_NP-12me'!AT35</f>
        <v>7.294433516672276E-2</v>
      </c>
      <c r="F36" s="378">
        <f>'[8]Rev_NP-12me'!AU35</f>
        <v>0.38333931742859095</v>
      </c>
      <c r="G36" s="378">
        <f>'[8]Rev_NP-12me'!AW35</f>
        <v>6.2633999999999995E-2</v>
      </c>
      <c r="H36" s="374">
        <f t="shared" si="0"/>
        <v>0.51891765259531375</v>
      </c>
      <c r="I36" s="378">
        <f>'[8]Rev_NP-12me'!BN35</f>
        <v>7.294433516672276E-2</v>
      </c>
      <c r="J36" s="378">
        <f>'[8]Rev_NP-12me'!BO35</f>
        <v>0.38333931742859095</v>
      </c>
      <c r="K36" s="378">
        <f>'[8]Rev_NP-12me'!BQ35</f>
        <v>6.2633999999999995E-2</v>
      </c>
      <c r="L36" s="404">
        <f t="shared" si="1"/>
        <v>0.51891765259531375</v>
      </c>
      <c r="M36" s="403">
        <f t="shared" si="2"/>
        <v>10.152578192530013</v>
      </c>
    </row>
    <row r="37" spans="2:13" x14ac:dyDescent="0.25">
      <c r="B37" s="28" t="s">
        <v>923</v>
      </c>
      <c r="C37" s="17"/>
      <c r="D37" s="373">
        <f>'[8]Rev_NP-12me'!AQ36</f>
        <v>243.56444720543399</v>
      </c>
      <c r="E37" s="373">
        <f>'[8]Rev_NP-12me'!AT36</f>
        <v>36.460685846572126</v>
      </c>
      <c r="F37" s="373">
        <f>'[8]Rev_NP-12me'!AU36</f>
        <v>186.26523603939924</v>
      </c>
      <c r="G37" s="373">
        <f>'[8]Rev_NP-12me'!AW36</f>
        <v>8.2560299999999973</v>
      </c>
      <c r="H37" s="376">
        <f t="shared" si="0"/>
        <v>230.98195188597137</v>
      </c>
      <c r="I37" s="373">
        <f>'[8]Rev_NP-12me'!BN36</f>
        <v>54.085455314790771</v>
      </c>
      <c r="J37" s="373">
        <f>'[8]Rev_NP-12me'!BO36</f>
        <v>186.26523603939924</v>
      </c>
      <c r="K37" s="373">
        <f>'[8]Rev_NP-12me'!BQ36</f>
        <v>8.2560299999999973</v>
      </c>
      <c r="L37" s="402">
        <f t="shared" si="1"/>
        <v>248.60672135419003</v>
      </c>
      <c r="M37" s="403">
        <f t="shared" si="2"/>
        <v>10.207020121639639</v>
      </c>
    </row>
    <row r="38" spans="2:13" ht="14.4" x14ac:dyDescent="0.25">
      <c r="B38" s="189" t="s">
        <v>924</v>
      </c>
      <c r="C38" s="17"/>
      <c r="D38" s="378">
        <f>'[8]Rev_NP-12me'!AQ37</f>
        <v>226.08574903465961</v>
      </c>
      <c r="E38" s="378">
        <f>'[8]Rev_NP-12me'!AT37</f>
        <v>33.711938842821802</v>
      </c>
      <c r="F38" s="378">
        <f>'[8]Rev_NP-12me'!AU37</f>
        <v>174.08602675668789</v>
      </c>
      <c r="G38" s="378">
        <f>'[8]Rev_NP-12me'!AW37</f>
        <v>8.1578392962109465</v>
      </c>
      <c r="H38" s="374">
        <f t="shared" si="0"/>
        <v>215.95580489572063</v>
      </c>
      <c r="I38" s="378">
        <f>'[8]Rev_NP-12me'!BN37</f>
        <v>50.567908264232699</v>
      </c>
      <c r="J38" s="378">
        <f>'[8]Rev_NP-12me'!BO37</f>
        <v>174.08602675668789</v>
      </c>
      <c r="K38" s="378">
        <f>'[8]Rev_NP-12me'!BQ37</f>
        <v>8.1578392962109465</v>
      </c>
      <c r="L38" s="404">
        <f t="shared" si="1"/>
        <v>232.81177431713152</v>
      </c>
      <c r="M38" s="403">
        <f t="shared" si="2"/>
        <v>10.297498860993702</v>
      </c>
    </row>
    <row r="39" spans="2:13" ht="14.4" x14ac:dyDescent="0.25">
      <c r="B39" s="189" t="s">
        <v>925</v>
      </c>
      <c r="C39" s="17"/>
      <c r="D39" s="378">
        <f>'[8]Rev_NP-12me'!AQ38</f>
        <v>0</v>
      </c>
      <c r="E39" s="378">
        <f>'[8]Rev_NP-12me'!AT38</f>
        <v>0</v>
      </c>
      <c r="F39" s="378">
        <f>'[8]Rev_NP-12me'!AU38</f>
        <v>0</v>
      </c>
      <c r="G39" s="378">
        <f>'[8]Rev_NP-12me'!AW38</f>
        <v>0</v>
      </c>
      <c r="H39" s="374">
        <f t="shared" si="0"/>
        <v>0</v>
      </c>
      <c r="I39" s="378">
        <f>'[8]Rev_NP-12me'!BN38</f>
        <v>0</v>
      </c>
      <c r="J39" s="378">
        <f>'[8]Rev_NP-12me'!BO38</f>
        <v>0</v>
      </c>
      <c r="K39" s="378">
        <f>'[8]Rev_NP-12me'!BQ38</f>
        <v>0</v>
      </c>
      <c r="L39" s="404">
        <f t="shared" si="1"/>
        <v>0</v>
      </c>
      <c r="M39" s="403" t="str">
        <f t="shared" si="2"/>
        <v/>
      </c>
    </row>
    <row r="40" spans="2:13" ht="14.4" x14ac:dyDescent="0.25">
      <c r="B40" s="189" t="s">
        <v>926</v>
      </c>
      <c r="C40" s="17"/>
      <c r="D40" s="378">
        <f>'[8]Rev_NP-12me'!AQ39</f>
        <v>0.69851749509964756</v>
      </c>
      <c r="E40" s="378">
        <f>'[8]Rev_NP-12me'!AT39</f>
        <v>4.3643788906026097E-2</v>
      </c>
      <c r="F40" s="378">
        <f>'[8]Rev_NP-12me'!AU39</f>
        <v>0.43308084696178151</v>
      </c>
      <c r="G40" s="378">
        <f>'[8]Rev_NP-12me'!AW39</f>
        <v>2.5630707096442359E-3</v>
      </c>
      <c r="H40" s="374">
        <f t="shared" si="0"/>
        <v>0.47928770657745184</v>
      </c>
      <c r="I40" s="378">
        <f>'[8]Rev_NP-12me'!BN39</f>
        <v>8.2438267933604856E-2</v>
      </c>
      <c r="J40" s="378">
        <f>'[8]Rev_NP-12me'!BO39</f>
        <v>0.43308084696178151</v>
      </c>
      <c r="K40" s="378">
        <f>'[8]Rev_NP-12me'!BQ39</f>
        <v>2.5630707096442359E-3</v>
      </c>
      <c r="L40" s="404">
        <f t="shared" si="1"/>
        <v>0.51808218560503061</v>
      </c>
      <c r="M40" s="403">
        <f t="shared" si="2"/>
        <v>7.4168820285757224</v>
      </c>
    </row>
    <row r="41" spans="2:13" ht="14.4" x14ac:dyDescent="0.25">
      <c r="B41" s="189" t="s">
        <v>927</v>
      </c>
      <c r="C41" s="17"/>
      <c r="D41" s="378">
        <f>'[8]Rev_NP-12me'!AQ40</f>
        <v>1.1522838565841614E-2</v>
      </c>
      <c r="E41" s="378">
        <f>'[8]Rev_NP-12me'!AT40</f>
        <v>7.0827066792998302E-4</v>
      </c>
      <c r="F41" s="378">
        <f>'[8]Rev_NP-12me'!AU40</f>
        <v>7.1441599108218014E-3</v>
      </c>
      <c r="G41" s="378">
        <f>'[8]Rev_NP-12me'!AW40</f>
        <v>4.0180151388812273E-4</v>
      </c>
      <c r="H41" s="374">
        <f t="shared" si="0"/>
        <v>8.2542320926399081E-3</v>
      </c>
      <c r="I41" s="378">
        <f>'[8]Rev_NP-12me'!BN40</f>
        <v>1.3378445949788569E-3</v>
      </c>
      <c r="J41" s="378">
        <f>'[8]Rev_NP-12me'!BO40</f>
        <v>7.1441599108218014E-3</v>
      </c>
      <c r="K41" s="378">
        <f>'[8]Rev_NP-12me'!BQ40</f>
        <v>4.0180151388812273E-4</v>
      </c>
      <c r="L41" s="404">
        <f t="shared" si="1"/>
        <v>8.8838060196887812E-3</v>
      </c>
      <c r="M41" s="403">
        <f t="shared" si="2"/>
        <v>7.709737465231874</v>
      </c>
    </row>
    <row r="42" spans="2:13" ht="14.4" x14ac:dyDescent="0.25">
      <c r="B42" s="189" t="s">
        <v>928</v>
      </c>
      <c r="C42" s="17"/>
      <c r="D42" s="378">
        <f>'[8]Rev_NP-12me'!AQ41</f>
        <v>16.73786484169058</v>
      </c>
      <c r="E42" s="378">
        <f>'[8]Rev_NP-12me'!AT41</f>
        <v>2.6988930723519653</v>
      </c>
      <c r="F42" s="378">
        <f>'[8]Rev_NP-12me'!AU41</f>
        <v>11.716505389183407</v>
      </c>
      <c r="G42" s="378">
        <f>'[8]Rev_NP-12me'!AW41</f>
        <v>9.4561313677165096E-2</v>
      </c>
      <c r="H42" s="374">
        <f t="shared" si="0"/>
        <v>14.509959775212536</v>
      </c>
      <c r="I42" s="378">
        <f>'[8]Rev_NP-12me'!BN41</f>
        <v>3.425518130292879</v>
      </c>
      <c r="J42" s="378">
        <f>'[8]Rev_NP-12me'!BO41</f>
        <v>11.716505389183407</v>
      </c>
      <c r="K42" s="378">
        <f>'[8]Rev_NP-12me'!BQ41</f>
        <v>9.4561313677165096E-2</v>
      </c>
      <c r="L42" s="404">
        <f t="shared" si="1"/>
        <v>15.236584833153451</v>
      </c>
      <c r="M42" s="403">
        <f t="shared" si="2"/>
        <v>9.1030636089271368</v>
      </c>
    </row>
    <row r="43" spans="2:13" ht="14.4" x14ac:dyDescent="0.25">
      <c r="B43" s="189" t="s">
        <v>929</v>
      </c>
      <c r="C43" s="17"/>
      <c r="D43" s="378">
        <f>'[8]Rev_NP-12me'!AQ42</f>
        <v>3.07929954183041E-2</v>
      </c>
      <c r="E43" s="378">
        <f>'[8]Rev_NP-12me'!AT42</f>
        <v>5.5018718244061121E-3</v>
      </c>
      <c r="F43" s="378">
        <f>'[8]Rev_NP-12me'!AU42</f>
        <v>2.2478886655361994E-2</v>
      </c>
      <c r="G43" s="378">
        <f>'[8]Rev_NP-12me'!AW42</f>
        <v>6.6451788835343378E-4</v>
      </c>
      <c r="H43" s="374">
        <f t="shared" ref="H43:H70" si="3">SUM(E43:G43)</f>
        <v>2.8645276368121537E-2</v>
      </c>
      <c r="I43" s="378">
        <f>'[8]Rev_NP-12me'!BN42</f>
        <v>8.2528077366091687E-3</v>
      </c>
      <c r="J43" s="378">
        <f>'[8]Rev_NP-12me'!BO42</f>
        <v>2.2478886655361994E-2</v>
      </c>
      <c r="K43" s="378">
        <f>'[8]Rev_NP-12me'!BQ42</f>
        <v>6.6451788835343378E-4</v>
      </c>
      <c r="L43" s="404">
        <f t="shared" ref="L43:L70" si="4">SUM(I43:K43)</f>
        <v>3.1396212280324597E-2</v>
      </c>
      <c r="M43" s="403">
        <f t="shared" si="2"/>
        <v>10.195894181071431</v>
      </c>
    </row>
    <row r="44" spans="2:13" x14ac:dyDescent="0.25">
      <c r="B44" s="28" t="s">
        <v>930</v>
      </c>
      <c r="C44" s="17"/>
      <c r="D44" s="373">
        <f>'[8]Rev_NP-12me'!AQ43</f>
        <v>8.6217888213980398</v>
      </c>
      <c r="E44" s="373">
        <f>'[8]Rev_NP-12me'!AT43</f>
        <v>0.56018292103368694</v>
      </c>
      <c r="F44" s="373">
        <f>'[8]Rev_NP-12me'!AU43</f>
        <v>3.4487155285592159</v>
      </c>
      <c r="G44" s="373">
        <f>'[8]Rev_NP-12me'!AW43</f>
        <v>0.40293000000000001</v>
      </c>
      <c r="H44" s="376">
        <f t="shared" si="3"/>
        <v>4.4118284495929032</v>
      </c>
      <c r="I44" s="373">
        <f>'[8]Rev_NP-12me'!BN43</f>
        <v>0.56018292103368694</v>
      </c>
      <c r="J44" s="373">
        <f>'[8]Rev_NP-12me'!BO43</f>
        <v>3.4487155285592159</v>
      </c>
      <c r="K44" s="373">
        <f>'[8]Rev_NP-12me'!BQ43</f>
        <v>0.40293000000000001</v>
      </c>
      <c r="L44" s="402">
        <f t="shared" si="4"/>
        <v>4.4118284495929032</v>
      </c>
      <c r="M44" s="403">
        <f t="shared" si="2"/>
        <v>5.1170685584914581</v>
      </c>
    </row>
    <row r="45" spans="2:13" ht="14.4" x14ac:dyDescent="0.25">
      <c r="B45" s="189" t="s">
        <v>179</v>
      </c>
      <c r="C45" s="17"/>
      <c r="D45" s="378">
        <f>'[8]Rev_NP-12me'!AQ44</f>
        <v>8.2455053353668166</v>
      </c>
      <c r="E45" s="378">
        <f>'[8]Rev_NP-12me'!AT44</f>
        <v>0.52820161957332656</v>
      </c>
      <c r="F45" s="378">
        <f>'[8]Rev_NP-12me'!AU44</f>
        <v>3.2982021341467265</v>
      </c>
      <c r="G45" s="378">
        <f>'[8]Rev_NP-12me'!AW44</f>
        <v>0.38529000000000002</v>
      </c>
      <c r="H45" s="374">
        <f t="shared" si="3"/>
        <v>4.2116937537200529</v>
      </c>
      <c r="I45" s="378">
        <f>'[8]Rev_NP-12me'!BN44</f>
        <v>0.52820161957332656</v>
      </c>
      <c r="J45" s="378">
        <f>'[8]Rev_NP-12me'!BO44</f>
        <v>3.2982021341467265</v>
      </c>
      <c r="K45" s="378">
        <f>'[8]Rev_NP-12me'!BQ44</f>
        <v>0.38529000000000002</v>
      </c>
      <c r="L45" s="404">
        <f t="shared" si="4"/>
        <v>4.2116937537200529</v>
      </c>
      <c r="M45" s="403">
        <f t="shared" si="2"/>
        <v>5.1078661433340615</v>
      </c>
    </row>
    <row r="46" spans="2:13" ht="14.4" x14ac:dyDescent="0.25">
      <c r="B46" s="189" t="s">
        <v>932</v>
      </c>
      <c r="C46" s="17"/>
      <c r="D46" s="378">
        <f>'[8]Rev_NP-12me'!AQ45</f>
        <v>0.37628348603122352</v>
      </c>
      <c r="E46" s="378">
        <f>'[8]Rev_NP-12me'!AT45</f>
        <v>3.1981301460360358E-2</v>
      </c>
      <c r="F46" s="378">
        <f>'[8]Rev_NP-12me'!AU45</f>
        <v>0.1505133944124894</v>
      </c>
      <c r="G46" s="378">
        <f>'[8]Rev_NP-12me'!AW45</f>
        <v>1.7639999999999999E-2</v>
      </c>
      <c r="H46" s="374">
        <f t="shared" si="3"/>
        <v>0.20013469587284974</v>
      </c>
      <c r="I46" s="378">
        <f>'[8]Rev_NP-12me'!BN45</f>
        <v>3.1981301460360358E-2</v>
      </c>
      <c r="J46" s="378">
        <f>'[8]Rev_NP-12me'!BO45</f>
        <v>0.1505133944124894</v>
      </c>
      <c r="K46" s="378">
        <f>'[8]Rev_NP-12me'!BQ45</f>
        <v>1.7639999999999999E-2</v>
      </c>
      <c r="L46" s="404">
        <f t="shared" si="4"/>
        <v>0.20013469587284974</v>
      </c>
      <c r="M46" s="403">
        <f t="shared" si="2"/>
        <v>5.3187212115985023</v>
      </c>
    </row>
    <row r="47" spans="2:13" x14ac:dyDescent="0.25">
      <c r="B47" s="28" t="s">
        <v>933</v>
      </c>
      <c r="C47" s="17"/>
      <c r="D47" s="373">
        <f>'[8]Rev_NP-12me'!AQ46</f>
        <v>8281.4532016721751</v>
      </c>
      <c r="E47" s="373">
        <f>'[8]Rev_NP-12me'!AT46</f>
        <v>7.6520855474698113E-2</v>
      </c>
      <c r="F47" s="373">
        <f>'[8]Rev_NP-12me'!AU46</f>
        <v>1.0946261712589835</v>
      </c>
      <c r="G47" s="373">
        <f>'[8]Rev_NP-12me'!AW46</f>
        <v>48.397914</v>
      </c>
      <c r="H47" s="376">
        <f t="shared" si="3"/>
        <v>49.569061026733685</v>
      </c>
      <c r="I47" s="373">
        <f>'[8]Rev_NP-12me'!BN46</f>
        <v>7.6520855474698113E-2</v>
      </c>
      <c r="J47" s="373">
        <f>'[8]Rev_NP-12me'!BO46</f>
        <v>1.0946261712589835</v>
      </c>
      <c r="K47" s="373">
        <f>'[8]Rev_NP-12me'!BQ46</f>
        <v>48.397914</v>
      </c>
      <c r="L47" s="402">
        <f t="shared" si="4"/>
        <v>49.569061026733685</v>
      </c>
      <c r="M47" s="403">
        <f t="shared" si="2"/>
        <v>5.9855510644828372E-2</v>
      </c>
    </row>
    <row r="48" spans="2:13" x14ac:dyDescent="0.25">
      <c r="B48" s="187" t="s">
        <v>934</v>
      </c>
      <c r="C48" s="17"/>
      <c r="D48" s="377">
        <f>'[8]Rev_NP-12me'!AQ47</f>
        <v>8278.7166362440275</v>
      </c>
      <c r="E48" s="377">
        <f>'[8]Rev_NP-12me'!AT47</f>
        <v>0</v>
      </c>
      <c r="F48" s="377">
        <f>'[8]Rev_NP-12me'!AU47</f>
        <v>0</v>
      </c>
      <c r="G48" s="377">
        <f>'[8]Rev_NP-12me'!AW47</f>
        <v>48.385511999999999</v>
      </c>
      <c r="H48" s="374">
        <f t="shared" si="3"/>
        <v>48.385511999999999</v>
      </c>
      <c r="I48" s="377">
        <f>'[8]Rev_NP-12me'!BN47</f>
        <v>0</v>
      </c>
      <c r="J48" s="377">
        <f>'[8]Rev_NP-12me'!BO47</f>
        <v>0</v>
      </c>
      <c r="K48" s="377">
        <f>'[8]Rev_NP-12me'!BQ47</f>
        <v>48.385511999999999</v>
      </c>
      <c r="L48" s="404">
        <f t="shared" si="4"/>
        <v>48.385511999999999</v>
      </c>
      <c r="M48" s="403">
        <f t="shared" si="2"/>
        <v>5.8445667518283402E-2</v>
      </c>
    </row>
    <row r="49" spans="2:13" ht="14.4" x14ac:dyDescent="0.25">
      <c r="B49" s="189" t="s">
        <v>935</v>
      </c>
      <c r="C49" s="17"/>
      <c r="D49" s="378">
        <f>'[8]Rev_NP-12me'!AQ48</f>
        <v>0</v>
      </c>
      <c r="E49" s="378">
        <f>'[8]Rev_NP-12me'!AT48</f>
        <v>0</v>
      </c>
      <c r="F49" s="378">
        <f>'[8]Rev_NP-12me'!AU48</f>
        <v>0</v>
      </c>
      <c r="G49" s="378">
        <f>'[8]Rev_NP-12me'!AW48</f>
        <v>0</v>
      </c>
      <c r="H49" s="374">
        <f t="shared" si="3"/>
        <v>0</v>
      </c>
      <c r="I49" s="378">
        <f>'[8]Rev_NP-12me'!BN48</f>
        <v>0</v>
      </c>
      <c r="J49" s="378">
        <f>'[8]Rev_NP-12me'!BO48</f>
        <v>0</v>
      </c>
      <c r="K49" s="378">
        <f>'[8]Rev_NP-12me'!BQ48</f>
        <v>0</v>
      </c>
      <c r="L49" s="404">
        <f t="shared" si="4"/>
        <v>0</v>
      </c>
      <c r="M49" s="403" t="str">
        <f t="shared" si="2"/>
        <v/>
      </c>
    </row>
    <row r="50" spans="2:13" ht="14.4" x14ac:dyDescent="0.25">
      <c r="B50" s="187" t="s">
        <v>937</v>
      </c>
      <c r="C50" s="17"/>
      <c r="D50" s="378">
        <f>'[8]Rev_NP-12me'!AQ49</f>
        <v>8278.7166362440275</v>
      </c>
      <c r="E50" s="378">
        <f>'[8]Rev_NP-12me'!AT49</f>
        <v>0</v>
      </c>
      <c r="F50" s="378">
        <f>'[8]Rev_NP-12me'!AU49</f>
        <v>0</v>
      </c>
      <c r="G50" s="378">
        <f>'[8]Rev_NP-12me'!AW49</f>
        <v>0</v>
      </c>
      <c r="H50" s="374">
        <f t="shared" si="3"/>
        <v>0</v>
      </c>
      <c r="I50" s="378">
        <f>'[8]Rev_NP-12me'!BN49</f>
        <v>0</v>
      </c>
      <c r="J50" s="378">
        <f>'[8]Rev_NP-12me'!BO49</f>
        <v>0</v>
      </c>
      <c r="K50" s="378">
        <f>'[8]Rev_NP-12me'!BQ49</f>
        <v>0</v>
      </c>
      <c r="L50" s="404">
        <f t="shared" si="4"/>
        <v>0</v>
      </c>
      <c r="M50" s="403">
        <f t="shared" si="2"/>
        <v>0</v>
      </c>
    </row>
    <row r="51" spans="2:13" ht="14.4" x14ac:dyDescent="0.25">
      <c r="B51" s="189" t="s">
        <v>1112</v>
      </c>
      <c r="C51" s="17"/>
      <c r="D51" s="378">
        <f>'[8]Rev_NP-12me'!AQ50</f>
        <v>8278.7166362440275</v>
      </c>
      <c r="E51" s="378">
        <f>'[8]Rev_NP-12me'!AT50</f>
        <v>0</v>
      </c>
      <c r="F51" s="378">
        <f>'[8]Rev_NP-12me'!AU50</f>
        <v>0</v>
      </c>
      <c r="G51" s="378">
        <f>'[8]Rev_NP-12me'!AW50</f>
        <v>48.385511999999999</v>
      </c>
      <c r="H51" s="374">
        <f t="shared" si="3"/>
        <v>48.385511999999999</v>
      </c>
      <c r="I51" s="378">
        <f>'[8]Rev_NP-12me'!BN50</f>
        <v>0</v>
      </c>
      <c r="J51" s="378">
        <f>'[8]Rev_NP-12me'!BO50</f>
        <v>0</v>
      </c>
      <c r="K51" s="378">
        <f>'[8]Rev_NP-12me'!BQ50</f>
        <v>48.385511999999999</v>
      </c>
      <c r="L51" s="404">
        <f t="shared" si="4"/>
        <v>48.385511999999999</v>
      </c>
      <c r="M51" s="403">
        <f t="shared" si="2"/>
        <v>5.8445667518283402E-2</v>
      </c>
    </row>
    <row r="52" spans="2:13" ht="14.4" x14ac:dyDescent="0.25">
      <c r="B52" s="189" t="s">
        <v>1113</v>
      </c>
      <c r="C52" s="17"/>
      <c r="D52" s="378">
        <f>'[8]Rev_NP-12me'!AQ51</f>
        <v>0</v>
      </c>
      <c r="E52" s="378">
        <f>'[8]Rev_NP-12me'!AT51</f>
        <v>0</v>
      </c>
      <c r="F52" s="378">
        <f>'[8]Rev_NP-12me'!AU51</f>
        <v>0</v>
      </c>
      <c r="G52" s="378">
        <f>'[8]Rev_NP-12me'!AW51</f>
        <v>0</v>
      </c>
      <c r="H52" s="374">
        <f t="shared" si="3"/>
        <v>0</v>
      </c>
      <c r="I52" s="378">
        <f>'[8]Rev_NP-12me'!BN51</f>
        <v>0</v>
      </c>
      <c r="J52" s="378">
        <f>'[8]Rev_NP-12me'!BO51</f>
        <v>0</v>
      </c>
      <c r="K52" s="378">
        <f>'[8]Rev_NP-12me'!BQ51</f>
        <v>0</v>
      </c>
      <c r="L52" s="404">
        <f t="shared" si="4"/>
        <v>0</v>
      </c>
      <c r="M52" s="403" t="str">
        <f t="shared" si="2"/>
        <v/>
      </c>
    </row>
    <row r="53" spans="2:13" x14ac:dyDescent="0.25">
      <c r="B53" s="187" t="s">
        <v>938</v>
      </c>
      <c r="C53" s="17"/>
      <c r="D53" s="377">
        <f>'[8]Rev_NP-12me'!AQ52</f>
        <v>2.736565428147459</v>
      </c>
      <c r="E53" s="377">
        <f>'[8]Rev_NP-12me'!AT52</f>
        <v>7.6520855474698113E-2</v>
      </c>
      <c r="F53" s="377">
        <f>'[8]Rev_NP-12me'!AU52</f>
        <v>1.0946261712589835</v>
      </c>
      <c r="G53" s="377">
        <f>'[8]Rev_NP-12me'!AW52</f>
        <v>1.2402E-2</v>
      </c>
      <c r="H53" s="374">
        <f t="shared" si="3"/>
        <v>1.1835490267336817</v>
      </c>
      <c r="I53" s="377">
        <f>'[8]Rev_NP-12me'!BN52</f>
        <v>7.6520855474698113E-2</v>
      </c>
      <c r="J53" s="377">
        <f>'[8]Rev_NP-12me'!BO52</f>
        <v>1.0946261712589835</v>
      </c>
      <c r="K53" s="377">
        <f>'[8]Rev_NP-12me'!BQ52</f>
        <v>1.2402E-2</v>
      </c>
      <c r="L53" s="404">
        <f t="shared" si="4"/>
        <v>1.1835490267336817</v>
      </c>
      <c r="M53" s="403">
        <f t="shared" si="2"/>
        <v>4.3249432831390227</v>
      </c>
    </row>
    <row r="54" spans="2:13" ht="14.4" x14ac:dyDescent="0.25">
      <c r="B54" s="189" t="s">
        <v>939</v>
      </c>
      <c r="C54" s="17"/>
      <c r="D54" s="378">
        <f>'[8]Rev_NP-12me'!AQ53</f>
        <v>2.736565428147459</v>
      </c>
      <c r="E54" s="378">
        <f>'[8]Rev_NP-12me'!AT53</f>
        <v>7.6520855474698113E-2</v>
      </c>
      <c r="F54" s="378">
        <f>'[8]Rev_NP-12me'!AU53</f>
        <v>1.0946261712589835</v>
      </c>
      <c r="G54" s="378">
        <f>'[8]Rev_NP-12me'!AW53</f>
        <v>1.2402E-2</v>
      </c>
      <c r="H54" s="374">
        <f t="shared" si="3"/>
        <v>1.1835490267336817</v>
      </c>
      <c r="I54" s="378">
        <f>'[8]Rev_NP-12me'!BN53</f>
        <v>7.6520855474698113E-2</v>
      </c>
      <c r="J54" s="378">
        <f>'[8]Rev_NP-12me'!BO53</f>
        <v>1.0946261712589835</v>
      </c>
      <c r="K54" s="378">
        <f>'[8]Rev_NP-12me'!BQ53</f>
        <v>1.2402E-2</v>
      </c>
      <c r="L54" s="404">
        <f t="shared" si="4"/>
        <v>1.1835490267336817</v>
      </c>
      <c r="M54" s="403">
        <f t="shared" si="2"/>
        <v>4.3249432831390227</v>
      </c>
    </row>
    <row r="55" spans="2:13" x14ac:dyDescent="0.25">
      <c r="B55" s="28" t="s">
        <v>941</v>
      </c>
      <c r="C55" s="17"/>
      <c r="D55" s="373">
        <f>'[8]Rev_NP-12me'!AQ54</f>
        <v>135.67555133153809</v>
      </c>
      <c r="E55" s="373">
        <f>'[8]Rev_NP-12me'!AT54</f>
        <v>1.7696542172711687</v>
      </c>
      <c r="F55" s="373">
        <f>'[8]Rev_NP-12me'!AU54</f>
        <v>100.1529195868476</v>
      </c>
      <c r="G55" s="373">
        <f>'[8]Rev_NP-12me'!AW54</f>
        <v>7.2069840000000003</v>
      </c>
      <c r="H55" s="376">
        <f t="shared" si="3"/>
        <v>109.12955780411878</v>
      </c>
      <c r="I55" s="373">
        <f>'[8]Rev_NP-12me'!BN54</f>
        <v>1.7696542172711687</v>
      </c>
      <c r="J55" s="373">
        <f>'[8]Rev_NP-12me'!BO54</f>
        <v>100.1529195868476</v>
      </c>
      <c r="K55" s="373">
        <f>'[8]Rev_NP-12me'!BQ54</f>
        <v>7.2069840000000003</v>
      </c>
      <c r="L55" s="402">
        <f t="shared" si="4"/>
        <v>109.12955780411878</v>
      </c>
      <c r="M55" s="403">
        <f t="shared" si="2"/>
        <v>8.0434209946528057</v>
      </c>
    </row>
    <row r="56" spans="2:13" ht="14.4" x14ac:dyDescent="0.25">
      <c r="B56" s="189" t="s">
        <v>942</v>
      </c>
      <c r="C56" s="17"/>
      <c r="D56" s="378">
        <f>'[8]Rev_NP-12me'!AQ55</f>
        <v>83.806468768529356</v>
      </c>
      <c r="E56" s="378">
        <f>'[8]Rev_NP-12me'!AT55</f>
        <v>1.1578584146674662</v>
      </c>
      <c r="F56" s="378">
        <f>'[8]Rev_NP-12me'!AU55</f>
        <v>59.502592825655839</v>
      </c>
      <c r="G56" s="378">
        <f>'[8]Rev_NP-12me'!AW55</f>
        <v>5.3240400000000001</v>
      </c>
      <c r="H56" s="374">
        <f t="shared" si="3"/>
        <v>65.984491240323308</v>
      </c>
      <c r="I56" s="378">
        <f>'[8]Rev_NP-12me'!BN55</f>
        <v>1.1578584146674662</v>
      </c>
      <c r="J56" s="378">
        <f>'[8]Rev_NP-12me'!BO55</f>
        <v>59.502592825655839</v>
      </c>
      <c r="K56" s="378">
        <f>'[8]Rev_NP-12me'!BQ55</f>
        <v>5.3240400000000001</v>
      </c>
      <c r="L56" s="404">
        <f t="shared" si="4"/>
        <v>65.984491240323308</v>
      </c>
      <c r="M56" s="403">
        <f t="shared" si="2"/>
        <v>7.8734365270263629</v>
      </c>
    </row>
    <row r="57" spans="2:13" ht="14.4" x14ac:dyDescent="0.25">
      <c r="B57" s="189" t="s">
        <v>943</v>
      </c>
      <c r="C57" s="17"/>
      <c r="D57" s="378">
        <f>'[8]Rev_NP-12me'!AQ56</f>
        <v>27.27260229690642</v>
      </c>
      <c r="E57" s="378">
        <f>'[8]Rev_NP-12me'!AT56</f>
        <v>0.29486552990163062</v>
      </c>
      <c r="F57" s="378">
        <f>'[8]Rev_NP-12me'!AU56</f>
        <v>20.727177745648881</v>
      </c>
      <c r="G57" s="378">
        <f>'[8]Rev_NP-12me'!AW56</f>
        <v>0.99431999999999998</v>
      </c>
      <c r="H57" s="374">
        <f t="shared" si="3"/>
        <v>22.016363275550511</v>
      </c>
      <c r="I57" s="378">
        <f>'[8]Rev_NP-12me'!BN56</f>
        <v>0.29486552990163062</v>
      </c>
      <c r="J57" s="378">
        <f>'[8]Rev_NP-12me'!BO56</f>
        <v>20.727177745648881</v>
      </c>
      <c r="K57" s="378">
        <f>'[8]Rev_NP-12me'!BQ56</f>
        <v>0.99431999999999998</v>
      </c>
      <c r="L57" s="404">
        <f t="shared" si="4"/>
        <v>22.016363275550511</v>
      </c>
      <c r="M57" s="403">
        <f t="shared" si="2"/>
        <v>8.0727035271026786</v>
      </c>
    </row>
    <row r="58" spans="2:13" ht="14.4" x14ac:dyDescent="0.25">
      <c r="B58" s="189" t="s">
        <v>944</v>
      </c>
      <c r="C58" s="17"/>
      <c r="D58" s="378">
        <f>'[8]Rev_NP-12me'!AQ57</f>
        <v>24.596480266102319</v>
      </c>
      <c r="E58" s="378">
        <f>'[8]Rev_NP-12me'!AT57</f>
        <v>0.3169302727020718</v>
      </c>
      <c r="F58" s="378">
        <f>'[8]Rev_NP-12me'!AU57</f>
        <v>19.923149015542876</v>
      </c>
      <c r="G58" s="378">
        <f>'[8]Rev_NP-12me'!AW57</f>
        <v>0.88862399999999997</v>
      </c>
      <c r="H58" s="374">
        <f t="shared" si="3"/>
        <v>21.128703288244949</v>
      </c>
      <c r="I58" s="378">
        <f>'[8]Rev_NP-12me'!BN57</f>
        <v>0.3169302727020718</v>
      </c>
      <c r="J58" s="378">
        <f>'[8]Rev_NP-12me'!BO57</f>
        <v>19.923149015542876</v>
      </c>
      <c r="K58" s="378">
        <f>'[8]Rev_NP-12me'!BQ57</f>
        <v>0.88862399999999997</v>
      </c>
      <c r="L58" s="404">
        <f t="shared" si="4"/>
        <v>21.128703288244949</v>
      </c>
      <c r="M58" s="403">
        <f t="shared" si="2"/>
        <v>8.5901328400078079</v>
      </c>
    </row>
    <row r="59" spans="2:13" x14ac:dyDescent="0.25">
      <c r="B59" s="28" t="s">
        <v>945</v>
      </c>
      <c r="C59" s="17"/>
      <c r="D59" s="373">
        <f>'[8]Rev_NP-12me'!AQ65</f>
        <v>244.70657744652064</v>
      </c>
      <c r="E59" s="373">
        <f>'[8]Rev_NP-12me'!AT65</f>
        <v>2.7902377956886895</v>
      </c>
      <c r="F59" s="373">
        <f>'[8]Rev_NP-12me'!AU65</f>
        <v>150.49602503261957</v>
      </c>
      <c r="G59" s="373">
        <f>'[8]Rev_NP-12me'!AW65</f>
        <v>5.0363280000000001</v>
      </c>
      <c r="H59" s="376">
        <f t="shared" si="3"/>
        <v>158.32259082830825</v>
      </c>
      <c r="I59" s="373">
        <f>'[8]Rev_NP-12me'!BN65</f>
        <v>2.7902377956886895</v>
      </c>
      <c r="J59" s="373">
        <f>'[8]Rev_NP-12me'!BO65</f>
        <v>150.49602503261957</v>
      </c>
      <c r="K59" s="373">
        <f>'[8]Rev_NP-12me'!BQ65</f>
        <v>5.0363280000000001</v>
      </c>
      <c r="L59" s="402">
        <f t="shared" si="4"/>
        <v>158.32259082830825</v>
      </c>
      <c r="M59" s="403">
        <f t="shared" si="2"/>
        <v>6.4698951895932924</v>
      </c>
    </row>
    <row r="60" spans="2:13" ht="14.4" x14ac:dyDescent="0.25">
      <c r="B60" s="189" t="s">
        <v>942</v>
      </c>
      <c r="C60" s="17"/>
      <c r="D60" s="378">
        <f>'[8]Rev_NP-12me'!AQ66</f>
        <v>214.9432295855618</v>
      </c>
      <c r="E60" s="378">
        <f>'[8]Rev_NP-12me'!AT66</f>
        <v>2.3678718746044116</v>
      </c>
      <c r="F60" s="378">
        <f>'[8]Rev_NP-12me'!AU66</f>
        <v>128.96593775133709</v>
      </c>
      <c r="G60" s="378">
        <f>'[8]Rev_NP-12me'!AW66</f>
        <v>4.30992</v>
      </c>
      <c r="H60" s="374">
        <f t="shared" si="3"/>
        <v>135.64372962594152</v>
      </c>
      <c r="I60" s="378">
        <f>'[8]Rev_NP-12me'!BN66</f>
        <v>2.3678718746044116</v>
      </c>
      <c r="J60" s="378">
        <f>'[8]Rev_NP-12me'!BO66</f>
        <v>128.96593775133709</v>
      </c>
      <c r="K60" s="378">
        <f>'[8]Rev_NP-12me'!BQ66</f>
        <v>4.30992</v>
      </c>
      <c r="L60" s="404">
        <f t="shared" si="4"/>
        <v>135.64372962594152</v>
      </c>
      <c r="M60" s="403">
        <f t="shared" si="2"/>
        <v>6.3106770046900333</v>
      </c>
    </row>
    <row r="61" spans="2:13" ht="14.4" x14ac:dyDescent="0.25">
      <c r="B61" s="189" t="s">
        <v>943</v>
      </c>
      <c r="C61" s="17"/>
      <c r="D61" s="378">
        <f>'[8]Rev_NP-12me'!AQ67</f>
        <v>21.80114186092483</v>
      </c>
      <c r="E61" s="378">
        <f>'[8]Rev_NP-12me'!AT67</f>
        <v>0.28422116932822872</v>
      </c>
      <c r="F61" s="378">
        <f>'[8]Rev_NP-12me'!AU67</f>
        <v>15.478810721256627</v>
      </c>
      <c r="G61" s="378">
        <f>'[8]Rev_NP-12me'!AW67</f>
        <v>0.51263999999999998</v>
      </c>
      <c r="H61" s="374">
        <f t="shared" si="3"/>
        <v>16.275671890584857</v>
      </c>
      <c r="I61" s="378">
        <f>'[8]Rev_NP-12me'!BN67</f>
        <v>0.28422116932822872</v>
      </c>
      <c r="J61" s="378">
        <f>'[8]Rev_NP-12me'!BO67</f>
        <v>15.478810721256627</v>
      </c>
      <c r="K61" s="378">
        <f>'[8]Rev_NP-12me'!BQ67</f>
        <v>0.51263999999999998</v>
      </c>
      <c r="L61" s="404">
        <f t="shared" si="4"/>
        <v>16.275671890584857</v>
      </c>
      <c r="M61" s="403">
        <f t="shared" si="2"/>
        <v>7.4655135012705358</v>
      </c>
    </row>
    <row r="62" spans="2:13" ht="14.4" x14ac:dyDescent="0.25">
      <c r="B62" s="189" t="s">
        <v>944</v>
      </c>
      <c r="C62" s="17"/>
      <c r="D62" s="378">
        <f>'[8]Rev_NP-12me'!AQ68</f>
        <v>7.9622060000340147</v>
      </c>
      <c r="E62" s="378">
        <f>'[8]Rev_NP-12me'!AT68</f>
        <v>0.13814475175604923</v>
      </c>
      <c r="F62" s="378">
        <f>'[8]Rev_NP-12me'!AU68</f>
        <v>6.0512765600258511</v>
      </c>
      <c r="G62" s="378">
        <f>'[8]Rev_NP-12me'!AW68</f>
        <v>0.21376800000000001</v>
      </c>
      <c r="H62" s="374">
        <f t="shared" si="3"/>
        <v>6.4031893117819001</v>
      </c>
      <c r="I62" s="378">
        <f>'[8]Rev_NP-12me'!BN68</f>
        <v>0.13814475175604923</v>
      </c>
      <c r="J62" s="378">
        <f>'[8]Rev_NP-12me'!BO68</f>
        <v>6.0512765600258511</v>
      </c>
      <c r="K62" s="378">
        <f>'[8]Rev_NP-12me'!BQ68</f>
        <v>0.21376800000000001</v>
      </c>
      <c r="L62" s="404">
        <f t="shared" si="4"/>
        <v>6.4031893117819001</v>
      </c>
      <c r="M62" s="403">
        <f t="shared" si="2"/>
        <v>8.0419789587892421</v>
      </c>
    </row>
    <row r="63" spans="2:13" x14ac:dyDescent="0.25">
      <c r="B63" s="28" t="s">
        <v>1114</v>
      </c>
      <c r="C63" s="17"/>
      <c r="D63" s="373">
        <f>'[8]Rev_NP-12me'!AQ69</f>
        <v>0</v>
      </c>
      <c r="E63" s="373">
        <f>'[8]Rev_NP-12me'!AT69</f>
        <v>0</v>
      </c>
      <c r="F63" s="373">
        <f>'[8]Rev_NP-12me'!AU69</f>
        <v>0</v>
      </c>
      <c r="G63" s="373">
        <f>'[8]Rev_NP-12me'!AW69</f>
        <v>0</v>
      </c>
      <c r="H63" s="374">
        <f t="shared" si="3"/>
        <v>0</v>
      </c>
      <c r="I63" s="373">
        <f>'[8]Rev_NP-12me'!BN69</f>
        <v>0</v>
      </c>
      <c r="J63" s="373">
        <f>'[8]Rev_NP-12me'!BO69</f>
        <v>0</v>
      </c>
      <c r="K63" s="373">
        <f>'[8]Rev_NP-12me'!BQ69</f>
        <v>0</v>
      </c>
      <c r="L63" s="404">
        <f t="shared" si="4"/>
        <v>0</v>
      </c>
      <c r="M63" s="403" t="str">
        <f t="shared" si="2"/>
        <v/>
      </c>
    </row>
    <row r="64" spans="2:13" x14ac:dyDescent="0.25">
      <c r="B64" s="28" t="s">
        <v>948</v>
      </c>
      <c r="C64" s="17"/>
      <c r="D64" s="373">
        <f>'[8]Rev_NP-12me'!AQ58</f>
        <v>64.938547990304301</v>
      </c>
      <c r="E64" s="373">
        <f>'[8]Rev_NP-12me'!AT58</f>
        <v>1.7517560220818311</v>
      </c>
      <c r="F64" s="373">
        <f>'[8]Rev_NP-12me'!AU58</f>
        <v>50.644126260891184</v>
      </c>
      <c r="G64" s="373">
        <f>'[8]Rev_NP-12me'!AW58</f>
        <v>2.9642400000000002</v>
      </c>
      <c r="H64" s="376">
        <f t="shared" si="3"/>
        <v>55.360122282973009</v>
      </c>
      <c r="I64" s="373">
        <f>'[8]Rev_NP-12me'!BN58</f>
        <v>4.7047023334589753</v>
      </c>
      <c r="J64" s="373">
        <f>'[8]Rev_NP-12me'!BO58</f>
        <v>50.644126260891184</v>
      </c>
      <c r="K64" s="373">
        <f>'[8]Rev_NP-12me'!BQ58</f>
        <v>2.9642400000000002</v>
      </c>
      <c r="L64" s="402">
        <f t="shared" si="4"/>
        <v>58.313068594350156</v>
      </c>
      <c r="M64" s="403">
        <f t="shared" si="2"/>
        <v>8.9797308992890681</v>
      </c>
    </row>
    <row r="65" spans="2:13" ht="14.4" x14ac:dyDescent="0.25">
      <c r="B65" s="187" t="s">
        <v>949</v>
      </c>
      <c r="C65" s="17"/>
      <c r="D65" s="380">
        <f>'[8]Rev_NP-12me'!AQ59</f>
        <v>55.075309896178879</v>
      </c>
      <c r="E65" s="380">
        <f>'[8]Rev_NP-12me'!AT59</f>
        <v>1.2729233331943441</v>
      </c>
      <c r="F65" s="380">
        <f>'[8]Rev_NP-12me'!AU59</f>
        <v>45.712507213828474</v>
      </c>
      <c r="G65" s="380">
        <f>'[8]Rev_NP-12me'!AW59</f>
        <v>2.19042</v>
      </c>
      <c r="H65" s="374">
        <f t="shared" si="3"/>
        <v>49.175850547022819</v>
      </c>
      <c r="I65" s="380">
        <f>'[8]Rev_NP-12me'!BN59</f>
        <v>3.6672315075360866</v>
      </c>
      <c r="J65" s="380">
        <f>'[8]Rev_NP-12me'!BO59</f>
        <v>45.712507213828474</v>
      </c>
      <c r="K65" s="380">
        <f>'[8]Rev_NP-12me'!BQ59</f>
        <v>2.19042</v>
      </c>
      <c r="L65" s="404">
        <f t="shared" si="4"/>
        <v>51.570158721364564</v>
      </c>
      <c r="M65" s="403">
        <f t="shared" si="2"/>
        <v>9.3635712297539886</v>
      </c>
    </row>
    <row r="66" spans="2:13" ht="14.4" x14ac:dyDescent="0.25">
      <c r="B66" s="187" t="s">
        <v>950</v>
      </c>
      <c r="C66" s="17"/>
      <c r="D66" s="380">
        <f>'[8]Rev_NP-12me'!AQ60</f>
        <v>9.8632380941254176</v>
      </c>
      <c r="E66" s="380">
        <f>'[8]Rev_NP-12me'!AT60</f>
        <v>0.47883268888748698</v>
      </c>
      <c r="F66" s="380">
        <f>'[8]Rev_NP-12me'!AU60</f>
        <v>4.9316190470627079</v>
      </c>
      <c r="G66" s="380">
        <f>'[8]Rev_NP-12me'!AW60</f>
        <v>0.77381999999999995</v>
      </c>
      <c r="H66" s="374">
        <f t="shared" si="3"/>
        <v>6.1842717359501949</v>
      </c>
      <c r="I66" s="380">
        <f>'[8]Rev_NP-12me'!BN60</f>
        <v>1.0374708259228884</v>
      </c>
      <c r="J66" s="380">
        <f>'[8]Rev_NP-12me'!BO60</f>
        <v>4.9316190470627079</v>
      </c>
      <c r="K66" s="380">
        <f>'[8]Rev_NP-12me'!BQ60</f>
        <v>0.77381999999999995</v>
      </c>
      <c r="L66" s="404">
        <f t="shared" si="4"/>
        <v>6.7429098729855959</v>
      </c>
      <c r="M66" s="403">
        <f t="shared" si="2"/>
        <v>6.8364058624942841</v>
      </c>
    </row>
    <row r="67" spans="2:13" x14ac:dyDescent="0.25">
      <c r="B67" s="187" t="s">
        <v>951</v>
      </c>
      <c r="C67" s="17"/>
      <c r="D67" s="381">
        <f>'[8]Rev_NP-12me'!AQ61</f>
        <v>3.678847483251424</v>
      </c>
      <c r="E67" s="381">
        <f>'[8]Rev_NP-12me'!AT61</f>
        <v>0.1843331133489996</v>
      </c>
      <c r="F67" s="381">
        <f>'[8]Rev_NP-12me'!AU61</f>
        <v>1.839423741625712</v>
      </c>
      <c r="G67" s="381">
        <f>'[8]Rev_NP-12me'!AW61</f>
        <v>0.56399999999999995</v>
      </c>
      <c r="H67" s="374">
        <f t="shared" si="3"/>
        <v>2.5877568549747116</v>
      </c>
      <c r="I67" s="381">
        <f>'[8]Rev_NP-12me'!BN61</f>
        <v>0.39938841225616589</v>
      </c>
      <c r="J67" s="381">
        <f>'[8]Rev_NP-12me'!BO61</f>
        <v>1.839423741625712</v>
      </c>
      <c r="K67" s="381">
        <f>'[8]Rev_NP-12me'!BQ61</f>
        <v>0.56399999999999995</v>
      </c>
      <c r="L67" s="404">
        <f t="shared" si="4"/>
        <v>2.8028121538818778</v>
      </c>
      <c r="M67" s="403">
        <f t="shared" si="2"/>
        <v>7.6187234361906944</v>
      </c>
    </row>
    <row r="68" spans="2:13" x14ac:dyDescent="0.25">
      <c r="B68" s="187" t="s">
        <v>952</v>
      </c>
      <c r="C68" s="17"/>
      <c r="D68" s="381">
        <f>'[8]Rev_NP-12me'!AQ62</f>
        <v>6.1843906108739919</v>
      </c>
      <c r="E68" s="381">
        <f>'[8]Rev_NP-12me'!AT62</f>
        <v>0.29449957553848738</v>
      </c>
      <c r="F68" s="381">
        <f>'[8]Rev_NP-12me'!AU62</f>
        <v>3.0921953054369959</v>
      </c>
      <c r="G68" s="381">
        <f>'[8]Rev_NP-12me'!AW62</f>
        <v>0.20982000000000001</v>
      </c>
      <c r="H68" s="374">
        <f t="shared" si="3"/>
        <v>3.5965148809754832</v>
      </c>
      <c r="I68" s="381">
        <f>'[8]Rev_NP-12me'!BN62</f>
        <v>0.63808241366672258</v>
      </c>
      <c r="J68" s="381">
        <f>'[8]Rev_NP-12me'!BO62</f>
        <v>3.0921953054369959</v>
      </c>
      <c r="K68" s="381">
        <f>'[8]Rev_NP-12me'!BQ62</f>
        <v>0.20982000000000001</v>
      </c>
      <c r="L68" s="404">
        <f t="shared" si="4"/>
        <v>3.9400977191037185</v>
      </c>
      <c r="M68" s="403">
        <f t="shared" si="2"/>
        <v>6.3710363187212966</v>
      </c>
    </row>
    <row r="69" spans="2:13" x14ac:dyDescent="0.25">
      <c r="B69" s="28" t="s">
        <v>953</v>
      </c>
      <c r="C69" s="17"/>
      <c r="D69" s="373">
        <f>'[8]Rev_NP-12me'!AQ63</f>
        <v>14.863451400000002</v>
      </c>
      <c r="E69" s="373">
        <f>'[8]Rev_NP-12me'!AT63</f>
        <v>0.33947472604170098</v>
      </c>
      <c r="F69" s="373">
        <f>'[8]Rev_NP-12me'!AU63</f>
        <v>17.836141680000004</v>
      </c>
      <c r="G69" s="373">
        <f>'[8]Rev_NP-12me'!AW63</f>
        <v>0.39179999999999998</v>
      </c>
      <c r="H69" s="376">
        <f t="shared" si="3"/>
        <v>18.567416406041705</v>
      </c>
      <c r="I69" s="373">
        <f>'[8]Rev_NP-12me'!BN63</f>
        <v>0.97801052026299573</v>
      </c>
      <c r="J69" s="373">
        <f>'[8]Rev_NP-12me'!BO63</f>
        <v>17.836141680000004</v>
      </c>
      <c r="K69" s="373">
        <f>'[8]Rev_NP-12me'!BQ63</f>
        <v>0.39179999999999998</v>
      </c>
      <c r="L69" s="402">
        <f t="shared" si="4"/>
        <v>19.205952200262999</v>
      </c>
      <c r="M69" s="403">
        <f t="shared" si="2"/>
        <v>12.921596527885169</v>
      </c>
    </row>
    <row r="70" spans="2:13" x14ac:dyDescent="0.25">
      <c r="B70" s="28" t="s">
        <v>1115</v>
      </c>
      <c r="C70" s="17"/>
      <c r="D70" s="373">
        <f>'[8]Rev_NP-12me'!AQ64</f>
        <v>9.1875167639999997</v>
      </c>
      <c r="E70" s="373">
        <f>'[8]Rev_NP-12me'!AT64</f>
        <v>0.54067500000000002</v>
      </c>
      <c r="F70" s="373">
        <f>'[8]Rev_NP-12me'!AU64</f>
        <v>5.5125100583999993</v>
      </c>
      <c r="G70" s="373">
        <f>'[8]Rev_NP-12me'!AW64</f>
        <v>2.1096E-2</v>
      </c>
      <c r="H70" s="376">
        <f t="shared" si="3"/>
        <v>6.0742810583999995</v>
      </c>
      <c r="I70" s="373">
        <f>'[8]Rev_NP-12me'!BN64</f>
        <v>0.27033750000000001</v>
      </c>
      <c r="J70" s="373">
        <f>'[8]Rev_NP-12me'!BO64</f>
        <v>5.5125100583999993</v>
      </c>
      <c r="K70" s="373">
        <f>'[8]Rev_NP-12me'!BQ64</f>
        <v>2.1096E-2</v>
      </c>
      <c r="L70" s="402">
        <f t="shared" si="4"/>
        <v>5.8039435583999994</v>
      </c>
      <c r="M70" s="403">
        <f t="shared" si="2"/>
        <v>6.3172059518214336</v>
      </c>
    </row>
    <row r="71" spans="2:13" x14ac:dyDescent="0.25">
      <c r="B71" s="28"/>
      <c r="C71" s="17"/>
      <c r="D71" s="381"/>
      <c r="E71" s="381"/>
      <c r="F71" s="381"/>
      <c r="G71" s="381"/>
      <c r="H71" s="381"/>
      <c r="I71" s="381"/>
      <c r="J71" s="381"/>
      <c r="K71" s="381"/>
      <c r="L71" s="404"/>
      <c r="M71" s="403" t="str">
        <f t="shared" si="2"/>
        <v/>
      </c>
    </row>
    <row r="72" spans="2:13" x14ac:dyDescent="0.25">
      <c r="B72" s="28" t="s">
        <v>1116</v>
      </c>
      <c r="C72" s="17"/>
      <c r="D72" s="392">
        <f t="shared" ref="D72:K72" si="5">SUM(D11,D24,D37,D44,D47,D55,D59,D63,D64,D69,D70)</f>
        <v>14310.552723636478</v>
      </c>
      <c r="E72" s="392">
        <f t="shared" si="5"/>
        <v>190.90287748166546</v>
      </c>
      <c r="F72" s="392">
        <f t="shared" si="5"/>
        <v>3163.2917090533065</v>
      </c>
      <c r="G72" s="392">
        <f t="shared" si="5"/>
        <v>424.17754200000007</v>
      </c>
      <c r="H72" s="392">
        <f t="shared" si="5"/>
        <v>3778.3721285349729</v>
      </c>
      <c r="I72" s="392">
        <f t="shared" si="5"/>
        <v>269.8421716154275</v>
      </c>
      <c r="J72" s="392">
        <f t="shared" si="5"/>
        <v>3163.2917090533065</v>
      </c>
      <c r="K72" s="392">
        <f t="shared" si="5"/>
        <v>424.17754200000007</v>
      </c>
      <c r="L72" s="392">
        <f>SUM(I72:K72)</f>
        <v>3857.3114226687339</v>
      </c>
      <c r="M72" s="403">
        <f t="shared" si="2"/>
        <v>2.6954314743536654</v>
      </c>
    </row>
    <row r="73" spans="2:13" x14ac:dyDescent="0.25">
      <c r="B73" s="186"/>
      <c r="C73" s="107"/>
      <c r="D73" s="376"/>
      <c r="E73" s="376"/>
      <c r="F73" s="376"/>
      <c r="G73" s="376"/>
      <c r="H73" s="376"/>
      <c r="I73" s="376"/>
      <c r="J73" s="376"/>
      <c r="K73" s="376"/>
      <c r="L73" s="404"/>
      <c r="M73" s="403" t="str">
        <f t="shared" si="2"/>
        <v/>
      </c>
    </row>
    <row r="74" spans="2:13" x14ac:dyDescent="0.25">
      <c r="B74" s="907" t="s">
        <v>799</v>
      </c>
      <c r="C74" s="907"/>
      <c r="D74" s="381"/>
      <c r="E74" s="381"/>
      <c r="F74" s="381"/>
      <c r="G74" s="381"/>
      <c r="H74" s="381"/>
      <c r="I74" s="381"/>
      <c r="J74" s="381"/>
      <c r="K74" s="381"/>
      <c r="L74" s="404"/>
      <c r="M74" s="403" t="str">
        <f t="shared" si="2"/>
        <v/>
      </c>
    </row>
    <row r="75" spans="2:13" x14ac:dyDescent="0.25">
      <c r="B75" s="383" t="s">
        <v>191</v>
      </c>
      <c r="C75" s="17"/>
      <c r="D75" s="381"/>
      <c r="E75" s="381"/>
      <c r="F75" s="381"/>
      <c r="G75" s="381"/>
      <c r="H75" s="381"/>
      <c r="I75" s="381"/>
      <c r="J75" s="381"/>
      <c r="K75" s="381"/>
      <c r="L75" s="404"/>
      <c r="M75" s="403" t="str">
        <f t="shared" ref="M75:M138" si="6">IFERROR(L75*10/D75,"")</f>
        <v/>
      </c>
    </row>
    <row r="76" spans="2:13" x14ac:dyDescent="0.25">
      <c r="B76" s="383" t="s">
        <v>1117</v>
      </c>
      <c r="C76" s="82"/>
      <c r="D76" s="373">
        <f>'[8]Rev_NP-12me'!AQ84</f>
        <v>1181.2828205451319</v>
      </c>
      <c r="E76" s="373">
        <f>'[8]Rev_NP-12me'!AT84</f>
        <v>237.55532269848919</v>
      </c>
      <c r="F76" s="373">
        <f>'[8]Rev_NP-12me'!AU84</f>
        <v>910.86730013719148</v>
      </c>
      <c r="G76" s="373">
        <f>'[8]Rev_NP-12me'!AW84</f>
        <v>6.0480000000000009</v>
      </c>
      <c r="H76" s="376">
        <f t="shared" ref="H76:H121" si="7">SUM(E76:G76)</f>
        <v>1154.4706228356806</v>
      </c>
      <c r="I76" s="373">
        <f>'[8]Rev_NP-12me'!BN84</f>
        <v>243.5550554953376</v>
      </c>
      <c r="J76" s="373">
        <f>'[8]Rev_NP-12me'!BO84</f>
        <v>910.86730013719159</v>
      </c>
      <c r="K76" s="373">
        <f>'[8]Rev_NP-12me'!BQ84</f>
        <v>6.0480000000000009</v>
      </c>
      <c r="L76" s="402">
        <f t="shared" ref="L76:L122" si="8">SUM(I76:K76)</f>
        <v>1160.4703556325292</v>
      </c>
      <c r="M76" s="403">
        <f t="shared" si="6"/>
        <v>9.8238147160812996</v>
      </c>
    </row>
    <row r="77" spans="2:13" x14ac:dyDescent="0.25">
      <c r="B77" s="384" t="s">
        <v>1118</v>
      </c>
      <c r="C77" s="82"/>
      <c r="D77" s="377">
        <f>'[8]Rev_NP-12me'!AQ85</f>
        <v>1164.2845627108027</v>
      </c>
      <c r="E77" s="377">
        <f>'[8]Rev_NP-12me'!AT85</f>
        <v>235.03390075719307</v>
      </c>
      <c r="F77" s="377">
        <f>'[8]Rev_NP-12me'!AU85</f>
        <v>897.78873228213274</v>
      </c>
      <c r="G77" s="377">
        <f>'[8]Rev_NP-12me'!AW85</f>
        <v>6.0096000000000007</v>
      </c>
      <c r="H77" s="374">
        <f t="shared" si="7"/>
        <v>1138.832233039326</v>
      </c>
      <c r="I77" s="377">
        <f>'[8]Rev_NP-12me'!BN85</f>
        <v>240.96728034506</v>
      </c>
      <c r="J77" s="377">
        <f>'[8]Rev_NP-12me'!BO85</f>
        <v>897.78873228213286</v>
      </c>
      <c r="K77" s="377">
        <f>'[8]Rev_NP-12me'!BQ85</f>
        <v>6.0096000000000007</v>
      </c>
      <c r="L77" s="404">
        <f t="shared" si="8"/>
        <v>1144.7656126271929</v>
      </c>
      <c r="M77" s="403">
        <f t="shared" si="6"/>
        <v>9.8323524101516586</v>
      </c>
    </row>
    <row r="78" spans="2:13" ht="14.4" x14ac:dyDescent="0.25">
      <c r="B78" s="385" t="s">
        <v>1119</v>
      </c>
      <c r="C78" s="82"/>
      <c r="D78" s="380">
        <f>'[8]Rev_NP-12me'!AQ86</f>
        <v>328.96510266626433</v>
      </c>
      <c r="E78" s="380">
        <f>'[8]Rev_NP-12me'!AT86</f>
        <v>225.46842433894395</v>
      </c>
      <c r="F78" s="380">
        <f>'[8]Rev_NP-12me'!AU86</f>
        <v>251.65830353969221</v>
      </c>
      <c r="G78" s="380">
        <f>'[8]Rev_NP-12me'!AW86</f>
        <v>4.2396000000000003</v>
      </c>
      <c r="H78" s="374">
        <f t="shared" si="7"/>
        <v>481.36632787863618</v>
      </c>
      <c r="I78" s="380">
        <f>'[8]Rev_NP-12me'!BN86</f>
        <v>231.40180392681089</v>
      </c>
      <c r="J78" s="380">
        <f>'[8]Rev_NP-12me'!BO86</f>
        <v>251.65830353969224</v>
      </c>
      <c r="K78" s="380">
        <f>'[8]Rev_NP-12me'!BQ86</f>
        <v>4.2396000000000003</v>
      </c>
      <c r="L78" s="404">
        <f t="shared" si="8"/>
        <v>487.29970746650315</v>
      </c>
      <c r="M78" s="403">
        <f t="shared" si="6"/>
        <v>14.813112500898599</v>
      </c>
    </row>
    <row r="79" spans="2:13" ht="39.6" x14ac:dyDescent="0.25">
      <c r="B79" s="386" t="s">
        <v>1120</v>
      </c>
      <c r="C79" s="17"/>
      <c r="D79" s="380">
        <f>'[8]Rev_NP-12me'!AQ87</f>
        <v>187.19745400961693</v>
      </c>
      <c r="E79" s="380">
        <f>'[8]Rev_NP-12me'!AT87</f>
        <v>9.5654764182491085</v>
      </c>
      <c r="F79" s="380">
        <f>'[8]Rev_NP-12me'!AU87</f>
        <v>149.75796320769354</v>
      </c>
      <c r="G79" s="380">
        <f>'[8]Rev_NP-12me'!AW87</f>
        <v>1.77</v>
      </c>
      <c r="H79" s="374">
        <f t="shared" si="7"/>
        <v>161.09343962594266</v>
      </c>
      <c r="I79" s="380">
        <f>'[8]Rev_NP-12me'!BN87</f>
        <v>9.5654764182491085</v>
      </c>
      <c r="J79" s="380">
        <f>'[8]Rev_NP-12me'!BO87</f>
        <v>149.75796320769359</v>
      </c>
      <c r="K79" s="380">
        <f>'[8]Rev_NP-12me'!BQ87</f>
        <v>1.77</v>
      </c>
      <c r="L79" s="404">
        <f t="shared" si="8"/>
        <v>161.09343962594272</v>
      </c>
      <c r="M79" s="403">
        <f t="shared" si="6"/>
        <v>8.60553582195978</v>
      </c>
    </row>
    <row r="80" spans="2:13" ht="14.4" x14ac:dyDescent="0.25">
      <c r="B80" s="385" t="s">
        <v>1121</v>
      </c>
      <c r="C80" s="17"/>
      <c r="D80" s="380">
        <f>'[8]Rev_NP-12me'!AQ88</f>
        <v>0</v>
      </c>
      <c r="E80" s="380">
        <f>'[8]Rev_NP-12me'!AT88</f>
        <v>0</v>
      </c>
      <c r="F80" s="380">
        <f>'[8]Rev_NP-12me'!AU88</f>
        <v>0</v>
      </c>
      <c r="G80" s="380">
        <f>'[8]Rev_NP-12me'!AW88</f>
        <v>0</v>
      </c>
      <c r="H80" s="374">
        <f t="shared" si="7"/>
        <v>0</v>
      </c>
      <c r="I80" s="380">
        <f>'[8]Rev_NP-12me'!BN88</f>
        <v>0</v>
      </c>
      <c r="J80" s="380">
        <f>'[8]Rev_NP-12me'!BO88</f>
        <v>0</v>
      </c>
      <c r="K80" s="380">
        <f>'[8]Rev_NP-12me'!BQ88</f>
        <v>0</v>
      </c>
      <c r="L80" s="404">
        <f t="shared" si="8"/>
        <v>0</v>
      </c>
      <c r="M80" s="403" t="str">
        <f t="shared" si="6"/>
        <v/>
      </c>
    </row>
    <row r="81" spans="2:13" ht="14.4" x14ac:dyDescent="0.25">
      <c r="B81" s="385" t="s">
        <v>1122</v>
      </c>
      <c r="C81" s="17"/>
      <c r="D81" s="380">
        <f>'[8]Rev_NP-12me'!AQ89</f>
        <v>0</v>
      </c>
      <c r="E81" s="380">
        <f>'[8]Rev_NP-12me'!AT89</f>
        <v>0</v>
      </c>
      <c r="F81" s="380">
        <f>'[8]Rev_NP-12me'!AU89</f>
        <v>0</v>
      </c>
      <c r="G81" s="380">
        <f>'[8]Rev_NP-12me'!AW89</f>
        <v>0</v>
      </c>
      <c r="H81" s="374">
        <f t="shared" si="7"/>
        <v>0</v>
      </c>
      <c r="I81" s="380">
        <f>'[8]Rev_NP-12me'!BN89</f>
        <v>0</v>
      </c>
      <c r="J81" s="380">
        <f>'[8]Rev_NP-12me'!BO89</f>
        <v>0</v>
      </c>
      <c r="K81" s="380">
        <f>'[8]Rev_NP-12me'!BQ89</f>
        <v>0</v>
      </c>
      <c r="L81" s="404">
        <f t="shared" si="8"/>
        <v>0</v>
      </c>
      <c r="M81" s="403" t="str">
        <f t="shared" si="6"/>
        <v/>
      </c>
    </row>
    <row r="82" spans="2:13" ht="14.4" x14ac:dyDescent="0.25">
      <c r="B82" s="385" t="s">
        <v>1123</v>
      </c>
      <c r="C82" s="17"/>
      <c r="D82" s="380">
        <f>'[8]Rev_NP-12me'!AQ90</f>
        <v>0</v>
      </c>
      <c r="E82" s="380">
        <f>'[8]Rev_NP-12me'!AT90</f>
        <v>0</v>
      </c>
      <c r="F82" s="380">
        <f>'[8]Rev_NP-12me'!AU90</f>
        <v>0</v>
      </c>
      <c r="G82" s="380">
        <f>'[8]Rev_NP-12me'!AW90</f>
        <v>0</v>
      </c>
      <c r="H82" s="374">
        <f t="shared" si="7"/>
        <v>0</v>
      </c>
      <c r="I82" s="380">
        <f>'[8]Rev_NP-12me'!BN90</f>
        <v>0</v>
      </c>
      <c r="J82" s="380">
        <f>'[8]Rev_NP-12me'!BO90</f>
        <v>0</v>
      </c>
      <c r="K82" s="380">
        <f>'[8]Rev_NP-12me'!BQ90</f>
        <v>0</v>
      </c>
      <c r="L82" s="404">
        <f t="shared" si="8"/>
        <v>0</v>
      </c>
      <c r="M82" s="403" t="str">
        <f t="shared" si="6"/>
        <v/>
      </c>
    </row>
    <row r="83" spans="2:13" ht="14.4" x14ac:dyDescent="0.25">
      <c r="B83" s="390" t="s">
        <v>1124</v>
      </c>
      <c r="C83" s="17"/>
      <c r="D83" s="380">
        <f>'[8]Rev_NP-12me'!AQ91</f>
        <v>168.50433604288685</v>
      </c>
      <c r="E83" s="380">
        <f>'[8]Rev_NP-12me'!AT91</f>
        <v>0</v>
      </c>
      <c r="F83" s="380">
        <f>'[8]Rev_NP-12me'!AU91</f>
        <v>145.75625067709714</v>
      </c>
      <c r="G83" s="380">
        <f>'[8]Rev_NP-12me'!AW91</f>
        <v>0</v>
      </c>
      <c r="H83" s="374">
        <f t="shared" si="7"/>
        <v>145.75625067709714</v>
      </c>
      <c r="I83" s="380">
        <f>'[8]Rev_NP-12me'!BN91</f>
        <v>0</v>
      </c>
      <c r="J83" s="380">
        <f>'[8]Rev_NP-12me'!BO91</f>
        <v>145.75625067709714</v>
      </c>
      <c r="K83" s="380">
        <f>'[8]Rev_NP-12me'!BQ91</f>
        <v>0</v>
      </c>
      <c r="L83" s="404">
        <f t="shared" si="8"/>
        <v>145.75625067709714</v>
      </c>
      <c r="M83" s="403">
        <f t="shared" si="6"/>
        <v>8.65</v>
      </c>
    </row>
    <row r="84" spans="2:13" ht="14.4" x14ac:dyDescent="0.25">
      <c r="B84" s="390" t="s">
        <v>1125</v>
      </c>
      <c r="C84" s="17"/>
      <c r="D84" s="380">
        <f>'[8]Rev_NP-12me'!AQ92</f>
        <v>158.35232156473441</v>
      </c>
      <c r="E84" s="380">
        <f>'[8]Rev_NP-12me'!AT92</f>
        <v>0</v>
      </c>
      <c r="F84" s="380">
        <f>'[8]Rev_NP-12me'!AU92</f>
        <v>136.97475815349529</v>
      </c>
      <c r="G84" s="380">
        <f>'[8]Rev_NP-12me'!AW92</f>
        <v>0</v>
      </c>
      <c r="H84" s="374">
        <f t="shared" si="7"/>
        <v>136.97475815349529</v>
      </c>
      <c r="I84" s="380">
        <f>'[8]Rev_NP-12me'!BN92</f>
        <v>0</v>
      </c>
      <c r="J84" s="380">
        <f>'[8]Rev_NP-12me'!BO92</f>
        <v>136.97475815349529</v>
      </c>
      <c r="K84" s="380">
        <f>'[8]Rev_NP-12me'!BQ92</f>
        <v>0</v>
      </c>
      <c r="L84" s="404">
        <f t="shared" si="8"/>
        <v>136.97475815349529</v>
      </c>
      <c r="M84" s="403">
        <f t="shared" si="6"/>
        <v>8.65</v>
      </c>
    </row>
    <row r="85" spans="2:13" ht="14.4" x14ac:dyDescent="0.25">
      <c r="B85" s="390" t="s">
        <v>1126</v>
      </c>
      <c r="C85" s="17"/>
      <c r="D85" s="380">
        <f>'[8]Rev_NP-12me'!AQ93</f>
        <v>321.26534842730024</v>
      </c>
      <c r="E85" s="380">
        <f>'[8]Rev_NP-12me'!AT93</f>
        <v>0</v>
      </c>
      <c r="F85" s="380">
        <f>'[8]Rev_NP-12me'!AU93</f>
        <v>213.64145670415468</v>
      </c>
      <c r="G85" s="380">
        <f>'[8]Rev_NP-12me'!AW93</f>
        <v>0</v>
      </c>
      <c r="H85" s="374">
        <f t="shared" si="7"/>
        <v>213.64145670415468</v>
      </c>
      <c r="I85" s="380">
        <f>'[8]Rev_NP-12me'!BN93</f>
        <v>0</v>
      </c>
      <c r="J85" s="380">
        <f>'[8]Rev_NP-12me'!BO93</f>
        <v>213.64145670415462</v>
      </c>
      <c r="K85" s="380">
        <f>'[8]Rev_NP-12me'!BQ93</f>
        <v>0</v>
      </c>
      <c r="L85" s="404">
        <f t="shared" si="8"/>
        <v>213.64145670415462</v>
      </c>
      <c r="M85" s="403">
        <f t="shared" si="6"/>
        <v>6.6499999999999995</v>
      </c>
    </row>
    <row r="86" spans="2:13" x14ac:dyDescent="0.25">
      <c r="B86" s="383" t="s">
        <v>1127</v>
      </c>
      <c r="C86" s="17"/>
      <c r="D86" s="377">
        <f>'[8]Rev_NP-12me'!AQ94</f>
        <v>16.998257834329365</v>
      </c>
      <c r="E86" s="377">
        <f>'[8]Rev_NP-12me'!AT94</f>
        <v>2.5214219412961216</v>
      </c>
      <c r="F86" s="377">
        <f>'[8]Rev_NP-12me'!AU94</f>
        <v>13.078567855058704</v>
      </c>
      <c r="G86" s="377">
        <f>'[8]Rev_NP-12me'!AW94</f>
        <v>3.8399999999999997E-2</v>
      </c>
      <c r="H86" s="376">
        <f t="shared" si="7"/>
        <v>15.638389796354826</v>
      </c>
      <c r="I86" s="377">
        <f>'[8]Rev_NP-12me'!BN94</f>
        <v>2.587775150277599</v>
      </c>
      <c r="J86" s="377">
        <f>'[8]Rev_NP-12me'!BO94</f>
        <v>13.078567855058708</v>
      </c>
      <c r="K86" s="377">
        <f>'[8]Rev_NP-12me'!BQ94</f>
        <v>3.8399999999999997E-2</v>
      </c>
      <c r="L86" s="402">
        <f t="shared" si="8"/>
        <v>15.704743005336306</v>
      </c>
      <c r="M86" s="403">
        <f t="shared" si="6"/>
        <v>9.239030939758603</v>
      </c>
    </row>
    <row r="87" spans="2:13" ht="14.4" x14ac:dyDescent="0.25">
      <c r="B87" s="390" t="s">
        <v>1128</v>
      </c>
      <c r="C87" s="17"/>
      <c r="D87" s="378">
        <f>'[8]Rev_NP-12me'!AQ95</f>
        <v>5.9511083541356351</v>
      </c>
      <c r="E87" s="378">
        <f>'[8]Rev_NP-12me'!AT95</f>
        <v>2.5214219412961216</v>
      </c>
      <c r="F87" s="378">
        <f>'[8]Rev_NP-12me'!AU95</f>
        <v>4.552597890913761</v>
      </c>
      <c r="G87" s="378">
        <f>'[8]Rev_NP-12me'!AW95</f>
        <v>3.8399999999999997E-2</v>
      </c>
      <c r="H87" s="374">
        <f t="shared" si="7"/>
        <v>7.1124198322098833</v>
      </c>
      <c r="I87" s="378">
        <f>'[8]Rev_NP-12me'!BN95</f>
        <v>2.587775150277599</v>
      </c>
      <c r="J87" s="378">
        <f>'[8]Rev_NP-12me'!BO95</f>
        <v>4.552597890913761</v>
      </c>
      <c r="K87" s="378">
        <f>'[8]Rev_NP-12me'!BQ95</f>
        <v>3.8399999999999997E-2</v>
      </c>
      <c r="L87" s="404">
        <f t="shared" si="8"/>
        <v>7.1787730411913602</v>
      </c>
      <c r="M87" s="403">
        <f t="shared" si="6"/>
        <v>12.062917718852452</v>
      </c>
    </row>
    <row r="88" spans="2:13" ht="14.4" x14ac:dyDescent="0.25">
      <c r="B88" s="390" t="s">
        <v>1129</v>
      </c>
      <c r="C88" s="17"/>
      <c r="D88" s="378">
        <f>'[8]Rev_NP-12me'!AQ96</f>
        <v>3.2149797639242799</v>
      </c>
      <c r="E88" s="378">
        <f>'[8]Rev_NP-12me'!AT96</f>
        <v>0</v>
      </c>
      <c r="F88" s="378">
        <f>'[8]Rev_NP-12me'!AU96</f>
        <v>2.7809574957945022</v>
      </c>
      <c r="G88" s="378">
        <f>'[8]Rev_NP-12me'!AW96</f>
        <v>0</v>
      </c>
      <c r="H88" s="374">
        <f t="shared" si="7"/>
        <v>2.7809574957945022</v>
      </c>
      <c r="I88" s="378">
        <f>'[8]Rev_NP-12me'!BN96</f>
        <v>0</v>
      </c>
      <c r="J88" s="378">
        <f>'[8]Rev_NP-12me'!BO96</f>
        <v>2.7809574957945022</v>
      </c>
      <c r="K88" s="378">
        <f>'[8]Rev_NP-12me'!BQ96</f>
        <v>0</v>
      </c>
      <c r="L88" s="404">
        <f t="shared" si="8"/>
        <v>2.7809574957945022</v>
      </c>
      <c r="M88" s="403">
        <f t="shared" si="6"/>
        <v>8.65</v>
      </c>
    </row>
    <row r="89" spans="2:13" ht="14.4" x14ac:dyDescent="0.25">
      <c r="B89" s="390" t="s">
        <v>1130</v>
      </c>
      <c r="C89" s="17"/>
      <c r="D89" s="378">
        <f>'[8]Rev_NP-12me'!AQ97</f>
        <v>2.6830980351562941</v>
      </c>
      <c r="E89" s="378">
        <f>'[8]Rev_NP-12me'!AT97</f>
        <v>0</v>
      </c>
      <c r="F89" s="378">
        <f>'[8]Rev_NP-12me'!AU97</f>
        <v>2.3208798004101943</v>
      </c>
      <c r="G89" s="378">
        <f>'[8]Rev_NP-12me'!AW97</f>
        <v>0</v>
      </c>
      <c r="H89" s="374">
        <f t="shared" si="7"/>
        <v>2.3208798004101943</v>
      </c>
      <c r="I89" s="378">
        <f>'[8]Rev_NP-12me'!BN97</f>
        <v>0</v>
      </c>
      <c r="J89" s="378">
        <f>'[8]Rev_NP-12me'!BO97</f>
        <v>2.3208798004101947</v>
      </c>
      <c r="K89" s="378">
        <f>'[8]Rev_NP-12me'!BQ97</f>
        <v>0</v>
      </c>
      <c r="L89" s="404">
        <f t="shared" si="8"/>
        <v>2.3208798004101947</v>
      </c>
      <c r="M89" s="403">
        <f t="shared" si="6"/>
        <v>8.65</v>
      </c>
    </row>
    <row r="90" spans="2:13" ht="14.4" x14ac:dyDescent="0.25">
      <c r="B90" s="390" t="s">
        <v>1131</v>
      </c>
      <c r="C90" s="17"/>
      <c r="D90" s="378">
        <f>'[8]Rev_NP-12me'!AQ98</f>
        <v>5.1490716811131554</v>
      </c>
      <c r="E90" s="378">
        <f>'[8]Rev_NP-12me'!AT98</f>
        <v>0</v>
      </c>
      <c r="F90" s="378">
        <f>'[8]Rev_NP-12me'!AU98</f>
        <v>3.4241326679402482</v>
      </c>
      <c r="G90" s="378">
        <f>'[8]Rev_NP-12me'!AW98</f>
        <v>0</v>
      </c>
      <c r="H90" s="374">
        <f t="shared" si="7"/>
        <v>3.4241326679402482</v>
      </c>
      <c r="I90" s="378">
        <f>'[8]Rev_NP-12me'!BN98</f>
        <v>0</v>
      </c>
      <c r="J90" s="378">
        <f>'[8]Rev_NP-12me'!BO98</f>
        <v>3.4241326679402491</v>
      </c>
      <c r="K90" s="378">
        <f>'[8]Rev_NP-12me'!BQ98</f>
        <v>0</v>
      </c>
      <c r="L90" s="404">
        <f t="shared" si="8"/>
        <v>3.4241326679402491</v>
      </c>
      <c r="M90" s="403">
        <f t="shared" si="6"/>
        <v>6.6500000000000012</v>
      </c>
    </row>
    <row r="91" spans="2:13" x14ac:dyDescent="0.25">
      <c r="B91" s="383" t="s">
        <v>1132</v>
      </c>
      <c r="C91" s="17"/>
      <c r="D91" s="373">
        <f>'[8]Rev_NP-12me'!AQ99</f>
        <v>0</v>
      </c>
      <c r="E91" s="373">
        <f>'[8]Rev_NP-12me'!AT99</f>
        <v>0</v>
      </c>
      <c r="F91" s="373">
        <f>'[8]Rev_NP-12me'!AU99</f>
        <v>0</v>
      </c>
      <c r="G91" s="373">
        <f>'[8]Rev_NP-12me'!AW99</f>
        <v>0</v>
      </c>
      <c r="H91" s="376">
        <f t="shared" si="7"/>
        <v>0</v>
      </c>
      <c r="I91" s="373">
        <f>'[8]Rev_NP-12me'!BN99</f>
        <v>0</v>
      </c>
      <c r="J91" s="373">
        <f>'[8]Rev_NP-12me'!BO99</f>
        <v>0</v>
      </c>
      <c r="K91" s="373">
        <f>'[8]Rev_NP-12me'!BQ99</f>
        <v>0</v>
      </c>
      <c r="L91" s="402">
        <f t="shared" si="8"/>
        <v>0</v>
      </c>
      <c r="M91" s="403" t="str">
        <f t="shared" si="6"/>
        <v/>
      </c>
    </row>
    <row r="92" spans="2:13" x14ac:dyDescent="0.25">
      <c r="B92" s="383" t="s">
        <v>1133</v>
      </c>
      <c r="C92" s="17"/>
      <c r="D92" s="373">
        <f>'[8]Rev_NP-12me'!AQ100</f>
        <v>217.70021117042339</v>
      </c>
      <c r="E92" s="373">
        <f>'[8]Rev_NP-12me'!AT100</f>
        <v>56.091449013016863</v>
      </c>
      <c r="F92" s="373">
        <f>'[8]Rev_NP-12me'!AU100</f>
        <v>194.29824727527793</v>
      </c>
      <c r="G92" s="373">
        <f>'[8]Rev_NP-12me'!AW100</f>
        <v>1.8468</v>
      </c>
      <c r="H92" s="376">
        <f t="shared" si="7"/>
        <v>252.2364962882948</v>
      </c>
      <c r="I92" s="373">
        <f>'[8]Rev_NP-12me'!BN100</f>
        <v>57.5675397765173</v>
      </c>
      <c r="J92" s="373">
        <f>'[8]Rev_NP-12me'!BO100</f>
        <v>194.29824727527796</v>
      </c>
      <c r="K92" s="373">
        <f>'[8]Rev_NP-12me'!BQ100</f>
        <v>1.8468</v>
      </c>
      <c r="L92" s="402">
        <f t="shared" si="8"/>
        <v>253.71258705179525</v>
      </c>
      <c r="M92" s="403">
        <f t="shared" si="6"/>
        <v>11.654218693117395</v>
      </c>
    </row>
    <row r="93" spans="2:13" ht="14.4" x14ac:dyDescent="0.25">
      <c r="B93" s="385" t="s">
        <v>1134</v>
      </c>
      <c r="C93" s="17"/>
      <c r="D93" s="378">
        <f>'[8]Rev_NP-12me'!AQ101</f>
        <v>95.932255235185806</v>
      </c>
      <c r="E93" s="378">
        <f>'[8]Rev_NP-12me'!AT101</f>
        <v>56.091449013016863</v>
      </c>
      <c r="F93" s="378">
        <f>'[8]Rev_NP-12me'!AU101</f>
        <v>84.420384606963509</v>
      </c>
      <c r="G93" s="378">
        <f>'[8]Rev_NP-12me'!AW101</f>
        <v>1.8468</v>
      </c>
      <c r="H93" s="374">
        <f t="shared" si="7"/>
        <v>142.35863361998037</v>
      </c>
      <c r="I93" s="378">
        <f>'[8]Rev_NP-12me'!BN101</f>
        <v>57.5675397765173</v>
      </c>
      <c r="J93" s="378">
        <f>'[8]Rev_NP-12me'!BO101</f>
        <v>84.420384606963523</v>
      </c>
      <c r="K93" s="378">
        <f>'[8]Rev_NP-12me'!BQ101</f>
        <v>1.8468</v>
      </c>
      <c r="L93" s="404">
        <f t="shared" si="8"/>
        <v>143.83472438348082</v>
      </c>
      <c r="M93" s="403">
        <f t="shared" si="6"/>
        <v>14.993364226751281</v>
      </c>
    </row>
    <row r="94" spans="2:13" ht="14.4" x14ac:dyDescent="0.25">
      <c r="B94" s="385" t="s">
        <v>1100</v>
      </c>
      <c r="C94" s="17"/>
      <c r="D94" s="378">
        <f>'[8]Rev_NP-12me'!AQ102</f>
        <v>48.975402124001917</v>
      </c>
      <c r="E94" s="378">
        <f>'[8]Rev_NP-12me'!AT102</f>
        <v>0</v>
      </c>
      <c r="F94" s="378">
        <f>'[8]Rev_NP-12me'!AU102</f>
        <v>47.995894081521882</v>
      </c>
      <c r="G94" s="378">
        <f>'[8]Rev_NP-12me'!AW102</f>
        <v>0</v>
      </c>
      <c r="H94" s="374">
        <f t="shared" si="7"/>
        <v>47.995894081521882</v>
      </c>
      <c r="I94" s="378">
        <f>'[8]Rev_NP-12me'!BN102</f>
        <v>0</v>
      </c>
      <c r="J94" s="378">
        <f>'[8]Rev_NP-12me'!BO102</f>
        <v>47.99589408152189</v>
      </c>
      <c r="K94" s="378">
        <f>'[8]Rev_NP-12me'!BQ102</f>
        <v>0</v>
      </c>
      <c r="L94" s="404">
        <f t="shared" si="8"/>
        <v>47.99589408152189</v>
      </c>
      <c r="M94" s="403">
        <f t="shared" si="6"/>
        <v>9.8000000000000025</v>
      </c>
    </row>
    <row r="95" spans="2:13" ht="14.4" x14ac:dyDescent="0.25">
      <c r="B95" s="385" t="s">
        <v>1101</v>
      </c>
      <c r="C95" s="17"/>
      <c r="D95" s="378">
        <f>'[8]Rev_NP-12me'!AQ103</f>
        <v>25.518883070143715</v>
      </c>
      <c r="E95" s="378">
        <f>'[8]Rev_NP-12me'!AT103</f>
        <v>0</v>
      </c>
      <c r="F95" s="378">
        <f>'[8]Rev_NP-12me'!AU103</f>
        <v>25.008505408740842</v>
      </c>
      <c r="G95" s="378">
        <f>'[8]Rev_NP-12me'!AW103</f>
        <v>0</v>
      </c>
      <c r="H95" s="374">
        <f t="shared" si="7"/>
        <v>25.008505408740842</v>
      </c>
      <c r="I95" s="378">
        <f>'[8]Rev_NP-12me'!BN103</f>
        <v>0</v>
      </c>
      <c r="J95" s="378">
        <f>'[8]Rev_NP-12me'!BO103</f>
        <v>25.008505408740838</v>
      </c>
      <c r="K95" s="378">
        <f>'[8]Rev_NP-12me'!BQ103</f>
        <v>0</v>
      </c>
      <c r="L95" s="404">
        <f t="shared" si="8"/>
        <v>25.008505408740838</v>
      </c>
      <c r="M95" s="403">
        <f t="shared" si="6"/>
        <v>9.7999999999999989</v>
      </c>
    </row>
    <row r="96" spans="2:13" ht="14.4" x14ac:dyDescent="0.25">
      <c r="B96" s="385" t="s">
        <v>1102</v>
      </c>
      <c r="C96" s="17"/>
      <c r="D96" s="378">
        <f>'[8]Rev_NP-12me'!AQ104</f>
        <v>47.273670741091927</v>
      </c>
      <c r="E96" s="378">
        <f>'[8]Rev_NP-12me'!AT104</f>
        <v>0</v>
      </c>
      <c r="F96" s="378">
        <f>'[8]Rev_NP-12me'!AU104</f>
        <v>36.873463178051701</v>
      </c>
      <c r="G96" s="378">
        <f>'[8]Rev_NP-12me'!AW104</f>
        <v>0</v>
      </c>
      <c r="H96" s="374">
        <f t="shared" si="7"/>
        <v>36.873463178051701</v>
      </c>
      <c r="I96" s="378">
        <f>'[8]Rev_NP-12me'!BN104</f>
        <v>0</v>
      </c>
      <c r="J96" s="378">
        <f>'[8]Rev_NP-12me'!BO104</f>
        <v>36.873463178051708</v>
      </c>
      <c r="K96" s="378">
        <f>'[8]Rev_NP-12me'!BQ104</f>
        <v>0</v>
      </c>
      <c r="L96" s="404">
        <f t="shared" si="8"/>
        <v>36.873463178051708</v>
      </c>
      <c r="M96" s="403">
        <f t="shared" si="6"/>
        <v>7.8000000000000007</v>
      </c>
    </row>
    <row r="97" spans="2:13" x14ac:dyDescent="0.25">
      <c r="B97" s="383" t="s">
        <v>1135</v>
      </c>
      <c r="C97" s="17"/>
      <c r="D97" s="373">
        <f>'[8]Rev_NP-12me'!AQ105</f>
        <v>0.27272250000000003</v>
      </c>
      <c r="E97" s="373">
        <f>'[8]Rev_NP-12me'!AT105</f>
        <v>5.7907200000000006E-2</v>
      </c>
      <c r="F97" s="373">
        <f>'[8]Rev_NP-12me'!AU105</f>
        <v>0.13618498379999999</v>
      </c>
      <c r="G97" s="373">
        <f>'[8]Rev_NP-12me'!AW105</f>
        <v>4.7999999999999996E-3</v>
      </c>
      <c r="H97" s="376">
        <f t="shared" si="7"/>
        <v>0.19889218379999998</v>
      </c>
      <c r="I97" s="373">
        <f>'[8]Rev_NP-12me'!BN105</f>
        <v>6.2361599999999996E-2</v>
      </c>
      <c r="J97" s="373">
        <f>'[8]Rev_NP-12me'!BO105</f>
        <v>0.13618498379999999</v>
      </c>
      <c r="K97" s="373">
        <f>'[8]Rev_NP-12me'!BQ105</f>
        <v>4.7999999999999996E-3</v>
      </c>
      <c r="L97" s="402">
        <f t="shared" si="8"/>
        <v>0.20334658379999998</v>
      </c>
      <c r="M97" s="403">
        <f t="shared" si="6"/>
        <v>7.4561718890080559</v>
      </c>
    </row>
    <row r="98" spans="2:13" ht="14.4" x14ac:dyDescent="0.25">
      <c r="B98" s="385" t="s">
        <v>1134</v>
      </c>
      <c r="C98" s="17"/>
      <c r="D98" s="378">
        <f>'[8]Rev_NP-12me'!AQ106</f>
        <v>6.7935264000000009E-2</v>
      </c>
      <c r="E98" s="378">
        <f>'[8]Rev_NP-12me'!AT106</f>
        <v>5.7907200000000006E-2</v>
      </c>
      <c r="F98" s="378">
        <f>'[8]Rev_NP-12me'!AU106</f>
        <v>3.3967632000000005E-2</v>
      </c>
      <c r="G98" s="378">
        <f>'[8]Rev_NP-12me'!AW106</f>
        <v>4.7999999999999996E-3</v>
      </c>
      <c r="H98" s="374">
        <f t="shared" si="7"/>
        <v>9.6674832000000016E-2</v>
      </c>
      <c r="I98" s="378">
        <f>'[8]Rev_NP-12me'!BN106</f>
        <v>6.2361599999999996E-2</v>
      </c>
      <c r="J98" s="378">
        <f>'[8]Rev_NP-12me'!BO106</f>
        <v>3.3967632000000005E-2</v>
      </c>
      <c r="K98" s="378">
        <f>'[8]Rev_NP-12me'!BQ106</f>
        <v>4.7999999999999996E-3</v>
      </c>
      <c r="L98" s="404">
        <f t="shared" si="8"/>
        <v>0.101129232</v>
      </c>
      <c r="M98" s="403">
        <f t="shared" si="6"/>
        <v>14.886117466180742</v>
      </c>
    </row>
    <row r="99" spans="2:13" ht="14.4" x14ac:dyDescent="0.25">
      <c r="B99" s="385" t="s">
        <v>1100</v>
      </c>
      <c r="C99" s="17"/>
      <c r="D99" s="378">
        <f>'[8]Rev_NP-12me'!AQ107</f>
        <v>6.5660409000000003E-2</v>
      </c>
      <c r="E99" s="378">
        <f>'[8]Rev_NP-12me'!AT107</f>
        <v>0</v>
      </c>
      <c r="F99" s="378">
        <f>'[8]Rev_NP-12me'!AU107</f>
        <v>3.9396245400000002E-2</v>
      </c>
      <c r="G99" s="378">
        <f>'[8]Rev_NP-12me'!AW107</f>
        <v>0</v>
      </c>
      <c r="H99" s="374">
        <f t="shared" si="7"/>
        <v>3.9396245400000002E-2</v>
      </c>
      <c r="I99" s="378">
        <f>'[8]Rev_NP-12me'!BN107</f>
        <v>0</v>
      </c>
      <c r="J99" s="378">
        <f>'[8]Rev_NP-12me'!BO107</f>
        <v>3.9396245400000002E-2</v>
      </c>
      <c r="K99" s="378">
        <f>'[8]Rev_NP-12me'!BQ107</f>
        <v>0</v>
      </c>
      <c r="L99" s="404">
        <f t="shared" si="8"/>
        <v>3.9396245400000002E-2</v>
      </c>
      <c r="M99" s="403">
        <f t="shared" si="6"/>
        <v>6</v>
      </c>
    </row>
    <row r="100" spans="2:13" ht="14.4" x14ac:dyDescent="0.25">
      <c r="B100" s="385" t="s">
        <v>1101</v>
      </c>
      <c r="C100" s="17"/>
      <c r="D100" s="378">
        <f>'[8]Rev_NP-12me'!AQ108</f>
        <v>3.5851878000000004E-2</v>
      </c>
      <c r="E100" s="378">
        <f>'[8]Rev_NP-12me'!AT108</f>
        <v>0</v>
      </c>
      <c r="F100" s="378">
        <f>'[8]Rev_NP-12me'!AU108</f>
        <v>2.1511126800000002E-2</v>
      </c>
      <c r="G100" s="378">
        <f>'[8]Rev_NP-12me'!AW108</f>
        <v>0</v>
      </c>
      <c r="H100" s="374">
        <f t="shared" si="7"/>
        <v>2.1511126800000002E-2</v>
      </c>
      <c r="I100" s="378">
        <f>'[8]Rev_NP-12me'!BN108</f>
        <v>0</v>
      </c>
      <c r="J100" s="378">
        <f>'[8]Rev_NP-12me'!BO108</f>
        <v>2.1511126800000002E-2</v>
      </c>
      <c r="K100" s="378">
        <f>'[8]Rev_NP-12me'!BQ108</f>
        <v>0</v>
      </c>
      <c r="L100" s="404">
        <f t="shared" si="8"/>
        <v>2.1511126800000002E-2</v>
      </c>
      <c r="M100" s="403">
        <f t="shared" si="6"/>
        <v>6</v>
      </c>
    </row>
    <row r="101" spans="2:13" ht="14.4" x14ac:dyDescent="0.25">
      <c r="B101" s="385" t="s">
        <v>1102</v>
      </c>
      <c r="C101" s="17"/>
      <c r="D101" s="378">
        <f>'[8]Rev_NP-12me'!AQ109</f>
        <v>0.103274949</v>
      </c>
      <c r="E101" s="378">
        <f>'[8]Rev_NP-12me'!AT109</f>
        <v>0</v>
      </c>
      <c r="F101" s="378">
        <f>'[8]Rev_NP-12me'!AU109</f>
        <v>4.1309979600000005E-2</v>
      </c>
      <c r="G101" s="378">
        <f>'[8]Rev_NP-12me'!AW109</f>
        <v>0</v>
      </c>
      <c r="H101" s="374">
        <f t="shared" si="7"/>
        <v>4.1309979600000005E-2</v>
      </c>
      <c r="I101" s="378">
        <f>'[8]Rev_NP-12me'!BN109</f>
        <v>0</v>
      </c>
      <c r="J101" s="378">
        <f>'[8]Rev_NP-12me'!BO109</f>
        <v>4.1309979599999998E-2</v>
      </c>
      <c r="K101" s="378">
        <f>'[8]Rev_NP-12me'!BQ109</f>
        <v>0</v>
      </c>
      <c r="L101" s="404">
        <f t="shared" si="8"/>
        <v>4.1309979599999998E-2</v>
      </c>
      <c r="M101" s="403">
        <f t="shared" si="6"/>
        <v>3.9999999999999996</v>
      </c>
    </row>
    <row r="102" spans="2:13" x14ac:dyDescent="0.25">
      <c r="B102" s="383" t="s">
        <v>1079</v>
      </c>
      <c r="C102" s="17"/>
      <c r="D102" s="373">
        <f>'[8]Rev_NP-12me'!AQ110</f>
        <v>8.5130279844919272</v>
      </c>
      <c r="E102" s="373">
        <f>'[8]Rev_NP-12me'!AT110</f>
        <v>1.3375965017990226</v>
      </c>
      <c r="F102" s="373">
        <f>'[8]Rev_NP-12me'!AU110</f>
        <v>7.2371985326956922</v>
      </c>
      <c r="G102" s="373">
        <f>'[8]Rev_NP-12me'!AW110</f>
        <v>5.16E-2</v>
      </c>
      <c r="H102" s="376">
        <f t="shared" si="7"/>
        <v>8.6263950344947151</v>
      </c>
      <c r="I102" s="373">
        <f>'[8]Rev_NP-12me'!BN110</f>
        <v>1.3727964097411023</v>
      </c>
      <c r="J102" s="373">
        <f>'[8]Rev_NP-12me'!BO110</f>
        <v>7.3543839243802758</v>
      </c>
      <c r="K102" s="373">
        <f>'[8]Rev_NP-12me'!BQ110</f>
        <v>5.16E-2</v>
      </c>
      <c r="L102" s="402">
        <f t="shared" si="8"/>
        <v>8.7787803341213788</v>
      </c>
      <c r="M102" s="403">
        <f t="shared" si="6"/>
        <v>10.312171356788172</v>
      </c>
    </row>
    <row r="103" spans="2:13" ht="14.4" x14ac:dyDescent="0.25">
      <c r="B103" s="385" t="s">
        <v>1134</v>
      </c>
      <c r="C103" s="17"/>
      <c r="D103" s="378">
        <f>'[8]Rev_NP-12me'!AQ111</f>
        <v>2.4030953953419729</v>
      </c>
      <c r="E103" s="378">
        <f>'[8]Rev_NP-12me'!AT111</f>
        <v>1.3375965017990226</v>
      </c>
      <c r="F103" s="378">
        <f>'[8]Rev_NP-12me'!AU111</f>
        <v>2.0426310860406769</v>
      </c>
      <c r="G103" s="378">
        <f>'[8]Rev_NP-12me'!AW111</f>
        <v>5.16E-2</v>
      </c>
      <c r="H103" s="374">
        <f t="shared" si="7"/>
        <v>3.4318275878396993</v>
      </c>
      <c r="I103" s="378">
        <f>'[8]Rev_NP-12me'!BN111</f>
        <v>1.3727964097411023</v>
      </c>
      <c r="J103" s="378">
        <f>'[8]Rev_NP-12me'!BO111</f>
        <v>2.0734391040135698</v>
      </c>
      <c r="K103" s="378">
        <f>'[8]Rev_NP-12me'!BQ111</f>
        <v>5.16E-2</v>
      </c>
      <c r="L103" s="404">
        <f t="shared" si="8"/>
        <v>3.4978355137546724</v>
      </c>
      <c r="M103" s="403">
        <f t="shared" si="6"/>
        <v>14.555541659039765</v>
      </c>
    </row>
    <row r="104" spans="2:13" ht="14.4" x14ac:dyDescent="0.25">
      <c r="B104" s="385" t="s">
        <v>1100</v>
      </c>
      <c r="C104" s="17"/>
      <c r="D104" s="378">
        <f>'[8]Rev_NP-12me'!AQ112</f>
        <v>1.7995342669246857</v>
      </c>
      <c r="E104" s="378">
        <f>'[8]Rev_NP-12me'!AT112</f>
        <v>0</v>
      </c>
      <c r="F104" s="378">
        <f>'[8]Rev_NP-12me'!AU112</f>
        <v>1.7095575535784513</v>
      </c>
      <c r="G104" s="378">
        <f>'[8]Rev_NP-12me'!AW112</f>
        <v>0</v>
      </c>
      <c r="H104" s="374">
        <f t="shared" si="7"/>
        <v>1.7095575535784513</v>
      </c>
      <c r="I104" s="378">
        <f>'[8]Rev_NP-12me'!BN112</f>
        <v>0</v>
      </c>
      <c r="J104" s="378">
        <f>'[8]Rev_NP-12me'!BO112</f>
        <v>1.7352613342711898</v>
      </c>
      <c r="K104" s="378">
        <f>'[8]Rev_NP-12me'!BQ112</f>
        <v>0</v>
      </c>
      <c r="L104" s="404">
        <f t="shared" si="8"/>
        <v>1.7352613342711898</v>
      </c>
      <c r="M104" s="403">
        <f t="shared" si="6"/>
        <v>9.6428357390307706</v>
      </c>
    </row>
    <row r="105" spans="2:13" ht="14.4" x14ac:dyDescent="0.25">
      <c r="B105" s="385" t="s">
        <v>1101</v>
      </c>
      <c r="C105" s="17"/>
      <c r="D105" s="378">
        <f>'[8]Rev_NP-12me'!AQ113</f>
        <v>1.2610557570380616</v>
      </c>
      <c r="E105" s="378">
        <f>'[8]Rev_NP-12me'!AT113</f>
        <v>0</v>
      </c>
      <c r="F105" s="378">
        <f>'[8]Rev_NP-12me'!AU113</f>
        <v>1.1980029691861585</v>
      </c>
      <c r="G105" s="378">
        <f>'[8]Rev_NP-12me'!AW113</f>
        <v>0</v>
      </c>
      <c r="H105" s="374">
        <f t="shared" si="7"/>
        <v>1.1980029691861585</v>
      </c>
      <c r="I105" s="378">
        <f>'[8]Rev_NP-12me'!BN113</f>
        <v>0</v>
      </c>
      <c r="J105" s="378">
        <f>'[8]Rev_NP-12me'!BO113</f>
        <v>1.2166355605164378</v>
      </c>
      <c r="K105" s="378">
        <f>'[8]Rev_NP-12me'!BQ113</f>
        <v>0</v>
      </c>
      <c r="L105" s="404">
        <f t="shared" si="8"/>
        <v>1.2166355605164378</v>
      </c>
      <c r="M105" s="403">
        <f t="shared" si="6"/>
        <v>9.6477539056166961</v>
      </c>
    </row>
    <row r="106" spans="2:13" ht="14.4" x14ac:dyDescent="0.25">
      <c r="B106" s="385" t="s">
        <v>1102</v>
      </c>
      <c r="C106" s="17"/>
      <c r="D106" s="378">
        <f>'[8]Rev_NP-12me'!AQ114</f>
        <v>3.0493425651872079</v>
      </c>
      <c r="E106" s="378">
        <f>'[8]Rev_NP-12me'!AT114</f>
        <v>0</v>
      </c>
      <c r="F106" s="378">
        <f>'[8]Rev_NP-12me'!AU114</f>
        <v>2.2870069238904058</v>
      </c>
      <c r="G106" s="378">
        <f>'[8]Rev_NP-12me'!AW114</f>
        <v>0</v>
      </c>
      <c r="H106" s="374">
        <f t="shared" si="7"/>
        <v>2.2870069238904058</v>
      </c>
      <c r="I106" s="378">
        <f>'[8]Rev_NP-12me'!BN114</f>
        <v>0</v>
      </c>
      <c r="J106" s="378">
        <f>'[8]Rev_NP-12me'!BO114</f>
        <v>2.3290479255790784</v>
      </c>
      <c r="K106" s="378">
        <f>'[8]Rev_NP-12me'!BQ114</f>
        <v>0</v>
      </c>
      <c r="L106" s="404">
        <f t="shared" si="8"/>
        <v>2.3290479255790784</v>
      </c>
      <c r="M106" s="403">
        <f t="shared" si="6"/>
        <v>7.6378690678070527</v>
      </c>
    </row>
    <row r="107" spans="2:13" x14ac:dyDescent="0.25">
      <c r="B107" s="383" t="s">
        <v>1136</v>
      </c>
      <c r="C107" s="17"/>
      <c r="D107" s="373">
        <f>'[8]Rev_NP-12me'!AQ115</f>
        <v>25.663067099999999</v>
      </c>
      <c r="E107" s="373">
        <f>'[8]Rev_NP-12me'!AT115</f>
        <v>11.603067086879214</v>
      </c>
      <c r="F107" s="373">
        <f>'[8]Rev_NP-12me'!AU115</f>
        <v>16.167732272999999</v>
      </c>
      <c r="G107" s="373">
        <f>'[8]Rev_NP-12me'!AW115</f>
        <v>0.50280000000000002</v>
      </c>
      <c r="H107" s="374">
        <f t="shared" si="7"/>
        <v>28.273599359879213</v>
      </c>
      <c r="I107" s="373">
        <f>'[8]Rev_NP-12me'!BN115</f>
        <v>12.130479227191906</v>
      </c>
      <c r="J107" s="373">
        <f>'[8]Rev_NP-12me'!BO115</f>
        <v>16.167732272999999</v>
      </c>
      <c r="K107" s="373">
        <f>'[8]Rev_NP-12me'!BQ115</f>
        <v>0.50280000000000002</v>
      </c>
      <c r="L107" s="402">
        <f t="shared" si="8"/>
        <v>28.801011500191905</v>
      </c>
      <c r="M107" s="403">
        <f t="shared" si="6"/>
        <v>11.222747221898473</v>
      </c>
    </row>
    <row r="108" spans="2:13" ht="14.4" x14ac:dyDescent="0.25">
      <c r="B108" s="385" t="s">
        <v>1137</v>
      </c>
      <c r="C108" s="17"/>
      <c r="D108" s="378">
        <f>'[8]Rev_NP-12me'!AQ116</f>
        <v>25.663067099999999</v>
      </c>
      <c r="E108" s="378">
        <f>'[8]Rev_NP-12me'!AT116</f>
        <v>11.603067086879214</v>
      </c>
      <c r="F108" s="378">
        <f>'[8]Rev_NP-12me'!AU116</f>
        <v>16.167732272999999</v>
      </c>
      <c r="G108" s="378">
        <f>'[8]Rev_NP-12me'!AW116</f>
        <v>0.50280000000000002</v>
      </c>
      <c r="H108" s="374">
        <f t="shared" si="7"/>
        <v>28.273599359879213</v>
      </c>
      <c r="I108" s="378">
        <f>'[8]Rev_NP-12me'!BN116</f>
        <v>12.130479227191906</v>
      </c>
      <c r="J108" s="378">
        <f>'[8]Rev_NP-12me'!BO116</f>
        <v>16.167732272999999</v>
      </c>
      <c r="K108" s="378">
        <f>'[8]Rev_NP-12me'!BQ116</f>
        <v>0.50280000000000002</v>
      </c>
      <c r="L108" s="404">
        <f t="shared" si="8"/>
        <v>28.801011500191905</v>
      </c>
      <c r="M108" s="403">
        <f t="shared" si="6"/>
        <v>11.222747221898473</v>
      </c>
    </row>
    <row r="109" spans="2:13" x14ac:dyDescent="0.25">
      <c r="B109" s="383" t="s">
        <v>1138</v>
      </c>
      <c r="C109" s="17"/>
      <c r="D109" s="373">
        <f>'[8]Rev_NP-12me'!AQ127</f>
        <v>155.68817273588263</v>
      </c>
      <c r="E109" s="373">
        <f>'[8]Rev_NP-12me'!AT127</f>
        <v>0</v>
      </c>
      <c r="F109" s="373">
        <f>'[8]Rev_NP-12me'!AU127</f>
        <v>94.969785368888409</v>
      </c>
      <c r="G109" s="373">
        <f>'[8]Rev_NP-12me'!AW127</f>
        <v>0.2772</v>
      </c>
      <c r="H109" s="374">
        <f t="shared" si="7"/>
        <v>95.246985368888403</v>
      </c>
      <c r="I109" s="373">
        <f>'[8]Rev_NP-12me'!BN127</f>
        <v>0</v>
      </c>
      <c r="J109" s="373">
        <f>'[8]Rev_NP-12me'!BO127</f>
        <v>94.969785368888424</v>
      </c>
      <c r="K109" s="373">
        <f>'[8]Rev_NP-12me'!BQ127</f>
        <v>0.2772</v>
      </c>
      <c r="L109" s="402">
        <f t="shared" si="8"/>
        <v>95.246985368888417</v>
      </c>
      <c r="M109" s="403">
        <f t="shared" si="6"/>
        <v>6.1178048206956781</v>
      </c>
    </row>
    <row r="110" spans="2:13" ht="14.4" x14ac:dyDescent="0.25">
      <c r="B110" s="385" t="s">
        <v>216</v>
      </c>
      <c r="C110" s="17"/>
      <c r="D110" s="378">
        <f>'[8]Rev_NP-12me'!AQ128</f>
        <v>155.68817273588263</v>
      </c>
      <c r="E110" s="378">
        <f>'[8]Rev_NP-12me'!AT128</f>
        <v>0</v>
      </c>
      <c r="F110" s="378">
        <f>'[8]Rev_NP-12me'!AU128</f>
        <v>94.969785368888409</v>
      </c>
      <c r="G110" s="378">
        <f>'[8]Rev_NP-12me'!AW128</f>
        <v>0.2772</v>
      </c>
      <c r="H110" s="374">
        <f t="shared" si="7"/>
        <v>95.246985368888403</v>
      </c>
      <c r="I110" s="378">
        <f>'[8]Rev_NP-12me'!BN128</f>
        <v>0</v>
      </c>
      <c r="J110" s="378">
        <f>'[8]Rev_NP-12me'!BO128</f>
        <v>94.969785368888424</v>
      </c>
      <c r="K110" s="378">
        <f>'[8]Rev_NP-12me'!BQ128</f>
        <v>0.2772</v>
      </c>
      <c r="L110" s="404">
        <f t="shared" si="8"/>
        <v>95.246985368888417</v>
      </c>
      <c r="M110" s="403">
        <f t="shared" si="6"/>
        <v>6.1178048206956781</v>
      </c>
    </row>
    <row r="111" spans="2:13" ht="14.4" x14ac:dyDescent="0.25">
      <c r="B111" s="385" t="s">
        <v>1139</v>
      </c>
      <c r="C111" s="17"/>
      <c r="D111" s="378">
        <f>'[8]Rev_NP-12me'!AQ129</f>
        <v>0</v>
      </c>
      <c r="E111" s="378">
        <f>'[8]Rev_NP-12me'!AT129</f>
        <v>0</v>
      </c>
      <c r="F111" s="378">
        <f>'[8]Rev_NP-12me'!AU129</f>
        <v>0</v>
      </c>
      <c r="G111" s="378">
        <f>'[8]Rev_NP-12me'!AW129</f>
        <v>0</v>
      </c>
      <c r="H111" s="374">
        <f t="shared" si="7"/>
        <v>0</v>
      </c>
      <c r="I111" s="378">
        <f>'[8]Rev_NP-12me'!BN129</f>
        <v>0</v>
      </c>
      <c r="J111" s="378">
        <f>'[8]Rev_NP-12me'!BO129</f>
        <v>0</v>
      </c>
      <c r="K111" s="378">
        <f>'[8]Rev_NP-12me'!BQ129</f>
        <v>0</v>
      </c>
      <c r="L111" s="404">
        <f t="shared" si="8"/>
        <v>0</v>
      </c>
      <c r="M111" s="403" t="str">
        <f t="shared" si="6"/>
        <v/>
      </c>
    </row>
    <row r="112" spans="2:13" x14ac:dyDescent="0.25">
      <c r="B112" s="383" t="s">
        <v>1140</v>
      </c>
      <c r="C112" s="17"/>
      <c r="D112" s="373">
        <f>'[8]Rev_NP-12me'!AQ118</f>
        <v>0</v>
      </c>
      <c r="E112" s="373">
        <f>'[8]Rev_NP-12me'!AT118</f>
        <v>0</v>
      </c>
      <c r="F112" s="373">
        <f>'[8]Rev_NP-12me'!AU118</f>
        <v>0</v>
      </c>
      <c r="G112" s="373">
        <f>'[8]Rev_NP-12me'!AW118</f>
        <v>0</v>
      </c>
      <c r="H112" s="374">
        <f t="shared" si="7"/>
        <v>0</v>
      </c>
      <c r="I112" s="373">
        <f>'[8]Rev_NP-12me'!BN118</f>
        <v>0</v>
      </c>
      <c r="J112" s="373">
        <f>'[8]Rev_NP-12me'!BO118</f>
        <v>0</v>
      </c>
      <c r="K112" s="373">
        <f>'[8]Rev_NP-12me'!BQ118</f>
        <v>0</v>
      </c>
      <c r="L112" s="404">
        <f t="shared" si="8"/>
        <v>0</v>
      </c>
      <c r="M112" s="403" t="str">
        <f t="shared" si="6"/>
        <v/>
      </c>
    </row>
    <row r="113" spans="2:13" x14ac:dyDescent="0.25">
      <c r="B113" s="383" t="s">
        <v>1141</v>
      </c>
      <c r="C113" s="17"/>
      <c r="D113" s="373">
        <f>'[8]Rev_NP-12me'!AQ119</f>
        <v>0</v>
      </c>
      <c r="E113" s="373">
        <f>'[8]Rev_NP-12me'!AT119</f>
        <v>0</v>
      </c>
      <c r="F113" s="373">
        <f>'[8]Rev_NP-12me'!AU119</f>
        <v>0</v>
      </c>
      <c r="G113" s="373">
        <f>'[8]Rev_NP-12me'!AW119</f>
        <v>0</v>
      </c>
      <c r="H113" s="374">
        <f t="shared" si="7"/>
        <v>0</v>
      </c>
      <c r="I113" s="373">
        <f>'[8]Rev_NP-12me'!BN119</f>
        <v>0</v>
      </c>
      <c r="J113" s="373">
        <f>'[8]Rev_NP-12me'!BO119</f>
        <v>0</v>
      </c>
      <c r="K113" s="373">
        <f>'[8]Rev_NP-12me'!BQ119</f>
        <v>0</v>
      </c>
      <c r="L113" s="404">
        <f t="shared" si="8"/>
        <v>0</v>
      </c>
      <c r="M113" s="403" t="str">
        <f t="shared" si="6"/>
        <v/>
      </c>
    </row>
    <row r="114" spans="2:13" x14ac:dyDescent="0.25">
      <c r="B114" s="383" t="s">
        <v>811</v>
      </c>
      <c r="C114" s="17"/>
      <c r="D114" s="373">
        <f>'[8]Rev_NP-12me'!AQ117</f>
        <v>8.8767601200000001</v>
      </c>
      <c r="E114" s="373">
        <f>'[8]Rev_NP-12me'!AT117</f>
        <v>1.3690134289771754</v>
      </c>
      <c r="F114" s="373">
        <f>'[8]Rev_NP-12me'!AU117</f>
        <v>6.4800348876000005</v>
      </c>
      <c r="G114" s="373">
        <f>'[8]Rev_NP-12me'!AW117</f>
        <v>4.4400000000000002E-2</v>
      </c>
      <c r="H114" s="376">
        <f t="shared" si="7"/>
        <v>7.8934483165771763</v>
      </c>
      <c r="I114" s="373">
        <f>'[8]Rev_NP-12me'!BN117</f>
        <v>1.4743221542831118</v>
      </c>
      <c r="J114" s="373">
        <f>'[8]Rev_NP-12me'!BO117</f>
        <v>6.4800348876000005</v>
      </c>
      <c r="K114" s="373">
        <f>'[8]Rev_NP-12me'!BQ117</f>
        <v>4.4400000000000002E-2</v>
      </c>
      <c r="L114" s="402">
        <f t="shared" si="8"/>
        <v>7.9987570418831124</v>
      </c>
      <c r="M114" s="403">
        <f t="shared" si="6"/>
        <v>9.010896919317803</v>
      </c>
    </row>
    <row r="115" spans="2:13" x14ac:dyDescent="0.25">
      <c r="B115" s="383" t="s">
        <v>813</v>
      </c>
      <c r="C115" s="17"/>
      <c r="D115" s="373">
        <f>'[8]Rev_NP-12me'!AQ120</f>
        <v>16.997482980000001</v>
      </c>
      <c r="E115" s="373">
        <f>'[8]Rev_NP-12me'!AT120</f>
        <v>6.2301336000000003</v>
      </c>
      <c r="F115" s="373">
        <f>'[8]Rev_NP-12me'!AU120</f>
        <v>20.057029916400005</v>
      </c>
      <c r="G115" s="373">
        <f>'[8]Rev_NP-12me'!AW120</f>
        <v>0.1104</v>
      </c>
      <c r="H115" s="376">
        <f t="shared" si="7"/>
        <v>26.397563516400005</v>
      </c>
      <c r="I115" s="373">
        <f>'[8]Rev_NP-12me'!BN120</f>
        <v>6.2301336000000003</v>
      </c>
      <c r="J115" s="373">
        <f>'[8]Rev_NP-12me'!BO120</f>
        <v>20.057029916400005</v>
      </c>
      <c r="K115" s="373">
        <f>'[8]Rev_NP-12me'!BQ120</f>
        <v>0.1104</v>
      </c>
      <c r="L115" s="402">
        <f t="shared" si="8"/>
        <v>26.397563516400005</v>
      </c>
      <c r="M115" s="403">
        <f t="shared" si="6"/>
        <v>15.530277952012399</v>
      </c>
    </row>
    <row r="116" spans="2:13" x14ac:dyDescent="0.25">
      <c r="B116" s="383" t="s">
        <v>1142</v>
      </c>
      <c r="C116" s="17"/>
      <c r="D116" s="373">
        <f>'[8]Rev_NP-12me'!AQ121</f>
        <v>1163.1169718019062</v>
      </c>
      <c r="E116" s="373">
        <f>'[8]Rev_NP-12me'!AT121</f>
        <v>0</v>
      </c>
      <c r="F116" s="373">
        <f>'[8]Rev_NP-12me'!AU121</f>
        <v>562.9486143521226</v>
      </c>
      <c r="G116" s="373">
        <f>'[8]Rev_NP-12me'!AW121</f>
        <v>0</v>
      </c>
      <c r="H116" s="376">
        <f t="shared" si="7"/>
        <v>562.9486143521226</v>
      </c>
      <c r="I116" s="373">
        <f>'[8]Rev_NP-12me'!BN121</f>
        <v>0</v>
      </c>
      <c r="J116" s="373">
        <f>'[8]Rev_NP-12me'!BO121</f>
        <v>562.9486143521226</v>
      </c>
      <c r="K116" s="373">
        <f>'[8]Rev_NP-12me'!BQ121</f>
        <v>0</v>
      </c>
      <c r="L116" s="402">
        <f t="shared" si="8"/>
        <v>562.9486143521226</v>
      </c>
      <c r="M116" s="403">
        <f t="shared" si="6"/>
        <v>4.84</v>
      </c>
    </row>
    <row r="117" spans="2:13" x14ac:dyDescent="0.25">
      <c r="B117" s="383" t="s">
        <v>1143</v>
      </c>
      <c r="C117" s="17"/>
      <c r="D117" s="373">
        <f>'[8]Rev_NP-12me'!AQ122</f>
        <v>0</v>
      </c>
      <c r="E117" s="373">
        <f>'[8]Rev_NP-12me'!AT122</f>
        <v>0</v>
      </c>
      <c r="F117" s="373">
        <f>'[8]Rev_NP-12me'!AU122</f>
        <v>0</v>
      </c>
      <c r="G117" s="373">
        <f>'[8]Rev_NP-12me'!AW122</f>
        <v>0</v>
      </c>
      <c r="H117" s="376">
        <f t="shared" si="7"/>
        <v>0</v>
      </c>
      <c r="I117" s="373">
        <f>'[8]Rev_NP-12me'!BN122</f>
        <v>0</v>
      </c>
      <c r="J117" s="373">
        <f>'[8]Rev_NP-12me'!BO122</f>
        <v>0</v>
      </c>
      <c r="K117" s="373">
        <f>'[8]Rev_NP-12me'!BQ122</f>
        <v>0</v>
      </c>
      <c r="L117" s="402">
        <f t="shared" si="8"/>
        <v>0</v>
      </c>
      <c r="M117" s="403" t="str">
        <f t="shared" si="6"/>
        <v/>
      </c>
    </row>
    <row r="118" spans="2:13" ht="14.4" x14ac:dyDescent="0.25">
      <c r="B118" s="390" t="s">
        <v>1134</v>
      </c>
      <c r="C118" s="17"/>
      <c r="D118" s="378">
        <f>'[8]Rev_NP-12me'!AQ123</f>
        <v>0</v>
      </c>
      <c r="E118" s="378">
        <f>'[8]Rev_NP-12me'!AT123</f>
        <v>0</v>
      </c>
      <c r="F118" s="378">
        <f>'[8]Rev_NP-12me'!AU123</f>
        <v>0</v>
      </c>
      <c r="G118" s="378">
        <f>'[8]Rev_NP-12me'!AW123</f>
        <v>0</v>
      </c>
      <c r="H118" s="374">
        <f t="shared" si="7"/>
        <v>0</v>
      </c>
      <c r="I118" s="378">
        <f>'[8]Rev_NP-12me'!BN123</f>
        <v>0</v>
      </c>
      <c r="J118" s="378">
        <f>'[8]Rev_NP-12me'!BO123</f>
        <v>0</v>
      </c>
      <c r="K118" s="378">
        <f>'[8]Rev_NP-12me'!BQ123</f>
        <v>0</v>
      </c>
      <c r="L118" s="404">
        <f t="shared" si="8"/>
        <v>0</v>
      </c>
      <c r="M118" s="403" t="str">
        <f t="shared" si="6"/>
        <v/>
      </c>
    </row>
    <row r="119" spans="2:13" ht="14.4" x14ac:dyDescent="0.25">
      <c r="B119" s="390" t="s">
        <v>1100</v>
      </c>
      <c r="C119" s="17"/>
      <c r="D119" s="378">
        <f>'[8]Rev_NP-12me'!AQ124</f>
        <v>0</v>
      </c>
      <c r="E119" s="378">
        <f>'[8]Rev_NP-12me'!AT124</f>
        <v>0</v>
      </c>
      <c r="F119" s="378">
        <f>'[8]Rev_NP-12me'!AU124</f>
        <v>0</v>
      </c>
      <c r="G119" s="378">
        <f>'[8]Rev_NP-12me'!AW124</f>
        <v>0</v>
      </c>
      <c r="H119" s="374">
        <f t="shared" si="7"/>
        <v>0</v>
      </c>
      <c r="I119" s="378">
        <f>'[8]Rev_NP-12me'!BN124</f>
        <v>0</v>
      </c>
      <c r="J119" s="378">
        <f>'[8]Rev_NP-12me'!BO124</f>
        <v>0</v>
      </c>
      <c r="K119" s="378">
        <f>'[8]Rev_NP-12me'!BQ124</f>
        <v>0</v>
      </c>
      <c r="L119" s="404">
        <f t="shared" si="8"/>
        <v>0</v>
      </c>
      <c r="M119" s="403" t="str">
        <f t="shared" si="6"/>
        <v/>
      </c>
    </row>
    <row r="120" spans="2:13" ht="14.4" x14ac:dyDescent="0.25">
      <c r="B120" s="390" t="s">
        <v>1101</v>
      </c>
      <c r="C120" s="17"/>
      <c r="D120" s="378">
        <f>'[8]Rev_NP-12me'!AQ125</f>
        <v>0</v>
      </c>
      <c r="E120" s="378">
        <f>'[8]Rev_NP-12me'!AT125</f>
        <v>0</v>
      </c>
      <c r="F120" s="378">
        <f>'[8]Rev_NP-12me'!AU125</f>
        <v>0</v>
      </c>
      <c r="G120" s="378">
        <f>'[8]Rev_NP-12me'!AW125</f>
        <v>0</v>
      </c>
      <c r="H120" s="374">
        <f t="shared" si="7"/>
        <v>0</v>
      </c>
      <c r="I120" s="378">
        <f>'[8]Rev_NP-12me'!BN125</f>
        <v>0</v>
      </c>
      <c r="J120" s="378">
        <f>'[8]Rev_NP-12me'!BO125</f>
        <v>0</v>
      </c>
      <c r="K120" s="378">
        <f>'[8]Rev_NP-12me'!BQ125</f>
        <v>0</v>
      </c>
      <c r="L120" s="404">
        <f t="shared" si="8"/>
        <v>0</v>
      </c>
      <c r="M120" s="403" t="str">
        <f t="shared" si="6"/>
        <v/>
      </c>
    </row>
    <row r="121" spans="2:13" ht="14.4" x14ac:dyDescent="0.25">
      <c r="B121" s="390" t="s">
        <v>1102</v>
      </c>
      <c r="C121" s="17"/>
      <c r="D121" s="378">
        <f>'[8]Rev_NP-12me'!AQ126</f>
        <v>0</v>
      </c>
      <c r="E121" s="378">
        <f>'[8]Rev_NP-12me'!AT126</f>
        <v>0</v>
      </c>
      <c r="F121" s="378">
        <f>'[8]Rev_NP-12me'!AU126</f>
        <v>0</v>
      </c>
      <c r="G121" s="378">
        <f>'[8]Rev_NP-12me'!AW126</f>
        <v>0</v>
      </c>
      <c r="H121" s="374">
        <f t="shared" si="7"/>
        <v>0</v>
      </c>
      <c r="I121" s="378">
        <f>'[8]Rev_NP-12me'!BN126</f>
        <v>0</v>
      </c>
      <c r="J121" s="378">
        <f>'[8]Rev_NP-12me'!BO126</f>
        <v>0</v>
      </c>
      <c r="K121" s="378">
        <f>'[8]Rev_NP-12me'!BQ126</f>
        <v>0</v>
      </c>
      <c r="L121" s="404">
        <f t="shared" si="8"/>
        <v>0</v>
      </c>
      <c r="M121" s="403" t="str">
        <f t="shared" si="6"/>
        <v/>
      </c>
    </row>
    <row r="122" spans="2:13" x14ac:dyDescent="0.25">
      <c r="B122" s="391" t="s">
        <v>1144</v>
      </c>
      <c r="C122" s="17"/>
      <c r="D122" s="392">
        <f>SUM(D76,D91,D92,D97,D102,D107,D109,D112,D113,D114,D115,D116,D117)</f>
        <v>2778.1112369378361</v>
      </c>
      <c r="E122" s="392">
        <f t="shared" ref="E122:K122" si="9">SUM(E76,E91,E92,E97,E102,E107,E109,E112,E113,E114,E115,E116,E117)</f>
        <v>314.2444895291614</v>
      </c>
      <c r="F122" s="392">
        <f t="shared" si="9"/>
        <v>1813.1621277269758</v>
      </c>
      <c r="G122" s="392">
        <f t="shared" si="9"/>
        <v>8.886000000000001</v>
      </c>
      <c r="H122" s="392">
        <f t="shared" si="9"/>
        <v>2136.2926172561374</v>
      </c>
      <c r="I122" s="392">
        <f t="shared" si="9"/>
        <v>322.39268826307102</v>
      </c>
      <c r="J122" s="392">
        <f t="shared" si="9"/>
        <v>1813.2793131186606</v>
      </c>
      <c r="K122" s="392">
        <f t="shared" si="9"/>
        <v>8.886000000000001</v>
      </c>
      <c r="L122" s="392">
        <f t="shared" si="8"/>
        <v>2144.5580013817316</v>
      </c>
      <c r="M122" s="403">
        <f t="shared" si="6"/>
        <v>7.7194821174459642</v>
      </c>
    </row>
    <row r="123" spans="2:13" x14ac:dyDescent="0.25">
      <c r="B123" s="17"/>
      <c r="C123" s="17"/>
      <c r="D123" s="395"/>
      <c r="E123" s="395"/>
      <c r="F123" s="395"/>
      <c r="G123" s="395"/>
      <c r="H123" s="395"/>
      <c r="I123" s="395"/>
      <c r="J123" s="395"/>
      <c r="K123" s="395"/>
      <c r="L123" s="404"/>
      <c r="M123" s="403" t="str">
        <f t="shared" si="6"/>
        <v/>
      </c>
    </row>
    <row r="124" spans="2:13" x14ac:dyDescent="0.25">
      <c r="B124" s="383" t="s">
        <v>213</v>
      </c>
      <c r="C124" s="17"/>
      <c r="D124" s="381"/>
      <c r="E124" s="381"/>
      <c r="F124" s="381"/>
      <c r="G124" s="381"/>
      <c r="H124" s="381"/>
      <c r="I124" s="381"/>
      <c r="J124" s="381"/>
      <c r="K124" s="381"/>
      <c r="L124" s="404"/>
      <c r="M124" s="403" t="str">
        <f t="shared" si="6"/>
        <v/>
      </c>
    </row>
    <row r="125" spans="2:13" x14ac:dyDescent="0.25">
      <c r="B125" s="383" t="s">
        <v>1145</v>
      </c>
      <c r="C125" s="17"/>
      <c r="D125" s="373">
        <f>'[8]Rev_NP-12me'!AQ144</f>
        <v>198.83087795755733</v>
      </c>
      <c r="E125" s="373">
        <f>'[8]Rev_NP-12me'!AT144</f>
        <v>32.182428131265397</v>
      </c>
      <c r="F125" s="373">
        <f>'[8]Rev_NP-12me'!AU144</f>
        <v>141.61185147175576</v>
      </c>
      <c r="G125" s="373">
        <f>'[8]Rev_NP-12me'!AW144</f>
        <v>0.21840000000000001</v>
      </c>
      <c r="H125" s="376">
        <f t="shared" ref="H125:H165" si="10">SUM(E125:G125)</f>
        <v>174.01267960302116</v>
      </c>
      <c r="I125" s="373">
        <f>'[8]Rev_NP-12me'!BN144</f>
        <v>33.029334134719754</v>
      </c>
      <c r="J125" s="373">
        <f>'[8]Rev_NP-12me'!BO144</f>
        <v>146.6709016485047</v>
      </c>
      <c r="K125" s="373">
        <f>'[8]Rev_NP-12me'!BQ144</f>
        <v>0.21840000000000001</v>
      </c>
      <c r="L125" s="402">
        <f t="shared" ref="L125:L166" si="11">SUM(I125:K125)</f>
        <v>179.91863578322446</v>
      </c>
      <c r="M125" s="403">
        <f t="shared" si="6"/>
        <v>9.0488277088244864</v>
      </c>
    </row>
    <row r="126" spans="2:13" x14ac:dyDescent="0.25">
      <c r="B126" s="396" t="s">
        <v>1146</v>
      </c>
      <c r="C126" s="17"/>
      <c r="D126" s="377">
        <f>'[8]Rev_NP-12me'!AQ145</f>
        <v>198.83087795755733</v>
      </c>
      <c r="E126" s="377">
        <f>'[8]Rev_NP-12me'!AT145</f>
        <v>32.182428131265397</v>
      </c>
      <c r="F126" s="377">
        <f>'[8]Rev_NP-12me'!AU145</f>
        <v>141.61185147175576</v>
      </c>
      <c r="G126" s="377">
        <f>'[8]Rev_NP-12me'!AW145</f>
        <v>0.21840000000000001</v>
      </c>
      <c r="H126" s="374">
        <f t="shared" si="10"/>
        <v>174.01267960302116</v>
      </c>
      <c r="I126" s="377">
        <f>'[8]Rev_NP-12me'!BN145</f>
        <v>33.029334134719754</v>
      </c>
      <c r="J126" s="377">
        <f>'[8]Rev_NP-12me'!BO145</f>
        <v>146.6709016485047</v>
      </c>
      <c r="K126" s="377">
        <f>'[8]Rev_NP-12me'!BQ145</f>
        <v>0.21840000000000001</v>
      </c>
      <c r="L126" s="404">
        <f t="shared" si="11"/>
        <v>179.91863578322446</v>
      </c>
      <c r="M126" s="403">
        <f t="shared" si="6"/>
        <v>9.0488277088244864</v>
      </c>
    </row>
    <row r="127" spans="2:13" ht="14.4" x14ac:dyDescent="0.25">
      <c r="B127" s="385" t="s">
        <v>1119</v>
      </c>
      <c r="C127" s="17"/>
      <c r="D127" s="378">
        <f>'[8]Rev_NP-12me'!AQ146</f>
        <v>33.987701968271061</v>
      </c>
      <c r="E127" s="378">
        <f>'[8]Rev_NP-12me'!AT146</f>
        <v>32.182428131265397</v>
      </c>
      <c r="F127" s="378">
        <f>'[8]Rev_NP-12me'!AU146</f>
        <v>24.301206907313809</v>
      </c>
      <c r="G127" s="378">
        <f>'[8]Rev_NP-12me'!AW146</f>
        <v>0.21840000000000001</v>
      </c>
      <c r="H127" s="374">
        <f t="shared" si="10"/>
        <v>56.702035038579211</v>
      </c>
      <c r="I127" s="378">
        <f>'[8]Rev_NP-12me'!BN146</f>
        <v>33.029334134719754</v>
      </c>
      <c r="J127" s="378">
        <f>'[8]Rev_NP-12me'!BO146</f>
        <v>25.130226763833882</v>
      </c>
      <c r="K127" s="378">
        <f>'[8]Rev_NP-12me'!BQ146</f>
        <v>0.21840000000000001</v>
      </c>
      <c r="L127" s="404">
        <f t="shared" si="11"/>
        <v>58.377960898553638</v>
      </c>
      <c r="M127" s="403">
        <f t="shared" si="6"/>
        <v>17.176201248631607</v>
      </c>
    </row>
    <row r="128" spans="2:13" ht="14.4" x14ac:dyDescent="0.25">
      <c r="B128" s="385" t="s">
        <v>1147</v>
      </c>
      <c r="C128" s="17"/>
      <c r="D128" s="378">
        <f>'[8]Rev_NP-12me'!AQ148</f>
        <v>0</v>
      </c>
      <c r="E128" s="378">
        <f>'[8]Rev_NP-12me'!AT148</f>
        <v>0</v>
      </c>
      <c r="F128" s="378">
        <f>'[8]Rev_NP-12me'!AU148</f>
        <v>0</v>
      </c>
      <c r="G128" s="378">
        <f>'[8]Rev_NP-12me'!AW148</f>
        <v>0</v>
      </c>
      <c r="H128" s="374">
        <f t="shared" si="10"/>
        <v>0</v>
      </c>
      <c r="I128" s="378">
        <f>'[8]Rev_NP-12me'!BN148</f>
        <v>0</v>
      </c>
      <c r="J128" s="378">
        <f>'[8]Rev_NP-12me'!BO148</f>
        <v>0</v>
      </c>
      <c r="K128" s="378">
        <f>'[8]Rev_NP-12me'!BQ148</f>
        <v>0</v>
      </c>
      <c r="L128" s="404">
        <f t="shared" si="11"/>
        <v>0</v>
      </c>
      <c r="M128" s="403" t="str">
        <f t="shared" si="6"/>
        <v/>
      </c>
    </row>
    <row r="129" spans="2:13" ht="14.4" x14ac:dyDescent="0.25">
      <c r="B129" s="385" t="s">
        <v>1148</v>
      </c>
      <c r="C129" s="17"/>
      <c r="D129" s="378">
        <f>'[8]Rev_NP-12me'!AQ149</f>
        <v>0</v>
      </c>
      <c r="E129" s="378">
        <f>'[8]Rev_NP-12me'!AT149</f>
        <v>0</v>
      </c>
      <c r="F129" s="378">
        <f>'[8]Rev_NP-12me'!AU149</f>
        <v>0</v>
      </c>
      <c r="G129" s="378">
        <f>'[8]Rev_NP-12me'!AW149</f>
        <v>0</v>
      </c>
      <c r="H129" s="374">
        <f t="shared" si="10"/>
        <v>0</v>
      </c>
      <c r="I129" s="378">
        <f>'[8]Rev_NP-12me'!BN149</f>
        <v>0</v>
      </c>
      <c r="J129" s="378">
        <f>'[8]Rev_NP-12me'!BO149</f>
        <v>0</v>
      </c>
      <c r="K129" s="378">
        <f>'[8]Rev_NP-12me'!BQ149</f>
        <v>0</v>
      </c>
      <c r="L129" s="404">
        <f t="shared" si="11"/>
        <v>0</v>
      </c>
      <c r="M129" s="403" t="str">
        <f t="shared" si="6"/>
        <v/>
      </c>
    </row>
    <row r="130" spans="2:13" ht="14.4" x14ac:dyDescent="0.25">
      <c r="B130" s="385" t="s">
        <v>1149</v>
      </c>
      <c r="C130" s="17"/>
      <c r="D130" s="378">
        <f>'[8]Rev_NP-12me'!AQ150</f>
        <v>0</v>
      </c>
      <c r="E130" s="378">
        <f>'[8]Rev_NP-12me'!AT150</f>
        <v>0</v>
      </c>
      <c r="F130" s="378">
        <f>'[8]Rev_NP-12me'!AU150</f>
        <v>0</v>
      </c>
      <c r="G130" s="378">
        <f>'[8]Rev_NP-12me'!AW150</f>
        <v>0</v>
      </c>
      <c r="H130" s="374">
        <f t="shared" si="10"/>
        <v>0</v>
      </c>
      <c r="I130" s="378">
        <f>'[8]Rev_NP-12me'!BN150</f>
        <v>0</v>
      </c>
      <c r="J130" s="378">
        <f>'[8]Rev_NP-12me'!BO150</f>
        <v>0</v>
      </c>
      <c r="K130" s="378">
        <f>'[8]Rev_NP-12me'!BQ150</f>
        <v>0</v>
      </c>
      <c r="L130" s="404">
        <f t="shared" si="11"/>
        <v>0</v>
      </c>
      <c r="M130" s="403" t="str">
        <f t="shared" si="6"/>
        <v/>
      </c>
    </row>
    <row r="131" spans="2:13" ht="14.4" x14ac:dyDescent="0.25">
      <c r="B131" s="390" t="s">
        <v>1100</v>
      </c>
      <c r="C131" s="17"/>
      <c r="D131" s="378">
        <f>'[8]Rev_NP-12me'!AQ151</f>
        <v>43.868879742669847</v>
      </c>
      <c r="E131" s="378">
        <f>'[8]Rev_NP-12me'!AT151</f>
        <v>0</v>
      </c>
      <c r="F131" s="378">
        <f>'[8]Rev_NP-12me'!AU151</f>
        <v>35.753136990275927</v>
      </c>
      <c r="G131" s="378">
        <f>'[8]Rev_NP-12me'!AW151</f>
        <v>0</v>
      </c>
      <c r="H131" s="374">
        <f t="shared" si="10"/>
        <v>35.753136990275927</v>
      </c>
      <c r="I131" s="378">
        <f>'[8]Rev_NP-12me'!BN151</f>
        <v>0</v>
      </c>
      <c r="J131" s="378">
        <f>'[8]Rev_NP-12me'!BO151</f>
        <v>36.886226968966355</v>
      </c>
      <c r="K131" s="378">
        <f>'[8]Rev_NP-12me'!BQ151</f>
        <v>0</v>
      </c>
      <c r="L131" s="404">
        <f t="shared" si="11"/>
        <v>36.886226968966355</v>
      </c>
      <c r="M131" s="403">
        <f t="shared" si="6"/>
        <v>8.4082901558774719</v>
      </c>
    </row>
    <row r="132" spans="2:13" ht="14.4" x14ac:dyDescent="0.25">
      <c r="B132" s="390" t="s">
        <v>1101</v>
      </c>
      <c r="C132" s="17"/>
      <c r="D132" s="378">
        <f>'[8]Rev_NP-12me'!AQ152</f>
        <v>35.79157691248453</v>
      </c>
      <c r="E132" s="378">
        <f>'[8]Rev_NP-12me'!AT152</f>
        <v>0</v>
      </c>
      <c r="F132" s="378">
        <f>'[8]Rev_NP-12me'!AU152</f>
        <v>29.170135183674894</v>
      </c>
      <c r="G132" s="378">
        <f>'[8]Rev_NP-12me'!AW152</f>
        <v>0</v>
      </c>
      <c r="H132" s="374">
        <f t="shared" si="10"/>
        <v>29.170135183674894</v>
      </c>
      <c r="I132" s="378">
        <f>'[8]Rev_NP-12me'!BN152</f>
        <v>0</v>
      </c>
      <c r="J132" s="378">
        <f>'[8]Rev_NP-12me'!BO152</f>
        <v>30.085813043107791</v>
      </c>
      <c r="K132" s="378">
        <f>'[8]Rev_NP-12me'!BQ152</f>
        <v>0</v>
      </c>
      <c r="L132" s="404">
        <f t="shared" si="11"/>
        <v>30.085813043107791</v>
      </c>
      <c r="M132" s="403">
        <f t="shared" si="6"/>
        <v>8.4058361319681065</v>
      </c>
    </row>
    <row r="133" spans="2:13" ht="14.4" x14ac:dyDescent="0.25">
      <c r="B133" s="390" t="s">
        <v>1102</v>
      </c>
      <c r="C133" s="17"/>
      <c r="D133" s="378">
        <f>'[8]Rev_NP-12me'!AQ154</f>
        <v>85.182719334131903</v>
      </c>
      <c r="E133" s="378">
        <f>'[8]Rev_NP-12me'!AT154</f>
        <v>0</v>
      </c>
      <c r="F133" s="378">
        <f>'[8]Rev_NP-12me'!AU154</f>
        <v>52.387372390491123</v>
      </c>
      <c r="G133" s="378">
        <f>'[8]Rev_NP-12me'!AW154</f>
        <v>0</v>
      </c>
      <c r="H133" s="374">
        <f t="shared" si="10"/>
        <v>52.387372390491123</v>
      </c>
      <c r="I133" s="378">
        <f>'[8]Rev_NP-12me'!BN154</f>
        <v>0</v>
      </c>
      <c r="J133" s="378">
        <f>'[8]Rev_NP-12me'!BO154</f>
        <v>54.568634872596661</v>
      </c>
      <c r="K133" s="378">
        <f>'[8]Rev_NP-12me'!BQ154</f>
        <v>0</v>
      </c>
      <c r="L133" s="404">
        <f t="shared" si="11"/>
        <v>54.568634872596661</v>
      </c>
      <c r="M133" s="403">
        <f t="shared" si="6"/>
        <v>6.4060686603053218</v>
      </c>
    </row>
    <row r="134" spans="2:13" x14ac:dyDescent="0.25">
      <c r="B134" s="383" t="s">
        <v>1127</v>
      </c>
      <c r="C134" s="17"/>
      <c r="D134" s="377">
        <f>'[8]Rev_NP-12me'!AQ156</f>
        <v>0</v>
      </c>
      <c r="E134" s="377">
        <f>'[8]Rev_NP-12me'!AT156</f>
        <v>0</v>
      </c>
      <c r="F134" s="377">
        <f>'[8]Rev_NP-12me'!AU156</f>
        <v>0</v>
      </c>
      <c r="G134" s="377">
        <f>'[8]Rev_NP-12me'!AW156</f>
        <v>0</v>
      </c>
      <c r="H134" s="376">
        <f t="shared" si="10"/>
        <v>0</v>
      </c>
      <c r="I134" s="377">
        <f>'[8]Rev_NP-12me'!BN156</f>
        <v>0</v>
      </c>
      <c r="J134" s="377">
        <f>'[8]Rev_NP-12me'!BO156</f>
        <v>0</v>
      </c>
      <c r="K134" s="377">
        <f>'[8]Rev_NP-12me'!BQ156</f>
        <v>0</v>
      </c>
      <c r="L134" s="402">
        <f t="shared" si="11"/>
        <v>0</v>
      </c>
      <c r="M134" s="403" t="str">
        <f t="shared" si="6"/>
        <v/>
      </c>
    </row>
    <row r="135" spans="2:13" ht="14.4" x14ac:dyDescent="0.25">
      <c r="B135" s="390" t="s">
        <v>1150</v>
      </c>
      <c r="C135" s="17"/>
      <c r="D135" s="378">
        <f>'[8]Rev_NP-12me'!AQ157</f>
        <v>0</v>
      </c>
      <c r="E135" s="378">
        <f>'[8]Rev_NP-12me'!AT157</f>
        <v>0</v>
      </c>
      <c r="F135" s="378">
        <f>'[8]Rev_NP-12me'!AU157</f>
        <v>0</v>
      </c>
      <c r="G135" s="378">
        <f>'[8]Rev_NP-12me'!AW157</f>
        <v>0</v>
      </c>
      <c r="H135" s="374">
        <f t="shared" si="10"/>
        <v>0</v>
      </c>
      <c r="I135" s="378">
        <f>'[8]Rev_NP-12me'!BN157</f>
        <v>0</v>
      </c>
      <c r="J135" s="378">
        <f>'[8]Rev_NP-12me'!BO157</f>
        <v>0</v>
      </c>
      <c r="K135" s="378">
        <f>'[8]Rev_NP-12me'!BQ157</f>
        <v>0</v>
      </c>
      <c r="L135" s="404">
        <f t="shared" si="11"/>
        <v>0</v>
      </c>
      <c r="M135" s="403" t="str">
        <f t="shared" si="6"/>
        <v/>
      </c>
    </row>
    <row r="136" spans="2:13" ht="14.4" x14ac:dyDescent="0.25">
      <c r="B136" s="390" t="s">
        <v>1129</v>
      </c>
      <c r="C136" s="17"/>
      <c r="D136" s="378">
        <f>'[8]Rev_NP-12me'!AQ158</f>
        <v>0</v>
      </c>
      <c r="E136" s="378">
        <f>'[8]Rev_NP-12me'!AT158</f>
        <v>0</v>
      </c>
      <c r="F136" s="378">
        <f>'[8]Rev_NP-12me'!AU158</f>
        <v>0</v>
      </c>
      <c r="G136" s="378">
        <f>'[8]Rev_NP-12me'!AW158</f>
        <v>0</v>
      </c>
      <c r="H136" s="374">
        <f t="shared" si="10"/>
        <v>0</v>
      </c>
      <c r="I136" s="378">
        <f>'[8]Rev_NP-12me'!BN158</f>
        <v>0</v>
      </c>
      <c r="J136" s="378">
        <f>'[8]Rev_NP-12me'!BO158</f>
        <v>0</v>
      </c>
      <c r="K136" s="378">
        <f>'[8]Rev_NP-12me'!BQ158</f>
        <v>0</v>
      </c>
      <c r="L136" s="404">
        <f t="shared" si="11"/>
        <v>0</v>
      </c>
      <c r="M136" s="403" t="str">
        <f t="shared" si="6"/>
        <v/>
      </c>
    </row>
    <row r="137" spans="2:13" ht="14.4" x14ac:dyDescent="0.25">
      <c r="B137" s="390" t="s">
        <v>1130</v>
      </c>
      <c r="C137" s="17"/>
      <c r="D137" s="378">
        <f>'[8]Rev_NP-12me'!AQ159</f>
        <v>0</v>
      </c>
      <c r="E137" s="378">
        <f>'[8]Rev_NP-12me'!AT159</f>
        <v>0</v>
      </c>
      <c r="F137" s="378">
        <f>'[8]Rev_NP-12me'!AU159</f>
        <v>0</v>
      </c>
      <c r="G137" s="378">
        <f>'[8]Rev_NP-12me'!AW159</f>
        <v>0</v>
      </c>
      <c r="H137" s="374">
        <f t="shared" si="10"/>
        <v>0</v>
      </c>
      <c r="I137" s="378">
        <f>'[8]Rev_NP-12me'!BN159</f>
        <v>0</v>
      </c>
      <c r="J137" s="378">
        <f>'[8]Rev_NP-12me'!BO159</f>
        <v>0</v>
      </c>
      <c r="K137" s="378">
        <f>'[8]Rev_NP-12me'!BQ159</f>
        <v>0</v>
      </c>
      <c r="L137" s="404">
        <f t="shared" si="11"/>
        <v>0</v>
      </c>
      <c r="M137" s="403" t="str">
        <f t="shared" si="6"/>
        <v/>
      </c>
    </row>
    <row r="138" spans="2:13" ht="14.4" x14ac:dyDescent="0.25">
      <c r="B138" s="390" t="s">
        <v>1151</v>
      </c>
      <c r="C138" s="17"/>
      <c r="D138" s="378">
        <f>'[8]Rev_NP-12me'!AQ160</f>
        <v>0</v>
      </c>
      <c r="E138" s="378">
        <f>'[8]Rev_NP-12me'!AT160</f>
        <v>0</v>
      </c>
      <c r="F138" s="378">
        <f>'[8]Rev_NP-12me'!AU160</f>
        <v>0</v>
      </c>
      <c r="G138" s="378">
        <f>'[8]Rev_NP-12me'!AW160</f>
        <v>0</v>
      </c>
      <c r="H138" s="374">
        <f t="shared" si="10"/>
        <v>0</v>
      </c>
      <c r="I138" s="378">
        <f>'[8]Rev_NP-12me'!BN160</f>
        <v>0</v>
      </c>
      <c r="J138" s="378">
        <f>'[8]Rev_NP-12me'!BO160</f>
        <v>0</v>
      </c>
      <c r="K138" s="378">
        <f>'[8]Rev_NP-12me'!BQ160</f>
        <v>0</v>
      </c>
      <c r="L138" s="404">
        <f t="shared" si="11"/>
        <v>0</v>
      </c>
      <c r="M138" s="403" t="str">
        <f t="shared" si="6"/>
        <v/>
      </c>
    </row>
    <row r="139" spans="2:13" x14ac:dyDescent="0.25">
      <c r="B139" s="383" t="s">
        <v>1132</v>
      </c>
      <c r="C139" s="17"/>
      <c r="D139" s="373">
        <f>'[8]Rev_NP-12me'!AQ161</f>
        <v>2.6019179999999996E-2</v>
      </c>
      <c r="E139" s="373">
        <f>'[8]Rev_NP-12me'!AT161</f>
        <v>4.5600000000000002E-2</v>
      </c>
      <c r="F139" s="373">
        <f>'[8]Rev_NP-12me'!AU161</f>
        <v>1.86037137E-2</v>
      </c>
      <c r="G139" s="373">
        <f>'[8]Rev_NP-12me'!AW161</f>
        <v>4.1999999999999997E-3</v>
      </c>
      <c r="H139" s="376">
        <f t="shared" si="10"/>
        <v>6.8403713699999993E-2</v>
      </c>
      <c r="I139" s="373">
        <f>'[8]Rev_NP-12me'!BN161</f>
        <v>4.6800000000000008E-2</v>
      </c>
      <c r="J139" s="373">
        <f>'[8]Rev_NP-12me'!BO161</f>
        <v>1.9103513699999998E-2</v>
      </c>
      <c r="K139" s="373">
        <f>'[8]Rev_NP-12me'!BQ161</f>
        <v>4.1999999999999997E-3</v>
      </c>
      <c r="L139" s="402">
        <f t="shared" si="11"/>
        <v>7.0103513699999995E-2</v>
      </c>
      <c r="M139" s="403">
        <f t="shared" ref="M139:M164" si="12">IFERROR(L139*10/D139,"")</f>
        <v>26.943014230271672</v>
      </c>
    </row>
    <row r="140" spans="2:13" x14ac:dyDescent="0.25">
      <c r="B140" s="383" t="s">
        <v>1133</v>
      </c>
      <c r="C140" s="17"/>
      <c r="D140" s="373">
        <f>'[8]Rev_NP-12me'!AQ162</f>
        <v>17.671262952650498</v>
      </c>
      <c r="E140" s="373">
        <f>'[8]Rev_NP-12me'!AT162</f>
        <v>4.2668641281673176</v>
      </c>
      <c r="F140" s="373">
        <f>'[8]Rev_NP-12me'!AU162</f>
        <v>14.193844081629665</v>
      </c>
      <c r="G140" s="373">
        <f>'[8]Rev_NP-12me'!AW162</f>
        <v>9.4500000000000001E-2</v>
      </c>
      <c r="H140" s="376">
        <f t="shared" si="10"/>
        <v>18.555208209796984</v>
      </c>
      <c r="I140" s="373">
        <f>'[8]Rev_NP-12me'!BN162</f>
        <v>4.3791500262769842</v>
      </c>
      <c r="J140" s="373">
        <f>'[8]Rev_NP-12me'!BO162</f>
        <v>14.860071464665319</v>
      </c>
      <c r="K140" s="373">
        <f>'[8]Rev_NP-12me'!BQ162</f>
        <v>9.4500000000000001E-2</v>
      </c>
      <c r="L140" s="402">
        <f t="shared" si="11"/>
        <v>19.333721490942303</v>
      </c>
      <c r="M140" s="403">
        <f t="shared" si="12"/>
        <v>10.940769509653217</v>
      </c>
    </row>
    <row r="141" spans="2:13" ht="14.4" x14ac:dyDescent="0.25">
      <c r="B141" s="390" t="s">
        <v>1152</v>
      </c>
      <c r="C141" s="17"/>
      <c r="D141" s="378">
        <f>'[8]Rev_NP-12me'!AQ163</f>
        <v>6.30601425794785</v>
      </c>
      <c r="E141" s="378">
        <f>'[8]Rev_NP-12me'!AT163</f>
        <v>4.2668641281673176</v>
      </c>
      <c r="F141" s="378">
        <f>'[8]Rev_NP-12me'!AU163</f>
        <v>5.0448114063582796</v>
      </c>
      <c r="G141" s="378">
        <f>'[8]Rev_NP-12me'!AW163</f>
        <v>9.4500000000000001E-2</v>
      </c>
      <c r="H141" s="374">
        <f t="shared" si="10"/>
        <v>9.4061755345255982</v>
      </c>
      <c r="I141" s="378">
        <f>'[8]Rev_NP-12me'!BN163</f>
        <v>4.3791500262769842</v>
      </c>
      <c r="J141" s="378">
        <f>'[8]Rev_NP-12me'!BO163</f>
        <v>5.2786298400900407</v>
      </c>
      <c r="K141" s="378">
        <f>'[8]Rev_NP-12me'!BQ163</f>
        <v>9.4500000000000001E-2</v>
      </c>
      <c r="L141" s="404">
        <f t="shared" si="11"/>
        <v>9.7522798663670258</v>
      </c>
      <c r="M141" s="403">
        <f t="shared" si="12"/>
        <v>15.465045696773743</v>
      </c>
    </row>
    <row r="142" spans="2:13" ht="14.4" x14ac:dyDescent="0.25">
      <c r="B142" s="390" t="s">
        <v>1100</v>
      </c>
      <c r="C142" s="17"/>
      <c r="D142" s="378">
        <f>'[8]Rev_NP-12me'!AQ164</f>
        <v>3.2722609040683328</v>
      </c>
      <c r="E142" s="378">
        <f>'[8]Rev_NP-12me'!AT164</f>
        <v>0</v>
      </c>
      <c r="F142" s="378">
        <f>'[8]Rev_NP-12me'!AU164</f>
        <v>2.9450348136614997</v>
      </c>
      <c r="G142" s="378">
        <f>'[8]Rev_NP-12me'!AW164</f>
        <v>0</v>
      </c>
      <c r="H142" s="374">
        <f t="shared" si="10"/>
        <v>2.9450348136614997</v>
      </c>
      <c r="I142" s="378">
        <f>'[8]Rev_NP-12me'!BN164</f>
        <v>0</v>
      </c>
      <c r="J142" s="378">
        <f>'[8]Rev_NP-12me'!BO164</f>
        <v>3.0703523006694562</v>
      </c>
      <c r="K142" s="378">
        <f>'[8]Rev_NP-12me'!BQ164</f>
        <v>0</v>
      </c>
      <c r="L142" s="404">
        <f t="shared" si="11"/>
        <v>3.0703523006694562</v>
      </c>
      <c r="M142" s="403">
        <f t="shared" si="12"/>
        <v>9.382969117322375</v>
      </c>
    </row>
    <row r="143" spans="2:13" ht="14.4" x14ac:dyDescent="0.25">
      <c r="B143" s="390" t="s">
        <v>1101</v>
      </c>
      <c r="C143" s="17"/>
      <c r="D143" s="378">
        <f>'[8]Rev_NP-12me'!AQ165</f>
        <v>2.6945320408293347</v>
      </c>
      <c r="E143" s="378">
        <f>'[8]Rev_NP-12me'!AT165</f>
        <v>0</v>
      </c>
      <c r="F143" s="378">
        <f>'[8]Rev_NP-12me'!AU165</f>
        <v>2.4250788367464011</v>
      </c>
      <c r="G143" s="378">
        <f>'[8]Rev_NP-12me'!AW165</f>
        <v>0</v>
      </c>
      <c r="H143" s="374">
        <f t="shared" si="10"/>
        <v>2.4250788367464011</v>
      </c>
      <c r="I143" s="378">
        <f>'[8]Rev_NP-12me'!BN165</f>
        <v>0</v>
      </c>
      <c r="J143" s="378">
        <f>'[8]Rev_NP-12me'!BO165</f>
        <v>2.5267389067606718</v>
      </c>
      <c r="K143" s="378">
        <f>'[8]Rev_NP-12me'!BQ165</f>
        <v>0</v>
      </c>
      <c r="L143" s="404">
        <f t="shared" si="11"/>
        <v>2.5267389067606718</v>
      </c>
      <c r="M143" s="403">
        <f t="shared" si="12"/>
        <v>9.3772828397430423</v>
      </c>
    </row>
    <row r="144" spans="2:13" ht="14.4" x14ac:dyDescent="0.25">
      <c r="B144" s="390" t="s">
        <v>1102</v>
      </c>
      <c r="C144" s="17"/>
      <c r="D144" s="378">
        <f>'[8]Rev_NP-12me'!AQ166</f>
        <v>5.3984557498049792</v>
      </c>
      <c r="E144" s="378">
        <f>'[8]Rev_NP-12me'!AT166</f>
        <v>0</v>
      </c>
      <c r="F144" s="378">
        <f>'[8]Rev_NP-12me'!AU166</f>
        <v>3.7789190248634852</v>
      </c>
      <c r="G144" s="378">
        <f>'[8]Rev_NP-12me'!AW166</f>
        <v>0</v>
      </c>
      <c r="H144" s="374">
        <f t="shared" si="10"/>
        <v>3.7789190248634852</v>
      </c>
      <c r="I144" s="378">
        <f>'[8]Rev_NP-12me'!BN166</f>
        <v>0</v>
      </c>
      <c r="J144" s="378">
        <f>'[8]Rev_NP-12me'!BO166</f>
        <v>3.9843504171451518</v>
      </c>
      <c r="K144" s="378">
        <f>'[8]Rev_NP-12me'!BQ166</f>
        <v>0</v>
      </c>
      <c r="L144" s="404">
        <f t="shared" si="11"/>
        <v>3.9843504171451518</v>
      </c>
      <c r="M144" s="403">
        <f t="shared" si="12"/>
        <v>7.3805373273441912</v>
      </c>
    </row>
    <row r="145" spans="2:13" ht="14.4" x14ac:dyDescent="0.25">
      <c r="B145" s="390" t="s">
        <v>1153</v>
      </c>
      <c r="C145" s="17"/>
      <c r="D145" s="378">
        <f>'[8]Rev_NP-12me'!AQ167</f>
        <v>0</v>
      </c>
      <c r="E145" s="378">
        <f>'[8]Rev_NP-12me'!AT167</f>
        <v>0</v>
      </c>
      <c r="F145" s="378">
        <f>'[8]Rev_NP-12me'!AU167</f>
        <v>0</v>
      </c>
      <c r="G145" s="378">
        <f>'[8]Rev_NP-12me'!AW167</f>
        <v>0</v>
      </c>
      <c r="H145" s="374">
        <f t="shared" si="10"/>
        <v>0</v>
      </c>
      <c r="I145" s="378">
        <f>'[8]Rev_NP-12me'!BN167</f>
        <v>0</v>
      </c>
      <c r="J145" s="378">
        <f>'[8]Rev_NP-12me'!BO167</f>
        <v>0</v>
      </c>
      <c r="K145" s="378">
        <f>'[8]Rev_NP-12me'!BQ167</f>
        <v>0</v>
      </c>
      <c r="L145" s="404">
        <f t="shared" si="11"/>
        <v>0</v>
      </c>
      <c r="M145" s="403" t="str">
        <f t="shared" si="12"/>
        <v/>
      </c>
    </row>
    <row r="146" spans="2:13" x14ac:dyDescent="0.25">
      <c r="B146" s="383" t="s">
        <v>1135</v>
      </c>
      <c r="C146" s="17"/>
      <c r="D146" s="373">
        <f>'[8]Rev_NP-12me'!AQ168</f>
        <v>0</v>
      </c>
      <c r="E146" s="373">
        <f>'[8]Rev_NP-12me'!AT168</f>
        <v>0</v>
      </c>
      <c r="F146" s="373">
        <f>'[8]Rev_NP-12me'!AU168</f>
        <v>0</v>
      </c>
      <c r="G146" s="373">
        <f>'[8]Rev_NP-12me'!AW168</f>
        <v>0</v>
      </c>
      <c r="H146" s="376">
        <f t="shared" si="10"/>
        <v>0</v>
      </c>
      <c r="I146" s="373">
        <f>'[8]Rev_NP-12me'!BN168</f>
        <v>0</v>
      </c>
      <c r="J146" s="373">
        <f>'[8]Rev_NP-12me'!BO168</f>
        <v>0</v>
      </c>
      <c r="K146" s="373">
        <f>'[8]Rev_NP-12me'!BQ168</f>
        <v>0</v>
      </c>
      <c r="L146" s="402">
        <f t="shared" si="11"/>
        <v>0</v>
      </c>
      <c r="M146" s="403" t="str">
        <f t="shared" si="12"/>
        <v/>
      </c>
    </row>
    <row r="147" spans="2:13" ht="14.4" x14ac:dyDescent="0.25">
      <c r="B147" s="385" t="s">
        <v>1134</v>
      </c>
      <c r="C147" s="17"/>
      <c r="D147" s="378">
        <f>'[8]Rev_NP-12me'!AQ169</f>
        <v>0</v>
      </c>
      <c r="E147" s="378">
        <f>'[8]Rev_NP-12me'!AT169</f>
        <v>0</v>
      </c>
      <c r="F147" s="378">
        <f>'[8]Rev_NP-12me'!AU169</f>
        <v>0</v>
      </c>
      <c r="G147" s="378">
        <f>'[8]Rev_NP-12me'!AW169</f>
        <v>0</v>
      </c>
      <c r="H147" s="374">
        <f t="shared" si="10"/>
        <v>0</v>
      </c>
      <c r="I147" s="378">
        <f>'[8]Rev_NP-12me'!BN169</f>
        <v>0</v>
      </c>
      <c r="J147" s="378">
        <f>'[8]Rev_NP-12me'!BO169</f>
        <v>0</v>
      </c>
      <c r="K147" s="378">
        <f>'[8]Rev_NP-12me'!BQ169</f>
        <v>0</v>
      </c>
      <c r="L147" s="404">
        <f t="shared" si="11"/>
        <v>0</v>
      </c>
      <c r="M147" s="403" t="str">
        <f t="shared" si="12"/>
        <v/>
      </c>
    </row>
    <row r="148" spans="2:13" ht="14.4" x14ac:dyDescent="0.25">
      <c r="B148" s="385" t="s">
        <v>1100</v>
      </c>
      <c r="C148" s="17"/>
      <c r="D148" s="378">
        <f>'[8]Rev_NP-12me'!AQ170</f>
        <v>0</v>
      </c>
      <c r="E148" s="378">
        <f>'[8]Rev_NP-12me'!AT170</f>
        <v>0</v>
      </c>
      <c r="F148" s="378">
        <f>'[8]Rev_NP-12me'!AU170</f>
        <v>0</v>
      </c>
      <c r="G148" s="378">
        <f>'[8]Rev_NP-12me'!AW170</f>
        <v>0</v>
      </c>
      <c r="H148" s="374">
        <f t="shared" si="10"/>
        <v>0</v>
      </c>
      <c r="I148" s="378">
        <f>'[8]Rev_NP-12me'!BN170</f>
        <v>0</v>
      </c>
      <c r="J148" s="378">
        <f>'[8]Rev_NP-12me'!BO170</f>
        <v>0</v>
      </c>
      <c r="K148" s="378">
        <f>'[8]Rev_NP-12me'!BQ170</f>
        <v>0</v>
      </c>
      <c r="L148" s="404">
        <f t="shared" si="11"/>
        <v>0</v>
      </c>
      <c r="M148" s="403" t="str">
        <f t="shared" si="12"/>
        <v/>
      </c>
    </row>
    <row r="149" spans="2:13" ht="14.4" x14ac:dyDescent="0.25">
      <c r="B149" s="385" t="s">
        <v>1101</v>
      </c>
      <c r="C149" s="17"/>
      <c r="D149" s="378">
        <f>'[8]Rev_NP-12me'!AQ171</f>
        <v>0</v>
      </c>
      <c r="E149" s="378">
        <f>'[8]Rev_NP-12me'!AT171</f>
        <v>0</v>
      </c>
      <c r="F149" s="378">
        <f>'[8]Rev_NP-12me'!AU171</f>
        <v>0</v>
      </c>
      <c r="G149" s="378">
        <f>'[8]Rev_NP-12me'!AW171</f>
        <v>0</v>
      </c>
      <c r="H149" s="374">
        <f t="shared" si="10"/>
        <v>0</v>
      </c>
      <c r="I149" s="378">
        <f>'[8]Rev_NP-12me'!BN171</f>
        <v>0</v>
      </c>
      <c r="J149" s="378">
        <f>'[8]Rev_NP-12me'!BO171</f>
        <v>0</v>
      </c>
      <c r="K149" s="378">
        <f>'[8]Rev_NP-12me'!BQ171</f>
        <v>0</v>
      </c>
      <c r="L149" s="404">
        <f t="shared" si="11"/>
        <v>0</v>
      </c>
      <c r="M149" s="403" t="str">
        <f t="shared" si="12"/>
        <v/>
      </c>
    </row>
    <row r="150" spans="2:13" ht="14.4" x14ac:dyDescent="0.25">
      <c r="B150" s="385" t="s">
        <v>1102</v>
      </c>
      <c r="C150" s="17"/>
      <c r="D150" s="378">
        <f>'[8]Rev_NP-12me'!AQ172</f>
        <v>0</v>
      </c>
      <c r="E150" s="378">
        <f>'[8]Rev_NP-12me'!AT172</f>
        <v>0</v>
      </c>
      <c r="F150" s="378">
        <f>'[8]Rev_NP-12me'!AU172</f>
        <v>0</v>
      </c>
      <c r="G150" s="378">
        <f>'[8]Rev_NP-12me'!AW172</f>
        <v>0</v>
      </c>
      <c r="H150" s="374">
        <f t="shared" si="10"/>
        <v>0</v>
      </c>
      <c r="I150" s="378">
        <f>'[8]Rev_NP-12me'!BN172</f>
        <v>0</v>
      </c>
      <c r="J150" s="378">
        <f>'[8]Rev_NP-12me'!BO172</f>
        <v>0</v>
      </c>
      <c r="K150" s="378">
        <f>'[8]Rev_NP-12me'!BQ172</f>
        <v>0</v>
      </c>
      <c r="L150" s="404">
        <f t="shared" si="11"/>
        <v>0</v>
      </c>
      <c r="M150" s="403" t="str">
        <f t="shared" si="12"/>
        <v/>
      </c>
    </row>
    <row r="151" spans="2:13" x14ac:dyDescent="0.25">
      <c r="B151" s="383" t="s">
        <v>1079</v>
      </c>
      <c r="C151" s="17"/>
      <c r="D151" s="373">
        <f>'[8]Rev_NP-12me'!AQ173</f>
        <v>0</v>
      </c>
      <c r="E151" s="373">
        <f>'[8]Rev_NP-12me'!AT173</f>
        <v>0</v>
      </c>
      <c r="F151" s="373">
        <f>'[8]Rev_NP-12me'!AU173</f>
        <v>0</v>
      </c>
      <c r="G151" s="373">
        <f>'[8]Rev_NP-12me'!AW173</f>
        <v>0</v>
      </c>
      <c r="H151" s="374">
        <f t="shared" si="10"/>
        <v>0</v>
      </c>
      <c r="I151" s="373">
        <f>'[8]Rev_NP-12me'!BN173</f>
        <v>0</v>
      </c>
      <c r="J151" s="373">
        <f>'[8]Rev_NP-12me'!BO173</f>
        <v>0</v>
      </c>
      <c r="K151" s="373">
        <f>'[8]Rev_NP-12me'!BQ173</f>
        <v>0</v>
      </c>
      <c r="L151" s="402">
        <f t="shared" si="11"/>
        <v>0</v>
      </c>
      <c r="M151" s="403" t="str">
        <f t="shared" si="12"/>
        <v/>
      </c>
    </row>
    <row r="152" spans="2:13" ht="14.4" x14ac:dyDescent="0.25">
      <c r="B152" s="390" t="s">
        <v>1134</v>
      </c>
      <c r="C152" s="17"/>
      <c r="D152" s="378">
        <f>'[8]Rev_NP-12me'!AQ174</f>
        <v>0</v>
      </c>
      <c r="E152" s="378">
        <f>'[8]Rev_NP-12me'!AT174</f>
        <v>0</v>
      </c>
      <c r="F152" s="378">
        <f>'[8]Rev_NP-12me'!AU174</f>
        <v>0</v>
      </c>
      <c r="G152" s="378">
        <f>'[8]Rev_NP-12me'!AW174</f>
        <v>0</v>
      </c>
      <c r="H152" s="374">
        <f t="shared" si="10"/>
        <v>0</v>
      </c>
      <c r="I152" s="378">
        <f>'[8]Rev_NP-12me'!BN174</f>
        <v>0</v>
      </c>
      <c r="J152" s="378">
        <f>'[8]Rev_NP-12me'!BO174</f>
        <v>0</v>
      </c>
      <c r="K152" s="378">
        <f>'[8]Rev_NP-12me'!BQ174</f>
        <v>0</v>
      </c>
      <c r="L152" s="404">
        <f t="shared" si="11"/>
        <v>0</v>
      </c>
      <c r="M152" s="403" t="str">
        <f t="shared" si="12"/>
        <v/>
      </c>
    </row>
    <row r="153" spans="2:13" ht="14.4" x14ac:dyDescent="0.25">
      <c r="B153" s="390" t="s">
        <v>1100</v>
      </c>
      <c r="C153" s="17"/>
      <c r="D153" s="378">
        <f>'[8]Rev_NP-12me'!AQ175</f>
        <v>0</v>
      </c>
      <c r="E153" s="378">
        <f>'[8]Rev_NP-12me'!AT175</f>
        <v>0</v>
      </c>
      <c r="F153" s="378">
        <f>'[8]Rev_NP-12me'!AU175</f>
        <v>0</v>
      </c>
      <c r="G153" s="378">
        <f>'[8]Rev_NP-12me'!AW175</f>
        <v>0</v>
      </c>
      <c r="H153" s="374">
        <f t="shared" si="10"/>
        <v>0</v>
      </c>
      <c r="I153" s="378">
        <f>'[8]Rev_NP-12me'!BN175</f>
        <v>0</v>
      </c>
      <c r="J153" s="378">
        <f>'[8]Rev_NP-12me'!BO175</f>
        <v>0</v>
      </c>
      <c r="K153" s="378">
        <f>'[8]Rev_NP-12me'!BQ175</f>
        <v>0</v>
      </c>
      <c r="L153" s="404">
        <f t="shared" si="11"/>
        <v>0</v>
      </c>
      <c r="M153" s="403" t="str">
        <f t="shared" si="12"/>
        <v/>
      </c>
    </row>
    <row r="154" spans="2:13" ht="14.4" x14ac:dyDescent="0.25">
      <c r="B154" s="390" t="s">
        <v>1101</v>
      </c>
      <c r="C154" s="17"/>
      <c r="D154" s="378">
        <f>'[8]Rev_NP-12me'!AQ176</f>
        <v>0</v>
      </c>
      <c r="E154" s="378">
        <f>'[8]Rev_NP-12me'!AT176</f>
        <v>0</v>
      </c>
      <c r="F154" s="378">
        <f>'[8]Rev_NP-12me'!AU176</f>
        <v>0</v>
      </c>
      <c r="G154" s="378">
        <f>'[8]Rev_NP-12me'!AW176</f>
        <v>0</v>
      </c>
      <c r="H154" s="374">
        <f t="shared" si="10"/>
        <v>0</v>
      </c>
      <c r="I154" s="378">
        <f>'[8]Rev_NP-12me'!BN176</f>
        <v>0</v>
      </c>
      <c r="J154" s="378">
        <f>'[8]Rev_NP-12me'!BO176</f>
        <v>0</v>
      </c>
      <c r="K154" s="378">
        <f>'[8]Rev_NP-12me'!BQ176</f>
        <v>0</v>
      </c>
      <c r="L154" s="404">
        <f t="shared" si="11"/>
        <v>0</v>
      </c>
      <c r="M154" s="403" t="str">
        <f t="shared" si="12"/>
        <v/>
      </c>
    </row>
    <row r="155" spans="2:13" ht="14.4" x14ac:dyDescent="0.25">
      <c r="B155" s="390" t="s">
        <v>1102</v>
      </c>
      <c r="C155" s="17"/>
      <c r="D155" s="378">
        <f>'[8]Rev_NP-12me'!AQ177</f>
        <v>0</v>
      </c>
      <c r="E155" s="378">
        <f>'[8]Rev_NP-12me'!AT177</f>
        <v>0</v>
      </c>
      <c r="F155" s="378">
        <f>'[8]Rev_NP-12me'!AU177</f>
        <v>0</v>
      </c>
      <c r="G155" s="378">
        <f>'[8]Rev_NP-12me'!AW177</f>
        <v>0</v>
      </c>
      <c r="H155" s="374">
        <f t="shared" si="10"/>
        <v>0</v>
      </c>
      <c r="I155" s="378">
        <f>'[8]Rev_NP-12me'!BN177</f>
        <v>0</v>
      </c>
      <c r="J155" s="378">
        <f>'[8]Rev_NP-12me'!BO177</f>
        <v>0</v>
      </c>
      <c r="K155" s="378">
        <f>'[8]Rev_NP-12me'!BQ177</f>
        <v>0</v>
      </c>
      <c r="L155" s="404">
        <f t="shared" si="11"/>
        <v>0</v>
      </c>
      <c r="M155" s="403" t="str">
        <f t="shared" si="12"/>
        <v/>
      </c>
    </row>
    <row r="156" spans="2:13" x14ac:dyDescent="0.25">
      <c r="B156" s="383" t="s">
        <v>1154</v>
      </c>
      <c r="C156" s="17"/>
      <c r="D156" s="373">
        <f>'[8]Rev_NP-12me'!AQ178</f>
        <v>32.592349999999996</v>
      </c>
      <c r="E156" s="373">
        <f>'[8]Rev_NP-12me'!AT178</f>
        <v>11.024342301288906</v>
      </c>
      <c r="F156" s="373">
        <f>'[8]Rev_NP-12me'!AU178</f>
        <v>20.533180499999997</v>
      </c>
      <c r="G156" s="373">
        <f>'[8]Rev_NP-12me'!AW178</f>
        <v>0.10920000000000001</v>
      </c>
      <c r="H156" s="374">
        <f t="shared" si="10"/>
        <v>31.666722801288905</v>
      </c>
      <c r="I156" s="373">
        <f>'[8]Rev_NP-12me'!BN178</f>
        <v>11.52544876952931</v>
      </c>
      <c r="J156" s="373">
        <f>'[8]Rev_NP-12me'!BO178</f>
        <v>20.533180499999997</v>
      </c>
      <c r="K156" s="373">
        <f>'[8]Rev_NP-12me'!BQ178</f>
        <v>0.10920000000000001</v>
      </c>
      <c r="L156" s="402">
        <f t="shared" si="11"/>
        <v>32.167829269529307</v>
      </c>
      <c r="M156" s="403">
        <f t="shared" si="12"/>
        <v>9.8697483518461571</v>
      </c>
    </row>
    <row r="157" spans="2:13" x14ac:dyDescent="0.25">
      <c r="B157" s="397" t="s">
        <v>1137</v>
      </c>
      <c r="C157" s="17"/>
      <c r="D157" s="377">
        <f>'[8]Rev_NP-12me'!AQ179</f>
        <v>32.592349999999996</v>
      </c>
      <c r="E157" s="377">
        <f>'[8]Rev_NP-12me'!AT179</f>
        <v>11.024342301288906</v>
      </c>
      <c r="F157" s="377">
        <f>'[8]Rev_NP-12me'!AU179</f>
        <v>20.533180499999997</v>
      </c>
      <c r="G157" s="377">
        <f>'[8]Rev_NP-12me'!AW179</f>
        <v>0.10920000000000001</v>
      </c>
      <c r="H157" s="374">
        <f t="shared" si="10"/>
        <v>31.666722801288905</v>
      </c>
      <c r="I157" s="377">
        <f>'[8]Rev_NP-12me'!BN179</f>
        <v>11.52544876952931</v>
      </c>
      <c r="J157" s="377">
        <f>'[8]Rev_NP-12me'!BO179</f>
        <v>20.533180499999997</v>
      </c>
      <c r="K157" s="377">
        <f>'[8]Rev_NP-12me'!BQ179</f>
        <v>0.10920000000000001</v>
      </c>
      <c r="L157" s="404">
        <f t="shared" si="11"/>
        <v>32.167829269529307</v>
      </c>
      <c r="M157" s="403">
        <f t="shared" si="12"/>
        <v>9.8697483518461571</v>
      </c>
    </row>
    <row r="158" spans="2:13" x14ac:dyDescent="0.25">
      <c r="B158" s="398" t="s">
        <v>1155</v>
      </c>
      <c r="C158" s="17"/>
      <c r="D158" s="373">
        <f>'[8]Rev_NP-12me'!AQ184</f>
        <v>360.15071468408308</v>
      </c>
      <c r="E158" s="373">
        <f>'[8]Rev_NP-12me'!AT184</f>
        <v>0</v>
      </c>
      <c r="F158" s="373">
        <f>'[8]Rev_NP-12me'!AU184</f>
        <v>219.69193595729067</v>
      </c>
      <c r="G158" s="373">
        <f>'[8]Rev_NP-12me'!AW184</f>
        <v>0.14069999999999999</v>
      </c>
      <c r="H158" s="374">
        <f t="shared" si="10"/>
        <v>219.83263595729068</v>
      </c>
      <c r="I158" s="373">
        <f>'[8]Rev_NP-12me'!BN184</f>
        <v>0</v>
      </c>
      <c r="J158" s="373">
        <f>'[8]Rev_NP-12me'!BO184</f>
        <v>219.69193595729061</v>
      </c>
      <c r="K158" s="373">
        <f>'[8]Rev_NP-12me'!BQ184</f>
        <v>0.14069999999999999</v>
      </c>
      <c r="L158" s="402">
        <f t="shared" si="11"/>
        <v>219.83263595729062</v>
      </c>
      <c r="M158" s="403">
        <f t="shared" si="12"/>
        <v>6.1039066977868801</v>
      </c>
    </row>
    <row r="159" spans="2:13" x14ac:dyDescent="0.25">
      <c r="B159" s="385" t="s">
        <v>1156</v>
      </c>
      <c r="C159" s="17"/>
      <c r="D159" s="377">
        <f>'[8]Rev_NP-12me'!AQ185</f>
        <v>360.15071468408308</v>
      </c>
      <c r="E159" s="377">
        <f>'[8]Rev_NP-12me'!AT185</f>
        <v>0</v>
      </c>
      <c r="F159" s="377">
        <f>'[8]Rev_NP-12me'!AU185</f>
        <v>219.69193595729067</v>
      </c>
      <c r="G159" s="377">
        <f>'[8]Rev_NP-12me'!AW185</f>
        <v>0.14069999999999999</v>
      </c>
      <c r="H159" s="374">
        <f t="shared" si="10"/>
        <v>219.83263595729068</v>
      </c>
      <c r="I159" s="377">
        <f>'[8]Rev_NP-12me'!BN185</f>
        <v>0</v>
      </c>
      <c r="J159" s="377">
        <f>'[8]Rev_NP-12me'!BO185</f>
        <v>219.69193595729061</v>
      </c>
      <c r="K159" s="377">
        <f>'[8]Rev_NP-12me'!BQ185</f>
        <v>0.14069999999999999</v>
      </c>
      <c r="L159" s="404">
        <f t="shared" si="11"/>
        <v>219.83263595729062</v>
      </c>
      <c r="M159" s="403">
        <f t="shared" si="12"/>
        <v>6.1039066977868801</v>
      </c>
    </row>
    <row r="160" spans="2:13" x14ac:dyDescent="0.25">
      <c r="B160" s="391" t="s">
        <v>1157</v>
      </c>
      <c r="C160" s="17"/>
      <c r="D160" s="373">
        <f>'[8]Rev_NP-12me'!AQ187</f>
        <v>0</v>
      </c>
      <c r="E160" s="373">
        <f>'[8]Rev_NP-12me'!AT187</f>
        <v>0</v>
      </c>
      <c r="F160" s="373">
        <f>'[8]Rev_NP-12me'!AU187</f>
        <v>0</v>
      </c>
      <c r="G160" s="373">
        <f>'[8]Rev_NP-12me'!AW187</f>
        <v>0</v>
      </c>
      <c r="H160" s="374">
        <f t="shared" si="10"/>
        <v>0</v>
      </c>
      <c r="I160" s="373">
        <f>'[8]Rev_NP-12me'!BN187</f>
        <v>0</v>
      </c>
      <c r="J160" s="373">
        <f>'[8]Rev_NP-12me'!BO187</f>
        <v>0</v>
      </c>
      <c r="K160" s="373">
        <f>'[8]Rev_NP-12me'!BQ187</f>
        <v>0</v>
      </c>
      <c r="L160" s="404">
        <f t="shared" si="11"/>
        <v>0</v>
      </c>
      <c r="M160" s="403" t="str">
        <f t="shared" si="12"/>
        <v/>
      </c>
    </row>
    <row r="161" spans="2:13" x14ac:dyDescent="0.25">
      <c r="B161" s="383" t="s">
        <v>1140</v>
      </c>
      <c r="C161" s="17"/>
      <c r="D161" s="373">
        <f>'[8]Rev_NP-12me'!AQ180</f>
        <v>0</v>
      </c>
      <c r="E161" s="373">
        <f>'[8]Rev_NP-12me'!AT180</f>
        <v>0</v>
      </c>
      <c r="F161" s="373">
        <f>'[8]Rev_NP-12me'!AU180</f>
        <v>0</v>
      </c>
      <c r="G161" s="373">
        <f>'[8]Rev_NP-12me'!AW180</f>
        <v>0</v>
      </c>
      <c r="H161" s="374">
        <f t="shared" si="10"/>
        <v>0</v>
      </c>
      <c r="I161" s="373">
        <f>'[8]Rev_NP-12me'!BN180</f>
        <v>0</v>
      </c>
      <c r="J161" s="373">
        <f>'[8]Rev_NP-12me'!BO180</f>
        <v>0</v>
      </c>
      <c r="K161" s="373">
        <f>'[8]Rev_NP-12me'!BQ180</f>
        <v>0</v>
      </c>
      <c r="L161" s="402">
        <f t="shared" si="11"/>
        <v>0</v>
      </c>
      <c r="M161" s="403" t="str">
        <f t="shared" si="12"/>
        <v/>
      </c>
    </row>
    <row r="162" spans="2:13" x14ac:dyDescent="0.25">
      <c r="B162" s="383" t="s">
        <v>1141</v>
      </c>
      <c r="C162" s="17"/>
      <c r="D162" s="373">
        <f>'[8]Rev_NP-12me'!AQ181</f>
        <v>0</v>
      </c>
      <c r="E162" s="373">
        <f>'[8]Rev_NP-12me'!AT181</f>
        <v>0</v>
      </c>
      <c r="F162" s="373">
        <f>'[8]Rev_NP-12me'!AU181</f>
        <v>0</v>
      </c>
      <c r="G162" s="373">
        <f>'[8]Rev_NP-12me'!AW181</f>
        <v>0</v>
      </c>
      <c r="H162" s="374">
        <f t="shared" si="10"/>
        <v>0</v>
      </c>
      <c r="I162" s="373">
        <f>'[8]Rev_NP-12me'!BN181</f>
        <v>0</v>
      </c>
      <c r="J162" s="373">
        <f>'[8]Rev_NP-12me'!BO181</f>
        <v>0</v>
      </c>
      <c r="K162" s="373">
        <f>'[8]Rev_NP-12me'!BQ181</f>
        <v>0</v>
      </c>
      <c r="L162" s="402">
        <f t="shared" si="11"/>
        <v>0</v>
      </c>
      <c r="M162" s="403" t="str">
        <f t="shared" si="12"/>
        <v/>
      </c>
    </row>
    <row r="163" spans="2:13" x14ac:dyDescent="0.25">
      <c r="B163" s="383" t="s">
        <v>811</v>
      </c>
      <c r="C163" s="17"/>
      <c r="D163" s="373">
        <f>'[8]Rev_NP-12me'!AQ182</f>
        <v>31.910134814482756</v>
      </c>
      <c r="E163" s="373">
        <f>'[8]Rev_NP-12me'!AT182</f>
        <v>4.1746180395185997</v>
      </c>
      <c r="F163" s="373">
        <f>'[8]Rev_NP-12me'!AU182</f>
        <v>23.294398414572409</v>
      </c>
      <c r="G163" s="373">
        <f>'[8]Rev_NP-12me'!AW182</f>
        <v>3.3599999999999998E-2</v>
      </c>
      <c r="H163" s="374">
        <f t="shared" si="10"/>
        <v>27.502616454091008</v>
      </c>
      <c r="I163" s="373">
        <f>'[8]Rev_NP-12me'!BN182</f>
        <v>4.4957425040969534</v>
      </c>
      <c r="J163" s="373">
        <f>'[8]Rev_NP-12me'!BO182</f>
        <v>23.294398414572409</v>
      </c>
      <c r="K163" s="373">
        <f>'[8]Rev_NP-12me'!BQ182</f>
        <v>3.3599999999999998E-2</v>
      </c>
      <c r="L163" s="402">
        <f t="shared" si="11"/>
        <v>27.823740918669362</v>
      </c>
      <c r="M163" s="403">
        <f t="shared" si="12"/>
        <v>8.7194056309788017</v>
      </c>
    </row>
    <row r="164" spans="2:13" x14ac:dyDescent="0.25">
      <c r="B164" s="383" t="s">
        <v>813</v>
      </c>
      <c r="C164" s="17"/>
      <c r="D164" s="373">
        <f>'[8]Rev_NP-12me'!AQ183</f>
        <v>7.1627470199999994</v>
      </c>
      <c r="E164" s="373">
        <f>'[8]Rev_NP-12me'!AT183</f>
        <v>3.1920000000000002</v>
      </c>
      <c r="F164" s="373">
        <f>'[8]Rev_NP-12me'!AU183</f>
        <v>7.8790217219999992</v>
      </c>
      <c r="G164" s="373">
        <f>'[8]Rev_NP-12me'!AW183</f>
        <v>3.3599999999999998E-2</v>
      </c>
      <c r="H164" s="374">
        <f t="shared" si="10"/>
        <v>11.104621721999999</v>
      </c>
      <c r="I164" s="373">
        <f>'[8]Rev_NP-12me'!BN183</f>
        <v>3.1920000000000002</v>
      </c>
      <c r="J164" s="373">
        <f>'[8]Rev_NP-12me'!BO183</f>
        <v>7.8790217220000009</v>
      </c>
      <c r="K164" s="373">
        <f>'[8]Rev_NP-12me'!BQ183</f>
        <v>3.3599999999999998E-2</v>
      </c>
      <c r="L164" s="402">
        <f t="shared" si="11"/>
        <v>11.104621722000001</v>
      </c>
      <c r="M164" s="403">
        <f t="shared" si="12"/>
        <v>15.503300187753947</v>
      </c>
    </row>
    <row r="165" spans="2:13" x14ac:dyDescent="0.25">
      <c r="B165" s="383" t="s">
        <v>1182</v>
      </c>
      <c r="C165" s="17"/>
      <c r="D165" s="373">
        <f>'[8]Rev_NP-12me'!AQ191</f>
        <v>84.621599999999987</v>
      </c>
      <c r="E165" s="373">
        <f>'[8]Rev_NP-12me'!AT191</f>
        <v>1.7280000000000002</v>
      </c>
      <c r="F165" s="373">
        <f>'[8]Rev_NP-12me'!AU191</f>
        <v>50.772959999999991</v>
      </c>
      <c r="G165" s="373">
        <f>'[8]Rev_NP-12me'!AW191</f>
        <v>6.3E-3</v>
      </c>
      <c r="H165" s="374">
        <f t="shared" si="10"/>
        <v>52.507259999999995</v>
      </c>
      <c r="I165" s="373">
        <f>'[8]Rev_NP-12me'!BN191</f>
        <v>1.7280000000000002</v>
      </c>
      <c r="J165" s="373">
        <f>'[8]Rev_NP-12me'!BO191</f>
        <v>50.772959999999998</v>
      </c>
      <c r="K165" s="373">
        <f>'[8]Rev_NP-12me'!BQ191</f>
        <v>6.3E-3</v>
      </c>
      <c r="L165" s="402">
        <f t="shared" si="11"/>
        <v>52.507260000000002</v>
      </c>
      <c r="M165" s="403"/>
    </row>
    <row r="166" spans="2:13" x14ac:dyDescent="0.25">
      <c r="B166" s="391" t="s">
        <v>1159</v>
      </c>
      <c r="C166" s="17"/>
      <c r="D166" s="392">
        <f>SUM(D125,D139,D140,D146,D151,D156,D158,D160,D161,D162,D163,D164,D165)</f>
        <v>732.96570660877353</v>
      </c>
      <c r="E166" s="392">
        <f t="shared" ref="E166:K166" si="13">SUM(E125,E139,E140,E146,E151,E156,E158,E160,E161,E162,E163,E164,E165)</f>
        <v>56.613852600240222</v>
      </c>
      <c r="F166" s="392">
        <f t="shared" si="13"/>
        <v>477.99579586094853</v>
      </c>
      <c r="G166" s="392">
        <f t="shared" si="13"/>
        <v>0.64049999999999996</v>
      </c>
      <c r="H166" s="392">
        <f t="shared" si="13"/>
        <v>535.2501484611887</v>
      </c>
      <c r="I166" s="392">
        <f t="shared" si="13"/>
        <v>58.396475434623</v>
      </c>
      <c r="J166" s="392">
        <f t="shared" si="13"/>
        <v>483.72157322073303</v>
      </c>
      <c r="K166" s="392">
        <f t="shared" si="13"/>
        <v>0.64049999999999996</v>
      </c>
      <c r="L166" s="392">
        <f t="shared" si="11"/>
        <v>542.75854865535598</v>
      </c>
      <c r="M166" s="403">
        <f t="shared" ref="M166:M214" si="14">IFERROR(L166*10/D166,"")</f>
        <v>7.40496511312306</v>
      </c>
    </row>
    <row r="167" spans="2:13" x14ac:dyDescent="0.25">
      <c r="B167" s="17"/>
      <c r="C167" s="17"/>
      <c r="D167" s="381"/>
      <c r="E167" s="381"/>
      <c r="F167" s="381"/>
      <c r="G167" s="381"/>
      <c r="H167" s="374"/>
      <c r="I167" s="381"/>
      <c r="J167" s="381"/>
      <c r="K167" s="381"/>
      <c r="L167" s="404"/>
      <c r="M167" s="403" t="str">
        <f t="shared" si="14"/>
        <v/>
      </c>
    </row>
    <row r="168" spans="2:13" x14ac:dyDescent="0.25">
      <c r="B168" s="383" t="s">
        <v>1160</v>
      </c>
      <c r="C168" s="17"/>
      <c r="D168" s="381"/>
      <c r="E168" s="381"/>
      <c r="F168" s="381"/>
      <c r="G168" s="381"/>
      <c r="H168" s="374"/>
      <c r="I168" s="381"/>
      <c r="J168" s="381"/>
      <c r="K168" s="381"/>
      <c r="L168" s="404"/>
      <c r="M168" s="403" t="str">
        <f t="shared" si="14"/>
        <v/>
      </c>
    </row>
    <row r="169" spans="2:13" x14ac:dyDescent="0.25">
      <c r="B169" s="383" t="s">
        <v>1145</v>
      </c>
      <c r="C169" s="17"/>
      <c r="D169" s="373">
        <f>'[8]Rev_NP-12me'!AQ201</f>
        <v>381.44015963675173</v>
      </c>
      <c r="E169" s="373">
        <f>'[8]Rev_NP-12me'!AT201</f>
        <v>82.326726160107881</v>
      </c>
      <c r="F169" s="373">
        <f>'[8]Rev_NP-12me'!AU201</f>
        <v>256.48538640107995</v>
      </c>
      <c r="G169" s="373">
        <f>'[8]Rev_NP-12me'!AW201</f>
        <v>8.4000000000000005E-2</v>
      </c>
      <c r="H169" s="374">
        <f t="shared" ref="H169:H210" si="15">SUM(E169:G169)</f>
        <v>338.89611256118786</v>
      </c>
      <c r="I169" s="373">
        <f>'[8]Rev_NP-12me'!BN201</f>
        <v>84.493218953794937</v>
      </c>
      <c r="J169" s="373">
        <f>'[8]Rev_NP-12me'!BO201</f>
        <v>275.96621717205517</v>
      </c>
      <c r="K169" s="373">
        <f>'[8]Rev_NP-12me'!BQ201</f>
        <v>8.4000000000000005E-2</v>
      </c>
      <c r="L169" s="402">
        <f t="shared" ref="L169:L211" si="16">SUM(I169:K169)</f>
        <v>360.54343612585012</v>
      </c>
      <c r="M169" s="403">
        <f t="shared" si="14"/>
        <v>9.452162469447325</v>
      </c>
    </row>
    <row r="170" spans="2:13" x14ac:dyDescent="0.25">
      <c r="B170" s="385" t="s">
        <v>1119</v>
      </c>
      <c r="C170" s="17"/>
      <c r="D170" s="377">
        <f>'[8]Rev_NP-12me'!AQ202</f>
        <v>42.631794458751784</v>
      </c>
      <c r="E170" s="377">
        <f>'[8]Rev_NP-12me'!AT202</f>
        <v>82.326726160107881</v>
      </c>
      <c r="F170" s="377">
        <f>'[8]Rev_NP-12me'!AU202</f>
        <v>28.350143315069936</v>
      </c>
      <c r="G170" s="377">
        <f>'[8]Rev_NP-12me'!AW202</f>
        <v>8.4000000000000005E-2</v>
      </c>
      <c r="H170" s="374">
        <f t="shared" si="15"/>
        <v>110.76086947517783</v>
      </c>
      <c r="I170" s="377">
        <f>'[8]Rev_NP-12me'!BN202</f>
        <v>84.493218953794937</v>
      </c>
      <c r="J170" s="377">
        <f>'[8]Rev_NP-12me'!BO202</f>
        <v>30.462189975725114</v>
      </c>
      <c r="K170" s="377">
        <f>'[8]Rev_NP-12me'!BQ202</f>
        <v>8.4000000000000005E-2</v>
      </c>
      <c r="L170" s="404">
        <f t="shared" si="16"/>
        <v>115.03940892952005</v>
      </c>
      <c r="M170" s="403">
        <f t="shared" si="14"/>
        <v>26.984416300098733</v>
      </c>
    </row>
    <row r="171" spans="2:13" ht="14.4" x14ac:dyDescent="0.25">
      <c r="B171" s="385" t="s">
        <v>1147</v>
      </c>
      <c r="C171" s="17"/>
      <c r="D171" s="378">
        <f>'[8]Rev_NP-12me'!$AQ$204</f>
        <v>0</v>
      </c>
      <c r="E171" s="378">
        <f>'[8]Rev_NP-12me'!$AQ$204</f>
        <v>0</v>
      </c>
      <c r="F171" s="378">
        <f>'[8]Rev_NP-12me'!$AQ$204</f>
        <v>0</v>
      </c>
      <c r="G171" s="378">
        <f>'[8]Rev_NP-12me'!$AQ$204</f>
        <v>0</v>
      </c>
      <c r="H171" s="374">
        <f t="shared" si="15"/>
        <v>0</v>
      </c>
      <c r="I171" s="378">
        <f>'[8]Rev_NP-12me'!$AQ$204</f>
        <v>0</v>
      </c>
      <c r="J171" s="378">
        <f>'[8]Rev_NP-12me'!$AQ$204</f>
        <v>0</v>
      </c>
      <c r="K171" s="378">
        <f>'[8]Rev_NP-12me'!$AQ$204</f>
        <v>0</v>
      </c>
      <c r="L171" s="404">
        <f t="shared" si="16"/>
        <v>0</v>
      </c>
      <c r="M171" s="403" t="str">
        <f t="shared" si="14"/>
        <v/>
      </c>
    </row>
    <row r="172" spans="2:13" ht="14.4" x14ac:dyDescent="0.25">
      <c r="B172" s="385" t="s">
        <v>1148</v>
      </c>
      <c r="C172" s="17"/>
      <c r="D172" s="378">
        <f>'[8]Rev_NP-12me'!$AQ$205</f>
        <v>0</v>
      </c>
      <c r="E172" s="378">
        <f>'[8]Rev_NP-12me'!$AQ$205</f>
        <v>0</v>
      </c>
      <c r="F172" s="378">
        <f>'[8]Rev_NP-12me'!$AQ$205</f>
        <v>0</v>
      </c>
      <c r="G172" s="378">
        <f>'[8]Rev_NP-12me'!$AQ$205</f>
        <v>0</v>
      </c>
      <c r="H172" s="374">
        <f t="shared" si="15"/>
        <v>0</v>
      </c>
      <c r="I172" s="378">
        <f>'[8]Rev_NP-12me'!$AQ$205</f>
        <v>0</v>
      </c>
      <c r="J172" s="378">
        <f>'[8]Rev_NP-12me'!$AQ$205</f>
        <v>0</v>
      </c>
      <c r="K172" s="378">
        <f>'[8]Rev_NP-12me'!$AQ$205</f>
        <v>0</v>
      </c>
      <c r="L172" s="404">
        <f t="shared" si="16"/>
        <v>0</v>
      </c>
      <c r="M172" s="403" t="str">
        <f t="shared" si="14"/>
        <v/>
      </c>
    </row>
    <row r="173" spans="2:13" ht="14.4" x14ac:dyDescent="0.25">
      <c r="B173" s="385" t="s">
        <v>1149</v>
      </c>
      <c r="C173" s="17"/>
      <c r="D173" s="378">
        <f>'[8]Rev_NP-12me'!AQ206</f>
        <v>0</v>
      </c>
      <c r="E173" s="378">
        <f>'[8]Rev_NP-12me'!AT206</f>
        <v>0</v>
      </c>
      <c r="F173" s="378">
        <f>'[8]Rev_NP-12me'!AU206</f>
        <v>0</v>
      </c>
      <c r="G173" s="378">
        <f>'[8]Rev_NP-12me'!AW206</f>
        <v>0</v>
      </c>
      <c r="H173" s="374">
        <f t="shared" si="15"/>
        <v>0</v>
      </c>
      <c r="I173" s="378">
        <f>'[8]Rev_NP-12me'!BN206</f>
        <v>0</v>
      </c>
      <c r="J173" s="378">
        <f>'[8]Rev_NP-12me'!BO206</f>
        <v>0</v>
      </c>
      <c r="K173" s="378">
        <f>'[8]Rev_NP-12me'!BQ206</f>
        <v>0</v>
      </c>
      <c r="L173" s="404">
        <f t="shared" si="16"/>
        <v>0</v>
      </c>
      <c r="M173" s="403" t="str">
        <f t="shared" si="14"/>
        <v/>
      </c>
    </row>
    <row r="174" spans="2:13" ht="14.4" x14ac:dyDescent="0.25">
      <c r="B174" s="390" t="s">
        <v>1100</v>
      </c>
      <c r="C174" s="17"/>
      <c r="D174" s="378">
        <f>'[8]Rev_NP-12me'!AQ207</f>
        <v>149.62623827939998</v>
      </c>
      <c r="E174" s="378">
        <f>'[8]Rev_NP-12me'!AT207</f>
        <v>0</v>
      </c>
      <c r="F174" s="378">
        <f>'[8]Rev_NP-12me'!AU207</f>
        <v>114.46407228374099</v>
      </c>
      <c r="G174" s="378">
        <f>'[8]Rev_NP-12me'!AW207</f>
        <v>0</v>
      </c>
      <c r="H174" s="374">
        <f t="shared" si="15"/>
        <v>114.46407228374099</v>
      </c>
      <c r="I174" s="378">
        <f>'[8]Rev_NP-12me'!BN207</f>
        <v>0</v>
      </c>
      <c r="J174" s="378">
        <f>'[8]Rev_NP-12me'!BO207</f>
        <v>122.33869968764103</v>
      </c>
      <c r="K174" s="378">
        <f>'[8]Rev_NP-12me'!BQ207</f>
        <v>0</v>
      </c>
      <c r="L174" s="404">
        <f t="shared" si="16"/>
        <v>122.33869968764103</v>
      </c>
      <c r="M174" s="403">
        <f t="shared" si="14"/>
        <v>8.1762865319915079</v>
      </c>
    </row>
    <row r="175" spans="2:13" ht="14.4" x14ac:dyDescent="0.25">
      <c r="B175" s="390" t="s">
        <v>1101</v>
      </c>
      <c r="C175" s="17"/>
      <c r="D175" s="378">
        <f>'[8]Rev_NP-12me'!AQ208</f>
        <v>33.916345522799993</v>
      </c>
      <c r="E175" s="378">
        <f>'[8]Rev_NP-12me'!AT208</f>
        <v>0</v>
      </c>
      <c r="F175" s="378">
        <f>'[8]Rev_NP-12me'!AU208</f>
        <v>25.946004324941999</v>
      </c>
      <c r="G175" s="378">
        <f>'[8]Rev_NP-12me'!AW208</f>
        <v>0</v>
      </c>
      <c r="H175" s="374">
        <f t="shared" si="15"/>
        <v>25.946004324941999</v>
      </c>
      <c r="I175" s="378">
        <f>'[8]Rev_NP-12me'!BN208</f>
        <v>0</v>
      </c>
      <c r="J175" s="378">
        <f>'[8]Rev_NP-12me'!BO208</f>
        <v>27.802317297521991</v>
      </c>
      <c r="K175" s="378">
        <f>'[8]Rev_NP-12me'!BQ208</f>
        <v>0</v>
      </c>
      <c r="L175" s="404">
        <f t="shared" si="16"/>
        <v>27.802317297521991</v>
      </c>
      <c r="M175" s="403">
        <f t="shared" si="14"/>
        <v>8.1973210465237489</v>
      </c>
    </row>
    <row r="176" spans="2:13" ht="14.4" x14ac:dyDescent="0.25">
      <c r="B176" s="390" t="s">
        <v>1102</v>
      </c>
      <c r="C176" s="17"/>
      <c r="D176" s="378">
        <f>'[8]Rev_NP-12me'!AQ210</f>
        <v>155.26578137579997</v>
      </c>
      <c r="E176" s="378">
        <f>'[8]Rev_NP-12me'!AT210</f>
        <v>0</v>
      </c>
      <c r="F176" s="378">
        <f>'[8]Rev_NP-12me'!AU210</f>
        <v>87.725166477326994</v>
      </c>
      <c r="G176" s="378">
        <f>'[8]Rev_NP-12me'!AW210</f>
        <v>0</v>
      </c>
      <c r="H176" s="374">
        <f t="shared" si="15"/>
        <v>87.725166477326994</v>
      </c>
      <c r="I176" s="378">
        <f>'[8]Rev_NP-12me'!BN210</f>
        <v>0</v>
      </c>
      <c r="J176" s="378">
        <f>'[8]Rev_NP-12me'!BO210</f>
        <v>95.363010211166994</v>
      </c>
      <c r="K176" s="378">
        <f>'[8]Rev_NP-12me'!BQ210</f>
        <v>0</v>
      </c>
      <c r="L176" s="404">
        <f t="shared" si="16"/>
        <v>95.363010211166994</v>
      </c>
      <c r="M176" s="403">
        <f t="shared" si="14"/>
        <v>6.141920606469859</v>
      </c>
    </row>
    <row r="177" spans="2:13" x14ac:dyDescent="0.25">
      <c r="B177" s="383" t="s">
        <v>1161</v>
      </c>
      <c r="C177" s="17"/>
      <c r="D177" s="373">
        <f>'[8]Rev_NP-12me'!AQ212</f>
        <v>277.58028848043824</v>
      </c>
      <c r="E177" s="373">
        <f>'[8]Rev_NP-12me'!AT212</f>
        <v>15.96</v>
      </c>
      <c r="F177" s="373">
        <f>'[8]Rev_NP-12me'!AU212</f>
        <v>184.75641315200056</v>
      </c>
      <c r="G177" s="373">
        <f>'[8]Rev_NP-12me'!AW212</f>
        <v>1.2E-2</v>
      </c>
      <c r="H177" s="374">
        <f t="shared" si="15"/>
        <v>200.72841315200057</v>
      </c>
      <c r="I177" s="373">
        <f>'[8]Rev_NP-12me'!BN212</f>
        <v>16.380000000000003</v>
      </c>
      <c r="J177" s="373">
        <f>'[8]Rev_NP-12me'!BO212</f>
        <v>198.80880177285763</v>
      </c>
      <c r="K177" s="373">
        <f>'[8]Rev_NP-12me'!BQ212</f>
        <v>1.2E-2</v>
      </c>
      <c r="L177" s="402">
        <f t="shared" si="16"/>
        <v>215.20080177285763</v>
      </c>
      <c r="M177" s="403">
        <f t="shared" si="14"/>
        <v>7.7527407637961065</v>
      </c>
    </row>
    <row r="178" spans="2:13" ht="14.4" x14ac:dyDescent="0.25">
      <c r="B178" s="385" t="s">
        <v>1134</v>
      </c>
      <c r="C178" s="17"/>
      <c r="D178" s="378">
        <f>'[8]Rev_NP-12me'!AQ213</f>
        <v>73.937568714601255</v>
      </c>
      <c r="E178" s="378">
        <f>'[8]Rev_NP-12me'!AT213</f>
        <v>15.96</v>
      </c>
      <c r="F178" s="378">
        <f>'[8]Rev_NP-12me'!AU213</f>
        <v>49.168483195209838</v>
      </c>
      <c r="G178" s="378">
        <f>'[8]Rev_NP-12me'!AW213</f>
        <v>1.2E-2</v>
      </c>
      <c r="H178" s="374">
        <f t="shared" si="15"/>
        <v>65.140483195209839</v>
      </c>
      <c r="I178" s="378">
        <f>'[8]Rev_NP-12me'!BN213</f>
        <v>16.380000000000003</v>
      </c>
      <c r="J178" s="378">
        <f>'[8]Rev_NP-12me'!BO213</f>
        <v>52.920121308442233</v>
      </c>
      <c r="K178" s="378">
        <f>'[8]Rev_NP-12me'!BQ213</f>
        <v>1.2E-2</v>
      </c>
      <c r="L178" s="404">
        <f t="shared" si="16"/>
        <v>69.312121308442244</v>
      </c>
      <c r="M178" s="403">
        <f t="shared" si="14"/>
        <v>9.3744117521617145</v>
      </c>
    </row>
    <row r="179" spans="2:13" ht="14.4" x14ac:dyDescent="0.25">
      <c r="B179" s="385" t="s">
        <v>1100</v>
      </c>
      <c r="C179" s="17"/>
      <c r="D179" s="378">
        <f>'[8]Rev_NP-12me'!AQ214</f>
        <v>51.090623215478892</v>
      </c>
      <c r="E179" s="378">
        <f>'[8]Rev_NP-12me'!AT214</f>
        <v>0</v>
      </c>
      <c r="F179" s="378">
        <f>'[8]Rev_NP-12me'!AU214</f>
        <v>39.084326759841353</v>
      </c>
      <c r="G179" s="378">
        <f>'[8]Rev_NP-12me'!AW214</f>
        <v>0</v>
      </c>
      <c r="H179" s="374">
        <f t="shared" si="15"/>
        <v>39.084326759841353</v>
      </c>
      <c r="I179" s="378">
        <f>'[8]Rev_NP-12me'!BN214</f>
        <v>0</v>
      </c>
      <c r="J179" s="378">
        <f>'[8]Rev_NP-12me'!BO214</f>
        <v>41.665950494392355</v>
      </c>
      <c r="K179" s="378">
        <f>'[8]Rev_NP-12me'!BQ214</f>
        <v>0</v>
      </c>
      <c r="L179" s="404">
        <f t="shared" si="16"/>
        <v>41.665950494392355</v>
      </c>
      <c r="M179" s="403">
        <f t="shared" si="14"/>
        <v>8.1553028466031403</v>
      </c>
    </row>
    <row r="180" spans="2:13" ht="14.4" x14ac:dyDescent="0.25">
      <c r="B180" s="385" t="s">
        <v>1101</v>
      </c>
      <c r="C180" s="17"/>
      <c r="D180" s="378">
        <f>'[8]Rev_NP-12me'!AQ215</f>
        <v>51.558343229985212</v>
      </c>
      <c r="E180" s="378">
        <f>'[8]Rev_NP-12me'!AT215</f>
        <v>0</v>
      </c>
      <c r="F180" s="378">
        <f>'[8]Rev_NP-12me'!AU215</f>
        <v>39.442132570938689</v>
      </c>
      <c r="G180" s="378">
        <f>'[8]Rev_NP-12me'!AW215</f>
        <v>0</v>
      </c>
      <c r="H180" s="374">
        <f t="shared" si="15"/>
        <v>39.442132570938689</v>
      </c>
      <c r="I180" s="378">
        <f>'[8]Rev_NP-12me'!BN215</f>
        <v>0</v>
      </c>
      <c r="J180" s="378">
        <f>'[8]Rev_NP-12me'!BO215</f>
        <v>42.043300855509266</v>
      </c>
      <c r="K180" s="378">
        <f>'[8]Rev_NP-12me'!BQ215</f>
        <v>0</v>
      </c>
      <c r="L180" s="404">
        <f t="shared" si="16"/>
        <v>42.043300855509266</v>
      </c>
      <c r="M180" s="403">
        <f t="shared" si="14"/>
        <v>8.154509672269258</v>
      </c>
    </row>
    <row r="181" spans="2:13" ht="14.4" x14ac:dyDescent="0.25">
      <c r="B181" s="385" t="s">
        <v>1102</v>
      </c>
      <c r="C181" s="17"/>
      <c r="D181" s="378">
        <f>'[8]Rev_NP-12me'!AQ216</f>
        <v>100.99375332037289</v>
      </c>
      <c r="E181" s="378">
        <f>'[8]Rev_NP-12me'!AT216</f>
        <v>0</v>
      </c>
      <c r="F181" s="378">
        <f>'[8]Rev_NP-12me'!AU216</f>
        <v>57.061470626010689</v>
      </c>
      <c r="G181" s="378">
        <f>'[8]Rev_NP-12me'!AW216</f>
        <v>0</v>
      </c>
      <c r="H181" s="374">
        <f t="shared" si="15"/>
        <v>57.061470626010689</v>
      </c>
      <c r="I181" s="378">
        <f>'[8]Rev_NP-12me'!BN216</f>
        <v>0</v>
      </c>
      <c r="J181" s="378">
        <f>'[8]Rev_NP-12me'!BO216</f>
        <v>62.179429114513766</v>
      </c>
      <c r="K181" s="378">
        <f>'[8]Rev_NP-12me'!BQ216</f>
        <v>0</v>
      </c>
      <c r="L181" s="404">
        <f t="shared" si="16"/>
        <v>62.179429114513766</v>
      </c>
      <c r="M181" s="403">
        <f t="shared" si="14"/>
        <v>6.1567599054634465</v>
      </c>
    </row>
    <row r="182" spans="2:13" x14ac:dyDescent="0.25">
      <c r="B182" s="383" t="s">
        <v>1162</v>
      </c>
      <c r="C182" s="17"/>
      <c r="D182" s="373">
        <f>'[8]Rev_NP-12me'!AQ211</f>
        <v>0</v>
      </c>
      <c r="E182" s="373">
        <f>'[8]Rev_NP-12me'!AT211</f>
        <v>0</v>
      </c>
      <c r="F182" s="373">
        <f>'[8]Rev_NP-12me'!AU211</f>
        <v>0</v>
      </c>
      <c r="G182" s="373">
        <f>'[8]Rev_NP-12me'!AW211</f>
        <v>0</v>
      </c>
      <c r="H182" s="374">
        <f t="shared" si="15"/>
        <v>0</v>
      </c>
      <c r="I182" s="373">
        <f>'[8]Rev_NP-12me'!BN211</f>
        <v>0</v>
      </c>
      <c r="J182" s="373">
        <f>'[8]Rev_NP-12me'!BO211</f>
        <v>0</v>
      </c>
      <c r="K182" s="373">
        <f>'[8]Rev_NP-12me'!BQ211</f>
        <v>0</v>
      </c>
      <c r="L182" s="402">
        <f t="shared" si="16"/>
        <v>0</v>
      </c>
      <c r="M182" s="403" t="str">
        <f t="shared" si="14"/>
        <v/>
      </c>
    </row>
    <row r="183" spans="2:13" x14ac:dyDescent="0.25">
      <c r="B183" s="383" t="s">
        <v>1163</v>
      </c>
      <c r="C183" s="17"/>
      <c r="D183" s="373">
        <f>'[8]Rev_NP-12me'!AQ217</f>
        <v>5.7995466559512572</v>
      </c>
      <c r="E183" s="373">
        <f>'[8]Rev_NP-12me'!AT217</f>
        <v>7.9926280100367197</v>
      </c>
      <c r="F183" s="373">
        <f>'[8]Rev_NP-12me'!AU217</f>
        <v>4.4338291034598063</v>
      </c>
      <c r="G183" s="373">
        <f>'[8]Rev_NP-12me'!AW217</f>
        <v>4.4999999999999998E-2</v>
      </c>
      <c r="H183" s="374">
        <f t="shared" si="15"/>
        <v>12.471457113496525</v>
      </c>
      <c r="I183" s="373">
        <f>'[8]Rev_NP-12me'!BN217</f>
        <v>8.2029603260903183</v>
      </c>
      <c r="J183" s="373">
        <f>'[8]Rev_NP-12me'!BO217</f>
        <v>4.6470358116048658</v>
      </c>
      <c r="K183" s="373">
        <f>'[8]Rev_NP-12me'!BQ217</f>
        <v>4.4999999999999998E-2</v>
      </c>
      <c r="L183" s="404">
        <f t="shared" si="16"/>
        <v>12.894996137695184</v>
      </c>
      <c r="M183" s="403">
        <f t="shared" si="14"/>
        <v>22.234489870795105</v>
      </c>
    </row>
    <row r="184" spans="2:13" ht="14.4" x14ac:dyDescent="0.25">
      <c r="B184" s="390" t="s">
        <v>1134</v>
      </c>
      <c r="C184" s="17"/>
      <c r="D184" s="378">
        <f>'[8]Rev_NP-12me'!AQ218</f>
        <v>1.0142931427789015</v>
      </c>
      <c r="E184" s="378">
        <f>'[8]Rev_NP-12me'!AT218</f>
        <v>7.9926280100367197</v>
      </c>
      <c r="F184" s="378">
        <f>'[8]Rev_NP-12me'!AU218</f>
        <v>0.79114865136754309</v>
      </c>
      <c r="G184" s="378">
        <f>'[8]Rev_NP-12me'!AW218</f>
        <v>4.4999999999999998E-2</v>
      </c>
      <c r="H184" s="374">
        <f t="shared" si="15"/>
        <v>8.8287766614042624</v>
      </c>
      <c r="I184" s="378">
        <f>'[8]Rev_NP-12me'!BN218</f>
        <v>8.2029603260903183</v>
      </c>
      <c r="J184" s="378">
        <f>'[8]Rev_NP-12me'!BO218</f>
        <v>0.82741314049768078</v>
      </c>
      <c r="K184" s="378">
        <f>'[8]Rev_NP-12me'!BQ218</f>
        <v>4.4999999999999998E-2</v>
      </c>
      <c r="L184" s="404">
        <f t="shared" si="16"/>
        <v>9.0753734665879993</v>
      </c>
      <c r="M184" s="403">
        <f t="shared" si="14"/>
        <v>89.474857748952317</v>
      </c>
    </row>
    <row r="185" spans="2:13" ht="14.4" x14ac:dyDescent="0.25">
      <c r="B185" s="390" t="s">
        <v>1100</v>
      </c>
      <c r="C185" s="17"/>
      <c r="D185" s="378">
        <f>'[8]Rev_NP-12me'!AQ219</f>
        <v>1.3129461751676739</v>
      </c>
      <c r="E185" s="378">
        <f>'[8]Rev_NP-12me'!AT219</f>
        <v>0</v>
      </c>
      <c r="F185" s="378">
        <f>'[8]Rev_NP-12me'!AU219</f>
        <v>1.1553926341475531</v>
      </c>
      <c r="G185" s="378">
        <f>'[8]Rev_NP-12me'!AW219</f>
        <v>0</v>
      </c>
      <c r="H185" s="374">
        <f t="shared" si="15"/>
        <v>1.1553926341475531</v>
      </c>
      <c r="I185" s="378">
        <f>'[8]Rev_NP-12me'!BN219</f>
        <v>0</v>
      </c>
      <c r="J185" s="378">
        <f>'[8]Rev_NP-12me'!BO219</f>
        <v>1.1964788718182375</v>
      </c>
      <c r="K185" s="378">
        <f>'[8]Rev_NP-12me'!BQ219</f>
        <v>0</v>
      </c>
      <c r="L185" s="404">
        <f t="shared" si="16"/>
        <v>1.1964788718182375</v>
      </c>
      <c r="M185" s="403">
        <f t="shared" si="14"/>
        <v>9.1129316223906702</v>
      </c>
    </row>
    <row r="186" spans="2:13" ht="14.4" x14ac:dyDescent="0.25">
      <c r="B186" s="390" t="s">
        <v>1101</v>
      </c>
      <c r="C186" s="17"/>
      <c r="D186" s="378">
        <f>'[8]Rev_NP-12me'!AQ220</f>
        <v>0.63059414050762741</v>
      </c>
      <c r="E186" s="378">
        <f>'[8]Rev_NP-12me'!AT220</f>
        <v>0</v>
      </c>
      <c r="F186" s="378">
        <f>'[8]Rev_NP-12me'!AU220</f>
        <v>0.55492284364671218</v>
      </c>
      <c r="G186" s="378">
        <f>'[8]Rev_NP-12me'!AW220</f>
        <v>0</v>
      </c>
      <c r="H186" s="374">
        <f t="shared" si="15"/>
        <v>0.55492284364671218</v>
      </c>
      <c r="I186" s="378">
        <f>'[8]Rev_NP-12me'!BN220</f>
        <v>0</v>
      </c>
      <c r="J186" s="378">
        <f>'[8]Rev_NP-12me'!BO220</f>
        <v>0.58005665818431851</v>
      </c>
      <c r="K186" s="378">
        <f>'[8]Rev_NP-12me'!BQ220</f>
        <v>0</v>
      </c>
      <c r="L186" s="404">
        <f t="shared" si="16"/>
        <v>0.58005665818431851</v>
      </c>
      <c r="M186" s="403">
        <f t="shared" si="14"/>
        <v>9.1985735502929611</v>
      </c>
    </row>
    <row r="187" spans="2:13" ht="14.4" x14ac:dyDescent="0.25">
      <c r="B187" s="390" t="s">
        <v>1102</v>
      </c>
      <c r="C187" s="17"/>
      <c r="D187" s="378">
        <f>'[8]Rev_NP-12me'!AQ221</f>
        <v>2.8417131974970551</v>
      </c>
      <c r="E187" s="378">
        <f>'[8]Rev_NP-12me'!AT221</f>
        <v>0</v>
      </c>
      <c r="F187" s="378">
        <f>'[8]Rev_NP-12me'!AU221</f>
        <v>1.9323649742979974</v>
      </c>
      <c r="G187" s="378">
        <f>'[8]Rev_NP-12me'!AW221</f>
        <v>0</v>
      </c>
      <c r="H187" s="374">
        <f t="shared" si="15"/>
        <v>1.9323649742979974</v>
      </c>
      <c r="I187" s="378">
        <f>'[8]Rev_NP-12me'!BN221</f>
        <v>0</v>
      </c>
      <c r="J187" s="378">
        <f>'[8]Rev_NP-12me'!BO221</f>
        <v>2.0430871411046292</v>
      </c>
      <c r="K187" s="378">
        <f>'[8]Rev_NP-12me'!BQ221</f>
        <v>0</v>
      </c>
      <c r="L187" s="404">
        <f t="shared" si="16"/>
        <v>2.0430871411046292</v>
      </c>
      <c r="M187" s="403">
        <f t="shared" si="14"/>
        <v>7.1896317436402599</v>
      </c>
    </row>
    <row r="188" spans="2:13" x14ac:dyDescent="0.25">
      <c r="B188" s="383" t="s">
        <v>1135</v>
      </c>
      <c r="C188" s="17"/>
      <c r="D188" s="373">
        <f>'[8]Rev_NP-12me'!AQ222</f>
        <v>0</v>
      </c>
      <c r="E188" s="373">
        <f>'[8]Rev_NP-12me'!AT222</f>
        <v>0</v>
      </c>
      <c r="F188" s="373">
        <f>'[8]Rev_NP-12me'!AU222</f>
        <v>0</v>
      </c>
      <c r="G188" s="373">
        <f>'[8]Rev_NP-12me'!AW222</f>
        <v>0</v>
      </c>
      <c r="H188" s="374">
        <f t="shared" si="15"/>
        <v>0</v>
      </c>
      <c r="I188" s="373">
        <f>'[8]Rev_NP-12me'!BN222</f>
        <v>0</v>
      </c>
      <c r="J188" s="373">
        <f>'[8]Rev_NP-12me'!BO222</f>
        <v>0</v>
      </c>
      <c r="K188" s="373">
        <f>'[8]Rev_NP-12me'!BQ222</f>
        <v>0</v>
      </c>
      <c r="L188" s="402">
        <f t="shared" si="16"/>
        <v>0</v>
      </c>
      <c r="M188" s="403" t="str">
        <f t="shared" si="14"/>
        <v/>
      </c>
    </row>
    <row r="189" spans="2:13" ht="14.4" x14ac:dyDescent="0.25">
      <c r="B189" s="385" t="s">
        <v>1134</v>
      </c>
      <c r="C189" s="17"/>
      <c r="D189" s="378">
        <f>'[8]Rev_NP-12me'!AQ223</f>
        <v>0</v>
      </c>
      <c r="E189" s="378">
        <f>'[8]Rev_NP-12me'!AT223</f>
        <v>0</v>
      </c>
      <c r="F189" s="378">
        <f>'[8]Rev_NP-12me'!AU223</f>
        <v>0</v>
      </c>
      <c r="G189" s="378">
        <f>'[8]Rev_NP-12me'!AW223</f>
        <v>0</v>
      </c>
      <c r="H189" s="374">
        <f t="shared" si="15"/>
        <v>0</v>
      </c>
      <c r="I189" s="378">
        <f>'[8]Rev_NP-12me'!BN223</f>
        <v>0</v>
      </c>
      <c r="J189" s="378">
        <f>'[8]Rev_NP-12me'!BO223</f>
        <v>0</v>
      </c>
      <c r="K189" s="378">
        <f>'[8]Rev_NP-12me'!BQ223</f>
        <v>0</v>
      </c>
      <c r="L189" s="404">
        <f t="shared" si="16"/>
        <v>0</v>
      </c>
      <c r="M189" s="403" t="str">
        <f t="shared" si="14"/>
        <v/>
      </c>
    </row>
    <row r="190" spans="2:13" ht="14.4" x14ac:dyDescent="0.25">
      <c r="B190" s="385" t="s">
        <v>1100</v>
      </c>
      <c r="C190" s="17"/>
      <c r="D190" s="378">
        <f>'[8]Rev_NP-12me'!AQ224</f>
        <v>0</v>
      </c>
      <c r="E190" s="378">
        <f>'[8]Rev_NP-12me'!AT224</f>
        <v>0</v>
      </c>
      <c r="F190" s="378">
        <f>'[8]Rev_NP-12me'!AU224</f>
        <v>0</v>
      </c>
      <c r="G190" s="378">
        <f>'[8]Rev_NP-12me'!AW224</f>
        <v>0</v>
      </c>
      <c r="H190" s="374">
        <f t="shared" si="15"/>
        <v>0</v>
      </c>
      <c r="I190" s="378">
        <f>'[8]Rev_NP-12me'!BN224</f>
        <v>0</v>
      </c>
      <c r="J190" s="378">
        <f>'[8]Rev_NP-12me'!BO224</f>
        <v>0</v>
      </c>
      <c r="K190" s="378">
        <f>'[8]Rev_NP-12me'!BQ224</f>
        <v>0</v>
      </c>
      <c r="L190" s="404">
        <f t="shared" si="16"/>
        <v>0</v>
      </c>
      <c r="M190" s="403" t="str">
        <f t="shared" si="14"/>
        <v/>
      </c>
    </row>
    <row r="191" spans="2:13" ht="14.4" x14ac:dyDescent="0.25">
      <c r="B191" s="385" t="s">
        <v>1101</v>
      </c>
      <c r="C191" s="17"/>
      <c r="D191" s="378">
        <f>'[8]Rev_NP-12me'!AQ225</f>
        <v>0</v>
      </c>
      <c r="E191" s="378">
        <f>'[8]Rev_NP-12me'!AT225</f>
        <v>0</v>
      </c>
      <c r="F191" s="378">
        <f>'[8]Rev_NP-12me'!AU225</f>
        <v>0</v>
      </c>
      <c r="G191" s="378">
        <f>'[8]Rev_NP-12me'!AW225</f>
        <v>0</v>
      </c>
      <c r="H191" s="374">
        <f t="shared" si="15"/>
        <v>0</v>
      </c>
      <c r="I191" s="378">
        <f>'[8]Rev_NP-12me'!BN225</f>
        <v>0</v>
      </c>
      <c r="J191" s="378">
        <f>'[8]Rev_NP-12me'!BO225</f>
        <v>0</v>
      </c>
      <c r="K191" s="378">
        <f>'[8]Rev_NP-12me'!BQ225</f>
        <v>0</v>
      </c>
      <c r="L191" s="404">
        <f t="shared" si="16"/>
        <v>0</v>
      </c>
      <c r="M191" s="403" t="str">
        <f t="shared" si="14"/>
        <v/>
      </c>
    </row>
    <row r="192" spans="2:13" ht="14.4" x14ac:dyDescent="0.25">
      <c r="B192" s="385" t="s">
        <v>1102</v>
      </c>
      <c r="C192" s="17"/>
      <c r="D192" s="378">
        <f>'[8]Rev_NP-12me'!AQ226</f>
        <v>0</v>
      </c>
      <c r="E192" s="378">
        <f>'[8]Rev_NP-12me'!AT226</f>
        <v>0</v>
      </c>
      <c r="F192" s="378">
        <f>'[8]Rev_NP-12me'!AU226</f>
        <v>0</v>
      </c>
      <c r="G192" s="378">
        <f>'[8]Rev_NP-12me'!AW226</f>
        <v>0</v>
      </c>
      <c r="H192" s="374">
        <f t="shared" si="15"/>
        <v>0</v>
      </c>
      <c r="I192" s="378">
        <f>'[8]Rev_NP-12me'!BN226</f>
        <v>0</v>
      </c>
      <c r="J192" s="378">
        <f>'[8]Rev_NP-12me'!BO226</f>
        <v>0</v>
      </c>
      <c r="K192" s="378">
        <f>'[8]Rev_NP-12me'!BQ226</f>
        <v>0</v>
      </c>
      <c r="L192" s="404">
        <f t="shared" si="16"/>
        <v>0</v>
      </c>
      <c r="M192" s="403" t="str">
        <f t="shared" si="14"/>
        <v/>
      </c>
    </row>
    <row r="193" spans="2:13" x14ac:dyDescent="0.25">
      <c r="B193" s="383" t="s">
        <v>1079</v>
      </c>
      <c r="C193" s="17"/>
      <c r="D193" s="373">
        <f>'[8]Rev_NP-12me'!AQ227</f>
        <v>0</v>
      </c>
      <c r="E193" s="373">
        <f>'[8]Rev_NP-12me'!AT227</f>
        <v>0</v>
      </c>
      <c r="F193" s="373">
        <f>'[8]Rev_NP-12me'!AU227</f>
        <v>0</v>
      </c>
      <c r="G193" s="373">
        <f>'[8]Rev_NP-12me'!AW227</f>
        <v>0</v>
      </c>
      <c r="H193" s="374">
        <f t="shared" si="15"/>
        <v>0</v>
      </c>
      <c r="I193" s="373">
        <f>'[8]Rev_NP-12me'!BN227</f>
        <v>0</v>
      </c>
      <c r="J193" s="373">
        <f>'[8]Rev_NP-12me'!BO227</f>
        <v>0</v>
      </c>
      <c r="K193" s="373">
        <f>'[8]Rev_NP-12me'!BQ227</f>
        <v>0</v>
      </c>
      <c r="L193" s="402">
        <f t="shared" si="16"/>
        <v>0</v>
      </c>
      <c r="M193" s="403" t="str">
        <f t="shared" si="14"/>
        <v/>
      </c>
    </row>
    <row r="194" spans="2:13" ht="14.4" x14ac:dyDescent="0.25">
      <c r="B194" s="390" t="s">
        <v>1134</v>
      </c>
      <c r="C194" s="17"/>
      <c r="D194" s="378">
        <f>'[8]Rev_NP-12me'!AQ228</f>
        <v>0</v>
      </c>
      <c r="E194" s="378">
        <f>'[8]Rev_NP-12me'!AT228</f>
        <v>0</v>
      </c>
      <c r="F194" s="378">
        <f>'[8]Rev_NP-12me'!AU228</f>
        <v>0</v>
      </c>
      <c r="G194" s="378">
        <f>'[8]Rev_NP-12me'!AW228</f>
        <v>0</v>
      </c>
      <c r="H194" s="374">
        <f t="shared" si="15"/>
        <v>0</v>
      </c>
      <c r="I194" s="378">
        <f>'[8]Rev_NP-12me'!BN228</f>
        <v>0</v>
      </c>
      <c r="J194" s="378">
        <f>'[8]Rev_NP-12me'!BO228</f>
        <v>0</v>
      </c>
      <c r="K194" s="378">
        <f>'[8]Rev_NP-12me'!BQ228</f>
        <v>0</v>
      </c>
      <c r="L194" s="404">
        <f t="shared" si="16"/>
        <v>0</v>
      </c>
      <c r="M194" s="403" t="str">
        <f t="shared" si="14"/>
        <v/>
      </c>
    </row>
    <row r="195" spans="2:13" ht="14.4" x14ac:dyDescent="0.25">
      <c r="B195" s="390" t="s">
        <v>1100</v>
      </c>
      <c r="C195" s="17"/>
      <c r="D195" s="378">
        <f>'[8]Rev_NP-12me'!AQ229</f>
        <v>0</v>
      </c>
      <c r="E195" s="378">
        <f>'[8]Rev_NP-12me'!AT229</f>
        <v>0</v>
      </c>
      <c r="F195" s="378">
        <f>'[8]Rev_NP-12me'!AU229</f>
        <v>0</v>
      </c>
      <c r="G195" s="378">
        <f>'[8]Rev_NP-12me'!AW229</f>
        <v>0</v>
      </c>
      <c r="H195" s="374">
        <f t="shared" si="15"/>
        <v>0</v>
      </c>
      <c r="I195" s="378">
        <f>'[8]Rev_NP-12me'!BN229</f>
        <v>0</v>
      </c>
      <c r="J195" s="378">
        <f>'[8]Rev_NP-12me'!BO229</f>
        <v>0</v>
      </c>
      <c r="K195" s="378">
        <f>'[8]Rev_NP-12me'!BQ229</f>
        <v>0</v>
      </c>
      <c r="L195" s="404">
        <f t="shared" si="16"/>
        <v>0</v>
      </c>
      <c r="M195" s="403" t="str">
        <f t="shared" si="14"/>
        <v/>
      </c>
    </row>
    <row r="196" spans="2:13" ht="14.4" x14ac:dyDescent="0.25">
      <c r="B196" s="390" t="s">
        <v>1101</v>
      </c>
      <c r="C196" s="17"/>
      <c r="D196" s="378">
        <f>'[8]Rev_NP-12me'!AQ230</f>
        <v>0</v>
      </c>
      <c r="E196" s="378">
        <f>'[8]Rev_NP-12me'!AT230</f>
        <v>0</v>
      </c>
      <c r="F196" s="378">
        <f>'[8]Rev_NP-12me'!AU230</f>
        <v>0</v>
      </c>
      <c r="G196" s="378">
        <f>'[8]Rev_NP-12me'!AW230</f>
        <v>0</v>
      </c>
      <c r="H196" s="374">
        <f t="shared" si="15"/>
        <v>0</v>
      </c>
      <c r="I196" s="378">
        <f>'[8]Rev_NP-12me'!BN230</f>
        <v>0</v>
      </c>
      <c r="J196" s="378">
        <f>'[8]Rev_NP-12me'!BO230</f>
        <v>0</v>
      </c>
      <c r="K196" s="378">
        <f>'[8]Rev_NP-12me'!BQ230</f>
        <v>0</v>
      </c>
      <c r="L196" s="404">
        <f t="shared" si="16"/>
        <v>0</v>
      </c>
      <c r="M196" s="403" t="str">
        <f t="shared" si="14"/>
        <v/>
      </c>
    </row>
    <row r="197" spans="2:13" ht="14.4" x14ac:dyDescent="0.25">
      <c r="B197" s="390" t="s">
        <v>1102</v>
      </c>
      <c r="C197" s="17"/>
      <c r="D197" s="378">
        <f>'[8]Rev_NP-12me'!AQ231</f>
        <v>0</v>
      </c>
      <c r="E197" s="378">
        <f>'[8]Rev_NP-12me'!AT231</f>
        <v>0</v>
      </c>
      <c r="F197" s="378">
        <f>'[8]Rev_NP-12me'!AU231</f>
        <v>0</v>
      </c>
      <c r="G197" s="378">
        <f>'[8]Rev_NP-12me'!AW231</f>
        <v>0</v>
      </c>
      <c r="H197" s="374">
        <f t="shared" si="15"/>
        <v>0</v>
      </c>
      <c r="I197" s="378">
        <f>'[8]Rev_NP-12me'!BN231</f>
        <v>0</v>
      </c>
      <c r="J197" s="378">
        <f>'[8]Rev_NP-12me'!BO231</f>
        <v>0</v>
      </c>
      <c r="K197" s="378">
        <f>'[8]Rev_NP-12me'!BQ231</f>
        <v>0</v>
      </c>
      <c r="L197" s="404">
        <f t="shared" si="16"/>
        <v>0</v>
      </c>
      <c r="M197" s="403" t="str">
        <f t="shared" si="14"/>
        <v/>
      </c>
    </row>
    <row r="198" spans="2:13" x14ac:dyDescent="0.25">
      <c r="B198" s="383" t="s">
        <v>1164</v>
      </c>
      <c r="C198" s="17"/>
      <c r="D198" s="373">
        <f>'[8]Rev_NP-12me'!AQ232</f>
        <v>1291.8264726500001</v>
      </c>
      <c r="E198" s="373">
        <f>'[8]Rev_NP-12me'!AT232</f>
        <v>424.72293209843752</v>
      </c>
      <c r="F198" s="373">
        <f>'[8]Rev_NP-12me'!AU232</f>
        <v>813.85067776950007</v>
      </c>
      <c r="G198" s="373">
        <f>'[8]Rev_NP-12me'!AW232</f>
        <v>0.222</v>
      </c>
      <c r="H198" s="374">
        <f t="shared" si="15"/>
        <v>1238.7956098679376</v>
      </c>
      <c r="I198" s="373">
        <f>'[8]Rev_NP-12me'!BN232</f>
        <v>444.02851992109379</v>
      </c>
      <c r="J198" s="373">
        <f>'[8]Rev_NP-12me'!BO232</f>
        <v>813.85067776949995</v>
      </c>
      <c r="K198" s="373">
        <f>'[8]Rev_NP-12me'!BQ232</f>
        <v>0.222</v>
      </c>
      <c r="L198" s="402">
        <f t="shared" si="16"/>
        <v>1258.1011976905936</v>
      </c>
      <c r="M198" s="403">
        <f t="shared" si="14"/>
        <v>9.7389333964474041</v>
      </c>
    </row>
    <row r="199" spans="2:13" ht="14.4" x14ac:dyDescent="0.25">
      <c r="B199" s="385" t="s">
        <v>1137</v>
      </c>
      <c r="C199" s="17"/>
      <c r="D199" s="378">
        <f>'[8]Rev_NP-12me'!AQ233</f>
        <v>1291.8264726500001</v>
      </c>
      <c r="E199" s="378">
        <f>'[8]Rev_NP-12me'!AT233</f>
        <v>424.72293209843752</v>
      </c>
      <c r="F199" s="378">
        <f>'[8]Rev_NP-12me'!AU233</f>
        <v>813.85067776950007</v>
      </c>
      <c r="G199" s="378">
        <f>'[8]Rev_NP-12me'!AW233</f>
        <v>0.222</v>
      </c>
      <c r="H199" s="374">
        <f t="shared" si="15"/>
        <v>1238.7956098679376</v>
      </c>
      <c r="I199" s="378">
        <f>'[8]Rev_NP-12me'!BN233</f>
        <v>444.02851992109379</v>
      </c>
      <c r="J199" s="378">
        <f>'[8]Rev_NP-12me'!BO233</f>
        <v>813.85067776949995</v>
      </c>
      <c r="K199" s="378">
        <f>'[8]Rev_NP-12me'!BQ233</f>
        <v>0.222</v>
      </c>
      <c r="L199" s="404">
        <f t="shared" si="16"/>
        <v>1258.1011976905936</v>
      </c>
      <c r="M199" s="403">
        <f t="shared" si="14"/>
        <v>9.7389333964474041</v>
      </c>
    </row>
    <row r="200" spans="2:13" ht="14.4" x14ac:dyDescent="0.25">
      <c r="B200" s="385" t="s">
        <v>1165</v>
      </c>
      <c r="C200" s="17"/>
      <c r="D200" s="378">
        <f>'[8]Rev_SP-12me'!AQ239</f>
        <v>0</v>
      </c>
      <c r="E200" s="378">
        <f>'[8]Rev_SP-12me'!AT239</f>
        <v>0</v>
      </c>
      <c r="F200" s="378">
        <f>'[8]Rev_SP-12me'!AU239</f>
        <v>0</v>
      </c>
      <c r="G200" s="378">
        <f>'[8]Rev_SP-12me'!AW239</f>
        <v>0</v>
      </c>
      <c r="H200" s="374">
        <f t="shared" si="15"/>
        <v>0</v>
      </c>
      <c r="I200" s="378">
        <f>'[8]Rev_SP-12me'!BN239</f>
        <v>0</v>
      </c>
      <c r="J200" s="378">
        <f>'[8]Rev_SP-12me'!BO239</f>
        <v>0</v>
      </c>
      <c r="K200" s="378">
        <f>'[8]Rev_SP-12me'!BQ239</f>
        <v>0</v>
      </c>
      <c r="L200" s="404">
        <f t="shared" si="16"/>
        <v>0</v>
      </c>
      <c r="M200" s="403" t="str">
        <f t="shared" si="14"/>
        <v/>
      </c>
    </row>
    <row r="201" spans="2:13" x14ac:dyDescent="0.25">
      <c r="B201" s="383" t="s">
        <v>1166</v>
      </c>
      <c r="C201" s="17"/>
      <c r="D201" s="373">
        <f>'[8]Rev_NP-12me'!AQ242</f>
        <v>28.750592634089028</v>
      </c>
      <c r="E201" s="373">
        <f>'[8]Rev_NP-12me'!AT242</f>
        <v>0</v>
      </c>
      <c r="F201" s="373">
        <f>'[8]Rev_NP-12me'!AU242</f>
        <v>17.537861506794307</v>
      </c>
      <c r="G201" s="373">
        <f>'[8]Rev_NP-12me'!AW242</f>
        <v>6.0000000000000001E-3</v>
      </c>
      <c r="H201" s="374">
        <f t="shared" si="15"/>
        <v>17.543861506794308</v>
      </c>
      <c r="I201" s="373">
        <f>'[8]Rev_NP-12me'!BN242</f>
        <v>0</v>
      </c>
      <c r="J201" s="373">
        <f>'[8]Rev_NP-12me'!BO242</f>
        <v>17.537861506794307</v>
      </c>
      <c r="K201" s="373">
        <f>'[8]Rev_NP-12me'!BQ242</f>
        <v>6.0000000000000001E-3</v>
      </c>
      <c r="L201" s="402">
        <f t="shared" si="16"/>
        <v>17.543861506794308</v>
      </c>
      <c r="M201" s="403">
        <f t="shared" si="14"/>
        <v>6.1020869135034417</v>
      </c>
    </row>
    <row r="202" spans="2:13" ht="14.4" x14ac:dyDescent="0.25">
      <c r="B202" s="385" t="s">
        <v>216</v>
      </c>
      <c r="C202" s="17"/>
      <c r="D202" s="378">
        <f>'[8]Rev_NP-12me'!AQ243</f>
        <v>28.750592634089028</v>
      </c>
      <c r="E202" s="378">
        <f>'[8]Rev_NP-12me'!AT243</f>
        <v>0</v>
      </c>
      <c r="F202" s="378">
        <f>'[8]Rev_NP-12me'!AU243</f>
        <v>17.537861506794307</v>
      </c>
      <c r="G202" s="378">
        <f>'[8]Rev_NP-12me'!AW243</f>
        <v>6.0000000000000001E-3</v>
      </c>
      <c r="H202" s="374">
        <f t="shared" si="15"/>
        <v>17.543861506794308</v>
      </c>
      <c r="I202" s="378">
        <f>'[8]Rev_NP-12me'!BN243</f>
        <v>0</v>
      </c>
      <c r="J202" s="378">
        <f>'[8]Rev_NP-12me'!BO243</f>
        <v>17.537861506794307</v>
      </c>
      <c r="K202" s="378">
        <f>'[8]Rev_NP-12me'!BQ243</f>
        <v>6.0000000000000001E-3</v>
      </c>
      <c r="L202" s="404">
        <f t="shared" si="16"/>
        <v>17.543861506794308</v>
      </c>
      <c r="M202" s="403">
        <f t="shared" si="14"/>
        <v>6.1020869135034417</v>
      </c>
    </row>
    <row r="203" spans="2:13" x14ac:dyDescent="0.25">
      <c r="B203" s="383" t="s">
        <v>1167</v>
      </c>
      <c r="C203" s="17"/>
      <c r="D203" s="373">
        <f>'[8]Rev_NP-12me'!AQ245</f>
        <v>0</v>
      </c>
      <c r="E203" s="373">
        <f>'[8]Rev_NP-12me'!AT245</f>
        <v>0</v>
      </c>
      <c r="F203" s="373">
        <f>'[8]Rev_NP-12me'!AU245</f>
        <v>0</v>
      </c>
      <c r="G203" s="373">
        <f>'[8]Rev_NP-12me'!AW245</f>
        <v>0</v>
      </c>
      <c r="H203" s="374">
        <f t="shared" si="15"/>
        <v>0</v>
      </c>
      <c r="I203" s="373">
        <f>'[8]Rev_NP-12me'!BN245</f>
        <v>0</v>
      </c>
      <c r="J203" s="373">
        <f>'[8]Rev_NP-12me'!BO245</f>
        <v>0</v>
      </c>
      <c r="K203" s="373">
        <f>'[8]Rev_NP-12me'!BQ245</f>
        <v>0</v>
      </c>
      <c r="L203" s="404">
        <f t="shared" si="16"/>
        <v>0</v>
      </c>
      <c r="M203" s="403" t="str">
        <f t="shared" si="14"/>
        <v/>
      </c>
    </row>
    <row r="204" spans="2:13" x14ac:dyDescent="0.25">
      <c r="B204" s="399" t="s">
        <v>1168</v>
      </c>
      <c r="C204" s="17"/>
      <c r="D204" s="373">
        <f>'[8]Rev_NP-12me'!AQ235</f>
        <v>660.86056437582442</v>
      </c>
      <c r="E204" s="373">
        <f>'[8]Rev_NP-12me'!AT235</f>
        <v>81.36565020734389</v>
      </c>
      <c r="F204" s="373">
        <f>'[8]Rev_NP-12me'!AU235</f>
        <v>333.73458500979132</v>
      </c>
      <c r="G204" s="373">
        <f>'[8]Rev_NP-12me'!AW235</f>
        <v>7.8E-2</v>
      </c>
      <c r="H204" s="374">
        <f t="shared" si="15"/>
        <v>415.17823521713518</v>
      </c>
      <c r="I204" s="373">
        <f>'[8]Rev_NP-12me'!BN235</f>
        <v>83.506851528589777</v>
      </c>
      <c r="J204" s="373">
        <f>'[8]Rev_NP-12me'!BO235</f>
        <v>373.89478634179392</v>
      </c>
      <c r="K204" s="373">
        <f>'[8]Rev_NP-12me'!BQ235</f>
        <v>7.8E-2</v>
      </c>
      <c r="L204" s="402">
        <f t="shared" si="16"/>
        <v>457.47963787038367</v>
      </c>
      <c r="M204" s="403">
        <f t="shared" si="14"/>
        <v>6.9224835393600497</v>
      </c>
    </row>
    <row r="205" spans="2:13" ht="14.4" x14ac:dyDescent="0.25">
      <c r="B205" s="385" t="s">
        <v>1169</v>
      </c>
      <c r="C205" s="17"/>
      <c r="D205" s="378">
        <f>'[8]Rev_NP-12me'!AQ236</f>
        <v>660.86056437582442</v>
      </c>
      <c r="E205" s="378">
        <f>'[8]Rev_NP-12me'!AT236</f>
        <v>81.36565020734389</v>
      </c>
      <c r="F205" s="378">
        <f>'[8]Rev_NP-12me'!AU236</f>
        <v>333.73458500979132</v>
      </c>
      <c r="G205" s="378">
        <f>'[8]Rev_NP-12me'!AW236</f>
        <v>7.8E-2</v>
      </c>
      <c r="H205" s="374">
        <f t="shared" si="15"/>
        <v>415.17823521713518</v>
      </c>
      <c r="I205" s="378">
        <f>'[8]Rev_NP-12me'!BN236</f>
        <v>83.506851528589777</v>
      </c>
      <c r="J205" s="378">
        <f>'[8]Rev_NP-12me'!BO236</f>
        <v>373.89478634179392</v>
      </c>
      <c r="K205" s="378">
        <f>'[8]Rev_NP-12me'!BQ236</f>
        <v>7.8E-2</v>
      </c>
      <c r="L205" s="404">
        <f t="shared" si="16"/>
        <v>457.47963787038367</v>
      </c>
      <c r="M205" s="403">
        <f t="shared" si="14"/>
        <v>6.9224835393600497</v>
      </c>
    </row>
    <row r="206" spans="2:13" ht="14.4" x14ac:dyDescent="0.25">
      <c r="B206" s="385" t="s">
        <v>1170</v>
      </c>
      <c r="C206" s="17"/>
      <c r="D206" s="378">
        <f>'[8]Rev_NP-12me'!AQ237</f>
        <v>0</v>
      </c>
      <c r="E206" s="378">
        <f>'[8]Rev_NP-12me'!AT237</f>
        <v>0</v>
      </c>
      <c r="F206" s="378">
        <f>'[8]Rev_NP-12me'!AU237</f>
        <v>0</v>
      </c>
      <c r="G206" s="378">
        <f>'[8]Rev_NP-12me'!AW237</f>
        <v>0</v>
      </c>
      <c r="H206" s="374">
        <f t="shared" si="15"/>
        <v>0</v>
      </c>
      <c r="I206" s="378">
        <f>'[8]Rev_NP-12me'!BN237</f>
        <v>0</v>
      </c>
      <c r="J206" s="378">
        <f>'[8]Rev_NP-12me'!BO237</f>
        <v>0</v>
      </c>
      <c r="K206" s="378">
        <f>'[8]Rev_NP-12me'!BQ237</f>
        <v>0</v>
      </c>
      <c r="L206" s="404">
        <f t="shared" si="16"/>
        <v>0</v>
      </c>
      <c r="M206" s="403" t="str">
        <f t="shared" si="14"/>
        <v/>
      </c>
    </row>
    <row r="207" spans="2:13" ht="14.4" x14ac:dyDescent="0.25">
      <c r="B207" s="385" t="s">
        <v>1171</v>
      </c>
      <c r="C207" s="17"/>
      <c r="D207" s="378">
        <f>'[8]Rev_NP-12me'!AQ238</f>
        <v>0</v>
      </c>
      <c r="E207" s="378">
        <f>'[8]Rev_NP-12me'!AT238</f>
        <v>0</v>
      </c>
      <c r="F207" s="378">
        <f>'[8]Rev_NP-12me'!AU238</f>
        <v>0</v>
      </c>
      <c r="G207" s="378">
        <f>'[8]Rev_NP-12me'!AW238</f>
        <v>0</v>
      </c>
      <c r="H207" s="374">
        <f t="shared" si="15"/>
        <v>0</v>
      </c>
      <c r="I207" s="378">
        <f>'[8]Rev_NP-12me'!BN238</f>
        <v>0</v>
      </c>
      <c r="J207" s="378">
        <f>'[8]Rev_NP-12me'!BO238</f>
        <v>0</v>
      </c>
      <c r="K207" s="378">
        <f>'[8]Rev_NP-12me'!BQ238</f>
        <v>0</v>
      </c>
      <c r="L207" s="404">
        <f t="shared" si="16"/>
        <v>0</v>
      </c>
      <c r="M207" s="403" t="str">
        <f t="shared" si="14"/>
        <v/>
      </c>
    </row>
    <row r="208" spans="2:13" ht="14.4" x14ac:dyDescent="0.25">
      <c r="B208" s="400" t="s">
        <v>1172</v>
      </c>
      <c r="C208" s="17"/>
      <c r="D208" s="378">
        <f>'[8]Rev_NP-12me'!AQ239</f>
        <v>0</v>
      </c>
      <c r="E208" s="378">
        <f>'[8]Rev_NP-12me'!AT239</f>
        <v>0</v>
      </c>
      <c r="F208" s="378">
        <f>'[8]Rev_NP-12me'!AU239</f>
        <v>0</v>
      </c>
      <c r="G208" s="378">
        <f>'[8]Rev_NP-12me'!AW239</f>
        <v>0</v>
      </c>
      <c r="H208" s="374">
        <f t="shared" si="15"/>
        <v>0</v>
      </c>
      <c r="I208" s="378">
        <f>'[8]Rev_NP-12me'!BN239</f>
        <v>0</v>
      </c>
      <c r="J208" s="378">
        <f>'[8]Rev_NP-12me'!BO239</f>
        <v>0</v>
      </c>
      <c r="K208" s="378">
        <f>'[8]Rev_NP-12me'!BQ239</f>
        <v>0</v>
      </c>
      <c r="L208" s="404">
        <f t="shared" si="16"/>
        <v>0</v>
      </c>
      <c r="M208" s="403" t="str">
        <f t="shared" si="14"/>
        <v/>
      </c>
    </row>
    <row r="209" spans="2:13" x14ac:dyDescent="0.25">
      <c r="B209" s="383" t="s">
        <v>811</v>
      </c>
      <c r="C209" s="17"/>
      <c r="D209" s="373">
        <f>'[8]Rev_NP-12me'!AQ240</f>
        <v>66.75530056551726</v>
      </c>
      <c r="E209" s="373">
        <f>'[8]Rev_NP-12me'!AT240</f>
        <v>7.4879999999999995</v>
      </c>
      <c r="F209" s="373">
        <f>'[8]Rev_NP-12me'!AU240</f>
        <v>48.731369412827597</v>
      </c>
      <c r="G209" s="373">
        <f>'[8]Rev_NP-12me'!AW240</f>
        <v>1.2E-2</v>
      </c>
      <c r="H209" s="374">
        <f t="shared" si="15"/>
        <v>56.231369412827597</v>
      </c>
      <c r="I209" s="373">
        <f>'[8]Rev_NP-12me'!BN240</f>
        <v>8.0640000000000001</v>
      </c>
      <c r="J209" s="373">
        <f>'[8]Rev_NP-12me'!BO240</f>
        <v>48.73136941282759</v>
      </c>
      <c r="K209" s="373">
        <f>'[8]Rev_NP-12me'!BQ240</f>
        <v>1.2E-2</v>
      </c>
      <c r="L209" s="402">
        <f t="shared" si="16"/>
        <v>56.80736941282759</v>
      </c>
      <c r="M209" s="403">
        <f t="shared" si="14"/>
        <v>8.5097915718428627</v>
      </c>
    </row>
    <row r="210" spans="2:13" x14ac:dyDescent="0.25">
      <c r="B210" s="383" t="s">
        <v>813</v>
      </c>
      <c r="C210" s="17"/>
      <c r="D210" s="373">
        <f>'[8]Rev_NP-12me'!AQ241</f>
        <v>1.1619330000000001</v>
      </c>
      <c r="E210" s="373">
        <f>'[8]Rev_NP-12me'!AT241</f>
        <v>0.24</v>
      </c>
      <c r="F210" s="373">
        <f>'[8]Rev_NP-12me'!AU241</f>
        <v>1.2548876400000002</v>
      </c>
      <c r="G210" s="373">
        <f>'[8]Rev_NP-12me'!AW241</f>
        <v>6.0000000000000001E-3</v>
      </c>
      <c r="H210" s="374">
        <f t="shared" si="15"/>
        <v>1.5008876400000002</v>
      </c>
      <c r="I210" s="373">
        <f>'[8]Rev_NP-12me'!BN241</f>
        <v>0.24</v>
      </c>
      <c r="J210" s="373">
        <f>'[8]Rev_NP-12me'!BO241</f>
        <v>1.2548876400000002</v>
      </c>
      <c r="K210" s="373">
        <f>'[8]Rev_NP-12me'!BQ241</f>
        <v>6.0000000000000001E-3</v>
      </c>
      <c r="L210" s="402">
        <f t="shared" si="16"/>
        <v>1.5008876400000002</v>
      </c>
      <c r="M210" s="403">
        <f t="shared" si="14"/>
        <v>12.917161660784227</v>
      </c>
    </row>
    <row r="211" spans="2:13" x14ac:dyDescent="0.25">
      <c r="B211" s="391" t="s">
        <v>1173</v>
      </c>
      <c r="C211" s="17"/>
      <c r="D211" s="392">
        <f t="shared" ref="D211:K211" si="17">SUM(D169,D177,D182,D183,D188,D193,D198,D201,D203,D204,D209,D210)</f>
        <v>2714.174857998572</v>
      </c>
      <c r="E211" s="392">
        <f t="shared" si="17"/>
        <v>620.09593647592601</v>
      </c>
      <c r="F211" s="392">
        <f t="shared" si="17"/>
        <v>1660.7850099954537</v>
      </c>
      <c r="G211" s="392">
        <f t="shared" si="17"/>
        <v>0.46500000000000002</v>
      </c>
      <c r="H211" s="392">
        <f t="shared" si="17"/>
        <v>2281.3459464713796</v>
      </c>
      <c r="I211" s="392">
        <f t="shared" si="17"/>
        <v>644.91555072956885</v>
      </c>
      <c r="J211" s="392">
        <f t="shared" si="17"/>
        <v>1734.6916374274335</v>
      </c>
      <c r="K211" s="392">
        <f t="shared" si="17"/>
        <v>0.46500000000000002</v>
      </c>
      <c r="L211" s="392">
        <f t="shared" si="16"/>
        <v>2380.0721881570025</v>
      </c>
      <c r="M211" s="403">
        <f t="shared" si="14"/>
        <v>8.7690451525000999</v>
      </c>
    </row>
    <row r="212" spans="2:13" x14ac:dyDescent="0.25">
      <c r="B212" s="391"/>
      <c r="C212" s="17"/>
      <c r="D212" s="381"/>
      <c r="E212" s="381"/>
      <c r="F212" s="381"/>
      <c r="G212" s="381"/>
      <c r="H212" s="374"/>
      <c r="I212" s="381"/>
      <c r="J212" s="381"/>
      <c r="K212" s="381"/>
      <c r="L212" s="404"/>
      <c r="M212" s="403" t="str">
        <f t="shared" si="14"/>
        <v/>
      </c>
    </row>
    <row r="213" spans="2:13" x14ac:dyDescent="0.25">
      <c r="B213" s="28" t="s">
        <v>1174</v>
      </c>
      <c r="C213" s="17"/>
      <c r="D213" s="392">
        <f t="shared" ref="D213:L213" si="18">D122+D166+D211</f>
        <v>6225.2518015451815</v>
      </c>
      <c r="E213" s="392">
        <f t="shared" si="18"/>
        <v>990.95427860532766</v>
      </c>
      <c r="F213" s="392">
        <f t="shared" si="18"/>
        <v>3951.9429335833784</v>
      </c>
      <c r="G213" s="392">
        <f t="shared" si="18"/>
        <v>9.9915000000000003</v>
      </c>
      <c r="H213" s="392">
        <f t="shared" si="18"/>
        <v>4952.8887121887055</v>
      </c>
      <c r="I213" s="392">
        <f t="shared" si="18"/>
        <v>1025.7047144272628</v>
      </c>
      <c r="J213" s="392">
        <f t="shared" si="18"/>
        <v>4031.6925237668274</v>
      </c>
      <c r="K213" s="392">
        <f t="shared" si="18"/>
        <v>9.9915000000000003</v>
      </c>
      <c r="L213" s="392">
        <f t="shared" si="18"/>
        <v>5067.3887381940904</v>
      </c>
      <c r="M213" s="403">
        <f t="shared" si="14"/>
        <v>8.1400542495908432</v>
      </c>
    </row>
    <row r="214" spans="2:13" x14ac:dyDescent="0.25">
      <c r="B214" s="28" t="s">
        <v>1175</v>
      </c>
      <c r="C214" s="17"/>
      <c r="D214" s="392">
        <f t="shared" ref="D214:L214" si="19">D213+D72</f>
        <v>20535.804525181658</v>
      </c>
      <c r="E214" s="392">
        <f t="shared" si="19"/>
        <v>1181.8571560869932</v>
      </c>
      <c r="F214" s="392">
        <f t="shared" si="19"/>
        <v>7115.2346426366848</v>
      </c>
      <c r="G214" s="392">
        <f t="shared" si="19"/>
        <v>434.16904200000005</v>
      </c>
      <c r="H214" s="393">
        <f t="shared" si="19"/>
        <v>8731.2608407236785</v>
      </c>
      <c r="I214" s="392">
        <f t="shared" si="19"/>
        <v>1295.5468860426904</v>
      </c>
      <c r="J214" s="392">
        <f t="shared" si="19"/>
        <v>7194.9842328201339</v>
      </c>
      <c r="K214" s="392">
        <f t="shared" si="19"/>
        <v>434.16904200000005</v>
      </c>
      <c r="L214" s="393">
        <f t="shared" si="19"/>
        <v>8924.7001608628234</v>
      </c>
      <c r="M214" s="403">
        <f t="shared" si="14"/>
        <v>4.3459218507456434</v>
      </c>
    </row>
    <row r="215" spans="2:13" x14ac:dyDescent="0.25">
      <c r="B215" s="4"/>
      <c r="C215" s="4"/>
      <c r="H215" s="338"/>
    </row>
    <row r="216" spans="2:13" x14ac:dyDescent="0.25">
      <c r="B216" s="4"/>
      <c r="C216" s="4"/>
      <c r="H216" s="338"/>
    </row>
    <row r="217" spans="2:13" x14ac:dyDescent="0.25">
      <c r="B217" s="4"/>
      <c r="C217" s="4"/>
      <c r="H217" s="338"/>
    </row>
    <row r="218" spans="2:13" x14ac:dyDescent="0.25">
      <c r="B218" s="4"/>
      <c r="C218" s="4"/>
      <c r="H218" s="24"/>
    </row>
    <row r="219" spans="2:13" x14ac:dyDescent="0.25">
      <c r="B219" s="4"/>
      <c r="C219" s="4"/>
      <c r="H219" s="24" t="s">
        <v>984</v>
      </c>
    </row>
    <row r="220" spans="2:13" x14ac:dyDescent="0.25">
      <c r="B220" s="4"/>
      <c r="C220" s="4"/>
      <c r="H220" s="24"/>
    </row>
    <row r="221" spans="2:13" x14ac:dyDescent="0.25">
      <c r="B221" s="4"/>
      <c r="C221" s="4"/>
      <c r="H221" s="338"/>
    </row>
    <row r="222" spans="2:13" x14ac:dyDescent="0.25">
      <c r="B222" s="4"/>
      <c r="C222" s="4"/>
      <c r="H222" s="338"/>
    </row>
    <row r="223" spans="2:13" x14ac:dyDescent="0.25">
      <c r="B223" s="4"/>
      <c r="C223" s="4"/>
      <c r="H223" s="338"/>
    </row>
    <row r="224" spans="2:13" x14ac:dyDescent="0.25">
      <c r="B224" s="4"/>
      <c r="C224" s="4"/>
      <c r="H224" s="338"/>
      <c r="M224" s="405"/>
    </row>
    <row r="225" spans="2:8" x14ac:dyDescent="0.25">
      <c r="B225" s="4"/>
      <c r="C225" s="4"/>
      <c r="H225" s="338"/>
    </row>
    <row r="226" spans="2:8" x14ac:dyDescent="0.25">
      <c r="B226" s="4"/>
      <c r="C226" s="4"/>
      <c r="H226" s="338"/>
    </row>
    <row r="227" spans="2:8" x14ac:dyDescent="0.25">
      <c r="B227" s="4"/>
      <c r="C227" s="4"/>
      <c r="H227" s="338"/>
    </row>
    <row r="228" spans="2:8" x14ac:dyDescent="0.25">
      <c r="B228" s="4"/>
      <c r="C228" s="4"/>
      <c r="H228" s="338"/>
    </row>
    <row r="229" spans="2:8" x14ac:dyDescent="0.25">
      <c r="B229" s="4"/>
      <c r="C229" s="4"/>
      <c r="H229" s="338"/>
    </row>
    <row r="230" spans="2:8" x14ac:dyDescent="0.25">
      <c r="B230" s="4"/>
      <c r="C230" s="4"/>
      <c r="H230" s="338"/>
    </row>
    <row r="231" spans="2:8" x14ac:dyDescent="0.25">
      <c r="B231" s="4"/>
      <c r="C231" s="4"/>
      <c r="H231" s="338"/>
    </row>
    <row r="232" spans="2:8" x14ac:dyDescent="0.25">
      <c r="B232" s="4"/>
      <c r="C232" s="4"/>
      <c r="H232" s="338"/>
    </row>
    <row r="233" spans="2:8" x14ac:dyDescent="0.25">
      <c r="B233" s="4"/>
      <c r="C233" s="4"/>
      <c r="H233" s="338"/>
    </row>
    <row r="234" spans="2:8" x14ac:dyDescent="0.25">
      <c r="B234" s="4"/>
      <c r="C234" s="4"/>
      <c r="H234" s="338"/>
    </row>
    <row r="235" spans="2:8" x14ac:dyDescent="0.25">
      <c r="B235" s="4"/>
      <c r="C235" s="4"/>
      <c r="H235" s="338"/>
    </row>
    <row r="236" spans="2:8" x14ac:dyDescent="0.25">
      <c r="B236" s="4"/>
      <c r="C236" s="4"/>
      <c r="H236" s="338"/>
    </row>
    <row r="237" spans="2:8" x14ac:dyDescent="0.25">
      <c r="B237" s="4"/>
      <c r="C237" s="4"/>
      <c r="H237" s="338"/>
    </row>
    <row r="238" spans="2:8" x14ac:dyDescent="0.25">
      <c r="B238" s="4"/>
      <c r="C238" s="4"/>
      <c r="H238" s="338"/>
    </row>
    <row r="239" spans="2:8" x14ac:dyDescent="0.25">
      <c r="B239" s="4"/>
      <c r="C239" s="4"/>
      <c r="H239" s="338"/>
    </row>
    <row r="240" spans="2:8" x14ac:dyDescent="0.25">
      <c r="B240" s="4"/>
      <c r="C240" s="4"/>
      <c r="H240" s="338"/>
    </row>
    <row r="241" spans="2:8" x14ac:dyDescent="0.25">
      <c r="B241" s="4"/>
      <c r="C241" s="4"/>
      <c r="H241" s="338"/>
    </row>
    <row r="242" spans="2:8" x14ac:dyDescent="0.25">
      <c r="B242" s="4"/>
      <c r="C242" s="4"/>
      <c r="H242" s="338"/>
    </row>
    <row r="243" spans="2:8" x14ac:dyDescent="0.25">
      <c r="B243" s="4"/>
      <c r="C243" s="4"/>
      <c r="H243" s="338"/>
    </row>
    <row r="244" spans="2:8" x14ac:dyDescent="0.25">
      <c r="B244" s="4"/>
      <c r="C244" s="4"/>
      <c r="H244" s="338"/>
    </row>
    <row r="245" spans="2:8" x14ac:dyDescent="0.25">
      <c r="B245" s="4"/>
      <c r="C245" s="4"/>
      <c r="H245" s="338"/>
    </row>
    <row r="246" spans="2:8" x14ac:dyDescent="0.25">
      <c r="B246" s="4"/>
      <c r="C246" s="4"/>
      <c r="H246" s="338"/>
    </row>
    <row r="247" spans="2:8" x14ac:dyDescent="0.25">
      <c r="B247" s="4"/>
      <c r="C247" s="4"/>
      <c r="H247" s="338"/>
    </row>
    <row r="248" spans="2:8" x14ac:dyDescent="0.25">
      <c r="B248" s="4"/>
      <c r="C248" s="4"/>
      <c r="H248" s="338"/>
    </row>
    <row r="249" spans="2:8" x14ac:dyDescent="0.25">
      <c r="B249" s="4"/>
      <c r="C249" s="4"/>
      <c r="H249" s="338"/>
    </row>
    <row r="250" spans="2:8" x14ac:dyDescent="0.25">
      <c r="B250" s="4"/>
      <c r="C250" s="4"/>
      <c r="H250" s="338"/>
    </row>
    <row r="251" spans="2:8" x14ac:dyDescent="0.25">
      <c r="B251" s="4"/>
      <c r="C251" s="4"/>
      <c r="H251" s="338"/>
    </row>
    <row r="252" spans="2:8" x14ac:dyDescent="0.25">
      <c r="B252" s="4"/>
      <c r="C252" s="4"/>
      <c r="H252" s="338"/>
    </row>
    <row r="253" spans="2:8" x14ac:dyDescent="0.25">
      <c r="B253" s="4"/>
      <c r="C253" s="4"/>
      <c r="H253" s="338"/>
    </row>
    <row r="254" spans="2:8" x14ac:dyDescent="0.25">
      <c r="B254" s="4"/>
      <c r="C254" s="4"/>
      <c r="H254" s="338"/>
    </row>
    <row r="255" spans="2:8" x14ac:dyDescent="0.25">
      <c r="B255" s="4"/>
      <c r="C255" s="4"/>
      <c r="H255" s="338"/>
    </row>
    <row r="256" spans="2:8" x14ac:dyDescent="0.25">
      <c r="B256" s="4"/>
      <c r="C256" s="4"/>
    </row>
    <row r="257" spans="2:3" x14ac:dyDescent="0.25">
      <c r="B257" s="4"/>
      <c r="C257" s="4"/>
    </row>
    <row r="258" spans="2:3" x14ac:dyDescent="0.25">
      <c r="B258" s="4"/>
      <c r="C258" s="4"/>
    </row>
    <row r="259" spans="2:3" x14ac:dyDescent="0.25">
      <c r="B259" s="4"/>
      <c r="C259" s="4"/>
    </row>
    <row r="260" spans="2:3" x14ac:dyDescent="0.25">
      <c r="B260" s="4"/>
      <c r="C260" s="4"/>
    </row>
    <row r="261" spans="2:3" x14ac:dyDescent="0.25">
      <c r="B261" s="4"/>
      <c r="C261" s="4"/>
    </row>
    <row r="262" spans="2:3" x14ac:dyDescent="0.25">
      <c r="B262" s="4"/>
      <c r="C262" s="4"/>
    </row>
    <row r="263" spans="2:3" x14ac:dyDescent="0.25">
      <c r="B263" s="4"/>
      <c r="C263" s="4"/>
    </row>
    <row r="264" spans="2:3" x14ac:dyDescent="0.25">
      <c r="B264" s="4"/>
      <c r="C264" s="4"/>
    </row>
    <row r="265" spans="2:3" x14ac:dyDescent="0.25">
      <c r="B265" s="4"/>
      <c r="C265" s="4"/>
    </row>
    <row r="266" spans="2:3" x14ac:dyDescent="0.25">
      <c r="B266" s="4"/>
      <c r="C266" s="4"/>
    </row>
    <row r="267" spans="2:3" x14ac:dyDescent="0.25">
      <c r="B267" s="4"/>
      <c r="C267" s="4"/>
    </row>
    <row r="268" spans="2:3" x14ac:dyDescent="0.25">
      <c r="B268" s="4"/>
      <c r="C268" s="4"/>
    </row>
    <row r="269" spans="2:3" x14ac:dyDescent="0.25">
      <c r="B269" s="4"/>
      <c r="C269" s="4"/>
    </row>
    <row r="270" spans="2:3" x14ac:dyDescent="0.25">
      <c r="B270" s="4"/>
      <c r="C270" s="4"/>
    </row>
    <row r="271" spans="2:3" x14ac:dyDescent="0.25">
      <c r="B271" s="4"/>
      <c r="C271" s="4"/>
    </row>
    <row r="272" spans="2:3" x14ac:dyDescent="0.25">
      <c r="B272" s="4"/>
      <c r="C272" s="4"/>
    </row>
    <row r="273" spans="2:3" x14ac:dyDescent="0.25">
      <c r="B273" s="4"/>
      <c r="C273" s="4"/>
    </row>
    <row r="274" spans="2:3" x14ac:dyDescent="0.25">
      <c r="B274" s="4"/>
      <c r="C274" s="4"/>
    </row>
    <row r="275" spans="2:3" x14ac:dyDescent="0.25">
      <c r="B275" s="4"/>
      <c r="C275" s="4"/>
    </row>
    <row r="276" spans="2:3" x14ac:dyDescent="0.25">
      <c r="B276" s="4"/>
      <c r="C276" s="4"/>
    </row>
    <row r="277" spans="2:3" x14ac:dyDescent="0.25">
      <c r="B277" s="4"/>
      <c r="C277" s="4"/>
    </row>
    <row r="278" spans="2:3" x14ac:dyDescent="0.25">
      <c r="B278" s="4"/>
      <c r="C278" s="4"/>
    </row>
    <row r="279" spans="2:3" x14ac:dyDescent="0.25">
      <c r="B279" s="4"/>
      <c r="C279" s="4"/>
    </row>
    <row r="280" spans="2:3" x14ac:dyDescent="0.25">
      <c r="B280" s="4"/>
      <c r="C280" s="4"/>
    </row>
    <row r="281" spans="2:3" x14ac:dyDescent="0.25">
      <c r="B281" s="4"/>
      <c r="C281" s="4"/>
    </row>
    <row r="282" spans="2:3" x14ac:dyDescent="0.25">
      <c r="B282" s="4"/>
      <c r="C282" s="4"/>
    </row>
    <row r="283" spans="2:3" x14ac:dyDescent="0.25">
      <c r="B283" s="4"/>
      <c r="C283" s="4"/>
    </row>
    <row r="284" spans="2:3" x14ac:dyDescent="0.25">
      <c r="B284" s="4"/>
      <c r="C284" s="4"/>
    </row>
    <row r="285" spans="2:3" x14ac:dyDescent="0.25">
      <c r="B285" s="4"/>
      <c r="C285" s="4"/>
    </row>
    <row r="286" spans="2:3" x14ac:dyDescent="0.25">
      <c r="B286" s="4"/>
      <c r="C286" s="4"/>
    </row>
    <row r="287" spans="2:3" x14ac:dyDescent="0.25">
      <c r="B287" s="4"/>
      <c r="C287" s="4"/>
    </row>
    <row r="288" spans="2:3" x14ac:dyDescent="0.25">
      <c r="B288" s="4"/>
      <c r="C288" s="4"/>
    </row>
    <row r="289" spans="2:3" x14ac:dyDescent="0.25">
      <c r="B289" s="4"/>
      <c r="C289" s="4"/>
    </row>
    <row r="290" spans="2:3" x14ac:dyDescent="0.25">
      <c r="B290" s="4"/>
      <c r="C290" s="4"/>
    </row>
    <row r="291" spans="2:3" x14ac:dyDescent="0.25">
      <c r="B291" s="4"/>
      <c r="C291" s="4"/>
    </row>
    <row r="292" spans="2:3" x14ac:dyDescent="0.25">
      <c r="B292" s="4"/>
      <c r="C292" s="4"/>
    </row>
    <row r="293" spans="2:3" x14ac:dyDescent="0.25">
      <c r="B293" s="4" t="s">
        <v>226</v>
      </c>
      <c r="C293" s="4" t="s">
        <v>226</v>
      </c>
    </row>
  </sheetData>
  <mergeCells count="7">
    <mergeCell ref="B74:C74"/>
    <mergeCell ref="A3:R3"/>
    <mergeCell ref="B7:C9"/>
    <mergeCell ref="D7:D8"/>
    <mergeCell ref="E7:H7"/>
    <mergeCell ref="I7:M7"/>
    <mergeCell ref="B10:C10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293"/>
  <sheetViews>
    <sheetView showGridLines="0" zoomScale="70" zoomScaleNormal="70" workbookViewId="0">
      <pane xSplit="3" ySplit="10" topLeftCell="D179" activePane="bottomRight" state="frozen"/>
      <selection pane="topRight" activeCell="D1" sqref="D1"/>
      <selection pane="bottomLeft" activeCell="A11" sqref="A11"/>
      <selection pane="bottomRight" activeCell="A212" sqref="A212"/>
    </sheetView>
  </sheetViews>
  <sheetFormatPr defaultColWidth="9.109375" defaultRowHeight="13.8" x14ac:dyDescent="0.25"/>
  <cols>
    <col min="1" max="1" width="9.109375" style="176"/>
    <col min="2" max="2" width="33" style="176" customWidth="1"/>
    <col min="3" max="3" width="38.6640625" style="176" customWidth="1"/>
    <col min="4" max="4" width="18.6640625" style="176" customWidth="1"/>
    <col min="5" max="5" width="28.44140625" style="176" bestFit="1" customWidth="1"/>
    <col min="6" max="6" width="20.33203125" style="176" bestFit="1" customWidth="1"/>
    <col min="7" max="7" width="25.5546875" style="176" customWidth="1"/>
    <col min="8" max="8" width="17.44140625" style="176" customWidth="1"/>
    <col min="9" max="9" width="28.44140625" style="176" bestFit="1" customWidth="1"/>
    <col min="10" max="10" width="20.33203125" style="176" bestFit="1" customWidth="1"/>
    <col min="11" max="11" width="25.6640625" style="176" customWidth="1"/>
    <col min="12" max="12" width="16.88671875" style="176" customWidth="1"/>
    <col min="13" max="13" width="34.5546875" style="176" customWidth="1"/>
    <col min="14" max="16384" width="9.109375" style="176"/>
  </cols>
  <sheetData>
    <row r="2" spans="1:23" x14ac:dyDescent="0.25">
      <c r="B2" s="26"/>
      <c r="C2" s="26"/>
      <c r="D2" s="26"/>
      <c r="E2" s="26"/>
      <c r="F2" s="26"/>
      <c r="H2" s="26"/>
      <c r="I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</row>
    <row r="3" spans="1:23" x14ac:dyDescent="0.25">
      <c r="A3" s="826" t="s">
        <v>1178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</row>
    <row r="4" spans="1:23" x14ac:dyDescent="0.25">
      <c r="A4" s="235"/>
      <c r="B4" s="235"/>
      <c r="C4" s="235"/>
      <c r="D4" s="235"/>
      <c r="E4" s="235"/>
      <c r="F4" s="235"/>
      <c r="G4" s="235"/>
      <c r="H4" s="235"/>
    </row>
    <row r="7" spans="1:23" x14ac:dyDescent="0.25">
      <c r="B7" s="909" t="s">
        <v>163</v>
      </c>
      <c r="C7" s="910"/>
      <c r="D7" s="917" t="s">
        <v>770</v>
      </c>
      <c r="E7" s="908" t="s">
        <v>1179</v>
      </c>
      <c r="F7" s="908"/>
      <c r="G7" s="908"/>
      <c r="H7" s="908"/>
      <c r="I7" s="908" t="s">
        <v>1180</v>
      </c>
      <c r="J7" s="908"/>
      <c r="K7" s="908"/>
      <c r="L7" s="908"/>
      <c r="M7" s="908"/>
    </row>
    <row r="8" spans="1:23" x14ac:dyDescent="0.25">
      <c r="B8" s="911"/>
      <c r="C8" s="912"/>
      <c r="D8" s="917"/>
      <c r="E8" s="139" t="s">
        <v>993</v>
      </c>
      <c r="F8" s="139" t="s">
        <v>994</v>
      </c>
      <c r="G8" s="139" t="s">
        <v>990</v>
      </c>
      <c r="H8" s="139" t="s">
        <v>251</v>
      </c>
      <c r="I8" s="139" t="s">
        <v>993</v>
      </c>
      <c r="J8" s="139" t="s">
        <v>994</v>
      </c>
      <c r="K8" s="139" t="s">
        <v>990</v>
      </c>
      <c r="L8" s="139" t="s">
        <v>251</v>
      </c>
      <c r="M8" s="209" t="s">
        <v>1181</v>
      </c>
    </row>
    <row r="9" spans="1:23" x14ac:dyDescent="0.25">
      <c r="B9" s="913"/>
      <c r="C9" s="914"/>
      <c r="D9" s="209" t="s">
        <v>996</v>
      </c>
      <c r="E9" s="139" t="s">
        <v>682</v>
      </c>
      <c r="F9" s="139" t="s">
        <v>682</v>
      </c>
      <c r="G9" s="139" t="s">
        <v>682</v>
      </c>
      <c r="H9" s="139" t="s">
        <v>682</v>
      </c>
      <c r="I9" s="139" t="s">
        <v>682</v>
      </c>
      <c r="J9" s="139" t="s">
        <v>682</v>
      </c>
      <c r="K9" s="139" t="s">
        <v>682</v>
      </c>
      <c r="L9" s="139" t="s">
        <v>682</v>
      </c>
      <c r="M9" s="209" t="s">
        <v>756</v>
      </c>
    </row>
    <row r="10" spans="1:23" x14ac:dyDescent="0.25">
      <c r="B10" s="753" t="s">
        <v>781</v>
      </c>
      <c r="C10" s="754"/>
      <c r="E10" s="184"/>
      <c r="F10" s="184"/>
      <c r="G10" s="184"/>
      <c r="H10" s="184"/>
      <c r="I10" s="184"/>
      <c r="J10" s="184"/>
      <c r="K10" s="184"/>
      <c r="L10" s="239"/>
      <c r="M10" s="184"/>
    </row>
    <row r="11" spans="1:23" x14ac:dyDescent="0.25">
      <c r="B11" s="194" t="s">
        <v>899</v>
      </c>
      <c r="C11" s="59"/>
      <c r="D11" s="216">
        <f>'[70]Rev_NP-12me'!AQ10</f>
        <v>4284.0799010317169</v>
      </c>
      <c r="E11" s="216">
        <f>'[70]Rev_NP-12me'!AT10</f>
        <v>54.670261314302905</v>
      </c>
      <c r="F11" s="216">
        <f>'[70]Rev_NP-12me'!AU10</f>
        <v>1616.2074911703376</v>
      </c>
      <c r="G11" s="216">
        <f>'[70]Rev_NP-12me'!AW10</f>
        <v>305.13602400000002</v>
      </c>
      <c r="H11" s="215">
        <f t="shared" ref="H11:H42" si="0">SUM(E11:G11)</f>
        <v>1976.0137764846404</v>
      </c>
      <c r="I11" s="216">
        <f>E11</f>
        <v>54.670261314302905</v>
      </c>
      <c r="J11" s="216">
        <f>F11</f>
        <v>1616.2074911703376</v>
      </c>
      <c r="K11" s="216">
        <f>G11</f>
        <v>305.13602400000002</v>
      </c>
      <c r="L11" s="238">
        <f t="shared" ref="L11:L42" si="1">SUM(I11:K11)</f>
        <v>1976.0137764846404</v>
      </c>
      <c r="M11" s="236">
        <f t="shared" ref="M11:M42" si="2">IFERROR(L11*10/D11,"")</f>
        <v>4.6124578022197147</v>
      </c>
    </row>
    <row r="12" spans="1:23" x14ac:dyDescent="0.25">
      <c r="B12" s="192" t="s">
        <v>900</v>
      </c>
      <c r="C12" s="59"/>
      <c r="D12" s="224">
        <f>'[70]Rev_NP-12me'!AQ11</f>
        <v>1844.7571573783707</v>
      </c>
      <c r="E12" s="224">
        <f>'[70]Rev_NP-12me'!AT11</f>
        <v>29.971013092669985</v>
      </c>
      <c r="F12" s="224">
        <f>'[70]Rev_NP-12me'!AU11</f>
        <v>395.83490384870544</v>
      </c>
      <c r="G12" s="224">
        <f>'[70]Rev_NP-12me'!AW11</f>
        <v>189.90199200000001</v>
      </c>
      <c r="H12" s="218">
        <f t="shared" si="0"/>
        <v>615.70790894137542</v>
      </c>
      <c r="I12" s="224">
        <f t="shared" ref="I12:I70" si="3">E12</f>
        <v>29.971013092669985</v>
      </c>
      <c r="J12" s="224">
        <f t="shared" ref="J12:J70" si="4">F12</f>
        <v>395.83490384870544</v>
      </c>
      <c r="K12" s="224">
        <f t="shared" ref="K12:K70" si="5">G12</f>
        <v>189.90199200000001</v>
      </c>
      <c r="L12" s="237">
        <f t="shared" si="1"/>
        <v>615.70790894137542</v>
      </c>
      <c r="M12" s="236">
        <f t="shared" si="2"/>
        <v>3.3376095410648681</v>
      </c>
    </row>
    <row r="13" spans="1:23" ht="14.4" x14ac:dyDescent="0.25">
      <c r="B13" s="191" t="s">
        <v>901</v>
      </c>
      <c r="C13" s="59"/>
      <c r="D13" s="219">
        <f>'[70]Rev_NP-12me'!AQ12</f>
        <v>1530.7809994659958</v>
      </c>
      <c r="E13" s="219">
        <f>'[70]Rev_NP-12me'!AT12</f>
        <v>15.309548993881304</v>
      </c>
      <c r="F13" s="219">
        <f>'[70]Rev_NP-12me'!AU12</f>
        <v>298.50229489586917</v>
      </c>
      <c r="G13" s="219">
        <f>'[70]Rev_NP-12me'!AW12</f>
        <v>97.508039999999994</v>
      </c>
      <c r="H13" s="218">
        <f t="shared" si="0"/>
        <v>411.31988388975049</v>
      </c>
      <c r="I13" s="219">
        <f t="shared" si="3"/>
        <v>15.309548993881304</v>
      </c>
      <c r="J13" s="219">
        <f t="shared" si="4"/>
        <v>298.50229489586917</v>
      </c>
      <c r="K13" s="219">
        <f t="shared" si="5"/>
        <v>97.508039999999994</v>
      </c>
      <c r="L13" s="237">
        <f t="shared" si="1"/>
        <v>411.31988388975049</v>
      </c>
      <c r="M13" s="236">
        <f t="shared" si="2"/>
        <v>2.6869936590095977</v>
      </c>
    </row>
    <row r="14" spans="1:23" ht="14.4" x14ac:dyDescent="0.25">
      <c r="B14" s="191" t="s">
        <v>903</v>
      </c>
      <c r="C14" s="59"/>
      <c r="D14" s="219">
        <f>'[70]Rev_NP-12me'!AQ13</f>
        <v>313.97615791237502</v>
      </c>
      <c r="E14" s="219">
        <f>'[70]Rev_NP-12me'!AT13</f>
        <v>14.661464098788681</v>
      </c>
      <c r="F14" s="219">
        <f>'[70]Rev_NP-12me'!AU13</f>
        <v>97.332608952836253</v>
      </c>
      <c r="G14" s="219">
        <f>'[70]Rev_NP-12me'!AW13</f>
        <v>92.393951999999999</v>
      </c>
      <c r="H14" s="218">
        <f t="shared" si="0"/>
        <v>204.38802505162494</v>
      </c>
      <c r="I14" s="219">
        <f t="shared" si="3"/>
        <v>14.661464098788681</v>
      </c>
      <c r="J14" s="219">
        <f t="shared" si="4"/>
        <v>97.332608952836253</v>
      </c>
      <c r="K14" s="219">
        <f t="shared" si="5"/>
        <v>92.393951999999999</v>
      </c>
      <c r="L14" s="237">
        <f t="shared" si="1"/>
        <v>204.38802505162494</v>
      </c>
      <c r="M14" s="236">
        <f t="shared" si="2"/>
        <v>6.5096670527660221</v>
      </c>
    </row>
    <row r="15" spans="1:23" x14ac:dyDescent="0.25">
      <c r="B15" s="192" t="s">
        <v>904</v>
      </c>
      <c r="C15" s="59"/>
      <c r="D15" s="224">
        <f>'[70]Rev_NP-12me'!AQ14</f>
        <v>1339.266881197949</v>
      </c>
      <c r="E15" s="224">
        <f>'[70]Rev_NP-12me'!AT14</f>
        <v>16.457128918636243</v>
      </c>
      <c r="F15" s="224">
        <f>'[70]Rev_NP-12me'!AU14</f>
        <v>531.50088316616348</v>
      </c>
      <c r="G15" s="224">
        <f>'[70]Rev_NP-12me'!AW14</f>
        <v>74.302812000000003</v>
      </c>
      <c r="H15" s="218">
        <f t="shared" si="0"/>
        <v>622.26082408479976</v>
      </c>
      <c r="I15" s="224">
        <f t="shared" si="3"/>
        <v>16.457128918636243</v>
      </c>
      <c r="J15" s="224">
        <f t="shared" si="4"/>
        <v>531.50088316616348</v>
      </c>
      <c r="K15" s="224">
        <f t="shared" si="5"/>
        <v>74.302812000000003</v>
      </c>
      <c r="L15" s="237">
        <f t="shared" si="1"/>
        <v>622.26082408479976</v>
      </c>
      <c r="M15" s="236">
        <f t="shared" si="2"/>
        <v>4.6462794893292605</v>
      </c>
    </row>
    <row r="16" spans="1:23" ht="14.4" x14ac:dyDescent="0.25">
      <c r="B16" s="191" t="s">
        <v>905</v>
      </c>
      <c r="C16" s="59"/>
      <c r="D16" s="219">
        <f>'[70]Rev_NP-12me'!AQ15</f>
        <v>795.33728434894351</v>
      </c>
      <c r="E16" s="219">
        <f>'[70]Rev_NP-12me'!AT15</f>
        <v>0</v>
      </c>
      <c r="F16" s="219">
        <f>'[70]Rev_NP-12me'!AU15</f>
        <v>270.41467667864083</v>
      </c>
      <c r="G16" s="219">
        <f>'[70]Rev_NP-12me'!AW15</f>
        <v>0</v>
      </c>
      <c r="H16" s="218">
        <f t="shared" si="0"/>
        <v>270.41467667864083</v>
      </c>
      <c r="I16" s="219">
        <f t="shared" si="3"/>
        <v>0</v>
      </c>
      <c r="J16" s="219">
        <f t="shared" si="4"/>
        <v>270.41467667864083</v>
      </c>
      <c r="K16" s="219">
        <f t="shared" si="5"/>
        <v>0</v>
      </c>
      <c r="L16" s="237">
        <f t="shared" si="1"/>
        <v>270.41467667864083</v>
      </c>
      <c r="M16" s="236">
        <f t="shared" si="2"/>
        <v>3.4000000000000004</v>
      </c>
    </row>
    <row r="17" spans="2:13" ht="14.4" x14ac:dyDescent="0.25">
      <c r="B17" s="191" t="s">
        <v>906</v>
      </c>
      <c r="C17" s="59"/>
      <c r="D17" s="219">
        <f>'[70]Rev_NP-12me'!AQ16</f>
        <v>543.92959684900552</v>
      </c>
      <c r="E17" s="219">
        <f>'[70]Rev_NP-12me'!AT16</f>
        <v>16.457128918636243</v>
      </c>
      <c r="F17" s="219">
        <f>'[70]Rev_NP-12me'!AU16</f>
        <v>261.08620648752265</v>
      </c>
      <c r="G17" s="219">
        <f>'[70]Rev_NP-12me'!AW16</f>
        <v>74.302812000000003</v>
      </c>
      <c r="H17" s="218">
        <f t="shared" si="0"/>
        <v>351.84614740615893</v>
      </c>
      <c r="I17" s="219">
        <f t="shared" si="3"/>
        <v>16.457128918636243</v>
      </c>
      <c r="J17" s="219">
        <f t="shared" si="4"/>
        <v>261.08620648752265</v>
      </c>
      <c r="K17" s="219">
        <f t="shared" si="5"/>
        <v>74.302812000000003</v>
      </c>
      <c r="L17" s="237">
        <f t="shared" si="1"/>
        <v>351.84614740615893</v>
      </c>
      <c r="M17" s="236">
        <f t="shared" si="2"/>
        <v>6.4685972126615345</v>
      </c>
    </row>
    <row r="18" spans="2:13" x14ac:dyDescent="0.25">
      <c r="B18" s="192" t="s">
        <v>907</v>
      </c>
      <c r="C18" s="59"/>
      <c r="D18" s="224">
        <f>'[70]Rev_NP-12me'!AQ17</f>
        <v>1100.0558624553967</v>
      </c>
      <c r="E18" s="224">
        <f>'[70]Rev_NP-12me'!AT17</f>
        <v>8.2421193029966755</v>
      </c>
      <c r="F18" s="224">
        <f>'[70]Rev_NP-12me'!AU17</f>
        <v>688.87170415546859</v>
      </c>
      <c r="G18" s="224">
        <f>'[70]Rev_NP-12me'!AW17</f>
        <v>40.931220000000003</v>
      </c>
      <c r="H18" s="218">
        <f t="shared" si="0"/>
        <v>738.04504345846533</v>
      </c>
      <c r="I18" s="224">
        <f t="shared" si="3"/>
        <v>8.2421193029966755</v>
      </c>
      <c r="J18" s="224">
        <f t="shared" si="4"/>
        <v>688.87170415546859</v>
      </c>
      <c r="K18" s="224">
        <f t="shared" si="5"/>
        <v>40.931220000000003</v>
      </c>
      <c r="L18" s="237">
        <f t="shared" si="1"/>
        <v>738.04504345846533</v>
      </c>
      <c r="M18" s="236">
        <f t="shared" si="2"/>
        <v>6.7091596767740551</v>
      </c>
    </row>
    <row r="19" spans="2:13" ht="14.4" x14ac:dyDescent="0.25">
      <c r="B19" s="191" t="s">
        <v>908</v>
      </c>
      <c r="C19" s="59"/>
      <c r="D19" s="219">
        <f>'[70]Rev_NP-12me'!AQ18</f>
        <v>718.81089337300034</v>
      </c>
      <c r="E19" s="219">
        <f>'[70]Rev_NP-12me'!AT18</f>
        <v>0</v>
      </c>
      <c r="F19" s="219">
        <f>'[70]Rev_NP-12me'!AU18</f>
        <v>366.59355562023018</v>
      </c>
      <c r="G19" s="219">
        <f>'[70]Rev_NP-12me'!AW18</f>
        <v>0</v>
      </c>
      <c r="H19" s="218">
        <f t="shared" si="0"/>
        <v>366.59355562023018</v>
      </c>
      <c r="I19" s="219">
        <f t="shared" si="3"/>
        <v>0</v>
      </c>
      <c r="J19" s="219">
        <f t="shared" si="4"/>
        <v>366.59355562023018</v>
      </c>
      <c r="K19" s="219">
        <f t="shared" si="5"/>
        <v>0</v>
      </c>
      <c r="L19" s="237">
        <f t="shared" si="1"/>
        <v>366.59355562023018</v>
      </c>
      <c r="M19" s="236">
        <f t="shared" si="2"/>
        <v>5.1000000000000005</v>
      </c>
    </row>
    <row r="20" spans="2:13" ht="14.4" x14ac:dyDescent="0.25">
      <c r="B20" s="191" t="s">
        <v>909</v>
      </c>
      <c r="C20" s="59"/>
      <c r="D20" s="219">
        <f>'[70]Rev_NP-12me'!AQ19</f>
        <v>209.28074586228914</v>
      </c>
      <c r="E20" s="219">
        <f>'[70]Rev_NP-12me'!AT19</f>
        <v>4.8478837089554396</v>
      </c>
      <c r="F20" s="219">
        <f>'[70]Rev_NP-12me'!AU19</f>
        <v>161.14617431396263</v>
      </c>
      <c r="G20" s="219">
        <f>'[70]Rev_NP-12me'!AW19</f>
        <v>26.620740000000001</v>
      </c>
      <c r="H20" s="218">
        <f t="shared" si="0"/>
        <v>192.61479802291808</v>
      </c>
      <c r="I20" s="219">
        <f t="shared" si="3"/>
        <v>4.8478837089554396</v>
      </c>
      <c r="J20" s="219">
        <f t="shared" si="4"/>
        <v>161.14617431396263</v>
      </c>
      <c r="K20" s="219">
        <f t="shared" si="5"/>
        <v>26.620740000000001</v>
      </c>
      <c r="L20" s="237">
        <f t="shared" si="1"/>
        <v>192.61479802291808</v>
      </c>
      <c r="M20" s="236">
        <f t="shared" si="2"/>
        <v>9.2036559421315527</v>
      </c>
    </row>
    <row r="21" spans="2:13" ht="14.4" x14ac:dyDescent="0.25">
      <c r="B21" s="191" t="s">
        <v>910</v>
      </c>
      <c r="C21" s="59"/>
      <c r="D21" s="219">
        <f>'[70]Rev_NP-12me'!AQ20</f>
        <v>75.34855383060011</v>
      </c>
      <c r="E21" s="219">
        <f>'[70]Rev_NP-12me'!AT20</f>
        <v>1.6377271622399077</v>
      </c>
      <c r="F21" s="219">
        <f>'[70]Rev_NP-12me'!AU20</f>
        <v>67.813698447540105</v>
      </c>
      <c r="G21" s="219">
        <f>'[70]Rev_NP-12me'!AW20</f>
        <v>7.4355840000000004</v>
      </c>
      <c r="H21" s="218">
        <f t="shared" si="0"/>
        <v>76.887009609780023</v>
      </c>
      <c r="I21" s="219">
        <f t="shared" si="3"/>
        <v>1.6377271622399077</v>
      </c>
      <c r="J21" s="219">
        <f t="shared" si="4"/>
        <v>67.813698447540105</v>
      </c>
      <c r="K21" s="219">
        <f t="shared" si="5"/>
        <v>7.4355840000000004</v>
      </c>
      <c r="L21" s="237">
        <f t="shared" si="1"/>
        <v>76.887009609780023</v>
      </c>
      <c r="M21" s="236">
        <f t="shared" si="2"/>
        <v>10.204178541055837</v>
      </c>
    </row>
    <row r="22" spans="2:13" ht="14.4" x14ac:dyDescent="0.25">
      <c r="B22" s="191" t="s">
        <v>911</v>
      </c>
      <c r="C22" s="59"/>
      <c r="D22" s="219">
        <f>'[70]Rev_NP-12me'!AQ21</f>
        <v>65.947872315430999</v>
      </c>
      <c r="E22" s="219">
        <f>'[70]Rev_NP-12me'!AT21</f>
        <v>1.4495722670591176</v>
      </c>
      <c r="F22" s="219">
        <f>'[70]Rev_NP-12me'!AU21</f>
        <v>62.650478699659445</v>
      </c>
      <c r="G22" s="219">
        <f>'[70]Rev_NP-12me'!AW21</f>
        <v>5.9327519999999998</v>
      </c>
      <c r="H22" s="218">
        <f t="shared" si="0"/>
        <v>70.032802966718549</v>
      </c>
      <c r="I22" s="219">
        <f t="shared" si="3"/>
        <v>1.4495722670591176</v>
      </c>
      <c r="J22" s="219">
        <f t="shared" si="4"/>
        <v>62.650478699659445</v>
      </c>
      <c r="K22" s="219">
        <f t="shared" si="5"/>
        <v>5.9327519999999998</v>
      </c>
      <c r="L22" s="237">
        <f t="shared" si="1"/>
        <v>70.032802966718549</v>
      </c>
      <c r="M22" s="236">
        <f t="shared" si="2"/>
        <v>10.619418111284801</v>
      </c>
    </row>
    <row r="23" spans="2:13" ht="14.4" x14ac:dyDescent="0.25">
      <c r="B23" s="191" t="s">
        <v>912</v>
      </c>
      <c r="C23" s="59"/>
      <c r="D23" s="219">
        <f>'[70]Rev_NP-12me'!AQ22</f>
        <v>30.667797074076244</v>
      </c>
      <c r="E23" s="219">
        <f>'[70]Rev_NP-12me'!AT22</f>
        <v>0.3069361647422103</v>
      </c>
      <c r="F23" s="219">
        <f>'[70]Rev_NP-12me'!AU22</f>
        <v>30.66779707407624</v>
      </c>
      <c r="G23" s="219">
        <f>'[70]Rev_NP-12me'!AW22</f>
        <v>0.94214399999999998</v>
      </c>
      <c r="H23" s="218">
        <f t="shared" si="0"/>
        <v>31.916877238818451</v>
      </c>
      <c r="I23" s="219">
        <f t="shared" si="3"/>
        <v>0.3069361647422103</v>
      </c>
      <c r="J23" s="219">
        <f t="shared" si="4"/>
        <v>30.66779707407624</v>
      </c>
      <c r="K23" s="219">
        <f t="shared" si="5"/>
        <v>0.94214399999999998</v>
      </c>
      <c r="L23" s="237">
        <f t="shared" si="1"/>
        <v>31.916877238818451</v>
      </c>
      <c r="M23" s="236">
        <f t="shared" si="2"/>
        <v>10.40729373607277</v>
      </c>
    </row>
    <row r="24" spans="2:13" x14ac:dyDescent="0.25">
      <c r="B24" s="28" t="s">
        <v>913</v>
      </c>
      <c r="C24" s="17"/>
      <c r="D24" s="216">
        <f>'[70]Rev_NP-12me'!AQ23</f>
        <v>1023.4617399733908</v>
      </c>
      <c r="E24" s="216">
        <f>'[70]Rev_NP-12me'!AT23</f>
        <v>91.943428783198655</v>
      </c>
      <c r="F24" s="216">
        <f>'[70]Rev_NP-12me'!AU23</f>
        <v>1031.6339175249939</v>
      </c>
      <c r="G24" s="216">
        <f>'[70]Rev_NP-12me'!AW23</f>
        <v>46.364196</v>
      </c>
      <c r="H24" s="215">
        <f t="shared" si="0"/>
        <v>1169.9415423081925</v>
      </c>
      <c r="I24" s="216">
        <f t="shared" si="3"/>
        <v>91.943428783198655</v>
      </c>
      <c r="J24" s="216">
        <f t="shared" si="4"/>
        <v>1031.6339175249939</v>
      </c>
      <c r="K24" s="216">
        <f t="shared" si="5"/>
        <v>46.364196</v>
      </c>
      <c r="L24" s="238">
        <f t="shared" si="1"/>
        <v>1169.9415423081925</v>
      </c>
      <c r="M24" s="236">
        <f t="shared" si="2"/>
        <v>11.431219132222864</v>
      </c>
    </row>
    <row r="25" spans="2:13" x14ac:dyDescent="0.25">
      <c r="B25" s="187" t="s">
        <v>914</v>
      </c>
      <c r="C25" s="17"/>
      <c r="D25" s="224">
        <f>'[70]Rev_NP-12me'!AQ24</f>
        <v>69.678439956150896</v>
      </c>
      <c r="E25" s="224">
        <f>'[70]Rev_NP-12me'!AT24</f>
        <v>28.216308377168129</v>
      </c>
      <c r="F25" s="224">
        <f>'[70]Rev_NP-12me'!AU24</f>
        <v>48.77490796930563</v>
      </c>
      <c r="G25" s="224">
        <f>'[70]Rev_NP-12me'!AW24</f>
        <v>18.973050000000001</v>
      </c>
      <c r="H25" s="218">
        <f t="shared" si="0"/>
        <v>95.964266346473764</v>
      </c>
      <c r="I25" s="224">
        <f t="shared" si="3"/>
        <v>28.216308377168129</v>
      </c>
      <c r="J25" s="224">
        <f t="shared" si="4"/>
        <v>48.77490796930563</v>
      </c>
      <c r="K25" s="224">
        <f t="shared" si="5"/>
        <v>18.973050000000001</v>
      </c>
      <c r="L25" s="237">
        <f t="shared" si="1"/>
        <v>95.964266346473764</v>
      </c>
      <c r="M25" s="236">
        <f t="shared" si="2"/>
        <v>13.772447604576783</v>
      </c>
    </row>
    <row r="26" spans="2:13" ht="14.4" x14ac:dyDescent="0.25">
      <c r="B26" s="190" t="s">
        <v>901</v>
      </c>
      <c r="C26" s="17"/>
      <c r="D26" s="219">
        <f>'[70]Rev_NP-12me'!AQ25</f>
        <v>69.678439956150896</v>
      </c>
      <c r="E26" s="219">
        <f>'[70]Rev_NP-12me'!AT25</f>
        <v>28.216308377168129</v>
      </c>
      <c r="F26" s="219">
        <f>'[70]Rev_NP-12me'!AU25</f>
        <v>48.77490796930563</v>
      </c>
      <c r="G26" s="219">
        <f>'[70]Rev_NP-12me'!AW25</f>
        <v>18.973050000000001</v>
      </c>
      <c r="H26" s="218">
        <f t="shared" si="0"/>
        <v>95.964266346473764</v>
      </c>
      <c r="I26" s="219">
        <f t="shared" si="3"/>
        <v>28.216308377168129</v>
      </c>
      <c r="J26" s="219">
        <f t="shared" si="4"/>
        <v>48.77490796930563</v>
      </c>
      <c r="K26" s="219">
        <f t="shared" si="5"/>
        <v>18.973050000000001</v>
      </c>
      <c r="L26" s="237">
        <f t="shared" si="1"/>
        <v>95.964266346473764</v>
      </c>
      <c r="M26" s="236">
        <f t="shared" si="2"/>
        <v>13.772447604576783</v>
      </c>
    </row>
    <row r="27" spans="2:13" x14ac:dyDescent="0.25">
      <c r="B27" s="187" t="s">
        <v>915</v>
      </c>
      <c r="C27" s="17"/>
      <c r="D27" s="224">
        <f>'[70]Rev_NP-12me'!AQ26</f>
        <v>949.70780484072918</v>
      </c>
      <c r="E27" s="224">
        <f>'[70]Rev_NP-12me'!AT26</f>
        <v>62.699831502330312</v>
      </c>
      <c r="F27" s="224">
        <f>'[70]Rev_NP-12me'!AU26</f>
        <v>979.53345414344199</v>
      </c>
      <c r="G27" s="224">
        <f>'[70]Rev_NP-12me'!AW26</f>
        <v>26.534592</v>
      </c>
      <c r="H27" s="218">
        <f t="shared" si="0"/>
        <v>1068.7678776457724</v>
      </c>
      <c r="I27" s="224">
        <f t="shared" si="3"/>
        <v>62.699831502330312</v>
      </c>
      <c r="J27" s="224">
        <f t="shared" si="4"/>
        <v>979.53345414344199</v>
      </c>
      <c r="K27" s="224">
        <f t="shared" si="5"/>
        <v>26.534592</v>
      </c>
      <c r="L27" s="237">
        <f t="shared" si="1"/>
        <v>1068.7678776457724</v>
      </c>
      <c r="M27" s="236">
        <f t="shared" si="2"/>
        <v>11.253649514073544</v>
      </c>
    </row>
    <row r="28" spans="2:13" ht="14.4" x14ac:dyDescent="0.25">
      <c r="B28" s="189" t="s">
        <v>905</v>
      </c>
      <c r="C28" s="17"/>
      <c r="D28" s="219">
        <f>'[70]Rev_NP-12me'!AQ27</f>
        <v>183.94967809169142</v>
      </c>
      <c r="E28" s="219">
        <f>'[70]Rev_NP-12me'!AT27</f>
        <v>11.191709191881543</v>
      </c>
      <c r="F28" s="219">
        <f>'[70]Rev_NP-12me'!AU27</f>
        <v>156.35722637793771</v>
      </c>
      <c r="G28" s="219">
        <f>'[70]Rev_NP-12me'!AW27</f>
        <v>9.5175540000000005</v>
      </c>
      <c r="H28" s="218">
        <f t="shared" si="0"/>
        <v>177.06648956981925</v>
      </c>
      <c r="I28" s="219">
        <f t="shared" si="3"/>
        <v>11.191709191881543</v>
      </c>
      <c r="J28" s="219">
        <f t="shared" si="4"/>
        <v>156.35722637793771</v>
      </c>
      <c r="K28" s="219">
        <f t="shared" si="5"/>
        <v>9.5175540000000005</v>
      </c>
      <c r="L28" s="237">
        <f t="shared" si="1"/>
        <v>177.06648956981925</v>
      </c>
      <c r="M28" s="236">
        <f t="shared" si="2"/>
        <v>9.6258113309423035</v>
      </c>
    </row>
    <row r="29" spans="2:13" ht="14.4" x14ac:dyDescent="0.25">
      <c r="B29" s="189" t="s">
        <v>916</v>
      </c>
      <c r="C29" s="17"/>
      <c r="D29" s="219">
        <f>'[70]Rev_NP-12me'!AQ28</f>
        <v>110.5873326997924</v>
      </c>
      <c r="E29" s="219">
        <f>'[70]Rev_NP-12me'!AT28</f>
        <v>15.190920146146212</v>
      </c>
      <c r="F29" s="219">
        <f>'[70]Rev_NP-12me'!AU28</f>
        <v>109.48145937279449</v>
      </c>
      <c r="G29" s="219">
        <f>'[70]Rev_NP-12me'!AW28</f>
        <v>9.6285419999999995</v>
      </c>
      <c r="H29" s="218">
        <f t="shared" si="0"/>
        <v>134.3009215189407</v>
      </c>
      <c r="I29" s="219">
        <f t="shared" si="3"/>
        <v>15.190920146146212</v>
      </c>
      <c r="J29" s="219">
        <f t="shared" si="4"/>
        <v>109.48145937279449</v>
      </c>
      <c r="K29" s="219">
        <f t="shared" si="5"/>
        <v>9.6285419999999995</v>
      </c>
      <c r="L29" s="237">
        <f t="shared" si="1"/>
        <v>134.3009215189407</v>
      </c>
      <c r="M29" s="236">
        <f t="shared" si="2"/>
        <v>12.144331384094663</v>
      </c>
    </row>
    <row r="30" spans="2:13" ht="14.4" x14ac:dyDescent="0.25">
      <c r="B30" s="189" t="s">
        <v>917</v>
      </c>
      <c r="C30" s="17"/>
      <c r="D30" s="219">
        <f>'[70]Rev_NP-12me'!AQ29</f>
        <v>116.55175102433702</v>
      </c>
      <c r="E30" s="219">
        <f>'[70]Rev_NP-12me'!AT29</f>
        <v>6.1673797740701009</v>
      </c>
      <c r="F30" s="219">
        <f>'[70]Rev_NP-12me'!AU29</f>
        <v>121.2138210653105</v>
      </c>
      <c r="G30" s="219">
        <f>'[70]Rev_NP-12me'!AW29</f>
        <v>2.8510559999999998</v>
      </c>
      <c r="H30" s="218">
        <f t="shared" si="0"/>
        <v>130.2322568393806</v>
      </c>
      <c r="I30" s="219">
        <f t="shared" si="3"/>
        <v>6.1673797740701009</v>
      </c>
      <c r="J30" s="219">
        <f t="shared" si="4"/>
        <v>121.2138210653105</v>
      </c>
      <c r="K30" s="219">
        <f t="shared" si="5"/>
        <v>2.8510559999999998</v>
      </c>
      <c r="L30" s="237">
        <f t="shared" si="1"/>
        <v>130.2322568393806</v>
      </c>
      <c r="M30" s="236">
        <f t="shared" si="2"/>
        <v>11.173770938214988</v>
      </c>
    </row>
    <row r="31" spans="2:13" ht="14.4" x14ac:dyDescent="0.25">
      <c r="B31" s="189" t="s">
        <v>918</v>
      </c>
      <c r="C31" s="17"/>
      <c r="D31" s="219">
        <f>'[70]Rev_NP-12me'!AQ30</f>
        <v>538.61904302490836</v>
      </c>
      <c r="E31" s="219">
        <f>'[70]Rev_NP-12me'!AT30</f>
        <v>30.149822390232455</v>
      </c>
      <c r="F31" s="219">
        <f>'[70]Rev_NP-12me'!AU30</f>
        <v>592.48094732739924</v>
      </c>
      <c r="G31" s="219">
        <f>'[70]Rev_NP-12me'!AW30</f>
        <v>4.5374400000000001</v>
      </c>
      <c r="H31" s="218">
        <f t="shared" si="0"/>
        <v>627.16820971763161</v>
      </c>
      <c r="I31" s="219">
        <f t="shared" si="3"/>
        <v>30.149822390232455</v>
      </c>
      <c r="J31" s="219">
        <f t="shared" si="4"/>
        <v>592.48094732739924</v>
      </c>
      <c r="K31" s="219">
        <f t="shared" si="5"/>
        <v>4.5374400000000001</v>
      </c>
      <c r="L31" s="237">
        <f t="shared" si="1"/>
        <v>627.16820971763161</v>
      </c>
      <c r="M31" s="236">
        <f t="shared" si="2"/>
        <v>11.644003639296287</v>
      </c>
    </row>
    <row r="32" spans="2:13" x14ac:dyDescent="0.25">
      <c r="B32" s="187" t="s">
        <v>919</v>
      </c>
      <c r="C32" s="17"/>
      <c r="D32" s="224">
        <f>'[70]Rev_NP-12me'!AQ31</f>
        <v>1.2279684785827203</v>
      </c>
      <c r="E32" s="224">
        <f>'[70]Rev_NP-12me'!AT31</f>
        <v>0.16205004090508671</v>
      </c>
      <c r="F32" s="224">
        <f>'[70]Rev_NP-12me'!AU31</f>
        <v>1.5963590221575363</v>
      </c>
      <c r="G32" s="224">
        <f>'[70]Rev_NP-12me'!AW31</f>
        <v>9.9360000000000004E-2</v>
      </c>
      <c r="H32" s="218">
        <f t="shared" si="0"/>
        <v>1.8577690630626229</v>
      </c>
      <c r="I32" s="224">
        <f t="shared" si="3"/>
        <v>0.16205004090508671</v>
      </c>
      <c r="J32" s="224">
        <f t="shared" si="4"/>
        <v>1.5963590221575363</v>
      </c>
      <c r="K32" s="224">
        <f t="shared" si="5"/>
        <v>9.9360000000000004E-2</v>
      </c>
      <c r="L32" s="237">
        <f t="shared" si="1"/>
        <v>1.8577690630626229</v>
      </c>
      <c r="M32" s="236">
        <f t="shared" si="2"/>
        <v>15.128800905433641</v>
      </c>
    </row>
    <row r="33" spans="2:13" x14ac:dyDescent="0.25">
      <c r="B33" s="187" t="s">
        <v>920</v>
      </c>
      <c r="C33" s="17"/>
      <c r="D33" s="224">
        <f>'[70]Rev_NP-12me'!AQ32</f>
        <v>2.8475266979280032</v>
      </c>
      <c r="E33" s="224">
        <f>'[70]Rev_NP-12me'!AT32</f>
        <v>0.8652388627951223</v>
      </c>
      <c r="F33" s="224">
        <f>'[70]Rev_NP-12me'!AU32</f>
        <v>1.729196390088914</v>
      </c>
      <c r="G33" s="224">
        <f>'[70]Rev_NP-12me'!AW32</f>
        <v>0.75719399999999992</v>
      </c>
      <c r="H33" s="218">
        <f t="shared" si="0"/>
        <v>3.3516292528840363</v>
      </c>
      <c r="I33" s="224">
        <f t="shared" si="3"/>
        <v>0.8652388627951223</v>
      </c>
      <c r="J33" s="224">
        <f t="shared" si="4"/>
        <v>1.729196390088914</v>
      </c>
      <c r="K33" s="224">
        <f t="shared" si="5"/>
        <v>0.75719399999999992</v>
      </c>
      <c r="L33" s="237">
        <f t="shared" si="1"/>
        <v>3.3516292528840363</v>
      </c>
      <c r="M33" s="236">
        <f t="shared" si="2"/>
        <v>11.770317220635166</v>
      </c>
    </row>
    <row r="34" spans="2:13" ht="14.4" x14ac:dyDescent="0.25">
      <c r="B34" s="189" t="s">
        <v>901</v>
      </c>
      <c r="C34" s="17"/>
      <c r="D34" s="219">
        <f>'[70]Rev_NP-12me'!AQ33</f>
        <v>1.5090149894999914</v>
      </c>
      <c r="E34" s="219">
        <f>'[70]Rev_NP-12me'!AT33</f>
        <v>0.67492254355080072</v>
      </c>
      <c r="F34" s="219">
        <f>'[70]Rev_NP-12me'!AU33</f>
        <v>0.79977794443499539</v>
      </c>
      <c r="G34" s="219">
        <f>'[70]Rev_NP-12me'!AW33</f>
        <v>0.57866399999999996</v>
      </c>
      <c r="H34" s="218">
        <f t="shared" si="0"/>
        <v>2.053364487985796</v>
      </c>
      <c r="I34" s="219">
        <f t="shared" si="3"/>
        <v>0.67492254355080072</v>
      </c>
      <c r="J34" s="219">
        <f t="shared" si="4"/>
        <v>0.79977794443499539</v>
      </c>
      <c r="K34" s="219">
        <f t="shared" si="5"/>
        <v>0.57866399999999996</v>
      </c>
      <c r="L34" s="237">
        <f t="shared" si="1"/>
        <v>2.053364487985796</v>
      </c>
      <c r="M34" s="236">
        <f t="shared" si="2"/>
        <v>13.607316708405749</v>
      </c>
    </row>
    <row r="35" spans="2:13" ht="14.4" x14ac:dyDescent="0.25">
      <c r="B35" s="189" t="s">
        <v>921</v>
      </c>
      <c r="C35" s="17"/>
      <c r="D35" s="219">
        <f>'[70]Rev_NP-12me'!AQ34</f>
        <v>0.82739261852322399</v>
      </c>
      <c r="E35" s="219">
        <f>'[70]Rev_NP-12me'!AT34</f>
        <v>0.11737198407759886</v>
      </c>
      <c r="F35" s="219">
        <f>'[70]Rev_NP-12me'!AU34</f>
        <v>0.54607912822532778</v>
      </c>
      <c r="G35" s="219">
        <f>'[70]Rev_NP-12me'!AW34</f>
        <v>0.115896</v>
      </c>
      <c r="H35" s="218">
        <f t="shared" si="0"/>
        <v>0.77934711230292664</v>
      </c>
      <c r="I35" s="219">
        <f t="shared" si="3"/>
        <v>0.11737198407759886</v>
      </c>
      <c r="J35" s="219">
        <f t="shared" si="4"/>
        <v>0.54607912822532778</v>
      </c>
      <c r="K35" s="219">
        <f t="shared" si="5"/>
        <v>0.115896</v>
      </c>
      <c r="L35" s="237">
        <f t="shared" si="1"/>
        <v>0.77934711230292664</v>
      </c>
      <c r="M35" s="236">
        <f t="shared" si="2"/>
        <v>9.4193142995878834</v>
      </c>
    </row>
    <row r="36" spans="2:13" ht="14.4" x14ac:dyDescent="0.25">
      <c r="B36" s="189" t="s">
        <v>922</v>
      </c>
      <c r="C36" s="17"/>
      <c r="D36" s="219">
        <f>'[70]Rev_NP-12me'!AQ35</f>
        <v>0.51111908990478794</v>
      </c>
      <c r="E36" s="219">
        <f>'[70]Rev_NP-12me'!AT35</f>
        <v>7.294433516672276E-2</v>
      </c>
      <c r="F36" s="219">
        <f>'[70]Rev_NP-12me'!AU35</f>
        <v>0.38333931742859095</v>
      </c>
      <c r="G36" s="219">
        <f>'[70]Rev_NP-12me'!AW35</f>
        <v>6.2633999999999995E-2</v>
      </c>
      <c r="H36" s="218">
        <f t="shared" si="0"/>
        <v>0.51891765259531375</v>
      </c>
      <c r="I36" s="219">
        <f t="shared" si="3"/>
        <v>7.294433516672276E-2</v>
      </c>
      <c r="J36" s="219">
        <f t="shared" si="4"/>
        <v>0.38333931742859095</v>
      </c>
      <c r="K36" s="219">
        <f t="shared" si="5"/>
        <v>6.2633999999999995E-2</v>
      </c>
      <c r="L36" s="237">
        <f t="shared" si="1"/>
        <v>0.51891765259531375</v>
      </c>
      <c r="M36" s="236">
        <f t="shared" si="2"/>
        <v>10.152578192530013</v>
      </c>
    </row>
    <row r="37" spans="2:13" x14ac:dyDescent="0.25">
      <c r="B37" s="28" t="s">
        <v>923</v>
      </c>
      <c r="C37" s="17"/>
      <c r="D37" s="216">
        <f>'[70]Rev_NP-12me'!AQ36</f>
        <v>243.56444720543399</v>
      </c>
      <c r="E37" s="216">
        <f>'[70]Rev_NP-12me'!AT36</f>
        <v>36.460685846572126</v>
      </c>
      <c r="F37" s="216">
        <f>'[70]Rev_NP-12me'!AU36</f>
        <v>186.26523603939924</v>
      </c>
      <c r="G37" s="216">
        <f>'[70]Rev_NP-12me'!AW36</f>
        <v>8.2560299999999973</v>
      </c>
      <c r="H37" s="215">
        <f t="shared" si="0"/>
        <v>230.98195188597137</v>
      </c>
      <c r="I37" s="216">
        <f t="shared" si="3"/>
        <v>36.460685846572126</v>
      </c>
      <c r="J37" s="216">
        <f t="shared" si="4"/>
        <v>186.26523603939924</v>
      </c>
      <c r="K37" s="216">
        <f t="shared" si="5"/>
        <v>8.2560299999999973</v>
      </c>
      <c r="L37" s="238">
        <f t="shared" si="1"/>
        <v>230.98195188597137</v>
      </c>
      <c r="M37" s="236">
        <f t="shared" si="2"/>
        <v>9.4834018074546851</v>
      </c>
    </row>
    <row r="38" spans="2:13" ht="14.4" x14ac:dyDescent="0.25">
      <c r="B38" s="189" t="s">
        <v>924</v>
      </c>
      <c r="C38" s="17"/>
      <c r="D38" s="219">
        <f>'[70]Rev_NP-12me'!AQ37</f>
        <v>226.08574903465961</v>
      </c>
      <c r="E38" s="219">
        <f>'[70]Rev_NP-12me'!AT37</f>
        <v>33.711938842821802</v>
      </c>
      <c r="F38" s="219">
        <f>'[70]Rev_NP-12me'!AU37</f>
        <v>174.08602675668789</v>
      </c>
      <c r="G38" s="219">
        <f>'[70]Rev_NP-12me'!AW37</f>
        <v>8.1578392962109465</v>
      </c>
      <c r="H38" s="218">
        <f t="shared" si="0"/>
        <v>215.95580489572063</v>
      </c>
      <c r="I38" s="219">
        <f t="shared" si="3"/>
        <v>33.711938842821802</v>
      </c>
      <c r="J38" s="219">
        <f t="shared" si="4"/>
        <v>174.08602675668789</v>
      </c>
      <c r="K38" s="219">
        <f t="shared" si="5"/>
        <v>8.1578392962109465</v>
      </c>
      <c r="L38" s="237">
        <f t="shared" si="1"/>
        <v>215.95580489572063</v>
      </c>
      <c r="M38" s="236">
        <f t="shared" si="2"/>
        <v>9.5519423854802081</v>
      </c>
    </row>
    <row r="39" spans="2:13" ht="14.4" x14ac:dyDescent="0.25">
      <c r="B39" s="189" t="s">
        <v>925</v>
      </c>
      <c r="C39" s="17"/>
      <c r="D39" s="219">
        <f>'[70]Rev_NP-12me'!AQ38</f>
        <v>0</v>
      </c>
      <c r="E39" s="219">
        <f>'[70]Rev_NP-12me'!AT38</f>
        <v>0</v>
      </c>
      <c r="F39" s="219">
        <f>'[70]Rev_NP-12me'!AU38</f>
        <v>0</v>
      </c>
      <c r="G39" s="219">
        <f>'[70]Rev_NP-12me'!AW38</f>
        <v>0</v>
      </c>
      <c r="H39" s="218">
        <f t="shared" si="0"/>
        <v>0</v>
      </c>
      <c r="I39" s="219">
        <f t="shared" si="3"/>
        <v>0</v>
      </c>
      <c r="J39" s="219">
        <f t="shared" si="4"/>
        <v>0</v>
      </c>
      <c r="K39" s="219">
        <f t="shared" si="5"/>
        <v>0</v>
      </c>
      <c r="L39" s="237">
        <f t="shared" si="1"/>
        <v>0</v>
      </c>
      <c r="M39" s="236" t="str">
        <f t="shared" si="2"/>
        <v/>
      </c>
    </row>
    <row r="40" spans="2:13" ht="14.4" x14ac:dyDescent="0.25">
      <c r="B40" s="189" t="s">
        <v>926</v>
      </c>
      <c r="C40" s="17"/>
      <c r="D40" s="219">
        <f>'[70]Rev_NP-12me'!AQ39</f>
        <v>0.69851749509964756</v>
      </c>
      <c r="E40" s="219">
        <f>'[70]Rev_NP-12me'!AT39</f>
        <v>4.3643788906026097E-2</v>
      </c>
      <c r="F40" s="219">
        <f>'[70]Rev_NP-12me'!AU39</f>
        <v>0.43308084696178151</v>
      </c>
      <c r="G40" s="219">
        <f>'[70]Rev_NP-12me'!AW39</f>
        <v>2.5630707096442359E-3</v>
      </c>
      <c r="H40" s="218">
        <f t="shared" si="0"/>
        <v>0.47928770657745184</v>
      </c>
      <c r="I40" s="219">
        <f t="shared" si="3"/>
        <v>4.3643788906026097E-2</v>
      </c>
      <c r="J40" s="219">
        <f t="shared" si="4"/>
        <v>0.43308084696178151</v>
      </c>
      <c r="K40" s="219">
        <f t="shared" si="5"/>
        <v>2.5630707096442359E-3</v>
      </c>
      <c r="L40" s="237">
        <f t="shared" si="1"/>
        <v>0.47928770657745184</v>
      </c>
      <c r="M40" s="236">
        <f t="shared" si="2"/>
        <v>6.8614989594366369</v>
      </c>
    </row>
    <row r="41" spans="2:13" ht="14.4" x14ac:dyDescent="0.25">
      <c r="B41" s="189" t="s">
        <v>927</v>
      </c>
      <c r="C41" s="17"/>
      <c r="D41" s="219">
        <f>'[70]Rev_NP-12me'!AQ40</f>
        <v>1.1522838565841614E-2</v>
      </c>
      <c r="E41" s="219">
        <f>'[70]Rev_NP-12me'!AT40</f>
        <v>7.0827066792998302E-4</v>
      </c>
      <c r="F41" s="219">
        <f>'[70]Rev_NP-12me'!AU40</f>
        <v>7.1441599108218014E-3</v>
      </c>
      <c r="G41" s="219">
        <f>'[70]Rev_NP-12me'!AW40</f>
        <v>4.0180151388812273E-4</v>
      </c>
      <c r="H41" s="218">
        <f t="shared" si="0"/>
        <v>8.2542320926399081E-3</v>
      </c>
      <c r="I41" s="219">
        <f t="shared" si="3"/>
        <v>7.0827066792998302E-4</v>
      </c>
      <c r="J41" s="219">
        <f t="shared" si="4"/>
        <v>7.1441599108218014E-3</v>
      </c>
      <c r="K41" s="219">
        <f t="shared" si="5"/>
        <v>4.0180151388812273E-4</v>
      </c>
      <c r="L41" s="237">
        <f t="shared" si="1"/>
        <v>8.2542320926399081E-3</v>
      </c>
      <c r="M41" s="236">
        <f t="shared" si="2"/>
        <v>7.163366947714441</v>
      </c>
    </row>
    <row r="42" spans="2:13" ht="14.4" x14ac:dyDescent="0.25">
      <c r="B42" s="189" t="s">
        <v>928</v>
      </c>
      <c r="C42" s="17"/>
      <c r="D42" s="219">
        <f>'[70]Rev_NP-12me'!AQ41</f>
        <v>16.73786484169058</v>
      </c>
      <c r="E42" s="219">
        <f>'[70]Rev_NP-12me'!AT41</f>
        <v>2.6988930723519653</v>
      </c>
      <c r="F42" s="219">
        <f>'[70]Rev_NP-12me'!AU41</f>
        <v>11.716505389183407</v>
      </c>
      <c r="G42" s="219">
        <f>'[70]Rev_NP-12me'!AW41</f>
        <v>9.4561313677165096E-2</v>
      </c>
      <c r="H42" s="218">
        <f t="shared" si="0"/>
        <v>14.509959775212536</v>
      </c>
      <c r="I42" s="219">
        <f t="shared" si="3"/>
        <v>2.6988930723519653</v>
      </c>
      <c r="J42" s="219">
        <f t="shared" si="4"/>
        <v>11.716505389183407</v>
      </c>
      <c r="K42" s="219">
        <f t="shared" si="5"/>
        <v>9.4561313677165096E-2</v>
      </c>
      <c r="L42" s="237">
        <f t="shared" si="1"/>
        <v>14.509959775212536</v>
      </c>
      <c r="M42" s="236">
        <f t="shared" si="2"/>
        <v>8.6689430894860671</v>
      </c>
    </row>
    <row r="43" spans="2:13" ht="14.4" x14ac:dyDescent="0.25">
      <c r="B43" s="189" t="s">
        <v>929</v>
      </c>
      <c r="C43" s="17"/>
      <c r="D43" s="219">
        <f>'[70]Rev_NP-12me'!AQ42</f>
        <v>3.07929954183041E-2</v>
      </c>
      <c r="E43" s="219">
        <f>'[70]Rev_NP-12me'!AT42</f>
        <v>5.5018718244061121E-3</v>
      </c>
      <c r="F43" s="219">
        <f>'[70]Rev_NP-12me'!AU42</f>
        <v>2.2478886655361994E-2</v>
      </c>
      <c r="G43" s="219">
        <f>'[70]Rev_NP-12me'!AW42</f>
        <v>6.6451788835343378E-4</v>
      </c>
      <c r="H43" s="218">
        <f t="shared" ref="H43:H70" si="6">SUM(E43:G43)</f>
        <v>2.8645276368121537E-2</v>
      </c>
      <c r="I43" s="219">
        <f t="shared" si="3"/>
        <v>5.5018718244061121E-3</v>
      </c>
      <c r="J43" s="219">
        <f t="shared" si="4"/>
        <v>2.2478886655361994E-2</v>
      </c>
      <c r="K43" s="219">
        <f t="shared" si="5"/>
        <v>6.6451788835343378E-4</v>
      </c>
      <c r="L43" s="237">
        <f t="shared" ref="L43:L70" si="7">SUM(I43:K43)</f>
        <v>2.8645276368121537E-2</v>
      </c>
      <c r="M43" s="236">
        <f t="shared" ref="M43:M74" si="8">IFERROR(L43*10/D43,"")</f>
        <v>9.302530000408499</v>
      </c>
    </row>
    <row r="44" spans="2:13" x14ac:dyDescent="0.25">
      <c r="B44" s="28" t="s">
        <v>930</v>
      </c>
      <c r="C44" s="17"/>
      <c r="D44" s="216">
        <f>'[70]Rev_NP-12me'!AQ43</f>
        <v>8.6217888213980398</v>
      </c>
      <c r="E44" s="216">
        <f>'[70]Rev_NP-12me'!AT43</f>
        <v>0.56018292103368694</v>
      </c>
      <c r="F44" s="216">
        <f>'[70]Rev_NP-12me'!AU43</f>
        <v>3.4487155285592159</v>
      </c>
      <c r="G44" s="216">
        <f>'[70]Rev_NP-12me'!AW43</f>
        <v>0.40293000000000001</v>
      </c>
      <c r="H44" s="215">
        <f t="shared" si="6"/>
        <v>4.4118284495929032</v>
      </c>
      <c r="I44" s="216">
        <f t="shared" si="3"/>
        <v>0.56018292103368694</v>
      </c>
      <c r="J44" s="216">
        <f t="shared" si="4"/>
        <v>3.4487155285592159</v>
      </c>
      <c r="K44" s="216">
        <f t="shared" si="5"/>
        <v>0.40293000000000001</v>
      </c>
      <c r="L44" s="238">
        <f t="shared" si="7"/>
        <v>4.4118284495929032</v>
      </c>
      <c r="M44" s="236">
        <f t="shared" si="8"/>
        <v>5.1170685584914581</v>
      </c>
    </row>
    <row r="45" spans="2:13" ht="14.4" x14ac:dyDescent="0.25">
      <c r="B45" s="189" t="s">
        <v>179</v>
      </c>
      <c r="C45" s="17"/>
      <c r="D45" s="219">
        <f>'[70]Rev_NP-12me'!AQ44</f>
        <v>8.2455053353668166</v>
      </c>
      <c r="E45" s="219">
        <f>'[70]Rev_NP-12me'!AT44</f>
        <v>0.52820161957332656</v>
      </c>
      <c r="F45" s="219">
        <f>'[70]Rev_NP-12me'!AU44</f>
        <v>3.2982021341467265</v>
      </c>
      <c r="G45" s="219">
        <f>'[70]Rev_NP-12me'!AW44</f>
        <v>0.38529000000000002</v>
      </c>
      <c r="H45" s="218">
        <f t="shared" si="6"/>
        <v>4.2116937537200529</v>
      </c>
      <c r="I45" s="219">
        <f t="shared" si="3"/>
        <v>0.52820161957332656</v>
      </c>
      <c r="J45" s="219">
        <f t="shared" si="4"/>
        <v>3.2982021341467265</v>
      </c>
      <c r="K45" s="219">
        <f t="shared" si="5"/>
        <v>0.38529000000000002</v>
      </c>
      <c r="L45" s="237">
        <f t="shared" si="7"/>
        <v>4.2116937537200529</v>
      </c>
      <c r="M45" s="236">
        <f t="shared" si="8"/>
        <v>5.1078661433340615</v>
      </c>
    </row>
    <row r="46" spans="2:13" ht="14.4" x14ac:dyDescent="0.25">
      <c r="B46" s="189" t="s">
        <v>932</v>
      </c>
      <c r="C46" s="17"/>
      <c r="D46" s="219">
        <f>'[70]Rev_NP-12me'!AQ45</f>
        <v>0.37628348603122352</v>
      </c>
      <c r="E46" s="219">
        <f>'[70]Rev_NP-12me'!AT45</f>
        <v>3.1981301460360358E-2</v>
      </c>
      <c r="F46" s="219">
        <f>'[70]Rev_NP-12me'!AU45</f>
        <v>0.1505133944124894</v>
      </c>
      <c r="G46" s="219">
        <f>'[70]Rev_NP-12me'!AW45</f>
        <v>1.7639999999999999E-2</v>
      </c>
      <c r="H46" s="218">
        <f t="shared" si="6"/>
        <v>0.20013469587284974</v>
      </c>
      <c r="I46" s="219">
        <f t="shared" si="3"/>
        <v>3.1981301460360358E-2</v>
      </c>
      <c r="J46" s="219">
        <f t="shared" si="4"/>
        <v>0.1505133944124894</v>
      </c>
      <c r="K46" s="219">
        <f t="shared" si="5"/>
        <v>1.7639999999999999E-2</v>
      </c>
      <c r="L46" s="237">
        <f t="shared" si="7"/>
        <v>0.20013469587284974</v>
      </c>
      <c r="M46" s="236">
        <f t="shared" si="8"/>
        <v>5.3187212115985023</v>
      </c>
    </row>
    <row r="47" spans="2:13" x14ac:dyDescent="0.25">
      <c r="B47" s="28" t="s">
        <v>933</v>
      </c>
      <c r="C47" s="17"/>
      <c r="D47" s="216">
        <f>'[70]Rev_NP-12me'!AQ46</f>
        <v>8281.4532016721751</v>
      </c>
      <c r="E47" s="216">
        <f>'[70]Rev_NP-12me'!AT46</f>
        <v>7.6520855474698113E-2</v>
      </c>
      <c r="F47" s="216">
        <f>'[70]Rev_NP-12me'!AU46</f>
        <v>1.0946261712589835</v>
      </c>
      <c r="G47" s="216">
        <f>'[70]Rev_NP-12me'!AW46</f>
        <v>48.397914</v>
      </c>
      <c r="H47" s="215">
        <f t="shared" si="6"/>
        <v>49.569061026733685</v>
      </c>
      <c r="I47" s="216">
        <f t="shared" si="3"/>
        <v>7.6520855474698113E-2</v>
      </c>
      <c r="J47" s="216">
        <f t="shared" si="4"/>
        <v>1.0946261712589835</v>
      </c>
      <c r="K47" s="216">
        <f t="shared" si="5"/>
        <v>48.397914</v>
      </c>
      <c r="L47" s="238">
        <f t="shared" si="7"/>
        <v>49.569061026733685</v>
      </c>
      <c r="M47" s="236">
        <f t="shared" si="8"/>
        <v>5.9855510644828372E-2</v>
      </c>
    </row>
    <row r="48" spans="2:13" x14ac:dyDescent="0.25">
      <c r="B48" s="187" t="s">
        <v>934</v>
      </c>
      <c r="C48" s="17"/>
      <c r="D48" s="224">
        <f>'[70]Rev_NP-12me'!AQ47</f>
        <v>8278.7166362440275</v>
      </c>
      <c r="E48" s="224">
        <f>'[70]Rev_NP-12me'!AT47</f>
        <v>0</v>
      </c>
      <c r="F48" s="224">
        <f>'[70]Rev_NP-12me'!AU47</f>
        <v>0</v>
      </c>
      <c r="G48" s="224">
        <f>'[70]Rev_NP-12me'!AW47</f>
        <v>48.385511999999999</v>
      </c>
      <c r="H48" s="218">
        <f t="shared" si="6"/>
        <v>48.385511999999999</v>
      </c>
      <c r="I48" s="224">
        <f t="shared" si="3"/>
        <v>0</v>
      </c>
      <c r="J48" s="224">
        <f t="shared" si="4"/>
        <v>0</v>
      </c>
      <c r="K48" s="224">
        <f t="shared" si="5"/>
        <v>48.385511999999999</v>
      </c>
      <c r="L48" s="237">
        <f t="shared" si="7"/>
        <v>48.385511999999999</v>
      </c>
      <c r="M48" s="236">
        <f t="shared" si="8"/>
        <v>5.8445667518283402E-2</v>
      </c>
    </row>
    <row r="49" spans="2:13" ht="14.4" x14ac:dyDescent="0.25">
      <c r="B49" s="189" t="s">
        <v>935</v>
      </c>
      <c r="C49" s="17"/>
      <c r="D49" s="219">
        <f>'[70]Rev_NP-12me'!AQ48</f>
        <v>0</v>
      </c>
      <c r="E49" s="219">
        <f>'[70]Rev_NP-12me'!AT48</f>
        <v>0</v>
      </c>
      <c r="F49" s="219">
        <f>'[70]Rev_NP-12me'!AU48</f>
        <v>0</v>
      </c>
      <c r="G49" s="219">
        <f>'[70]Rev_NP-12me'!AW48</f>
        <v>0</v>
      </c>
      <c r="H49" s="218">
        <f t="shared" si="6"/>
        <v>0</v>
      </c>
      <c r="I49" s="219">
        <f t="shared" si="3"/>
        <v>0</v>
      </c>
      <c r="J49" s="219">
        <f t="shared" si="4"/>
        <v>0</v>
      </c>
      <c r="K49" s="219">
        <f t="shared" si="5"/>
        <v>0</v>
      </c>
      <c r="L49" s="237">
        <f t="shared" si="7"/>
        <v>0</v>
      </c>
      <c r="M49" s="236" t="str">
        <f t="shared" si="8"/>
        <v/>
      </c>
    </row>
    <row r="50" spans="2:13" ht="14.4" x14ac:dyDescent="0.25">
      <c r="B50" s="187" t="s">
        <v>937</v>
      </c>
      <c r="C50" s="17"/>
      <c r="D50" s="219">
        <f>'[70]Rev_NP-12me'!AQ49</f>
        <v>8278.7166362440275</v>
      </c>
      <c r="E50" s="219">
        <f>'[70]Rev_NP-12me'!AT49</f>
        <v>0</v>
      </c>
      <c r="F50" s="219">
        <f>'[70]Rev_NP-12me'!AU49</f>
        <v>0</v>
      </c>
      <c r="G50" s="219">
        <f>'[70]Rev_NP-12me'!AW49</f>
        <v>0</v>
      </c>
      <c r="H50" s="218">
        <f t="shared" si="6"/>
        <v>0</v>
      </c>
      <c r="I50" s="219">
        <f t="shared" si="3"/>
        <v>0</v>
      </c>
      <c r="J50" s="219">
        <f t="shared" si="4"/>
        <v>0</v>
      </c>
      <c r="K50" s="219">
        <f t="shared" si="5"/>
        <v>0</v>
      </c>
      <c r="L50" s="237">
        <f t="shared" si="7"/>
        <v>0</v>
      </c>
      <c r="M50" s="236">
        <f t="shared" si="8"/>
        <v>0</v>
      </c>
    </row>
    <row r="51" spans="2:13" ht="14.4" x14ac:dyDescent="0.25">
      <c r="B51" s="189" t="s">
        <v>1112</v>
      </c>
      <c r="C51" s="17"/>
      <c r="D51" s="219">
        <f>'[70]Rev_NP-12me'!AQ50</f>
        <v>8278.7166362440275</v>
      </c>
      <c r="E51" s="219">
        <f>'[70]Rev_NP-12me'!AT50</f>
        <v>0</v>
      </c>
      <c r="F51" s="219">
        <f>'[70]Rev_NP-12me'!AU50</f>
        <v>0</v>
      </c>
      <c r="G51" s="219">
        <f>'[70]Rev_NP-12me'!AW50</f>
        <v>48.385511999999999</v>
      </c>
      <c r="H51" s="218">
        <f t="shared" si="6"/>
        <v>48.385511999999999</v>
      </c>
      <c r="I51" s="219">
        <f t="shared" si="3"/>
        <v>0</v>
      </c>
      <c r="J51" s="219">
        <f t="shared" si="4"/>
        <v>0</v>
      </c>
      <c r="K51" s="219">
        <f t="shared" si="5"/>
        <v>48.385511999999999</v>
      </c>
      <c r="L51" s="237">
        <f t="shared" si="7"/>
        <v>48.385511999999999</v>
      </c>
      <c r="M51" s="236">
        <f t="shared" si="8"/>
        <v>5.8445667518283402E-2</v>
      </c>
    </row>
    <row r="52" spans="2:13" ht="14.4" x14ac:dyDescent="0.25">
      <c r="B52" s="189" t="s">
        <v>1113</v>
      </c>
      <c r="C52" s="17"/>
      <c r="D52" s="219">
        <f>'[70]Rev_NP-12me'!AQ51</f>
        <v>0</v>
      </c>
      <c r="E52" s="219">
        <f>'[70]Rev_NP-12me'!AT51</f>
        <v>0</v>
      </c>
      <c r="F52" s="219">
        <f>'[70]Rev_NP-12me'!AU51</f>
        <v>0</v>
      </c>
      <c r="G52" s="219">
        <f>'[70]Rev_NP-12me'!AW51</f>
        <v>0</v>
      </c>
      <c r="H52" s="218">
        <f t="shared" si="6"/>
        <v>0</v>
      </c>
      <c r="I52" s="219">
        <f t="shared" si="3"/>
        <v>0</v>
      </c>
      <c r="J52" s="219">
        <f t="shared" si="4"/>
        <v>0</v>
      </c>
      <c r="K52" s="219">
        <f t="shared" si="5"/>
        <v>0</v>
      </c>
      <c r="L52" s="237">
        <f t="shared" si="7"/>
        <v>0</v>
      </c>
      <c r="M52" s="236" t="str">
        <f t="shared" si="8"/>
        <v/>
      </c>
    </row>
    <row r="53" spans="2:13" x14ac:dyDescent="0.25">
      <c r="B53" s="187" t="s">
        <v>938</v>
      </c>
      <c r="C53" s="17"/>
      <c r="D53" s="224">
        <f>'[70]Rev_NP-12me'!AQ52</f>
        <v>2.736565428147459</v>
      </c>
      <c r="E53" s="224">
        <f>'[70]Rev_NP-12me'!AT52</f>
        <v>7.6520855474698113E-2</v>
      </c>
      <c r="F53" s="224">
        <f>'[70]Rev_NP-12me'!AU52</f>
        <v>1.0946261712589835</v>
      </c>
      <c r="G53" s="224">
        <f>'[70]Rev_NP-12me'!AW52</f>
        <v>1.2402E-2</v>
      </c>
      <c r="H53" s="218">
        <f t="shared" si="6"/>
        <v>1.1835490267336817</v>
      </c>
      <c r="I53" s="224">
        <f t="shared" si="3"/>
        <v>7.6520855474698113E-2</v>
      </c>
      <c r="J53" s="224">
        <f t="shared" si="4"/>
        <v>1.0946261712589835</v>
      </c>
      <c r="K53" s="224">
        <f t="shared" si="5"/>
        <v>1.2402E-2</v>
      </c>
      <c r="L53" s="237">
        <f t="shared" si="7"/>
        <v>1.1835490267336817</v>
      </c>
      <c r="M53" s="236">
        <f t="shared" si="8"/>
        <v>4.3249432831390227</v>
      </c>
    </row>
    <row r="54" spans="2:13" ht="14.4" x14ac:dyDescent="0.25">
      <c r="B54" s="189" t="s">
        <v>939</v>
      </c>
      <c r="C54" s="17"/>
      <c r="D54" s="219">
        <f>'[70]Rev_NP-12me'!AQ53</f>
        <v>2.736565428147459</v>
      </c>
      <c r="E54" s="219">
        <f>'[70]Rev_NP-12me'!AT53</f>
        <v>7.6520855474698113E-2</v>
      </c>
      <c r="F54" s="219">
        <f>'[70]Rev_NP-12me'!AU53</f>
        <v>1.0946261712589835</v>
      </c>
      <c r="G54" s="219">
        <f>'[70]Rev_NP-12me'!AW53</f>
        <v>1.2402E-2</v>
      </c>
      <c r="H54" s="218">
        <f t="shared" si="6"/>
        <v>1.1835490267336817</v>
      </c>
      <c r="I54" s="219">
        <f t="shared" si="3"/>
        <v>7.6520855474698113E-2</v>
      </c>
      <c r="J54" s="219">
        <f t="shared" si="4"/>
        <v>1.0946261712589835</v>
      </c>
      <c r="K54" s="219">
        <f t="shared" si="5"/>
        <v>1.2402E-2</v>
      </c>
      <c r="L54" s="237">
        <f t="shared" si="7"/>
        <v>1.1835490267336817</v>
      </c>
      <c r="M54" s="236">
        <f t="shared" si="8"/>
        <v>4.3249432831390227</v>
      </c>
    </row>
    <row r="55" spans="2:13" x14ac:dyDescent="0.25">
      <c r="B55" s="28" t="s">
        <v>941</v>
      </c>
      <c r="C55" s="17"/>
      <c r="D55" s="216">
        <f>'[70]Rev_NP-12me'!AQ54</f>
        <v>135.67555133153809</v>
      </c>
      <c r="E55" s="216">
        <f>'[70]Rev_NP-12me'!AT54</f>
        <v>1.7696542172711687</v>
      </c>
      <c r="F55" s="216">
        <f>'[70]Rev_NP-12me'!AU54</f>
        <v>100.1529195868476</v>
      </c>
      <c r="G55" s="216">
        <f>'[70]Rev_NP-12me'!AW54</f>
        <v>7.2069840000000003</v>
      </c>
      <c r="H55" s="215">
        <f t="shared" si="6"/>
        <v>109.12955780411878</v>
      </c>
      <c r="I55" s="216">
        <f t="shared" si="3"/>
        <v>1.7696542172711687</v>
      </c>
      <c r="J55" s="216">
        <f t="shared" si="4"/>
        <v>100.1529195868476</v>
      </c>
      <c r="K55" s="216">
        <f t="shared" si="5"/>
        <v>7.2069840000000003</v>
      </c>
      <c r="L55" s="238">
        <f t="shared" si="7"/>
        <v>109.12955780411878</v>
      </c>
      <c r="M55" s="236">
        <f t="shared" si="8"/>
        <v>8.0434209946528057</v>
      </c>
    </row>
    <row r="56" spans="2:13" ht="14.4" x14ac:dyDescent="0.25">
      <c r="B56" s="189" t="s">
        <v>942</v>
      </c>
      <c r="C56" s="17"/>
      <c r="D56" s="219">
        <f>'[70]Rev_NP-12me'!AQ55</f>
        <v>83.806468768529356</v>
      </c>
      <c r="E56" s="219">
        <f>'[70]Rev_NP-12me'!AT55</f>
        <v>1.1578584146674662</v>
      </c>
      <c r="F56" s="219">
        <f>'[70]Rev_NP-12me'!AU55</f>
        <v>59.502592825655839</v>
      </c>
      <c r="G56" s="219">
        <f>'[70]Rev_NP-12me'!AW55</f>
        <v>5.3240400000000001</v>
      </c>
      <c r="H56" s="218">
        <f t="shared" si="6"/>
        <v>65.984491240323308</v>
      </c>
      <c r="I56" s="219">
        <f t="shared" si="3"/>
        <v>1.1578584146674662</v>
      </c>
      <c r="J56" s="219">
        <f t="shared" si="4"/>
        <v>59.502592825655839</v>
      </c>
      <c r="K56" s="219">
        <f t="shared" si="5"/>
        <v>5.3240400000000001</v>
      </c>
      <c r="L56" s="237">
        <f t="shared" si="7"/>
        <v>65.984491240323308</v>
      </c>
      <c r="M56" s="236">
        <f t="shared" si="8"/>
        <v>7.8734365270263629</v>
      </c>
    </row>
    <row r="57" spans="2:13" ht="14.4" x14ac:dyDescent="0.25">
      <c r="B57" s="189" t="s">
        <v>943</v>
      </c>
      <c r="C57" s="17"/>
      <c r="D57" s="219">
        <f>'[70]Rev_NP-12me'!AQ56</f>
        <v>27.27260229690642</v>
      </c>
      <c r="E57" s="219">
        <f>'[70]Rev_NP-12me'!AT56</f>
        <v>0.29486552990163062</v>
      </c>
      <c r="F57" s="219">
        <f>'[70]Rev_NP-12me'!AU56</f>
        <v>20.727177745648881</v>
      </c>
      <c r="G57" s="219">
        <f>'[70]Rev_NP-12me'!AW56</f>
        <v>0.99431999999999998</v>
      </c>
      <c r="H57" s="218">
        <f t="shared" si="6"/>
        <v>22.016363275550511</v>
      </c>
      <c r="I57" s="219">
        <f t="shared" si="3"/>
        <v>0.29486552990163062</v>
      </c>
      <c r="J57" s="219">
        <f t="shared" si="4"/>
        <v>20.727177745648881</v>
      </c>
      <c r="K57" s="219">
        <f t="shared" si="5"/>
        <v>0.99431999999999998</v>
      </c>
      <c r="L57" s="237">
        <f t="shared" si="7"/>
        <v>22.016363275550511</v>
      </c>
      <c r="M57" s="236">
        <f t="shared" si="8"/>
        <v>8.0727035271026786</v>
      </c>
    </row>
    <row r="58" spans="2:13" ht="14.4" x14ac:dyDescent="0.25">
      <c r="B58" s="189" t="s">
        <v>944</v>
      </c>
      <c r="C58" s="17"/>
      <c r="D58" s="219">
        <f>'[70]Rev_NP-12me'!AQ57</f>
        <v>24.596480266102319</v>
      </c>
      <c r="E58" s="219">
        <f>'[70]Rev_NP-12me'!AT57</f>
        <v>0.3169302727020718</v>
      </c>
      <c r="F58" s="219">
        <f>'[70]Rev_NP-12me'!AU57</f>
        <v>19.923149015542876</v>
      </c>
      <c r="G58" s="219">
        <f>'[70]Rev_NP-12me'!AW57</f>
        <v>0.88862399999999997</v>
      </c>
      <c r="H58" s="218">
        <f t="shared" si="6"/>
        <v>21.128703288244949</v>
      </c>
      <c r="I58" s="219">
        <f t="shared" si="3"/>
        <v>0.3169302727020718</v>
      </c>
      <c r="J58" s="219">
        <f t="shared" si="4"/>
        <v>19.923149015542876</v>
      </c>
      <c r="K58" s="219">
        <f t="shared" si="5"/>
        <v>0.88862399999999997</v>
      </c>
      <c r="L58" s="237">
        <f t="shared" si="7"/>
        <v>21.128703288244949</v>
      </c>
      <c r="M58" s="236">
        <f t="shared" si="8"/>
        <v>8.5901328400078079</v>
      </c>
    </row>
    <row r="59" spans="2:13" x14ac:dyDescent="0.25">
      <c r="B59" s="28" t="s">
        <v>945</v>
      </c>
      <c r="C59" s="17"/>
      <c r="D59" s="216">
        <f>'[70]Rev_NP-12me'!AQ65</f>
        <v>244.70657744652064</v>
      </c>
      <c r="E59" s="216">
        <f>'[70]Rev_NP-12me'!AT65</f>
        <v>2.7902377956886895</v>
      </c>
      <c r="F59" s="216">
        <f>'[70]Rev_NP-12me'!AU65</f>
        <v>150.49602503261957</v>
      </c>
      <c r="G59" s="216">
        <f>'[70]Rev_NP-12me'!AW65</f>
        <v>5.0363280000000001</v>
      </c>
      <c r="H59" s="215">
        <f t="shared" si="6"/>
        <v>158.32259082830825</v>
      </c>
      <c r="I59" s="216">
        <f t="shared" si="3"/>
        <v>2.7902377956886895</v>
      </c>
      <c r="J59" s="216">
        <f t="shared" si="4"/>
        <v>150.49602503261957</v>
      </c>
      <c r="K59" s="216">
        <f t="shared" si="5"/>
        <v>5.0363280000000001</v>
      </c>
      <c r="L59" s="238">
        <f t="shared" si="7"/>
        <v>158.32259082830825</v>
      </c>
      <c r="M59" s="236">
        <f t="shared" si="8"/>
        <v>6.4698951895932924</v>
      </c>
    </row>
    <row r="60" spans="2:13" ht="14.4" x14ac:dyDescent="0.25">
      <c r="B60" s="189" t="s">
        <v>942</v>
      </c>
      <c r="C60" s="17"/>
      <c r="D60" s="219">
        <f>'[70]Rev_NP-12me'!AQ66</f>
        <v>214.9432295855618</v>
      </c>
      <c r="E60" s="219">
        <f>'[70]Rev_NP-12me'!AT66</f>
        <v>2.3678718746044116</v>
      </c>
      <c r="F60" s="219">
        <f>'[70]Rev_NP-12me'!AU66</f>
        <v>128.96593775133709</v>
      </c>
      <c r="G60" s="219">
        <f>'[70]Rev_NP-12me'!AW66</f>
        <v>4.30992</v>
      </c>
      <c r="H60" s="218">
        <f t="shared" si="6"/>
        <v>135.64372962594152</v>
      </c>
      <c r="I60" s="219">
        <f t="shared" si="3"/>
        <v>2.3678718746044116</v>
      </c>
      <c r="J60" s="219">
        <f t="shared" si="4"/>
        <v>128.96593775133709</v>
      </c>
      <c r="K60" s="219">
        <f t="shared" si="5"/>
        <v>4.30992</v>
      </c>
      <c r="L60" s="237">
        <f t="shared" si="7"/>
        <v>135.64372962594152</v>
      </c>
      <c r="M60" s="236">
        <f t="shared" si="8"/>
        <v>6.3106770046900333</v>
      </c>
    </row>
    <row r="61" spans="2:13" ht="14.4" x14ac:dyDescent="0.25">
      <c r="B61" s="189" t="s">
        <v>943</v>
      </c>
      <c r="C61" s="17"/>
      <c r="D61" s="219">
        <f>'[70]Rev_NP-12me'!AQ67</f>
        <v>21.80114186092483</v>
      </c>
      <c r="E61" s="219">
        <f>'[70]Rev_NP-12me'!AT67</f>
        <v>0.28422116932822872</v>
      </c>
      <c r="F61" s="219">
        <f>'[70]Rev_NP-12me'!AU67</f>
        <v>15.478810721256627</v>
      </c>
      <c r="G61" s="219">
        <f>'[70]Rev_NP-12me'!AW67</f>
        <v>0.51263999999999998</v>
      </c>
      <c r="H61" s="218">
        <f t="shared" si="6"/>
        <v>16.275671890584857</v>
      </c>
      <c r="I61" s="219">
        <f t="shared" si="3"/>
        <v>0.28422116932822872</v>
      </c>
      <c r="J61" s="219">
        <f t="shared" si="4"/>
        <v>15.478810721256627</v>
      </c>
      <c r="K61" s="219">
        <f t="shared" si="5"/>
        <v>0.51263999999999998</v>
      </c>
      <c r="L61" s="237">
        <f t="shared" si="7"/>
        <v>16.275671890584857</v>
      </c>
      <c r="M61" s="236">
        <f t="shared" si="8"/>
        <v>7.4655135012705358</v>
      </c>
    </row>
    <row r="62" spans="2:13" ht="14.4" x14ac:dyDescent="0.25">
      <c r="B62" s="189" t="s">
        <v>944</v>
      </c>
      <c r="C62" s="17"/>
      <c r="D62" s="219">
        <f>'[70]Rev_NP-12me'!AQ68</f>
        <v>7.9622060000340147</v>
      </c>
      <c r="E62" s="219">
        <f>'[70]Rev_NP-12me'!AT68</f>
        <v>0.13814475175604923</v>
      </c>
      <c r="F62" s="219">
        <f>'[70]Rev_NP-12me'!AU68</f>
        <v>6.0512765600258511</v>
      </c>
      <c r="G62" s="219">
        <f>'[70]Rev_NP-12me'!AW68</f>
        <v>0.21376800000000001</v>
      </c>
      <c r="H62" s="218">
        <f t="shared" si="6"/>
        <v>6.4031893117819001</v>
      </c>
      <c r="I62" s="219">
        <f t="shared" si="3"/>
        <v>0.13814475175604923</v>
      </c>
      <c r="J62" s="219">
        <f t="shared" si="4"/>
        <v>6.0512765600258511</v>
      </c>
      <c r="K62" s="219">
        <f t="shared" si="5"/>
        <v>0.21376800000000001</v>
      </c>
      <c r="L62" s="237">
        <f t="shared" si="7"/>
        <v>6.4031893117819001</v>
      </c>
      <c r="M62" s="236">
        <f t="shared" si="8"/>
        <v>8.0419789587892421</v>
      </c>
    </row>
    <row r="63" spans="2:13" x14ac:dyDescent="0.25">
      <c r="B63" s="28" t="s">
        <v>1114</v>
      </c>
      <c r="C63" s="17"/>
      <c r="D63" s="216">
        <f>'[70]Rev_NP-12me'!AQ69</f>
        <v>0</v>
      </c>
      <c r="E63" s="216">
        <f>'[70]Rev_NP-12me'!AT69</f>
        <v>0</v>
      </c>
      <c r="F63" s="216">
        <f>'[70]Rev_NP-12me'!AU69</f>
        <v>0</v>
      </c>
      <c r="G63" s="216">
        <f>'[70]Rev_NP-12me'!AW69</f>
        <v>0</v>
      </c>
      <c r="H63" s="218">
        <f t="shared" si="6"/>
        <v>0</v>
      </c>
      <c r="I63" s="216">
        <f t="shared" si="3"/>
        <v>0</v>
      </c>
      <c r="J63" s="216">
        <f t="shared" si="4"/>
        <v>0</v>
      </c>
      <c r="K63" s="216">
        <f t="shared" si="5"/>
        <v>0</v>
      </c>
      <c r="L63" s="237">
        <f t="shared" si="7"/>
        <v>0</v>
      </c>
      <c r="M63" s="236" t="str">
        <f t="shared" si="8"/>
        <v/>
      </c>
    </row>
    <row r="64" spans="2:13" x14ac:dyDescent="0.25">
      <c r="B64" s="28" t="s">
        <v>948</v>
      </c>
      <c r="C64" s="17"/>
      <c r="D64" s="216">
        <f>'[70]Rev_NP-12me'!AQ58</f>
        <v>64.938547990304301</v>
      </c>
      <c r="E64" s="216">
        <f>'[70]Rev_NP-12me'!AT58</f>
        <v>1.7517560220818311</v>
      </c>
      <c r="F64" s="216">
        <f>'[70]Rev_NP-12me'!AU58</f>
        <v>50.644126260891184</v>
      </c>
      <c r="G64" s="216">
        <f>'[70]Rev_NP-12me'!AW58</f>
        <v>2.9642400000000002</v>
      </c>
      <c r="H64" s="215">
        <f t="shared" si="6"/>
        <v>55.360122282973009</v>
      </c>
      <c r="I64" s="216">
        <f t="shared" si="3"/>
        <v>1.7517560220818311</v>
      </c>
      <c r="J64" s="216">
        <f t="shared" si="4"/>
        <v>50.644126260891184</v>
      </c>
      <c r="K64" s="216">
        <f t="shared" si="5"/>
        <v>2.9642400000000002</v>
      </c>
      <c r="L64" s="238">
        <f t="shared" si="7"/>
        <v>55.360122282973009</v>
      </c>
      <c r="M64" s="236">
        <f t="shared" si="8"/>
        <v>8.5250015585871424</v>
      </c>
    </row>
    <row r="65" spans="2:13" ht="14.4" x14ac:dyDescent="0.25">
      <c r="B65" s="187" t="s">
        <v>949</v>
      </c>
      <c r="C65" s="17"/>
      <c r="D65" s="230">
        <f>'[70]Rev_NP-12me'!AQ59</f>
        <v>55.075309896178879</v>
      </c>
      <c r="E65" s="230">
        <f>'[70]Rev_NP-12me'!AT59</f>
        <v>1.2729233331943441</v>
      </c>
      <c r="F65" s="230">
        <f>'[70]Rev_NP-12me'!AU59</f>
        <v>45.712507213828474</v>
      </c>
      <c r="G65" s="230">
        <f>'[70]Rev_NP-12me'!AW59</f>
        <v>2.19042</v>
      </c>
      <c r="H65" s="218">
        <f t="shared" si="6"/>
        <v>49.175850547022819</v>
      </c>
      <c r="I65" s="219">
        <f t="shared" si="3"/>
        <v>1.2729233331943441</v>
      </c>
      <c r="J65" s="219">
        <f t="shared" si="4"/>
        <v>45.712507213828474</v>
      </c>
      <c r="K65" s="219">
        <f t="shared" si="5"/>
        <v>2.19042</v>
      </c>
      <c r="L65" s="237">
        <f t="shared" si="7"/>
        <v>49.175850547022819</v>
      </c>
      <c r="M65" s="236">
        <f t="shared" si="8"/>
        <v>8.9288377386751012</v>
      </c>
    </row>
    <row r="66" spans="2:13" ht="14.4" x14ac:dyDescent="0.25">
      <c r="B66" s="187" t="s">
        <v>950</v>
      </c>
      <c r="C66" s="17"/>
      <c r="D66" s="230">
        <f>'[70]Rev_NP-12me'!AQ60</f>
        <v>9.8632380941254176</v>
      </c>
      <c r="E66" s="230">
        <f>'[70]Rev_NP-12me'!AT60</f>
        <v>0.47883268888748698</v>
      </c>
      <c r="F66" s="230">
        <f>'[70]Rev_NP-12me'!AU60</f>
        <v>4.9316190470627079</v>
      </c>
      <c r="G66" s="230">
        <f>'[70]Rev_NP-12me'!AW60</f>
        <v>0.77381999999999995</v>
      </c>
      <c r="H66" s="218">
        <f t="shared" si="6"/>
        <v>6.1842717359501949</v>
      </c>
      <c r="I66" s="219">
        <f t="shared" si="3"/>
        <v>0.47883268888748698</v>
      </c>
      <c r="J66" s="219">
        <f t="shared" si="4"/>
        <v>4.9316190470627079</v>
      </c>
      <c r="K66" s="219">
        <f t="shared" si="5"/>
        <v>0.77381999999999995</v>
      </c>
      <c r="L66" s="237">
        <f t="shared" si="7"/>
        <v>6.1842717359501949</v>
      </c>
      <c r="M66" s="236">
        <f t="shared" si="8"/>
        <v>6.2700217483683884</v>
      </c>
    </row>
    <row r="67" spans="2:13" ht="14.4" x14ac:dyDescent="0.25">
      <c r="B67" s="187" t="s">
        <v>951</v>
      </c>
      <c r="C67" s="17"/>
      <c r="D67" s="212">
        <f>'[70]Rev_NP-12me'!AQ61</f>
        <v>3.678847483251424</v>
      </c>
      <c r="E67" s="212">
        <f>'[70]Rev_NP-12me'!AT61</f>
        <v>0.1843331133489996</v>
      </c>
      <c r="F67" s="212">
        <f>'[70]Rev_NP-12me'!AU61</f>
        <v>1.839423741625712</v>
      </c>
      <c r="G67" s="212">
        <f>'[70]Rev_NP-12me'!AW61</f>
        <v>0.56399999999999995</v>
      </c>
      <c r="H67" s="218">
        <f t="shared" si="6"/>
        <v>2.5877568549747116</v>
      </c>
      <c r="I67" s="219">
        <f t="shared" si="3"/>
        <v>0.1843331133489996</v>
      </c>
      <c r="J67" s="219">
        <f t="shared" si="4"/>
        <v>1.839423741625712</v>
      </c>
      <c r="K67" s="219">
        <f t="shared" si="5"/>
        <v>0.56399999999999995</v>
      </c>
      <c r="L67" s="237">
        <f t="shared" si="7"/>
        <v>2.5877568549747116</v>
      </c>
      <c r="M67" s="236">
        <f t="shared" si="8"/>
        <v>7.0341509582985244</v>
      </c>
    </row>
    <row r="68" spans="2:13" ht="14.4" x14ac:dyDescent="0.25">
      <c r="B68" s="187" t="s">
        <v>952</v>
      </c>
      <c r="C68" s="17"/>
      <c r="D68" s="212">
        <f>'[70]Rev_NP-12me'!AQ62</f>
        <v>6.1843906108739919</v>
      </c>
      <c r="E68" s="212">
        <f>'[70]Rev_NP-12me'!AT62</f>
        <v>0.29449957553848738</v>
      </c>
      <c r="F68" s="212">
        <f>'[70]Rev_NP-12me'!AU62</f>
        <v>3.0921953054369959</v>
      </c>
      <c r="G68" s="212">
        <f>'[70]Rev_NP-12me'!AW62</f>
        <v>0.20982000000000001</v>
      </c>
      <c r="H68" s="218">
        <f t="shared" si="6"/>
        <v>3.5965148809754832</v>
      </c>
      <c r="I68" s="219">
        <f t="shared" si="3"/>
        <v>0.29449957553848738</v>
      </c>
      <c r="J68" s="219">
        <f t="shared" si="4"/>
        <v>3.0921953054369959</v>
      </c>
      <c r="K68" s="219">
        <f t="shared" si="5"/>
        <v>0.20982000000000001</v>
      </c>
      <c r="L68" s="237">
        <f t="shared" si="7"/>
        <v>3.5965148809754832</v>
      </c>
      <c r="M68" s="236">
        <f t="shared" si="8"/>
        <v>5.8154717372666331</v>
      </c>
    </row>
    <row r="69" spans="2:13" x14ac:dyDescent="0.25">
      <c r="B69" s="28" t="s">
        <v>953</v>
      </c>
      <c r="C69" s="17"/>
      <c r="D69" s="216">
        <f>'[70]Rev_NP-12me'!AQ63</f>
        <v>14.863451400000002</v>
      </c>
      <c r="E69" s="216">
        <f>'[70]Rev_NP-12me'!AT63</f>
        <v>0.33947472604170098</v>
      </c>
      <c r="F69" s="216">
        <f>'[70]Rev_NP-12me'!AU63</f>
        <v>17.836141680000004</v>
      </c>
      <c r="G69" s="216">
        <f>'[70]Rev_NP-12me'!AW63</f>
        <v>0.39179999999999998</v>
      </c>
      <c r="H69" s="215">
        <f t="shared" si="6"/>
        <v>18.567416406041705</v>
      </c>
      <c r="I69" s="216">
        <f t="shared" si="3"/>
        <v>0.33947472604170098</v>
      </c>
      <c r="J69" s="216">
        <f t="shared" si="4"/>
        <v>17.836141680000004</v>
      </c>
      <c r="K69" s="216">
        <f t="shared" si="5"/>
        <v>0.39179999999999998</v>
      </c>
      <c r="L69" s="238">
        <f t="shared" si="7"/>
        <v>18.567416406041705</v>
      </c>
      <c r="M69" s="236">
        <f t="shared" si="8"/>
        <v>12.491995234728389</v>
      </c>
    </row>
    <row r="70" spans="2:13" x14ac:dyDescent="0.25">
      <c r="B70" s="28" t="s">
        <v>1115</v>
      </c>
      <c r="C70" s="17"/>
      <c r="D70" s="216">
        <f>'[70]Rev_NP-12me'!AQ64</f>
        <v>9.1875167639999997</v>
      </c>
      <c r="E70" s="216">
        <f>'[70]Rev_NP-12me'!AT64</f>
        <v>0.54067500000000002</v>
      </c>
      <c r="F70" s="216">
        <f>'[70]Rev_NP-12me'!AU64</f>
        <v>5.5125100583999993</v>
      </c>
      <c r="G70" s="216">
        <f>'[70]Rev_NP-12me'!AW64</f>
        <v>2.1096E-2</v>
      </c>
      <c r="H70" s="215">
        <f t="shared" si="6"/>
        <v>6.0742810583999995</v>
      </c>
      <c r="I70" s="216">
        <f t="shared" si="3"/>
        <v>0.54067500000000002</v>
      </c>
      <c r="J70" s="216">
        <f t="shared" si="4"/>
        <v>5.5125100583999993</v>
      </c>
      <c r="K70" s="216">
        <f t="shared" si="5"/>
        <v>2.1096E-2</v>
      </c>
      <c r="L70" s="238">
        <f t="shared" si="7"/>
        <v>6.0742810583999995</v>
      </c>
      <c r="M70" s="236">
        <f t="shared" si="8"/>
        <v>6.6114503128867437</v>
      </c>
    </row>
    <row r="71" spans="2:13" x14ac:dyDescent="0.25">
      <c r="B71" s="28"/>
      <c r="C71" s="17"/>
      <c r="D71" s="212"/>
      <c r="E71" s="212"/>
      <c r="F71" s="212"/>
      <c r="G71" s="212"/>
      <c r="H71" s="212"/>
      <c r="I71" s="212"/>
      <c r="J71" s="212"/>
      <c r="K71" s="212"/>
      <c r="L71" s="237"/>
      <c r="M71" s="236" t="str">
        <f t="shared" si="8"/>
        <v/>
      </c>
    </row>
    <row r="72" spans="2:13" x14ac:dyDescent="0.25">
      <c r="B72" s="28" t="s">
        <v>1116</v>
      </c>
      <c r="C72" s="17"/>
      <c r="D72" s="210">
        <f t="shared" ref="D72:K72" si="9">SUM(D11,D24,D37,D44,D47,D55,D59,D63,D64,D69,D70)</f>
        <v>14310.552723636478</v>
      </c>
      <c r="E72" s="210">
        <f t="shared" si="9"/>
        <v>190.90287748166546</v>
      </c>
      <c r="F72" s="210">
        <f t="shared" si="9"/>
        <v>3163.2917090533065</v>
      </c>
      <c r="G72" s="210">
        <f t="shared" si="9"/>
        <v>424.17754200000007</v>
      </c>
      <c r="H72" s="210">
        <f t="shared" si="9"/>
        <v>3778.3721285349729</v>
      </c>
      <c r="I72" s="210">
        <f t="shared" si="9"/>
        <v>190.90287748166546</v>
      </c>
      <c r="J72" s="210">
        <f t="shared" si="9"/>
        <v>3163.2917090533065</v>
      </c>
      <c r="K72" s="210">
        <f t="shared" si="9"/>
        <v>424.17754200000007</v>
      </c>
      <c r="L72" s="210">
        <f>SUM(I72:K72)</f>
        <v>3778.372128534972</v>
      </c>
      <c r="M72" s="236">
        <f t="shared" si="8"/>
        <v>2.640269877413123</v>
      </c>
    </row>
    <row r="73" spans="2:13" x14ac:dyDescent="0.25">
      <c r="B73" s="186"/>
      <c r="C73" s="107"/>
      <c r="D73" s="215"/>
      <c r="E73" s="215"/>
      <c r="F73" s="215"/>
      <c r="G73" s="215"/>
      <c r="H73" s="215"/>
      <c r="I73" s="215"/>
      <c r="J73" s="215"/>
      <c r="K73" s="215"/>
      <c r="L73" s="237"/>
      <c r="M73" s="236" t="str">
        <f t="shared" si="8"/>
        <v/>
      </c>
    </row>
    <row r="74" spans="2:13" x14ac:dyDescent="0.25">
      <c r="B74" s="907" t="s">
        <v>799</v>
      </c>
      <c r="C74" s="907"/>
      <c r="D74" s="212"/>
      <c r="E74" s="212"/>
      <c r="F74" s="212"/>
      <c r="G74" s="212"/>
      <c r="H74" s="212"/>
      <c r="I74" s="212"/>
      <c r="J74" s="212"/>
      <c r="K74" s="212"/>
      <c r="L74" s="237"/>
      <c r="M74" s="236" t="str">
        <f t="shared" si="8"/>
        <v/>
      </c>
    </row>
    <row r="75" spans="2:13" x14ac:dyDescent="0.25">
      <c r="B75" s="217" t="s">
        <v>191</v>
      </c>
      <c r="C75" s="17"/>
      <c r="D75" s="212"/>
      <c r="E75" s="212"/>
      <c r="F75" s="212"/>
      <c r="G75" s="212"/>
      <c r="H75" s="212"/>
      <c r="I75" s="212"/>
      <c r="J75" s="212"/>
      <c r="K75" s="212"/>
      <c r="L75" s="237"/>
      <c r="M75" s="236" t="str">
        <f t="shared" ref="M75:M106" si="10">IFERROR(L75*10/D75,"")</f>
        <v/>
      </c>
    </row>
    <row r="76" spans="2:13" x14ac:dyDescent="0.25">
      <c r="B76" s="217" t="s">
        <v>1117</v>
      </c>
      <c r="C76" s="82"/>
      <c r="D76" s="216">
        <f>'[70]Rev_NP-12me'!AQ84</f>
        <v>1181.2828205451319</v>
      </c>
      <c r="E76" s="216">
        <f>'[70]Rev_NP-12me'!AT84</f>
        <v>237.55532269848919</v>
      </c>
      <c r="F76" s="216">
        <f>'[70]Rev_NP-12me'!AU84</f>
        <v>910.86730013719148</v>
      </c>
      <c r="G76" s="216">
        <f>'[70]Rev_NP-12me'!AW84</f>
        <v>6.0480000000000009</v>
      </c>
      <c r="H76" s="215">
        <f t="shared" ref="H76:H121" si="11">SUM(E76:G76)</f>
        <v>1154.4706228356806</v>
      </c>
      <c r="I76" s="216">
        <f>E76</f>
        <v>237.55532269848919</v>
      </c>
      <c r="J76" s="216">
        <f>F76</f>
        <v>910.86730013719148</v>
      </c>
      <c r="K76" s="216">
        <f>G76</f>
        <v>6.0480000000000009</v>
      </c>
      <c r="L76" s="238">
        <f t="shared" ref="L76:L122" si="12">SUM(I76:K76)</f>
        <v>1154.4706228356806</v>
      </c>
      <c r="M76" s="236">
        <f t="shared" si="10"/>
        <v>9.7730247385035351</v>
      </c>
    </row>
    <row r="77" spans="2:13" x14ac:dyDescent="0.25">
      <c r="B77" s="233" t="s">
        <v>1118</v>
      </c>
      <c r="C77" s="82"/>
      <c r="D77" s="224">
        <f>'[70]Rev_NP-12me'!AQ85</f>
        <v>1164.2845627108027</v>
      </c>
      <c r="E77" s="224">
        <f>'[70]Rev_NP-12me'!AT85</f>
        <v>235.03390075719307</v>
      </c>
      <c r="F77" s="224">
        <f>'[70]Rev_NP-12me'!AU85</f>
        <v>897.78873228213274</v>
      </c>
      <c r="G77" s="224">
        <f>'[70]Rev_NP-12me'!AW85</f>
        <v>6.0096000000000007</v>
      </c>
      <c r="H77" s="218">
        <f t="shared" si="11"/>
        <v>1138.832233039326</v>
      </c>
      <c r="I77" s="224">
        <f t="shared" ref="I77:I140" si="13">E77</f>
        <v>235.03390075719307</v>
      </c>
      <c r="J77" s="224">
        <f t="shared" ref="J77:J140" si="14">F77</f>
        <v>897.78873228213274</v>
      </c>
      <c r="K77" s="224">
        <f t="shared" ref="K77:K140" si="15">G77</f>
        <v>6.0096000000000007</v>
      </c>
      <c r="L77" s="237">
        <f t="shared" si="12"/>
        <v>1138.832233039326</v>
      </c>
      <c r="M77" s="236">
        <f t="shared" si="10"/>
        <v>9.7813908172739481</v>
      </c>
    </row>
    <row r="78" spans="2:13" ht="14.4" x14ac:dyDescent="0.25">
      <c r="B78" s="221" t="s">
        <v>1119</v>
      </c>
      <c r="C78" s="82"/>
      <c r="D78" s="230">
        <f>'[70]Rev_NP-12me'!AQ86</f>
        <v>328.96510266626433</v>
      </c>
      <c r="E78" s="230">
        <f>'[70]Rev_NP-12me'!AT86</f>
        <v>225.46842433894395</v>
      </c>
      <c r="F78" s="230">
        <f>'[70]Rev_NP-12me'!AU86</f>
        <v>251.65830353969221</v>
      </c>
      <c r="G78" s="230">
        <f>'[70]Rev_NP-12me'!AW86</f>
        <v>4.2396000000000003</v>
      </c>
      <c r="H78" s="218">
        <f t="shared" si="11"/>
        <v>481.36632787863618</v>
      </c>
      <c r="I78" s="219">
        <f t="shared" si="13"/>
        <v>225.46842433894395</v>
      </c>
      <c r="J78" s="219">
        <f t="shared" si="14"/>
        <v>251.65830353969221</v>
      </c>
      <c r="K78" s="219">
        <f t="shared" si="15"/>
        <v>4.2396000000000003</v>
      </c>
      <c r="L78" s="237">
        <f t="shared" si="12"/>
        <v>481.36632787863618</v>
      </c>
      <c r="M78" s="236">
        <f t="shared" si="10"/>
        <v>14.632747485285185</v>
      </c>
    </row>
    <row r="79" spans="2:13" ht="39.6" x14ac:dyDescent="0.25">
      <c r="B79" s="232" t="s">
        <v>1120</v>
      </c>
      <c r="C79" s="17"/>
      <c r="D79" s="230">
        <f>'[70]Rev_NP-12me'!AQ87</f>
        <v>187.19745400961693</v>
      </c>
      <c r="E79" s="230">
        <f>'[70]Rev_NP-12me'!AT87</f>
        <v>9.5654764182491085</v>
      </c>
      <c r="F79" s="230">
        <f>'[70]Rev_NP-12me'!AU87</f>
        <v>149.75796320769354</v>
      </c>
      <c r="G79" s="230">
        <f>'[70]Rev_NP-12me'!AW87</f>
        <v>1.77</v>
      </c>
      <c r="H79" s="218">
        <f t="shared" si="11"/>
        <v>161.09343962594266</v>
      </c>
      <c r="I79" s="219">
        <f t="shared" si="13"/>
        <v>9.5654764182491085</v>
      </c>
      <c r="J79" s="219">
        <f t="shared" si="14"/>
        <v>149.75796320769354</v>
      </c>
      <c r="K79" s="219">
        <f t="shared" si="15"/>
        <v>1.77</v>
      </c>
      <c r="L79" s="237">
        <f t="shared" si="12"/>
        <v>161.09343962594266</v>
      </c>
      <c r="M79" s="236">
        <f t="shared" si="10"/>
        <v>8.6055358219597782</v>
      </c>
    </row>
    <row r="80" spans="2:13" ht="14.4" x14ac:dyDescent="0.25">
      <c r="B80" s="221" t="s">
        <v>1121</v>
      </c>
      <c r="C80" s="17"/>
      <c r="D80" s="230">
        <f>'[70]Rev_NP-12me'!AQ88</f>
        <v>0</v>
      </c>
      <c r="E80" s="230">
        <f>'[70]Rev_NP-12me'!AT88</f>
        <v>0</v>
      </c>
      <c r="F80" s="230">
        <f>'[70]Rev_NP-12me'!AU88</f>
        <v>0</v>
      </c>
      <c r="G80" s="230">
        <f>'[70]Rev_NP-12me'!AW88</f>
        <v>0</v>
      </c>
      <c r="H80" s="218">
        <f t="shared" si="11"/>
        <v>0</v>
      </c>
      <c r="I80" s="219">
        <f t="shared" si="13"/>
        <v>0</v>
      </c>
      <c r="J80" s="219">
        <f t="shared" si="14"/>
        <v>0</v>
      </c>
      <c r="K80" s="219">
        <f t="shared" si="15"/>
        <v>0</v>
      </c>
      <c r="L80" s="237">
        <f t="shared" si="12"/>
        <v>0</v>
      </c>
      <c r="M80" s="236" t="str">
        <f t="shared" si="10"/>
        <v/>
      </c>
    </row>
    <row r="81" spans="2:13" ht="14.4" x14ac:dyDescent="0.25">
      <c r="B81" s="221" t="s">
        <v>1122</v>
      </c>
      <c r="C81" s="17"/>
      <c r="D81" s="230">
        <f>'[70]Rev_NP-12me'!AQ89</f>
        <v>0</v>
      </c>
      <c r="E81" s="230">
        <f>'[70]Rev_NP-12me'!AT89</f>
        <v>0</v>
      </c>
      <c r="F81" s="230">
        <f>'[70]Rev_NP-12me'!AU89</f>
        <v>0</v>
      </c>
      <c r="G81" s="230">
        <f>'[70]Rev_NP-12me'!AW89</f>
        <v>0</v>
      </c>
      <c r="H81" s="218">
        <f t="shared" si="11"/>
        <v>0</v>
      </c>
      <c r="I81" s="219">
        <f t="shared" si="13"/>
        <v>0</v>
      </c>
      <c r="J81" s="219">
        <f t="shared" si="14"/>
        <v>0</v>
      </c>
      <c r="K81" s="219">
        <f t="shared" si="15"/>
        <v>0</v>
      </c>
      <c r="L81" s="237">
        <f t="shared" si="12"/>
        <v>0</v>
      </c>
      <c r="M81" s="236" t="str">
        <f t="shared" si="10"/>
        <v/>
      </c>
    </row>
    <row r="82" spans="2:13" ht="14.4" x14ac:dyDescent="0.25">
      <c r="B82" s="221" t="s">
        <v>1123</v>
      </c>
      <c r="C82" s="17"/>
      <c r="D82" s="230">
        <f>'[70]Rev_NP-12me'!AQ90</f>
        <v>0</v>
      </c>
      <c r="E82" s="230">
        <f>'[70]Rev_NP-12me'!AT90</f>
        <v>0</v>
      </c>
      <c r="F82" s="230">
        <f>'[70]Rev_NP-12me'!AU90</f>
        <v>0</v>
      </c>
      <c r="G82" s="230">
        <f>'[70]Rev_NP-12me'!AW90</f>
        <v>0</v>
      </c>
      <c r="H82" s="218">
        <f t="shared" si="11"/>
        <v>0</v>
      </c>
      <c r="I82" s="219">
        <f t="shared" si="13"/>
        <v>0</v>
      </c>
      <c r="J82" s="219">
        <f t="shared" si="14"/>
        <v>0</v>
      </c>
      <c r="K82" s="219">
        <f t="shared" si="15"/>
        <v>0</v>
      </c>
      <c r="L82" s="237">
        <f t="shared" si="12"/>
        <v>0</v>
      </c>
      <c r="M82" s="236" t="str">
        <f t="shared" si="10"/>
        <v/>
      </c>
    </row>
    <row r="83" spans="2:13" ht="14.4" x14ac:dyDescent="0.25">
      <c r="B83" s="223" t="s">
        <v>1124</v>
      </c>
      <c r="C83" s="17"/>
      <c r="D83" s="230">
        <f>'[70]Rev_NP-12me'!AQ91</f>
        <v>168.50433604288685</v>
      </c>
      <c r="E83" s="230">
        <f>'[70]Rev_NP-12me'!AT91</f>
        <v>0</v>
      </c>
      <c r="F83" s="230">
        <f>'[70]Rev_NP-12me'!AU91</f>
        <v>145.75625067709714</v>
      </c>
      <c r="G83" s="230">
        <f>'[70]Rev_NP-12me'!AW91</f>
        <v>0</v>
      </c>
      <c r="H83" s="218">
        <f t="shared" si="11"/>
        <v>145.75625067709714</v>
      </c>
      <c r="I83" s="219">
        <f t="shared" si="13"/>
        <v>0</v>
      </c>
      <c r="J83" s="219">
        <f t="shared" si="14"/>
        <v>145.75625067709714</v>
      </c>
      <c r="K83" s="219">
        <f t="shared" si="15"/>
        <v>0</v>
      </c>
      <c r="L83" s="237">
        <f t="shared" si="12"/>
        <v>145.75625067709714</v>
      </c>
      <c r="M83" s="236">
        <f t="shared" si="10"/>
        <v>8.65</v>
      </c>
    </row>
    <row r="84" spans="2:13" ht="14.4" x14ac:dyDescent="0.25">
      <c r="B84" s="223" t="s">
        <v>1125</v>
      </c>
      <c r="C84" s="17"/>
      <c r="D84" s="230">
        <f>'[70]Rev_NP-12me'!AQ92</f>
        <v>158.35232156473441</v>
      </c>
      <c r="E84" s="230">
        <f>'[70]Rev_NP-12me'!AT92</f>
        <v>0</v>
      </c>
      <c r="F84" s="230">
        <f>'[70]Rev_NP-12me'!AU92</f>
        <v>136.97475815349529</v>
      </c>
      <c r="G84" s="230">
        <f>'[70]Rev_NP-12me'!AW92</f>
        <v>0</v>
      </c>
      <c r="H84" s="218">
        <f t="shared" si="11"/>
        <v>136.97475815349529</v>
      </c>
      <c r="I84" s="219">
        <f t="shared" si="13"/>
        <v>0</v>
      </c>
      <c r="J84" s="219">
        <f t="shared" si="14"/>
        <v>136.97475815349529</v>
      </c>
      <c r="K84" s="219">
        <f t="shared" si="15"/>
        <v>0</v>
      </c>
      <c r="L84" s="237">
        <f t="shared" si="12"/>
        <v>136.97475815349529</v>
      </c>
      <c r="M84" s="236">
        <f t="shared" si="10"/>
        <v>8.65</v>
      </c>
    </row>
    <row r="85" spans="2:13" ht="14.4" x14ac:dyDescent="0.25">
      <c r="B85" s="223" t="s">
        <v>1126</v>
      </c>
      <c r="C85" s="17"/>
      <c r="D85" s="230">
        <f>'[70]Rev_NP-12me'!AQ93</f>
        <v>321.26534842730024</v>
      </c>
      <c r="E85" s="230">
        <f>'[70]Rev_NP-12me'!AT93</f>
        <v>0</v>
      </c>
      <c r="F85" s="230">
        <f>'[70]Rev_NP-12me'!AU93</f>
        <v>213.64145670415468</v>
      </c>
      <c r="G85" s="230">
        <f>'[70]Rev_NP-12me'!AW93</f>
        <v>0</v>
      </c>
      <c r="H85" s="218">
        <f t="shared" si="11"/>
        <v>213.64145670415468</v>
      </c>
      <c r="I85" s="219">
        <f t="shared" si="13"/>
        <v>0</v>
      </c>
      <c r="J85" s="219">
        <f t="shared" si="14"/>
        <v>213.64145670415468</v>
      </c>
      <c r="K85" s="219">
        <f t="shared" si="15"/>
        <v>0</v>
      </c>
      <c r="L85" s="237">
        <f t="shared" si="12"/>
        <v>213.64145670415468</v>
      </c>
      <c r="M85" s="236">
        <f t="shared" si="10"/>
        <v>6.6500000000000012</v>
      </c>
    </row>
    <row r="86" spans="2:13" x14ac:dyDescent="0.25">
      <c r="B86" s="217" t="s">
        <v>1127</v>
      </c>
      <c r="C86" s="17"/>
      <c r="D86" s="224">
        <f>'[70]Rev_NP-12me'!AQ94</f>
        <v>16.998257834329365</v>
      </c>
      <c r="E86" s="224">
        <f>'[70]Rev_NP-12me'!AT94</f>
        <v>2.5214219412961216</v>
      </c>
      <c r="F86" s="224">
        <f>'[70]Rev_NP-12me'!AU94</f>
        <v>13.078567855058704</v>
      </c>
      <c r="G86" s="224">
        <f>'[70]Rev_NP-12me'!AW94</f>
        <v>3.8399999999999997E-2</v>
      </c>
      <c r="H86" s="215">
        <f t="shared" si="11"/>
        <v>15.638389796354826</v>
      </c>
      <c r="I86" s="224">
        <f t="shared" si="13"/>
        <v>2.5214219412961216</v>
      </c>
      <c r="J86" s="224">
        <f t="shared" si="14"/>
        <v>13.078567855058704</v>
      </c>
      <c r="K86" s="224">
        <f t="shared" si="15"/>
        <v>3.8399999999999997E-2</v>
      </c>
      <c r="L86" s="238">
        <f t="shared" si="12"/>
        <v>15.638389796354826</v>
      </c>
      <c r="M86" s="236">
        <f t="shared" si="10"/>
        <v>9.1999956400071934</v>
      </c>
    </row>
    <row r="87" spans="2:13" ht="14.4" x14ac:dyDescent="0.25">
      <c r="B87" s="223" t="s">
        <v>1128</v>
      </c>
      <c r="C87" s="17"/>
      <c r="D87" s="219">
        <f>'[70]Rev_NP-12me'!AQ95</f>
        <v>5.9511083541356351</v>
      </c>
      <c r="E87" s="219">
        <f>'[70]Rev_NP-12me'!AT95</f>
        <v>2.5214219412961216</v>
      </c>
      <c r="F87" s="219">
        <f>'[70]Rev_NP-12me'!AU95</f>
        <v>4.552597890913761</v>
      </c>
      <c r="G87" s="219">
        <f>'[70]Rev_NP-12me'!AW95</f>
        <v>3.8399999999999997E-2</v>
      </c>
      <c r="H87" s="218">
        <f t="shared" si="11"/>
        <v>7.1124198322098833</v>
      </c>
      <c r="I87" s="219">
        <f t="shared" si="13"/>
        <v>2.5214219412961216</v>
      </c>
      <c r="J87" s="219">
        <f t="shared" si="14"/>
        <v>4.552597890913761</v>
      </c>
      <c r="K87" s="219">
        <f t="shared" si="15"/>
        <v>3.8399999999999997E-2</v>
      </c>
      <c r="L87" s="237">
        <f t="shared" si="12"/>
        <v>7.1124198322098833</v>
      </c>
      <c r="M87" s="236">
        <f t="shared" si="10"/>
        <v>11.951420490045711</v>
      </c>
    </row>
    <row r="88" spans="2:13" ht="14.4" x14ac:dyDescent="0.25">
      <c r="B88" s="223" t="s">
        <v>1129</v>
      </c>
      <c r="C88" s="17"/>
      <c r="D88" s="219">
        <f>'[70]Rev_NP-12me'!AQ96</f>
        <v>3.2149797639242799</v>
      </c>
      <c r="E88" s="219">
        <f>'[70]Rev_NP-12me'!AT96</f>
        <v>0</v>
      </c>
      <c r="F88" s="219">
        <f>'[70]Rev_NP-12me'!AU96</f>
        <v>2.7809574957945022</v>
      </c>
      <c r="G88" s="219">
        <f>'[70]Rev_NP-12me'!AW96</f>
        <v>0</v>
      </c>
      <c r="H88" s="218">
        <f t="shared" si="11"/>
        <v>2.7809574957945022</v>
      </c>
      <c r="I88" s="219">
        <f t="shared" si="13"/>
        <v>0</v>
      </c>
      <c r="J88" s="219">
        <f t="shared" si="14"/>
        <v>2.7809574957945022</v>
      </c>
      <c r="K88" s="219">
        <f t="shared" si="15"/>
        <v>0</v>
      </c>
      <c r="L88" s="237">
        <f t="shared" si="12"/>
        <v>2.7809574957945022</v>
      </c>
      <c r="M88" s="236">
        <f t="shared" si="10"/>
        <v>8.65</v>
      </c>
    </row>
    <row r="89" spans="2:13" ht="14.4" x14ac:dyDescent="0.25">
      <c r="B89" s="223" t="s">
        <v>1130</v>
      </c>
      <c r="C89" s="17"/>
      <c r="D89" s="219">
        <f>'[70]Rev_NP-12me'!AQ97</f>
        <v>2.6830980351562941</v>
      </c>
      <c r="E89" s="219">
        <f>'[70]Rev_NP-12me'!AT97</f>
        <v>0</v>
      </c>
      <c r="F89" s="219">
        <f>'[70]Rev_NP-12me'!AU97</f>
        <v>2.3208798004101943</v>
      </c>
      <c r="G89" s="219">
        <f>'[70]Rev_NP-12me'!AW97</f>
        <v>0</v>
      </c>
      <c r="H89" s="218">
        <f t="shared" si="11"/>
        <v>2.3208798004101943</v>
      </c>
      <c r="I89" s="219">
        <f t="shared" si="13"/>
        <v>0</v>
      </c>
      <c r="J89" s="219">
        <f t="shared" si="14"/>
        <v>2.3208798004101943</v>
      </c>
      <c r="K89" s="219">
        <f t="shared" si="15"/>
        <v>0</v>
      </c>
      <c r="L89" s="237">
        <f t="shared" si="12"/>
        <v>2.3208798004101943</v>
      </c>
      <c r="M89" s="236">
        <f t="shared" si="10"/>
        <v>8.65</v>
      </c>
    </row>
    <row r="90" spans="2:13" ht="14.4" x14ac:dyDescent="0.25">
      <c r="B90" s="223" t="s">
        <v>1131</v>
      </c>
      <c r="C90" s="17"/>
      <c r="D90" s="219">
        <f>'[70]Rev_NP-12me'!AQ98</f>
        <v>5.1490716811131554</v>
      </c>
      <c r="E90" s="219">
        <f>'[70]Rev_NP-12me'!AT98</f>
        <v>0</v>
      </c>
      <c r="F90" s="219">
        <f>'[70]Rev_NP-12me'!AU98</f>
        <v>3.4241326679402482</v>
      </c>
      <c r="G90" s="219">
        <f>'[70]Rev_NP-12me'!AW98</f>
        <v>0</v>
      </c>
      <c r="H90" s="218">
        <f t="shared" si="11"/>
        <v>3.4241326679402482</v>
      </c>
      <c r="I90" s="219">
        <f t="shared" si="13"/>
        <v>0</v>
      </c>
      <c r="J90" s="219">
        <f t="shared" si="14"/>
        <v>3.4241326679402482</v>
      </c>
      <c r="K90" s="219">
        <f t="shared" si="15"/>
        <v>0</v>
      </c>
      <c r="L90" s="237">
        <f t="shared" si="12"/>
        <v>3.4241326679402482</v>
      </c>
      <c r="M90" s="236">
        <f t="shared" si="10"/>
        <v>6.65</v>
      </c>
    </row>
    <row r="91" spans="2:13" x14ac:dyDescent="0.25">
      <c r="B91" s="217" t="s">
        <v>1132</v>
      </c>
      <c r="C91" s="17"/>
      <c r="D91" s="216">
        <f>'[70]Rev_NP-12me'!AQ99</f>
        <v>0</v>
      </c>
      <c r="E91" s="216">
        <f>'[70]Rev_NP-12me'!AT99</f>
        <v>0</v>
      </c>
      <c r="F91" s="216">
        <f>'[70]Rev_NP-12me'!AU99</f>
        <v>0</v>
      </c>
      <c r="G91" s="216">
        <f>'[70]Rev_NP-12me'!AW99</f>
        <v>0</v>
      </c>
      <c r="H91" s="215">
        <f t="shared" si="11"/>
        <v>0</v>
      </c>
      <c r="I91" s="216">
        <f t="shared" si="13"/>
        <v>0</v>
      </c>
      <c r="J91" s="216">
        <f t="shared" si="14"/>
        <v>0</v>
      </c>
      <c r="K91" s="216">
        <f t="shared" si="15"/>
        <v>0</v>
      </c>
      <c r="L91" s="238">
        <f t="shared" si="12"/>
        <v>0</v>
      </c>
      <c r="M91" s="236" t="str">
        <f t="shared" si="10"/>
        <v/>
      </c>
    </row>
    <row r="92" spans="2:13" x14ac:dyDescent="0.25">
      <c r="B92" s="217" t="s">
        <v>1133</v>
      </c>
      <c r="C92" s="17"/>
      <c r="D92" s="216">
        <f>'[70]Rev_NP-12me'!AQ100</f>
        <v>217.70021117042339</v>
      </c>
      <c r="E92" s="216">
        <f>'[70]Rev_NP-12me'!AT100</f>
        <v>56.091449013016863</v>
      </c>
      <c r="F92" s="216">
        <f>'[70]Rev_NP-12me'!AU100</f>
        <v>194.29824727527793</v>
      </c>
      <c r="G92" s="216">
        <f>'[70]Rev_NP-12me'!AW100</f>
        <v>1.8468</v>
      </c>
      <c r="H92" s="215">
        <f t="shared" si="11"/>
        <v>252.2364962882948</v>
      </c>
      <c r="I92" s="216">
        <f t="shared" si="13"/>
        <v>56.091449013016863</v>
      </c>
      <c r="J92" s="216">
        <f t="shared" si="14"/>
        <v>194.29824727527793</v>
      </c>
      <c r="K92" s="216">
        <f t="shared" si="15"/>
        <v>1.8468</v>
      </c>
      <c r="L92" s="238">
        <f t="shared" si="12"/>
        <v>252.2364962882948</v>
      </c>
      <c r="M92" s="236">
        <f t="shared" si="10"/>
        <v>11.586414865295431</v>
      </c>
    </row>
    <row r="93" spans="2:13" ht="14.4" x14ac:dyDescent="0.25">
      <c r="B93" s="221" t="s">
        <v>1134</v>
      </c>
      <c r="C93" s="17"/>
      <c r="D93" s="219">
        <f>'[70]Rev_NP-12me'!AQ101</f>
        <v>95.932255235185806</v>
      </c>
      <c r="E93" s="219">
        <f>'[70]Rev_NP-12me'!AT101</f>
        <v>56.091449013016863</v>
      </c>
      <c r="F93" s="219">
        <f>'[70]Rev_NP-12me'!AU101</f>
        <v>84.420384606963509</v>
      </c>
      <c r="G93" s="219">
        <f>'[70]Rev_NP-12me'!AW101</f>
        <v>1.8468</v>
      </c>
      <c r="H93" s="218">
        <f t="shared" si="11"/>
        <v>142.35863361998037</v>
      </c>
      <c r="I93" s="219">
        <f t="shared" si="13"/>
        <v>56.091449013016863</v>
      </c>
      <c r="J93" s="219">
        <f t="shared" si="14"/>
        <v>84.420384606963509</v>
      </c>
      <c r="K93" s="219">
        <f t="shared" si="15"/>
        <v>1.8468</v>
      </c>
      <c r="L93" s="237">
        <f t="shared" si="12"/>
        <v>142.35863361998037</v>
      </c>
      <c r="M93" s="236">
        <f t="shared" si="10"/>
        <v>14.839496191450568</v>
      </c>
    </row>
    <row r="94" spans="2:13" ht="14.4" x14ac:dyDescent="0.25">
      <c r="B94" s="221" t="s">
        <v>1100</v>
      </c>
      <c r="C94" s="17"/>
      <c r="D94" s="219">
        <f>'[70]Rev_NP-12me'!AQ102</f>
        <v>48.975402124001917</v>
      </c>
      <c r="E94" s="219">
        <f>'[70]Rev_NP-12me'!AT102</f>
        <v>0</v>
      </c>
      <c r="F94" s="219">
        <f>'[70]Rev_NP-12me'!AU102</f>
        <v>47.995894081521882</v>
      </c>
      <c r="G94" s="219">
        <f>'[70]Rev_NP-12me'!AW102</f>
        <v>0</v>
      </c>
      <c r="H94" s="218">
        <f t="shared" si="11"/>
        <v>47.995894081521882</v>
      </c>
      <c r="I94" s="219">
        <f t="shared" si="13"/>
        <v>0</v>
      </c>
      <c r="J94" s="219">
        <f t="shared" si="14"/>
        <v>47.995894081521882</v>
      </c>
      <c r="K94" s="219">
        <f t="shared" si="15"/>
        <v>0</v>
      </c>
      <c r="L94" s="237">
        <f t="shared" si="12"/>
        <v>47.995894081521882</v>
      </c>
      <c r="M94" s="236">
        <f t="shared" si="10"/>
        <v>9.8000000000000007</v>
      </c>
    </row>
    <row r="95" spans="2:13" ht="14.4" x14ac:dyDescent="0.25">
      <c r="B95" s="221" t="s">
        <v>1101</v>
      </c>
      <c r="C95" s="17"/>
      <c r="D95" s="219">
        <f>'[70]Rev_NP-12me'!AQ103</f>
        <v>25.518883070143715</v>
      </c>
      <c r="E95" s="219">
        <f>'[70]Rev_NP-12me'!AT103</f>
        <v>0</v>
      </c>
      <c r="F95" s="219">
        <f>'[70]Rev_NP-12me'!AU103</f>
        <v>25.008505408740842</v>
      </c>
      <c r="G95" s="219">
        <f>'[70]Rev_NP-12me'!AW103</f>
        <v>0</v>
      </c>
      <c r="H95" s="218">
        <f t="shared" si="11"/>
        <v>25.008505408740842</v>
      </c>
      <c r="I95" s="219">
        <f t="shared" si="13"/>
        <v>0</v>
      </c>
      <c r="J95" s="219">
        <f t="shared" si="14"/>
        <v>25.008505408740842</v>
      </c>
      <c r="K95" s="219">
        <f t="shared" si="15"/>
        <v>0</v>
      </c>
      <c r="L95" s="237">
        <f t="shared" si="12"/>
        <v>25.008505408740842</v>
      </c>
      <c r="M95" s="236">
        <f t="shared" si="10"/>
        <v>9.8000000000000007</v>
      </c>
    </row>
    <row r="96" spans="2:13" ht="14.4" x14ac:dyDescent="0.25">
      <c r="B96" s="221" t="s">
        <v>1102</v>
      </c>
      <c r="C96" s="17"/>
      <c r="D96" s="219">
        <f>'[70]Rev_NP-12me'!AQ104</f>
        <v>47.273670741091927</v>
      </c>
      <c r="E96" s="219">
        <f>'[70]Rev_NP-12me'!AT104</f>
        <v>0</v>
      </c>
      <c r="F96" s="219">
        <f>'[70]Rev_NP-12me'!AU104</f>
        <v>36.873463178051701</v>
      </c>
      <c r="G96" s="219">
        <f>'[70]Rev_NP-12me'!AW104</f>
        <v>0</v>
      </c>
      <c r="H96" s="218">
        <f t="shared" si="11"/>
        <v>36.873463178051701</v>
      </c>
      <c r="I96" s="219">
        <f t="shared" si="13"/>
        <v>0</v>
      </c>
      <c r="J96" s="219">
        <f t="shared" si="14"/>
        <v>36.873463178051701</v>
      </c>
      <c r="K96" s="219">
        <f t="shared" si="15"/>
        <v>0</v>
      </c>
      <c r="L96" s="237">
        <f t="shared" si="12"/>
        <v>36.873463178051701</v>
      </c>
      <c r="M96" s="236">
        <f t="shared" si="10"/>
        <v>7.8</v>
      </c>
    </row>
    <row r="97" spans="2:13" x14ac:dyDescent="0.25">
      <c r="B97" s="217" t="s">
        <v>1135</v>
      </c>
      <c r="C97" s="17"/>
      <c r="D97" s="216">
        <f>'[70]Rev_NP-12me'!AQ105</f>
        <v>0.27272250000000003</v>
      </c>
      <c r="E97" s="216">
        <f>'[70]Rev_NP-12me'!AT105</f>
        <v>5.7907200000000006E-2</v>
      </c>
      <c r="F97" s="216">
        <f>'[70]Rev_NP-12me'!AU105</f>
        <v>0.13618498379999999</v>
      </c>
      <c r="G97" s="216">
        <f>'[70]Rev_NP-12me'!AW105</f>
        <v>4.7999999999999996E-3</v>
      </c>
      <c r="H97" s="215">
        <f t="shared" si="11"/>
        <v>0.19889218379999998</v>
      </c>
      <c r="I97" s="216">
        <f t="shared" si="13"/>
        <v>5.7907200000000006E-2</v>
      </c>
      <c r="J97" s="216">
        <f t="shared" si="14"/>
        <v>0.13618498379999999</v>
      </c>
      <c r="K97" s="216">
        <f t="shared" si="15"/>
        <v>4.7999999999999996E-3</v>
      </c>
      <c r="L97" s="238">
        <f t="shared" si="12"/>
        <v>0.19889218379999998</v>
      </c>
      <c r="M97" s="236">
        <f t="shared" si="10"/>
        <v>7.2928410307180362</v>
      </c>
    </row>
    <row r="98" spans="2:13" ht="14.4" x14ac:dyDescent="0.25">
      <c r="B98" s="221" t="s">
        <v>1134</v>
      </c>
      <c r="C98" s="17"/>
      <c r="D98" s="219">
        <f>'[70]Rev_NP-12me'!AQ106</f>
        <v>6.7935264000000009E-2</v>
      </c>
      <c r="E98" s="219">
        <f>'[70]Rev_NP-12me'!AT106</f>
        <v>5.7907200000000006E-2</v>
      </c>
      <c r="F98" s="219">
        <f>'[70]Rev_NP-12me'!AU106</f>
        <v>3.3967632000000005E-2</v>
      </c>
      <c r="G98" s="219">
        <f>'[70]Rev_NP-12me'!AW106</f>
        <v>4.7999999999999996E-3</v>
      </c>
      <c r="H98" s="218">
        <f t="shared" si="11"/>
        <v>9.6674832000000016E-2</v>
      </c>
      <c r="I98" s="219">
        <f t="shared" si="13"/>
        <v>5.7907200000000006E-2</v>
      </c>
      <c r="J98" s="219">
        <f t="shared" si="14"/>
        <v>3.3967632000000005E-2</v>
      </c>
      <c r="K98" s="219">
        <f t="shared" si="15"/>
        <v>4.7999999999999996E-3</v>
      </c>
      <c r="L98" s="237">
        <f t="shared" si="12"/>
        <v>9.6674832000000016E-2</v>
      </c>
      <c r="M98" s="236">
        <f t="shared" si="10"/>
        <v>14.230434432403179</v>
      </c>
    </row>
    <row r="99" spans="2:13" ht="14.4" x14ac:dyDescent="0.25">
      <c r="B99" s="221" t="s">
        <v>1100</v>
      </c>
      <c r="C99" s="17"/>
      <c r="D99" s="219">
        <f>'[70]Rev_NP-12me'!AQ107</f>
        <v>6.5660409000000003E-2</v>
      </c>
      <c r="E99" s="219">
        <f>'[70]Rev_NP-12me'!AT107</f>
        <v>0</v>
      </c>
      <c r="F99" s="219">
        <f>'[70]Rev_NP-12me'!AU107</f>
        <v>3.9396245400000002E-2</v>
      </c>
      <c r="G99" s="219">
        <f>'[70]Rev_NP-12me'!AW107</f>
        <v>0</v>
      </c>
      <c r="H99" s="218">
        <f t="shared" si="11"/>
        <v>3.9396245400000002E-2</v>
      </c>
      <c r="I99" s="219">
        <f t="shared" si="13"/>
        <v>0</v>
      </c>
      <c r="J99" s="219">
        <f t="shared" si="14"/>
        <v>3.9396245400000002E-2</v>
      </c>
      <c r="K99" s="219">
        <f t="shared" si="15"/>
        <v>0</v>
      </c>
      <c r="L99" s="237">
        <f t="shared" si="12"/>
        <v>3.9396245400000002E-2</v>
      </c>
      <c r="M99" s="236">
        <f t="shared" si="10"/>
        <v>6</v>
      </c>
    </row>
    <row r="100" spans="2:13" ht="14.4" x14ac:dyDescent="0.25">
      <c r="B100" s="221" t="s">
        <v>1101</v>
      </c>
      <c r="C100" s="17"/>
      <c r="D100" s="219">
        <f>'[70]Rev_NP-12me'!AQ108</f>
        <v>3.5851878000000004E-2</v>
      </c>
      <c r="E100" s="219">
        <f>'[70]Rev_NP-12me'!AT108</f>
        <v>0</v>
      </c>
      <c r="F100" s="219">
        <f>'[70]Rev_NP-12me'!AU108</f>
        <v>2.1511126800000002E-2</v>
      </c>
      <c r="G100" s="219">
        <f>'[70]Rev_NP-12me'!AW108</f>
        <v>0</v>
      </c>
      <c r="H100" s="218">
        <f t="shared" si="11"/>
        <v>2.1511126800000002E-2</v>
      </c>
      <c r="I100" s="219">
        <f t="shared" si="13"/>
        <v>0</v>
      </c>
      <c r="J100" s="219">
        <f t="shared" si="14"/>
        <v>2.1511126800000002E-2</v>
      </c>
      <c r="K100" s="219">
        <f t="shared" si="15"/>
        <v>0</v>
      </c>
      <c r="L100" s="237">
        <f t="shared" si="12"/>
        <v>2.1511126800000002E-2</v>
      </c>
      <c r="M100" s="236">
        <f t="shared" si="10"/>
        <v>6</v>
      </c>
    </row>
    <row r="101" spans="2:13" ht="14.4" x14ac:dyDescent="0.25">
      <c r="B101" s="221" t="s">
        <v>1102</v>
      </c>
      <c r="C101" s="17"/>
      <c r="D101" s="219">
        <f>'[70]Rev_NP-12me'!AQ109</f>
        <v>0.103274949</v>
      </c>
      <c r="E101" s="219">
        <f>'[70]Rev_NP-12me'!AT109</f>
        <v>0</v>
      </c>
      <c r="F101" s="219">
        <f>'[70]Rev_NP-12me'!AU109</f>
        <v>4.1309979600000005E-2</v>
      </c>
      <c r="G101" s="219">
        <f>'[70]Rev_NP-12me'!AW109</f>
        <v>0</v>
      </c>
      <c r="H101" s="218">
        <f t="shared" si="11"/>
        <v>4.1309979600000005E-2</v>
      </c>
      <c r="I101" s="219">
        <f t="shared" si="13"/>
        <v>0</v>
      </c>
      <c r="J101" s="219">
        <f t="shared" si="14"/>
        <v>4.1309979600000005E-2</v>
      </c>
      <c r="K101" s="219">
        <f t="shared" si="15"/>
        <v>0</v>
      </c>
      <c r="L101" s="237">
        <f t="shared" si="12"/>
        <v>4.1309979600000005E-2</v>
      </c>
      <c r="M101" s="236">
        <f t="shared" si="10"/>
        <v>4</v>
      </c>
    </row>
    <row r="102" spans="2:13" x14ac:dyDescent="0.25">
      <c r="B102" s="217" t="s">
        <v>1079</v>
      </c>
      <c r="C102" s="17"/>
      <c r="D102" s="216">
        <f>'[70]Rev_NP-12me'!AQ110</f>
        <v>8.5130279844919272</v>
      </c>
      <c r="E102" s="216">
        <f>'[70]Rev_NP-12me'!AT110</f>
        <v>1.3375965017990226</v>
      </c>
      <c r="F102" s="216">
        <f>'[70]Rev_NP-12me'!AU110</f>
        <v>7.2371985326956922</v>
      </c>
      <c r="G102" s="216">
        <f>'[70]Rev_NP-12me'!AW110</f>
        <v>5.16E-2</v>
      </c>
      <c r="H102" s="215">
        <f t="shared" si="11"/>
        <v>8.6263950344947151</v>
      </c>
      <c r="I102" s="216">
        <f t="shared" si="13"/>
        <v>1.3375965017990226</v>
      </c>
      <c r="J102" s="216">
        <f t="shared" si="14"/>
        <v>7.2371985326956922</v>
      </c>
      <c r="K102" s="216">
        <f t="shared" si="15"/>
        <v>5.16E-2</v>
      </c>
      <c r="L102" s="238">
        <f t="shared" si="12"/>
        <v>8.6263950344947151</v>
      </c>
      <c r="M102" s="236">
        <f t="shared" si="10"/>
        <v>10.133168891502891</v>
      </c>
    </row>
    <row r="103" spans="2:13" ht="14.4" x14ac:dyDescent="0.25">
      <c r="B103" s="221" t="s">
        <v>1134</v>
      </c>
      <c r="C103" s="17"/>
      <c r="D103" s="219">
        <f>'[70]Rev_NP-12me'!AQ111</f>
        <v>2.4030953953419729</v>
      </c>
      <c r="E103" s="219">
        <f>'[70]Rev_NP-12me'!AT111</f>
        <v>1.3375965017990226</v>
      </c>
      <c r="F103" s="219">
        <f>'[70]Rev_NP-12me'!AU111</f>
        <v>2.0426310860406769</v>
      </c>
      <c r="G103" s="219">
        <f>'[70]Rev_NP-12me'!AW111</f>
        <v>5.16E-2</v>
      </c>
      <c r="H103" s="218">
        <f t="shared" si="11"/>
        <v>3.4318275878396993</v>
      </c>
      <c r="I103" s="219">
        <f t="shared" si="13"/>
        <v>1.3375965017990226</v>
      </c>
      <c r="J103" s="219">
        <f t="shared" si="14"/>
        <v>2.0426310860406769</v>
      </c>
      <c r="K103" s="219">
        <f t="shared" si="15"/>
        <v>5.16E-2</v>
      </c>
      <c r="L103" s="237">
        <f t="shared" si="12"/>
        <v>3.4318275878396993</v>
      </c>
      <c r="M103" s="236">
        <f t="shared" si="10"/>
        <v>14.280862900789391</v>
      </c>
    </row>
    <row r="104" spans="2:13" ht="14.4" x14ac:dyDescent="0.25">
      <c r="B104" s="221" t="s">
        <v>1100</v>
      </c>
      <c r="C104" s="17"/>
      <c r="D104" s="219">
        <f>'[70]Rev_NP-12me'!AQ112</f>
        <v>1.7995342669246857</v>
      </c>
      <c r="E104" s="219">
        <f>'[70]Rev_NP-12me'!AT112</f>
        <v>0</v>
      </c>
      <c r="F104" s="219">
        <f>'[70]Rev_NP-12me'!AU112</f>
        <v>1.7095575535784513</v>
      </c>
      <c r="G104" s="219">
        <f>'[70]Rev_NP-12me'!AW112</f>
        <v>0</v>
      </c>
      <c r="H104" s="218">
        <f t="shared" si="11"/>
        <v>1.7095575535784513</v>
      </c>
      <c r="I104" s="219">
        <f t="shared" si="13"/>
        <v>0</v>
      </c>
      <c r="J104" s="219">
        <f t="shared" si="14"/>
        <v>1.7095575535784513</v>
      </c>
      <c r="K104" s="219">
        <f t="shared" si="15"/>
        <v>0</v>
      </c>
      <c r="L104" s="237">
        <f t="shared" si="12"/>
        <v>1.7095575535784513</v>
      </c>
      <c r="M104" s="236">
        <f t="shared" si="10"/>
        <v>9.4999999999999982</v>
      </c>
    </row>
    <row r="105" spans="2:13" ht="14.4" x14ac:dyDescent="0.25">
      <c r="B105" s="221" t="s">
        <v>1101</v>
      </c>
      <c r="C105" s="17"/>
      <c r="D105" s="219">
        <f>'[70]Rev_NP-12me'!AQ113</f>
        <v>1.2610557570380616</v>
      </c>
      <c r="E105" s="219">
        <f>'[70]Rev_NP-12me'!AT113</f>
        <v>0</v>
      </c>
      <c r="F105" s="219">
        <f>'[70]Rev_NP-12me'!AU113</f>
        <v>1.1980029691861585</v>
      </c>
      <c r="G105" s="219">
        <f>'[70]Rev_NP-12me'!AW113</f>
        <v>0</v>
      </c>
      <c r="H105" s="218">
        <f t="shared" si="11"/>
        <v>1.1980029691861585</v>
      </c>
      <c r="I105" s="219">
        <f t="shared" si="13"/>
        <v>0</v>
      </c>
      <c r="J105" s="219">
        <f t="shared" si="14"/>
        <v>1.1980029691861585</v>
      </c>
      <c r="K105" s="219">
        <f t="shared" si="15"/>
        <v>0</v>
      </c>
      <c r="L105" s="237">
        <f t="shared" si="12"/>
        <v>1.1980029691861585</v>
      </c>
      <c r="M105" s="236">
        <f t="shared" si="10"/>
        <v>9.5</v>
      </c>
    </row>
    <row r="106" spans="2:13" ht="14.4" x14ac:dyDescent="0.25">
      <c r="B106" s="221" t="s">
        <v>1102</v>
      </c>
      <c r="C106" s="17"/>
      <c r="D106" s="219">
        <f>'[70]Rev_NP-12me'!AQ114</f>
        <v>3.0493425651872079</v>
      </c>
      <c r="E106" s="219">
        <f>'[70]Rev_NP-12me'!AT114</f>
        <v>0</v>
      </c>
      <c r="F106" s="219">
        <f>'[70]Rev_NP-12me'!AU114</f>
        <v>2.2870069238904058</v>
      </c>
      <c r="G106" s="219">
        <f>'[70]Rev_NP-12me'!AW114</f>
        <v>0</v>
      </c>
      <c r="H106" s="218">
        <f t="shared" si="11"/>
        <v>2.2870069238904058</v>
      </c>
      <c r="I106" s="219">
        <f t="shared" si="13"/>
        <v>0</v>
      </c>
      <c r="J106" s="219">
        <f t="shared" si="14"/>
        <v>2.2870069238904058</v>
      </c>
      <c r="K106" s="219">
        <f t="shared" si="15"/>
        <v>0</v>
      </c>
      <c r="L106" s="237">
        <f t="shared" si="12"/>
        <v>2.2870069238904058</v>
      </c>
      <c r="M106" s="236">
        <f t="shared" si="10"/>
        <v>7.5</v>
      </c>
    </row>
    <row r="107" spans="2:13" x14ac:dyDescent="0.25">
      <c r="B107" s="217" t="s">
        <v>1136</v>
      </c>
      <c r="C107" s="17"/>
      <c r="D107" s="216">
        <f>'[70]Rev_NP-12me'!AQ115</f>
        <v>25.663067099999999</v>
      </c>
      <c r="E107" s="216">
        <f>'[70]Rev_NP-12me'!AT115</f>
        <v>11.603067086879214</v>
      </c>
      <c r="F107" s="216">
        <f>'[70]Rev_NP-12me'!AU115</f>
        <v>16.167732272999999</v>
      </c>
      <c r="G107" s="216">
        <f>'[70]Rev_NP-12me'!AW115</f>
        <v>0.50280000000000002</v>
      </c>
      <c r="H107" s="218">
        <f t="shared" si="11"/>
        <v>28.273599359879213</v>
      </c>
      <c r="I107" s="216">
        <f t="shared" si="13"/>
        <v>11.603067086879214</v>
      </c>
      <c r="J107" s="216">
        <f t="shared" si="14"/>
        <v>16.167732272999999</v>
      </c>
      <c r="K107" s="216">
        <f t="shared" si="15"/>
        <v>0.50280000000000002</v>
      </c>
      <c r="L107" s="238">
        <f t="shared" si="12"/>
        <v>28.273599359879213</v>
      </c>
      <c r="M107" s="236">
        <f t="shared" ref="M107:M138" si="16">IFERROR(L107*10/D107,"")</f>
        <v>11.017233150545444</v>
      </c>
    </row>
    <row r="108" spans="2:13" ht="14.4" x14ac:dyDescent="0.25">
      <c r="B108" s="221" t="s">
        <v>1137</v>
      </c>
      <c r="C108" s="17"/>
      <c r="D108" s="219">
        <f>'[70]Rev_NP-12me'!AQ116</f>
        <v>25.663067099999999</v>
      </c>
      <c r="E108" s="219">
        <f>'[70]Rev_NP-12me'!AT116</f>
        <v>11.603067086879214</v>
      </c>
      <c r="F108" s="219">
        <f>'[70]Rev_NP-12me'!AU116</f>
        <v>16.167732272999999</v>
      </c>
      <c r="G108" s="219">
        <f>'[70]Rev_NP-12me'!AW116</f>
        <v>0.50280000000000002</v>
      </c>
      <c r="H108" s="218">
        <f t="shared" si="11"/>
        <v>28.273599359879213</v>
      </c>
      <c r="I108" s="219">
        <f t="shared" si="13"/>
        <v>11.603067086879214</v>
      </c>
      <c r="J108" s="219">
        <f t="shared" si="14"/>
        <v>16.167732272999999</v>
      </c>
      <c r="K108" s="219">
        <f t="shared" si="15"/>
        <v>0.50280000000000002</v>
      </c>
      <c r="L108" s="237">
        <f t="shared" si="12"/>
        <v>28.273599359879213</v>
      </c>
      <c r="M108" s="236">
        <f t="shared" si="16"/>
        <v>11.017233150545444</v>
      </c>
    </row>
    <row r="109" spans="2:13" x14ac:dyDescent="0.25">
      <c r="B109" s="217" t="s">
        <v>1138</v>
      </c>
      <c r="C109" s="17"/>
      <c r="D109" s="216">
        <f>'[70]Rev_NP-12me'!AQ127</f>
        <v>155.68817273588263</v>
      </c>
      <c r="E109" s="216">
        <f>'[70]Rev_NP-12me'!AT127</f>
        <v>0</v>
      </c>
      <c r="F109" s="216">
        <f>'[70]Rev_NP-12me'!AU127</f>
        <v>94.969785368888409</v>
      </c>
      <c r="G109" s="216">
        <f>'[70]Rev_NP-12me'!AW127</f>
        <v>0.2772</v>
      </c>
      <c r="H109" s="218">
        <f t="shared" si="11"/>
        <v>95.246985368888403</v>
      </c>
      <c r="I109" s="216">
        <f t="shared" si="13"/>
        <v>0</v>
      </c>
      <c r="J109" s="216">
        <f t="shared" si="14"/>
        <v>94.969785368888409</v>
      </c>
      <c r="K109" s="216">
        <f t="shared" si="15"/>
        <v>0.2772</v>
      </c>
      <c r="L109" s="238">
        <f t="shared" si="12"/>
        <v>95.246985368888403</v>
      </c>
      <c r="M109" s="236">
        <f t="shared" si="16"/>
        <v>6.1178048206956772</v>
      </c>
    </row>
    <row r="110" spans="2:13" ht="14.4" x14ac:dyDescent="0.25">
      <c r="B110" s="221" t="s">
        <v>216</v>
      </c>
      <c r="C110" s="17"/>
      <c r="D110" s="219">
        <f>'[70]Rev_NP-12me'!AQ128</f>
        <v>155.68817273588263</v>
      </c>
      <c r="E110" s="219">
        <f>'[70]Rev_NP-12me'!AT128</f>
        <v>0</v>
      </c>
      <c r="F110" s="219">
        <f>'[70]Rev_NP-12me'!AU128</f>
        <v>94.969785368888409</v>
      </c>
      <c r="G110" s="219">
        <f>'[70]Rev_NP-12me'!AW128</f>
        <v>0.2772</v>
      </c>
      <c r="H110" s="218">
        <f t="shared" si="11"/>
        <v>95.246985368888403</v>
      </c>
      <c r="I110" s="219">
        <f t="shared" si="13"/>
        <v>0</v>
      </c>
      <c r="J110" s="219">
        <f t="shared" si="14"/>
        <v>94.969785368888409</v>
      </c>
      <c r="K110" s="219">
        <f t="shared" si="15"/>
        <v>0.2772</v>
      </c>
      <c r="L110" s="237">
        <f t="shared" si="12"/>
        <v>95.246985368888403</v>
      </c>
      <c r="M110" s="236">
        <f t="shared" si="16"/>
        <v>6.1178048206956772</v>
      </c>
    </row>
    <row r="111" spans="2:13" ht="14.4" x14ac:dyDescent="0.25">
      <c r="B111" s="221" t="s">
        <v>1139</v>
      </c>
      <c r="C111" s="17"/>
      <c r="D111" s="219">
        <f>'[70]Rev_NP-12me'!AQ129</f>
        <v>0</v>
      </c>
      <c r="E111" s="219">
        <f>'[70]Rev_NP-12me'!AT129</f>
        <v>0</v>
      </c>
      <c r="F111" s="219">
        <f>'[70]Rev_NP-12me'!AU129</f>
        <v>0</v>
      </c>
      <c r="G111" s="219">
        <f>'[70]Rev_NP-12me'!AW129</f>
        <v>0</v>
      </c>
      <c r="H111" s="218">
        <f t="shared" si="11"/>
        <v>0</v>
      </c>
      <c r="I111" s="219">
        <f t="shared" si="13"/>
        <v>0</v>
      </c>
      <c r="J111" s="219">
        <f t="shared" si="14"/>
        <v>0</v>
      </c>
      <c r="K111" s="219">
        <f t="shared" si="15"/>
        <v>0</v>
      </c>
      <c r="L111" s="237">
        <f t="shared" si="12"/>
        <v>0</v>
      </c>
      <c r="M111" s="236" t="str">
        <f t="shared" si="16"/>
        <v/>
      </c>
    </row>
    <row r="112" spans="2:13" x14ac:dyDescent="0.25">
      <c r="B112" s="217" t="s">
        <v>1140</v>
      </c>
      <c r="C112" s="17"/>
      <c r="D112" s="216">
        <f>'[70]Rev_NP-12me'!AQ118</f>
        <v>0</v>
      </c>
      <c r="E112" s="216">
        <f>'[70]Rev_NP-12me'!AT118</f>
        <v>0</v>
      </c>
      <c r="F112" s="216">
        <f>'[70]Rev_NP-12me'!AU118</f>
        <v>0</v>
      </c>
      <c r="G112" s="216">
        <f>'[70]Rev_NP-12me'!AW118</f>
        <v>0</v>
      </c>
      <c r="H112" s="218">
        <f t="shared" si="11"/>
        <v>0</v>
      </c>
      <c r="I112" s="216">
        <f t="shared" si="13"/>
        <v>0</v>
      </c>
      <c r="J112" s="216">
        <f t="shared" si="14"/>
        <v>0</v>
      </c>
      <c r="K112" s="216">
        <f t="shared" si="15"/>
        <v>0</v>
      </c>
      <c r="L112" s="237">
        <f t="shared" si="12"/>
        <v>0</v>
      </c>
      <c r="M112" s="236" t="str">
        <f t="shared" si="16"/>
        <v/>
      </c>
    </row>
    <row r="113" spans="2:13" x14ac:dyDescent="0.25">
      <c r="B113" s="217" t="s">
        <v>1141</v>
      </c>
      <c r="C113" s="17"/>
      <c r="D113" s="216">
        <f>'[70]Rev_NP-12me'!AQ119</f>
        <v>0</v>
      </c>
      <c r="E113" s="216">
        <f>'[70]Rev_NP-12me'!AT119</f>
        <v>0</v>
      </c>
      <c r="F113" s="216">
        <f>'[70]Rev_NP-12me'!AU119</f>
        <v>0</v>
      </c>
      <c r="G113" s="216">
        <f>'[70]Rev_NP-12me'!AW119</f>
        <v>0</v>
      </c>
      <c r="H113" s="218">
        <f t="shared" si="11"/>
        <v>0</v>
      </c>
      <c r="I113" s="216">
        <f t="shared" si="13"/>
        <v>0</v>
      </c>
      <c r="J113" s="216">
        <f t="shared" si="14"/>
        <v>0</v>
      </c>
      <c r="K113" s="216">
        <f t="shared" si="15"/>
        <v>0</v>
      </c>
      <c r="L113" s="237">
        <f t="shared" si="12"/>
        <v>0</v>
      </c>
      <c r="M113" s="236" t="str">
        <f t="shared" si="16"/>
        <v/>
      </c>
    </row>
    <row r="114" spans="2:13" x14ac:dyDescent="0.25">
      <c r="B114" s="217" t="s">
        <v>811</v>
      </c>
      <c r="C114" s="17"/>
      <c r="D114" s="216">
        <f>'[70]Rev_NP-12me'!AQ117</f>
        <v>8.8767601200000001</v>
      </c>
      <c r="E114" s="216">
        <f>'[70]Rev_NP-12me'!AT117</f>
        <v>1.3690134289771754</v>
      </c>
      <c r="F114" s="216">
        <f>'[70]Rev_NP-12me'!AU117</f>
        <v>6.4800348876000005</v>
      </c>
      <c r="G114" s="216">
        <f>'[70]Rev_NP-12me'!AW117</f>
        <v>4.4400000000000002E-2</v>
      </c>
      <c r="H114" s="215">
        <f t="shared" si="11"/>
        <v>7.8934483165771763</v>
      </c>
      <c r="I114" s="216">
        <f t="shared" si="13"/>
        <v>1.3690134289771754</v>
      </c>
      <c r="J114" s="216">
        <f t="shared" si="14"/>
        <v>6.4800348876000005</v>
      </c>
      <c r="K114" s="216">
        <f t="shared" si="15"/>
        <v>4.4400000000000002E-2</v>
      </c>
      <c r="L114" s="238">
        <f t="shared" si="12"/>
        <v>7.8934483165771763</v>
      </c>
      <c r="M114" s="236">
        <f t="shared" si="16"/>
        <v>8.8922627285969469</v>
      </c>
    </row>
    <row r="115" spans="2:13" x14ac:dyDescent="0.25">
      <c r="B115" s="217" t="s">
        <v>813</v>
      </c>
      <c r="C115" s="17"/>
      <c r="D115" s="216">
        <f>'[70]Rev_NP-12me'!AQ120</f>
        <v>16.997482980000001</v>
      </c>
      <c r="E115" s="216">
        <f>'[70]Rev_NP-12me'!AT120</f>
        <v>6.2301336000000003</v>
      </c>
      <c r="F115" s="216">
        <f>'[70]Rev_NP-12me'!AU120</f>
        <v>20.057029916400005</v>
      </c>
      <c r="G115" s="216">
        <f>'[70]Rev_NP-12me'!AW120</f>
        <v>0.1104</v>
      </c>
      <c r="H115" s="215">
        <f t="shared" si="11"/>
        <v>26.397563516400005</v>
      </c>
      <c r="I115" s="216">
        <f t="shared" si="13"/>
        <v>6.2301336000000003</v>
      </c>
      <c r="J115" s="216">
        <f t="shared" si="14"/>
        <v>20.057029916400005</v>
      </c>
      <c r="K115" s="216">
        <f t="shared" si="15"/>
        <v>0.1104</v>
      </c>
      <c r="L115" s="238">
        <f t="shared" si="12"/>
        <v>26.397563516400005</v>
      </c>
      <c r="M115" s="236">
        <f t="shared" si="16"/>
        <v>15.530277952012399</v>
      </c>
    </row>
    <row r="116" spans="2:13" x14ac:dyDescent="0.25">
      <c r="B116" s="217" t="s">
        <v>1142</v>
      </c>
      <c r="C116" s="17"/>
      <c r="D116" s="216">
        <f>'[70]Rev_NP-12me'!AQ121</f>
        <v>1163.1169718019062</v>
      </c>
      <c r="E116" s="216">
        <f>'[70]Rev_NP-12me'!AT121</f>
        <v>0</v>
      </c>
      <c r="F116" s="216">
        <f>'[70]Rev_NP-12me'!AU121</f>
        <v>562.9486143521226</v>
      </c>
      <c r="G116" s="216">
        <f>'[70]Rev_NP-12me'!AW121</f>
        <v>0</v>
      </c>
      <c r="H116" s="215">
        <f t="shared" si="11"/>
        <v>562.9486143521226</v>
      </c>
      <c r="I116" s="216">
        <f t="shared" si="13"/>
        <v>0</v>
      </c>
      <c r="J116" s="216">
        <f t="shared" si="14"/>
        <v>562.9486143521226</v>
      </c>
      <c r="K116" s="216">
        <f t="shared" si="15"/>
        <v>0</v>
      </c>
      <c r="L116" s="238">
        <f t="shared" si="12"/>
        <v>562.9486143521226</v>
      </c>
      <c r="M116" s="236">
        <f t="shared" si="16"/>
        <v>4.84</v>
      </c>
    </row>
    <row r="117" spans="2:13" x14ac:dyDescent="0.25">
      <c r="B117" s="217" t="s">
        <v>1143</v>
      </c>
      <c r="C117" s="17"/>
      <c r="D117" s="216">
        <f>'[70]Rev_NP-12me'!AQ122</f>
        <v>0</v>
      </c>
      <c r="E117" s="216">
        <f>'[70]Rev_NP-12me'!AT122</f>
        <v>0</v>
      </c>
      <c r="F117" s="216">
        <f>'[70]Rev_NP-12me'!AU122</f>
        <v>0</v>
      </c>
      <c r="G117" s="216">
        <f>'[70]Rev_NP-12me'!AW122</f>
        <v>0</v>
      </c>
      <c r="H117" s="215">
        <f t="shared" si="11"/>
        <v>0</v>
      </c>
      <c r="I117" s="216">
        <f t="shared" si="13"/>
        <v>0</v>
      </c>
      <c r="J117" s="216">
        <f t="shared" si="14"/>
        <v>0</v>
      </c>
      <c r="K117" s="216">
        <f t="shared" si="15"/>
        <v>0</v>
      </c>
      <c r="L117" s="238">
        <f t="shared" si="12"/>
        <v>0</v>
      </c>
      <c r="M117" s="236" t="str">
        <f t="shared" si="16"/>
        <v/>
      </c>
    </row>
    <row r="118" spans="2:13" ht="14.4" x14ac:dyDescent="0.25">
      <c r="B118" s="223" t="s">
        <v>1134</v>
      </c>
      <c r="C118" s="17"/>
      <c r="D118" s="219">
        <f>'[70]Rev_NP-12me'!AQ123</f>
        <v>0</v>
      </c>
      <c r="E118" s="219">
        <f>'[70]Rev_NP-12me'!AT123</f>
        <v>0</v>
      </c>
      <c r="F118" s="219">
        <f>'[70]Rev_NP-12me'!AU123</f>
        <v>0</v>
      </c>
      <c r="G118" s="219">
        <f>'[70]Rev_NP-12me'!AW123</f>
        <v>0</v>
      </c>
      <c r="H118" s="218">
        <f t="shared" si="11"/>
        <v>0</v>
      </c>
      <c r="I118" s="219">
        <f t="shared" si="13"/>
        <v>0</v>
      </c>
      <c r="J118" s="219">
        <f t="shared" si="14"/>
        <v>0</v>
      </c>
      <c r="K118" s="219">
        <f t="shared" si="15"/>
        <v>0</v>
      </c>
      <c r="L118" s="237">
        <f t="shared" si="12"/>
        <v>0</v>
      </c>
      <c r="M118" s="236" t="str">
        <f t="shared" si="16"/>
        <v/>
      </c>
    </row>
    <row r="119" spans="2:13" ht="14.4" x14ac:dyDescent="0.25">
      <c r="B119" s="223" t="s">
        <v>1100</v>
      </c>
      <c r="C119" s="17"/>
      <c r="D119" s="219">
        <f>'[70]Rev_NP-12me'!AQ124</f>
        <v>0</v>
      </c>
      <c r="E119" s="219">
        <f>'[70]Rev_NP-12me'!AT124</f>
        <v>0</v>
      </c>
      <c r="F119" s="219">
        <f>'[70]Rev_NP-12me'!AU124</f>
        <v>0</v>
      </c>
      <c r="G119" s="219">
        <f>'[70]Rev_NP-12me'!AW124</f>
        <v>0</v>
      </c>
      <c r="H119" s="218">
        <f t="shared" si="11"/>
        <v>0</v>
      </c>
      <c r="I119" s="219">
        <f t="shared" si="13"/>
        <v>0</v>
      </c>
      <c r="J119" s="219">
        <f t="shared" si="14"/>
        <v>0</v>
      </c>
      <c r="K119" s="219">
        <f t="shared" si="15"/>
        <v>0</v>
      </c>
      <c r="L119" s="237">
        <f t="shared" si="12"/>
        <v>0</v>
      </c>
      <c r="M119" s="236" t="str">
        <f t="shared" si="16"/>
        <v/>
      </c>
    </row>
    <row r="120" spans="2:13" ht="14.4" x14ac:dyDescent="0.25">
      <c r="B120" s="223" t="s">
        <v>1101</v>
      </c>
      <c r="C120" s="17"/>
      <c r="D120" s="219">
        <f>'[70]Rev_NP-12me'!AQ125</f>
        <v>0</v>
      </c>
      <c r="E120" s="219">
        <f>'[70]Rev_NP-12me'!AT125</f>
        <v>0</v>
      </c>
      <c r="F120" s="219">
        <f>'[70]Rev_NP-12me'!AU125</f>
        <v>0</v>
      </c>
      <c r="G120" s="219">
        <f>'[70]Rev_NP-12me'!AW125</f>
        <v>0</v>
      </c>
      <c r="H120" s="218">
        <f t="shared" si="11"/>
        <v>0</v>
      </c>
      <c r="I120" s="219">
        <f t="shared" si="13"/>
        <v>0</v>
      </c>
      <c r="J120" s="219">
        <f t="shared" si="14"/>
        <v>0</v>
      </c>
      <c r="K120" s="219">
        <f t="shared" si="15"/>
        <v>0</v>
      </c>
      <c r="L120" s="237">
        <f t="shared" si="12"/>
        <v>0</v>
      </c>
      <c r="M120" s="236" t="str">
        <f t="shared" si="16"/>
        <v/>
      </c>
    </row>
    <row r="121" spans="2:13" ht="14.4" x14ac:dyDescent="0.25">
      <c r="B121" s="223" t="s">
        <v>1102</v>
      </c>
      <c r="C121" s="17"/>
      <c r="D121" s="219">
        <f>'[70]Rev_NP-12me'!AQ126</f>
        <v>0</v>
      </c>
      <c r="E121" s="219">
        <f>'[70]Rev_NP-12me'!AT126</f>
        <v>0</v>
      </c>
      <c r="F121" s="219">
        <f>'[70]Rev_NP-12me'!AU126</f>
        <v>0</v>
      </c>
      <c r="G121" s="219">
        <f>'[70]Rev_NP-12me'!AW126</f>
        <v>0</v>
      </c>
      <c r="H121" s="218">
        <f t="shared" si="11"/>
        <v>0</v>
      </c>
      <c r="I121" s="219">
        <f t="shared" si="13"/>
        <v>0</v>
      </c>
      <c r="J121" s="219">
        <f t="shared" si="14"/>
        <v>0</v>
      </c>
      <c r="K121" s="219">
        <f t="shared" si="15"/>
        <v>0</v>
      </c>
      <c r="L121" s="237">
        <f t="shared" si="12"/>
        <v>0</v>
      </c>
      <c r="M121" s="236" t="str">
        <f t="shared" si="16"/>
        <v/>
      </c>
    </row>
    <row r="122" spans="2:13" x14ac:dyDescent="0.25">
      <c r="B122" s="213" t="s">
        <v>1144</v>
      </c>
      <c r="C122" s="17"/>
      <c r="D122" s="210">
        <f t="shared" ref="D122:H122" si="17">SUM(D76,D91,D92,D97,D102,D107,D109,D112,D113,D114,D115,D116,D117)</f>
        <v>2778.1112369378361</v>
      </c>
      <c r="E122" s="210">
        <f t="shared" si="17"/>
        <v>314.2444895291614</v>
      </c>
      <c r="F122" s="210">
        <f t="shared" si="17"/>
        <v>1813.1621277269758</v>
      </c>
      <c r="G122" s="210">
        <f t="shared" si="17"/>
        <v>8.886000000000001</v>
      </c>
      <c r="H122" s="210">
        <f t="shared" si="17"/>
        <v>2136.2926172561374</v>
      </c>
      <c r="I122" s="210">
        <f t="shared" si="13"/>
        <v>314.2444895291614</v>
      </c>
      <c r="J122" s="210">
        <f t="shared" si="14"/>
        <v>1813.1621277269758</v>
      </c>
      <c r="K122" s="210">
        <f t="shared" si="15"/>
        <v>8.886000000000001</v>
      </c>
      <c r="L122" s="210">
        <f t="shared" si="12"/>
        <v>2136.292617256137</v>
      </c>
      <c r="M122" s="236">
        <f t="shared" si="16"/>
        <v>7.6897303061588644</v>
      </c>
    </row>
    <row r="123" spans="2:13" x14ac:dyDescent="0.25">
      <c r="B123" s="17"/>
      <c r="C123" s="17"/>
      <c r="D123" s="198"/>
      <c r="E123" s="198"/>
      <c r="F123" s="198"/>
      <c r="G123" s="198"/>
      <c r="H123" s="198"/>
      <c r="I123" s="216"/>
      <c r="J123" s="216"/>
      <c r="K123" s="216"/>
      <c r="L123" s="237"/>
      <c r="M123" s="236" t="str">
        <f t="shared" si="16"/>
        <v/>
      </c>
    </row>
    <row r="124" spans="2:13" x14ac:dyDescent="0.25">
      <c r="B124" s="217" t="s">
        <v>213</v>
      </c>
      <c r="C124" s="17"/>
      <c r="D124" s="212"/>
      <c r="E124" s="212"/>
      <c r="F124" s="212"/>
      <c r="G124" s="212"/>
      <c r="H124" s="212"/>
      <c r="I124" s="216"/>
      <c r="J124" s="216"/>
      <c r="K124" s="216"/>
      <c r="L124" s="237"/>
      <c r="M124" s="236" t="str">
        <f t="shared" si="16"/>
        <v/>
      </c>
    </row>
    <row r="125" spans="2:13" x14ac:dyDescent="0.25">
      <c r="B125" s="217" t="s">
        <v>1145</v>
      </c>
      <c r="C125" s="17"/>
      <c r="D125" s="216">
        <f>'[70]Rev_NP-12me'!AQ144</f>
        <v>198.83087795755733</v>
      </c>
      <c r="E125" s="216">
        <f>'[70]Rev_NP-12me'!AT144</f>
        <v>32.182428131265397</v>
      </c>
      <c r="F125" s="216">
        <f>'[70]Rev_NP-12me'!AU144</f>
        <v>141.61185147175576</v>
      </c>
      <c r="G125" s="216">
        <f>'[70]Rev_NP-12me'!AW144</f>
        <v>0.21840000000000001</v>
      </c>
      <c r="H125" s="215">
        <f t="shared" ref="H125:H165" si="18">SUM(E125:G125)</f>
        <v>174.01267960302116</v>
      </c>
      <c r="I125" s="216">
        <f t="shared" si="13"/>
        <v>32.182428131265397</v>
      </c>
      <c r="J125" s="216">
        <f t="shared" si="14"/>
        <v>141.61185147175576</v>
      </c>
      <c r="K125" s="216">
        <f t="shared" si="15"/>
        <v>0.21840000000000001</v>
      </c>
      <c r="L125" s="238">
        <f t="shared" ref="L125:L166" si="19">SUM(I125:K125)</f>
        <v>174.01267960302116</v>
      </c>
      <c r="M125" s="236">
        <f t="shared" si="16"/>
        <v>8.7517935539250651</v>
      </c>
    </row>
    <row r="126" spans="2:13" x14ac:dyDescent="0.25">
      <c r="B126" s="227" t="s">
        <v>1146</v>
      </c>
      <c r="C126" s="17"/>
      <c r="D126" s="224">
        <f>'[70]Rev_NP-12me'!AQ145</f>
        <v>198.83087795755733</v>
      </c>
      <c r="E126" s="224">
        <f>'[70]Rev_NP-12me'!AT145</f>
        <v>32.182428131265397</v>
      </c>
      <c r="F126" s="224">
        <f>'[70]Rev_NP-12me'!AU145</f>
        <v>141.61185147175576</v>
      </c>
      <c r="G126" s="224">
        <f>'[70]Rev_NP-12me'!AW145</f>
        <v>0.21840000000000001</v>
      </c>
      <c r="H126" s="218">
        <f t="shared" si="18"/>
        <v>174.01267960302116</v>
      </c>
      <c r="I126" s="224">
        <f t="shared" si="13"/>
        <v>32.182428131265397</v>
      </c>
      <c r="J126" s="224">
        <f t="shared" si="14"/>
        <v>141.61185147175576</v>
      </c>
      <c r="K126" s="224">
        <f t="shared" si="15"/>
        <v>0.21840000000000001</v>
      </c>
      <c r="L126" s="237">
        <f t="shared" si="19"/>
        <v>174.01267960302116</v>
      </c>
      <c r="M126" s="236">
        <f t="shared" si="16"/>
        <v>8.7517935539250651</v>
      </c>
    </row>
    <row r="127" spans="2:13" ht="14.4" x14ac:dyDescent="0.25">
      <c r="B127" s="221" t="s">
        <v>1119</v>
      </c>
      <c r="C127" s="17"/>
      <c r="D127" s="219">
        <f>'[70]Rev_NP-12me'!AQ146</f>
        <v>33.987701968271061</v>
      </c>
      <c r="E127" s="219">
        <f>'[70]Rev_NP-12me'!AT146</f>
        <v>32.182428131265397</v>
      </c>
      <c r="F127" s="219">
        <f>'[70]Rev_NP-12me'!AU146</f>
        <v>24.301206907313809</v>
      </c>
      <c r="G127" s="219">
        <f>'[70]Rev_NP-12me'!AW146</f>
        <v>0.21840000000000001</v>
      </c>
      <c r="H127" s="218">
        <f t="shared" si="18"/>
        <v>56.702035038579211</v>
      </c>
      <c r="I127" s="224">
        <f t="shared" si="13"/>
        <v>32.182428131265397</v>
      </c>
      <c r="J127" s="224">
        <f t="shared" si="14"/>
        <v>24.301206907313809</v>
      </c>
      <c r="K127" s="224">
        <f t="shared" si="15"/>
        <v>0.21840000000000001</v>
      </c>
      <c r="L127" s="237">
        <f t="shared" si="19"/>
        <v>56.702035038579211</v>
      </c>
      <c r="M127" s="236">
        <f t="shared" si="16"/>
        <v>16.683103521242163</v>
      </c>
    </row>
    <row r="128" spans="2:13" ht="14.4" x14ac:dyDescent="0.25">
      <c r="B128" s="221" t="s">
        <v>1147</v>
      </c>
      <c r="C128" s="17"/>
      <c r="D128" s="219">
        <f>'[70]Rev_NP-12me'!AQ148</f>
        <v>0</v>
      </c>
      <c r="E128" s="219">
        <f>'[70]Rev_NP-12me'!AT148</f>
        <v>0</v>
      </c>
      <c r="F128" s="219">
        <f>'[70]Rev_NP-12me'!AU148</f>
        <v>0</v>
      </c>
      <c r="G128" s="219">
        <f>'[70]Rev_NP-12me'!AW148</f>
        <v>0</v>
      </c>
      <c r="H128" s="218">
        <f t="shared" si="18"/>
        <v>0</v>
      </c>
      <c r="I128" s="224">
        <f t="shared" si="13"/>
        <v>0</v>
      </c>
      <c r="J128" s="224">
        <f t="shared" si="14"/>
        <v>0</v>
      </c>
      <c r="K128" s="224">
        <f t="shared" si="15"/>
        <v>0</v>
      </c>
      <c r="L128" s="237">
        <f t="shared" si="19"/>
        <v>0</v>
      </c>
      <c r="M128" s="236" t="str">
        <f t="shared" si="16"/>
        <v/>
      </c>
    </row>
    <row r="129" spans="2:13" ht="14.4" x14ac:dyDescent="0.25">
      <c r="B129" s="221" t="s">
        <v>1148</v>
      </c>
      <c r="C129" s="17"/>
      <c r="D129" s="219">
        <f>'[70]Rev_NP-12me'!AQ149</f>
        <v>0</v>
      </c>
      <c r="E129" s="219">
        <f>'[70]Rev_NP-12me'!AT149</f>
        <v>0</v>
      </c>
      <c r="F129" s="219">
        <f>'[70]Rev_NP-12me'!AU149</f>
        <v>0</v>
      </c>
      <c r="G129" s="219">
        <f>'[70]Rev_NP-12me'!AW149</f>
        <v>0</v>
      </c>
      <c r="H129" s="218">
        <f t="shared" si="18"/>
        <v>0</v>
      </c>
      <c r="I129" s="224">
        <f t="shared" si="13"/>
        <v>0</v>
      </c>
      <c r="J129" s="224">
        <f t="shared" si="14"/>
        <v>0</v>
      </c>
      <c r="K129" s="224">
        <f t="shared" si="15"/>
        <v>0</v>
      </c>
      <c r="L129" s="237">
        <f t="shared" si="19"/>
        <v>0</v>
      </c>
      <c r="M129" s="236" t="str">
        <f t="shared" si="16"/>
        <v/>
      </c>
    </row>
    <row r="130" spans="2:13" ht="14.4" x14ac:dyDescent="0.25">
      <c r="B130" s="221" t="s">
        <v>1149</v>
      </c>
      <c r="C130" s="17"/>
      <c r="D130" s="219">
        <f>'[70]Rev_NP-12me'!AQ150</f>
        <v>0</v>
      </c>
      <c r="E130" s="219">
        <f>'[70]Rev_NP-12me'!AT150</f>
        <v>0</v>
      </c>
      <c r="F130" s="219">
        <f>'[70]Rev_NP-12me'!AU150</f>
        <v>0</v>
      </c>
      <c r="G130" s="219">
        <f>'[70]Rev_NP-12me'!AW150</f>
        <v>0</v>
      </c>
      <c r="H130" s="218">
        <f t="shared" si="18"/>
        <v>0</v>
      </c>
      <c r="I130" s="224">
        <f t="shared" si="13"/>
        <v>0</v>
      </c>
      <c r="J130" s="224">
        <f t="shared" si="14"/>
        <v>0</v>
      </c>
      <c r="K130" s="224">
        <f t="shared" si="15"/>
        <v>0</v>
      </c>
      <c r="L130" s="237">
        <f t="shared" si="19"/>
        <v>0</v>
      </c>
      <c r="M130" s="236" t="str">
        <f t="shared" si="16"/>
        <v/>
      </c>
    </row>
    <row r="131" spans="2:13" ht="14.4" x14ac:dyDescent="0.25">
      <c r="B131" s="223" t="s">
        <v>1100</v>
      </c>
      <c r="C131" s="17"/>
      <c r="D131" s="219">
        <f>'[70]Rev_NP-12me'!AQ151</f>
        <v>43.868879742669847</v>
      </c>
      <c r="E131" s="219">
        <f>'[70]Rev_NP-12me'!AT151</f>
        <v>0</v>
      </c>
      <c r="F131" s="219">
        <f>'[70]Rev_NP-12me'!AU151</f>
        <v>35.753136990275927</v>
      </c>
      <c r="G131" s="219">
        <f>'[70]Rev_NP-12me'!AW151</f>
        <v>0</v>
      </c>
      <c r="H131" s="218">
        <f t="shared" si="18"/>
        <v>35.753136990275927</v>
      </c>
      <c r="I131" s="224">
        <f t="shared" si="13"/>
        <v>0</v>
      </c>
      <c r="J131" s="224">
        <f t="shared" si="14"/>
        <v>35.753136990275927</v>
      </c>
      <c r="K131" s="224">
        <f t="shared" si="15"/>
        <v>0</v>
      </c>
      <c r="L131" s="237">
        <f t="shared" si="19"/>
        <v>35.753136990275927</v>
      </c>
      <c r="M131" s="236">
        <f t="shared" si="16"/>
        <v>8.15</v>
      </c>
    </row>
    <row r="132" spans="2:13" ht="14.4" x14ac:dyDescent="0.25">
      <c r="B132" s="223" t="s">
        <v>1101</v>
      </c>
      <c r="C132" s="17"/>
      <c r="D132" s="219">
        <f>'[70]Rev_NP-12me'!AQ152</f>
        <v>35.79157691248453</v>
      </c>
      <c r="E132" s="219">
        <f>'[70]Rev_NP-12me'!AT152</f>
        <v>0</v>
      </c>
      <c r="F132" s="219">
        <f>'[70]Rev_NP-12me'!AU152</f>
        <v>29.170135183674894</v>
      </c>
      <c r="G132" s="219">
        <f>'[70]Rev_NP-12me'!AW152</f>
        <v>0</v>
      </c>
      <c r="H132" s="218">
        <f t="shared" si="18"/>
        <v>29.170135183674894</v>
      </c>
      <c r="I132" s="224">
        <f t="shared" si="13"/>
        <v>0</v>
      </c>
      <c r="J132" s="224">
        <f t="shared" si="14"/>
        <v>29.170135183674894</v>
      </c>
      <c r="K132" s="224">
        <f t="shared" si="15"/>
        <v>0</v>
      </c>
      <c r="L132" s="237">
        <f t="shared" si="19"/>
        <v>29.170135183674894</v>
      </c>
      <c r="M132" s="236">
        <f t="shared" si="16"/>
        <v>8.15</v>
      </c>
    </row>
    <row r="133" spans="2:13" ht="14.4" x14ac:dyDescent="0.25">
      <c r="B133" s="223" t="s">
        <v>1102</v>
      </c>
      <c r="C133" s="17"/>
      <c r="D133" s="219">
        <f>'[70]Rev_NP-12me'!AQ154</f>
        <v>85.182719334131903</v>
      </c>
      <c r="E133" s="219">
        <f>'[70]Rev_NP-12me'!AT154</f>
        <v>0</v>
      </c>
      <c r="F133" s="219">
        <f>'[70]Rev_NP-12me'!AU154</f>
        <v>52.387372390491123</v>
      </c>
      <c r="G133" s="219">
        <f>'[70]Rev_NP-12me'!AW154</f>
        <v>0</v>
      </c>
      <c r="H133" s="218">
        <f t="shared" si="18"/>
        <v>52.387372390491123</v>
      </c>
      <c r="I133" s="224">
        <f t="shared" si="13"/>
        <v>0</v>
      </c>
      <c r="J133" s="224">
        <f t="shared" si="14"/>
        <v>52.387372390491123</v>
      </c>
      <c r="K133" s="224">
        <f t="shared" si="15"/>
        <v>0</v>
      </c>
      <c r="L133" s="237">
        <f t="shared" si="19"/>
        <v>52.387372390491123</v>
      </c>
      <c r="M133" s="236">
        <f t="shared" si="16"/>
        <v>6.15</v>
      </c>
    </row>
    <row r="134" spans="2:13" x14ac:dyDescent="0.25">
      <c r="B134" s="217" t="s">
        <v>1127</v>
      </c>
      <c r="C134" s="17"/>
      <c r="D134" s="224">
        <f>'[70]Rev_NP-12me'!AQ156</f>
        <v>0</v>
      </c>
      <c r="E134" s="224">
        <f>'[70]Rev_NP-12me'!AT156</f>
        <v>0</v>
      </c>
      <c r="F134" s="224">
        <f>'[70]Rev_NP-12me'!AU156</f>
        <v>0</v>
      </c>
      <c r="G134" s="224">
        <f>'[70]Rev_NP-12me'!AW156</f>
        <v>0</v>
      </c>
      <c r="H134" s="215">
        <f t="shared" si="18"/>
        <v>0</v>
      </c>
      <c r="I134" s="224">
        <f t="shared" si="13"/>
        <v>0</v>
      </c>
      <c r="J134" s="224">
        <f t="shared" si="14"/>
        <v>0</v>
      </c>
      <c r="K134" s="224">
        <f t="shared" si="15"/>
        <v>0</v>
      </c>
      <c r="L134" s="238">
        <f t="shared" si="19"/>
        <v>0</v>
      </c>
      <c r="M134" s="236" t="str">
        <f t="shared" si="16"/>
        <v/>
      </c>
    </row>
    <row r="135" spans="2:13" ht="14.4" x14ac:dyDescent="0.25">
      <c r="B135" s="223" t="s">
        <v>1150</v>
      </c>
      <c r="C135" s="17"/>
      <c r="D135" s="219">
        <f>'[70]Rev_NP-12me'!AQ157</f>
        <v>0</v>
      </c>
      <c r="E135" s="219">
        <f>'[70]Rev_NP-12me'!AT157</f>
        <v>0</v>
      </c>
      <c r="F135" s="219">
        <f>'[70]Rev_NP-12me'!AU157</f>
        <v>0</v>
      </c>
      <c r="G135" s="219">
        <f>'[70]Rev_NP-12me'!AW157</f>
        <v>0</v>
      </c>
      <c r="H135" s="218">
        <f t="shared" si="18"/>
        <v>0</v>
      </c>
      <c r="I135" s="224">
        <f t="shared" si="13"/>
        <v>0</v>
      </c>
      <c r="J135" s="224">
        <f t="shared" si="14"/>
        <v>0</v>
      </c>
      <c r="K135" s="224">
        <f t="shared" si="15"/>
        <v>0</v>
      </c>
      <c r="L135" s="237">
        <f t="shared" si="19"/>
        <v>0</v>
      </c>
      <c r="M135" s="236" t="str">
        <f t="shared" si="16"/>
        <v/>
      </c>
    </row>
    <row r="136" spans="2:13" ht="14.4" x14ac:dyDescent="0.25">
      <c r="B136" s="223" t="s">
        <v>1129</v>
      </c>
      <c r="C136" s="17"/>
      <c r="D136" s="219">
        <f>'[70]Rev_NP-12me'!AQ158</f>
        <v>0</v>
      </c>
      <c r="E136" s="219">
        <f>'[70]Rev_NP-12me'!AT158</f>
        <v>0</v>
      </c>
      <c r="F136" s="219">
        <f>'[70]Rev_NP-12me'!AU158</f>
        <v>0</v>
      </c>
      <c r="G136" s="219">
        <f>'[70]Rev_NP-12me'!AW158</f>
        <v>0</v>
      </c>
      <c r="H136" s="218">
        <f t="shared" si="18"/>
        <v>0</v>
      </c>
      <c r="I136" s="224">
        <f t="shared" si="13"/>
        <v>0</v>
      </c>
      <c r="J136" s="224">
        <f t="shared" si="14"/>
        <v>0</v>
      </c>
      <c r="K136" s="224">
        <f t="shared" si="15"/>
        <v>0</v>
      </c>
      <c r="L136" s="237">
        <f t="shared" si="19"/>
        <v>0</v>
      </c>
      <c r="M136" s="236" t="str">
        <f t="shared" si="16"/>
        <v/>
      </c>
    </row>
    <row r="137" spans="2:13" ht="14.4" x14ac:dyDescent="0.25">
      <c r="B137" s="223" t="s">
        <v>1130</v>
      </c>
      <c r="C137" s="17"/>
      <c r="D137" s="219">
        <f>'[70]Rev_NP-12me'!AQ159</f>
        <v>0</v>
      </c>
      <c r="E137" s="219">
        <f>'[70]Rev_NP-12me'!AT159</f>
        <v>0</v>
      </c>
      <c r="F137" s="219">
        <f>'[70]Rev_NP-12me'!AU159</f>
        <v>0</v>
      </c>
      <c r="G137" s="219">
        <f>'[70]Rev_NP-12me'!AW159</f>
        <v>0</v>
      </c>
      <c r="H137" s="218">
        <f t="shared" si="18"/>
        <v>0</v>
      </c>
      <c r="I137" s="224">
        <f t="shared" si="13"/>
        <v>0</v>
      </c>
      <c r="J137" s="224">
        <f t="shared" si="14"/>
        <v>0</v>
      </c>
      <c r="K137" s="224">
        <f t="shared" si="15"/>
        <v>0</v>
      </c>
      <c r="L137" s="237">
        <f t="shared" si="19"/>
        <v>0</v>
      </c>
      <c r="M137" s="236" t="str">
        <f t="shared" si="16"/>
        <v/>
      </c>
    </row>
    <row r="138" spans="2:13" ht="14.4" x14ac:dyDescent="0.25">
      <c r="B138" s="223" t="s">
        <v>1151</v>
      </c>
      <c r="C138" s="17"/>
      <c r="D138" s="219">
        <f>'[70]Rev_NP-12me'!AQ160</f>
        <v>0</v>
      </c>
      <c r="E138" s="219">
        <f>'[70]Rev_NP-12me'!AT160</f>
        <v>0</v>
      </c>
      <c r="F138" s="219">
        <f>'[70]Rev_NP-12me'!AU160</f>
        <v>0</v>
      </c>
      <c r="G138" s="219">
        <f>'[70]Rev_NP-12me'!AW160</f>
        <v>0</v>
      </c>
      <c r="H138" s="218">
        <f t="shared" si="18"/>
        <v>0</v>
      </c>
      <c r="I138" s="224">
        <f t="shared" si="13"/>
        <v>0</v>
      </c>
      <c r="J138" s="224">
        <f t="shared" si="14"/>
        <v>0</v>
      </c>
      <c r="K138" s="224">
        <f t="shared" si="15"/>
        <v>0</v>
      </c>
      <c r="L138" s="237">
        <f t="shared" si="19"/>
        <v>0</v>
      </c>
      <c r="M138" s="236" t="str">
        <f t="shared" si="16"/>
        <v/>
      </c>
    </row>
    <row r="139" spans="2:13" x14ac:dyDescent="0.25">
      <c r="B139" s="217" t="s">
        <v>1132</v>
      </c>
      <c r="C139" s="17"/>
      <c r="D139" s="216">
        <f>'[70]Rev_NP-12me'!AQ161</f>
        <v>2.6019179999999996E-2</v>
      </c>
      <c r="E139" s="216">
        <f>'[70]Rev_NP-12me'!AT161</f>
        <v>4.5600000000000002E-2</v>
      </c>
      <c r="F139" s="216">
        <f>'[70]Rev_NP-12me'!AU161</f>
        <v>1.86037137E-2</v>
      </c>
      <c r="G139" s="216">
        <f>'[70]Rev_NP-12me'!AW161</f>
        <v>4.1999999999999997E-3</v>
      </c>
      <c r="H139" s="215">
        <f t="shared" si="18"/>
        <v>6.8403713699999993E-2</v>
      </c>
      <c r="I139" s="216">
        <f t="shared" si="13"/>
        <v>4.5600000000000002E-2</v>
      </c>
      <c r="J139" s="216">
        <f t="shared" si="14"/>
        <v>1.86037137E-2</v>
      </c>
      <c r="K139" s="216">
        <f t="shared" si="15"/>
        <v>4.1999999999999997E-3</v>
      </c>
      <c r="L139" s="238">
        <f t="shared" si="19"/>
        <v>6.8403713699999993E-2</v>
      </c>
      <c r="M139" s="236">
        <f t="shared" ref="M139:M164" si="20">IFERROR(L139*10/D139,"")</f>
        <v>26.289726924522604</v>
      </c>
    </row>
    <row r="140" spans="2:13" x14ac:dyDescent="0.25">
      <c r="B140" s="217" t="s">
        <v>1133</v>
      </c>
      <c r="C140" s="17"/>
      <c r="D140" s="216">
        <f>'[70]Rev_NP-12me'!AQ162</f>
        <v>17.671262952650498</v>
      </c>
      <c r="E140" s="216">
        <f>'[70]Rev_NP-12me'!AT162</f>
        <v>4.2668641281673176</v>
      </c>
      <c r="F140" s="216">
        <f>'[70]Rev_NP-12me'!AU162</f>
        <v>14.193844081629665</v>
      </c>
      <c r="G140" s="216">
        <f>'[70]Rev_NP-12me'!AW162</f>
        <v>9.4500000000000001E-2</v>
      </c>
      <c r="H140" s="215">
        <f t="shared" si="18"/>
        <v>18.555208209796984</v>
      </c>
      <c r="I140" s="216">
        <f t="shared" si="13"/>
        <v>4.2668641281673176</v>
      </c>
      <c r="J140" s="216">
        <f t="shared" si="14"/>
        <v>14.193844081629665</v>
      </c>
      <c r="K140" s="216">
        <f t="shared" si="15"/>
        <v>9.4500000000000001E-2</v>
      </c>
      <c r="L140" s="238">
        <f t="shared" si="19"/>
        <v>18.555208209796984</v>
      </c>
      <c r="M140" s="236">
        <f t="shared" si="20"/>
        <v>10.500216232147633</v>
      </c>
    </row>
    <row r="141" spans="2:13" ht="14.4" x14ac:dyDescent="0.25">
      <c r="B141" s="223" t="s">
        <v>1152</v>
      </c>
      <c r="C141" s="17"/>
      <c r="D141" s="219">
        <f>'[70]Rev_NP-12me'!AQ163</f>
        <v>6.30601425794785</v>
      </c>
      <c r="E141" s="219">
        <f>'[70]Rev_NP-12me'!AT163</f>
        <v>4.2668641281673176</v>
      </c>
      <c r="F141" s="219">
        <f>'[70]Rev_NP-12me'!AU163</f>
        <v>5.0448114063582796</v>
      </c>
      <c r="G141" s="219">
        <f>'[70]Rev_NP-12me'!AW163</f>
        <v>9.4500000000000001E-2</v>
      </c>
      <c r="H141" s="218">
        <f t="shared" si="18"/>
        <v>9.4061755345255982</v>
      </c>
      <c r="I141" s="224">
        <f t="shared" ref="I141:I165" si="21">E141</f>
        <v>4.2668641281673176</v>
      </c>
      <c r="J141" s="224">
        <f t="shared" ref="J141:J165" si="22">F141</f>
        <v>5.0448114063582796</v>
      </c>
      <c r="K141" s="224">
        <f t="shared" ref="K141:K165" si="23">G141</f>
        <v>9.4500000000000001E-2</v>
      </c>
      <c r="L141" s="237">
        <f t="shared" si="19"/>
        <v>9.4061755345255982</v>
      </c>
      <c r="M141" s="236">
        <f t="shared" si="20"/>
        <v>14.916197695985906</v>
      </c>
    </row>
    <row r="142" spans="2:13" ht="14.4" x14ac:dyDescent="0.25">
      <c r="B142" s="223" t="s">
        <v>1100</v>
      </c>
      <c r="C142" s="17"/>
      <c r="D142" s="219">
        <f>'[70]Rev_NP-12me'!AQ164</f>
        <v>3.2722609040683328</v>
      </c>
      <c r="E142" s="219">
        <f>'[70]Rev_NP-12me'!AT164</f>
        <v>0</v>
      </c>
      <c r="F142" s="219">
        <f>'[70]Rev_NP-12me'!AU164</f>
        <v>2.9450348136614997</v>
      </c>
      <c r="G142" s="219">
        <f>'[70]Rev_NP-12me'!AW164</f>
        <v>0</v>
      </c>
      <c r="H142" s="218">
        <f t="shared" si="18"/>
        <v>2.9450348136614997</v>
      </c>
      <c r="I142" s="224">
        <f t="shared" si="21"/>
        <v>0</v>
      </c>
      <c r="J142" s="224">
        <f t="shared" si="22"/>
        <v>2.9450348136614997</v>
      </c>
      <c r="K142" s="224">
        <f t="shared" si="23"/>
        <v>0</v>
      </c>
      <c r="L142" s="237">
        <f t="shared" si="19"/>
        <v>2.9450348136614997</v>
      </c>
      <c r="M142" s="236">
        <f t="shared" si="20"/>
        <v>9.0000000000000018</v>
      </c>
    </row>
    <row r="143" spans="2:13" ht="14.4" x14ac:dyDescent="0.25">
      <c r="B143" s="223" t="s">
        <v>1101</v>
      </c>
      <c r="C143" s="17"/>
      <c r="D143" s="219">
        <f>'[70]Rev_NP-12me'!AQ165</f>
        <v>2.6945320408293347</v>
      </c>
      <c r="E143" s="219">
        <f>'[70]Rev_NP-12me'!AT165</f>
        <v>0</v>
      </c>
      <c r="F143" s="219">
        <f>'[70]Rev_NP-12me'!AU165</f>
        <v>2.4250788367464011</v>
      </c>
      <c r="G143" s="219">
        <f>'[70]Rev_NP-12me'!AW165</f>
        <v>0</v>
      </c>
      <c r="H143" s="218">
        <f t="shared" si="18"/>
        <v>2.4250788367464011</v>
      </c>
      <c r="I143" s="224">
        <f t="shared" si="21"/>
        <v>0</v>
      </c>
      <c r="J143" s="224">
        <f t="shared" si="22"/>
        <v>2.4250788367464011</v>
      </c>
      <c r="K143" s="224">
        <f t="shared" si="23"/>
        <v>0</v>
      </c>
      <c r="L143" s="237">
        <f t="shared" si="19"/>
        <v>2.4250788367464011</v>
      </c>
      <c r="M143" s="236">
        <f t="shared" si="20"/>
        <v>9</v>
      </c>
    </row>
    <row r="144" spans="2:13" ht="14.4" x14ac:dyDescent="0.25">
      <c r="B144" s="223" t="s">
        <v>1102</v>
      </c>
      <c r="C144" s="17"/>
      <c r="D144" s="219">
        <f>'[70]Rev_NP-12me'!AQ166</f>
        <v>5.3984557498049792</v>
      </c>
      <c r="E144" s="219">
        <f>'[70]Rev_NP-12me'!AT166</f>
        <v>0</v>
      </c>
      <c r="F144" s="219">
        <f>'[70]Rev_NP-12me'!AU166</f>
        <v>3.7789190248634852</v>
      </c>
      <c r="G144" s="219">
        <f>'[70]Rev_NP-12me'!AW166</f>
        <v>0</v>
      </c>
      <c r="H144" s="218">
        <f t="shared" si="18"/>
        <v>3.7789190248634852</v>
      </c>
      <c r="I144" s="224">
        <f t="shared" si="21"/>
        <v>0</v>
      </c>
      <c r="J144" s="224">
        <f t="shared" si="22"/>
        <v>3.7789190248634852</v>
      </c>
      <c r="K144" s="224">
        <f t="shared" si="23"/>
        <v>0</v>
      </c>
      <c r="L144" s="237">
        <f t="shared" si="19"/>
        <v>3.7789190248634852</v>
      </c>
      <c r="M144" s="236">
        <f t="shared" si="20"/>
        <v>7</v>
      </c>
    </row>
    <row r="145" spans="2:13" ht="14.4" x14ac:dyDescent="0.25">
      <c r="B145" s="223" t="s">
        <v>1153</v>
      </c>
      <c r="C145" s="17"/>
      <c r="D145" s="219">
        <f>'[70]Rev_NP-12me'!AQ167</f>
        <v>0</v>
      </c>
      <c r="E145" s="219">
        <f>'[70]Rev_NP-12me'!AT167</f>
        <v>0</v>
      </c>
      <c r="F145" s="219">
        <f>'[70]Rev_NP-12me'!AU167</f>
        <v>0</v>
      </c>
      <c r="G145" s="219">
        <f>'[70]Rev_NP-12me'!AW167</f>
        <v>0</v>
      </c>
      <c r="H145" s="218">
        <f t="shared" si="18"/>
        <v>0</v>
      </c>
      <c r="I145" s="224">
        <f t="shared" si="21"/>
        <v>0</v>
      </c>
      <c r="J145" s="224">
        <f t="shared" si="22"/>
        <v>0</v>
      </c>
      <c r="K145" s="224">
        <f t="shared" si="23"/>
        <v>0</v>
      </c>
      <c r="L145" s="237">
        <f t="shared" si="19"/>
        <v>0</v>
      </c>
      <c r="M145" s="236" t="str">
        <f t="shared" si="20"/>
        <v/>
      </c>
    </row>
    <row r="146" spans="2:13" x14ac:dyDescent="0.25">
      <c r="B146" s="217" t="s">
        <v>1135</v>
      </c>
      <c r="C146" s="17"/>
      <c r="D146" s="216">
        <f>'[70]Rev_NP-12me'!AQ168</f>
        <v>0</v>
      </c>
      <c r="E146" s="216">
        <f>'[70]Rev_NP-12me'!AT168</f>
        <v>0</v>
      </c>
      <c r="F146" s="216">
        <f>'[70]Rev_NP-12me'!AU168</f>
        <v>0</v>
      </c>
      <c r="G146" s="216">
        <f>'[70]Rev_NP-12me'!AW168</f>
        <v>0</v>
      </c>
      <c r="H146" s="215">
        <f t="shared" si="18"/>
        <v>0</v>
      </c>
      <c r="I146" s="216">
        <f t="shared" si="21"/>
        <v>0</v>
      </c>
      <c r="J146" s="216">
        <f t="shared" si="22"/>
        <v>0</v>
      </c>
      <c r="K146" s="216">
        <f t="shared" si="23"/>
        <v>0</v>
      </c>
      <c r="L146" s="238">
        <f t="shared" si="19"/>
        <v>0</v>
      </c>
      <c r="M146" s="236" t="str">
        <f t="shared" si="20"/>
        <v/>
      </c>
    </row>
    <row r="147" spans="2:13" ht="14.4" x14ac:dyDescent="0.25">
      <c r="B147" s="221" t="s">
        <v>1134</v>
      </c>
      <c r="C147" s="17"/>
      <c r="D147" s="219">
        <f>'[70]Rev_NP-12me'!AQ169</f>
        <v>0</v>
      </c>
      <c r="E147" s="219">
        <f>'[70]Rev_NP-12me'!AT169</f>
        <v>0</v>
      </c>
      <c r="F147" s="219">
        <f>'[70]Rev_NP-12me'!AU169</f>
        <v>0</v>
      </c>
      <c r="G147" s="219">
        <f>'[70]Rev_NP-12me'!AW169</f>
        <v>0</v>
      </c>
      <c r="H147" s="218">
        <f t="shared" si="18"/>
        <v>0</v>
      </c>
      <c r="I147" s="224">
        <f t="shared" si="21"/>
        <v>0</v>
      </c>
      <c r="J147" s="224">
        <f t="shared" si="22"/>
        <v>0</v>
      </c>
      <c r="K147" s="224">
        <f t="shared" si="23"/>
        <v>0</v>
      </c>
      <c r="L147" s="237">
        <f t="shared" si="19"/>
        <v>0</v>
      </c>
      <c r="M147" s="236" t="str">
        <f t="shared" si="20"/>
        <v/>
      </c>
    </row>
    <row r="148" spans="2:13" ht="14.4" x14ac:dyDescent="0.25">
      <c r="B148" s="221" t="s">
        <v>1100</v>
      </c>
      <c r="C148" s="17"/>
      <c r="D148" s="219">
        <f>'[70]Rev_NP-12me'!AQ170</f>
        <v>0</v>
      </c>
      <c r="E148" s="219">
        <f>'[70]Rev_NP-12me'!AT170</f>
        <v>0</v>
      </c>
      <c r="F148" s="219">
        <f>'[70]Rev_NP-12me'!AU170</f>
        <v>0</v>
      </c>
      <c r="G148" s="219">
        <f>'[70]Rev_NP-12me'!AW170</f>
        <v>0</v>
      </c>
      <c r="H148" s="218">
        <f t="shared" si="18"/>
        <v>0</v>
      </c>
      <c r="I148" s="224">
        <f t="shared" si="21"/>
        <v>0</v>
      </c>
      <c r="J148" s="224">
        <f t="shared" si="22"/>
        <v>0</v>
      </c>
      <c r="K148" s="224">
        <f t="shared" si="23"/>
        <v>0</v>
      </c>
      <c r="L148" s="237">
        <f t="shared" si="19"/>
        <v>0</v>
      </c>
      <c r="M148" s="236" t="str">
        <f t="shared" si="20"/>
        <v/>
      </c>
    </row>
    <row r="149" spans="2:13" ht="14.4" x14ac:dyDescent="0.25">
      <c r="B149" s="221" t="s">
        <v>1101</v>
      </c>
      <c r="C149" s="17"/>
      <c r="D149" s="219">
        <f>'[70]Rev_NP-12me'!AQ171</f>
        <v>0</v>
      </c>
      <c r="E149" s="219">
        <f>'[70]Rev_NP-12me'!AT171</f>
        <v>0</v>
      </c>
      <c r="F149" s="219">
        <f>'[70]Rev_NP-12me'!AU171</f>
        <v>0</v>
      </c>
      <c r="G149" s="219">
        <f>'[70]Rev_NP-12me'!AW171</f>
        <v>0</v>
      </c>
      <c r="H149" s="218">
        <f t="shared" si="18"/>
        <v>0</v>
      </c>
      <c r="I149" s="224">
        <f t="shared" si="21"/>
        <v>0</v>
      </c>
      <c r="J149" s="224">
        <f t="shared" si="22"/>
        <v>0</v>
      </c>
      <c r="K149" s="224">
        <f t="shared" si="23"/>
        <v>0</v>
      </c>
      <c r="L149" s="237">
        <f t="shared" si="19"/>
        <v>0</v>
      </c>
      <c r="M149" s="236" t="str">
        <f t="shared" si="20"/>
        <v/>
      </c>
    </row>
    <row r="150" spans="2:13" ht="14.4" x14ac:dyDescent="0.25">
      <c r="B150" s="221" t="s">
        <v>1102</v>
      </c>
      <c r="C150" s="17"/>
      <c r="D150" s="219">
        <f>'[70]Rev_NP-12me'!AQ172</f>
        <v>0</v>
      </c>
      <c r="E150" s="219">
        <f>'[70]Rev_NP-12me'!AT172</f>
        <v>0</v>
      </c>
      <c r="F150" s="219">
        <f>'[70]Rev_NP-12me'!AU172</f>
        <v>0</v>
      </c>
      <c r="G150" s="219">
        <f>'[70]Rev_NP-12me'!AW172</f>
        <v>0</v>
      </c>
      <c r="H150" s="218">
        <f t="shared" si="18"/>
        <v>0</v>
      </c>
      <c r="I150" s="224">
        <f t="shared" si="21"/>
        <v>0</v>
      </c>
      <c r="J150" s="224">
        <f t="shared" si="22"/>
        <v>0</v>
      </c>
      <c r="K150" s="224">
        <f t="shared" si="23"/>
        <v>0</v>
      </c>
      <c r="L150" s="237">
        <f t="shared" si="19"/>
        <v>0</v>
      </c>
      <c r="M150" s="236" t="str">
        <f t="shared" si="20"/>
        <v/>
      </c>
    </row>
    <row r="151" spans="2:13" x14ac:dyDescent="0.25">
      <c r="B151" s="217" t="s">
        <v>1079</v>
      </c>
      <c r="C151" s="17"/>
      <c r="D151" s="216">
        <f>'[70]Rev_NP-12me'!AQ173</f>
        <v>0</v>
      </c>
      <c r="E151" s="216">
        <f>'[70]Rev_NP-12me'!AT173</f>
        <v>0</v>
      </c>
      <c r="F151" s="216">
        <f>'[70]Rev_NP-12me'!AU173</f>
        <v>0</v>
      </c>
      <c r="G151" s="216">
        <f>'[70]Rev_NP-12me'!AW173</f>
        <v>0</v>
      </c>
      <c r="H151" s="218">
        <f t="shared" si="18"/>
        <v>0</v>
      </c>
      <c r="I151" s="216">
        <f t="shared" si="21"/>
        <v>0</v>
      </c>
      <c r="J151" s="216">
        <f t="shared" si="22"/>
        <v>0</v>
      </c>
      <c r="K151" s="216">
        <f t="shared" si="23"/>
        <v>0</v>
      </c>
      <c r="L151" s="238">
        <f t="shared" si="19"/>
        <v>0</v>
      </c>
      <c r="M151" s="236" t="str">
        <f t="shared" si="20"/>
        <v/>
      </c>
    </row>
    <row r="152" spans="2:13" ht="14.4" x14ac:dyDescent="0.25">
      <c r="B152" s="223" t="s">
        <v>1134</v>
      </c>
      <c r="C152" s="17"/>
      <c r="D152" s="219">
        <f>'[70]Rev_NP-12me'!AQ174</f>
        <v>0</v>
      </c>
      <c r="E152" s="219">
        <f>'[70]Rev_NP-12me'!AT174</f>
        <v>0</v>
      </c>
      <c r="F152" s="219">
        <f>'[70]Rev_NP-12me'!AU174</f>
        <v>0</v>
      </c>
      <c r="G152" s="219">
        <f>'[70]Rev_NP-12me'!AW174</f>
        <v>0</v>
      </c>
      <c r="H152" s="218">
        <f t="shared" si="18"/>
        <v>0</v>
      </c>
      <c r="I152" s="224">
        <f t="shared" si="21"/>
        <v>0</v>
      </c>
      <c r="J152" s="224">
        <f t="shared" si="22"/>
        <v>0</v>
      </c>
      <c r="K152" s="224">
        <f t="shared" si="23"/>
        <v>0</v>
      </c>
      <c r="L152" s="237">
        <f t="shared" si="19"/>
        <v>0</v>
      </c>
      <c r="M152" s="236" t="str">
        <f t="shared" si="20"/>
        <v/>
      </c>
    </row>
    <row r="153" spans="2:13" ht="14.4" x14ac:dyDescent="0.25">
      <c r="B153" s="223" t="s">
        <v>1100</v>
      </c>
      <c r="C153" s="17"/>
      <c r="D153" s="219">
        <f>'[70]Rev_NP-12me'!AQ175</f>
        <v>0</v>
      </c>
      <c r="E153" s="219">
        <f>'[70]Rev_NP-12me'!AT175</f>
        <v>0</v>
      </c>
      <c r="F153" s="219">
        <f>'[70]Rev_NP-12me'!AU175</f>
        <v>0</v>
      </c>
      <c r="G153" s="219">
        <f>'[70]Rev_NP-12me'!AW175</f>
        <v>0</v>
      </c>
      <c r="H153" s="218">
        <f t="shared" si="18"/>
        <v>0</v>
      </c>
      <c r="I153" s="224">
        <f t="shared" si="21"/>
        <v>0</v>
      </c>
      <c r="J153" s="224">
        <f t="shared" si="22"/>
        <v>0</v>
      </c>
      <c r="K153" s="224">
        <f t="shared" si="23"/>
        <v>0</v>
      </c>
      <c r="L153" s="237">
        <f t="shared" si="19"/>
        <v>0</v>
      </c>
      <c r="M153" s="236" t="str">
        <f t="shared" si="20"/>
        <v/>
      </c>
    </row>
    <row r="154" spans="2:13" ht="14.4" x14ac:dyDescent="0.25">
      <c r="B154" s="223" t="s">
        <v>1101</v>
      </c>
      <c r="C154" s="17"/>
      <c r="D154" s="219">
        <f>'[70]Rev_NP-12me'!AQ176</f>
        <v>0</v>
      </c>
      <c r="E154" s="219">
        <f>'[70]Rev_NP-12me'!AT176</f>
        <v>0</v>
      </c>
      <c r="F154" s="219">
        <f>'[70]Rev_NP-12me'!AU176</f>
        <v>0</v>
      </c>
      <c r="G154" s="219">
        <f>'[70]Rev_NP-12me'!AW176</f>
        <v>0</v>
      </c>
      <c r="H154" s="218">
        <f t="shared" si="18"/>
        <v>0</v>
      </c>
      <c r="I154" s="224">
        <f t="shared" si="21"/>
        <v>0</v>
      </c>
      <c r="J154" s="224">
        <f t="shared" si="22"/>
        <v>0</v>
      </c>
      <c r="K154" s="224">
        <f t="shared" si="23"/>
        <v>0</v>
      </c>
      <c r="L154" s="237">
        <f t="shared" si="19"/>
        <v>0</v>
      </c>
      <c r="M154" s="236" t="str">
        <f t="shared" si="20"/>
        <v/>
      </c>
    </row>
    <row r="155" spans="2:13" ht="14.4" x14ac:dyDescent="0.25">
      <c r="B155" s="223" t="s">
        <v>1102</v>
      </c>
      <c r="C155" s="17"/>
      <c r="D155" s="219">
        <f>'[70]Rev_NP-12me'!AQ177</f>
        <v>0</v>
      </c>
      <c r="E155" s="219">
        <f>'[70]Rev_NP-12me'!AT177</f>
        <v>0</v>
      </c>
      <c r="F155" s="219">
        <f>'[70]Rev_NP-12me'!AU177</f>
        <v>0</v>
      </c>
      <c r="G155" s="219">
        <f>'[70]Rev_NP-12me'!AW177</f>
        <v>0</v>
      </c>
      <c r="H155" s="218">
        <f t="shared" si="18"/>
        <v>0</v>
      </c>
      <c r="I155" s="224">
        <f t="shared" si="21"/>
        <v>0</v>
      </c>
      <c r="J155" s="224">
        <f t="shared" si="22"/>
        <v>0</v>
      </c>
      <c r="K155" s="224">
        <f t="shared" si="23"/>
        <v>0</v>
      </c>
      <c r="L155" s="237">
        <f t="shared" si="19"/>
        <v>0</v>
      </c>
      <c r="M155" s="236" t="str">
        <f t="shared" si="20"/>
        <v/>
      </c>
    </row>
    <row r="156" spans="2:13" x14ac:dyDescent="0.25">
      <c r="B156" s="217" t="s">
        <v>1154</v>
      </c>
      <c r="C156" s="17"/>
      <c r="D156" s="216">
        <f>'[70]Rev_NP-12me'!AQ178</f>
        <v>32.592349999999996</v>
      </c>
      <c r="E156" s="216">
        <f>'[70]Rev_NP-12me'!AT178</f>
        <v>11.024342301288906</v>
      </c>
      <c r="F156" s="216">
        <f>'[70]Rev_NP-12me'!AU178</f>
        <v>20.533180499999997</v>
      </c>
      <c r="G156" s="216">
        <f>'[70]Rev_NP-12me'!AW178</f>
        <v>0.10920000000000001</v>
      </c>
      <c r="H156" s="218">
        <f t="shared" si="18"/>
        <v>31.666722801288905</v>
      </c>
      <c r="I156" s="216">
        <f t="shared" si="21"/>
        <v>11.024342301288906</v>
      </c>
      <c r="J156" s="216">
        <f t="shared" si="22"/>
        <v>20.533180499999997</v>
      </c>
      <c r="K156" s="216">
        <f t="shared" si="23"/>
        <v>0.10920000000000001</v>
      </c>
      <c r="L156" s="238">
        <f t="shared" si="19"/>
        <v>31.666722801288905</v>
      </c>
      <c r="M156" s="236">
        <f t="shared" si="20"/>
        <v>9.7159986319761877</v>
      </c>
    </row>
    <row r="157" spans="2:13" x14ac:dyDescent="0.25">
      <c r="B157" s="226" t="s">
        <v>1137</v>
      </c>
      <c r="C157" s="17"/>
      <c r="D157" s="224">
        <f>'[70]Rev_NP-12me'!AQ179</f>
        <v>32.592349999999996</v>
      </c>
      <c r="E157" s="224">
        <f>'[70]Rev_NP-12me'!AT179</f>
        <v>11.024342301288906</v>
      </c>
      <c r="F157" s="224">
        <f>'[70]Rev_NP-12me'!AU179</f>
        <v>20.533180499999997</v>
      </c>
      <c r="G157" s="224">
        <f>'[70]Rev_NP-12me'!AW179</f>
        <v>0.10920000000000001</v>
      </c>
      <c r="H157" s="218">
        <f t="shared" si="18"/>
        <v>31.666722801288905</v>
      </c>
      <c r="I157" s="224">
        <f t="shared" si="21"/>
        <v>11.024342301288906</v>
      </c>
      <c r="J157" s="224">
        <f t="shared" si="22"/>
        <v>20.533180499999997</v>
      </c>
      <c r="K157" s="224">
        <f t="shared" si="23"/>
        <v>0.10920000000000001</v>
      </c>
      <c r="L157" s="237">
        <f t="shared" si="19"/>
        <v>31.666722801288905</v>
      </c>
      <c r="M157" s="236">
        <f t="shared" si="20"/>
        <v>9.7159986319761877</v>
      </c>
    </row>
    <row r="158" spans="2:13" x14ac:dyDescent="0.25">
      <c r="B158" s="225" t="s">
        <v>1155</v>
      </c>
      <c r="C158" s="17"/>
      <c r="D158" s="216">
        <f>'[70]Rev_NP-12me'!AQ184</f>
        <v>360.15071468408308</v>
      </c>
      <c r="E158" s="216">
        <f>'[70]Rev_NP-12me'!AT184</f>
        <v>0</v>
      </c>
      <c r="F158" s="216">
        <f>'[70]Rev_NP-12me'!AU184</f>
        <v>219.69193595729067</v>
      </c>
      <c r="G158" s="216">
        <f>'[70]Rev_NP-12me'!AW184</f>
        <v>0.14069999999999999</v>
      </c>
      <c r="H158" s="218">
        <f t="shared" si="18"/>
        <v>219.83263595729068</v>
      </c>
      <c r="I158" s="216">
        <f t="shared" si="21"/>
        <v>0</v>
      </c>
      <c r="J158" s="216">
        <f t="shared" si="22"/>
        <v>219.69193595729067</v>
      </c>
      <c r="K158" s="216">
        <f t="shared" si="23"/>
        <v>0.14069999999999999</v>
      </c>
      <c r="L158" s="238">
        <f t="shared" si="19"/>
        <v>219.83263595729068</v>
      </c>
      <c r="M158" s="236">
        <f t="shared" si="20"/>
        <v>6.103906697786881</v>
      </c>
    </row>
    <row r="159" spans="2:13" x14ac:dyDescent="0.25">
      <c r="B159" s="221" t="s">
        <v>1156</v>
      </c>
      <c r="C159" s="17"/>
      <c r="D159" s="224">
        <f>'[70]Rev_NP-12me'!AQ185</f>
        <v>360.15071468408308</v>
      </c>
      <c r="E159" s="224">
        <f>'[70]Rev_NP-12me'!AT185</f>
        <v>0</v>
      </c>
      <c r="F159" s="224">
        <f>'[70]Rev_NP-12me'!AU185</f>
        <v>219.69193595729067</v>
      </c>
      <c r="G159" s="224">
        <f>'[70]Rev_NP-12me'!AW185</f>
        <v>0.14069999999999999</v>
      </c>
      <c r="H159" s="218">
        <f t="shared" si="18"/>
        <v>219.83263595729068</v>
      </c>
      <c r="I159" s="224">
        <f t="shared" si="21"/>
        <v>0</v>
      </c>
      <c r="J159" s="224">
        <f t="shared" si="22"/>
        <v>219.69193595729067</v>
      </c>
      <c r="K159" s="224">
        <f t="shared" si="23"/>
        <v>0.14069999999999999</v>
      </c>
      <c r="L159" s="237">
        <f t="shared" si="19"/>
        <v>219.83263595729068</v>
      </c>
      <c r="M159" s="236">
        <f t="shared" si="20"/>
        <v>6.103906697786881</v>
      </c>
    </row>
    <row r="160" spans="2:13" x14ac:dyDescent="0.25">
      <c r="B160" s="213" t="s">
        <v>1157</v>
      </c>
      <c r="C160" s="17"/>
      <c r="D160" s="216">
        <f>'[70]Rev_NP-12me'!AQ187</f>
        <v>0</v>
      </c>
      <c r="E160" s="216">
        <f>'[70]Rev_NP-12me'!AT187</f>
        <v>0</v>
      </c>
      <c r="F160" s="216">
        <f>'[70]Rev_NP-12me'!AU187</f>
        <v>0</v>
      </c>
      <c r="G160" s="216">
        <f>'[70]Rev_NP-12me'!AW187</f>
        <v>0</v>
      </c>
      <c r="H160" s="218">
        <f t="shared" si="18"/>
        <v>0</v>
      </c>
      <c r="I160" s="216">
        <f t="shared" si="21"/>
        <v>0</v>
      </c>
      <c r="J160" s="216">
        <f t="shared" si="22"/>
        <v>0</v>
      </c>
      <c r="K160" s="216">
        <f t="shared" si="23"/>
        <v>0</v>
      </c>
      <c r="L160" s="237">
        <f t="shared" si="19"/>
        <v>0</v>
      </c>
      <c r="M160" s="236" t="str">
        <f t="shared" si="20"/>
        <v/>
      </c>
    </row>
    <row r="161" spans="2:13" x14ac:dyDescent="0.25">
      <c r="B161" s="217" t="s">
        <v>1140</v>
      </c>
      <c r="C161" s="17"/>
      <c r="D161" s="216">
        <f>'[70]Rev_NP-12me'!AQ180</f>
        <v>0</v>
      </c>
      <c r="E161" s="216">
        <f>'[70]Rev_NP-12me'!AT180</f>
        <v>0</v>
      </c>
      <c r="F161" s="216">
        <f>'[70]Rev_NP-12me'!AU180</f>
        <v>0</v>
      </c>
      <c r="G161" s="216">
        <f>'[70]Rev_NP-12me'!AW180</f>
        <v>0</v>
      </c>
      <c r="H161" s="218">
        <f t="shared" si="18"/>
        <v>0</v>
      </c>
      <c r="I161" s="216">
        <f t="shared" si="21"/>
        <v>0</v>
      </c>
      <c r="J161" s="216">
        <f t="shared" si="22"/>
        <v>0</v>
      </c>
      <c r="K161" s="216">
        <f t="shared" si="23"/>
        <v>0</v>
      </c>
      <c r="L161" s="238">
        <f t="shared" si="19"/>
        <v>0</v>
      </c>
      <c r="M161" s="236" t="str">
        <f t="shared" si="20"/>
        <v/>
      </c>
    </row>
    <row r="162" spans="2:13" x14ac:dyDescent="0.25">
      <c r="B162" s="217" t="s">
        <v>1141</v>
      </c>
      <c r="C162" s="17"/>
      <c r="D162" s="216">
        <f>'[70]Rev_NP-12me'!AQ181</f>
        <v>0</v>
      </c>
      <c r="E162" s="216">
        <f>'[70]Rev_NP-12me'!AT181</f>
        <v>0</v>
      </c>
      <c r="F162" s="216">
        <f>'[70]Rev_NP-12me'!AU181</f>
        <v>0</v>
      </c>
      <c r="G162" s="216">
        <f>'[70]Rev_NP-12me'!AW181</f>
        <v>0</v>
      </c>
      <c r="H162" s="218">
        <f t="shared" si="18"/>
        <v>0</v>
      </c>
      <c r="I162" s="216">
        <f t="shared" si="21"/>
        <v>0</v>
      </c>
      <c r="J162" s="216">
        <f t="shared" si="22"/>
        <v>0</v>
      </c>
      <c r="K162" s="216">
        <f t="shared" si="23"/>
        <v>0</v>
      </c>
      <c r="L162" s="238">
        <f t="shared" si="19"/>
        <v>0</v>
      </c>
      <c r="M162" s="236" t="str">
        <f t="shared" si="20"/>
        <v/>
      </c>
    </row>
    <row r="163" spans="2:13" x14ac:dyDescent="0.25">
      <c r="B163" s="217" t="s">
        <v>811</v>
      </c>
      <c r="C163" s="17"/>
      <c r="D163" s="216">
        <f>'[70]Rev_NP-12me'!AQ182</f>
        <v>31.910134814482756</v>
      </c>
      <c r="E163" s="216">
        <f>'[70]Rev_NP-12me'!AT182</f>
        <v>4.1746180395185997</v>
      </c>
      <c r="F163" s="216">
        <f>'[70]Rev_NP-12me'!AU182</f>
        <v>23.294398414572409</v>
      </c>
      <c r="G163" s="216">
        <f>'[70]Rev_NP-12me'!AW182</f>
        <v>3.3599999999999998E-2</v>
      </c>
      <c r="H163" s="218">
        <f t="shared" si="18"/>
        <v>27.502616454091008</v>
      </c>
      <c r="I163" s="216">
        <f t="shared" si="21"/>
        <v>4.1746180395185997</v>
      </c>
      <c r="J163" s="216">
        <f t="shared" si="22"/>
        <v>23.294398414572409</v>
      </c>
      <c r="K163" s="216">
        <f t="shared" si="23"/>
        <v>3.3599999999999998E-2</v>
      </c>
      <c r="L163" s="238">
        <f t="shared" si="19"/>
        <v>27.502616454091008</v>
      </c>
      <c r="M163" s="236">
        <f t="shared" si="20"/>
        <v>8.6187716266271153</v>
      </c>
    </row>
    <row r="164" spans="2:13" x14ac:dyDescent="0.25">
      <c r="B164" s="217" t="s">
        <v>813</v>
      </c>
      <c r="C164" s="17"/>
      <c r="D164" s="216">
        <f>'[70]Rev_NP-12me'!AQ183</f>
        <v>7.1627470199999994</v>
      </c>
      <c r="E164" s="216">
        <f>'[70]Rev_NP-12me'!AT183</f>
        <v>3.1920000000000002</v>
      </c>
      <c r="F164" s="216">
        <f>'[70]Rev_NP-12me'!AU183</f>
        <v>7.8790217219999992</v>
      </c>
      <c r="G164" s="216">
        <f>'[70]Rev_NP-12me'!AW183</f>
        <v>3.3599999999999998E-2</v>
      </c>
      <c r="H164" s="218">
        <f t="shared" si="18"/>
        <v>11.104621721999999</v>
      </c>
      <c r="I164" s="216">
        <f t="shared" si="21"/>
        <v>3.1920000000000002</v>
      </c>
      <c r="J164" s="216">
        <f t="shared" si="22"/>
        <v>7.8790217219999992</v>
      </c>
      <c r="K164" s="216">
        <f t="shared" si="23"/>
        <v>3.3599999999999998E-2</v>
      </c>
      <c r="L164" s="238">
        <f t="shared" si="19"/>
        <v>11.104621721999999</v>
      </c>
      <c r="M164" s="236">
        <f t="shared" si="20"/>
        <v>15.503300187753943</v>
      </c>
    </row>
    <row r="165" spans="2:13" x14ac:dyDescent="0.25">
      <c r="B165" s="217" t="s">
        <v>1182</v>
      </c>
      <c r="C165" s="17"/>
      <c r="D165" s="216">
        <f>'[70]Rev_NP-12me'!AQ191</f>
        <v>84.621599999999987</v>
      </c>
      <c r="E165" s="216">
        <f>'[70]Rev_NP-12me'!AT191</f>
        <v>1.7280000000000002</v>
      </c>
      <c r="F165" s="216">
        <f>'[70]Rev_NP-12me'!AU191</f>
        <v>50.772959999999991</v>
      </c>
      <c r="G165" s="216">
        <f>'[70]Rev_NP-12me'!AW191</f>
        <v>6.3E-3</v>
      </c>
      <c r="H165" s="218">
        <f t="shared" si="18"/>
        <v>52.507259999999995</v>
      </c>
      <c r="I165" s="216">
        <f t="shared" si="21"/>
        <v>1.7280000000000002</v>
      </c>
      <c r="J165" s="216">
        <f t="shared" si="22"/>
        <v>50.772959999999991</v>
      </c>
      <c r="K165" s="216">
        <f t="shared" si="23"/>
        <v>6.3E-3</v>
      </c>
      <c r="L165" s="238">
        <f t="shared" si="19"/>
        <v>52.507259999999995</v>
      </c>
      <c r="M165" s="236"/>
    </row>
    <row r="166" spans="2:13" x14ac:dyDescent="0.25">
      <c r="B166" s="213" t="s">
        <v>1159</v>
      </c>
      <c r="C166" s="17"/>
      <c r="D166" s="210">
        <f t="shared" ref="D166:K166" si="24">SUM(D125,D139,D140,D146,D151,D156,D158,D160,D161,D162,D163,D164,D165)</f>
        <v>732.96570660877353</v>
      </c>
      <c r="E166" s="210">
        <f t="shared" si="24"/>
        <v>56.613852600240222</v>
      </c>
      <c r="F166" s="210">
        <f t="shared" si="24"/>
        <v>477.99579586094853</v>
      </c>
      <c r="G166" s="210">
        <f t="shared" si="24"/>
        <v>0.64049999999999996</v>
      </c>
      <c r="H166" s="210">
        <f t="shared" si="24"/>
        <v>535.2501484611887</v>
      </c>
      <c r="I166" s="210">
        <f t="shared" si="24"/>
        <v>56.613852600240222</v>
      </c>
      <c r="J166" s="210">
        <f t="shared" si="24"/>
        <v>477.99579586094853</v>
      </c>
      <c r="K166" s="210">
        <f t="shared" si="24"/>
        <v>0.64049999999999996</v>
      </c>
      <c r="L166" s="210">
        <f t="shared" si="19"/>
        <v>535.2501484611887</v>
      </c>
      <c r="M166" s="236">
        <f t="shared" ref="M166:M197" si="25">IFERROR(L166*10/D166,"")</f>
        <v>7.302526484324086</v>
      </c>
    </row>
    <row r="167" spans="2:13" x14ac:dyDescent="0.25">
      <c r="B167" s="17"/>
      <c r="C167" s="17"/>
      <c r="D167" s="212"/>
      <c r="E167" s="212"/>
      <c r="F167" s="212"/>
      <c r="G167" s="212"/>
      <c r="H167" s="218"/>
      <c r="I167" s="212"/>
      <c r="J167" s="212"/>
      <c r="K167" s="212"/>
      <c r="L167" s="237"/>
      <c r="M167" s="236" t="str">
        <f t="shared" si="25"/>
        <v/>
      </c>
    </row>
    <row r="168" spans="2:13" x14ac:dyDescent="0.25">
      <c r="B168" s="217" t="s">
        <v>1160</v>
      </c>
      <c r="C168" s="17"/>
      <c r="D168" s="212"/>
      <c r="E168" s="212"/>
      <c r="F168" s="212"/>
      <c r="G168" s="212"/>
      <c r="H168" s="218"/>
      <c r="I168" s="212"/>
      <c r="J168" s="212"/>
      <c r="K168" s="212"/>
      <c r="L168" s="237"/>
      <c r="M168" s="236" t="str">
        <f t="shared" si="25"/>
        <v/>
      </c>
    </row>
    <row r="169" spans="2:13" x14ac:dyDescent="0.25">
      <c r="B169" s="217" t="s">
        <v>1145</v>
      </c>
      <c r="C169" s="17"/>
      <c r="D169" s="216">
        <f>'[70]Rev_NP-12me'!AQ201</f>
        <v>381.44015963675173</v>
      </c>
      <c r="E169" s="216">
        <f>'[70]Rev_NP-12me'!AT201</f>
        <v>82.326726160107881</v>
      </c>
      <c r="F169" s="216">
        <f>'[70]Rev_NP-12me'!AU201</f>
        <v>256.48538640107995</v>
      </c>
      <c r="G169" s="216">
        <f>'[70]Rev_NP-12me'!AW201</f>
        <v>8.4000000000000005E-2</v>
      </c>
      <c r="H169" s="218">
        <f t="shared" ref="H169:H210" si="26">SUM(E169:G169)</f>
        <v>338.89611256118786</v>
      </c>
      <c r="I169" s="216">
        <f>E169</f>
        <v>82.326726160107881</v>
      </c>
      <c r="J169" s="216">
        <f>F169</f>
        <v>256.48538640107995</v>
      </c>
      <c r="K169" s="216">
        <f>G169</f>
        <v>8.4000000000000005E-2</v>
      </c>
      <c r="L169" s="238">
        <f t="shared" ref="L169:L211" si="27">SUM(I169:K169)</f>
        <v>338.89611256118786</v>
      </c>
      <c r="M169" s="236">
        <f t="shared" si="25"/>
        <v>8.8846468836401797</v>
      </c>
    </row>
    <row r="170" spans="2:13" x14ac:dyDescent="0.25">
      <c r="B170" s="221" t="s">
        <v>1119</v>
      </c>
      <c r="C170" s="17"/>
      <c r="D170" s="224">
        <f>'[70]Rev_NP-12me'!AQ202</f>
        <v>42.631794458751784</v>
      </c>
      <c r="E170" s="224">
        <f>'[70]Rev_NP-12me'!AT202</f>
        <v>82.326726160107881</v>
      </c>
      <c r="F170" s="224">
        <f>'[70]Rev_NP-12me'!AU202</f>
        <v>28.350143315069936</v>
      </c>
      <c r="G170" s="224">
        <f>'[70]Rev_NP-12me'!AW202</f>
        <v>8.4000000000000005E-2</v>
      </c>
      <c r="H170" s="218">
        <f t="shared" si="26"/>
        <v>110.76086947517783</v>
      </c>
      <c r="I170" s="224">
        <f t="shared" ref="I170:I210" si="28">E170</f>
        <v>82.326726160107881</v>
      </c>
      <c r="J170" s="224">
        <f t="shared" ref="J170:J210" si="29">F170</f>
        <v>28.350143315069936</v>
      </c>
      <c r="K170" s="224">
        <f t="shared" ref="K170:K210" si="30">G170</f>
        <v>8.4000000000000005E-2</v>
      </c>
      <c r="L170" s="237">
        <f t="shared" si="27"/>
        <v>110.76086947517783</v>
      </c>
      <c r="M170" s="236">
        <f t="shared" si="25"/>
        <v>25.98081335336331</v>
      </c>
    </row>
    <row r="171" spans="2:13" ht="14.4" x14ac:dyDescent="0.25">
      <c r="B171" s="221" t="s">
        <v>1147</v>
      </c>
      <c r="C171" s="17"/>
      <c r="D171" s="219">
        <f>'[70]Rev_NP-12me'!$AQ$204</f>
        <v>0</v>
      </c>
      <c r="E171" s="219">
        <f>'[70]Rev_NP-12me'!$AQ$204</f>
        <v>0</v>
      </c>
      <c r="F171" s="219">
        <f>'[70]Rev_NP-12me'!$AQ$204</f>
        <v>0</v>
      </c>
      <c r="G171" s="219">
        <f>'[70]Rev_NP-12me'!$AQ$204</f>
        <v>0</v>
      </c>
      <c r="H171" s="218">
        <f t="shared" si="26"/>
        <v>0</v>
      </c>
      <c r="I171" s="219">
        <f t="shared" si="28"/>
        <v>0</v>
      </c>
      <c r="J171" s="219">
        <f t="shared" si="29"/>
        <v>0</v>
      </c>
      <c r="K171" s="219">
        <f t="shared" si="30"/>
        <v>0</v>
      </c>
      <c r="L171" s="237">
        <f t="shared" si="27"/>
        <v>0</v>
      </c>
      <c r="M171" s="236" t="str">
        <f t="shared" si="25"/>
        <v/>
      </c>
    </row>
    <row r="172" spans="2:13" ht="14.4" x14ac:dyDescent="0.25">
      <c r="B172" s="221" t="s">
        <v>1148</v>
      </c>
      <c r="C172" s="17"/>
      <c r="D172" s="219">
        <f>'[70]Rev_NP-12me'!$AQ$205</f>
        <v>0</v>
      </c>
      <c r="E172" s="219">
        <f>'[70]Rev_NP-12me'!$AQ$205</f>
        <v>0</v>
      </c>
      <c r="F172" s="219">
        <f>'[70]Rev_NP-12me'!$AQ$205</f>
        <v>0</v>
      </c>
      <c r="G172" s="219">
        <f>'[70]Rev_NP-12me'!$AQ$205</f>
        <v>0</v>
      </c>
      <c r="H172" s="218">
        <f t="shared" si="26"/>
        <v>0</v>
      </c>
      <c r="I172" s="219">
        <f t="shared" si="28"/>
        <v>0</v>
      </c>
      <c r="J172" s="219">
        <f t="shared" si="29"/>
        <v>0</v>
      </c>
      <c r="K172" s="219">
        <f t="shared" si="30"/>
        <v>0</v>
      </c>
      <c r="L172" s="237">
        <f t="shared" si="27"/>
        <v>0</v>
      </c>
      <c r="M172" s="236" t="str">
        <f t="shared" si="25"/>
        <v/>
      </c>
    </row>
    <row r="173" spans="2:13" ht="14.4" x14ac:dyDescent="0.25">
      <c r="B173" s="221" t="s">
        <v>1149</v>
      </c>
      <c r="C173" s="17"/>
      <c r="D173" s="219">
        <f>'[70]Rev_NP-12me'!AQ206</f>
        <v>0</v>
      </c>
      <c r="E173" s="219">
        <f>'[70]Rev_NP-12me'!AT206</f>
        <v>0</v>
      </c>
      <c r="F173" s="219">
        <f>'[70]Rev_NP-12me'!AU206</f>
        <v>0</v>
      </c>
      <c r="G173" s="219">
        <f>'[70]Rev_NP-12me'!AW206</f>
        <v>0</v>
      </c>
      <c r="H173" s="218">
        <f t="shared" si="26"/>
        <v>0</v>
      </c>
      <c r="I173" s="219">
        <f t="shared" si="28"/>
        <v>0</v>
      </c>
      <c r="J173" s="219">
        <f t="shared" si="29"/>
        <v>0</v>
      </c>
      <c r="K173" s="219">
        <f t="shared" si="30"/>
        <v>0</v>
      </c>
      <c r="L173" s="237">
        <f t="shared" si="27"/>
        <v>0</v>
      </c>
      <c r="M173" s="236" t="str">
        <f t="shared" si="25"/>
        <v/>
      </c>
    </row>
    <row r="174" spans="2:13" ht="14.4" x14ac:dyDescent="0.25">
      <c r="B174" s="223" t="s">
        <v>1100</v>
      </c>
      <c r="C174" s="17"/>
      <c r="D174" s="219">
        <f>'[70]Rev_NP-12me'!AQ207</f>
        <v>149.62623827939998</v>
      </c>
      <c r="E174" s="219">
        <f>'[70]Rev_NP-12me'!AT207</f>
        <v>0</v>
      </c>
      <c r="F174" s="219">
        <f>'[70]Rev_NP-12me'!AU207</f>
        <v>114.46407228374099</v>
      </c>
      <c r="G174" s="219">
        <f>'[70]Rev_NP-12me'!AW207</f>
        <v>0</v>
      </c>
      <c r="H174" s="218">
        <f t="shared" si="26"/>
        <v>114.46407228374099</v>
      </c>
      <c r="I174" s="219">
        <f t="shared" si="28"/>
        <v>0</v>
      </c>
      <c r="J174" s="219">
        <f t="shared" si="29"/>
        <v>114.46407228374099</v>
      </c>
      <c r="K174" s="219">
        <f t="shared" si="30"/>
        <v>0</v>
      </c>
      <c r="L174" s="237">
        <f t="shared" si="27"/>
        <v>114.46407228374099</v>
      </c>
      <c r="M174" s="236">
        <f t="shared" si="25"/>
        <v>7.6499999999999995</v>
      </c>
    </row>
    <row r="175" spans="2:13" ht="14.4" x14ac:dyDescent="0.25">
      <c r="B175" s="223" t="s">
        <v>1101</v>
      </c>
      <c r="C175" s="17"/>
      <c r="D175" s="219">
        <f>'[70]Rev_NP-12me'!AQ208</f>
        <v>33.916345522799993</v>
      </c>
      <c r="E175" s="219">
        <f>'[70]Rev_NP-12me'!AT208</f>
        <v>0</v>
      </c>
      <c r="F175" s="219">
        <f>'[70]Rev_NP-12me'!AU208</f>
        <v>25.946004324941999</v>
      </c>
      <c r="G175" s="219">
        <f>'[70]Rev_NP-12me'!AW208</f>
        <v>0</v>
      </c>
      <c r="H175" s="218">
        <f t="shared" si="26"/>
        <v>25.946004324941999</v>
      </c>
      <c r="I175" s="219">
        <f t="shared" si="28"/>
        <v>0</v>
      </c>
      <c r="J175" s="219">
        <f t="shared" si="29"/>
        <v>25.946004324941999</v>
      </c>
      <c r="K175" s="219">
        <f t="shared" si="30"/>
        <v>0</v>
      </c>
      <c r="L175" s="237">
        <f t="shared" si="27"/>
        <v>25.946004324941999</v>
      </c>
      <c r="M175" s="236">
        <f t="shared" si="25"/>
        <v>7.6500000000000012</v>
      </c>
    </row>
    <row r="176" spans="2:13" ht="14.4" x14ac:dyDescent="0.25">
      <c r="B176" s="223" t="s">
        <v>1102</v>
      </c>
      <c r="C176" s="17"/>
      <c r="D176" s="219">
        <f>'[70]Rev_NP-12me'!AQ210</f>
        <v>155.26578137579997</v>
      </c>
      <c r="E176" s="219">
        <f>'[70]Rev_NP-12me'!AT210</f>
        <v>0</v>
      </c>
      <c r="F176" s="219">
        <f>'[70]Rev_NP-12me'!AU210</f>
        <v>87.725166477326994</v>
      </c>
      <c r="G176" s="219">
        <f>'[70]Rev_NP-12me'!AW210</f>
        <v>0</v>
      </c>
      <c r="H176" s="218">
        <f t="shared" si="26"/>
        <v>87.725166477326994</v>
      </c>
      <c r="I176" s="219">
        <f t="shared" si="28"/>
        <v>0</v>
      </c>
      <c r="J176" s="219">
        <f t="shared" si="29"/>
        <v>87.725166477326994</v>
      </c>
      <c r="K176" s="219">
        <f t="shared" si="30"/>
        <v>0</v>
      </c>
      <c r="L176" s="237">
        <f t="shared" si="27"/>
        <v>87.725166477326994</v>
      </c>
      <c r="M176" s="236">
        <f t="shared" si="25"/>
        <v>5.65</v>
      </c>
    </row>
    <row r="177" spans="2:13" x14ac:dyDescent="0.25">
      <c r="B177" s="217" t="s">
        <v>1161</v>
      </c>
      <c r="C177" s="17"/>
      <c r="D177" s="216">
        <f>'[70]Rev_NP-12me'!AQ212</f>
        <v>277.58028848043824</v>
      </c>
      <c r="E177" s="216">
        <f>'[70]Rev_NP-12me'!AT212</f>
        <v>15.96</v>
      </c>
      <c r="F177" s="216">
        <f>'[70]Rev_NP-12me'!AU212</f>
        <v>184.75641315200056</v>
      </c>
      <c r="G177" s="216">
        <f>'[70]Rev_NP-12me'!AW212</f>
        <v>1.2E-2</v>
      </c>
      <c r="H177" s="218">
        <f t="shared" si="26"/>
        <v>200.72841315200057</v>
      </c>
      <c r="I177" s="216">
        <f t="shared" si="28"/>
        <v>15.96</v>
      </c>
      <c r="J177" s="216">
        <f t="shared" si="29"/>
        <v>184.75641315200056</v>
      </c>
      <c r="K177" s="216">
        <f t="shared" si="30"/>
        <v>1.2E-2</v>
      </c>
      <c r="L177" s="238">
        <f t="shared" si="27"/>
        <v>200.72841315200057</v>
      </c>
      <c r="M177" s="236">
        <f t="shared" si="25"/>
        <v>7.2313640947219637</v>
      </c>
    </row>
    <row r="178" spans="2:13" ht="14.4" x14ac:dyDescent="0.25">
      <c r="B178" s="221" t="s">
        <v>1134</v>
      </c>
      <c r="C178" s="17"/>
      <c r="D178" s="219">
        <f>'[70]Rev_NP-12me'!AQ213</f>
        <v>73.937568714601255</v>
      </c>
      <c r="E178" s="219">
        <f>'[70]Rev_NP-12me'!AT213</f>
        <v>15.96</v>
      </c>
      <c r="F178" s="219">
        <f>'[70]Rev_NP-12me'!AU213</f>
        <v>49.168483195209838</v>
      </c>
      <c r="G178" s="219">
        <f>'[70]Rev_NP-12me'!AW213</f>
        <v>1.2E-2</v>
      </c>
      <c r="H178" s="218">
        <f t="shared" si="26"/>
        <v>65.140483195209839</v>
      </c>
      <c r="I178" s="219">
        <f t="shared" si="28"/>
        <v>15.96</v>
      </c>
      <c r="J178" s="219">
        <f t="shared" si="29"/>
        <v>49.168483195209838</v>
      </c>
      <c r="K178" s="219">
        <f t="shared" si="30"/>
        <v>1.2E-2</v>
      </c>
      <c r="L178" s="237">
        <f t="shared" si="27"/>
        <v>65.140483195209839</v>
      </c>
      <c r="M178" s="236">
        <f t="shared" si="25"/>
        <v>8.8102008664434006</v>
      </c>
    </row>
    <row r="179" spans="2:13" ht="14.4" x14ac:dyDescent="0.25">
      <c r="B179" s="221" t="s">
        <v>1100</v>
      </c>
      <c r="C179" s="17"/>
      <c r="D179" s="219">
        <f>'[70]Rev_NP-12me'!AQ214</f>
        <v>51.090623215478892</v>
      </c>
      <c r="E179" s="219">
        <f>'[70]Rev_NP-12me'!AT214</f>
        <v>0</v>
      </c>
      <c r="F179" s="219">
        <f>'[70]Rev_NP-12me'!AU214</f>
        <v>39.084326759841353</v>
      </c>
      <c r="G179" s="219">
        <f>'[70]Rev_NP-12me'!AW214</f>
        <v>0</v>
      </c>
      <c r="H179" s="218">
        <f t="shared" si="26"/>
        <v>39.084326759841353</v>
      </c>
      <c r="I179" s="219">
        <f t="shared" si="28"/>
        <v>0</v>
      </c>
      <c r="J179" s="219">
        <f t="shared" si="29"/>
        <v>39.084326759841353</v>
      </c>
      <c r="K179" s="219">
        <f t="shared" si="30"/>
        <v>0</v>
      </c>
      <c r="L179" s="237">
        <f t="shared" si="27"/>
        <v>39.084326759841353</v>
      </c>
      <c r="M179" s="236">
        <f t="shared" si="25"/>
        <v>7.65</v>
      </c>
    </row>
    <row r="180" spans="2:13" ht="14.4" x14ac:dyDescent="0.25">
      <c r="B180" s="221" t="s">
        <v>1101</v>
      </c>
      <c r="C180" s="17"/>
      <c r="D180" s="219">
        <f>'[70]Rev_NP-12me'!AQ215</f>
        <v>51.558343229985212</v>
      </c>
      <c r="E180" s="219">
        <f>'[70]Rev_NP-12me'!AT215</f>
        <v>0</v>
      </c>
      <c r="F180" s="219">
        <f>'[70]Rev_NP-12me'!AU215</f>
        <v>39.442132570938689</v>
      </c>
      <c r="G180" s="219">
        <f>'[70]Rev_NP-12me'!AW215</f>
        <v>0</v>
      </c>
      <c r="H180" s="218">
        <f t="shared" si="26"/>
        <v>39.442132570938689</v>
      </c>
      <c r="I180" s="219">
        <f t="shared" si="28"/>
        <v>0</v>
      </c>
      <c r="J180" s="219">
        <f t="shared" si="29"/>
        <v>39.442132570938689</v>
      </c>
      <c r="K180" s="219">
        <f t="shared" si="30"/>
        <v>0</v>
      </c>
      <c r="L180" s="237">
        <f t="shared" si="27"/>
        <v>39.442132570938689</v>
      </c>
      <c r="M180" s="236">
        <f t="shared" si="25"/>
        <v>7.65</v>
      </c>
    </row>
    <row r="181" spans="2:13" ht="14.4" x14ac:dyDescent="0.25">
      <c r="B181" s="221" t="s">
        <v>1102</v>
      </c>
      <c r="C181" s="17"/>
      <c r="D181" s="219">
        <f>'[70]Rev_NP-12me'!AQ216</f>
        <v>100.99375332037289</v>
      </c>
      <c r="E181" s="219">
        <f>'[70]Rev_NP-12me'!AT216</f>
        <v>0</v>
      </c>
      <c r="F181" s="219">
        <f>'[70]Rev_NP-12me'!AU216</f>
        <v>57.061470626010689</v>
      </c>
      <c r="G181" s="219">
        <f>'[70]Rev_NP-12me'!AW216</f>
        <v>0</v>
      </c>
      <c r="H181" s="218">
        <f t="shared" si="26"/>
        <v>57.061470626010689</v>
      </c>
      <c r="I181" s="219">
        <f t="shared" si="28"/>
        <v>0</v>
      </c>
      <c r="J181" s="219">
        <f t="shared" si="29"/>
        <v>57.061470626010689</v>
      </c>
      <c r="K181" s="219">
        <f t="shared" si="30"/>
        <v>0</v>
      </c>
      <c r="L181" s="237">
        <f t="shared" si="27"/>
        <v>57.061470626010689</v>
      </c>
      <c r="M181" s="236">
        <f t="shared" si="25"/>
        <v>5.6500000000000012</v>
      </c>
    </row>
    <row r="182" spans="2:13" x14ac:dyDescent="0.25">
      <c r="B182" s="217" t="s">
        <v>1162</v>
      </c>
      <c r="C182" s="17"/>
      <c r="D182" s="216">
        <f>'[70]Rev_NP-12me'!AQ211</f>
        <v>0</v>
      </c>
      <c r="E182" s="216">
        <f>'[70]Rev_NP-12me'!AT211</f>
        <v>0</v>
      </c>
      <c r="F182" s="216">
        <f>'[70]Rev_NP-12me'!AU211</f>
        <v>0</v>
      </c>
      <c r="G182" s="216">
        <f>'[70]Rev_NP-12me'!AW211</f>
        <v>0</v>
      </c>
      <c r="H182" s="218">
        <f t="shared" si="26"/>
        <v>0</v>
      </c>
      <c r="I182" s="216">
        <f t="shared" si="28"/>
        <v>0</v>
      </c>
      <c r="J182" s="216">
        <f t="shared" si="29"/>
        <v>0</v>
      </c>
      <c r="K182" s="216">
        <f t="shared" si="30"/>
        <v>0</v>
      </c>
      <c r="L182" s="238">
        <f t="shared" si="27"/>
        <v>0</v>
      </c>
      <c r="M182" s="236" t="str">
        <f t="shared" si="25"/>
        <v/>
      </c>
    </row>
    <row r="183" spans="2:13" x14ac:dyDescent="0.25">
      <c r="B183" s="217" t="s">
        <v>1163</v>
      </c>
      <c r="C183" s="17"/>
      <c r="D183" s="216">
        <f>'[70]Rev_NP-12me'!AQ217</f>
        <v>5.7995466559512572</v>
      </c>
      <c r="E183" s="216">
        <f>'[70]Rev_NP-12me'!AT217</f>
        <v>7.9926280100367197</v>
      </c>
      <c r="F183" s="216">
        <f>'[70]Rev_NP-12me'!AU217</f>
        <v>4.4338291034598063</v>
      </c>
      <c r="G183" s="216">
        <f>'[70]Rev_NP-12me'!AW217</f>
        <v>4.4999999999999998E-2</v>
      </c>
      <c r="H183" s="218">
        <f t="shared" si="26"/>
        <v>12.471457113496525</v>
      </c>
      <c r="I183" s="216">
        <f t="shared" si="28"/>
        <v>7.9926280100367197</v>
      </c>
      <c r="J183" s="216">
        <f t="shared" si="29"/>
        <v>4.4338291034598063</v>
      </c>
      <c r="K183" s="216">
        <f t="shared" si="30"/>
        <v>4.4999999999999998E-2</v>
      </c>
      <c r="L183" s="237">
        <f t="shared" si="27"/>
        <v>12.471457113496525</v>
      </c>
      <c r="M183" s="236">
        <f t="shared" si="25"/>
        <v>21.504193091883874</v>
      </c>
    </row>
    <row r="184" spans="2:13" ht="14.4" x14ac:dyDescent="0.25">
      <c r="B184" s="223" t="s">
        <v>1134</v>
      </c>
      <c r="C184" s="17"/>
      <c r="D184" s="219">
        <f>'[70]Rev_NP-12me'!AQ218</f>
        <v>1.0142931427789015</v>
      </c>
      <c r="E184" s="219">
        <f>'[70]Rev_NP-12me'!AT218</f>
        <v>7.9926280100367197</v>
      </c>
      <c r="F184" s="219">
        <f>'[70]Rev_NP-12me'!AU218</f>
        <v>0.79114865136754309</v>
      </c>
      <c r="G184" s="219">
        <f>'[70]Rev_NP-12me'!AW218</f>
        <v>4.4999999999999998E-2</v>
      </c>
      <c r="H184" s="218">
        <f t="shared" si="26"/>
        <v>8.8287766614042624</v>
      </c>
      <c r="I184" s="219">
        <f t="shared" si="28"/>
        <v>7.9926280100367197</v>
      </c>
      <c r="J184" s="219">
        <f t="shared" si="29"/>
        <v>0.79114865136754309</v>
      </c>
      <c r="K184" s="219">
        <f t="shared" si="30"/>
        <v>4.4999999999999998E-2</v>
      </c>
      <c r="L184" s="237">
        <f t="shared" si="27"/>
        <v>8.8287766614042624</v>
      </c>
      <c r="M184" s="236">
        <f t="shared" si="25"/>
        <v>87.043639447425349</v>
      </c>
    </row>
    <row r="185" spans="2:13" ht="14.4" x14ac:dyDescent="0.25">
      <c r="B185" s="223" t="s">
        <v>1100</v>
      </c>
      <c r="C185" s="17"/>
      <c r="D185" s="219">
        <f>'[70]Rev_NP-12me'!AQ219</f>
        <v>1.3129461751676739</v>
      </c>
      <c r="E185" s="219">
        <f>'[70]Rev_NP-12me'!AT219</f>
        <v>0</v>
      </c>
      <c r="F185" s="219">
        <f>'[70]Rev_NP-12me'!AU219</f>
        <v>1.1553926341475531</v>
      </c>
      <c r="G185" s="219">
        <f>'[70]Rev_NP-12me'!AW219</f>
        <v>0</v>
      </c>
      <c r="H185" s="218">
        <f t="shared" si="26"/>
        <v>1.1553926341475531</v>
      </c>
      <c r="I185" s="219">
        <f t="shared" si="28"/>
        <v>0</v>
      </c>
      <c r="J185" s="219">
        <f t="shared" si="29"/>
        <v>1.1553926341475531</v>
      </c>
      <c r="K185" s="219">
        <f t="shared" si="30"/>
        <v>0</v>
      </c>
      <c r="L185" s="237">
        <f t="shared" si="27"/>
        <v>1.1553926341475531</v>
      </c>
      <c r="M185" s="236">
        <f t="shared" si="25"/>
        <v>8.8000000000000007</v>
      </c>
    </row>
    <row r="186" spans="2:13" ht="14.4" x14ac:dyDescent="0.25">
      <c r="B186" s="223" t="s">
        <v>1101</v>
      </c>
      <c r="C186" s="17"/>
      <c r="D186" s="219">
        <f>'[70]Rev_NP-12me'!AQ220</f>
        <v>0.63059414050762741</v>
      </c>
      <c r="E186" s="219">
        <f>'[70]Rev_NP-12me'!AT220</f>
        <v>0</v>
      </c>
      <c r="F186" s="219">
        <f>'[70]Rev_NP-12me'!AU220</f>
        <v>0.55492284364671218</v>
      </c>
      <c r="G186" s="219">
        <f>'[70]Rev_NP-12me'!AW220</f>
        <v>0</v>
      </c>
      <c r="H186" s="218">
        <f t="shared" si="26"/>
        <v>0.55492284364671218</v>
      </c>
      <c r="I186" s="219">
        <f t="shared" si="28"/>
        <v>0</v>
      </c>
      <c r="J186" s="219">
        <f t="shared" si="29"/>
        <v>0.55492284364671218</v>
      </c>
      <c r="K186" s="219">
        <f t="shared" si="30"/>
        <v>0</v>
      </c>
      <c r="L186" s="237">
        <f t="shared" si="27"/>
        <v>0.55492284364671218</v>
      </c>
      <c r="M186" s="236">
        <f t="shared" si="25"/>
        <v>8.8000000000000007</v>
      </c>
    </row>
    <row r="187" spans="2:13" ht="14.4" x14ac:dyDescent="0.25">
      <c r="B187" s="223" t="s">
        <v>1102</v>
      </c>
      <c r="C187" s="17"/>
      <c r="D187" s="219">
        <f>'[70]Rev_NP-12me'!AQ221</f>
        <v>2.8417131974970551</v>
      </c>
      <c r="E187" s="219">
        <f>'[70]Rev_NP-12me'!AT221</f>
        <v>0</v>
      </c>
      <c r="F187" s="219">
        <f>'[70]Rev_NP-12me'!AU221</f>
        <v>1.9323649742979974</v>
      </c>
      <c r="G187" s="219">
        <f>'[70]Rev_NP-12me'!AW221</f>
        <v>0</v>
      </c>
      <c r="H187" s="218">
        <f t="shared" si="26"/>
        <v>1.9323649742979974</v>
      </c>
      <c r="I187" s="219">
        <f t="shared" si="28"/>
        <v>0</v>
      </c>
      <c r="J187" s="219">
        <f t="shared" si="29"/>
        <v>1.9323649742979974</v>
      </c>
      <c r="K187" s="219">
        <f t="shared" si="30"/>
        <v>0</v>
      </c>
      <c r="L187" s="237">
        <f t="shared" si="27"/>
        <v>1.9323649742979974</v>
      </c>
      <c r="M187" s="236">
        <f t="shared" si="25"/>
        <v>6.8</v>
      </c>
    </row>
    <row r="188" spans="2:13" x14ac:dyDescent="0.25">
      <c r="B188" s="217" t="s">
        <v>1135</v>
      </c>
      <c r="C188" s="17"/>
      <c r="D188" s="216">
        <f>'[70]Rev_NP-12me'!AQ222</f>
        <v>0</v>
      </c>
      <c r="E188" s="216">
        <f>'[70]Rev_NP-12me'!AT222</f>
        <v>0</v>
      </c>
      <c r="F188" s="216">
        <f>'[70]Rev_NP-12me'!AU222</f>
        <v>0</v>
      </c>
      <c r="G188" s="216">
        <f>'[70]Rev_NP-12me'!AW222</f>
        <v>0</v>
      </c>
      <c r="H188" s="218">
        <f t="shared" si="26"/>
        <v>0</v>
      </c>
      <c r="I188" s="216">
        <f t="shared" si="28"/>
        <v>0</v>
      </c>
      <c r="J188" s="216">
        <f t="shared" si="29"/>
        <v>0</v>
      </c>
      <c r="K188" s="216">
        <f t="shared" si="30"/>
        <v>0</v>
      </c>
      <c r="L188" s="238">
        <f t="shared" si="27"/>
        <v>0</v>
      </c>
      <c r="M188" s="236" t="str">
        <f t="shared" si="25"/>
        <v/>
      </c>
    </row>
    <row r="189" spans="2:13" ht="14.4" x14ac:dyDescent="0.25">
      <c r="B189" s="221" t="s">
        <v>1134</v>
      </c>
      <c r="C189" s="17"/>
      <c r="D189" s="219">
        <f>'[70]Rev_NP-12me'!AQ223</f>
        <v>0</v>
      </c>
      <c r="E189" s="219">
        <f>'[70]Rev_NP-12me'!AT223</f>
        <v>0</v>
      </c>
      <c r="F189" s="219">
        <f>'[70]Rev_NP-12me'!AU223</f>
        <v>0</v>
      </c>
      <c r="G189" s="219">
        <f>'[70]Rev_NP-12me'!AW223</f>
        <v>0</v>
      </c>
      <c r="H189" s="218">
        <f t="shared" si="26"/>
        <v>0</v>
      </c>
      <c r="I189" s="219">
        <f t="shared" si="28"/>
        <v>0</v>
      </c>
      <c r="J189" s="219">
        <f t="shared" si="29"/>
        <v>0</v>
      </c>
      <c r="K189" s="219">
        <f t="shared" si="30"/>
        <v>0</v>
      </c>
      <c r="L189" s="237">
        <f t="shared" si="27"/>
        <v>0</v>
      </c>
      <c r="M189" s="236" t="str">
        <f t="shared" si="25"/>
        <v/>
      </c>
    </row>
    <row r="190" spans="2:13" ht="14.4" x14ac:dyDescent="0.25">
      <c r="B190" s="221" t="s">
        <v>1100</v>
      </c>
      <c r="C190" s="17"/>
      <c r="D190" s="219">
        <f>'[70]Rev_NP-12me'!AQ224</f>
        <v>0</v>
      </c>
      <c r="E190" s="219">
        <f>'[70]Rev_NP-12me'!AT224</f>
        <v>0</v>
      </c>
      <c r="F190" s="219">
        <f>'[70]Rev_NP-12me'!AU224</f>
        <v>0</v>
      </c>
      <c r="G190" s="219">
        <f>'[70]Rev_NP-12me'!AW224</f>
        <v>0</v>
      </c>
      <c r="H190" s="218">
        <f t="shared" si="26"/>
        <v>0</v>
      </c>
      <c r="I190" s="219">
        <f t="shared" si="28"/>
        <v>0</v>
      </c>
      <c r="J190" s="219">
        <f t="shared" si="29"/>
        <v>0</v>
      </c>
      <c r="K190" s="219">
        <f t="shared" si="30"/>
        <v>0</v>
      </c>
      <c r="L190" s="237">
        <f t="shared" si="27"/>
        <v>0</v>
      </c>
      <c r="M190" s="236" t="str">
        <f t="shared" si="25"/>
        <v/>
      </c>
    </row>
    <row r="191" spans="2:13" ht="14.4" x14ac:dyDescent="0.25">
      <c r="B191" s="221" t="s">
        <v>1101</v>
      </c>
      <c r="C191" s="17"/>
      <c r="D191" s="219">
        <f>'[70]Rev_NP-12me'!AQ225</f>
        <v>0</v>
      </c>
      <c r="E191" s="219">
        <f>'[70]Rev_NP-12me'!AT225</f>
        <v>0</v>
      </c>
      <c r="F191" s="219">
        <f>'[70]Rev_NP-12me'!AU225</f>
        <v>0</v>
      </c>
      <c r="G191" s="219">
        <f>'[70]Rev_NP-12me'!AW225</f>
        <v>0</v>
      </c>
      <c r="H191" s="218">
        <f t="shared" si="26"/>
        <v>0</v>
      </c>
      <c r="I191" s="219">
        <f t="shared" si="28"/>
        <v>0</v>
      </c>
      <c r="J191" s="219">
        <f t="shared" si="29"/>
        <v>0</v>
      </c>
      <c r="K191" s="219">
        <f t="shared" si="30"/>
        <v>0</v>
      </c>
      <c r="L191" s="237">
        <f t="shared" si="27"/>
        <v>0</v>
      </c>
      <c r="M191" s="236" t="str">
        <f t="shared" si="25"/>
        <v/>
      </c>
    </row>
    <row r="192" spans="2:13" ht="14.4" x14ac:dyDescent="0.25">
      <c r="B192" s="221" t="s">
        <v>1102</v>
      </c>
      <c r="C192" s="17"/>
      <c r="D192" s="219">
        <f>'[70]Rev_NP-12me'!AQ226</f>
        <v>0</v>
      </c>
      <c r="E192" s="219">
        <f>'[70]Rev_NP-12me'!AT226</f>
        <v>0</v>
      </c>
      <c r="F192" s="219">
        <f>'[70]Rev_NP-12me'!AU226</f>
        <v>0</v>
      </c>
      <c r="G192" s="219">
        <f>'[70]Rev_NP-12me'!AW226</f>
        <v>0</v>
      </c>
      <c r="H192" s="218">
        <f t="shared" si="26"/>
        <v>0</v>
      </c>
      <c r="I192" s="219">
        <f t="shared" si="28"/>
        <v>0</v>
      </c>
      <c r="J192" s="219">
        <f t="shared" si="29"/>
        <v>0</v>
      </c>
      <c r="K192" s="219">
        <f t="shared" si="30"/>
        <v>0</v>
      </c>
      <c r="L192" s="237">
        <f t="shared" si="27"/>
        <v>0</v>
      </c>
      <c r="M192" s="236" t="str">
        <f t="shared" si="25"/>
        <v/>
      </c>
    </row>
    <row r="193" spans="2:13" x14ac:dyDescent="0.25">
      <c r="B193" s="217" t="s">
        <v>1079</v>
      </c>
      <c r="C193" s="17"/>
      <c r="D193" s="216">
        <f>'[70]Rev_NP-12me'!AQ227</f>
        <v>0</v>
      </c>
      <c r="E193" s="216">
        <f>'[70]Rev_NP-12me'!AT227</f>
        <v>0</v>
      </c>
      <c r="F193" s="216">
        <f>'[70]Rev_NP-12me'!AU227</f>
        <v>0</v>
      </c>
      <c r="G193" s="216">
        <f>'[70]Rev_NP-12me'!AW227</f>
        <v>0</v>
      </c>
      <c r="H193" s="218">
        <f t="shared" si="26"/>
        <v>0</v>
      </c>
      <c r="I193" s="216">
        <f t="shared" si="28"/>
        <v>0</v>
      </c>
      <c r="J193" s="216">
        <f t="shared" si="29"/>
        <v>0</v>
      </c>
      <c r="K193" s="216">
        <f t="shared" si="30"/>
        <v>0</v>
      </c>
      <c r="L193" s="238">
        <f t="shared" si="27"/>
        <v>0</v>
      </c>
      <c r="M193" s="236" t="str">
        <f t="shared" si="25"/>
        <v/>
      </c>
    </row>
    <row r="194" spans="2:13" ht="14.4" x14ac:dyDescent="0.25">
      <c r="B194" s="223" t="s">
        <v>1134</v>
      </c>
      <c r="C194" s="17"/>
      <c r="D194" s="219">
        <f>'[70]Rev_NP-12me'!AQ228</f>
        <v>0</v>
      </c>
      <c r="E194" s="219">
        <f>'[70]Rev_NP-12me'!AT228</f>
        <v>0</v>
      </c>
      <c r="F194" s="219">
        <f>'[70]Rev_NP-12me'!AU228</f>
        <v>0</v>
      </c>
      <c r="G194" s="219">
        <f>'[70]Rev_NP-12me'!AW228</f>
        <v>0</v>
      </c>
      <c r="H194" s="218">
        <f t="shared" si="26"/>
        <v>0</v>
      </c>
      <c r="I194" s="219">
        <f t="shared" si="28"/>
        <v>0</v>
      </c>
      <c r="J194" s="219">
        <f t="shared" si="29"/>
        <v>0</v>
      </c>
      <c r="K194" s="219">
        <f t="shared" si="30"/>
        <v>0</v>
      </c>
      <c r="L194" s="237">
        <f t="shared" si="27"/>
        <v>0</v>
      </c>
      <c r="M194" s="236" t="str">
        <f t="shared" si="25"/>
        <v/>
      </c>
    </row>
    <row r="195" spans="2:13" ht="14.4" x14ac:dyDescent="0.25">
      <c r="B195" s="223" t="s">
        <v>1100</v>
      </c>
      <c r="C195" s="17"/>
      <c r="D195" s="219">
        <f>'[70]Rev_NP-12me'!AQ229</f>
        <v>0</v>
      </c>
      <c r="E195" s="219">
        <f>'[70]Rev_NP-12me'!AT229</f>
        <v>0</v>
      </c>
      <c r="F195" s="219">
        <f>'[70]Rev_NP-12me'!AU229</f>
        <v>0</v>
      </c>
      <c r="G195" s="219">
        <f>'[70]Rev_NP-12me'!AW229</f>
        <v>0</v>
      </c>
      <c r="H195" s="218">
        <f t="shared" si="26"/>
        <v>0</v>
      </c>
      <c r="I195" s="219">
        <f t="shared" si="28"/>
        <v>0</v>
      </c>
      <c r="J195" s="219">
        <f t="shared" si="29"/>
        <v>0</v>
      </c>
      <c r="K195" s="219">
        <f t="shared" si="30"/>
        <v>0</v>
      </c>
      <c r="L195" s="237">
        <f t="shared" si="27"/>
        <v>0</v>
      </c>
      <c r="M195" s="236" t="str">
        <f t="shared" si="25"/>
        <v/>
      </c>
    </row>
    <row r="196" spans="2:13" ht="14.4" x14ac:dyDescent="0.25">
      <c r="B196" s="223" t="s">
        <v>1101</v>
      </c>
      <c r="C196" s="17"/>
      <c r="D196" s="219">
        <f>'[70]Rev_NP-12me'!AQ230</f>
        <v>0</v>
      </c>
      <c r="E196" s="219">
        <f>'[70]Rev_NP-12me'!AT230</f>
        <v>0</v>
      </c>
      <c r="F196" s="219">
        <f>'[70]Rev_NP-12me'!AU230</f>
        <v>0</v>
      </c>
      <c r="G196" s="219">
        <f>'[70]Rev_NP-12me'!AW230</f>
        <v>0</v>
      </c>
      <c r="H196" s="218">
        <f t="shared" si="26"/>
        <v>0</v>
      </c>
      <c r="I196" s="219">
        <f t="shared" si="28"/>
        <v>0</v>
      </c>
      <c r="J196" s="219">
        <f t="shared" si="29"/>
        <v>0</v>
      </c>
      <c r="K196" s="219">
        <f t="shared" si="30"/>
        <v>0</v>
      </c>
      <c r="L196" s="237">
        <f t="shared" si="27"/>
        <v>0</v>
      </c>
      <c r="M196" s="236" t="str">
        <f t="shared" si="25"/>
        <v/>
      </c>
    </row>
    <row r="197" spans="2:13" ht="14.4" x14ac:dyDescent="0.25">
      <c r="B197" s="223" t="s">
        <v>1102</v>
      </c>
      <c r="C197" s="17"/>
      <c r="D197" s="219">
        <f>'[70]Rev_NP-12me'!AQ231</f>
        <v>0</v>
      </c>
      <c r="E197" s="219">
        <f>'[70]Rev_NP-12me'!AT231</f>
        <v>0</v>
      </c>
      <c r="F197" s="219">
        <f>'[70]Rev_NP-12me'!AU231</f>
        <v>0</v>
      </c>
      <c r="G197" s="219">
        <f>'[70]Rev_NP-12me'!AW231</f>
        <v>0</v>
      </c>
      <c r="H197" s="218">
        <f t="shared" si="26"/>
        <v>0</v>
      </c>
      <c r="I197" s="219">
        <f t="shared" si="28"/>
        <v>0</v>
      </c>
      <c r="J197" s="219">
        <f t="shared" si="29"/>
        <v>0</v>
      </c>
      <c r="K197" s="219">
        <f t="shared" si="30"/>
        <v>0</v>
      </c>
      <c r="L197" s="237">
        <f t="shared" si="27"/>
        <v>0</v>
      </c>
      <c r="M197" s="236" t="str">
        <f t="shared" si="25"/>
        <v/>
      </c>
    </row>
    <row r="198" spans="2:13" x14ac:dyDescent="0.25">
      <c r="B198" s="217" t="s">
        <v>1164</v>
      </c>
      <c r="C198" s="17"/>
      <c r="D198" s="216">
        <f>'[70]Rev_NP-12me'!AQ232</f>
        <v>1391.474921627705</v>
      </c>
      <c r="E198" s="216">
        <f>'[70]Rev_NP-12me'!AT232</f>
        <v>424.72293209843752</v>
      </c>
      <c r="F198" s="216">
        <f>'[70]Rev_NP-12me'!AU232</f>
        <v>876.62920062545413</v>
      </c>
      <c r="G198" s="216">
        <f>'[70]Rev_NP-12me'!AW232</f>
        <v>0.222</v>
      </c>
      <c r="H198" s="218">
        <f t="shared" si="26"/>
        <v>1301.5741327238916</v>
      </c>
      <c r="I198" s="216">
        <f t="shared" si="28"/>
        <v>424.72293209843752</v>
      </c>
      <c r="J198" s="216">
        <f t="shared" si="29"/>
        <v>876.62920062545413</v>
      </c>
      <c r="K198" s="216">
        <f t="shared" si="30"/>
        <v>0.222</v>
      </c>
      <c r="L198" s="238">
        <f t="shared" si="27"/>
        <v>1301.5741327238916</v>
      </c>
      <c r="M198" s="236">
        <f t="shared" ref="M198:M214" si="31">IFERROR(L198*10/D198,"")</f>
        <v>9.3539172894424123</v>
      </c>
    </row>
    <row r="199" spans="2:13" ht="14.4" x14ac:dyDescent="0.25">
      <c r="B199" s="221" t="s">
        <v>1137</v>
      </c>
      <c r="C199" s="17"/>
      <c r="D199" s="219">
        <f>'[70]Rev_NP-12me'!AQ233</f>
        <v>1391.474921627705</v>
      </c>
      <c r="E199" s="219">
        <f>'[70]Rev_NP-12me'!AT233</f>
        <v>424.72293209843752</v>
      </c>
      <c r="F199" s="219">
        <f>'[70]Rev_NP-12me'!AU233</f>
        <v>876.62920062545413</v>
      </c>
      <c r="G199" s="219">
        <f>'[70]Rev_NP-12me'!AW233</f>
        <v>0.222</v>
      </c>
      <c r="H199" s="218">
        <f t="shared" si="26"/>
        <v>1301.5741327238916</v>
      </c>
      <c r="I199" s="219">
        <f t="shared" si="28"/>
        <v>424.72293209843752</v>
      </c>
      <c r="J199" s="219">
        <f t="shared" si="29"/>
        <v>876.62920062545413</v>
      </c>
      <c r="K199" s="219">
        <f t="shared" si="30"/>
        <v>0.222</v>
      </c>
      <c r="L199" s="237">
        <f t="shared" si="27"/>
        <v>1301.5741327238916</v>
      </c>
      <c r="M199" s="236">
        <f t="shared" si="31"/>
        <v>9.3539172894424123</v>
      </c>
    </row>
    <row r="200" spans="2:13" ht="14.4" x14ac:dyDescent="0.25">
      <c r="B200" s="221" t="s">
        <v>1165</v>
      </c>
      <c r="C200" s="17"/>
      <c r="D200" s="219">
        <f>'[70]Rev_SP-12me'!AQ239</f>
        <v>0</v>
      </c>
      <c r="E200" s="219">
        <f>'[70]Rev_SP-12me'!AT239</f>
        <v>0</v>
      </c>
      <c r="F200" s="219">
        <f>'[70]Rev_SP-12me'!AU239</f>
        <v>0</v>
      </c>
      <c r="G200" s="219">
        <f>'[70]Rev_SP-12me'!AW239</f>
        <v>0</v>
      </c>
      <c r="H200" s="218">
        <f t="shared" si="26"/>
        <v>0</v>
      </c>
      <c r="I200" s="219">
        <f t="shared" si="28"/>
        <v>0</v>
      </c>
      <c r="J200" s="219">
        <f t="shared" si="29"/>
        <v>0</v>
      </c>
      <c r="K200" s="219">
        <f t="shared" si="30"/>
        <v>0</v>
      </c>
      <c r="L200" s="237">
        <f t="shared" si="27"/>
        <v>0</v>
      </c>
      <c r="M200" s="236" t="str">
        <f t="shared" si="31"/>
        <v/>
      </c>
    </row>
    <row r="201" spans="2:13" x14ac:dyDescent="0.25">
      <c r="B201" s="217" t="s">
        <v>1166</v>
      </c>
      <c r="C201" s="17"/>
      <c r="D201" s="216">
        <f>'[70]Rev_NP-12me'!AQ242</f>
        <v>28.750592634089028</v>
      </c>
      <c r="E201" s="216">
        <f>'[70]Rev_NP-12me'!AT242</f>
        <v>0</v>
      </c>
      <c r="F201" s="216">
        <f>'[70]Rev_NP-12me'!AU242</f>
        <v>17.537861506794307</v>
      </c>
      <c r="G201" s="216">
        <f>'[70]Rev_NP-12me'!AW242</f>
        <v>6.0000000000000001E-3</v>
      </c>
      <c r="H201" s="218">
        <f t="shared" si="26"/>
        <v>17.543861506794308</v>
      </c>
      <c r="I201" s="216">
        <f t="shared" si="28"/>
        <v>0</v>
      </c>
      <c r="J201" s="216">
        <f t="shared" si="29"/>
        <v>17.537861506794307</v>
      </c>
      <c r="K201" s="216">
        <f t="shared" si="30"/>
        <v>6.0000000000000001E-3</v>
      </c>
      <c r="L201" s="238">
        <f t="shared" si="27"/>
        <v>17.543861506794308</v>
      </c>
      <c r="M201" s="236">
        <f t="shared" si="31"/>
        <v>6.1020869135034417</v>
      </c>
    </row>
    <row r="202" spans="2:13" ht="14.4" x14ac:dyDescent="0.25">
      <c r="B202" s="221" t="s">
        <v>216</v>
      </c>
      <c r="C202" s="17"/>
      <c r="D202" s="219">
        <f>'[70]Rev_NP-12me'!AQ243</f>
        <v>28.750592634089028</v>
      </c>
      <c r="E202" s="219">
        <f>'[70]Rev_NP-12me'!AT243</f>
        <v>0</v>
      </c>
      <c r="F202" s="219">
        <f>'[70]Rev_NP-12me'!AU243</f>
        <v>17.537861506794307</v>
      </c>
      <c r="G202" s="219">
        <f>'[70]Rev_NP-12me'!AW243</f>
        <v>6.0000000000000001E-3</v>
      </c>
      <c r="H202" s="218">
        <f t="shared" si="26"/>
        <v>17.543861506794308</v>
      </c>
      <c r="I202" s="219">
        <f t="shared" si="28"/>
        <v>0</v>
      </c>
      <c r="J202" s="219">
        <f t="shared" si="29"/>
        <v>17.537861506794307</v>
      </c>
      <c r="K202" s="219">
        <f t="shared" si="30"/>
        <v>6.0000000000000001E-3</v>
      </c>
      <c r="L202" s="237">
        <f t="shared" si="27"/>
        <v>17.543861506794308</v>
      </c>
      <c r="M202" s="236">
        <f t="shared" si="31"/>
        <v>6.1020869135034417</v>
      </c>
    </row>
    <row r="203" spans="2:13" x14ac:dyDescent="0.25">
      <c r="B203" s="217" t="s">
        <v>1167</v>
      </c>
      <c r="C203" s="17"/>
      <c r="D203" s="216">
        <f>'[70]Rev_NP-12me'!AQ245</f>
        <v>0</v>
      </c>
      <c r="E203" s="216">
        <f>'[70]Rev_NP-12me'!AT245</f>
        <v>0</v>
      </c>
      <c r="F203" s="216">
        <f>'[70]Rev_NP-12me'!AU245</f>
        <v>0</v>
      </c>
      <c r="G203" s="216">
        <f>'[70]Rev_NP-12me'!AW245</f>
        <v>0</v>
      </c>
      <c r="H203" s="218">
        <f t="shared" si="26"/>
        <v>0</v>
      </c>
      <c r="I203" s="216">
        <f t="shared" si="28"/>
        <v>0</v>
      </c>
      <c r="J203" s="216">
        <f t="shared" si="29"/>
        <v>0</v>
      </c>
      <c r="K203" s="216">
        <f t="shared" si="30"/>
        <v>0</v>
      </c>
      <c r="L203" s="237">
        <f t="shared" si="27"/>
        <v>0</v>
      </c>
      <c r="M203" s="236" t="str">
        <f t="shared" si="31"/>
        <v/>
      </c>
    </row>
    <row r="204" spans="2:13" x14ac:dyDescent="0.25">
      <c r="B204" s="222" t="s">
        <v>1168</v>
      </c>
      <c r="C204" s="17"/>
      <c r="D204" s="216">
        <f>'[70]Rev_NP-12me'!AQ235</f>
        <v>660.86056437582442</v>
      </c>
      <c r="E204" s="216">
        <f>'[70]Rev_NP-12me'!AT235</f>
        <v>81.36565020734389</v>
      </c>
      <c r="F204" s="216">
        <f>'[70]Rev_NP-12me'!AU235</f>
        <v>333.73458500979132</v>
      </c>
      <c r="G204" s="216">
        <f>'[70]Rev_NP-12me'!AW235</f>
        <v>7.8E-2</v>
      </c>
      <c r="H204" s="218">
        <f t="shared" si="26"/>
        <v>415.17823521713518</v>
      </c>
      <c r="I204" s="216">
        <f t="shared" si="28"/>
        <v>81.36565020734389</v>
      </c>
      <c r="J204" s="216">
        <f t="shared" si="29"/>
        <v>333.73458500979132</v>
      </c>
      <c r="K204" s="216">
        <f t="shared" si="30"/>
        <v>7.8E-2</v>
      </c>
      <c r="L204" s="238">
        <f t="shared" si="27"/>
        <v>415.17823521713518</v>
      </c>
      <c r="M204" s="236">
        <f t="shared" si="31"/>
        <v>6.2823878076196973</v>
      </c>
    </row>
    <row r="205" spans="2:13" ht="14.4" x14ac:dyDescent="0.25">
      <c r="B205" s="221" t="s">
        <v>1169</v>
      </c>
      <c r="C205" s="17"/>
      <c r="D205" s="219">
        <f>'[70]Rev_NP-12me'!AQ236</f>
        <v>660.86056437582442</v>
      </c>
      <c r="E205" s="219">
        <f>'[70]Rev_NP-12me'!AT236</f>
        <v>81.36565020734389</v>
      </c>
      <c r="F205" s="219">
        <f>'[70]Rev_NP-12me'!AU236</f>
        <v>333.73458500979132</v>
      </c>
      <c r="G205" s="219">
        <f>'[70]Rev_NP-12me'!AW236</f>
        <v>7.8E-2</v>
      </c>
      <c r="H205" s="218">
        <f t="shared" si="26"/>
        <v>415.17823521713518</v>
      </c>
      <c r="I205" s="219">
        <f t="shared" si="28"/>
        <v>81.36565020734389</v>
      </c>
      <c r="J205" s="219">
        <f t="shared" si="29"/>
        <v>333.73458500979132</v>
      </c>
      <c r="K205" s="219">
        <f t="shared" si="30"/>
        <v>7.8E-2</v>
      </c>
      <c r="L205" s="237">
        <f t="shared" si="27"/>
        <v>415.17823521713518</v>
      </c>
      <c r="M205" s="236">
        <f t="shared" si="31"/>
        <v>6.2823878076196973</v>
      </c>
    </row>
    <row r="206" spans="2:13" ht="14.4" x14ac:dyDescent="0.25">
      <c r="B206" s="221" t="s">
        <v>1170</v>
      </c>
      <c r="C206" s="17"/>
      <c r="D206" s="219">
        <f>'[70]Rev_NP-12me'!AQ237</f>
        <v>0</v>
      </c>
      <c r="E206" s="219">
        <f>'[70]Rev_NP-12me'!AT237</f>
        <v>0</v>
      </c>
      <c r="F206" s="219">
        <f>'[70]Rev_NP-12me'!AU237</f>
        <v>0</v>
      </c>
      <c r="G206" s="219">
        <f>'[70]Rev_NP-12me'!AW237</f>
        <v>0</v>
      </c>
      <c r="H206" s="218">
        <f t="shared" si="26"/>
        <v>0</v>
      </c>
      <c r="I206" s="219">
        <f t="shared" si="28"/>
        <v>0</v>
      </c>
      <c r="J206" s="219">
        <f t="shared" si="29"/>
        <v>0</v>
      </c>
      <c r="K206" s="219">
        <f t="shared" si="30"/>
        <v>0</v>
      </c>
      <c r="L206" s="237">
        <f t="shared" si="27"/>
        <v>0</v>
      </c>
      <c r="M206" s="236" t="str">
        <f t="shared" si="31"/>
        <v/>
      </c>
    </row>
    <row r="207" spans="2:13" ht="14.4" x14ac:dyDescent="0.25">
      <c r="B207" s="221" t="s">
        <v>1171</v>
      </c>
      <c r="C207" s="17"/>
      <c r="D207" s="219">
        <f>'[70]Rev_NP-12me'!AQ238</f>
        <v>0</v>
      </c>
      <c r="E207" s="219">
        <f>'[70]Rev_NP-12me'!AT238</f>
        <v>0</v>
      </c>
      <c r="F207" s="219">
        <f>'[70]Rev_NP-12me'!AU238</f>
        <v>0</v>
      </c>
      <c r="G207" s="219">
        <f>'[70]Rev_NP-12me'!AW238</f>
        <v>0</v>
      </c>
      <c r="H207" s="218">
        <f t="shared" si="26"/>
        <v>0</v>
      </c>
      <c r="I207" s="219">
        <f t="shared" si="28"/>
        <v>0</v>
      </c>
      <c r="J207" s="219">
        <f t="shared" si="29"/>
        <v>0</v>
      </c>
      <c r="K207" s="219">
        <f t="shared" si="30"/>
        <v>0</v>
      </c>
      <c r="L207" s="237">
        <f t="shared" si="27"/>
        <v>0</v>
      </c>
      <c r="M207" s="236" t="str">
        <f t="shared" si="31"/>
        <v/>
      </c>
    </row>
    <row r="208" spans="2:13" ht="14.4" x14ac:dyDescent="0.25">
      <c r="B208" s="221" t="s">
        <v>1172</v>
      </c>
      <c r="C208" s="17"/>
      <c r="D208" s="219">
        <f>'[70]Rev_NP-12me'!AQ239</f>
        <v>0</v>
      </c>
      <c r="E208" s="219">
        <f>'[70]Rev_NP-12me'!AT239</f>
        <v>0</v>
      </c>
      <c r="F208" s="219">
        <f>'[70]Rev_NP-12me'!AU239</f>
        <v>0</v>
      </c>
      <c r="G208" s="219">
        <f>'[70]Rev_NP-12me'!AW239</f>
        <v>0</v>
      </c>
      <c r="H208" s="218">
        <f t="shared" si="26"/>
        <v>0</v>
      </c>
      <c r="I208" s="219">
        <f t="shared" si="28"/>
        <v>0</v>
      </c>
      <c r="J208" s="219">
        <f t="shared" si="29"/>
        <v>0</v>
      </c>
      <c r="K208" s="219">
        <f t="shared" si="30"/>
        <v>0</v>
      </c>
      <c r="L208" s="237">
        <f t="shared" si="27"/>
        <v>0</v>
      </c>
      <c r="M208" s="236" t="str">
        <f t="shared" si="31"/>
        <v/>
      </c>
    </row>
    <row r="209" spans="2:13" x14ac:dyDescent="0.25">
      <c r="B209" s="217" t="s">
        <v>811</v>
      </c>
      <c r="C209" s="17"/>
      <c r="D209" s="216">
        <f>'[70]Rev_NP-12me'!AQ240</f>
        <v>66.75530056551726</v>
      </c>
      <c r="E209" s="216">
        <f>'[70]Rev_NP-12me'!AT240</f>
        <v>7.4879999999999995</v>
      </c>
      <c r="F209" s="216">
        <f>'[70]Rev_NP-12me'!AU240</f>
        <v>48.731369412827597</v>
      </c>
      <c r="G209" s="216">
        <f>'[70]Rev_NP-12me'!AW240</f>
        <v>1.2E-2</v>
      </c>
      <c r="H209" s="218">
        <f t="shared" si="26"/>
        <v>56.231369412827597</v>
      </c>
      <c r="I209" s="216">
        <f t="shared" si="28"/>
        <v>7.4879999999999995</v>
      </c>
      <c r="J209" s="216">
        <f t="shared" si="29"/>
        <v>48.731369412827597</v>
      </c>
      <c r="K209" s="216">
        <f t="shared" si="30"/>
        <v>1.2E-2</v>
      </c>
      <c r="L209" s="238">
        <f t="shared" si="27"/>
        <v>56.231369412827597</v>
      </c>
      <c r="M209" s="236">
        <f t="shared" si="31"/>
        <v>8.4235062888585297</v>
      </c>
    </row>
    <row r="210" spans="2:13" x14ac:dyDescent="0.25">
      <c r="B210" s="217" t="s">
        <v>813</v>
      </c>
      <c r="C210" s="17"/>
      <c r="D210" s="216">
        <f>'[70]Rev_NP-12me'!AQ241</f>
        <v>1.1619330000000001</v>
      </c>
      <c r="E210" s="216">
        <f>'[70]Rev_NP-12me'!AT241</f>
        <v>0.24</v>
      </c>
      <c r="F210" s="216">
        <f>'[70]Rev_NP-12me'!AU241</f>
        <v>1.2548876400000002</v>
      </c>
      <c r="G210" s="216">
        <f>'[70]Rev_NP-12me'!AW241</f>
        <v>6.0000000000000001E-3</v>
      </c>
      <c r="H210" s="218">
        <f t="shared" si="26"/>
        <v>1.5008876400000002</v>
      </c>
      <c r="I210" s="216">
        <f t="shared" si="28"/>
        <v>0.24</v>
      </c>
      <c r="J210" s="216">
        <f t="shared" si="29"/>
        <v>1.2548876400000002</v>
      </c>
      <c r="K210" s="216">
        <f t="shared" si="30"/>
        <v>6.0000000000000001E-3</v>
      </c>
      <c r="L210" s="238">
        <f t="shared" si="27"/>
        <v>1.5008876400000002</v>
      </c>
      <c r="M210" s="236">
        <f t="shared" si="31"/>
        <v>12.917161660784227</v>
      </c>
    </row>
    <row r="211" spans="2:13" x14ac:dyDescent="0.25">
      <c r="B211" s="213" t="s">
        <v>1173</v>
      </c>
      <c r="C211" s="17"/>
      <c r="D211" s="210">
        <f t="shared" ref="D211:K211" si="32">SUM(D169,D177,D182,D183,D188,D193,D198,D201,D203,D204,D209,D210)</f>
        <v>2813.8233069762769</v>
      </c>
      <c r="E211" s="210">
        <f t="shared" si="32"/>
        <v>620.09593647592601</v>
      </c>
      <c r="F211" s="210">
        <f t="shared" si="32"/>
        <v>1723.5635328514079</v>
      </c>
      <c r="G211" s="210">
        <f t="shared" si="32"/>
        <v>0.46500000000000002</v>
      </c>
      <c r="H211" s="210">
        <f t="shared" si="32"/>
        <v>2344.1244693273338</v>
      </c>
      <c r="I211" s="210">
        <f t="shared" si="32"/>
        <v>620.09593647592601</v>
      </c>
      <c r="J211" s="210">
        <f t="shared" si="32"/>
        <v>1723.5635328514079</v>
      </c>
      <c r="K211" s="210">
        <f t="shared" si="32"/>
        <v>0.46500000000000002</v>
      </c>
      <c r="L211" s="210">
        <f t="shared" si="27"/>
        <v>2344.1244693273338</v>
      </c>
      <c r="M211" s="236">
        <f t="shared" si="31"/>
        <v>8.3307450880642548</v>
      </c>
    </row>
    <row r="212" spans="2:13" x14ac:dyDescent="0.25">
      <c r="B212" s="213"/>
      <c r="C212" s="17"/>
      <c r="D212" s="212"/>
      <c r="E212" s="212"/>
      <c r="F212" s="212"/>
      <c r="G212" s="212"/>
      <c r="H212" s="218"/>
      <c r="I212" s="212"/>
      <c r="J212" s="212"/>
      <c r="K212" s="212"/>
      <c r="L212" s="237"/>
      <c r="M212" s="236" t="str">
        <f t="shared" si="31"/>
        <v/>
      </c>
    </row>
    <row r="213" spans="2:13" x14ac:dyDescent="0.25">
      <c r="B213" s="28" t="s">
        <v>1174</v>
      </c>
      <c r="C213" s="17"/>
      <c r="D213" s="210">
        <f t="shared" ref="D213:L213" si="33">D122+D166+D211</f>
        <v>6324.9002505228864</v>
      </c>
      <c r="E213" s="210">
        <f t="shared" si="33"/>
        <v>990.95427860532766</v>
      </c>
      <c r="F213" s="210">
        <f t="shared" si="33"/>
        <v>4014.7214564393325</v>
      </c>
      <c r="G213" s="210">
        <f t="shared" si="33"/>
        <v>9.9915000000000003</v>
      </c>
      <c r="H213" s="210">
        <f t="shared" si="33"/>
        <v>5015.6672350446597</v>
      </c>
      <c r="I213" s="210">
        <f t="shared" si="33"/>
        <v>990.95427860532766</v>
      </c>
      <c r="J213" s="210">
        <f t="shared" si="33"/>
        <v>4014.7214564393325</v>
      </c>
      <c r="K213" s="210">
        <f t="shared" si="33"/>
        <v>9.9915000000000003</v>
      </c>
      <c r="L213" s="210">
        <f t="shared" si="33"/>
        <v>5015.6672350446597</v>
      </c>
      <c r="M213" s="236">
        <f t="shared" si="31"/>
        <v>7.9300337339391387</v>
      </c>
    </row>
    <row r="214" spans="2:13" x14ac:dyDescent="0.25">
      <c r="B214" s="28" t="s">
        <v>1175</v>
      </c>
      <c r="C214" s="17"/>
      <c r="D214" s="210">
        <f t="shared" ref="D214:L214" si="34">D213+D72</f>
        <v>20635.452974159365</v>
      </c>
      <c r="E214" s="210">
        <f t="shared" si="34"/>
        <v>1181.8571560869932</v>
      </c>
      <c r="F214" s="210">
        <f t="shared" si="34"/>
        <v>7178.013165492639</v>
      </c>
      <c r="G214" s="210">
        <f t="shared" si="34"/>
        <v>434.16904200000005</v>
      </c>
      <c r="H214" s="210">
        <f t="shared" si="34"/>
        <v>8794.0393635796318</v>
      </c>
      <c r="I214" s="210">
        <f t="shared" si="34"/>
        <v>1181.8571560869932</v>
      </c>
      <c r="J214" s="210">
        <f t="shared" si="34"/>
        <v>7178.013165492639</v>
      </c>
      <c r="K214" s="210">
        <f t="shared" si="34"/>
        <v>434.16904200000005</v>
      </c>
      <c r="L214" s="210">
        <f t="shared" si="34"/>
        <v>8794.0393635796318</v>
      </c>
      <c r="M214" s="236">
        <f t="shared" si="31"/>
        <v>4.2616168274047199</v>
      </c>
    </row>
    <row r="215" spans="2:13" x14ac:dyDescent="0.25">
      <c r="B215" s="4"/>
      <c r="C215" s="4"/>
      <c r="H215" s="235"/>
    </row>
    <row r="216" spans="2:13" x14ac:dyDescent="0.25">
      <c r="B216" s="4"/>
      <c r="C216" s="4"/>
      <c r="H216" s="235"/>
    </row>
    <row r="217" spans="2:13" x14ac:dyDescent="0.25">
      <c r="B217" s="4"/>
      <c r="C217" s="4"/>
      <c r="H217" s="235"/>
    </row>
    <row r="218" spans="2:13" x14ac:dyDescent="0.25">
      <c r="B218" s="4"/>
      <c r="C218" s="4"/>
      <c r="H218" s="24"/>
    </row>
    <row r="219" spans="2:13" x14ac:dyDescent="0.25">
      <c r="B219" s="4"/>
      <c r="C219" s="4"/>
      <c r="H219" s="24" t="s">
        <v>984</v>
      </c>
    </row>
    <row r="220" spans="2:13" x14ac:dyDescent="0.25">
      <c r="B220" s="4"/>
      <c r="C220" s="4"/>
      <c r="H220" s="24"/>
    </row>
    <row r="221" spans="2:13" x14ac:dyDescent="0.25">
      <c r="B221" s="4"/>
      <c r="C221" s="4"/>
      <c r="H221" s="235"/>
    </row>
    <row r="222" spans="2:13" x14ac:dyDescent="0.25">
      <c r="B222" s="4"/>
      <c r="C222" s="4"/>
      <c r="H222" s="235"/>
    </row>
    <row r="223" spans="2:13" x14ac:dyDescent="0.25">
      <c r="B223" s="4"/>
      <c r="C223" s="4"/>
      <c r="H223" s="235"/>
    </row>
    <row r="224" spans="2:13" x14ac:dyDescent="0.25">
      <c r="B224" s="4"/>
      <c r="C224" s="4"/>
      <c r="H224" s="235"/>
      <c r="M224" s="193"/>
    </row>
    <row r="225" spans="2:8" x14ac:dyDescent="0.25">
      <c r="B225" s="4"/>
      <c r="C225" s="4"/>
      <c r="H225" s="235"/>
    </row>
    <row r="226" spans="2:8" x14ac:dyDescent="0.25">
      <c r="B226" s="4"/>
      <c r="C226" s="4"/>
      <c r="H226" s="235"/>
    </row>
    <row r="227" spans="2:8" x14ac:dyDescent="0.25">
      <c r="B227" s="4"/>
      <c r="C227" s="4"/>
      <c r="H227" s="235"/>
    </row>
    <row r="228" spans="2:8" x14ac:dyDescent="0.25">
      <c r="B228" s="4"/>
      <c r="C228" s="4"/>
      <c r="H228" s="235"/>
    </row>
    <row r="229" spans="2:8" x14ac:dyDescent="0.25">
      <c r="B229" s="4"/>
      <c r="C229" s="4"/>
      <c r="H229" s="235"/>
    </row>
    <row r="230" spans="2:8" x14ac:dyDescent="0.25">
      <c r="B230" s="4"/>
      <c r="C230" s="4"/>
      <c r="H230" s="235"/>
    </row>
    <row r="231" spans="2:8" x14ac:dyDescent="0.25">
      <c r="B231" s="4"/>
      <c r="C231" s="4"/>
      <c r="H231" s="235"/>
    </row>
    <row r="232" spans="2:8" x14ac:dyDescent="0.25">
      <c r="B232" s="4"/>
      <c r="C232" s="4"/>
      <c r="H232" s="235"/>
    </row>
    <row r="233" spans="2:8" x14ac:dyDescent="0.25">
      <c r="B233" s="4"/>
      <c r="C233" s="4"/>
      <c r="H233" s="235"/>
    </row>
    <row r="234" spans="2:8" x14ac:dyDescent="0.25">
      <c r="B234" s="4"/>
      <c r="C234" s="4"/>
      <c r="H234" s="235"/>
    </row>
    <row r="235" spans="2:8" x14ac:dyDescent="0.25">
      <c r="B235" s="4"/>
      <c r="C235" s="4"/>
      <c r="H235" s="235"/>
    </row>
    <row r="236" spans="2:8" x14ac:dyDescent="0.25">
      <c r="B236" s="4"/>
      <c r="C236" s="4"/>
      <c r="H236" s="235"/>
    </row>
    <row r="237" spans="2:8" x14ac:dyDescent="0.25">
      <c r="B237" s="4"/>
      <c r="C237" s="4"/>
      <c r="H237" s="235"/>
    </row>
    <row r="238" spans="2:8" x14ac:dyDescent="0.25">
      <c r="B238" s="4"/>
      <c r="C238" s="4"/>
      <c r="H238" s="235"/>
    </row>
    <row r="239" spans="2:8" x14ac:dyDescent="0.25">
      <c r="B239" s="4"/>
      <c r="C239" s="4"/>
      <c r="H239" s="235"/>
    </row>
    <row r="240" spans="2:8" x14ac:dyDescent="0.25">
      <c r="B240" s="4"/>
      <c r="C240" s="4"/>
      <c r="H240" s="235"/>
    </row>
    <row r="241" spans="2:8" x14ac:dyDescent="0.25">
      <c r="B241" s="4"/>
      <c r="C241" s="4"/>
      <c r="H241" s="235"/>
    </row>
    <row r="242" spans="2:8" x14ac:dyDescent="0.25">
      <c r="B242" s="4"/>
      <c r="C242" s="4"/>
      <c r="H242" s="235"/>
    </row>
    <row r="243" spans="2:8" x14ac:dyDescent="0.25">
      <c r="B243" s="4"/>
      <c r="C243" s="4"/>
      <c r="H243" s="235"/>
    </row>
    <row r="244" spans="2:8" x14ac:dyDescent="0.25">
      <c r="B244" s="4"/>
      <c r="C244" s="4"/>
      <c r="H244" s="235"/>
    </row>
    <row r="245" spans="2:8" x14ac:dyDescent="0.25">
      <c r="B245" s="4"/>
      <c r="C245" s="4"/>
      <c r="H245" s="235"/>
    </row>
    <row r="246" spans="2:8" x14ac:dyDescent="0.25">
      <c r="B246" s="4"/>
      <c r="C246" s="4"/>
      <c r="H246" s="235"/>
    </row>
    <row r="247" spans="2:8" x14ac:dyDescent="0.25">
      <c r="B247" s="4"/>
      <c r="C247" s="4"/>
      <c r="H247" s="235"/>
    </row>
    <row r="248" spans="2:8" x14ac:dyDescent="0.25">
      <c r="B248" s="4"/>
      <c r="C248" s="4"/>
      <c r="H248" s="235"/>
    </row>
    <row r="249" spans="2:8" x14ac:dyDescent="0.25">
      <c r="B249" s="4"/>
      <c r="C249" s="4"/>
      <c r="H249" s="235"/>
    </row>
    <row r="250" spans="2:8" x14ac:dyDescent="0.25">
      <c r="B250" s="4"/>
      <c r="C250" s="4"/>
      <c r="H250" s="235"/>
    </row>
    <row r="251" spans="2:8" x14ac:dyDescent="0.25">
      <c r="B251" s="4"/>
      <c r="C251" s="4"/>
      <c r="H251" s="235"/>
    </row>
    <row r="252" spans="2:8" x14ac:dyDescent="0.25">
      <c r="B252" s="4"/>
      <c r="C252" s="4"/>
      <c r="H252" s="235"/>
    </row>
    <row r="253" spans="2:8" x14ac:dyDescent="0.25">
      <c r="B253" s="4"/>
      <c r="C253" s="4"/>
      <c r="H253" s="235"/>
    </row>
    <row r="254" spans="2:8" x14ac:dyDescent="0.25">
      <c r="B254" s="4"/>
      <c r="C254" s="4"/>
      <c r="H254" s="235"/>
    </row>
    <row r="255" spans="2:8" x14ac:dyDescent="0.25">
      <c r="B255" s="4"/>
      <c r="C255" s="4"/>
      <c r="H255" s="235"/>
    </row>
    <row r="256" spans="2:8" x14ac:dyDescent="0.25">
      <c r="B256" s="4"/>
      <c r="C256" s="4"/>
    </row>
    <row r="257" spans="2:3" x14ac:dyDescent="0.25">
      <c r="B257" s="4"/>
      <c r="C257" s="4"/>
    </row>
    <row r="258" spans="2:3" x14ac:dyDescent="0.25">
      <c r="B258" s="4"/>
      <c r="C258" s="4"/>
    </row>
    <row r="259" spans="2:3" x14ac:dyDescent="0.25">
      <c r="B259" s="4"/>
      <c r="C259" s="4"/>
    </row>
    <row r="260" spans="2:3" x14ac:dyDescent="0.25">
      <c r="B260" s="4"/>
      <c r="C260" s="4"/>
    </row>
    <row r="261" spans="2:3" x14ac:dyDescent="0.25">
      <c r="B261" s="4"/>
      <c r="C261" s="4"/>
    </row>
    <row r="262" spans="2:3" x14ac:dyDescent="0.25">
      <c r="B262" s="4"/>
      <c r="C262" s="4"/>
    </row>
    <row r="263" spans="2:3" x14ac:dyDescent="0.25">
      <c r="B263" s="4"/>
      <c r="C263" s="4"/>
    </row>
    <row r="264" spans="2:3" x14ac:dyDescent="0.25">
      <c r="B264" s="4"/>
      <c r="C264" s="4"/>
    </row>
    <row r="265" spans="2:3" x14ac:dyDescent="0.25">
      <c r="B265" s="4"/>
      <c r="C265" s="4"/>
    </row>
    <row r="266" spans="2:3" x14ac:dyDescent="0.25">
      <c r="B266" s="4"/>
      <c r="C266" s="4"/>
    </row>
    <row r="267" spans="2:3" x14ac:dyDescent="0.25">
      <c r="B267" s="4"/>
      <c r="C267" s="4"/>
    </row>
    <row r="268" spans="2:3" x14ac:dyDescent="0.25">
      <c r="B268" s="4"/>
      <c r="C268" s="4"/>
    </row>
    <row r="269" spans="2:3" x14ac:dyDescent="0.25">
      <c r="B269" s="4"/>
      <c r="C269" s="4"/>
    </row>
    <row r="270" spans="2:3" x14ac:dyDescent="0.25">
      <c r="B270" s="4"/>
      <c r="C270" s="4"/>
    </row>
    <row r="271" spans="2:3" x14ac:dyDescent="0.25">
      <c r="B271" s="4"/>
      <c r="C271" s="4"/>
    </row>
    <row r="272" spans="2:3" x14ac:dyDescent="0.25">
      <c r="B272" s="4"/>
      <c r="C272" s="4"/>
    </row>
    <row r="273" spans="2:3" x14ac:dyDescent="0.25">
      <c r="B273" s="4"/>
      <c r="C273" s="4"/>
    </row>
    <row r="274" spans="2:3" x14ac:dyDescent="0.25">
      <c r="B274" s="4"/>
      <c r="C274" s="4"/>
    </row>
    <row r="275" spans="2:3" x14ac:dyDescent="0.25">
      <c r="B275" s="4"/>
      <c r="C275" s="4"/>
    </row>
    <row r="276" spans="2:3" x14ac:dyDescent="0.25">
      <c r="B276" s="4"/>
      <c r="C276" s="4"/>
    </row>
    <row r="277" spans="2:3" x14ac:dyDescent="0.25">
      <c r="B277" s="4"/>
      <c r="C277" s="4"/>
    </row>
    <row r="278" spans="2:3" x14ac:dyDescent="0.25">
      <c r="B278" s="4"/>
      <c r="C278" s="4"/>
    </row>
    <row r="279" spans="2:3" x14ac:dyDescent="0.25">
      <c r="B279" s="4"/>
      <c r="C279" s="4"/>
    </row>
    <row r="280" spans="2:3" x14ac:dyDescent="0.25">
      <c r="B280" s="4"/>
      <c r="C280" s="4"/>
    </row>
    <row r="281" spans="2:3" x14ac:dyDescent="0.25">
      <c r="B281" s="4"/>
      <c r="C281" s="4"/>
    </row>
    <row r="282" spans="2:3" x14ac:dyDescent="0.25">
      <c r="B282" s="4"/>
      <c r="C282" s="4"/>
    </row>
    <row r="283" spans="2:3" x14ac:dyDescent="0.25">
      <c r="B283" s="4"/>
      <c r="C283" s="4"/>
    </row>
    <row r="284" spans="2:3" x14ac:dyDescent="0.25">
      <c r="B284" s="4"/>
      <c r="C284" s="4"/>
    </row>
    <row r="285" spans="2:3" x14ac:dyDescent="0.25">
      <c r="B285" s="4"/>
      <c r="C285" s="4"/>
    </row>
    <row r="286" spans="2:3" x14ac:dyDescent="0.25">
      <c r="B286" s="4"/>
      <c r="C286" s="4"/>
    </row>
    <row r="287" spans="2:3" x14ac:dyDescent="0.25">
      <c r="B287" s="4"/>
      <c r="C287" s="4"/>
    </row>
    <row r="288" spans="2:3" x14ac:dyDescent="0.25">
      <c r="B288" s="4"/>
      <c r="C288" s="4"/>
    </row>
    <row r="289" spans="2:3" x14ac:dyDescent="0.25">
      <c r="B289" s="4"/>
      <c r="C289" s="4"/>
    </row>
    <row r="290" spans="2:3" x14ac:dyDescent="0.25">
      <c r="B290" s="4"/>
      <c r="C290" s="4"/>
    </row>
    <row r="291" spans="2:3" x14ac:dyDescent="0.25">
      <c r="B291" s="4"/>
      <c r="C291" s="4"/>
    </row>
    <row r="292" spans="2:3" x14ac:dyDescent="0.25">
      <c r="B292" s="4"/>
      <c r="C292" s="4"/>
    </row>
    <row r="293" spans="2:3" x14ac:dyDescent="0.25">
      <c r="B293" s="4" t="s">
        <v>226</v>
      </c>
      <c r="C293" s="4" t="s">
        <v>226</v>
      </c>
    </row>
  </sheetData>
  <mergeCells count="7">
    <mergeCell ref="B74:C74"/>
    <mergeCell ref="A3:R3"/>
    <mergeCell ref="B7:C9"/>
    <mergeCell ref="D7:D8"/>
    <mergeCell ref="E7:H7"/>
    <mergeCell ref="I7:M7"/>
    <mergeCell ref="B10:C10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7"/>
  <sheetViews>
    <sheetView showGridLines="0" workbookViewId="0">
      <selection activeCell="G31" sqref="G31"/>
    </sheetView>
  </sheetViews>
  <sheetFormatPr defaultColWidth="9.109375" defaultRowHeight="13.8" x14ac:dyDescent="0.25"/>
  <cols>
    <col min="1" max="1" width="9.109375" style="176"/>
    <col min="2" max="2" width="7.33203125" style="176" customWidth="1"/>
    <col min="3" max="3" width="49" style="176" customWidth="1"/>
    <col min="4" max="4" width="13.88671875" style="176" customWidth="1"/>
    <col min="5" max="5" width="13.88671875" style="176" hidden="1" customWidth="1"/>
    <col min="6" max="6" width="11.6640625" style="176" customWidth="1"/>
    <col min="7" max="7" width="11" style="176" customWidth="1"/>
    <col min="8" max="8" width="13.88671875" style="176" customWidth="1"/>
    <col min="9" max="9" width="16" style="176" customWidth="1"/>
    <col min="10" max="10" width="21" style="176" customWidth="1"/>
    <col min="11" max="16384" width="9.109375" style="176"/>
  </cols>
  <sheetData>
    <row r="2" spans="2:15" x14ac:dyDescent="0.25">
      <c r="B2" s="825" t="s">
        <v>160</v>
      </c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</row>
    <row r="3" spans="2:15" x14ac:dyDescent="0.25">
      <c r="G3" s="25" t="s">
        <v>1183</v>
      </c>
    </row>
    <row r="5" spans="2:15" x14ac:dyDescent="0.25">
      <c r="B5" s="14" t="s">
        <v>1184</v>
      </c>
      <c r="C5" s="5"/>
      <c r="D5" s="5"/>
      <c r="E5" s="5"/>
      <c r="F5" s="5"/>
      <c r="G5" s="5"/>
      <c r="H5" s="5"/>
      <c r="I5" s="5"/>
      <c r="J5" s="16" t="s">
        <v>3</v>
      </c>
    </row>
    <row r="6" spans="2:15" ht="41.4" x14ac:dyDescent="0.25">
      <c r="B6" s="137" t="s">
        <v>4</v>
      </c>
      <c r="C6" s="72" t="s">
        <v>5</v>
      </c>
      <c r="D6" s="7" t="s">
        <v>10</v>
      </c>
      <c r="E6" s="7" t="s">
        <v>1185</v>
      </c>
      <c r="F6" s="7" t="s">
        <v>24</v>
      </c>
      <c r="G6" s="7" t="s">
        <v>1186</v>
      </c>
      <c r="H6" s="7" t="s">
        <v>1187</v>
      </c>
      <c r="I6" s="7" t="s">
        <v>1188</v>
      </c>
      <c r="J6" s="7" t="s">
        <v>1189</v>
      </c>
    </row>
    <row r="7" spans="2:15" x14ac:dyDescent="0.25">
      <c r="B7" s="6"/>
      <c r="C7" s="247" t="s">
        <v>1190</v>
      </c>
      <c r="D7" s="10"/>
      <c r="E7" s="10"/>
      <c r="F7" s="10"/>
      <c r="G7" s="10"/>
      <c r="H7" s="10"/>
      <c r="I7" s="10"/>
      <c r="J7" s="2"/>
    </row>
    <row r="8" spans="2:15" x14ac:dyDescent="0.25">
      <c r="B8" s="1"/>
      <c r="C8" s="244" t="s">
        <v>1191</v>
      </c>
      <c r="D8" s="243">
        <f>'[51]PP Summary'!E48</f>
        <v>3613.8831249999994</v>
      </c>
      <c r="E8" s="245"/>
      <c r="F8" s="243">
        <f>'[51]PP Summary'!$F$48</f>
        <v>3478.0151283867563</v>
      </c>
      <c r="G8" s="243">
        <f t="shared" ref="G8:G18" si="0">F8-D8</f>
        <v>-135.86799661324312</v>
      </c>
      <c r="H8" s="245"/>
      <c r="I8" s="243">
        <f t="shared" ref="I8:I18" si="1">G8</f>
        <v>-135.86799661324312</v>
      </c>
      <c r="J8" s="243">
        <f t="shared" ref="J8:J21" si="2">I8</f>
        <v>-135.86799661324312</v>
      </c>
    </row>
    <row r="9" spans="2:15" x14ac:dyDescent="0.25">
      <c r="B9" s="1"/>
      <c r="C9" s="244" t="s">
        <v>1192</v>
      </c>
      <c r="D9" s="243">
        <f>'[51]PP Summary'!E49</f>
        <v>391.91765500000002</v>
      </c>
      <c r="E9" s="245"/>
      <c r="F9" s="243">
        <f>'[51]PP Summary'!$F$49</f>
        <v>391.91765504908324</v>
      </c>
      <c r="G9" s="243">
        <f t="shared" si="0"/>
        <v>4.9083212161349365E-8</v>
      </c>
      <c r="H9" s="245"/>
      <c r="I9" s="243">
        <f t="shared" si="1"/>
        <v>4.9083212161349365E-8</v>
      </c>
      <c r="J9" s="243">
        <f t="shared" si="2"/>
        <v>4.9083212161349365E-8</v>
      </c>
    </row>
    <row r="10" spans="2:15" x14ac:dyDescent="0.25">
      <c r="B10" s="1"/>
      <c r="C10" s="244" t="s">
        <v>1193</v>
      </c>
      <c r="D10" s="243">
        <f>'[51]PP Summary'!E50</f>
        <v>2314.0632000000001</v>
      </c>
      <c r="E10" s="245"/>
      <c r="F10" s="243">
        <f>'[51]PP Summary'!$F$50</f>
        <v>2607.0025576453636</v>
      </c>
      <c r="G10" s="243">
        <f t="shared" si="0"/>
        <v>292.93935764536354</v>
      </c>
      <c r="H10" s="245"/>
      <c r="I10" s="243">
        <f t="shared" si="1"/>
        <v>292.93935764536354</v>
      </c>
      <c r="J10" s="243">
        <f t="shared" si="2"/>
        <v>292.93935764536354</v>
      </c>
    </row>
    <row r="11" spans="2:15" x14ac:dyDescent="0.25">
      <c r="B11" s="1"/>
      <c r="C11" s="244" t="s">
        <v>1194</v>
      </c>
      <c r="D11" s="243">
        <f>'[51]PP Summary'!E52</f>
        <v>1295.06</v>
      </c>
      <c r="E11" s="245"/>
      <c r="F11" s="243">
        <f>'[51]PP Summary'!$F$52</f>
        <v>1288.9300555358736</v>
      </c>
      <c r="G11" s="243">
        <f t="shared" si="0"/>
        <v>-6.1299444641263108</v>
      </c>
      <c r="H11" s="245"/>
      <c r="I11" s="243">
        <f t="shared" si="1"/>
        <v>-6.1299444641263108</v>
      </c>
      <c r="J11" s="243">
        <f t="shared" si="2"/>
        <v>-6.1299444641263108</v>
      </c>
    </row>
    <row r="12" spans="2:15" x14ac:dyDescent="0.25">
      <c r="B12" s="84"/>
      <c r="C12" s="244" t="s">
        <v>498</v>
      </c>
      <c r="D12" s="243">
        <f>'[51]PP Summary'!$E$53</f>
        <v>2648.7094399999996</v>
      </c>
      <c r="E12" s="246"/>
      <c r="F12" s="243">
        <f>'[51]PP Summary'!$F$53</f>
        <v>2458.6341933650765</v>
      </c>
      <c r="G12" s="243">
        <f t="shared" si="0"/>
        <v>-190.07524663492313</v>
      </c>
      <c r="H12" s="246"/>
      <c r="I12" s="243">
        <f t="shared" si="1"/>
        <v>-190.07524663492313</v>
      </c>
      <c r="J12" s="243">
        <f t="shared" si="2"/>
        <v>-190.07524663492313</v>
      </c>
    </row>
    <row r="13" spans="2:15" x14ac:dyDescent="0.25">
      <c r="B13" s="6"/>
      <c r="C13" s="244" t="s">
        <v>1195</v>
      </c>
      <c r="D13" s="243">
        <f>'[51]PP Summary'!$E$54</f>
        <v>210.83549499999998</v>
      </c>
      <c r="E13" s="245"/>
      <c r="F13" s="243">
        <f>'[51]PP Summary'!$F$54</f>
        <v>1233.6286895073231</v>
      </c>
      <c r="G13" s="243">
        <f t="shared" si="0"/>
        <v>1022.7931945073231</v>
      </c>
      <c r="H13" s="245"/>
      <c r="I13" s="243">
        <f t="shared" si="1"/>
        <v>1022.7931945073231</v>
      </c>
      <c r="J13" s="243">
        <f t="shared" si="2"/>
        <v>1022.7931945073231</v>
      </c>
    </row>
    <row r="14" spans="2:15" x14ac:dyDescent="0.25">
      <c r="B14" s="85"/>
      <c r="C14" s="244" t="s">
        <v>1196</v>
      </c>
      <c r="D14" s="243">
        <f>'[51]PP Summary'!$E$55</f>
        <v>-476.83672999999999</v>
      </c>
      <c r="E14" s="245"/>
      <c r="F14" s="243">
        <f>'[51]PP Summary'!$F$55</f>
        <v>-498.90623300831419</v>
      </c>
      <c r="G14" s="243">
        <f t="shared" si="0"/>
        <v>-22.0695030083142</v>
      </c>
      <c r="H14" s="245"/>
      <c r="I14" s="243">
        <f t="shared" si="1"/>
        <v>-22.0695030083142</v>
      </c>
      <c r="J14" s="243">
        <f t="shared" si="2"/>
        <v>-22.0695030083142</v>
      </c>
    </row>
    <row r="15" spans="2:15" x14ac:dyDescent="0.25">
      <c r="B15" s="85"/>
      <c r="C15" s="244" t="s">
        <v>1197</v>
      </c>
      <c r="D15" s="243">
        <f>'[51]PP Summary'!$E$56</f>
        <v>-60.119999999999976</v>
      </c>
      <c r="E15" s="245"/>
      <c r="F15" s="243">
        <f>'[51]PP Summary'!$F$56</f>
        <v>0</v>
      </c>
      <c r="G15" s="243">
        <f t="shared" si="0"/>
        <v>60.119999999999976</v>
      </c>
      <c r="H15" s="245"/>
      <c r="I15" s="243">
        <f t="shared" si="1"/>
        <v>60.119999999999976</v>
      </c>
      <c r="J15" s="243">
        <f t="shared" si="2"/>
        <v>60.119999999999976</v>
      </c>
    </row>
    <row r="16" spans="2:15" x14ac:dyDescent="0.25">
      <c r="B16" s="84"/>
      <c r="C16" s="244" t="s">
        <v>1198</v>
      </c>
      <c r="D16" s="243">
        <f>'[51]PP Summary'!$E$57</f>
        <v>385.04108000000002</v>
      </c>
      <c r="E16" s="246"/>
      <c r="F16" s="243">
        <f>'[51]PP Summary'!$F$57</f>
        <v>385.04108023559996</v>
      </c>
      <c r="G16" s="243">
        <f t="shared" si="0"/>
        <v>2.3559994133393047E-7</v>
      </c>
      <c r="H16" s="246"/>
      <c r="I16" s="243">
        <f t="shared" si="1"/>
        <v>2.3559994133393047E-7</v>
      </c>
      <c r="J16" s="243">
        <f t="shared" si="2"/>
        <v>2.3559994133393047E-7</v>
      </c>
    </row>
    <row r="17" spans="2:10" ht="27.6" x14ac:dyDescent="0.25">
      <c r="B17" s="84"/>
      <c r="C17" s="244" t="s">
        <v>1199</v>
      </c>
      <c r="D17" s="243">
        <f>'[51]PP Summary'!$E$59</f>
        <v>1483.99</v>
      </c>
      <c r="E17" s="246"/>
      <c r="F17" s="243">
        <f>'[51]PP Summary'!$F$59</f>
        <v>1736.681000018038</v>
      </c>
      <c r="G17" s="243">
        <f t="shared" si="0"/>
        <v>252.69100001803804</v>
      </c>
      <c r="H17" s="245"/>
      <c r="I17" s="243">
        <f t="shared" si="1"/>
        <v>252.69100001803804</v>
      </c>
      <c r="J17" s="243">
        <f t="shared" si="2"/>
        <v>252.69100001803804</v>
      </c>
    </row>
    <row r="18" spans="2:10" x14ac:dyDescent="0.25">
      <c r="B18" s="184"/>
      <c r="C18" s="244" t="s">
        <v>1200</v>
      </c>
      <c r="D18" s="218">
        <f>'[51]PP Summary'!$E$60</f>
        <v>0</v>
      </c>
      <c r="E18" s="212"/>
      <c r="F18" s="218">
        <f>'[51]PP Summary'!$F$60</f>
        <v>402.06638647339776</v>
      </c>
      <c r="G18" s="243">
        <f t="shared" si="0"/>
        <v>402.06638647339776</v>
      </c>
      <c r="H18" s="212"/>
      <c r="I18" s="243">
        <f t="shared" si="1"/>
        <v>402.06638647339776</v>
      </c>
      <c r="J18" s="243">
        <f t="shared" si="2"/>
        <v>402.06638647339776</v>
      </c>
    </row>
    <row r="19" spans="2:10" x14ac:dyDescent="0.25">
      <c r="B19" s="184"/>
      <c r="C19" s="242" t="s">
        <v>251</v>
      </c>
      <c r="D19" s="210">
        <f>SUM(D8:D18)</f>
        <v>11806.543264999998</v>
      </c>
      <c r="E19" s="210"/>
      <c r="F19" s="210">
        <f>SUM(F8:F18)</f>
        <v>13483.010513208197</v>
      </c>
      <c r="G19" s="210">
        <f>SUM(G8:G18)</f>
        <v>1676.4672482081987</v>
      </c>
      <c r="H19" s="210"/>
      <c r="I19" s="210">
        <f>SUM(I8:I18)</f>
        <v>1676.4672482081987</v>
      </c>
      <c r="J19" s="240">
        <f t="shared" si="2"/>
        <v>1676.4672482081987</v>
      </c>
    </row>
    <row r="20" spans="2:10" ht="27.6" x14ac:dyDescent="0.25">
      <c r="B20" s="184"/>
      <c r="C20" s="408" t="s">
        <v>1201</v>
      </c>
      <c r="D20" s="241"/>
      <c r="E20" s="241"/>
      <c r="F20" s="241"/>
      <c r="G20" s="210">
        <f>'[51]PP Summary'!$G$63</f>
        <v>-409</v>
      </c>
      <c r="H20" s="241"/>
      <c r="I20" s="210">
        <f>G20</f>
        <v>-409</v>
      </c>
      <c r="J20" s="240">
        <f t="shared" si="2"/>
        <v>-409</v>
      </c>
    </row>
    <row r="21" spans="2:10" x14ac:dyDescent="0.25">
      <c r="B21" s="184"/>
      <c r="C21" s="242" t="s">
        <v>1202</v>
      </c>
      <c r="D21" s="241"/>
      <c r="E21" s="241"/>
      <c r="F21" s="210"/>
      <c r="G21" s="210">
        <f>G19-G20</f>
        <v>2085.4672482081987</v>
      </c>
      <c r="H21" s="241"/>
      <c r="I21" s="210">
        <f>G21</f>
        <v>2085.4672482081987</v>
      </c>
      <c r="J21" s="240">
        <f t="shared" si="2"/>
        <v>2085.4672482081987</v>
      </c>
    </row>
    <row r="24" spans="2:10" x14ac:dyDescent="0.25">
      <c r="B24" s="14" t="s">
        <v>1203</v>
      </c>
      <c r="C24" s="5"/>
      <c r="D24" s="5"/>
      <c r="E24" s="5"/>
      <c r="F24" s="5"/>
      <c r="G24" s="5"/>
      <c r="H24" s="5"/>
      <c r="I24" s="5"/>
      <c r="J24" s="16" t="s">
        <v>3</v>
      </c>
    </row>
    <row r="25" spans="2:10" ht="41.4" x14ac:dyDescent="0.25">
      <c r="B25" s="137" t="s">
        <v>4</v>
      </c>
      <c r="C25" s="72" t="s">
        <v>5</v>
      </c>
      <c r="D25" s="7" t="s">
        <v>10</v>
      </c>
      <c r="E25" s="7" t="s">
        <v>1185</v>
      </c>
      <c r="F25" s="7" t="s">
        <v>24</v>
      </c>
      <c r="G25" s="7" t="s">
        <v>1186</v>
      </c>
      <c r="H25" s="7" t="s">
        <v>1187</v>
      </c>
      <c r="I25" s="7" t="s">
        <v>1188</v>
      </c>
      <c r="J25" s="7" t="s">
        <v>1189</v>
      </c>
    </row>
    <row r="26" spans="2:10" x14ac:dyDescent="0.25">
      <c r="B26" s="6"/>
      <c r="C26" s="247" t="s">
        <v>1190</v>
      </c>
      <c r="D26" s="10"/>
      <c r="E26" s="10"/>
      <c r="F26" s="10"/>
      <c r="G26" s="10"/>
      <c r="H26" s="10"/>
      <c r="I26" s="10"/>
      <c r="J26" s="2"/>
    </row>
    <row r="27" spans="2:10" x14ac:dyDescent="0.25">
      <c r="B27" s="1"/>
      <c r="C27" s="244" t="s">
        <v>1191</v>
      </c>
      <c r="D27" s="243">
        <f>'[71]PP Summary'!E48</f>
        <v>3613.8831249999994</v>
      </c>
      <c r="E27" s="245"/>
      <c r="F27" s="243">
        <f>'[71]PP Summary'!F48</f>
        <v>3478.0151283867563</v>
      </c>
      <c r="G27" s="243">
        <f t="shared" ref="G27:G37" si="3">F27-D27</f>
        <v>-135.86799661324312</v>
      </c>
      <c r="H27" s="245"/>
      <c r="I27" s="243">
        <f t="shared" ref="I27:I37" si="4">G27</f>
        <v>-135.86799661324312</v>
      </c>
      <c r="J27" s="243">
        <f t="shared" ref="J27:J40" si="5">I27</f>
        <v>-135.86799661324312</v>
      </c>
    </row>
    <row r="28" spans="2:10" x14ac:dyDescent="0.25">
      <c r="B28" s="1"/>
      <c r="C28" s="244" t="s">
        <v>1192</v>
      </c>
      <c r="D28" s="243">
        <f>'[71]PP Summary'!E49</f>
        <v>391.91765500000002</v>
      </c>
      <c r="E28" s="245"/>
      <c r="F28" s="243">
        <f>'[71]PP Summary'!F49</f>
        <v>391.91765504908324</v>
      </c>
      <c r="G28" s="243">
        <f t="shared" si="3"/>
        <v>4.9083212161349365E-8</v>
      </c>
      <c r="H28" s="245"/>
      <c r="I28" s="243">
        <f t="shared" si="4"/>
        <v>4.9083212161349365E-8</v>
      </c>
      <c r="J28" s="243">
        <f t="shared" si="5"/>
        <v>4.9083212161349365E-8</v>
      </c>
    </row>
    <row r="29" spans="2:10" x14ac:dyDescent="0.25">
      <c r="B29" s="1"/>
      <c r="C29" s="244" t="s">
        <v>1193</v>
      </c>
      <c r="D29" s="243">
        <f>'[71]PP Summary'!E50</f>
        <v>2314.0632000000001</v>
      </c>
      <c r="E29" s="245"/>
      <c r="F29" s="243">
        <f>'[71]PP Summary'!F50</f>
        <v>2637.258758253136</v>
      </c>
      <c r="G29" s="243">
        <f t="shared" si="3"/>
        <v>323.19555825313591</v>
      </c>
      <c r="H29" s="245"/>
      <c r="I29" s="243">
        <f t="shared" si="4"/>
        <v>323.19555825313591</v>
      </c>
      <c r="J29" s="243">
        <f t="shared" si="5"/>
        <v>323.19555825313591</v>
      </c>
    </row>
    <row r="30" spans="2:10" x14ac:dyDescent="0.25">
      <c r="B30" s="1"/>
      <c r="C30" s="244" t="s">
        <v>1194</v>
      </c>
      <c r="D30" s="243">
        <f>'[71]PP Summary'!E52</f>
        <v>1295.06</v>
      </c>
      <c r="E30" s="245"/>
      <c r="F30" s="243">
        <f>'[71]PP Summary'!$F$52</f>
        <v>1288.9300555358736</v>
      </c>
      <c r="G30" s="243">
        <f t="shared" si="3"/>
        <v>-6.1299444641263108</v>
      </c>
      <c r="H30" s="245"/>
      <c r="I30" s="243">
        <f t="shared" si="4"/>
        <v>-6.1299444641263108</v>
      </c>
      <c r="J30" s="243">
        <f t="shared" si="5"/>
        <v>-6.1299444641263108</v>
      </c>
    </row>
    <row r="31" spans="2:10" x14ac:dyDescent="0.25">
      <c r="B31" s="84"/>
      <c r="C31" s="244" t="s">
        <v>498</v>
      </c>
      <c r="D31" s="243">
        <f>'[71]PP Summary'!E53</f>
        <v>2648.7094399999996</v>
      </c>
      <c r="E31" s="246"/>
      <c r="F31" s="243">
        <f>'[71]PP Summary'!$F$53</f>
        <v>2458.6341933650765</v>
      </c>
      <c r="G31" s="243">
        <f t="shared" si="3"/>
        <v>-190.07524663492313</v>
      </c>
      <c r="H31" s="246"/>
      <c r="I31" s="243">
        <f t="shared" si="4"/>
        <v>-190.07524663492313</v>
      </c>
      <c r="J31" s="243">
        <f t="shared" si="5"/>
        <v>-190.07524663492313</v>
      </c>
    </row>
    <row r="32" spans="2:10" x14ac:dyDescent="0.25">
      <c r="B32" s="6"/>
      <c r="C32" s="244" t="s">
        <v>1195</v>
      </c>
      <c r="D32" s="243">
        <f>'[71]PP Summary'!E54</f>
        <v>210.83549499999998</v>
      </c>
      <c r="E32" s="245"/>
      <c r="F32" s="243">
        <f>'[71]PP Summary'!$F$54</f>
        <v>1809.2004322691539</v>
      </c>
      <c r="G32" s="243">
        <f t="shared" si="3"/>
        <v>1598.3649372691539</v>
      </c>
      <c r="H32" s="245"/>
      <c r="I32" s="243">
        <f t="shared" si="4"/>
        <v>1598.3649372691539</v>
      </c>
      <c r="J32" s="243">
        <f t="shared" si="5"/>
        <v>1598.3649372691539</v>
      </c>
    </row>
    <row r="33" spans="2:10" x14ac:dyDescent="0.25">
      <c r="B33" s="85"/>
      <c r="C33" s="244" t="s">
        <v>1196</v>
      </c>
      <c r="D33" s="243">
        <f>'[71]PP Summary'!E55</f>
        <v>-476.83672999999999</v>
      </c>
      <c r="E33" s="245"/>
      <c r="F33" s="243">
        <f>'[71]PP Summary'!$F$55</f>
        <v>-498.90623300831419</v>
      </c>
      <c r="G33" s="243">
        <f t="shared" si="3"/>
        <v>-22.0695030083142</v>
      </c>
      <c r="H33" s="245"/>
      <c r="I33" s="243">
        <f t="shared" si="4"/>
        <v>-22.0695030083142</v>
      </c>
      <c r="J33" s="243">
        <f t="shared" si="5"/>
        <v>-22.0695030083142</v>
      </c>
    </row>
    <row r="34" spans="2:10" x14ac:dyDescent="0.25">
      <c r="B34" s="85"/>
      <c r="C34" s="244" t="s">
        <v>1197</v>
      </c>
      <c r="D34" s="243">
        <f>'[71]PP Summary'!E56</f>
        <v>-60.119999999999976</v>
      </c>
      <c r="E34" s="245"/>
      <c r="F34" s="243">
        <f>'[71]PP Summary'!$F$56</f>
        <v>0</v>
      </c>
      <c r="G34" s="243">
        <f t="shared" si="3"/>
        <v>60.119999999999976</v>
      </c>
      <c r="H34" s="245"/>
      <c r="I34" s="243">
        <f t="shared" si="4"/>
        <v>60.119999999999976</v>
      </c>
      <c r="J34" s="243">
        <f t="shared" si="5"/>
        <v>60.119999999999976</v>
      </c>
    </row>
    <row r="35" spans="2:10" x14ac:dyDescent="0.25">
      <c r="B35" s="84"/>
      <c r="C35" s="244" t="s">
        <v>1198</v>
      </c>
      <c r="D35" s="243">
        <f>'[71]PP Summary'!E57</f>
        <v>385.04108000000002</v>
      </c>
      <c r="E35" s="246"/>
      <c r="F35" s="243">
        <f>'[71]PP Summary'!$F$57</f>
        <v>385.04108023559996</v>
      </c>
      <c r="G35" s="243">
        <f t="shared" si="3"/>
        <v>2.3559994133393047E-7</v>
      </c>
      <c r="H35" s="246"/>
      <c r="I35" s="243">
        <f t="shared" si="4"/>
        <v>2.3559994133393047E-7</v>
      </c>
      <c r="J35" s="243">
        <f t="shared" si="5"/>
        <v>2.3559994133393047E-7</v>
      </c>
    </row>
    <row r="36" spans="2:10" ht="27.6" x14ac:dyDescent="0.25">
      <c r="B36" s="84"/>
      <c r="C36" s="244" t="s">
        <v>1199</v>
      </c>
      <c r="D36" s="243">
        <f>'[71]PP Summary'!$E$59</f>
        <v>1483.99</v>
      </c>
      <c r="E36" s="246"/>
      <c r="F36" s="243">
        <f>'[71]PP Summary'!$F$59</f>
        <v>1736.681000018038</v>
      </c>
      <c r="G36" s="243">
        <f t="shared" si="3"/>
        <v>252.69100001803804</v>
      </c>
      <c r="H36" s="245"/>
      <c r="I36" s="243">
        <f t="shared" si="4"/>
        <v>252.69100001803804</v>
      </c>
      <c r="J36" s="243">
        <f t="shared" si="5"/>
        <v>252.69100001803804</v>
      </c>
    </row>
    <row r="37" spans="2:10" x14ac:dyDescent="0.25">
      <c r="B37" s="184"/>
      <c r="C37" s="244" t="s">
        <v>1200</v>
      </c>
      <c r="D37" s="243">
        <f>'[71]PP Summary'!$E$60</f>
        <v>0</v>
      </c>
      <c r="E37" s="212"/>
      <c r="F37" s="243">
        <f>'[71]PP Summary'!$F$60</f>
        <v>402.06638647339776</v>
      </c>
      <c r="G37" s="243">
        <f t="shared" si="3"/>
        <v>402.06638647339776</v>
      </c>
      <c r="H37" s="212"/>
      <c r="I37" s="243">
        <f t="shared" si="4"/>
        <v>402.06638647339776</v>
      </c>
      <c r="J37" s="243">
        <f t="shared" si="5"/>
        <v>402.06638647339776</v>
      </c>
    </row>
    <row r="38" spans="2:10" x14ac:dyDescent="0.25">
      <c r="B38" s="184"/>
      <c r="C38" s="242" t="s">
        <v>251</v>
      </c>
      <c r="D38" s="210">
        <f>SUM(D27:D37)</f>
        <v>11806.543264999998</v>
      </c>
      <c r="E38" s="210"/>
      <c r="F38" s="210">
        <f>SUM(F27:F37)</f>
        <v>14088.8384565778</v>
      </c>
      <c r="G38" s="210">
        <f>SUM(G27:G37)</f>
        <v>2282.2951915778017</v>
      </c>
      <c r="H38" s="210"/>
      <c r="I38" s="210">
        <f>SUM(I27:I37)</f>
        <v>2282.2951915778017</v>
      </c>
      <c r="J38" s="240">
        <f t="shared" si="5"/>
        <v>2282.2951915778017</v>
      </c>
    </row>
    <row r="39" spans="2:10" ht="27.6" x14ac:dyDescent="0.25">
      <c r="B39" s="184"/>
      <c r="C39" s="408" t="s">
        <v>1201</v>
      </c>
      <c r="D39" s="241"/>
      <c r="E39" s="241"/>
      <c r="F39" s="241"/>
      <c r="G39" s="210">
        <f>'[51]PP Summary'!$G$63</f>
        <v>-409</v>
      </c>
      <c r="H39" s="241"/>
      <c r="I39" s="210">
        <f>G39</f>
        <v>-409</v>
      </c>
      <c r="J39" s="240">
        <f t="shared" si="5"/>
        <v>-409</v>
      </c>
    </row>
    <row r="40" spans="2:10" x14ac:dyDescent="0.25">
      <c r="B40" s="184"/>
      <c r="C40" s="242" t="s">
        <v>1202</v>
      </c>
      <c r="D40" s="241"/>
      <c r="E40" s="241"/>
      <c r="F40" s="210"/>
      <c r="G40" s="210">
        <f>G38-G39</f>
        <v>2691.2951915778017</v>
      </c>
      <c r="H40" s="241"/>
      <c r="I40" s="210">
        <f>G40</f>
        <v>2691.2951915778017</v>
      </c>
      <c r="J40" s="240">
        <f t="shared" si="5"/>
        <v>2691.2951915778017</v>
      </c>
    </row>
    <row r="41" spans="2:10" x14ac:dyDescent="0.25">
      <c r="C41" s="369"/>
      <c r="D41" s="370"/>
      <c r="E41" s="370"/>
      <c r="F41" s="371"/>
      <c r="G41" s="371"/>
      <c r="H41" s="370"/>
      <c r="I41" s="371"/>
      <c r="J41" s="372"/>
    </row>
    <row r="42" spans="2:10" x14ac:dyDescent="0.25">
      <c r="C42" s="369"/>
      <c r="D42" s="370"/>
      <c r="E42" s="370"/>
      <c r="F42" s="371"/>
      <c r="G42" s="371"/>
      <c r="H42" s="370"/>
      <c r="I42" s="371"/>
      <c r="J42" s="372"/>
    </row>
    <row r="43" spans="2:10" x14ac:dyDescent="0.25">
      <c r="C43" s="369"/>
      <c r="D43" s="370"/>
      <c r="E43" s="370"/>
      <c r="F43" s="371"/>
      <c r="G43" s="371"/>
      <c r="H43" s="370"/>
      <c r="I43" s="371"/>
      <c r="J43" s="372"/>
    </row>
    <row r="44" spans="2:10" x14ac:dyDescent="0.25">
      <c r="B44" s="14" t="s">
        <v>1204</v>
      </c>
      <c r="C44" s="5"/>
      <c r="D44" s="5"/>
      <c r="E44" s="5"/>
      <c r="F44" s="5"/>
      <c r="G44" s="5"/>
      <c r="H44" s="5"/>
      <c r="I44" s="5"/>
      <c r="J44" s="16" t="s">
        <v>3</v>
      </c>
    </row>
    <row r="45" spans="2:10" ht="41.4" x14ac:dyDescent="0.25">
      <c r="B45" s="137" t="s">
        <v>4</v>
      </c>
      <c r="C45" s="72" t="s">
        <v>5</v>
      </c>
      <c r="D45" s="7" t="s">
        <v>10</v>
      </c>
      <c r="E45" s="7" t="s">
        <v>1185</v>
      </c>
      <c r="F45" s="7" t="s">
        <v>24</v>
      </c>
      <c r="G45" s="7" t="s">
        <v>1186</v>
      </c>
      <c r="H45" s="7" t="s">
        <v>1187</v>
      </c>
      <c r="I45" s="7" t="s">
        <v>1188</v>
      </c>
      <c r="J45" s="7" t="s">
        <v>1189</v>
      </c>
    </row>
    <row r="46" spans="2:10" x14ac:dyDescent="0.25">
      <c r="B46" s="6"/>
      <c r="C46" s="247" t="s">
        <v>1190</v>
      </c>
      <c r="D46" s="10"/>
      <c r="E46" s="10"/>
      <c r="F46" s="10"/>
      <c r="G46" s="10"/>
      <c r="H46" s="10"/>
      <c r="I46" s="10"/>
      <c r="J46" s="2"/>
    </row>
    <row r="47" spans="2:10" x14ac:dyDescent="0.25">
      <c r="B47" s="1"/>
      <c r="C47" s="244" t="s">
        <v>1191</v>
      </c>
      <c r="D47" s="243">
        <f>'[72]PP Summary'!E40</f>
        <v>3495.6148700000003</v>
      </c>
      <c r="E47" s="245"/>
      <c r="F47" s="243">
        <f>'[72]PP Summary'!F40</f>
        <v>4194.7207864265729</v>
      </c>
      <c r="G47" s="243">
        <f t="shared" ref="G47:G57" si="6">F47-D47</f>
        <v>699.10591642657255</v>
      </c>
      <c r="H47" s="245"/>
      <c r="I47" s="243">
        <f t="shared" ref="I47:I57" si="7">G47</f>
        <v>699.10591642657255</v>
      </c>
      <c r="J47" s="243">
        <f t="shared" ref="J47:J59" si="8">I47</f>
        <v>699.10591642657255</v>
      </c>
    </row>
    <row r="48" spans="2:10" x14ac:dyDescent="0.25">
      <c r="B48" s="1"/>
      <c r="C48" s="244" t="s">
        <v>1192</v>
      </c>
      <c r="D48" s="243">
        <f>'[72]PP Summary'!E41</f>
        <v>360.41498999999993</v>
      </c>
      <c r="E48" s="245"/>
      <c r="F48" s="243">
        <f>'[72]PP Summary'!F41</f>
        <v>365.87060249999996</v>
      </c>
      <c r="G48" s="243">
        <f t="shared" si="6"/>
        <v>5.4556125000000293</v>
      </c>
      <c r="H48" s="245"/>
      <c r="I48" s="243">
        <f t="shared" si="7"/>
        <v>5.4556125000000293</v>
      </c>
      <c r="J48" s="243">
        <f t="shared" si="8"/>
        <v>5.4556125000000293</v>
      </c>
    </row>
    <row r="49" spans="2:10" x14ac:dyDescent="0.25">
      <c r="B49" s="1"/>
      <c r="C49" s="244" t="s">
        <v>1193</v>
      </c>
      <c r="D49" s="243">
        <f>'[72]PP Summary'!E42</f>
        <v>2614.2323249999995</v>
      </c>
      <c r="E49" s="245"/>
      <c r="F49" s="243">
        <f>'[72]PP Summary'!F42</f>
        <v>2523.9028439337171</v>
      </c>
      <c r="G49" s="243">
        <f t="shared" si="6"/>
        <v>-90.329481066282369</v>
      </c>
      <c r="H49" s="245"/>
      <c r="I49" s="243">
        <f t="shared" si="7"/>
        <v>-90.329481066282369</v>
      </c>
      <c r="J49" s="243">
        <f t="shared" si="8"/>
        <v>-90.329481066282369</v>
      </c>
    </row>
    <row r="50" spans="2:10" x14ac:dyDescent="0.25">
      <c r="B50" s="1"/>
      <c r="C50" s="244" t="s">
        <v>1194</v>
      </c>
      <c r="D50" s="243">
        <f>'[72]PP Summary'!E43</f>
        <v>1587.2500000000002</v>
      </c>
      <c r="E50" s="245"/>
      <c r="F50" s="243">
        <f>'[72]PP Summary'!F43</f>
        <v>1516.4646084541769</v>
      </c>
      <c r="G50" s="243">
        <f t="shared" si="6"/>
        <v>-70.785391545823359</v>
      </c>
      <c r="H50" s="245"/>
      <c r="I50" s="243">
        <f t="shared" si="7"/>
        <v>-70.785391545823359</v>
      </c>
      <c r="J50" s="243">
        <f t="shared" si="8"/>
        <v>-70.785391545823359</v>
      </c>
    </row>
    <row r="51" spans="2:10" x14ac:dyDescent="0.25">
      <c r="B51" s="84"/>
      <c r="C51" s="244" t="s">
        <v>498</v>
      </c>
      <c r="D51" s="243">
        <f>'[72]PP Summary'!E44</f>
        <v>2899.7353499999999</v>
      </c>
      <c r="E51" s="246"/>
      <c r="F51" s="243">
        <f>'[72]PP Summary'!F44</f>
        <v>2255.6372361016442</v>
      </c>
      <c r="G51" s="243">
        <f t="shared" si="6"/>
        <v>-644.09811389835568</v>
      </c>
      <c r="H51" s="246"/>
      <c r="I51" s="243">
        <f t="shared" si="7"/>
        <v>-644.09811389835568</v>
      </c>
      <c r="J51" s="243">
        <f t="shared" si="8"/>
        <v>-644.09811389835568</v>
      </c>
    </row>
    <row r="52" spans="2:10" x14ac:dyDescent="0.25">
      <c r="B52" s="6"/>
      <c r="C52" s="244" t="s">
        <v>1195</v>
      </c>
      <c r="D52" s="243">
        <f>'[72]PP Summary'!E45</f>
        <v>155.17204999999998</v>
      </c>
      <c r="E52" s="245"/>
      <c r="F52" s="243">
        <f>'[72]PP Summary'!F45</f>
        <v>1429.1408316553345</v>
      </c>
      <c r="G52" s="243">
        <f t="shared" si="6"/>
        <v>1273.9687816553346</v>
      </c>
      <c r="H52" s="245"/>
      <c r="I52" s="243">
        <f t="shared" si="7"/>
        <v>1273.9687816553346</v>
      </c>
      <c r="J52" s="243">
        <f t="shared" si="8"/>
        <v>1273.9687816553346</v>
      </c>
    </row>
    <row r="53" spans="2:10" x14ac:dyDescent="0.25">
      <c r="B53" s="85"/>
      <c r="C53" s="244" t="s">
        <v>1196</v>
      </c>
      <c r="D53" s="243">
        <f>'[72]PP Summary'!E46</f>
        <v>-548.36488999999995</v>
      </c>
      <c r="E53" s="245"/>
      <c r="F53" s="243">
        <f>'[72]PP Summary'!F46</f>
        <v>-216.53178486795579</v>
      </c>
      <c r="G53" s="243">
        <f t="shared" si="6"/>
        <v>331.83310513204412</v>
      </c>
      <c r="H53" s="245"/>
      <c r="I53" s="243">
        <f t="shared" si="7"/>
        <v>331.83310513204412</v>
      </c>
      <c r="J53" s="243">
        <f t="shared" si="8"/>
        <v>331.83310513204412</v>
      </c>
    </row>
    <row r="54" spans="2:10" x14ac:dyDescent="0.25">
      <c r="B54" s="85"/>
      <c r="C54" s="244" t="s">
        <v>1197</v>
      </c>
      <c r="D54" s="243">
        <f>'[72]PP Summary'!E47</f>
        <v>-209.91000000000003</v>
      </c>
      <c r="E54" s="245"/>
      <c r="F54" s="243">
        <f>'[72]PP Summary'!F47</f>
        <v>0</v>
      </c>
      <c r="G54" s="243">
        <f t="shared" si="6"/>
        <v>209.91000000000003</v>
      </c>
      <c r="H54" s="245"/>
      <c r="I54" s="243">
        <f t="shared" si="7"/>
        <v>209.91000000000003</v>
      </c>
      <c r="J54" s="243">
        <f t="shared" si="8"/>
        <v>209.91000000000003</v>
      </c>
    </row>
    <row r="55" spans="2:10" x14ac:dyDescent="0.25">
      <c r="B55" s="84"/>
      <c r="C55" s="244" t="s">
        <v>1198</v>
      </c>
      <c r="D55" s="243">
        <f>'[72]PP Summary'!E48</f>
        <v>406.10666499999996</v>
      </c>
      <c r="E55" s="246"/>
      <c r="F55" s="243">
        <f>'[72]PP Summary'!F48</f>
        <v>343.99955999999997</v>
      </c>
      <c r="G55" s="243">
        <f t="shared" si="6"/>
        <v>-62.10710499999999</v>
      </c>
      <c r="H55" s="246"/>
      <c r="I55" s="243">
        <f t="shared" si="7"/>
        <v>-62.10710499999999</v>
      </c>
      <c r="J55" s="243">
        <f t="shared" si="8"/>
        <v>-62.10710499999999</v>
      </c>
    </row>
    <row r="56" spans="2:10" ht="27.6" x14ac:dyDescent="0.25">
      <c r="B56" s="84"/>
      <c r="C56" s="244" t="s">
        <v>1199</v>
      </c>
      <c r="D56" s="243">
        <f>'[72]PP Summary'!E49</f>
        <v>1591.17</v>
      </c>
      <c r="E56" s="246"/>
      <c r="F56" s="243">
        <f>'[72]PP Summary'!F49</f>
        <v>1855.6485359666963</v>
      </c>
      <c r="G56" s="243">
        <f t="shared" si="6"/>
        <v>264.4785359666962</v>
      </c>
      <c r="H56" s="245"/>
      <c r="I56" s="243">
        <f t="shared" si="7"/>
        <v>264.4785359666962</v>
      </c>
      <c r="J56" s="243">
        <f t="shared" si="8"/>
        <v>264.4785359666962</v>
      </c>
    </row>
    <row r="57" spans="2:10" ht="55.2" x14ac:dyDescent="0.25">
      <c r="B57" s="184"/>
      <c r="C57" s="244" t="s">
        <v>1205</v>
      </c>
      <c r="D57" s="243">
        <f>'[72]PP Summary'!E50</f>
        <v>0</v>
      </c>
      <c r="E57" s="212"/>
      <c r="F57" s="243">
        <f>'[72]PP Summary'!F50</f>
        <v>38.6856445146</v>
      </c>
      <c r="G57" s="243">
        <f t="shared" si="6"/>
        <v>38.6856445146</v>
      </c>
      <c r="H57" s="212"/>
      <c r="I57" s="243">
        <f t="shared" si="7"/>
        <v>38.6856445146</v>
      </c>
      <c r="J57" s="243">
        <f t="shared" si="8"/>
        <v>38.6856445146</v>
      </c>
    </row>
    <row r="58" spans="2:10" x14ac:dyDescent="0.25">
      <c r="B58" s="184"/>
      <c r="C58" s="242" t="s">
        <v>251</v>
      </c>
      <c r="D58" s="210">
        <f>SUM(D47:D57)</f>
        <v>12351.421359999997</v>
      </c>
      <c r="E58" s="210"/>
      <c r="F58" s="210">
        <f>SUM(F47:F57)</f>
        <v>14307.538864684788</v>
      </c>
      <c r="G58" s="210">
        <f>SUM(G47:G57)</f>
        <v>1956.1175046847864</v>
      </c>
      <c r="H58" s="210"/>
      <c r="I58" s="210">
        <f>SUM(I47:I57)</f>
        <v>1956.1175046847864</v>
      </c>
      <c r="J58" s="240">
        <f t="shared" si="8"/>
        <v>1956.1175046847864</v>
      </c>
    </row>
    <row r="59" spans="2:10" x14ac:dyDescent="0.25">
      <c r="B59" s="184"/>
      <c r="C59" s="242" t="s">
        <v>1206</v>
      </c>
      <c r="D59" s="241"/>
      <c r="E59" s="241"/>
      <c r="F59" s="210"/>
      <c r="G59" s="210">
        <f>G58</f>
        <v>1956.1175046847864</v>
      </c>
      <c r="H59" s="241"/>
      <c r="I59" s="210">
        <f>G59</f>
        <v>1956.1175046847864</v>
      </c>
      <c r="J59" s="240">
        <f t="shared" si="8"/>
        <v>1956.1175046847864</v>
      </c>
    </row>
    <row r="61" spans="2:10" x14ac:dyDescent="0.25">
      <c r="F61" s="198"/>
    </row>
    <row r="62" spans="2:10" x14ac:dyDescent="0.25">
      <c r="B62" s="14" t="s">
        <v>1207</v>
      </c>
      <c r="C62" s="5"/>
      <c r="D62" s="5"/>
      <c r="E62" s="5"/>
      <c r="F62" s="5"/>
      <c r="G62" s="5"/>
      <c r="H62" s="5"/>
      <c r="I62" s="5"/>
      <c r="J62" s="16" t="s">
        <v>3</v>
      </c>
    </row>
    <row r="63" spans="2:10" ht="41.4" x14ac:dyDescent="0.25">
      <c r="B63" s="137" t="s">
        <v>4</v>
      </c>
      <c r="C63" s="72" t="s">
        <v>5</v>
      </c>
      <c r="D63" s="7" t="s">
        <v>10</v>
      </c>
      <c r="E63" s="7" t="s">
        <v>1185</v>
      </c>
      <c r="F63" s="7" t="s">
        <v>24</v>
      </c>
      <c r="G63" s="7" t="s">
        <v>1186</v>
      </c>
      <c r="H63" s="7" t="s">
        <v>1187</v>
      </c>
      <c r="I63" s="7" t="s">
        <v>1188</v>
      </c>
      <c r="J63" s="7" t="s">
        <v>1189</v>
      </c>
    </row>
    <row r="64" spans="2:10" x14ac:dyDescent="0.25">
      <c r="B64" s="6"/>
      <c r="C64" s="247" t="s">
        <v>1190</v>
      </c>
      <c r="D64" s="10"/>
      <c r="E64" s="10"/>
      <c r="F64" s="10"/>
      <c r="G64" s="10"/>
      <c r="H64" s="10"/>
      <c r="I64" s="10"/>
      <c r="J64" s="2"/>
    </row>
    <row r="65" spans="2:10" x14ac:dyDescent="0.25">
      <c r="B65" s="1"/>
      <c r="C65" s="244" t="s">
        <v>1191</v>
      </c>
      <c r="D65" s="243">
        <f>'[73]PP Summary'!E40</f>
        <v>3495.6148700000003</v>
      </c>
      <c r="E65" s="245"/>
      <c r="F65" s="243">
        <f>'[73]PP Summary'!F40</f>
        <v>4194.7207864265729</v>
      </c>
      <c r="G65" s="243">
        <f t="shared" ref="G65:G75" si="9">F65-D65</f>
        <v>699.10591642657255</v>
      </c>
      <c r="H65" s="245"/>
      <c r="I65" s="243">
        <f t="shared" ref="I65:I75" si="10">G65</f>
        <v>699.10591642657255</v>
      </c>
      <c r="J65" s="243">
        <f t="shared" ref="J65:J77" si="11">I65</f>
        <v>699.10591642657255</v>
      </c>
    </row>
    <row r="66" spans="2:10" x14ac:dyDescent="0.25">
      <c r="B66" s="1"/>
      <c r="C66" s="244" t="s">
        <v>1192</v>
      </c>
      <c r="D66" s="243">
        <f>'[73]PP Summary'!E41</f>
        <v>360.41498999999993</v>
      </c>
      <c r="E66" s="245"/>
      <c r="F66" s="243">
        <f>'[73]PP Summary'!F41</f>
        <v>365.87060249999996</v>
      </c>
      <c r="G66" s="243">
        <f t="shared" si="9"/>
        <v>5.4556125000000293</v>
      </c>
      <c r="H66" s="245"/>
      <c r="I66" s="243">
        <f t="shared" si="10"/>
        <v>5.4556125000000293</v>
      </c>
      <c r="J66" s="243">
        <f t="shared" si="11"/>
        <v>5.4556125000000293</v>
      </c>
    </row>
    <row r="67" spans="2:10" x14ac:dyDescent="0.25">
      <c r="B67" s="1"/>
      <c r="C67" s="244" t="s">
        <v>1193</v>
      </c>
      <c r="D67" s="243">
        <f>'[73]PP Summary'!E42</f>
        <v>2614.2323249999995</v>
      </c>
      <c r="E67" s="245"/>
      <c r="F67" s="243">
        <f>'[73]PP Summary'!F42</f>
        <v>2523.9028439337171</v>
      </c>
      <c r="G67" s="243">
        <f t="shared" si="9"/>
        <v>-90.329481066282369</v>
      </c>
      <c r="H67" s="245"/>
      <c r="I67" s="243">
        <f t="shared" si="10"/>
        <v>-90.329481066282369</v>
      </c>
      <c r="J67" s="243">
        <f t="shared" si="11"/>
        <v>-90.329481066282369</v>
      </c>
    </row>
    <row r="68" spans="2:10" x14ac:dyDescent="0.25">
      <c r="B68" s="1"/>
      <c r="C68" s="244" t="s">
        <v>1194</v>
      </c>
      <c r="D68" s="243">
        <f>'[73]PP Summary'!E43</f>
        <v>1587.2500000000002</v>
      </c>
      <c r="E68" s="245"/>
      <c r="F68" s="243">
        <f>'[73]PP Summary'!F43</f>
        <v>1516.4646084541769</v>
      </c>
      <c r="G68" s="243">
        <f t="shared" si="9"/>
        <v>-70.785391545823359</v>
      </c>
      <c r="H68" s="245"/>
      <c r="I68" s="243">
        <f t="shared" si="10"/>
        <v>-70.785391545823359</v>
      </c>
      <c r="J68" s="243">
        <f t="shared" si="11"/>
        <v>-70.785391545823359</v>
      </c>
    </row>
    <row r="69" spans="2:10" x14ac:dyDescent="0.25">
      <c r="B69" s="84"/>
      <c r="C69" s="244" t="s">
        <v>498</v>
      </c>
      <c r="D69" s="243">
        <f>'[73]PP Summary'!E44</f>
        <v>2899.7353499999999</v>
      </c>
      <c r="E69" s="246"/>
      <c r="F69" s="243">
        <f>'[73]PP Summary'!F44</f>
        <v>2255.6372361016442</v>
      </c>
      <c r="G69" s="243">
        <f t="shared" si="9"/>
        <v>-644.09811389835568</v>
      </c>
      <c r="H69" s="246"/>
      <c r="I69" s="243">
        <f t="shared" si="10"/>
        <v>-644.09811389835568</v>
      </c>
      <c r="J69" s="243">
        <f t="shared" si="11"/>
        <v>-644.09811389835568</v>
      </c>
    </row>
    <row r="70" spans="2:10" x14ac:dyDescent="0.25">
      <c r="B70" s="6"/>
      <c r="C70" s="244" t="s">
        <v>1195</v>
      </c>
      <c r="D70" s="243">
        <f>'[73]PP Summary'!E45</f>
        <v>155.17204999999998</v>
      </c>
      <c r="E70" s="245"/>
      <c r="F70" s="243">
        <f>'[73]PP Summary'!F45</f>
        <v>2494.580424719768</v>
      </c>
      <c r="G70" s="243">
        <f t="shared" si="9"/>
        <v>2339.4083747197678</v>
      </c>
      <c r="H70" s="245"/>
      <c r="I70" s="243">
        <f t="shared" si="10"/>
        <v>2339.4083747197678</v>
      </c>
      <c r="J70" s="243">
        <f t="shared" si="11"/>
        <v>2339.4083747197678</v>
      </c>
    </row>
    <row r="71" spans="2:10" x14ac:dyDescent="0.25">
      <c r="B71" s="85"/>
      <c r="C71" s="244" t="s">
        <v>1196</v>
      </c>
      <c r="D71" s="243">
        <f>'[73]PP Summary'!E46</f>
        <v>-548.36488999999995</v>
      </c>
      <c r="E71" s="245"/>
      <c r="F71" s="243">
        <f>'[73]PP Summary'!F46</f>
        <v>-216.53178486795579</v>
      </c>
      <c r="G71" s="243">
        <f t="shared" si="9"/>
        <v>331.83310513204412</v>
      </c>
      <c r="H71" s="245"/>
      <c r="I71" s="243">
        <f t="shared" si="10"/>
        <v>331.83310513204412</v>
      </c>
      <c r="J71" s="243">
        <f t="shared" si="11"/>
        <v>331.83310513204412</v>
      </c>
    </row>
    <row r="72" spans="2:10" x14ac:dyDescent="0.25">
      <c r="B72" s="85"/>
      <c r="C72" s="244" t="s">
        <v>1197</v>
      </c>
      <c r="D72" s="243">
        <f>'[73]PP Summary'!E47</f>
        <v>-209.91000000000003</v>
      </c>
      <c r="E72" s="245"/>
      <c r="F72" s="243">
        <f>'[73]PP Summary'!F47</f>
        <v>0</v>
      </c>
      <c r="G72" s="243">
        <f t="shared" si="9"/>
        <v>209.91000000000003</v>
      </c>
      <c r="H72" s="245"/>
      <c r="I72" s="243">
        <f t="shared" si="10"/>
        <v>209.91000000000003</v>
      </c>
      <c r="J72" s="243">
        <f t="shared" si="11"/>
        <v>209.91000000000003</v>
      </c>
    </row>
    <row r="73" spans="2:10" x14ac:dyDescent="0.25">
      <c r="B73" s="84"/>
      <c r="C73" s="244" t="s">
        <v>1198</v>
      </c>
      <c r="D73" s="243">
        <f>'[73]PP Summary'!E48</f>
        <v>406.10666499999996</v>
      </c>
      <c r="E73" s="246"/>
      <c r="F73" s="243">
        <f>'[73]PP Summary'!F48</f>
        <v>343.99955999999997</v>
      </c>
      <c r="G73" s="243">
        <f t="shared" si="9"/>
        <v>-62.10710499999999</v>
      </c>
      <c r="H73" s="246"/>
      <c r="I73" s="243">
        <f t="shared" si="10"/>
        <v>-62.10710499999999</v>
      </c>
      <c r="J73" s="243">
        <f t="shared" si="11"/>
        <v>-62.10710499999999</v>
      </c>
    </row>
    <row r="74" spans="2:10" ht="27.6" x14ac:dyDescent="0.25">
      <c r="B74" s="84"/>
      <c r="C74" s="244" t="s">
        <v>1199</v>
      </c>
      <c r="D74" s="243">
        <f>'[73]PP Summary'!E49</f>
        <v>1591.17</v>
      </c>
      <c r="E74" s="246"/>
      <c r="F74" s="243">
        <f>'[73]PP Summary'!F49</f>
        <v>1855.6485359666963</v>
      </c>
      <c r="G74" s="243">
        <f t="shared" si="9"/>
        <v>264.4785359666962</v>
      </c>
      <c r="H74" s="245"/>
      <c r="I74" s="243">
        <f t="shared" si="10"/>
        <v>264.4785359666962</v>
      </c>
      <c r="J74" s="243">
        <f t="shared" si="11"/>
        <v>264.4785359666962</v>
      </c>
    </row>
    <row r="75" spans="2:10" ht="55.2" x14ac:dyDescent="0.25">
      <c r="B75" s="184"/>
      <c r="C75" s="244" t="s">
        <v>1205</v>
      </c>
      <c r="D75" s="243">
        <f>'[73]PP Summary'!E50</f>
        <v>0</v>
      </c>
      <c r="E75" s="212"/>
      <c r="F75" s="243">
        <f>'[73]PP Summary'!F50</f>
        <v>38.6856445146</v>
      </c>
      <c r="G75" s="243">
        <f t="shared" si="9"/>
        <v>38.6856445146</v>
      </c>
      <c r="H75" s="212"/>
      <c r="I75" s="243">
        <f t="shared" si="10"/>
        <v>38.6856445146</v>
      </c>
      <c r="J75" s="243">
        <f t="shared" si="11"/>
        <v>38.6856445146</v>
      </c>
    </row>
    <row r="76" spans="2:10" x14ac:dyDescent="0.25">
      <c r="B76" s="184"/>
      <c r="C76" s="242" t="s">
        <v>251</v>
      </c>
      <c r="D76" s="210">
        <f>SUM(D65:D75)</f>
        <v>12351.421359999997</v>
      </c>
      <c r="E76" s="210"/>
      <c r="F76" s="210">
        <f>SUM(F65:F75)</f>
        <v>15372.978457749221</v>
      </c>
      <c r="G76" s="210">
        <f>SUM(G65:G75)</f>
        <v>3021.5570977492193</v>
      </c>
      <c r="H76" s="210"/>
      <c r="I76" s="210">
        <f>SUM(I65:I75)</f>
        <v>3021.5570977492193</v>
      </c>
      <c r="J76" s="240">
        <f t="shared" si="11"/>
        <v>3021.5570977492193</v>
      </c>
    </row>
    <row r="77" spans="2:10" x14ac:dyDescent="0.25">
      <c r="B77" s="184"/>
      <c r="C77" s="242" t="s">
        <v>1206</v>
      </c>
      <c r="D77" s="241"/>
      <c r="E77" s="241"/>
      <c r="F77" s="210"/>
      <c r="G77" s="210">
        <f>G76</f>
        <v>3021.5570977492193</v>
      </c>
      <c r="H77" s="241"/>
      <c r="I77" s="210">
        <f>G77</f>
        <v>3021.5570977492193</v>
      </c>
      <c r="J77" s="240">
        <f t="shared" si="11"/>
        <v>3021.5570977492193</v>
      </c>
    </row>
  </sheetData>
  <mergeCells count="1">
    <mergeCell ref="B2:O2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G13"/>
  <sheetViews>
    <sheetView showGridLines="0" workbookViewId="0">
      <selection activeCell="D17" sqref="D17"/>
    </sheetView>
  </sheetViews>
  <sheetFormatPr defaultColWidth="9.109375" defaultRowHeight="13.8" x14ac:dyDescent="0.25"/>
  <cols>
    <col min="1" max="1" width="9.109375" style="657"/>
    <col min="2" max="2" width="7.33203125" style="657" customWidth="1"/>
    <col min="3" max="3" width="60.6640625" style="657" customWidth="1"/>
    <col min="4" max="4" width="13.88671875" style="657" customWidth="1"/>
    <col min="5" max="16384" width="9.109375" style="657"/>
  </cols>
  <sheetData>
    <row r="2" spans="2:7" x14ac:dyDescent="0.25">
      <c r="C2" s="572" t="s">
        <v>160</v>
      </c>
    </row>
    <row r="3" spans="2:7" x14ac:dyDescent="0.25">
      <c r="C3" s="573" t="s">
        <v>1239</v>
      </c>
    </row>
    <row r="4" spans="2:7" x14ac:dyDescent="0.25">
      <c r="D4" s="718" t="s">
        <v>3</v>
      </c>
    </row>
    <row r="5" spans="2:7" x14ac:dyDescent="0.25">
      <c r="B5" s="576" t="s">
        <v>4</v>
      </c>
      <c r="C5" s="719" t="s">
        <v>5</v>
      </c>
      <c r="D5" s="576" t="s">
        <v>549</v>
      </c>
    </row>
    <row r="6" spans="2:7" x14ac:dyDescent="0.25">
      <c r="B6" s="720">
        <v>1</v>
      </c>
      <c r="C6" s="662" t="s">
        <v>1208</v>
      </c>
      <c r="D6" s="249">
        <v>9421</v>
      </c>
      <c r="F6" s="690"/>
    </row>
    <row r="7" spans="2:7" x14ac:dyDescent="0.25">
      <c r="B7" s="720">
        <f>B6+1</f>
        <v>2</v>
      </c>
      <c r="C7" s="662" t="s">
        <v>1209</v>
      </c>
      <c r="D7" s="249">
        <v>9421</v>
      </c>
      <c r="G7" s="721"/>
    </row>
    <row r="8" spans="2:7" x14ac:dyDescent="0.25">
      <c r="B8" s="720">
        <f>B7+1</f>
        <v>3</v>
      </c>
      <c r="C8" s="662" t="s">
        <v>1210</v>
      </c>
      <c r="D8" s="249">
        <v>10393</v>
      </c>
    </row>
    <row r="9" spans="2:7" hidden="1" x14ac:dyDescent="0.25">
      <c r="B9" s="720">
        <v>4</v>
      </c>
      <c r="C9" s="662" t="s">
        <v>1211</v>
      </c>
      <c r="D9" s="249">
        <v>0</v>
      </c>
    </row>
    <row r="11" spans="2:7" hidden="1" x14ac:dyDescent="0.25">
      <c r="B11" s="589" t="s">
        <v>36</v>
      </c>
      <c r="C11" s="571"/>
    </row>
    <row r="12" spans="2:7" hidden="1" x14ac:dyDescent="0.25">
      <c r="B12" s="591">
        <v>1</v>
      </c>
      <c r="C12" s="571" t="s">
        <v>1212</v>
      </c>
    </row>
    <row r="13" spans="2:7" hidden="1" x14ac:dyDescent="0.25"/>
  </sheetData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S823"/>
  <sheetViews>
    <sheetView showGridLines="0" view="pageBreakPreview" zoomScale="70" zoomScaleNormal="85" zoomScaleSheetLayoutView="70" workbookViewId="0">
      <selection activeCell="K17" sqref="K17"/>
    </sheetView>
  </sheetViews>
  <sheetFormatPr defaultColWidth="9.109375" defaultRowHeight="13.8" x14ac:dyDescent="0.25"/>
  <cols>
    <col min="1" max="1" width="3.109375" style="4" customWidth="1"/>
    <col min="2" max="2" width="8.33203125" style="4" customWidth="1"/>
    <col min="3" max="3" width="19.6640625" style="4" customWidth="1"/>
    <col min="4" max="4" width="40.33203125" style="4" customWidth="1"/>
    <col min="5" max="17" width="10.44140625" style="559" customWidth="1"/>
    <col min="18" max="18" width="12.44140625" style="4" customWidth="1"/>
    <col min="19" max="19" width="12.6640625" style="4" customWidth="1"/>
    <col min="20" max="16384" width="9.109375" style="4"/>
  </cols>
  <sheetData>
    <row r="2" spans="2:19" x14ac:dyDescent="0.25">
      <c r="J2" s="534" t="s">
        <v>160</v>
      </c>
    </row>
    <row r="3" spans="2:19" x14ac:dyDescent="0.25">
      <c r="J3" s="565" t="s">
        <v>261</v>
      </c>
    </row>
    <row r="4" spans="2:19" x14ac:dyDescent="0.25">
      <c r="B4" s="14"/>
      <c r="C4" s="14" t="s">
        <v>228</v>
      </c>
      <c r="D4" s="57"/>
      <c r="E4" s="566"/>
      <c r="F4" s="566"/>
      <c r="G4" s="566"/>
      <c r="Q4" s="25" t="s">
        <v>229</v>
      </c>
    </row>
    <row r="5" spans="2:19" hidden="1" x14ac:dyDescent="0.25">
      <c r="B5" s="60"/>
      <c r="C5" s="762" t="s">
        <v>163</v>
      </c>
      <c r="D5" s="763"/>
      <c r="E5" s="731" t="s">
        <v>164</v>
      </c>
      <c r="F5" s="731" t="s">
        <v>165</v>
      </c>
      <c r="G5" s="731" t="s">
        <v>166</v>
      </c>
      <c r="H5" s="736" t="s">
        <v>230</v>
      </c>
      <c r="I5" s="737"/>
      <c r="J5" s="738"/>
      <c r="K5" s="736" t="s">
        <v>131</v>
      </c>
      <c r="L5" s="737"/>
      <c r="M5" s="737"/>
      <c r="N5" s="737"/>
      <c r="O5" s="768" t="s">
        <v>231</v>
      </c>
      <c r="P5" s="768"/>
      <c r="Q5" s="768"/>
      <c r="R5" s="768"/>
      <c r="S5" s="768"/>
    </row>
    <row r="6" spans="2:19" ht="41.4" hidden="1" x14ac:dyDescent="0.25">
      <c r="B6" s="60"/>
      <c r="C6" s="764"/>
      <c r="D6" s="765"/>
      <c r="E6" s="749"/>
      <c r="F6" s="749"/>
      <c r="G6" s="749"/>
      <c r="H6" s="518" t="s">
        <v>10</v>
      </c>
      <c r="I6" s="518" t="s">
        <v>11</v>
      </c>
      <c r="J6" s="518" t="s">
        <v>12</v>
      </c>
      <c r="K6" s="518" t="s">
        <v>10</v>
      </c>
      <c r="L6" s="518" t="s">
        <v>13</v>
      </c>
      <c r="M6" s="518" t="s">
        <v>14</v>
      </c>
      <c r="N6" s="518" t="s">
        <v>15</v>
      </c>
      <c r="O6" s="518" t="s">
        <v>169</v>
      </c>
      <c r="P6" s="518" t="s">
        <v>136</v>
      </c>
      <c r="Q6" s="518" t="s">
        <v>137</v>
      </c>
      <c r="R6" s="7" t="s">
        <v>138</v>
      </c>
      <c r="S6" s="7" t="s">
        <v>232</v>
      </c>
    </row>
    <row r="7" spans="2:19" ht="27.6" hidden="1" x14ac:dyDescent="0.25">
      <c r="B7" s="60"/>
      <c r="C7" s="766"/>
      <c r="D7" s="767"/>
      <c r="E7" s="518" t="s">
        <v>22</v>
      </c>
      <c r="F7" s="518" t="s">
        <v>22</v>
      </c>
      <c r="G7" s="518" t="s">
        <v>22</v>
      </c>
      <c r="H7" s="518" t="s">
        <v>21</v>
      </c>
      <c r="I7" s="518" t="s">
        <v>22</v>
      </c>
      <c r="J7" s="518" t="s">
        <v>23</v>
      </c>
      <c r="K7" s="518" t="s">
        <v>21</v>
      </c>
      <c r="L7" s="518" t="s">
        <v>24</v>
      </c>
      <c r="M7" s="518" t="s">
        <v>25</v>
      </c>
      <c r="N7" s="518" t="s">
        <v>25</v>
      </c>
      <c r="O7" s="518" t="s">
        <v>26</v>
      </c>
      <c r="P7" s="518" t="s">
        <v>26</v>
      </c>
      <c r="Q7" s="518" t="s">
        <v>26</v>
      </c>
      <c r="R7" s="7" t="s">
        <v>26</v>
      </c>
      <c r="S7" s="7" t="s">
        <v>26</v>
      </c>
    </row>
    <row r="8" spans="2:19" hidden="1" x14ac:dyDescent="0.25">
      <c r="B8" s="60"/>
      <c r="C8" s="753" t="s">
        <v>171</v>
      </c>
      <c r="D8" s="754"/>
      <c r="E8" s="567"/>
      <c r="F8" s="555"/>
      <c r="G8" s="555"/>
      <c r="H8" s="556"/>
      <c r="I8" s="556"/>
      <c r="J8" s="568"/>
      <c r="K8" s="556"/>
      <c r="L8" s="556"/>
      <c r="M8" s="556"/>
      <c r="N8" s="556"/>
      <c r="O8" s="556"/>
      <c r="P8" s="556"/>
      <c r="Q8" s="556"/>
      <c r="R8" s="17"/>
      <c r="S8" s="17"/>
    </row>
    <row r="9" spans="2:19" hidden="1" x14ac:dyDescent="0.25">
      <c r="B9" s="60"/>
      <c r="C9" s="59" t="s">
        <v>172</v>
      </c>
      <c r="D9" s="59" t="s">
        <v>173</v>
      </c>
      <c r="E9" s="553">
        <f t="shared" ref="E9:E17" si="0">Q85</f>
        <v>3547.0510800000002</v>
      </c>
      <c r="F9" s="553">
        <f t="shared" ref="F9:F17" si="1">Q159</f>
        <v>3769.4315569999999</v>
      </c>
      <c r="G9" s="553">
        <f t="shared" ref="G9:G17" si="2">Q232</f>
        <v>3863.4218674038889</v>
      </c>
      <c r="H9" s="553">
        <v>4436.9900000000007</v>
      </c>
      <c r="I9" s="553">
        <f t="shared" ref="I9:I17" si="3">Q305</f>
        <v>3891.8542163000002</v>
      </c>
      <c r="J9" s="550">
        <f t="shared" ref="J9:J17" si="4">I9-H9</f>
        <v>-545.1357837000005</v>
      </c>
      <c r="K9" s="553">
        <v>4160.68</v>
      </c>
      <c r="L9" s="553">
        <f t="shared" ref="L9:L17" si="5">E380+F380+G380+H380+I380+J380</f>
        <v>2291.281661</v>
      </c>
      <c r="M9" s="554">
        <f t="shared" ref="M9:M17" si="6">K380+L380+M380+N380+O380+P380</f>
        <v>1788.7232909999998</v>
      </c>
      <c r="N9" s="553">
        <f t="shared" ref="N9:N17" si="7">L9+M9</f>
        <v>4080.0049519999998</v>
      </c>
      <c r="O9" s="553">
        <f t="shared" ref="O9:O17" si="8">Q454</f>
        <v>4518.509500065079</v>
      </c>
      <c r="P9" s="553">
        <f t="shared" ref="P9:P17" si="9">Q528</f>
        <v>5004.142970995681</v>
      </c>
      <c r="Q9" s="553">
        <f t="shared" ref="Q9:Q17" si="10">Q602</f>
        <v>4598.8742104793027</v>
      </c>
      <c r="R9" s="162">
        <f t="shared" ref="R9:R17" si="11">Q676</f>
        <v>4761.9782804687929</v>
      </c>
      <c r="S9" s="162">
        <f t="shared" ref="S9:S17" si="12">Q750</f>
        <v>4958.0805660203923</v>
      </c>
    </row>
    <row r="10" spans="2:19" hidden="1" x14ac:dyDescent="0.25">
      <c r="C10" s="17" t="s">
        <v>174</v>
      </c>
      <c r="D10" s="17" t="s">
        <v>175</v>
      </c>
      <c r="E10" s="553">
        <f t="shared" si="0"/>
        <v>757.97826359999999</v>
      </c>
      <c r="F10" s="553">
        <f t="shared" si="1"/>
        <v>648.98373470000001</v>
      </c>
      <c r="G10" s="553">
        <f t="shared" si="2"/>
        <v>743.85729817948095</v>
      </c>
      <c r="H10" s="553">
        <v>969.85</v>
      </c>
      <c r="I10" s="553">
        <f t="shared" si="3"/>
        <v>875.13697900000011</v>
      </c>
      <c r="J10" s="550">
        <f t="shared" si="4"/>
        <v>-94.713020999999912</v>
      </c>
      <c r="K10" s="553">
        <v>780.41000000000008</v>
      </c>
      <c r="L10" s="553">
        <f t="shared" si="5"/>
        <v>506.79669200000001</v>
      </c>
      <c r="M10" s="554">
        <f t="shared" si="6"/>
        <v>449.26245799999998</v>
      </c>
      <c r="N10" s="553">
        <f t="shared" si="7"/>
        <v>956.05915000000005</v>
      </c>
      <c r="O10" s="553">
        <f t="shared" si="8"/>
        <v>1030.7841392053081</v>
      </c>
      <c r="P10" s="553">
        <f t="shared" si="9"/>
        <v>1096.1498398291596</v>
      </c>
      <c r="Q10" s="553">
        <f t="shared" si="10"/>
        <v>1204.8659776512711</v>
      </c>
      <c r="R10" s="162">
        <f t="shared" si="11"/>
        <v>1326.8705767464355</v>
      </c>
      <c r="S10" s="162">
        <f t="shared" si="12"/>
        <v>1442.0458512617563</v>
      </c>
    </row>
    <row r="11" spans="2:19" hidden="1" x14ac:dyDescent="0.25">
      <c r="C11" s="17" t="s">
        <v>176</v>
      </c>
      <c r="D11" s="17" t="s">
        <v>177</v>
      </c>
      <c r="E11" s="553">
        <f t="shared" si="0"/>
        <v>244.35901160999998</v>
      </c>
      <c r="F11" s="553">
        <f t="shared" si="1"/>
        <v>245.99539202300002</v>
      </c>
      <c r="G11" s="553">
        <f t="shared" si="2"/>
        <v>235.73644825441801</v>
      </c>
      <c r="H11" s="553">
        <v>244.35999999999999</v>
      </c>
      <c r="I11" s="553">
        <f t="shared" si="3"/>
        <v>237.01522249999996</v>
      </c>
      <c r="J11" s="550">
        <f t="shared" si="4"/>
        <v>-7.3447775000000206</v>
      </c>
      <c r="K11" s="553">
        <v>137.37</v>
      </c>
      <c r="L11" s="553">
        <f t="shared" si="5"/>
        <v>117.74510299999997</v>
      </c>
      <c r="M11" s="554">
        <f t="shared" si="6"/>
        <v>122.522418</v>
      </c>
      <c r="N11" s="553">
        <f t="shared" si="7"/>
        <v>240.26752099999999</v>
      </c>
      <c r="O11" s="553">
        <f t="shared" si="8"/>
        <v>239.31127436000008</v>
      </c>
      <c r="P11" s="553">
        <f t="shared" si="9"/>
        <v>244.09749984720006</v>
      </c>
      <c r="Q11" s="553">
        <f t="shared" si="10"/>
        <v>253.40445087253354</v>
      </c>
      <c r="R11" s="162">
        <f t="shared" si="11"/>
        <v>258.47253988998415</v>
      </c>
      <c r="S11" s="162">
        <f t="shared" si="12"/>
        <v>263.64199068778385</v>
      </c>
    </row>
    <row r="12" spans="2:19" hidden="1" x14ac:dyDescent="0.25">
      <c r="C12" s="17" t="s">
        <v>178</v>
      </c>
      <c r="D12" s="17" t="s">
        <v>179</v>
      </c>
      <c r="E12" s="553">
        <f t="shared" si="0"/>
        <v>7.5488219999999995</v>
      </c>
      <c r="F12" s="553">
        <f t="shared" si="1"/>
        <v>7.7788320000000004</v>
      </c>
      <c r="G12" s="553">
        <f t="shared" si="2"/>
        <v>8.1794790119900007</v>
      </c>
      <c r="H12" s="553">
        <v>8.66</v>
      </c>
      <c r="I12" s="553">
        <f t="shared" si="3"/>
        <v>8.3373779999999993</v>
      </c>
      <c r="J12" s="550">
        <f t="shared" si="4"/>
        <v>-0.32262200000000085</v>
      </c>
      <c r="K12" s="553">
        <v>8.6700000000000017</v>
      </c>
      <c r="L12" s="553">
        <f t="shared" si="5"/>
        <v>4.4163129999999997</v>
      </c>
      <c r="M12" s="554">
        <f t="shared" si="6"/>
        <v>3.9098440000000001</v>
      </c>
      <c r="N12" s="553">
        <f t="shared" si="7"/>
        <v>8.3261570000000003</v>
      </c>
      <c r="O12" s="553">
        <f t="shared" si="8"/>
        <v>8.2290849126100269</v>
      </c>
      <c r="P12" s="553">
        <f t="shared" si="9"/>
        <v>8.6405391582405286</v>
      </c>
      <c r="Q12" s="553">
        <f t="shared" si="10"/>
        <v>9.0862848200868207</v>
      </c>
      <c r="R12" s="162">
        <f t="shared" si="11"/>
        <v>9.2793698941482656</v>
      </c>
      <c r="S12" s="162">
        <f t="shared" si="12"/>
        <v>9.480173506721659</v>
      </c>
    </row>
    <row r="13" spans="2:19" hidden="1" x14ac:dyDescent="0.25">
      <c r="C13" s="17" t="s">
        <v>180</v>
      </c>
      <c r="D13" s="17" t="s">
        <v>181</v>
      </c>
      <c r="E13" s="553">
        <f t="shared" si="0"/>
        <v>0</v>
      </c>
      <c r="F13" s="553">
        <f t="shared" si="1"/>
        <v>0</v>
      </c>
      <c r="G13" s="553">
        <f t="shared" si="2"/>
        <v>0</v>
      </c>
      <c r="H13" s="553"/>
      <c r="I13" s="553">
        <f t="shared" si="3"/>
        <v>0</v>
      </c>
      <c r="J13" s="550">
        <f t="shared" si="4"/>
        <v>0</v>
      </c>
      <c r="K13" s="553"/>
      <c r="L13" s="553">
        <f t="shared" si="5"/>
        <v>0</v>
      </c>
      <c r="M13" s="554">
        <f t="shared" si="6"/>
        <v>0</v>
      </c>
      <c r="N13" s="553">
        <f t="shared" si="7"/>
        <v>0</v>
      </c>
      <c r="O13" s="553">
        <f t="shared" si="8"/>
        <v>0</v>
      </c>
      <c r="P13" s="553">
        <f t="shared" si="9"/>
        <v>0</v>
      </c>
      <c r="Q13" s="553">
        <f t="shared" si="10"/>
        <v>0</v>
      </c>
      <c r="R13" s="162">
        <f t="shared" si="11"/>
        <v>0</v>
      </c>
      <c r="S13" s="162">
        <f t="shared" si="12"/>
        <v>0</v>
      </c>
    </row>
    <row r="14" spans="2:19" hidden="1" x14ac:dyDescent="0.25">
      <c r="C14" s="17" t="s">
        <v>182</v>
      </c>
      <c r="D14" s="17" t="s">
        <v>183</v>
      </c>
      <c r="E14" s="553">
        <f t="shared" si="0"/>
        <v>307.82347199999998</v>
      </c>
      <c r="F14" s="553">
        <f t="shared" si="1"/>
        <v>322.31150699999995</v>
      </c>
      <c r="G14" s="553">
        <f t="shared" si="2"/>
        <v>344.52088746649196</v>
      </c>
      <c r="H14" s="553">
        <v>326.21999999999997</v>
      </c>
      <c r="I14" s="553">
        <f t="shared" si="3"/>
        <v>354.78892999999994</v>
      </c>
      <c r="J14" s="550">
        <f t="shared" si="4"/>
        <v>28.568929999999966</v>
      </c>
      <c r="K14" s="553">
        <v>375.71</v>
      </c>
      <c r="L14" s="553">
        <f t="shared" si="5"/>
        <v>180.11505399999999</v>
      </c>
      <c r="M14" s="554">
        <f t="shared" si="6"/>
        <v>187.67646400000001</v>
      </c>
      <c r="N14" s="553">
        <f t="shared" si="7"/>
        <v>367.791518</v>
      </c>
      <c r="O14" s="553">
        <f t="shared" si="8"/>
        <v>380.13136331460169</v>
      </c>
      <c r="P14" s="553">
        <f t="shared" si="9"/>
        <v>396.51543480131897</v>
      </c>
      <c r="Q14" s="553">
        <f t="shared" si="10"/>
        <v>413.68461785008503</v>
      </c>
      <c r="R14" s="162">
        <f t="shared" si="11"/>
        <v>429.10160187033523</v>
      </c>
      <c r="S14" s="162">
        <f t="shared" si="12"/>
        <v>445.7364509673298</v>
      </c>
    </row>
    <row r="15" spans="2:19" ht="14.25" hidden="1" customHeight="1" x14ac:dyDescent="0.25">
      <c r="C15" s="17" t="s">
        <v>184</v>
      </c>
      <c r="D15" s="17" t="s">
        <v>185</v>
      </c>
      <c r="E15" s="553">
        <f t="shared" si="0"/>
        <v>59.625922500000001</v>
      </c>
      <c r="F15" s="553">
        <f t="shared" si="1"/>
        <v>27.041659000000003</v>
      </c>
      <c r="G15" s="553">
        <f t="shared" si="2"/>
        <v>33.792156041649001</v>
      </c>
      <c r="H15" s="553">
        <v>84.74</v>
      </c>
      <c r="I15" s="553">
        <f t="shared" si="3"/>
        <v>58.652121999999991</v>
      </c>
      <c r="J15" s="550">
        <f t="shared" si="4"/>
        <v>-26.087878000000003</v>
      </c>
      <c r="K15" s="553">
        <v>69.41</v>
      </c>
      <c r="L15" s="553">
        <f t="shared" si="5"/>
        <v>30.782057999999999</v>
      </c>
      <c r="M15" s="554">
        <f t="shared" si="6"/>
        <v>32.129630999999996</v>
      </c>
      <c r="N15" s="553">
        <f t="shared" si="7"/>
        <v>62.911688999999996</v>
      </c>
      <c r="O15" s="553">
        <f t="shared" si="8"/>
        <v>68.265599859011161</v>
      </c>
      <c r="P15" s="553">
        <f t="shared" si="9"/>
        <v>73.648007460605655</v>
      </c>
      <c r="Q15" s="553">
        <f t="shared" si="10"/>
        <v>78.975541619197401</v>
      </c>
      <c r="R15" s="162">
        <f t="shared" si="11"/>
        <v>93.589678463048216</v>
      </c>
      <c r="S15" s="162">
        <f t="shared" si="12"/>
        <v>102.75827387354914</v>
      </c>
    </row>
    <row r="16" spans="2:19" hidden="1" x14ac:dyDescent="0.25">
      <c r="C16" s="17" t="s">
        <v>186</v>
      </c>
      <c r="D16" s="17" t="s">
        <v>187</v>
      </c>
      <c r="E16" s="553">
        <f t="shared" si="0"/>
        <v>0.17039799999999999</v>
      </c>
      <c r="F16" s="553">
        <f t="shared" si="1"/>
        <v>2.2594890000000003</v>
      </c>
      <c r="G16" s="553">
        <f t="shared" si="2"/>
        <v>5.0078590466000001</v>
      </c>
      <c r="H16" s="553">
        <v>4.5599999999999996</v>
      </c>
      <c r="I16" s="553">
        <f t="shared" si="3"/>
        <v>10.290667000000003</v>
      </c>
      <c r="J16" s="550">
        <f t="shared" si="4"/>
        <v>5.7306670000000031</v>
      </c>
      <c r="K16" s="553">
        <v>8.06</v>
      </c>
      <c r="L16" s="553">
        <f t="shared" si="5"/>
        <v>7.242877</v>
      </c>
      <c r="M16" s="554">
        <f t="shared" si="6"/>
        <v>6.9127910000000012</v>
      </c>
      <c r="N16" s="553">
        <f t="shared" si="7"/>
        <v>14.155668000000002</v>
      </c>
      <c r="O16" s="553">
        <f t="shared" si="8"/>
        <v>15.224471550000001</v>
      </c>
      <c r="P16" s="553">
        <f t="shared" si="9"/>
        <v>16.373973589713991</v>
      </c>
      <c r="Q16" s="553">
        <f t="shared" si="10"/>
        <v>16.386955168500002</v>
      </c>
      <c r="R16" s="162">
        <f t="shared" si="11"/>
        <v>17.206302926925002</v>
      </c>
      <c r="S16" s="162">
        <f t="shared" si="12"/>
        <v>18.06661807327125</v>
      </c>
    </row>
    <row r="17" spans="3:19" hidden="1" x14ac:dyDescent="0.25">
      <c r="C17" s="17" t="s">
        <v>188</v>
      </c>
      <c r="D17" s="17" t="s">
        <v>189</v>
      </c>
      <c r="E17" s="553">
        <f t="shared" si="0"/>
        <v>0</v>
      </c>
      <c r="F17" s="553">
        <f t="shared" si="1"/>
        <v>0</v>
      </c>
      <c r="G17" s="553">
        <f t="shared" si="2"/>
        <v>0</v>
      </c>
      <c r="H17" s="553">
        <v>0</v>
      </c>
      <c r="I17" s="553">
        <f t="shared" si="3"/>
        <v>2.2508E-2</v>
      </c>
      <c r="J17" s="550">
        <f t="shared" si="4"/>
        <v>2.2508E-2</v>
      </c>
      <c r="K17" s="553">
        <v>1.23</v>
      </c>
      <c r="L17" s="553">
        <f t="shared" si="5"/>
        <v>5.3129000000000003E-2</v>
      </c>
      <c r="M17" s="554">
        <f t="shared" si="6"/>
        <v>7.9620999999999997E-2</v>
      </c>
      <c r="N17" s="553">
        <f t="shared" si="7"/>
        <v>0.13275000000000001</v>
      </c>
      <c r="O17" s="553">
        <f t="shared" si="8"/>
        <v>0.16766805000000001</v>
      </c>
      <c r="P17" s="553">
        <f t="shared" si="9"/>
        <v>0.17605145250000001</v>
      </c>
      <c r="Q17" s="553">
        <f t="shared" si="10"/>
        <v>10.12923723231</v>
      </c>
      <c r="R17" s="162">
        <f t="shared" si="11"/>
        <v>10.635699093925501</v>
      </c>
      <c r="S17" s="162">
        <f t="shared" si="12"/>
        <v>11.167484048621777</v>
      </c>
    </row>
    <row r="18" spans="3:19" hidden="1" x14ac:dyDescent="0.25">
      <c r="C18" s="17"/>
      <c r="D18" s="17"/>
      <c r="E18" s="553"/>
      <c r="F18" s="553"/>
      <c r="G18" s="553"/>
      <c r="H18" s="553"/>
      <c r="I18" s="553"/>
      <c r="J18" s="553"/>
      <c r="K18" s="553"/>
      <c r="L18" s="553"/>
      <c r="M18" s="552"/>
      <c r="N18" s="553"/>
      <c r="O18" s="553"/>
      <c r="P18" s="553"/>
      <c r="Q18" s="553"/>
      <c r="R18" s="162"/>
      <c r="S18" s="162"/>
    </row>
    <row r="19" spans="3:19" hidden="1" x14ac:dyDescent="0.25">
      <c r="C19" s="17"/>
      <c r="D19" s="17"/>
      <c r="E19" s="553"/>
      <c r="F19" s="553"/>
      <c r="G19" s="553"/>
      <c r="H19" s="553"/>
      <c r="I19" s="553"/>
      <c r="J19" s="553"/>
      <c r="K19" s="553"/>
      <c r="L19" s="553"/>
      <c r="M19" s="552"/>
      <c r="N19" s="553"/>
      <c r="O19" s="553"/>
      <c r="P19" s="553"/>
      <c r="Q19" s="553"/>
      <c r="R19" s="162"/>
      <c r="S19" s="162"/>
    </row>
    <row r="20" spans="3:19" hidden="1" x14ac:dyDescent="0.25">
      <c r="C20" s="17"/>
      <c r="D20" s="17"/>
      <c r="E20" s="553"/>
      <c r="F20" s="553"/>
      <c r="G20" s="553"/>
      <c r="H20" s="553"/>
      <c r="I20" s="553"/>
      <c r="J20" s="553"/>
      <c r="K20" s="553"/>
      <c r="L20" s="553"/>
      <c r="M20" s="552"/>
      <c r="N20" s="553"/>
      <c r="O20" s="553"/>
      <c r="P20" s="553"/>
      <c r="Q20" s="553"/>
      <c r="R20" s="162"/>
      <c r="S20" s="162"/>
    </row>
    <row r="21" spans="3:19" hidden="1" x14ac:dyDescent="0.25">
      <c r="C21" s="17"/>
      <c r="D21" s="17"/>
      <c r="E21" s="553"/>
      <c r="F21" s="553"/>
      <c r="G21" s="553"/>
      <c r="H21" s="553"/>
      <c r="I21" s="553"/>
      <c r="J21" s="553"/>
      <c r="K21" s="553"/>
      <c r="L21" s="553"/>
      <c r="M21" s="552"/>
      <c r="N21" s="553"/>
      <c r="O21" s="553"/>
      <c r="P21" s="553"/>
      <c r="Q21" s="553"/>
      <c r="R21" s="162"/>
      <c r="S21" s="162"/>
    </row>
    <row r="22" spans="3:19" hidden="1" x14ac:dyDescent="0.25">
      <c r="C22" s="751" t="s">
        <v>190</v>
      </c>
      <c r="D22" s="752"/>
      <c r="E22" s="552">
        <f>Q98</f>
        <v>4924.55696971</v>
      </c>
      <c r="F22" s="552">
        <f>Q172</f>
        <v>5023.802170723</v>
      </c>
      <c r="G22" s="552">
        <f>Q245</f>
        <v>5234.5159954045184</v>
      </c>
      <c r="H22" s="552">
        <f>SUM(H9:H21)</f>
        <v>6075.380000000001</v>
      </c>
      <c r="I22" s="552">
        <f>Q318</f>
        <v>5436.0980228000008</v>
      </c>
      <c r="J22" s="552">
        <f>I22-H22</f>
        <v>-639.28197720000026</v>
      </c>
      <c r="K22" s="552">
        <f>SUM(K9:K21)</f>
        <v>5541.54</v>
      </c>
      <c r="L22" s="552">
        <f>SUM(E393:J393)</f>
        <v>3138.4328869999995</v>
      </c>
      <c r="M22" s="552">
        <f>SUM(K393:P393)</f>
        <v>2591.2165179999997</v>
      </c>
      <c r="N22" s="552">
        <f>L22+M22</f>
        <v>5729.6494049999992</v>
      </c>
      <c r="O22" s="552">
        <f>Q467</f>
        <v>6260.6231013166107</v>
      </c>
      <c r="P22" s="552">
        <f>Q541</f>
        <v>6839.7443171344221</v>
      </c>
      <c r="Q22" s="552">
        <f>Q615</f>
        <v>6585.4072756932865</v>
      </c>
      <c r="R22" s="161">
        <f>Q689</f>
        <v>6907.1340493535945</v>
      </c>
      <c r="S22" s="161">
        <f>Q763</f>
        <v>7250.9774084394267</v>
      </c>
    </row>
    <row r="23" spans="3:19" hidden="1" x14ac:dyDescent="0.25">
      <c r="C23" s="753" t="s">
        <v>191</v>
      </c>
      <c r="D23" s="754"/>
      <c r="E23" s="552"/>
      <c r="F23" s="552"/>
      <c r="G23" s="552"/>
      <c r="H23" s="553"/>
      <c r="I23" s="553"/>
      <c r="J23" s="553"/>
      <c r="K23" s="553"/>
      <c r="L23" s="553"/>
      <c r="M23" s="553"/>
      <c r="N23" s="553"/>
      <c r="O23" s="553"/>
      <c r="P23" s="553"/>
      <c r="Q23" s="553"/>
      <c r="R23" s="162"/>
      <c r="S23" s="162"/>
    </row>
    <row r="24" spans="3:19" hidden="1" x14ac:dyDescent="0.25">
      <c r="C24" s="17" t="s">
        <v>192</v>
      </c>
      <c r="D24" s="17" t="s">
        <v>193</v>
      </c>
      <c r="E24" s="553">
        <f t="shared" ref="E24:E34" si="13">Q100</f>
        <v>737.34099972999991</v>
      </c>
      <c r="F24" s="553">
        <f t="shared" ref="F24:F34" si="14">Q174</f>
        <v>771.63515204033104</v>
      </c>
      <c r="G24" s="553">
        <f t="shared" ref="G24:G34" si="15">Q247</f>
        <v>924.41170457999988</v>
      </c>
      <c r="H24" s="553">
        <v>960.77</v>
      </c>
      <c r="I24" s="553">
        <f t="shared" ref="I24:I34" si="16">Q320</f>
        <v>1008.1103776829033</v>
      </c>
      <c r="J24" s="550">
        <f t="shared" ref="J24:J34" si="17">I24-H24</f>
        <v>47.340377682903295</v>
      </c>
      <c r="K24" s="553">
        <v>1033.8599999999999</v>
      </c>
      <c r="L24" s="553">
        <f t="shared" ref="L24:L34" si="18">E395+F395+G395+H395+I395+J395</f>
        <v>496.53826169000001</v>
      </c>
      <c r="M24" s="554">
        <f t="shared" ref="M24:M34" si="19">K395+L395+M395+N395+O395+P395</f>
        <v>565.44682239999997</v>
      </c>
      <c r="N24" s="553">
        <f t="shared" ref="N24:N34" si="20">L24+M24</f>
        <v>1061.9850840899999</v>
      </c>
      <c r="O24" s="553">
        <f t="shared" ref="O24:O34" si="21">Q469</f>
        <v>1132.1996103125309</v>
      </c>
      <c r="P24" s="553">
        <f t="shared" ref="P24:P34" si="22">Q543</f>
        <v>1211.3663986092283</v>
      </c>
      <c r="Q24" s="553">
        <f t="shared" ref="Q24:Q34" si="23">Q617</f>
        <v>1440.3458511419983</v>
      </c>
      <c r="R24" s="162">
        <f t="shared" ref="R24:R34" si="24">Q691</f>
        <v>1573.9359532919061</v>
      </c>
      <c r="S24" s="162">
        <f t="shared" ref="S24:S34" si="25">Q765</f>
        <v>1720.6116144966729</v>
      </c>
    </row>
    <row r="25" spans="3:19" hidden="1" x14ac:dyDescent="0.25">
      <c r="C25" s="17" t="s">
        <v>194</v>
      </c>
      <c r="D25" s="17" t="s">
        <v>195</v>
      </c>
      <c r="E25" s="553">
        <f t="shared" si="13"/>
        <v>0</v>
      </c>
      <c r="F25" s="553">
        <f t="shared" si="14"/>
        <v>0</v>
      </c>
      <c r="G25" s="553">
        <f t="shared" si="15"/>
        <v>0</v>
      </c>
      <c r="H25" s="553">
        <v>0</v>
      </c>
      <c r="I25" s="553">
        <f t="shared" si="16"/>
        <v>0</v>
      </c>
      <c r="J25" s="550">
        <f t="shared" si="17"/>
        <v>0</v>
      </c>
      <c r="K25" s="553">
        <v>0</v>
      </c>
      <c r="L25" s="553">
        <f t="shared" si="18"/>
        <v>0</v>
      </c>
      <c r="M25" s="554">
        <f t="shared" si="19"/>
        <v>0</v>
      </c>
      <c r="N25" s="553">
        <f t="shared" si="20"/>
        <v>0</v>
      </c>
      <c r="O25" s="553">
        <f t="shared" si="21"/>
        <v>0</v>
      </c>
      <c r="P25" s="553">
        <f t="shared" si="22"/>
        <v>0</v>
      </c>
      <c r="Q25" s="553">
        <f t="shared" si="23"/>
        <v>0</v>
      </c>
      <c r="R25" s="162">
        <f t="shared" si="24"/>
        <v>0</v>
      </c>
      <c r="S25" s="162">
        <f t="shared" si="25"/>
        <v>0</v>
      </c>
    </row>
    <row r="26" spans="3:19" hidden="1" x14ac:dyDescent="0.25">
      <c r="C26" s="17" t="s">
        <v>233</v>
      </c>
      <c r="D26" s="17" t="s">
        <v>197</v>
      </c>
      <c r="E26" s="553">
        <f t="shared" si="13"/>
        <v>137.44894779999998</v>
      </c>
      <c r="F26" s="553">
        <f t="shared" si="14"/>
        <v>96.021826189999999</v>
      </c>
      <c r="G26" s="553">
        <f t="shared" si="15"/>
        <v>131.72737535999997</v>
      </c>
      <c r="H26" s="553">
        <v>181.27999999999997</v>
      </c>
      <c r="I26" s="553">
        <f t="shared" si="16"/>
        <v>186.77064819</v>
      </c>
      <c r="J26" s="550">
        <f t="shared" si="17"/>
        <v>5.4906481900000301</v>
      </c>
      <c r="K26" s="553">
        <v>186.97</v>
      </c>
      <c r="L26" s="553">
        <f t="shared" si="18"/>
        <v>107.20753424999999</v>
      </c>
      <c r="M26" s="554">
        <f t="shared" si="19"/>
        <v>97.071814140000015</v>
      </c>
      <c r="N26" s="553">
        <f t="shared" si="20"/>
        <v>204.27934839</v>
      </c>
      <c r="O26" s="553">
        <f t="shared" si="21"/>
        <v>228.52878712903714</v>
      </c>
      <c r="P26" s="553">
        <f t="shared" si="22"/>
        <v>252.98851961016715</v>
      </c>
      <c r="Q26" s="553">
        <f t="shared" si="23"/>
        <v>286.34447739732542</v>
      </c>
      <c r="R26" s="162">
        <f t="shared" si="24"/>
        <v>334.46597044697234</v>
      </c>
      <c r="S26" s="162">
        <f t="shared" si="25"/>
        <v>375.80330946325961</v>
      </c>
    </row>
    <row r="27" spans="3:19" hidden="1" x14ac:dyDescent="0.25">
      <c r="C27" s="17" t="s">
        <v>198</v>
      </c>
      <c r="D27" s="17" t="s">
        <v>199</v>
      </c>
      <c r="E27" s="553">
        <f t="shared" si="13"/>
        <v>0</v>
      </c>
      <c r="F27" s="553">
        <f t="shared" si="14"/>
        <v>0</v>
      </c>
      <c r="G27" s="553">
        <f t="shared" si="15"/>
        <v>1.3798000000000001E-2</v>
      </c>
      <c r="H27" s="553"/>
      <c r="I27" s="553">
        <f t="shared" si="16"/>
        <v>4.6809000000000003E-2</v>
      </c>
      <c r="J27" s="550">
        <f t="shared" si="17"/>
        <v>4.6809000000000003E-2</v>
      </c>
      <c r="K27" s="553">
        <v>0.95999999999999985</v>
      </c>
      <c r="L27" s="553">
        <f t="shared" si="18"/>
        <v>0.124945</v>
      </c>
      <c r="M27" s="554">
        <f t="shared" si="19"/>
        <v>0.14243</v>
      </c>
      <c r="N27" s="553">
        <f t="shared" si="20"/>
        <v>0.26737500000000003</v>
      </c>
      <c r="O27" s="553">
        <f t="shared" si="21"/>
        <v>0.33102660000000006</v>
      </c>
      <c r="P27" s="553">
        <f t="shared" si="22"/>
        <v>0.33764713199999996</v>
      </c>
      <c r="Q27" s="553">
        <f t="shared" si="23"/>
        <v>0.28374048899999998</v>
      </c>
      <c r="R27" s="162">
        <f t="shared" si="24"/>
        <v>0.28941529878</v>
      </c>
      <c r="S27" s="162">
        <f t="shared" si="25"/>
        <v>0.29520360475560004</v>
      </c>
    </row>
    <row r="28" spans="3:19" hidden="1" x14ac:dyDescent="0.25">
      <c r="C28" s="17" t="s">
        <v>200</v>
      </c>
      <c r="D28" s="17" t="s">
        <v>201</v>
      </c>
      <c r="E28" s="553">
        <f t="shared" si="13"/>
        <v>7.5639609999999999</v>
      </c>
      <c r="F28" s="553">
        <f t="shared" si="14"/>
        <v>6.2008020000000004</v>
      </c>
      <c r="G28" s="553">
        <f t="shared" si="15"/>
        <v>7.1447340000000006</v>
      </c>
      <c r="H28" s="553">
        <v>7.56</v>
      </c>
      <c r="I28" s="553">
        <f t="shared" si="16"/>
        <v>8.1262229999999978</v>
      </c>
      <c r="J28" s="550">
        <f t="shared" si="17"/>
        <v>0.56622299999999814</v>
      </c>
      <c r="K28" s="553">
        <v>7.82</v>
      </c>
      <c r="L28" s="553">
        <f t="shared" si="18"/>
        <v>4.5065770000000009</v>
      </c>
      <c r="M28" s="554">
        <f t="shared" si="19"/>
        <v>3.8211589999999998</v>
      </c>
      <c r="N28" s="553">
        <f t="shared" si="20"/>
        <v>8.3277360000000016</v>
      </c>
      <c r="O28" s="553">
        <f t="shared" si="21"/>
        <v>8.427113748004512</v>
      </c>
      <c r="P28" s="553">
        <f t="shared" si="22"/>
        <v>8.6112217104417219</v>
      </c>
      <c r="Q28" s="553">
        <f t="shared" si="23"/>
        <v>9.3310743020160913</v>
      </c>
      <c r="R28" s="162">
        <f t="shared" si="24"/>
        <v>9.8428476783015171</v>
      </c>
      <c r="S28" s="162">
        <f t="shared" si="25"/>
        <v>10.227445406395812</v>
      </c>
    </row>
    <row r="29" spans="3:19" hidden="1" x14ac:dyDescent="0.25">
      <c r="C29" s="17" t="s">
        <v>202</v>
      </c>
      <c r="D29" s="17" t="s">
        <v>203</v>
      </c>
      <c r="E29" s="553">
        <f t="shared" si="13"/>
        <v>28.122808889999817</v>
      </c>
      <c r="F29" s="553">
        <f t="shared" si="14"/>
        <v>33.421470570000096</v>
      </c>
      <c r="G29" s="553">
        <f t="shared" si="15"/>
        <v>24.607845999999999</v>
      </c>
      <c r="H29" s="553">
        <v>32.6</v>
      </c>
      <c r="I29" s="553">
        <f t="shared" si="16"/>
        <v>26.292896543887188</v>
      </c>
      <c r="J29" s="550">
        <f t="shared" si="17"/>
        <v>-6.307103456112813</v>
      </c>
      <c r="K29" s="553">
        <v>23.14</v>
      </c>
      <c r="L29" s="553">
        <f t="shared" si="18"/>
        <v>7.8474509999999995</v>
      </c>
      <c r="M29" s="554">
        <f t="shared" si="19"/>
        <v>17.8156161</v>
      </c>
      <c r="N29" s="553">
        <f t="shared" si="20"/>
        <v>25.663067099999999</v>
      </c>
      <c r="O29" s="553">
        <f t="shared" si="21"/>
        <v>24.5627101</v>
      </c>
      <c r="P29" s="553">
        <f t="shared" si="22"/>
        <v>25.053964301999997</v>
      </c>
      <c r="Q29" s="553">
        <f t="shared" si="23"/>
        <v>26.69985501084</v>
      </c>
      <c r="R29" s="162">
        <f t="shared" si="24"/>
        <v>27.139132637400984</v>
      </c>
      <c r="S29" s="162">
        <f t="shared" si="25"/>
        <v>27.681915290149004</v>
      </c>
    </row>
    <row r="30" spans="3:19" hidden="1" x14ac:dyDescent="0.25">
      <c r="C30" s="17" t="s">
        <v>204</v>
      </c>
      <c r="D30" s="17" t="s">
        <v>205</v>
      </c>
      <c r="E30" s="553">
        <f t="shared" si="13"/>
        <v>101.757282</v>
      </c>
      <c r="F30" s="553">
        <f t="shared" si="14"/>
        <v>136.46807845000001</v>
      </c>
      <c r="G30" s="553">
        <f t="shared" si="15"/>
        <v>142.20242599999995</v>
      </c>
      <c r="H30" s="553">
        <v>149.59</v>
      </c>
      <c r="I30" s="553">
        <f t="shared" si="16"/>
        <v>153.9593832932099</v>
      </c>
      <c r="J30" s="550">
        <f t="shared" si="17"/>
        <v>4.3693832932098928</v>
      </c>
      <c r="K30" s="553">
        <v>159.67000000000002</v>
      </c>
      <c r="L30" s="553">
        <f t="shared" si="18"/>
        <v>76.418605999999997</v>
      </c>
      <c r="M30" s="554">
        <f t="shared" si="19"/>
        <v>78.402759000000003</v>
      </c>
      <c r="N30" s="553">
        <f t="shared" si="20"/>
        <v>154.82136500000001</v>
      </c>
      <c r="O30" s="553">
        <f t="shared" si="21"/>
        <v>159.13727846161282</v>
      </c>
      <c r="P30" s="553">
        <f t="shared" si="22"/>
        <v>165.21909294276438</v>
      </c>
      <c r="Q30" s="553">
        <f t="shared" si="23"/>
        <v>177.02155855111516</v>
      </c>
      <c r="R30" s="162">
        <f t="shared" si="24"/>
        <v>184.94814977647664</v>
      </c>
      <c r="S30" s="162">
        <f t="shared" si="25"/>
        <v>191.8574891895818</v>
      </c>
    </row>
    <row r="31" spans="3:19" hidden="1" x14ac:dyDescent="0.25">
      <c r="C31" s="17" t="s">
        <v>206</v>
      </c>
      <c r="D31" s="17" t="s">
        <v>207</v>
      </c>
      <c r="E31" s="553">
        <f t="shared" si="13"/>
        <v>8.8742559999999902</v>
      </c>
      <c r="F31" s="553">
        <f t="shared" si="14"/>
        <v>8.780577280000001</v>
      </c>
      <c r="G31" s="553">
        <f t="shared" si="15"/>
        <v>8.7425749999999933</v>
      </c>
      <c r="H31" s="553">
        <v>6.2600000000000007</v>
      </c>
      <c r="I31" s="553">
        <f t="shared" si="16"/>
        <v>8.8178330000000003</v>
      </c>
      <c r="J31" s="550">
        <f t="shared" si="17"/>
        <v>2.5578329999999996</v>
      </c>
      <c r="K31" s="553">
        <v>7.73</v>
      </c>
      <c r="L31" s="553">
        <f t="shared" si="18"/>
        <v>4.745743</v>
      </c>
      <c r="M31" s="554">
        <f t="shared" si="19"/>
        <v>3.956963</v>
      </c>
      <c r="N31" s="553">
        <f t="shared" si="20"/>
        <v>8.7027059999999992</v>
      </c>
      <c r="O31" s="553">
        <f t="shared" si="21"/>
        <v>9.1093216263484411</v>
      </c>
      <c r="P31" s="553">
        <f t="shared" si="22"/>
        <v>9.2586596461890274</v>
      </c>
      <c r="Q31" s="553">
        <f t="shared" si="23"/>
        <v>9.2353812288479986</v>
      </c>
      <c r="R31" s="162">
        <f t="shared" si="24"/>
        <v>9.4200888534249607</v>
      </c>
      <c r="S31" s="162">
        <f t="shared" si="25"/>
        <v>9.6084906304934599</v>
      </c>
    </row>
    <row r="32" spans="3:19" hidden="1" x14ac:dyDescent="0.25">
      <c r="C32" s="17" t="s">
        <v>208</v>
      </c>
      <c r="D32" s="17" t="s">
        <v>187</v>
      </c>
      <c r="E32" s="553">
        <f t="shared" si="13"/>
        <v>17.383304500000005</v>
      </c>
      <c r="F32" s="553">
        <f t="shared" si="14"/>
        <v>23.736568999999999</v>
      </c>
      <c r="G32" s="553">
        <f t="shared" si="15"/>
        <v>21.262269</v>
      </c>
      <c r="H32" s="553">
        <v>20.889999999999997</v>
      </c>
      <c r="I32" s="553">
        <f t="shared" si="16"/>
        <v>26.766727999999997</v>
      </c>
      <c r="J32" s="550">
        <f t="shared" si="17"/>
        <v>5.876728</v>
      </c>
      <c r="K32" s="553">
        <v>25.330000000000002</v>
      </c>
      <c r="L32" s="553">
        <f t="shared" si="18"/>
        <v>8.7362699999999993</v>
      </c>
      <c r="M32" s="554">
        <f t="shared" si="19"/>
        <v>7.9279290000000007</v>
      </c>
      <c r="N32" s="553">
        <f t="shared" si="20"/>
        <v>16.664199</v>
      </c>
      <c r="O32" s="553">
        <f t="shared" si="21"/>
        <v>14.611284000000001</v>
      </c>
      <c r="P32" s="553">
        <f t="shared" si="22"/>
        <v>14.611284000000001</v>
      </c>
      <c r="Q32" s="553">
        <f t="shared" si="23"/>
        <v>17.684181292392001</v>
      </c>
      <c r="R32" s="162">
        <f t="shared" si="24"/>
        <v>18.037864918239844</v>
      </c>
      <c r="S32" s="162">
        <f t="shared" si="25"/>
        <v>18.39862221660464</v>
      </c>
    </row>
    <row r="33" spans="3:19" hidden="1" x14ac:dyDescent="0.25">
      <c r="C33" s="17" t="s">
        <v>209</v>
      </c>
      <c r="D33" s="17" t="s">
        <v>210</v>
      </c>
      <c r="E33" s="553">
        <f t="shared" si="13"/>
        <v>869.39208200000007</v>
      </c>
      <c r="F33" s="553">
        <f t="shared" si="14"/>
        <v>938.24700999999993</v>
      </c>
      <c r="G33" s="553">
        <f t="shared" si="15"/>
        <v>923.89959999999996</v>
      </c>
      <c r="H33" s="553">
        <v>960.47</v>
      </c>
      <c r="I33" s="553">
        <f t="shared" si="16"/>
        <v>1036.3116580000001</v>
      </c>
      <c r="J33" s="550">
        <f t="shared" si="17"/>
        <v>75.841658000000052</v>
      </c>
      <c r="K33" s="553">
        <v>965.26</v>
      </c>
      <c r="L33" s="553">
        <f t="shared" si="18"/>
        <v>479.384096</v>
      </c>
      <c r="M33" s="554">
        <f t="shared" si="19"/>
        <v>632.05247012000007</v>
      </c>
      <c r="N33" s="553">
        <f t="shared" si="20"/>
        <v>1111.43656612</v>
      </c>
      <c r="O33" s="553">
        <f t="shared" si="21"/>
        <v>1164.8637975155186</v>
      </c>
      <c r="P33" s="553">
        <f t="shared" si="22"/>
        <v>1235.0571142844228</v>
      </c>
      <c r="Q33" s="553">
        <f t="shared" si="23"/>
        <v>1302.034478041561</v>
      </c>
      <c r="R33" s="162">
        <f t="shared" si="24"/>
        <v>1394.511261030272</v>
      </c>
      <c r="S33" s="162">
        <f t="shared" si="25"/>
        <v>1479.818164920611</v>
      </c>
    </row>
    <row r="34" spans="3:19" hidden="1" x14ac:dyDescent="0.25">
      <c r="C34" s="17" t="s">
        <v>211</v>
      </c>
      <c r="D34" s="17" t="s">
        <v>189</v>
      </c>
      <c r="E34" s="553">
        <f t="shared" si="13"/>
        <v>0</v>
      </c>
      <c r="F34" s="553">
        <f t="shared" si="14"/>
        <v>0</v>
      </c>
      <c r="G34" s="553">
        <f t="shared" si="15"/>
        <v>0</v>
      </c>
      <c r="H34" s="553">
        <v>4.8400000000000007</v>
      </c>
      <c r="I34" s="553">
        <f t="shared" si="16"/>
        <v>0</v>
      </c>
      <c r="J34" s="550">
        <f t="shared" si="17"/>
        <v>-4.8400000000000007</v>
      </c>
      <c r="K34" s="553">
        <v>0</v>
      </c>
      <c r="L34" s="553">
        <f t="shared" si="18"/>
        <v>0</v>
      </c>
      <c r="M34" s="554">
        <f t="shared" si="19"/>
        <v>0</v>
      </c>
      <c r="N34" s="553">
        <f t="shared" si="20"/>
        <v>0</v>
      </c>
      <c r="O34" s="553">
        <f t="shared" si="21"/>
        <v>0</v>
      </c>
      <c r="P34" s="553">
        <f t="shared" si="22"/>
        <v>0</v>
      </c>
      <c r="Q34" s="553">
        <f t="shared" si="23"/>
        <v>0</v>
      </c>
      <c r="R34" s="162">
        <f t="shared" si="24"/>
        <v>0</v>
      </c>
      <c r="S34" s="162">
        <f t="shared" si="25"/>
        <v>0</v>
      </c>
    </row>
    <row r="35" spans="3:19" hidden="1" x14ac:dyDescent="0.25">
      <c r="C35" s="17"/>
      <c r="D35" s="17"/>
      <c r="E35" s="553"/>
      <c r="F35" s="553"/>
      <c r="G35" s="553"/>
      <c r="H35" s="553"/>
      <c r="I35" s="553"/>
      <c r="J35" s="553"/>
      <c r="K35" s="553"/>
      <c r="L35" s="553"/>
      <c r="M35" s="552"/>
      <c r="N35" s="553"/>
      <c r="O35" s="553"/>
      <c r="P35" s="553"/>
      <c r="Q35" s="553"/>
      <c r="R35" s="162"/>
      <c r="S35" s="162"/>
    </row>
    <row r="36" spans="3:19" hidden="1" x14ac:dyDescent="0.25">
      <c r="C36" s="17"/>
      <c r="D36" s="17"/>
      <c r="E36" s="553"/>
      <c r="F36" s="553"/>
      <c r="G36" s="553"/>
      <c r="H36" s="553"/>
      <c r="I36" s="553"/>
      <c r="J36" s="553"/>
      <c r="K36" s="553"/>
      <c r="L36" s="553"/>
      <c r="M36" s="552"/>
      <c r="N36" s="553"/>
      <c r="O36" s="553"/>
      <c r="P36" s="553"/>
      <c r="Q36" s="553"/>
      <c r="R36" s="162"/>
      <c r="S36" s="162"/>
    </row>
    <row r="37" spans="3:19" hidden="1" x14ac:dyDescent="0.25">
      <c r="C37" s="17"/>
      <c r="D37" s="17"/>
      <c r="E37" s="553"/>
      <c r="F37" s="553"/>
      <c r="G37" s="553"/>
      <c r="H37" s="553"/>
      <c r="I37" s="553"/>
      <c r="J37" s="553"/>
      <c r="K37" s="553"/>
      <c r="L37" s="553"/>
      <c r="M37" s="552"/>
      <c r="N37" s="553"/>
      <c r="O37" s="553"/>
      <c r="P37" s="553"/>
      <c r="Q37" s="553"/>
      <c r="R37" s="162"/>
      <c r="S37" s="162"/>
    </row>
    <row r="38" spans="3:19" hidden="1" x14ac:dyDescent="0.25">
      <c r="C38" s="17" t="s">
        <v>226</v>
      </c>
      <c r="D38" s="17"/>
      <c r="E38" s="553"/>
      <c r="F38" s="553"/>
      <c r="G38" s="553"/>
      <c r="H38" s="553"/>
      <c r="I38" s="553"/>
      <c r="J38" s="553"/>
      <c r="K38" s="553"/>
      <c r="L38" s="553"/>
      <c r="M38" s="552"/>
      <c r="N38" s="553"/>
      <c r="O38" s="553"/>
      <c r="P38" s="553"/>
      <c r="Q38" s="553"/>
      <c r="R38" s="162"/>
      <c r="S38" s="162"/>
    </row>
    <row r="39" spans="3:19" hidden="1" x14ac:dyDescent="0.25">
      <c r="C39" s="751" t="s">
        <v>212</v>
      </c>
      <c r="D39" s="752"/>
      <c r="E39" s="552">
        <f>Q115</f>
        <v>1907.8836419199997</v>
      </c>
      <c r="F39" s="552">
        <f>Q189</f>
        <v>2014.5114855303314</v>
      </c>
      <c r="G39" s="552">
        <f>Q262</f>
        <v>2184.0123279399995</v>
      </c>
      <c r="H39" s="552">
        <f>SUM(H24:H38)</f>
        <v>2324.2600000000002</v>
      </c>
      <c r="I39" s="552">
        <f>Q335</f>
        <v>2455.2025567100004</v>
      </c>
      <c r="J39" s="552">
        <f>I39-H39</f>
        <v>130.94255671000019</v>
      </c>
      <c r="K39" s="552">
        <f>SUM(K24:K38)</f>
        <v>2410.7399999999998</v>
      </c>
      <c r="L39" s="552">
        <f>SUM(E410:J410)</f>
        <v>1185.5094839400001</v>
      </c>
      <c r="M39" s="552">
        <f>SUM(K410:P410)</f>
        <v>1406.6379627599999</v>
      </c>
      <c r="N39" s="552">
        <f>L39+M39</f>
        <v>2592.1474466999998</v>
      </c>
      <c r="O39" s="552">
        <f>Q484</f>
        <v>2741.7709294930523</v>
      </c>
      <c r="P39" s="552">
        <f>Q558</f>
        <v>2922.5039022372134</v>
      </c>
      <c r="Q39" s="552">
        <f>Q632</f>
        <v>3268.9805974550964</v>
      </c>
      <c r="R39" s="161">
        <f>Q706</f>
        <v>3552.5906839317749</v>
      </c>
      <c r="S39" s="161">
        <f>Q780</f>
        <v>3834.3022552185239</v>
      </c>
    </row>
    <row r="40" spans="3:19" hidden="1" x14ac:dyDescent="0.25">
      <c r="C40" s="753" t="s">
        <v>213</v>
      </c>
      <c r="D40" s="754"/>
      <c r="E40" s="552"/>
      <c r="F40" s="552"/>
      <c r="G40" s="552"/>
      <c r="H40" s="553"/>
      <c r="I40" s="553"/>
      <c r="J40" s="553"/>
      <c r="K40" s="553"/>
      <c r="L40" s="553"/>
      <c r="M40" s="553"/>
      <c r="N40" s="553"/>
      <c r="O40" s="553"/>
      <c r="P40" s="553"/>
      <c r="Q40" s="553"/>
      <c r="R40" s="162"/>
      <c r="S40" s="162"/>
    </row>
    <row r="41" spans="3:19" hidden="1" x14ac:dyDescent="0.25">
      <c r="C41" s="17" t="s">
        <v>192</v>
      </c>
      <c r="D41" s="17" t="s">
        <v>193</v>
      </c>
      <c r="E41" s="550">
        <f t="shared" ref="E41:E51" si="26">Q117</f>
        <v>198.02280099999999</v>
      </c>
      <c r="F41" s="550">
        <f t="shared" ref="F41:F51" si="27">Q191</f>
        <v>188.21518328966886</v>
      </c>
      <c r="G41" s="550">
        <f t="shared" ref="G41:G51" si="28">Q264</f>
        <v>191.22662999000022</v>
      </c>
      <c r="H41" s="550">
        <v>177.18999999999997</v>
      </c>
      <c r="I41" s="550">
        <f t="shared" ref="I41:I51" si="29">Q337</f>
        <v>149.87280199999998</v>
      </c>
      <c r="J41" s="550">
        <f t="shared" ref="J41:J51" si="30">I41-H41</f>
        <v>-27.317197999999991</v>
      </c>
      <c r="K41" s="550">
        <v>211.36000000000004</v>
      </c>
      <c r="L41" s="550">
        <f t="shared" ref="L41:L51" si="31">E412+F412+G412+H412+I412+J412</f>
        <v>96.319538999999992</v>
      </c>
      <c r="M41" s="554">
        <f t="shared" ref="M41:M51" si="32">K412+L412+M412+N412+O412+P412</f>
        <v>99.802561689655178</v>
      </c>
      <c r="N41" s="550">
        <f t="shared" ref="N41:N51" si="33">L41+M41</f>
        <v>196.12210068965516</v>
      </c>
      <c r="O41" s="550">
        <f t="shared" ref="O41:O51" si="34">Q486</f>
        <v>218.06524917190757</v>
      </c>
      <c r="P41" s="550">
        <f t="shared" ref="P41:P51" si="35">Q560</f>
        <v>227.82383538265128</v>
      </c>
      <c r="Q41" s="550">
        <f t="shared" ref="Q41:Q51" si="36">Q634</f>
        <v>213.14582195933687</v>
      </c>
      <c r="R41" s="131">
        <f t="shared" ref="R41:R51" si="37">Q708</f>
        <v>217.82238785630665</v>
      </c>
      <c r="S41" s="131">
        <f t="shared" ref="S41:S51" si="38">Q782</f>
        <v>234.7353256973152</v>
      </c>
    </row>
    <row r="42" spans="3:19" hidden="1" x14ac:dyDescent="0.25">
      <c r="C42" s="17" t="s">
        <v>194</v>
      </c>
      <c r="D42" s="17" t="s">
        <v>195</v>
      </c>
      <c r="E42" s="550">
        <f t="shared" si="26"/>
        <v>41.513199999999998</v>
      </c>
      <c r="F42" s="550">
        <f t="shared" si="27"/>
        <v>36.980000000000004</v>
      </c>
      <c r="G42" s="550">
        <f t="shared" si="28"/>
        <v>73.175169999999994</v>
      </c>
      <c r="H42" s="550">
        <v>41.51</v>
      </c>
      <c r="I42" s="550">
        <f t="shared" si="29"/>
        <v>20.874023000000001</v>
      </c>
      <c r="J42" s="550">
        <f t="shared" si="30"/>
        <v>-20.635976999999997</v>
      </c>
      <c r="K42" s="550">
        <v>73.2</v>
      </c>
      <c r="L42" s="550">
        <f t="shared" si="31"/>
        <v>1.5709000000000001E-2</v>
      </c>
      <c r="M42" s="554">
        <f t="shared" si="32"/>
        <v>9.7999999999999997E-3</v>
      </c>
      <c r="N42" s="550">
        <f t="shared" si="33"/>
        <v>2.5509E-2</v>
      </c>
      <c r="O42" s="550">
        <f t="shared" si="34"/>
        <v>21.496200000000002</v>
      </c>
      <c r="P42" s="550">
        <f t="shared" si="35"/>
        <v>35.5944</v>
      </c>
      <c r="Q42" s="550">
        <f t="shared" si="36"/>
        <v>2.8686145950000005E-2</v>
      </c>
      <c r="R42" s="131">
        <f t="shared" si="37"/>
        <v>3.0120453247500005E-2</v>
      </c>
      <c r="S42" s="131">
        <f t="shared" si="38"/>
        <v>3.1626475909875003E-2</v>
      </c>
    </row>
    <row r="43" spans="3:19" hidden="1" x14ac:dyDescent="0.25">
      <c r="C43" s="17" t="s">
        <v>233</v>
      </c>
      <c r="D43" s="17" t="s">
        <v>197</v>
      </c>
      <c r="E43" s="550">
        <f t="shared" si="26"/>
        <v>12.117771999999999</v>
      </c>
      <c r="F43" s="550">
        <f t="shared" si="27"/>
        <v>9.5615616599999989</v>
      </c>
      <c r="G43" s="550">
        <f t="shared" si="28"/>
        <v>10.16703367</v>
      </c>
      <c r="H43" s="550">
        <v>12.98</v>
      </c>
      <c r="I43" s="550">
        <f t="shared" si="29"/>
        <v>6.2932288000000005</v>
      </c>
      <c r="J43" s="550">
        <f t="shared" si="30"/>
        <v>-6.6867711999999999</v>
      </c>
      <c r="K43" s="550">
        <v>8.52</v>
      </c>
      <c r="L43" s="550">
        <f t="shared" si="31"/>
        <v>8.6643690000000007</v>
      </c>
      <c r="M43" s="554">
        <f t="shared" si="32"/>
        <v>7.7225998000000011</v>
      </c>
      <c r="N43" s="550">
        <f t="shared" si="33"/>
        <v>16.386968800000002</v>
      </c>
      <c r="O43" s="550">
        <f t="shared" si="34"/>
        <v>16.361544896000002</v>
      </c>
      <c r="P43" s="550">
        <f t="shared" si="35"/>
        <v>16.688775793919998</v>
      </c>
      <c r="Q43" s="550">
        <f t="shared" si="36"/>
        <v>21.874498053037129</v>
      </c>
      <c r="R43" s="131">
        <f t="shared" si="37"/>
        <v>25.496869614264266</v>
      </c>
      <c r="S43" s="131">
        <f t="shared" si="38"/>
        <v>33.729471113113249</v>
      </c>
    </row>
    <row r="44" spans="3:19" hidden="1" x14ac:dyDescent="0.25">
      <c r="C44" s="17" t="s">
        <v>198</v>
      </c>
      <c r="D44" s="17" t="s">
        <v>199</v>
      </c>
      <c r="E44" s="550">
        <f t="shared" si="26"/>
        <v>0</v>
      </c>
      <c r="F44" s="550">
        <f t="shared" si="27"/>
        <v>0</v>
      </c>
      <c r="G44" s="550">
        <f t="shared" si="28"/>
        <v>0</v>
      </c>
      <c r="H44" s="550"/>
      <c r="I44" s="550">
        <f t="shared" si="29"/>
        <v>0</v>
      </c>
      <c r="J44" s="550">
        <f t="shared" si="30"/>
        <v>0</v>
      </c>
      <c r="K44" s="550">
        <v>0</v>
      </c>
      <c r="L44" s="550">
        <f t="shared" si="31"/>
        <v>0</v>
      </c>
      <c r="M44" s="554">
        <f t="shared" si="32"/>
        <v>0</v>
      </c>
      <c r="N44" s="550">
        <f t="shared" si="33"/>
        <v>0</v>
      </c>
      <c r="O44" s="550">
        <f t="shared" si="34"/>
        <v>0</v>
      </c>
      <c r="P44" s="550">
        <f t="shared" si="35"/>
        <v>0</v>
      </c>
      <c r="Q44" s="550">
        <f t="shared" si="36"/>
        <v>0</v>
      </c>
      <c r="R44" s="131">
        <f t="shared" si="37"/>
        <v>0</v>
      </c>
      <c r="S44" s="131">
        <f t="shared" si="38"/>
        <v>0</v>
      </c>
    </row>
    <row r="45" spans="3:19" hidden="1" x14ac:dyDescent="0.25">
      <c r="C45" s="17" t="s">
        <v>200</v>
      </c>
      <c r="D45" s="17" t="s">
        <v>201</v>
      </c>
      <c r="E45" s="550">
        <f t="shared" si="26"/>
        <v>0</v>
      </c>
      <c r="F45" s="550">
        <f t="shared" si="27"/>
        <v>0</v>
      </c>
      <c r="G45" s="550">
        <f t="shared" si="28"/>
        <v>0</v>
      </c>
      <c r="H45" s="550">
        <v>0</v>
      </c>
      <c r="I45" s="550">
        <f t="shared" si="29"/>
        <v>0</v>
      </c>
      <c r="J45" s="550">
        <f t="shared" si="30"/>
        <v>0</v>
      </c>
      <c r="K45" s="550">
        <v>0</v>
      </c>
      <c r="L45" s="550">
        <f t="shared" si="31"/>
        <v>0</v>
      </c>
      <c r="M45" s="554">
        <f t="shared" si="32"/>
        <v>0</v>
      </c>
      <c r="N45" s="550">
        <f t="shared" si="33"/>
        <v>0</v>
      </c>
      <c r="O45" s="550">
        <f t="shared" si="34"/>
        <v>0</v>
      </c>
      <c r="P45" s="550">
        <f t="shared" si="35"/>
        <v>0</v>
      </c>
      <c r="Q45" s="550">
        <f t="shared" si="36"/>
        <v>0</v>
      </c>
      <c r="R45" s="131">
        <f t="shared" si="37"/>
        <v>0</v>
      </c>
      <c r="S45" s="131">
        <f t="shared" si="38"/>
        <v>0</v>
      </c>
    </row>
    <row r="46" spans="3:19" hidden="1" x14ac:dyDescent="0.25">
      <c r="C46" s="17" t="s">
        <v>202</v>
      </c>
      <c r="D46" s="17" t="s">
        <v>203</v>
      </c>
      <c r="E46" s="550">
        <f t="shared" si="26"/>
        <v>46.506515</v>
      </c>
      <c r="F46" s="550">
        <f t="shared" si="27"/>
        <v>32.235446000000003</v>
      </c>
      <c r="G46" s="550">
        <f t="shared" si="28"/>
        <v>20.844038009999799</v>
      </c>
      <c r="H46" s="550">
        <v>46.52</v>
      </c>
      <c r="I46" s="550">
        <f t="shared" si="29"/>
        <v>17.657430000000002</v>
      </c>
      <c r="J46" s="550">
        <f t="shared" si="30"/>
        <v>-28.862570000000002</v>
      </c>
      <c r="K46" s="550">
        <v>15.120000000000001</v>
      </c>
      <c r="L46" s="550">
        <f t="shared" si="31"/>
        <v>11.066319999999999</v>
      </c>
      <c r="M46" s="554">
        <f t="shared" si="32"/>
        <v>21.526029999999999</v>
      </c>
      <c r="N46" s="550">
        <f t="shared" si="33"/>
        <v>32.592349999999996</v>
      </c>
      <c r="O46" s="550">
        <f t="shared" si="34"/>
        <v>30.280639999999998</v>
      </c>
      <c r="P46" s="550">
        <f t="shared" si="35"/>
        <v>30.886252800000001</v>
      </c>
      <c r="Q46" s="550">
        <f t="shared" si="36"/>
        <v>33.449704075158486</v>
      </c>
      <c r="R46" s="131">
        <f t="shared" si="37"/>
        <v>36.768368929008226</v>
      </c>
      <c r="S46" s="131">
        <f t="shared" si="38"/>
        <v>42.577851111604176</v>
      </c>
    </row>
    <row r="47" spans="3:19" hidden="1" x14ac:dyDescent="0.25">
      <c r="C47" s="17" t="s">
        <v>204</v>
      </c>
      <c r="D47" s="17" t="s">
        <v>205</v>
      </c>
      <c r="E47" s="550">
        <f t="shared" si="26"/>
        <v>219.20433600000001</v>
      </c>
      <c r="F47" s="550">
        <f t="shared" si="27"/>
        <v>288.16142299999996</v>
      </c>
      <c r="G47" s="550">
        <f t="shared" si="28"/>
        <v>326.27917000000002</v>
      </c>
      <c r="H47" s="550">
        <v>335.02000000000004</v>
      </c>
      <c r="I47" s="550">
        <f t="shared" si="29"/>
        <v>353.91273201387082</v>
      </c>
      <c r="J47" s="550">
        <f t="shared" si="30"/>
        <v>18.892732013870784</v>
      </c>
      <c r="K47" s="550">
        <v>359.9</v>
      </c>
      <c r="L47" s="550">
        <f t="shared" si="31"/>
        <v>172.5194185</v>
      </c>
      <c r="M47" s="554">
        <f t="shared" si="32"/>
        <v>184.49868100000003</v>
      </c>
      <c r="N47" s="550">
        <f t="shared" si="33"/>
        <v>357.01809950000006</v>
      </c>
      <c r="O47" s="550">
        <f t="shared" si="34"/>
        <v>373.59901052227264</v>
      </c>
      <c r="P47" s="550">
        <f t="shared" si="35"/>
        <v>383.84906110650508</v>
      </c>
      <c r="Q47" s="550">
        <f t="shared" si="36"/>
        <v>424.23490935928697</v>
      </c>
      <c r="R47" s="131">
        <f t="shared" si="37"/>
        <v>447.10529540543354</v>
      </c>
      <c r="S47" s="131">
        <f t="shared" si="38"/>
        <v>468.50317559635221</v>
      </c>
    </row>
    <row r="48" spans="3:19" hidden="1" x14ac:dyDescent="0.25">
      <c r="C48" s="17" t="s">
        <v>206</v>
      </c>
      <c r="D48" s="17" t="s">
        <v>207</v>
      </c>
      <c r="E48" s="550">
        <f t="shared" si="26"/>
        <v>42.001640000000002</v>
      </c>
      <c r="F48" s="550">
        <f t="shared" si="27"/>
        <v>42.572733999999997</v>
      </c>
      <c r="G48" s="550">
        <f t="shared" si="28"/>
        <v>29.980094000000001</v>
      </c>
      <c r="H48" s="550">
        <v>44.47</v>
      </c>
      <c r="I48" s="550">
        <f t="shared" si="29"/>
        <v>25.634124</v>
      </c>
      <c r="J48" s="550">
        <f t="shared" si="30"/>
        <v>-18.835875999999999</v>
      </c>
      <c r="K48" s="550">
        <v>20.599999999999998</v>
      </c>
      <c r="L48" s="550">
        <f t="shared" si="31"/>
        <v>20.411939</v>
      </c>
      <c r="M48" s="554">
        <f t="shared" si="32"/>
        <v>10.872506896551725</v>
      </c>
      <c r="N48" s="550">
        <f t="shared" si="33"/>
        <v>31.284445896551723</v>
      </c>
      <c r="O48" s="550">
        <f t="shared" si="34"/>
        <v>33.934072896551719</v>
      </c>
      <c r="P48" s="550">
        <f t="shared" si="35"/>
        <v>34.61275435448276</v>
      </c>
      <c r="Q48" s="550">
        <f t="shared" si="36"/>
        <v>33.199304260987866</v>
      </c>
      <c r="R48" s="131">
        <f t="shared" si="37"/>
        <v>33.86329034620762</v>
      </c>
      <c r="S48" s="131">
        <f t="shared" si="38"/>
        <v>35.802329813602</v>
      </c>
    </row>
    <row r="49" spans="3:19" hidden="1" x14ac:dyDescent="0.25">
      <c r="C49" s="17" t="s">
        <v>214</v>
      </c>
      <c r="D49" s="17" t="s">
        <v>187</v>
      </c>
      <c r="E49" s="550">
        <f t="shared" si="26"/>
        <v>9.0094639999999995</v>
      </c>
      <c r="F49" s="550">
        <f t="shared" si="27"/>
        <v>13.066459999999999</v>
      </c>
      <c r="G49" s="550">
        <f t="shared" si="28"/>
        <v>12.2471535</v>
      </c>
      <c r="H49" s="550">
        <v>14.809999999999999</v>
      </c>
      <c r="I49" s="550">
        <f t="shared" si="29"/>
        <v>3.6492490000000002</v>
      </c>
      <c r="J49" s="550">
        <f t="shared" si="30"/>
        <v>-11.160750999999998</v>
      </c>
      <c r="K49" s="550">
        <v>3.31</v>
      </c>
      <c r="L49" s="550">
        <f t="shared" si="31"/>
        <v>2.8885559999999999</v>
      </c>
      <c r="M49" s="554">
        <f t="shared" si="32"/>
        <v>4.1337450000000002</v>
      </c>
      <c r="N49" s="550">
        <f t="shared" si="33"/>
        <v>7.0223010000000006</v>
      </c>
      <c r="O49" s="550">
        <f t="shared" si="34"/>
        <v>8.1475419000000002</v>
      </c>
      <c r="P49" s="550">
        <f t="shared" si="35"/>
        <v>8.3104927379999989</v>
      </c>
      <c r="Q49" s="550">
        <f t="shared" si="36"/>
        <v>7.4521219996079999</v>
      </c>
      <c r="R49" s="131">
        <f t="shared" si="37"/>
        <v>7.6011644396001605</v>
      </c>
      <c r="S49" s="131">
        <f t="shared" si="38"/>
        <v>8.8026909362566617</v>
      </c>
    </row>
    <row r="50" spans="3:19" hidden="1" x14ac:dyDescent="0.25">
      <c r="C50" s="17" t="s">
        <v>209</v>
      </c>
      <c r="D50" s="17" t="s">
        <v>210</v>
      </c>
      <c r="E50" s="550">
        <f t="shared" si="26"/>
        <v>0</v>
      </c>
      <c r="F50" s="550">
        <f t="shared" si="27"/>
        <v>0</v>
      </c>
      <c r="G50" s="550">
        <f t="shared" si="28"/>
        <v>0</v>
      </c>
      <c r="H50" s="550">
        <v>0</v>
      </c>
      <c r="I50" s="550">
        <f t="shared" si="29"/>
        <v>0</v>
      </c>
      <c r="J50" s="550">
        <f t="shared" si="30"/>
        <v>0</v>
      </c>
      <c r="K50" s="550">
        <v>0</v>
      </c>
      <c r="L50" s="550">
        <f t="shared" si="31"/>
        <v>0</v>
      </c>
      <c r="M50" s="554">
        <f t="shared" si="32"/>
        <v>0</v>
      </c>
      <c r="N50" s="550">
        <f t="shared" si="33"/>
        <v>0</v>
      </c>
      <c r="O50" s="550">
        <f t="shared" si="34"/>
        <v>0</v>
      </c>
      <c r="P50" s="550">
        <f t="shared" si="35"/>
        <v>0</v>
      </c>
      <c r="Q50" s="550">
        <f t="shared" si="36"/>
        <v>0</v>
      </c>
      <c r="R50" s="131">
        <f t="shared" si="37"/>
        <v>0</v>
      </c>
      <c r="S50" s="131">
        <f t="shared" si="38"/>
        <v>0</v>
      </c>
    </row>
    <row r="51" spans="3:19" hidden="1" x14ac:dyDescent="0.25">
      <c r="C51" s="17" t="s">
        <v>211</v>
      </c>
      <c r="D51" s="17" t="s">
        <v>189</v>
      </c>
      <c r="E51" s="550">
        <f t="shared" si="26"/>
        <v>0</v>
      </c>
      <c r="F51" s="550">
        <f t="shared" si="27"/>
        <v>0</v>
      </c>
      <c r="G51" s="550">
        <f t="shared" si="28"/>
        <v>0</v>
      </c>
      <c r="H51" s="550">
        <v>0</v>
      </c>
      <c r="I51" s="550">
        <f t="shared" si="29"/>
        <v>0</v>
      </c>
      <c r="J51" s="550">
        <f t="shared" si="30"/>
        <v>0</v>
      </c>
      <c r="K51" s="550">
        <v>0</v>
      </c>
      <c r="L51" s="550">
        <f t="shared" si="31"/>
        <v>0</v>
      </c>
      <c r="M51" s="554">
        <f t="shared" si="32"/>
        <v>0</v>
      </c>
      <c r="N51" s="550">
        <f t="shared" si="33"/>
        <v>0</v>
      </c>
      <c r="O51" s="550">
        <f t="shared" si="34"/>
        <v>8.9069599999999998</v>
      </c>
      <c r="P51" s="550">
        <f t="shared" si="35"/>
        <v>39.244800000000005</v>
      </c>
      <c r="Q51" s="550">
        <f t="shared" si="36"/>
        <v>84.621599999999987</v>
      </c>
      <c r="R51" s="131">
        <f t="shared" si="37"/>
        <v>84.621599999999987</v>
      </c>
      <c r="S51" s="131">
        <f t="shared" si="38"/>
        <v>84.621599999999987</v>
      </c>
    </row>
    <row r="52" spans="3:19" hidden="1" x14ac:dyDescent="0.25">
      <c r="C52" s="17"/>
      <c r="D52" s="17"/>
      <c r="E52" s="553"/>
      <c r="F52" s="553"/>
      <c r="G52" s="553"/>
      <c r="H52" s="553"/>
      <c r="I52" s="553"/>
      <c r="J52" s="553"/>
      <c r="K52" s="553"/>
      <c r="L52" s="553"/>
      <c r="M52" s="552"/>
      <c r="N52" s="553"/>
      <c r="O52" s="553"/>
      <c r="P52" s="553"/>
      <c r="Q52" s="553"/>
      <c r="R52" s="162"/>
      <c r="S52" s="162"/>
    </row>
    <row r="53" spans="3:19" hidden="1" x14ac:dyDescent="0.25">
      <c r="C53" s="17"/>
      <c r="D53" s="17"/>
      <c r="E53" s="553"/>
      <c r="F53" s="553"/>
      <c r="G53" s="553"/>
      <c r="H53" s="553"/>
      <c r="I53" s="553"/>
      <c r="J53" s="553"/>
      <c r="K53" s="553"/>
      <c r="L53" s="553"/>
      <c r="M53" s="552"/>
      <c r="N53" s="553"/>
      <c r="O53" s="553"/>
      <c r="P53" s="553"/>
      <c r="Q53" s="553"/>
      <c r="R53" s="162"/>
      <c r="S53" s="162"/>
    </row>
    <row r="54" spans="3:19" hidden="1" x14ac:dyDescent="0.25">
      <c r="C54" s="17"/>
      <c r="D54" s="17"/>
      <c r="E54" s="553"/>
      <c r="F54" s="553"/>
      <c r="G54" s="553"/>
      <c r="H54" s="553"/>
      <c r="I54" s="553"/>
      <c r="J54" s="553"/>
      <c r="K54" s="553"/>
      <c r="L54" s="553"/>
      <c r="M54" s="552"/>
      <c r="N54" s="553"/>
      <c r="O54" s="553"/>
      <c r="P54" s="553"/>
      <c r="Q54" s="553"/>
      <c r="R54" s="162"/>
      <c r="S54" s="162"/>
    </row>
    <row r="55" spans="3:19" hidden="1" x14ac:dyDescent="0.25">
      <c r="C55" s="17"/>
      <c r="D55" s="17"/>
      <c r="E55" s="553"/>
      <c r="F55" s="553"/>
      <c r="G55" s="553"/>
      <c r="H55" s="553"/>
      <c r="I55" s="553"/>
      <c r="J55" s="553"/>
      <c r="K55" s="553"/>
      <c r="L55" s="553"/>
      <c r="M55" s="552"/>
      <c r="N55" s="553"/>
      <c r="O55" s="553"/>
      <c r="P55" s="553"/>
      <c r="Q55" s="553"/>
      <c r="R55" s="162"/>
      <c r="S55" s="162"/>
    </row>
    <row r="56" spans="3:19" hidden="1" x14ac:dyDescent="0.25">
      <c r="C56" s="751" t="s">
        <v>212</v>
      </c>
      <c r="D56" s="752"/>
      <c r="E56" s="552">
        <f>Q132</f>
        <v>568.37572799999998</v>
      </c>
      <c r="F56" s="552">
        <f>Q206</f>
        <v>610.79280794966894</v>
      </c>
      <c r="G56" s="552">
        <f>Q279</f>
        <v>663.91928917000007</v>
      </c>
      <c r="H56" s="552">
        <f>SUM(H41:H55)</f>
        <v>672.5</v>
      </c>
      <c r="I56" s="552">
        <f>Q352</f>
        <v>577.89358881387068</v>
      </c>
      <c r="J56" s="552">
        <f>I56-H56</f>
        <v>-94.606411186129321</v>
      </c>
      <c r="K56" s="552">
        <f>SUM(K41:K55)</f>
        <v>692.01</v>
      </c>
      <c r="L56" s="552">
        <f>SUM(E427:J427)</f>
        <v>311.8858505</v>
      </c>
      <c r="M56" s="552">
        <f>SUM(K427:P427)</f>
        <v>328.56592438620692</v>
      </c>
      <c r="N56" s="552">
        <f>L56+M56</f>
        <v>640.45177488620698</v>
      </c>
      <c r="O56" s="552">
        <f>Q501</f>
        <v>710.79121938673188</v>
      </c>
      <c r="P56" s="552">
        <f>Q575</f>
        <v>777.01037217555904</v>
      </c>
      <c r="Q56" s="552">
        <f>Q649</f>
        <v>818.00664585336528</v>
      </c>
      <c r="R56" s="161">
        <f>Q723</f>
        <v>853.30909704406793</v>
      </c>
      <c r="S56" s="161">
        <f>Q797</f>
        <v>908.80407074415348</v>
      </c>
    </row>
    <row r="57" spans="3:19" hidden="1" x14ac:dyDescent="0.25">
      <c r="C57" s="753" t="s">
        <v>215</v>
      </c>
      <c r="D57" s="754"/>
      <c r="E57" s="552"/>
      <c r="F57" s="552"/>
      <c r="G57" s="552"/>
      <c r="H57" s="553"/>
      <c r="I57" s="553"/>
      <c r="J57" s="553"/>
      <c r="K57" s="553"/>
      <c r="L57" s="553"/>
      <c r="M57" s="553"/>
      <c r="N57" s="553"/>
      <c r="O57" s="553"/>
      <c r="P57" s="553"/>
      <c r="Q57" s="553"/>
      <c r="R57" s="162"/>
      <c r="S57" s="162"/>
    </row>
    <row r="58" spans="3:19" hidden="1" x14ac:dyDescent="0.25">
      <c r="C58" s="17" t="s">
        <v>192</v>
      </c>
      <c r="D58" s="17" t="s">
        <v>193</v>
      </c>
      <c r="E58" s="550">
        <f t="shared" ref="E58:E70" si="39">Q134</f>
        <v>874.00927335999995</v>
      </c>
      <c r="F58" s="550">
        <f t="shared" ref="F58:F70" si="40">Q208</f>
        <v>807.11652592999997</v>
      </c>
      <c r="G58" s="550">
        <f>Q281</f>
        <v>726.16495236325181</v>
      </c>
      <c r="H58" s="550">
        <v>610.81999999999994</v>
      </c>
      <c r="I58" s="550">
        <f t="shared" ref="I58:I70" si="41">Q354</f>
        <v>725.85691896000003</v>
      </c>
      <c r="J58" s="550">
        <f t="shared" ref="J58:J70" si="42">I58-H58</f>
        <v>115.03691896000009</v>
      </c>
      <c r="K58" s="550">
        <v>651.84</v>
      </c>
      <c r="L58" s="550">
        <f t="shared" ref="L58:L70" si="43">E429+F429+G429+H429+I429+J429</f>
        <v>318.54811396000002</v>
      </c>
      <c r="M58" s="554">
        <f t="shared" ref="M58:M70" si="44">K429+L429+M429+N429+O429+P429</f>
        <v>329.99426997034482</v>
      </c>
      <c r="N58" s="550">
        <f t="shared" ref="N58:N70" si="45">L58+M58</f>
        <v>648.54238393034484</v>
      </c>
      <c r="O58" s="550">
        <f t="shared" ref="O58:O70" si="46">Q503</f>
        <v>636.17033567570832</v>
      </c>
      <c r="P58" s="550">
        <f t="shared" ref="P58:P70" si="47">Q577</f>
        <v>647.89480280865871</v>
      </c>
      <c r="Q58" s="550">
        <f t="shared" ref="Q58:Q70" si="48">Q651</f>
        <v>685.6448742211245</v>
      </c>
      <c r="R58" s="131">
        <f t="shared" ref="R58:R70" si="49">Q725</f>
        <v>699.35777170554718</v>
      </c>
      <c r="S58" s="131">
        <f t="shared" ref="S58:S70" si="50">Q799</f>
        <v>710.51557065977897</v>
      </c>
    </row>
    <row r="59" spans="3:19" hidden="1" x14ac:dyDescent="0.25">
      <c r="C59" s="17" t="s">
        <v>194</v>
      </c>
      <c r="D59" s="17" t="s">
        <v>195</v>
      </c>
      <c r="E59" s="550">
        <f t="shared" si="39"/>
        <v>0</v>
      </c>
      <c r="F59" s="550">
        <f t="shared" si="40"/>
        <v>0</v>
      </c>
      <c r="G59" s="550">
        <f>Q282</f>
        <v>0</v>
      </c>
      <c r="H59" s="550">
        <v>0</v>
      </c>
      <c r="I59" s="550">
        <f t="shared" si="41"/>
        <v>0</v>
      </c>
      <c r="J59" s="550">
        <f t="shared" si="42"/>
        <v>0</v>
      </c>
      <c r="K59" s="550">
        <v>0</v>
      </c>
      <c r="L59" s="550">
        <f t="shared" si="43"/>
        <v>0</v>
      </c>
      <c r="M59" s="554">
        <f t="shared" si="44"/>
        <v>0</v>
      </c>
      <c r="N59" s="550">
        <f t="shared" si="45"/>
        <v>0</v>
      </c>
      <c r="O59" s="550">
        <f t="shared" si="46"/>
        <v>0</v>
      </c>
      <c r="P59" s="550">
        <f t="shared" si="47"/>
        <v>0</v>
      </c>
      <c r="Q59" s="550">
        <f t="shared" si="48"/>
        <v>0</v>
      </c>
      <c r="R59" s="131">
        <f t="shared" si="49"/>
        <v>0</v>
      </c>
      <c r="S59" s="131">
        <f t="shared" si="50"/>
        <v>0</v>
      </c>
    </row>
    <row r="60" spans="3:19" hidden="1" x14ac:dyDescent="0.25">
      <c r="C60" s="17" t="s">
        <v>233</v>
      </c>
      <c r="D60" s="17" t="s">
        <v>197</v>
      </c>
      <c r="E60" s="550">
        <f t="shared" si="39"/>
        <v>4.1318499999999991</v>
      </c>
      <c r="F60" s="550">
        <f t="shared" si="40"/>
        <v>8.9341780700000069</v>
      </c>
      <c r="G60" s="550">
        <f>Q283</f>
        <v>4.341467999999999</v>
      </c>
      <c r="H60" s="550">
        <v>7.84</v>
      </c>
      <c r="I60" s="550">
        <f t="shared" si="41"/>
        <v>6.9317329999999995</v>
      </c>
      <c r="J60" s="550">
        <f t="shared" si="42"/>
        <v>-0.90826700000000038</v>
      </c>
      <c r="K60" s="550">
        <v>3.06</v>
      </c>
      <c r="L60" s="550">
        <f t="shared" si="43"/>
        <v>3.5634670000000011</v>
      </c>
      <c r="M60" s="554">
        <f t="shared" si="44"/>
        <v>2.0716000000000001</v>
      </c>
      <c r="N60" s="550">
        <f t="shared" si="45"/>
        <v>5.6350670000000012</v>
      </c>
      <c r="O60" s="550">
        <f t="shared" si="46"/>
        <v>4.5793999999999997</v>
      </c>
      <c r="P60" s="550">
        <f t="shared" si="47"/>
        <v>4.6745669736802009</v>
      </c>
      <c r="Q60" s="550">
        <f t="shared" si="48"/>
        <v>6.3305889927781047</v>
      </c>
      <c r="R60" s="131">
        <f t="shared" si="49"/>
        <v>6.8266183076527565</v>
      </c>
      <c r="S60" s="131">
        <f t="shared" si="50"/>
        <v>6.9631506738058109</v>
      </c>
    </row>
    <row r="61" spans="3:19" hidden="1" x14ac:dyDescent="0.25">
      <c r="C61" s="17" t="s">
        <v>198</v>
      </c>
      <c r="D61" s="17" t="s">
        <v>199</v>
      </c>
      <c r="E61" s="550">
        <f t="shared" si="39"/>
        <v>0</v>
      </c>
      <c r="F61" s="550">
        <f t="shared" si="40"/>
        <v>0</v>
      </c>
      <c r="G61" s="550">
        <f>Q284</f>
        <v>0</v>
      </c>
      <c r="H61" s="550"/>
      <c r="I61" s="550">
        <f t="shared" si="41"/>
        <v>0</v>
      </c>
      <c r="J61" s="550">
        <f t="shared" si="42"/>
        <v>0</v>
      </c>
      <c r="K61" s="550">
        <v>0</v>
      </c>
      <c r="L61" s="550">
        <f t="shared" si="43"/>
        <v>0</v>
      </c>
      <c r="M61" s="554">
        <f t="shared" si="44"/>
        <v>0</v>
      </c>
      <c r="N61" s="550">
        <f t="shared" si="45"/>
        <v>0</v>
      </c>
      <c r="O61" s="550">
        <f t="shared" si="46"/>
        <v>0</v>
      </c>
      <c r="P61" s="550">
        <f t="shared" si="47"/>
        <v>0</v>
      </c>
      <c r="Q61" s="550">
        <f t="shared" si="48"/>
        <v>0</v>
      </c>
      <c r="R61" s="131">
        <f t="shared" si="49"/>
        <v>0</v>
      </c>
      <c r="S61" s="131">
        <f t="shared" si="50"/>
        <v>0</v>
      </c>
    </row>
    <row r="62" spans="3:19" hidden="1" x14ac:dyDescent="0.25">
      <c r="C62" s="17" t="s">
        <v>200</v>
      </c>
      <c r="D62" s="17" t="s">
        <v>201</v>
      </c>
      <c r="E62" s="550">
        <f t="shared" si="39"/>
        <v>0</v>
      </c>
      <c r="F62" s="550">
        <f t="shared" si="40"/>
        <v>0</v>
      </c>
      <c r="G62" s="550">
        <f>Q284</f>
        <v>0</v>
      </c>
      <c r="H62" s="550">
        <v>0</v>
      </c>
      <c r="I62" s="550">
        <f t="shared" si="41"/>
        <v>0</v>
      </c>
      <c r="J62" s="550">
        <f t="shared" si="42"/>
        <v>0</v>
      </c>
      <c r="K62" s="550">
        <v>0</v>
      </c>
      <c r="L62" s="550">
        <f t="shared" si="43"/>
        <v>0</v>
      </c>
      <c r="M62" s="554">
        <f t="shared" si="44"/>
        <v>0</v>
      </c>
      <c r="N62" s="550">
        <f t="shared" si="45"/>
        <v>0</v>
      </c>
      <c r="O62" s="550">
        <f t="shared" si="46"/>
        <v>0</v>
      </c>
      <c r="P62" s="550">
        <f t="shared" si="47"/>
        <v>0</v>
      </c>
      <c r="Q62" s="550">
        <f t="shared" si="48"/>
        <v>0</v>
      </c>
      <c r="R62" s="131">
        <f t="shared" si="49"/>
        <v>0</v>
      </c>
      <c r="S62" s="131">
        <f t="shared" si="50"/>
        <v>0</v>
      </c>
    </row>
    <row r="63" spans="3:19" hidden="1" x14ac:dyDescent="0.25">
      <c r="C63" s="17" t="s">
        <v>202</v>
      </c>
      <c r="D63" s="17" t="s">
        <v>234</v>
      </c>
      <c r="E63" s="550">
        <f t="shared" si="39"/>
        <v>2601.4660939999999</v>
      </c>
      <c r="F63" s="550">
        <f t="shared" si="40"/>
        <v>1892.3878540400001</v>
      </c>
      <c r="G63" s="550">
        <f t="shared" ref="G63:G70" si="51">Q286</f>
        <v>1792.6457255699997</v>
      </c>
      <c r="H63" s="550">
        <v>3149.06</v>
      </c>
      <c r="I63" s="550">
        <f t="shared" si="41"/>
        <v>1489.6604848500001</v>
      </c>
      <c r="J63" s="550">
        <f t="shared" si="42"/>
        <v>-1659.3995151499998</v>
      </c>
      <c r="K63" s="550">
        <v>2755.5899999999997</v>
      </c>
      <c r="L63" s="550">
        <f t="shared" si="43"/>
        <v>657.28132985000002</v>
      </c>
      <c r="M63" s="554">
        <f t="shared" si="44"/>
        <v>634.54514280000001</v>
      </c>
      <c r="N63" s="550">
        <f t="shared" si="45"/>
        <v>1291.8264726500001</v>
      </c>
      <c r="O63" s="550">
        <f t="shared" si="46"/>
        <v>1495.4519178</v>
      </c>
      <c r="P63" s="550">
        <f t="shared" si="47"/>
        <v>1525.3609561559997</v>
      </c>
      <c r="Q63" s="550">
        <f t="shared" si="48"/>
        <v>1344.01626214506</v>
      </c>
      <c r="R63" s="131">
        <f t="shared" si="49"/>
        <v>1370.8965873879613</v>
      </c>
      <c r="S63" s="131">
        <f t="shared" si="50"/>
        <v>1398.3145191357207</v>
      </c>
    </row>
    <row r="64" spans="3:19" hidden="1" x14ac:dyDescent="0.25">
      <c r="C64" s="17" t="s">
        <v>204</v>
      </c>
      <c r="D64" s="17" t="s">
        <v>216</v>
      </c>
      <c r="E64" s="550">
        <f t="shared" si="39"/>
        <v>22.292423999999997</v>
      </c>
      <c r="F64" s="550">
        <f t="shared" si="40"/>
        <v>24.280632000000004</v>
      </c>
      <c r="G64" s="550">
        <f t="shared" si="51"/>
        <v>26.203427999999999</v>
      </c>
      <c r="H64" s="550">
        <v>28.1</v>
      </c>
      <c r="I64" s="550">
        <f t="shared" si="41"/>
        <v>27.193080692919366</v>
      </c>
      <c r="J64" s="550">
        <f t="shared" si="42"/>
        <v>-0.90691930708063495</v>
      </c>
      <c r="K64" s="550">
        <v>27.29</v>
      </c>
      <c r="L64" s="550">
        <f t="shared" si="43"/>
        <v>13.788945999999999</v>
      </c>
      <c r="M64" s="554">
        <f t="shared" si="44"/>
        <v>14.172048</v>
      </c>
      <c r="N64" s="550">
        <f t="shared" si="45"/>
        <v>27.960993999999999</v>
      </c>
      <c r="O64" s="550">
        <f t="shared" si="46"/>
        <v>28.955158336102667</v>
      </c>
      <c r="P64" s="550">
        <f t="shared" si="47"/>
        <v>29.878563282553817</v>
      </c>
      <c r="Q64" s="550">
        <f t="shared" si="48"/>
        <v>31.611248268170151</v>
      </c>
      <c r="R64" s="131">
        <f t="shared" si="49"/>
        <v>32.819983067757079</v>
      </c>
      <c r="S64" s="131">
        <f t="shared" si="50"/>
        <v>34.078019014718699</v>
      </c>
    </row>
    <row r="65" spans="3:19" hidden="1" x14ac:dyDescent="0.25">
      <c r="C65" s="17" t="s">
        <v>217</v>
      </c>
      <c r="D65" s="17" t="s">
        <v>218</v>
      </c>
      <c r="E65" s="550">
        <f t="shared" si="39"/>
        <v>447.08830330000006</v>
      </c>
      <c r="F65" s="550">
        <f t="shared" si="40"/>
        <v>318.48676180000001</v>
      </c>
      <c r="G65" s="550">
        <f t="shared" si="51"/>
        <v>482.07343629999997</v>
      </c>
      <c r="H65" s="550">
        <v>480.49</v>
      </c>
      <c r="I65" s="550">
        <f t="shared" si="41"/>
        <v>570.660169</v>
      </c>
      <c r="J65" s="550">
        <f t="shared" si="42"/>
        <v>90.170168999999987</v>
      </c>
      <c r="K65" s="550">
        <v>547.58000000000004</v>
      </c>
      <c r="L65" s="550">
        <f t="shared" si="43"/>
        <v>302.90057139999999</v>
      </c>
      <c r="M65" s="554">
        <f t="shared" si="44"/>
        <v>310.77146099999999</v>
      </c>
      <c r="N65" s="550">
        <f t="shared" si="45"/>
        <v>613.67203240000003</v>
      </c>
      <c r="O65" s="550">
        <f t="shared" si="46"/>
        <v>641.87810260874801</v>
      </c>
      <c r="P65" s="550">
        <f t="shared" si="47"/>
        <v>680.75377750250368</v>
      </c>
      <c r="Q65" s="550">
        <f t="shared" si="48"/>
        <v>839.93464331164364</v>
      </c>
      <c r="R65" s="131">
        <f t="shared" si="49"/>
        <v>938.58142015725548</v>
      </c>
      <c r="S65" s="131">
        <f t="shared" si="50"/>
        <v>1036.7900752775961</v>
      </c>
    </row>
    <row r="66" spans="3:19" ht="13.5" hidden="1" customHeight="1" x14ac:dyDescent="0.25">
      <c r="C66" s="17" t="s">
        <v>235</v>
      </c>
      <c r="D66" s="17" t="s">
        <v>236</v>
      </c>
      <c r="E66" s="550">
        <f t="shared" si="39"/>
        <v>0</v>
      </c>
      <c r="F66" s="550">
        <f t="shared" si="40"/>
        <v>0</v>
      </c>
      <c r="G66" s="550">
        <f t="shared" si="51"/>
        <v>0</v>
      </c>
      <c r="H66" s="550">
        <v>0</v>
      </c>
      <c r="I66" s="550">
        <f t="shared" si="41"/>
        <v>0</v>
      </c>
      <c r="J66" s="550">
        <f t="shared" si="42"/>
        <v>0</v>
      </c>
      <c r="K66" s="550">
        <v>0</v>
      </c>
      <c r="L66" s="550">
        <f t="shared" si="43"/>
        <v>0</v>
      </c>
      <c r="M66" s="554">
        <f t="shared" si="44"/>
        <v>0</v>
      </c>
      <c r="N66" s="550">
        <f t="shared" si="45"/>
        <v>0</v>
      </c>
      <c r="O66" s="550">
        <f t="shared" si="46"/>
        <v>0</v>
      </c>
      <c r="P66" s="550">
        <f t="shared" si="47"/>
        <v>0</v>
      </c>
      <c r="Q66" s="550">
        <f t="shared" si="48"/>
        <v>0</v>
      </c>
      <c r="R66" s="131">
        <f t="shared" si="49"/>
        <v>0</v>
      </c>
      <c r="S66" s="131">
        <f t="shared" si="50"/>
        <v>0</v>
      </c>
    </row>
    <row r="67" spans="3:19" hidden="1" x14ac:dyDescent="0.25">
      <c r="C67" s="17" t="s">
        <v>206</v>
      </c>
      <c r="D67" s="17" t="s">
        <v>207</v>
      </c>
      <c r="E67" s="550">
        <f t="shared" si="39"/>
        <v>100.91880000000002</v>
      </c>
      <c r="F67" s="550">
        <f t="shared" si="40"/>
        <v>99.25030799999999</v>
      </c>
      <c r="G67" s="550">
        <f t="shared" si="51"/>
        <v>99.877418000000006</v>
      </c>
      <c r="H67" s="550">
        <v>109.14000000000001</v>
      </c>
      <c r="I67" s="550">
        <f t="shared" si="41"/>
        <v>91.474289999999996</v>
      </c>
      <c r="J67" s="550">
        <f t="shared" si="42"/>
        <v>-17.665710000000018</v>
      </c>
      <c r="K67" s="550">
        <v>100.67</v>
      </c>
      <c r="L67" s="550">
        <f t="shared" si="43"/>
        <v>39.656298999999997</v>
      </c>
      <c r="M67" s="554">
        <f t="shared" si="44"/>
        <v>25.790074103448276</v>
      </c>
      <c r="N67" s="550">
        <f t="shared" si="45"/>
        <v>65.446373103448281</v>
      </c>
      <c r="O67" s="550">
        <f t="shared" si="46"/>
        <v>66.945765103448267</v>
      </c>
      <c r="P67" s="550">
        <f t="shared" si="47"/>
        <v>66.945765103448267</v>
      </c>
      <c r="Q67" s="550">
        <f t="shared" si="48"/>
        <v>69.452214708364139</v>
      </c>
      <c r="R67" s="131">
        <f t="shared" si="49"/>
        <v>70.84125900253143</v>
      </c>
      <c r="S67" s="131">
        <f t="shared" si="50"/>
        <v>72.258084182582067</v>
      </c>
    </row>
    <row r="68" spans="3:19" hidden="1" x14ac:dyDescent="0.25">
      <c r="C68" s="17" t="s">
        <v>208</v>
      </c>
      <c r="D68" s="17" t="s">
        <v>187</v>
      </c>
      <c r="E68" s="550">
        <f t="shared" si="39"/>
        <v>21.370999999999999</v>
      </c>
      <c r="F68" s="550">
        <f t="shared" si="40"/>
        <v>70.354709</v>
      </c>
      <c r="G68" s="550">
        <f t="shared" si="51"/>
        <v>8.5570000000000004</v>
      </c>
      <c r="H68" s="550">
        <v>0</v>
      </c>
      <c r="I68" s="550">
        <f t="shared" si="41"/>
        <v>0.96194999999999986</v>
      </c>
      <c r="J68" s="550">
        <f t="shared" si="42"/>
        <v>0.96194999999999986</v>
      </c>
      <c r="K68" s="550">
        <v>0</v>
      </c>
      <c r="L68" s="550">
        <f t="shared" si="43"/>
        <v>0.67444999999999999</v>
      </c>
      <c r="M68" s="554">
        <f t="shared" si="44"/>
        <v>0.4647</v>
      </c>
      <c r="N68" s="550">
        <f t="shared" si="45"/>
        <v>1.1391499999999999</v>
      </c>
      <c r="O68" s="550">
        <f t="shared" si="46"/>
        <v>0</v>
      </c>
      <c r="P68" s="550">
        <f t="shared" si="47"/>
        <v>0</v>
      </c>
      <c r="Q68" s="550">
        <f t="shared" si="48"/>
        <v>1.2088750932000003</v>
      </c>
      <c r="R68" s="131">
        <f t="shared" si="49"/>
        <v>1.2330525950640001</v>
      </c>
      <c r="S68" s="131">
        <f t="shared" si="50"/>
        <v>1.2958281855727605</v>
      </c>
    </row>
    <row r="69" spans="3:19" hidden="1" x14ac:dyDescent="0.25">
      <c r="C69" s="17" t="s">
        <v>209</v>
      </c>
      <c r="D69" s="17" t="s">
        <v>210</v>
      </c>
      <c r="E69" s="550">
        <f t="shared" si="39"/>
        <v>0</v>
      </c>
      <c r="F69" s="550">
        <f t="shared" si="40"/>
        <v>0</v>
      </c>
      <c r="G69" s="550">
        <f t="shared" si="51"/>
        <v>0</v>
      </c>
      <c r="H69" s="550"/>
      <c r="I69" s="550">
        <f t="shared" si="41"/>
        <v>0</v>
      </c>
      <c r="J69" s="550">
        <f t="shared" si="42"/>
        <v>0</v>
      </c>
      <c r="K69" s="550"/>
      <c r="L69" s="550">
        <f t="shared" si="43"/>
        <v>0</v>
      </c>
      <c r="M69" s="554">
        <f t="shared" si="44"/>
        <v>0</v>
      </c>
      <c r="N69" s="550">
        <f t="shared" si="45"/>
        <v>0</v>
      </c>
      <c r="O69" s="550">
        <f t="shared" si="46"/>
        <v>0</v>
      </c>
      <c r="P69" s="550">
        <f t="shared" si="47"/>
        <v>0</v>
      </c>
      <c r="Q69" s="550">
        <f t="shared" si="48"/>
        <v>0</v>
      </c>
      <c r="R69" s="131">
        <f t="shared" si="49"/>
        <v>0</v>
      </c>
      <c r="S69" s="131">
        <f t="shared" si="50"/>
        <v>0</v>
      </c>
    </row>
    <row r="70" spans="3:19" hidden="1" x14ac:dyDescent="0.25">
      <c r="C70" s="17" t="s">
        <v>211</v>
      </c>
      <c r="D70" s="17" t="s">
        <v>189</v>
      </c>
      <c r="E70" s="550">
        <f t="shared" si="39"/>
        <v>0</v>
      </c>
      <c r="F70" s="550">
        <f t="shared" si="40"/>
        <v>0</v>
      </c>
      <c r="G70" s="550">
        <f t="shared" si="51"/>
        <v>0</v>
      </c>
      <c r="H70" s="550"/>
      <c r="I70" s="550">
        <f t="shared" si="41"/>
        <v>0</v>
      </c>
      <c r="J70" s="550">
        <f t="shared" si="42"/>
        <v>0</v>
      </c>
      <c r="K70" s="550">
        <v>0</v>
      </c>
      <c r="L70" s="550">
        <f t="shared" si="43"/>
        <v>0</v>
      </c>
      <c r="M70" s="554">
        <f t="shared" si="44"/>
        <v>0</v>
      </c>
      <c r="N70" s="550">
        <f t="shared" si="45"/>
        <v>0</v>
      </c>
      <c r="O70" s="550">
        <f t="shared" si="46"/>
        <v>0</v>
      </c>
      <c r="P70" s="550">
        <f t="shared" si="47"/>
        <v>0</v>
      </c>
      <c r="Q70" s="550">
        <f t="shared" si="48"/>
        <v>0</v>
      </c>
      <c r="R70" s="131">
        <f t="shared" si="49"/>
        <v>0</v>
      </c>
      <c r="S70" s="131">
        <f t="shared" si="50"/>
        <v>0</v>
      </c>
    </row>
    <row r="71" spans="3:19" hidden="1" x14ac:dyDescent="0.25">
      <c r="C71" s="17"/>
      <c r="D71" s="17"/>
      <c r="E71" s="553"/>
      <c r="F71" s="553"/>
      <c r="G71" s="553"/>
      <c r="H71" s="553"/>
      <c r="I71" s="553"/>
      <c r="J71" s="553"/>
      <c r="K71" s="553"/>
      <c r="L71" s="553"/>
      <c r="M71" s="552"/>
      <c r="N71" s="553"/>
      <c r="O71" s="553"/>
      <c r="P71" s="553"/>
      <c r="Q71" s="553"/>
      <c r="R71" s="162"/>
      <c r="S71" s="162"/>
    </row>
    <row r="72" spans="3:19" hidden="1" x14ac:dyDescent="0.25">
      <c r="C72" s="17"/>
      <c r="D72" s="17"/>
      <c r="E72" s="553"/>
      <c r="F72" s="553"/>
      <c r="G72" s="553"/>
      <c r="H72" s="553"/>
      <c r="I72" s="553"/>
      <c r="J72" s="553"/>
      <c r="K72" s="553"/>
      <c r="L72" s="553"/>
      <c r="M72" s="552"/>
      <c r="N72" s="553"/>
      <c r="O72" s="553"/>
      <c r="P72" s="553"/>
      <c r="Q72" s="553"/>
      <c r="R72" s="162"/>
      <c r="S72" s="162"/>
    </row>
    <row r="73" spans="3:19" hidden="1" x14ac:dyDescent="0.25">
      <c r="C73" s="17"/>
      <c r="D73" s="17"/>
      <c r="E73" s="553"/>
      <c r="F73" s="553"/>
      <c r="G73" s="553"/>
      <c r="H73" s="553"/>
      <c r="I73" s="553"/>
      <c r="J73" s="553"/>
      <c r="K73" s="553"/>
      <c r="L73" s="553"/>
      <c r="M73" s="552"/>
      <c r="N73" s="553"/>
      <c r="O73" s="553"/>
      <c r="P73" s="553"/>
      <c r="Q73" s="553"/>
      <c r="R73" s="162"/>
      <c r="S73" s="162"/>
    </row>
    <row r="74" spans="3:19" hidden="1" x14ac:dyDescent="0.25">
      <c r="C74" s="17"/>
      <c r="D74" s="17"/>
      <c r="E74" s="553"/>
      <c r="F74" s="553"/>
      <c r="G74" s="553"/>
      <c r="H74" s="553"/>
      <c r="I74" s="553"/>
      <c r="J74" s="553"/>
      <c r="K74" s="553"/>
      <c r="L74" s="553"/>
      <c r="M74" s="552"/>
      <c r="N74" s="553"/>
      <c r="O74" s="553"/>
      <c r="P74" s="553"/>
      <c r="Q74" s="553"/>
      <c r="R74" s="162"/>
      <c r="S74" s="162"/>
    </row>
    <row r="75" spans="3:19" hidden="1" x14ac:dyDescent="0.25">
      <c r="C75" s="751" t="s">
        <v>212</v>
      </c>
      <c r="D75" s="752"/>
      <c r="E75" s="552">
        <f>Q151</f>
        <v>4071.2777446600003</v>
      </c>
      <c r="F75" s="552">
        <f>Q224</f>
        <v>3220.81096884</v>
      </c>
      <c r="G75" s="552">
        <f>Q298</f>
        <v>3139.8634282332514</v>
      </c>
      <c r="H75" s="552">
        <f>SUM(H58:H74)</f>
        <v>4385.45</v>
      </c>
      <c r="I75" s="552">
        <f>Q371</f>
        <v>2912.7386265029195</v>
      </c>
      <c r="J75" s="552">
        <f>I75-H75</f>
        <v>-1472.7113734970803</v>
      </c>
      <c r="K75" s="552">
        <f>SUM(K58:K74)</f>
        <v>4086.0299999999997</v>
      </c>
      <c r="L75" s="552">
        <f>SUM(E446:J446)</f>
        <v>1336.41317721</v>
      </c>
      <c r="M75" s="552">
        <f>SUM(K446:P446)</f>
        <v>1317.8092958737932</v>
      </c>
      <c r="N75" s="552">
        <f>L75+M75</f>
        <v>2654.2224730837934</v>
      </c>
      <c r="O75" s="552">
        <f>Q520</f>
        <v>2873.9806795240074</v>
      </c>
      <c r="P75" s="552">
        <f>Q594</f>
        <v>2955.5084318268446</v>
      </c>
      <c r="Q75" s="552">
        <f>Q668</f>
        <v>2978.1987067403402</v>
      </c>
      <c r="R75" s="161">
        <f>Q742</f>
        <v>3120.556692223769</v>
      </c>
      <c r="S75" s="161">
        <f>Q816</f>
        <v>3260.215247129775</v>
      </c>
    </row>
    <row r="76" spans="3:19" hidden="1" x14ac:dyDescent="0.25">
      <c r="C76" s="751" t="s">
        <v>219</v>
      </c>
      <c r="D76" s="752"/>
      <c r="E76" s="552">
        <f>Q152</f>
        <v>6547.53711458</v>
      </c>
      <c r="F76" s="552">
        <f>Q225</f>
        <v>5846.1152623199996</v>
      </c>
      <c r="G76" s="552">
        <f>Q299</f>
        <v>5987.7950453432513</v>
      </c>
      <c r="H76" s="552">
        <f>SUM(H39,H56,H75)</f>
        <v>7382.21</v>
      </c>
      <c r="I76" s="552">
        <f>Q372</f>
        <v>5945.8347720267911</v>
      </c>
      <c r="J76" s="552">
        <f>I76-H76</f>
        <v>-1436.3752279732089</v>
      </c>
      <c r="K76" s="552">
        <f>SUM(K39,K56,K75)</f>
        <v>7188.78</v>
      </c>
      <c r="L76" s="552">
        <f>SUM(E447:J447)</f>
        <v>2833.8085116500001</v>
      </c>
      <c r="M76" s="552">
        <f>SUM(K447:P447)</f>
        <v>3053.0131830200003</v>
      </c>
      <c r="N76" s="552">
        <f>L76+M76</f>
        <v>5886.8216946700004</v>
      </c>
      <c r="O76" s="552">
        <f>Q521</f>
        <v>6326.5428284037916</v>
      </c>
      <c r="P76" s="552">
        <f>Q595</f>
        <v>6655.022706239617</v>
      </c>
      <c r="Q76" s="552">
        <f>Q669</f>
        <v>7065.1859500488008</v>
      </c>
      <c r="R76" s="161">
        <f>Q743</f>
        <v>7526.4564731996124</v>
      </c>
      <c r="S76" s="161">
        <f>Q817</f>
        <v>8003.3215730924512</v>
      </c>
    </row>
    <row r="77" spans="3:19" hidden="1" x14ac:dyDescent="0.25">
      <c r="C77" s="751" t="s">
        <v>220</v>
      </c>
      <c r="D77" s="752"/>
      <c r="E77" s="552">
        <f>Q153</f>
        <v>11472.09408429</v>
      </c>
      <c r="F77" s="552">
        <f>Q226</f>
        <v>10869.917433043</v>
      </c>
      <c r="G77" s="552">
        <f>Q300</f>
        <v>11222.311040747769</v>
      </c>
      <c r="H77" s="552">
        <f>SUM(H22,H76)</f>
        <v>13457.59</v>
      </c>
      <c r="I77" s="552">
        <f>Q373</f>
        <v>11381.932794826791</v>
      </c>
      <c r="J77" s="552">
        <f>I77-H77</f>
        <v>-2075.6572051732091</v>
      </c>
      <c r="K77" s="552">
        <f>SUM(K22,K76)</f>
        <v>12730.32</v>
      </c>
      <c r="L77" s="552">
        <f>SUM(E448:J448)</f>
        <v>5972.2413986499996</v>
      </c>
      <c r="M77" s="552">
        <f>SUM(K448:P448)</f>
        <v>5644.2297010200009</v>
      </c>
      <c r="N77" s="552">
        <f>L77+M77</f>
        <v>11616.471099670001</v>
      </c>
      <c r="O77" s="552">
        <f>Q522</f>
        <v>12587.165929720399</v>
      </c>
      <c r="P77" s="552">
        <f>Q596</f>
        <v>13494.767023374039</v>
      </c>
      <c r="Q77" s="552">
        <f>Q670</f>
        <v>13650.59322574209</v>
      </c>
      <c r="R77" s="161">
        <f>Q744</f>
        <v>14433.590522553206</v>
      </c>
      <c r="S77" s="161">
        <f>Q818</f>
        <v>15254.298981531878</v>
      </c>
    </row>
    <row r="78" spans="3:19" hidden="1" x14ac:dyDescent="0.25">
      <c r="E78" s="562"/>
      <c r="F78" s="562"/>
      <c r="G78" s="562"/>
      <c r="H78" s="562"/>
      <c r="I78" s="562"/>
      <c r="J78" s="562"/>
      <c r="K78" s="562"/>
      <c r="L78" s="562"/>
      <c r="M78" s="562"/>
      <c r="N78" s="562"/>
      <c r="O78" s="562"/>
      <c r="P78" s="562"/>
      <c r="Q78" s="562"/>
      <c r="R78" s="166"/>
      <c r="S78" s="166"/>
    </row>
    <row r="79" spans="3:19" hidden="1" x14ac:dyDescent="0.25"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  <c r="Q79" s="562"/>
      <c r="R79" s="166"/>
      <c r="S79" s="166"/>
    </row>
    <row r="80" spans="3:19" hidden="1" x14ac:dyDescent="0.25">
      <c r="C80" s="14" t="s">
        <v>237</v>
      </c>
      <c r="E80" s="562"/>
      <c r="F80" s="562"/>
      <c r="G80" s="562"/>
      <c r="H80" s="562"/>
      <c r="I80" s="562"/>
      <c r="J80" s="562"/>
      <c r="K80" s="562"/>
      <c r="L80" s="562"/>
      <c r="M80" s="562"/>
      <c r="N80" s="562"/>
      <c r="O80" s="562"/>
      <c r="P80" s="562"/>
      <c r="Q80" s="562"/>
      <c r="R80" s="166"/>
      <c r="S80" s="166"/>
    </row>
    <row r="81" spans="3:19" hidden="1" x14ac:dyDescent="0.25">
      <c r="C81" s="14"/>
      <c r="E81" s="562"/>
      <c r="F81" s="562"/>
      <c r="G81" s="562"/>
      <c r="H81" s="562"/>
      <c r="I81" s="562"/>
      <c r="J81" s="562"/>
      <c r="K81" s="562"/>
      <c r="L81" s="562"/>
      <c r="M81" s="562"/>
      <c r="N81" s="562"/>
      <c r="O81" s="562"/>
      <c r="P81" s="562"/>
      <c r="Q81" s="564" t="s">
        <v>229</v>
      </c>
      <c r="R81" s="166"/>
      <c r="S81" s="166"/>
    </row>
    <row r="82" spans="3:19" hidden="1" x14ac:dyDescent="0.25">
      <c r="C82" s="760" t="s">
        <v>163</v>
      </c>
      <c r="D82" s="760"/>
      <c r="E82" s="769" t="s">
        <v>262</v>
      </c>
      <c r="F82" s="769"/>
      <c r="G82" s="769"/>
      <c r="H82" s="769"/>
      <c r="I82" s="769"/>
      <c r="J82" s="769"/>
      <c r="K82" s="769"/>
      <c r="L82" s="769"/>
      <c r="M82" s="769"/>
      <c r="N82" s="769"/>
      <c r="O82" s="769"/>
      <c r="P82" s="769"/>
      <c r="Q82" s="769"/>
      <c r="R82" s="166"/>
      <c r="S82" s="166"/>
    </row>
    <row r="83" spans="3:19" hidden="1" x14ac:dyDescent="0.25">
      <c r="C83" s="760"/>
      <c r="D83" s="760"/>
      <c r="E83" s="560" t="s">
        <v>239</v>
      </c>
      <c r="F83" s="560" t="s">
        <v>240</v>
      </c>
      <c r="G83" s="560" t="s">
        <v>241</v>
      </c>
      <c r="H83" s="560" t="s">
        <v>242</v>
      </c>
      <c r="I83" s="560" t="s">
        <v>243</v>
      </c>
      <c r="J83" s="560" t="s">
        <v>244</v>
      </c>
      <c r="K83" s="560" t="s">
        <v>245</v>
      </c>
      <c r="L83" s="560" t="s">
        <v>246</v>
      </c>
      <c r="M83" s="560" t="s">
        <v>247</v>
      </c>
      <c r="N83" s="560" t="s">
        <v>248</v>
      </c>
      <c r="O83" s="560" t="s">
        <v>249</v>
      </c>
      <c r="P83" s="560" t="s">
        <v>250</v>
      </c>
      <c r="Q83" s="560" t="s">
        <v>251</v>
      </c>
      <c r="R83" s="166"/>
      <c r="S83" s="166"/>
    </row>
    <row r="84" spans="3:19" hidden="1" x14ac:dyDescent="0.25">
      <c r="C84" s="753" t="s">
        <v>171</v>
      </c>
      <c r="D84" s="754"/>
      <c r="E84" s="553"/>
      <c r="F84" s="553"/>
      <c r="G84" s="553"/>
      <c r="H84" s="553"/>
      <c r="I84" s="553"/>
      <c r="J84" s="553"/>
      <c r="K84" s="553"/>
      <c r="L84" s="553"/>
      <c r="M84" s="553"/>
      <c r="N84" s="553"/>
      <c r="O84" s="553"/>
      <c r="P84" s="553"/>
      <c r="Q84" s="561"/>
      <c r="R84" s="166"/>
      <c r="S84" s="166"/>
    </row>
    <row r="85" spans="3:19" hidden="1" x14ac:dyDescent="0.25">
      <c r="C85" s="59" t="s">
        <v>172</v>
      </c>
      <c r="D85" s="59" t="s">
        <v>173</v>
      </c>
      <c r="E85" s="553">
        <v>308.57992100000001</v>
      </c>
      <c r="F85" s="553">
        <v>379.42664499999995</v>
      </c>
      <c r="G85" s="553">
        <v>387.14336199999991</v>
      </c>
      <c r="H85" s="553">
        <v>318.70826699999998</v>
      </c>
      <c r="I85" s="553">
        <v>303.62771799999996</v>
      </c>
      <c r="J85" s="553">
        <v>299.57519500000001</v>
      </c>
      <c r="K85" s="553">
        <v>302.75718200000006</v>
      </c>
      <c r="L85" s="553">
        <v>287.88379399999997</v>
      </c>
      <c r="M85" s="553">
        <v>249.41559500000002</v>
      </c>
      <c r="N85" s="553">
        <v>226.909336</v>
      </c>
      <c r="O85" s="553">
        <v>234.00988899999999</v>
      </c>
      <c r="P85" s="553">
        <v>249.01417599999996</v>
      </c>
      <c r="Q85" s="561">
        <f t="shared" ref="Q85:Q98" si="52">SUM(E85:P85)</f>
        <v>3547.0510800000002</v>
      </c>
      <c r="R85" s="166"/>
      <c r="S85" s="166"/>
    </row>
    <row r="86" spans="3:19" hidden="1" x14ac:dyDescent="0.25">
      <c r="C86" s="17" t="s">
        <v>174</v>
      </c>
      <c r="D86" s="17" t="s">
        <v>175</v>
      </c>
      <c r="E86" s="553">
        <v>66.815153999999993</v>
      </c>
      <c r="F86" s="553">
        <v>73.304108000000028</v>
      </c>
      <c r="G86" s="553">
        <v>76.296244999999985</v>
      </c>
      <c r="H86" s="553">
        <v>67.849562999999989</v>
      </c>
      <c r="I86" s="553">
        <v>64.732144000000005</v>
      </c>
      <c r="J86" s="553">
        <v>61.919736000000007</v>
      </c>
      <c r="K86" s="553">
        <v>61.540885000000003</v>
      </c>
      <c r="L86" s="553">
        <v>59.937169999999995</v>
      </c>
      <c r="M86" s="553">
        <v>56.993788000000002</v>
      </c>
      <c r="N86" s="553">
        <v>54.691770600000005</v>
      </c>
      <c r="O86" s="553">
        <v>55.436913000000011</v>
      </c>
      <c r="P86" s="553">
        <v>58.460787000000018</v>
      </c>
      <c r="Q86" s="561">
        <f t="shared" si="52"/>
        <v>757.97826359999999</v>
      </c>
      <c r="R86" s="166"/>
      <c r="S86" s="166"/>
    </row>
    <row r="87" spans="3:19" hidden="1" x14ac:dyDescent="0.25">
      <c r="C87" s="17" t="s">
        <v>176</v>
      </c>
      <c r="D87" s="17" t="s">
        <v>177</v>
      </c>
      <c r="E87" s="553">
        <v>21.207447100000003</v>
      </c>
      <c r="F87" s="553">
        <v>20.435636000000002</v>
      </c>
      <c r="G87" s="553">
        <v>21.492404300000008</v>
      </c>
      <c r="H87" s="553">
        <v>18.971318700000001</v>
      </c>
      <c r="I87" s="553">
        <v>17.474180620000002</v>
      </c>
      <c r="J87" s="553">
        <v>16.377602</v>
      </c>
      <c r="K87" s="553">
        <v>15.921744</v>
      </c>
      <c r="L87" s="553">
        <v>14.927123889999999</v>
      </c>
      <c r="M87" s="553">
        <v>21.1335035</v>
      </c>
      <c r="N87" s="553">
        <v>27.471845999999999</v>
      </c>
      <c r="O87" s="553">
        <v>25.5810225</v>
      </c>
      <c r="P87" s="553">
        <v>23.365182999999998</v>
      </c>
      <c r="Q87" s="561">
        <f t="shared" si="52"/>
        <v>244.35901160999998</v>
      </c>
      <c r="R87" s="166"/>
      <c r="S87" s="166"/>
    </row>
    <row r="88" spans="3:19" hidden="1" x14ac:dyDescent="0.25">
      <c r="C88" s="17" t="s">
        <v>178</v>
      </c>
      <c r="D88" s="17" t="s">
        <v>179</v>
      </c>
      <c r="E88" s="553">
        <v>0.63769699999999985</v>
      </c>
      <c r="F88" s="553">
        <v>0.66216600000000003</v>
      </c>
      <c r="G88" s="553">
        <v>0.66373499999999985</v>
      </c>
      <c r="H88" s="553">
        <v>0.6212390000000001</v>
      </c>
      <c r="I88" s="553">
        <v>0.63420100000000001</v>
      </c>
      <c r="J88" s="553">
        <v>0.62585000000000002</v>
      </c>
      <c r="K88" s="553">
        <v>0.61601099999999998</v>
      </c>
      <c r="L88" s="553">
        <v>0.63238200000000011</v>
      </c>
      <c r="M88" s="553">
        <v>0.59531000000000012</v>
      </c>
      <c r="N88" s="553">
        <v>0.61791099999999988</v>
      </c>
      <c r="O88" s="553">
        <v>0.59086900000000009</v>
      </c>
      <c r="P88" s="553">
        <v>0.651451</v>
      </c>
      <c r="Q88" s="561">
        <f t="shared" si="52"/>
        <v>7.5488219999999995</v>
      </c>
      <c r="R88" s="166"/>
      <c r="S88" s="166"/>
    </row>
    <row r="89" spans="3:19" hidden="1" x14ac:dyDescent="0.25">
      <c r="C89" s="17" t="s">
        <v>180</v>
      </c>
      <c r="D89" s="17" t="s">
        <v>181</v>
      </c>
      <c r="E89" s="553"/>
      <c r="F89" s="553"/>
      <c r="G89" s="553"/>
      <c r="H89" s="553"/>
      <c r="I89" s="553"/>
      <c r="J89" s="553"/>
      <c r="K89" s="553"/>
      <c r="L89" s="553"/>
      <c r="M89" s="553"/>
      <c r="N89" s="553"/>
      <c r="O89" s="553"/>
      <c r="P89" s="553"/>
      <c r="Q89" s="561">
        <f t="shared" si="52"/>
        <v>0</v>
      </c>
      <c r="R89" s="166"/>
      <c r="S89" s="166"/>
    </row>
    <row r="90" spans="3:19" hidden="1" x14ac:dyDescent="0.25">
      <c r="C90" s="17" t="s">
        <v>182</v>
      </c>
      <c r="D90" s="17" t="s">
        <v>183</v>
      </c>
      <c r="E90" s="553">
        <v>26.076889000000001</v>
      </c>
      <c r="F90" s="553">
        <v>26.199191000000006</v>
      </c>
      <c r="G90" s="553">
        <v>25.661258000000004</v>
      </c>
      <c r="H90" s="553">
        <v>24.023554000000004</v>
      </c>
      <c r="I90" s="553">
        <v>23.813270000000003</v>
      </c>
      <c r="J90" s="553">
        <v>24.521911999999997</v>
      </c>
      <c r="K90" s="553">
        <v>26.001634999999997</v>
      </c>
      <c r="L90" s="553">
        <v>25.921545000000002</v>
      </c>
      <c r="M90" s="553">
        <v>25.428137999999997</v>
      </c>
      <c r="N90" s="553">
        <v>26.748207999999998</v>
      </c>
      <c r="O90" s="553">
        <v>27.231877999999995</v>
      </c>
      <c r="P90" s="553">
        <v>26.195993999999999</v>
      </c>
      <c r="Q90" s="561">
        <f t="shared" si="52"/>
        <v>307.82347199999998</v>
      </c>
      <c r="R90" s="166"/>
      <c r="S90" s="166"/>
    </row>
    <row r="91" spans="3:19" hidden="1" x14ac:dyDescent="0.25">
      <c r="C91" s="17" t="s">
        <v>184</v>
      </c>
      <c r="D91" s="17" t="s">
        <v>185</v>
      </c>
      <c r="E91" s="553">
        <v>5.0897589999999999</v>
      </c>
      <c r="F91" s="553">
        <v>4.2757710000000007</v>
      </c>
      <c r="G91" s="553">
        <v>4.4299529999999985</v>
      </c>
      <c r="H91" s="553">
        <v>5.4442555000000006</v>
      </c>
      <c r="I91" s="553">
        <v>5.589931</v>
      </c>
      <c r="J91" s="553">
        <v>5.6516549999999999</v>
      </c>
      <c r="K91" s="553">
        <v>4.4122419999999991</v>
      </c>
      <c r="L91" s="553">
        <v>4.9232250000000004</v>
      </c>
      <c r="M91" s="553">
        <v>5.2681269999999998</v>
      </c>
      <c r="N91" s="553">
        <v>4.8004320000000007</v>
      </c>
      <c r="O91" s="553">
        <v>4.6428519999999986</v>
      </c>
      <c r="P91" s="553">
        <v>5.0977200000000007</v>
      </c>
      <c r="Q91" s="561">
        <f t="shared" si="52"/>
        <v>59.625922500000001</v>
      </c>
      <c r="R91" s="166"/>
      <c r="S91" s="166"/>
    </row>
    <row r="92" spans="3:19" hidden="1" x14ac:dyDescent="0.25">
      <c r="C92" s="17" t="s">
        <v>186</v>
      </c>
      <c r="D92" s="17" t="s">
        <v>187</v>
      </c>
      <c r="E92" s="553">
        <v>0</v>
      </c>
      <c r="F92" s="553">
        <v>0</v>
      </c>
      <c r="G92" s="553">
        <v>0</v>
      </c>
      <c r="H92" s="553">
        <v>0</v>
      </c>
      <c r="I92" s="553">
        <v>0</v>
      </c>
      <c r="J92" s="553">
        <v>0</v>
      </c>
      <c r="K92" s="553">
        <v>0</v>
      </c>
      <c r="L92" s="553">
        <v>0</v>
      </c>
      <c r="M92" s="553">
        <v>1.3245E-2</v>
      </c>
      <c r="N92" s="553">
        <v>2.6501999999999998E-2</v>
      </c>
      <c r="O92" s="553">
        <v>5.9631000000000003E-2</v>
      </c>
      <c r="P92" s="553">
        <v>7.102E-2</v>
      </c>
      <c r="Q92" s="561">
        <f t="shared" si="52"/>
        <v>0.17039799999999999</v>
      </c>
      <c r="R92" s="166"/>
      <c r="S92" s="166"/>
    </row>
    <row r="93" spans="3:19" hidden="1" x14ac:dyDescent="0.25">
      <c r="C93" s="17" t="s">
        <v>188</v>
      </c>
      <c r="D93" s="17" t="s">
        <v>189</v>
      </c>
      <c r="E93" s="553">
        <v>0</v>
      </c>
      <c r="F93" s="553">
        <v>0</v>
      </c>
      <c r="G93" s="553">
        <v>0</v>
      </c>
      <c r="H93" s="553">
        <v>0</v>
      </c>
      <c r="I93" s="553">
        <v>0</v>
      </c>
      <c r="J93" s="553">
        <v>0</v>
      </c>
      <c r="K93" s="553">
        <v>0</v>
      </c>
      <c r="L93" s="553">
        <v>0</v>
      </c>
      <c r="M93" s="553">
        <v>0</v>
      </c>
      <c r="N93" s="553">
        <v>0</v>
      </c>
      <c r="O93" s="553">
        <v>0</v>
      </c>
      <c r="P93" s="553">
        <v>0</v>
      </c>
      <c r="Q93" s="561">
        <f t="shared" si="52"/>
        <v>0</v>
      </c>
      <c r="R93" s="166"/>
      <c r="S93" s="166"/>
    </row>
    <row r="94" spans="3:19" hidden="1" x14ac:dyDescent="0.25">
      <c r="C94" s="17"/>
      <c r="D94" s="17"/>
      <c r="E94" s="553"/>
      <c r="F94" s="553"/>
      <c r="G94" s="553"/>
      <c r="H94" s="553"/>
      <c r="I94" s="553"/>
      <c r="J94" s="553"/>
      <c r="K94" s="553"/>
      <c r="L94" s="553"/>
      <c r="M94" s="553"/>
      <c r="N94" s="553"/>
      <c r="O94" s="553"/>
      <c r="P94" s="553"/>
      <c r="Q94" s="561">
        <f t="shared" si="52"/>
        <v>0</v>
      </c>
      <c r="R94" s="166"/>
      <c r="S94" s="166"/>
    </row>
    <row r="95" spans="3:19" hidden="1" x14ac:dyDescent="0.25">
      <c r="C95" s="17"/>
      <c r="D95" s="17"/>
      <c r="E95" s="553"/>
      <c r="F95" s="553"/>
      <c r="G95" s="553"/>
      <c r="H95" s="553"/>
      <c r="I95" s="553"/>
      <c r="J95" s="553"/>
      <c r="K95" s="553"/>
      <c r="L95" s="553"/>
      <c r="M95" s="553"/>
      <c r="N95" s="553"/>
      <c r="O95" s="553"/>
      <c r="P95" s="553"/>
      <c r="Q95" s="561">
        <f t="shared" si="52"/>
        <v>0</v>
      </c>
      <c r="R95" s="166"/>
      <c r="S95" s="166"/>
    </row>
    <row r="96" spans="3:19" hidden="1" x14ac:dyDescent="0.25">
      <c r="C96" s="17"/>
      <c r="D96" s="17"/>
      <c r="E96" s="553"/>
      <c r="F96" s="553"/>
      <c r="G96" s="553"/>
      <c r="H96" s="553"/>
      <c r="I96" s="553"/>
      <c r="J96" s="553"/>
      <c r="K96" s="553"/>
      <c r="L96" s="553"/>
      <c r="M96" s="553"/>
      <c r="N96" s="553"/>
      <c r="O96" s="553"/>
      <c r="P96" s="553"/>
      <c r="Q96" s="561">
        <f t="shared" si="52"/>
        <v>0</v>
      </c>
      <c r="R96" s="166"/>
      <c r="S96" s="166"/>
    </row>
    <row r="97" spans="3:19" hidden="1" x14ac:dyDescent="0.25">
      <c r="C97" s="17"/>
      <c r="D97" s="17"/>
      <c r="E97" s="553"/>
      <c r="F97" s="553"/>
      <c r="G97" s="553"/>
      <c r="H97" s="553"/>
      <c r="I97" s="553"/>
      <c r="J97" s="553"/>
      <c r="K97" s="553"/>
      <c r="L97" s="553"/>
      <c r="M97" s="553"/>
      <c r="N97" s="553"/>
      <c r="O97" s="553"/>
      <c r="P97" s="553"/>
      <c r="Q97" s="561">
        <f t="shared" si="52"/>
        <v>0</v>
      </c>
      <c r="R97" s="166"/>
      <c r="S97" s="166"/>
    </row>
    <row r="98" spans="3:19" hidden="1" x14ac:dyDescent="0.25">
      <c r="C98" s="751" t="s">
        <v>190</v>
      </c>
      <c r="D98" s="752"/>
      <c r="E98" s="561">
        <f t="shared" ref="E98:P98" si="53">SUM(E85:E97)</f>
        <v>428.40686710000006</v>
      </c>
      <c r="F98" s="561">
        <f t="shared" si="53"/>
        <v>504.303517</v>
      </c>
      <c r="G98" s="561">
        <f t="shared" si="53"/>
        <v>515.6869572999999</v>
      </c>
      <c r="H98" s="561">
        <f t="shared" si="53"/>
        <v>435.61819719999994</v>
      </c>
      <c r="I98" s="561">
        <f t="shared" si="53"/>
        <v>415.87144461999998</v>
      </c>
      <c r="J98" s="561">
        <f t="shared" si="53"/>
        <v>408.67195000000004</v>
      </c>
      <c r="K98" s="561">
        <f t="shared" si="53"/>
        <v>411.24969900000008</v>
      </c>
      <c r="L98" s="561">
        <f t="shared" si="53"/>
        <v>394.22523988999995</v>
      </c>
      <c r="M98" s="561">
        <f t="shared" si="53"/>
        <v>358.84770650000002</v>
      </c>
      <c r="N98" s="561">
        <f t="shared" si="53"/>
        <v>341.26600559999997</v>
      </c>
      <c r="O98" s="561">
        <f t="shared" si="53"/>
        <v>347.55305450000003</v>
      </c>
      <c r="P98" s="561">
        <f t="shared" si="53"/>
        <v>362.85633099999995</v>
      </c>
      <c r="Q98" s="561">
        <f t="shared" si="52"/>
        <v>4924.55696971</v>
      </c>
      <c r="R98" s="166"/>
      <c r="S98" s="166"/>
    </row>
    <row r="99" spans="3:19" hidden="1" x14ac:dyDescent="0.25">
      <c r="C99" s="753" t="s">
        <v>191</v>
      </c>
      <c r="D99" s="754"/>
      <c r="E99" s="553"/>
      <c r="F99" s="553"/>
      <c r="G99" s="553"/>
      <c r="H99" s="553"/>
      <c r="I99" s="553"/>
      <c r="J99" s="553"/>
      <c r="K99" s="553"/>
      <c r="L99" s="553"/>
      <c r="M99" s="553"/>
      <c r="N99" s="553"/>
      <c r="O99" s="553"/>
      <c r="P99" s="553"/>
      <c r="Q99" s="561"/>
      <c r="R99" s="166"/>
      <c r="S99" s="166"/>
    </row>
    <row r="100" spans="3:19" hidden="1" x14ac:dyDescent="0.25">
      <c r="C100" s="17" t="s">
        <v>192</v>
      </c>
      <c r="D100" s="17" t="s">
        <v>193</v>
      </c>
      <c r="E100" s="553">
        <v>55.836513869999976</v>
      </c>
      <c r="F100" s="553">
        <v>54.104622159999991</v>
      </c>
      <c r="G100" s="553">
        <v>55.122756880000033</v>
      </c>
      <c r="H100" s="553">
        <v>55.039953290000021</v>
      </c>
      <c r="I100" s="553">
        <v>55.268756180000047</v>
      </c>
      <c r="J100" s="553">
        <v>55.83621257999998</v>
      </c>
      <c r="K100" s="553">
        <v>53.140693079999998</v>
      </c>
      <c r="L100" s="553">
        <v>61.842131389999942</v>
      </c>
      <c r="M100" s="553">
        <v>73.59908456999996</v>
      </c>
      <c r="N100" s="553">
        <v>75.889770819999939</v>
      </c>
      <c r="O100" s="553">
        <v>76.701899910000023</v>
      </c>
      <c r="P100" s="553">
        <v>64.958604999999906</v>
      </c>
      <c r="Q100" s="561">
        <f t="shared" ref="Q100:Q115" si="54">SUM(E100:P100)</f>
        <v>737.34099972999991</v>
      </c>
      <c r="R100" s="166"/>
      <c r="S100" s="166"/>
    </row>
    <row r="101" spans="3:19" hidden="1" x14ac:dyDescent="0.25">
      <c r="C101" s="17" t="s">
        <v>194</v>
      </c>
      <c r="D101" s="17" t="s">
        <v>195</v>
      </c>
      <c r="E101" s="553">
        <v>0</v>
      </c>
      <c r="F101" s="553">
        <v>0</v>
      </c>
      <c r="G101" s="553">
        <v>0</v>
      </c>
      <c r="H101" s="553">
        <v>0</v>
      </c>
      <c r="I101" s="553">
        <v>0</v>
      </c>
      <c r="J101" s="553">
        <v>0</v>
      </c>
      <c r="K101" s="553">
        <v>0</v>
      </c>
      <c r="L101" s="553">
        <v>0</v>
      </c>
      <c r="M101" s="553">
        <v>0</v>
      </c>
      <c r="N101" s="553">
        <v>0</v>
      </c>
      <c r="O101" s="553">
        <v>0</v>
      </c>
      <c r="P101" s="553">
        <v>0</v>
      </c>
      <c r="Q101" s="561">
        <f t="shared" si="54"/>
        <v>0</v>
      </c>
      <c r="R101" s="166"/>
      <c r="S101" s="166"/>
    </row>
    <row r="102" spans="3:19" hidden="1" x14ac:dyDescent="0.25">
      <c r="C102" s="17" t="s">
        <v>233</v>
      </c>
      <c r="D102" s="17" t="s">
        <v>197</v>
      </c>
      <c r="E102" s="553">
        <v>14.626029669999998</v>
      </c>
      <c r="F102" s="553">
        <v>15.462858689999994</v>
      </c>
      <c r="G102" s="553">
        <v>16.291011539999996</v>
      </c>
      <c r="H102" s="553">
        <v>11.471637480000002</v>
      </c>
      <c r="I102" s="553">
        <v>10.339082750000001</v>
      </c>
      <c r="J102" s="553">
        <v>11.242669000000001</v>
      </c>
      <c r="K102" s="553">
        <v>10.389232999999999</v>
      </c>
      <c r="L102" s="553">
        <v>10.251038690000001</v>
      </c>
      <c r="M102" s="553">
        <v>9.1859710000000003</v>
      </c>
      <c r="N102" s="553">
        <v>9.0960664699999967</v>
      </c>
      <c r="O102" s="553">
        <v>9.3908377599999984</v>
      </c>
      <c r="P102" s="553">
        <v>9.7025117499999975</v>
      </c>
      <c r="Q102" s="561">
        <f t="shared" si="54"/>
        <v>137.44894779999998</v>
      </c>
      <c r="R102" s="166"/>
      <c r="S102" s="166"/>
    </row>
    <row r="103" spans="3:19" hidden="1" x14ac:dyDescent="0.25">
      <c r="C103" s="17" t="s">
        <v>198</v>
      </c>
      <c r="D103" s="17" t="s">
        <v>199</v>
      </c>
      <c r="E103" s="553"/>
      <c r="F103" s="553"/>
      <c r="G103" s="553"/>
      <c r="H103" s="553"/>
      <c r="I103" s="553"/>
      <c r="J103" s="553"/>
      <c r="K103" s="553"/>
      <c r="L103" s="553"/>
      <c r="M103" s="553"/>
      <c r="N103" s="553"/>
      <c r="O103" s="553"/>
      <c r="P103" s="553"/>
      <c r="Q103" s="561">
        <f t="shared" si="54"/>
        <v>0</v>
      </c>
      <c r="R103" s="166"/>
      <c r="S103" s="166"/>
    </row>
    <row r="104" spans="3:19" hidden="1" x14ac:dyDescent="0.25">
      <c r="C104" s="17" t="s">
        <v>200</v>
      </c>
      <c r="D104" s="17" t="s">
        <v>201</v>
      </c>
      <c r="E104" s="553">
        <v>0.70761500000000011</v>
      </c>
      <c r="F104" s="553">
        <v>0.77573650000000005</v>
      </c>
      <c r="G104" s="553">
        <v>0.86468000000000012</v>
      </c>
      <c r="H104" s="553">
        <v>0.64964900000000003</v>
      </c>
      <c r="I104" s="553">
        <v>0.63643300000000003</v>
      </c>
      <c r="J104" s="553">
        <v>0.63602000000000003</v>
      </c>
      <c r="K104" s="553">
        <v>0.59592400000000001</v>
      </c>
      <c r="L104" s="553">
        <v>0.58366499999999999</v>
      </c>
      <c r="M104" s="553">
        <v>0.52427349999999995</v>
      </c>
      <c r="N104" s="553">
        <v>0.50863550000000002</v>
      </c>
      <c r="O104" s="553">
        <v>0.55546299999999993</v>
      </c>
      <c r="P104" s="553">
        <v>0.52586650000000001</v>
      </c>
      <c r="Q104" s="561">
        <f t="shared" si="54"/>
        <v>7.5639609999999999</v>
      </c>
      <c r="R104" s="166"/>
      <c r="S104" s="166"/>
    </row>
    <row r="105" spans="3:19" hidden="1" x14ac:dyDescent="0.25">
      <c r="C105" s="17" t="s">
        <v>202</v>
      </c>
      <c r="D105" s="17" t="s">
        <v>203</v>
      </c>
      <c r="E105" s="553">
        <v>3.6832264500000127</v>
      </c>
      <c r="F105" s="553">
        <v>1.5894157999999994</v>
      </c>
      <c r="G105" s="553">
        <v>0.67528795999999525</v>
      </c>
      <c r="H105" s="553">
        <v>0.28880139000000488</v>
      </c>
      <c r="I105" s="553">
        <v>1.4687076900000238</v>
      </c>
      <c r="J105" s="553">
        <v>3.1400517800000105</v>
      </c>
      <c r="K105" s="553">
        <v>1.8025086800000065</v>
      </c>
      <c r="L105" s="553">
        <v>1.1283620199999134</v>
      </c>
      <c r="M105" s="553">
        <v>1.2096096999999133</v>
      </c>
      <c r="N105" s="553">
        <v>2.7462591799999938</v>
      </c>
      <c r="O105" s="553">
        <v>4.8961783599999169</v>
      </c>
      <c r="P105" s="553">
        <v>5.4943998800000298</v>
      </c>
      <c r="Q105" s="561">
        <f t="shared" si="54"/>
        <v>28.122808889999817</v>
      </c>
      <c r="R105" s="166"/>
      <c r="S105" s="166"/>
    </row>
    <row r="106" spans="3:19" hidden="1" x14ac:dyDescent="0.25">
      <c r="C106" s="17" t="s">
        <v>204</v>
      </c>
      <c r="D106" s="17" t="s">
        <v>205</v>
      </c>
      <c r="E106" s="553">
        <v>7.9768650000000001</v>
      </c>
      <c r="F106" s="553">
        <v>7.7124819999999996</v>
      </c>
      <c r="G106" s="553">
        <v>7.8900350000000001</v>
      </c>
      <c r="H106" s="553">
        <v>6.9494410000000002</v>
      </c>
      <c r="I106" s="553">
        <v>7.9698659999999997</v>
      </c>
      <c r="J106" s="553">
        <v>7.8869109999999996</v>
      </c>
      <c r="K106" s="553">
        <v>8.086392</v>
      </c>
      <c r="L106" s="553">
        <v>9.0701269999999994</v>
      </c>
      <c r="M106" s="553">
        <v>9.0291169999999994</v>
      </c>
      <c r="N106" s="553">
        <v>9.7985290000000003</v>
      </c>
      <c r="O106" s="553">
        <v>9.7572960000000002</v>
      </c>
      <c r="P106" s="553">
        <v>9.6302210000000006</v>
      </c>
      <c r="Q106" s="561">
        <f t="shared" si="54"/>
        <v>101.757282</v>
      </c>
      <c r="R106" s="166"/>
      <c r="S106" s="166"/>
    </row>
    <row r="107" spans="3:19" hidden="1" x14ac:dyDescent="0.25">
      <c r="C107" s="17" t="s">
        <v>206</v>
      </c>
      <c r="D107" s="17" t="s">
        <v>207</v>
      </c>
      <c r="E107" s="553">
        <v>0.87376799999999943</v>
      </c>
      <c r="F107" s="553">
        <v>0.91050299999999917</v>
      </c>
      <c r="G107" s="553">
        <v>1.0077819999999968</v>
      </c>
      <c r="H107" s="553">
        <v>0.76711799999999775</v>
      </c>
      <c r="I107" s="553">
        <v>0.78615199999999819</v>
      </c>
      <c r="J107" s="553">
        <v>0.79894899999999958</v>
      </c>
      <c r="K107" s="553">
        <v>0.64141699999999957</v>
      </c>
      <c r="L107" s="553">
        <v>0.522706</v>
      </c>
      <c r="M107" s="553">
        <v>0.58660059999999958</v>
      </c>
      <c r="N107" s="553">
        <v>0.63749439999999924</v>
      </c>
      <c r="O107" s="553">
        <v>0.64883800000000014</v>
      </c>
      <c r="P107" s="553">
        <v>0.69292799999999988</v>
      </c>
      <c r="Q107" s="561">
        <f t="shared" si="54"/>
        <v>8.8742559999999902</v>
      </c>
      <c r="R107" s="166"/>
      <c r="S107" s="166"/>
    </row>
    <row r="108" spans="3:19" hidden="1" x14ac:dyDescent="0.25">
      <c r="C108" s="17" t="s">
        <v>208</v>
      </c>
      <c r="D108" s="17" t="s">
        <v>187</v>
      </c>
      <c r="E108" s="553">
        <v>0</v>
      </c>
      <c r="F108" s="553">
        <v>0</v>
      </c>
      <c r="G108" s="553">
        <v>0.1</v>
      </c>
      <c r="H108" s="553">
        <v>1.6596950000000068</v>
      </c>
      <c r="I108" s="553">
        <v>2.3142564999999995</v>
      </c>
      <c r="J108" s="553">
        <v>2.4290000000000003</v>
      </c>
      <c r="K108" s="553">
        <v>2.1859480000000002</v>
      </c>
      <c r="L108" s="553">
        <v>1.7115279999999999</v>
      </c>
      <c r="M108" s="553">
        <v>1.8875800000000003</v>
      </c>
      <c r="N108" s="553">
        <v>1.2447210000000002</v>
      </c>
      <c r="O108" s="553">
        <v>2.0872769999999985</v>
      </c>
      <c r="P108" s="553">
        <v>1.7632990000000004</v>
      </c>
      <c r="Q108" s="561">
        <f t="shared" si="54"/>
        <v>17.383304500000005</v>
      </c>
      <c r="R108" s="166"/>
      <c r="S108" s="166"/>
    </row>
    <row r="109" spans="3:19" hidden="1" x14ac:dyDescent="0.25">
      <c r="C109" s="17" t="s">
        <v>209</v>
      </c>
      <c r="D109" s="17" t="s">
        <v>210</v>
      </c>
      <c r="E109" s="553">
        <v>101.721451</v>
      </c>
      <c r="F109" s="553">
        <v>43.231859999999998</v>
      </c>
      <c r="G109" s="553">
        <v>47.289109000000003</v>
      </c>
      <c r="H109" s="553">
        <v>62.857367000000004</v>
      </c>
      <c r="I109" s="553">
        <v>72.941783999999998</v>
      </c>
      <c r="J109" s="553">
        <v>83.668018000000004</v>
      </c>
      <c r="K109" s="553">
        <v>53.203375999999999</v>
      </c>
      <c r="L109" s="553">
        <v>37.284256999999997</v>
      </c>
      <c r="M109" s="553">
        <v>61.834822000000003</v>
      </c>
      <c r="N109" s="553">
        <v>101.47</v>
      </c>
      <c r="O109" s="553">
        <v>99.175177000000005</v>
      </c>
      <c r="P109" s="553">
        <v>104.714861</v>
      </c>
      <c r="Q109" s="561">
        <f t="shared" si="54"/>
        <v>869.39208200000007</v>
      </c>
      <c r="R109" s="166"/>
      <c r="S109" s="166"/>
    </row>
    <row r="110" spans="3:19" hidden="1" x14ac:dyDescent="0.25">
      <c r="C110" s="17" t="s">
        <v>211</v>
      </c>
      <c r="D110" s="17" t="s">
        <v>189</v>
      </c>
      <c r="E110" s="553"/>
      <c r="F110" s="553"/>
      <c r="G110" s="553"/>
      <c r="H110" s="553"/>
      <c r="I110" s="553"/>
      <c r="J110" s="553"/>
      <c r="K110" s="553"/>
      <c r="L110" s="553"/>
      <c r="M110" s="553"/>
      <c r="N110" s="553"/>
      <c r="O110" s="553"/>
      <c r="P110" s="553"/>
      <c r="Q110" s="561">
        <f t="shared" si="54"/>
        <v>0</v>
      </c>
      <c r="R110" s="166"/>
      <c r="S110" s="166"/>
    </row>
    <row r="111" spans="3:19" hidden="1" x14ac:dyDescent="0.25">
      <c r="C111" s="17"/>
      <c r="D111" s="17"/>
      <c r="E111" s="553"/>
      <c r="F111" s="553"/>
      <c r="G111" s="553"/>
      <c r="H111" s="553"/>
      <c r="I111" s="553"/>
      <c r="J111" s="553"/>
      <c r="K111" s="553"/>
      <c r="L111" s="553"/>
      <c r="M111" s="553"/>
      <c r="N111" s="553"/>
      <c r="O111" s="553"/>
      <c r="P111" s="553"/>
      <c r="Q111" s="561">
        <f t="shared" si="54"/>
        <v>0</v>
      </c>
      <c r="R111" s="166"/>
      <c r="S111" s="166"/>
    </row>
    <row r="112" spans="3:19" hidden="1" x14ac:dyDescent="0.25">
      <c r="C112" s="17"/>
      <c r="D112" s="17"/>
      <c r="E112" s="553"/>
      <c r="F112" s="553"/>
      <c r="G112" s="553"/>
      <c r="H112" s="553"/>
      <c r="I112" s="553"/>
      <c r="J112" s="553"/>
      <c r="K112" s="553"/>
      <c r="L112" s="553"/>
      <c r="M112" s="553"/>
      <c r="N112" s="553"/>
      <c r="O112" s="553"/>
      <c r="P112" s="553"/>
      <c r="Q112" s="561">
        <f t="shared" si="54"/>
        <v>0</v>
      </c>
      <c r="R112" s="166"/>
      <c r="S112" s="166"/>
    </row>
    <row r="113" spans="3:19" hidden="1" x14ac:dyDescent="0.25">
      <c r="C113" s="17"/>
      <c r="D113" s="17"/>
      <c r="E113" s="553"/>
      <c r="F113" s="553"/>
      <c r="G113" s="553"/>
      <c r="H113" s="553"/>
      <c r="I113" s="553"/>
      <c r="J113" s="553"/>
      <c r="K113" s="553"/>
      <c r="L113" s="553"/>
      <c r="M113" s="553"/>
      <c r="N113" s="553"/>
      <c r="O113" s="553"/>
      <c r="P113" s="553"/>
      <c r="Q113" s="561">
        <f t="shared" si="54"/>
        <v>0</v>
      </c>
      <c r="R113" s="166"/>
      <c r="S113" s="166"/>
    </row>
    <row r="114" spans="3:19" hidden="1" x14ac:dyDescent="0.25">
      <c r="C114" s="17"/>
      <c r="D114" s="17"/>
      <c r="E114" s="553"/>
      <c r="F114" s="553"/>
      <c r="G114" s="553"/>
      <c r="H114" s="553"/>
      <c r="I114" s="553"/>
      <c r="J114" s="553"/>
      <c r="K114" s="553"/>
      <c r="L114" s="553"/>
      <c r="M114" s="553"/>
      <c r="N114" s="553"/>
      <c r="O114" s="553"/>
      <c r="P114" s="553"/>
      <c r="Q114" s="561">
        <f t="shared" si="54"/>
        <v>0</v>
      </c>
      <c r="R114" s="166"/>
      <c r="S114" s="166"/>
    </row>
    <row r="115" spans="3:19" hidden="1" x14ac:dyDescent="0.25">
      <c r="C115" s="751" t="s">
        <v>212</v>
      </c>
      <c r="D115" s="752"/>
      <c r="E115" s="561">
        <f t="shared" ref="E115:P115" si="55">SUM(E100:E114)</f>
        <v>185.42546898999998</v>
      </c>
      <c r="F115" s="561">
        <f t="shared" si="55"/>
        <v>123.78747814999997</v>
      </c>
      <c r="G115" s="561">
        <f t="shared" si="55"/>
        <v>129.24066238</v>
      </c>
      <c r="H115" s="561">
        <f t="shared" si="55"/>
        <v>139.68366216000004</v>
      </c>
      <c r="I115" s="561">
        <f t="shared" si="55"/>
        <v>151.72503812000008</v>
      </c>
      <c r="J115" s="561">
        <f t="shared" si="55"/>
        <v>165.63783136000001</v>
      </c>
      <c r="K115" s="561">
        <f t="shared" si="55"/>
        <v>130.04549176</v>
      </c>
      <c r="L115" s="561">
        <f t="shared" si="55"/>
        <v>122.39381509999984</v>
      </c>
      <c r="M115" s="561">
        <f t="shared" si="55"/>
        <v>157.85705836999989</v>
      </c>
      <c r="N115" s="561">
        <f t="shared" si="55"/>
        <v>201.39147636999991</v>
      </c>
      <c r="O115" s="561">
        <f t="shared" si="55"/>
        <v>203.21296702999996</v>
      </c>
      <c r="P115" s="561">
        <f t="shared" si="55"/>
        <v>197.48269212999995</v>
      </c>
      <c r="Q115" s="561">
        <f t="shared" si="54"/>
        <v>1907.8836419199997</v>
      </c>
      <c r="R115" s="166"/>
      <c r="S115" s="166"/>
    </row>
    <row r="116" spans="3:19" hidden="1" x14ac:dyDescent="0.25">
      <c r="C116" s="753" t="s">
        <v>213</v>
      </c>
      <c r="D116" s="754"/>
      <c r="E116" s="553"/>
      <c r="F116" s="553"/>
      <c r="G116" s="553"/>
      <c r="H116" s="553"/>
      <c r="I116" s="553"/>
      <c r="J116" s="553"/>
      <c r="K116" s="553"/>
      <c r="L116" s="553"/>
      <c r="M116" s="553"/>
      <c r="N116" s="553"/>
      <c r="O116" s="553"/>
      <c r="P116" s="553"/>
      <c r="Q116" s="561"/>
      <c r="R116" s="166"/>
      <c r="S116" s="166"/>
    </row>
    <row r="117" spans="3:19" hidden="1" x14ac:dyDescent="0.25">
      <c r="C117" s="17" t="s">
        <v>192</v>
      </c>
      <c r="D117" s="17" t="s">
        <v>193</v>
      </c>
      <c r="E117" s="553">
        <v>18.665250999999998</v>
      </c>
      <c r="F117" s="553">
        <v>16.103504999999998</v>
      </c>
      <c r="G117" s="553">
        <v>17.202179999999998</v>
      </c>
      <c r="H117" s="553">
        <v>14.300727999999999</v>
      </c>
      <c r="I117" s="553">
        <v>15.835322</v>
      </c>
      <c r="J117" s="553">
        <v>16.414565</v>
      </c>
      <c r="K117" s="553">
        <v>15.810092000000001</v>
      </c>
      <c r="L117" s="553">
        <v>16.199824999999997</v>
      </c>
      <c r="M117" s="553">
        <v>17.428250999999999</v>
      </c>
      <c r="N117" s="553">
        <v>16.894728999999998</v>
      </c>
      <c r="O117" s="553">
        <v>17.371953999999999</v>
      </c>
      <c r="P117" s="553">
        <v>15.796399000000001</v>
      </c>
      <c r="Q117" s="561">
        <f t="shared" ref="Q117:Q132" si="56">SUM(E117:P117)</f>
        <v>198.02280099999999</v>
      </c>
      <c r="R117" s="166"/>
      <c r="S117" s="166"/>
    </row>
    <row r="118" spans="3:19" hidden="1" x14ac:dyDescent="0.25">
      <c r="C118" s="17" t="s">
        <v>194</v>
      </c>
      <c r="D118" s="17" t="s">
        <v>195</v>
      </c>
      <c r="E118" s="553">
        <v>3.6894</v>
      </c>
      <c r="F118" s="553">
        <v>4.2080000000000002</v>
      </c>
      <c r="G118" s="553">
        <v>3.7530000000000001</v>
      </c>
      <c r="H118" s="553">
        <v>3.8515999999999999</v>
      </c>
      <c r="I118" s="553">
        <v>2.7982</v>
      </c>
      <c r="J118" s="553">
        <v>3.8963999999999999</v>
      </c>
      <c r="K118" s="553">
        <v>1.9714</v>
      </c>
      <c r="L118" s="553">
        <v>3.1</v>
      </c>
      <c r="M118" s="553">
        <v>3.2031999999999998</v>
      </c>
      <c r="N118" s="553">
        <v>3.8</v>
      </c>
      <c r="O118" s="553">
        <v>4.3365999999999998</v>
      </c>
      <c r="P118" s="553">
        <v>2.9054000000000002</v>
      </c>
      <c r="Q118" s="561">
        <f t="shared" si="56"/>
        <v>41.513199999999998</v>
      </c>
      <c r="R118" s="166"/>
      <c r="S118" s="166"/>
    </row>
    <row r="119" spans="3:19" hidden="1" x14ac:dyDescent="0.25">
      <c r="C119" s="17" t="s">
        <v>233</v>
      </c>
      <c r="D119" s="17" t="s">
        <v>197</v>
      </c>
      <c r="E119" s="553">
        <v>1.652123</v>
      </c>
      <c r="F119" s="553">
        <v>1.8480080000000001</v>
      </c>
      <c r="G119" s="553">
        <v>1.265703</v>
      </c>
      <c r="H119" s="553">
        <v>0.79645100000000002</v>
      </c>
      <c r="I119" s="553">
        <v>0.76189399999999996</v>
      </c>
      <c r="J119" s="553">
        <v>0.88816300000000004</v>
      </c>
      <c r="K119" s="553">
        <v>0.72735099999999986</v>
      </c>
      <c r="L119" s="553">
        <v>0.7883</v>
      </c>
      <c r="M119" s="553">
        <v>0.73735700000000004</v>
      </c>
      <c r="N119" s="553">
        <v>0.822488</v>
      </c>
      <c r="O119" s="553">
        <v>0.94354499999999986</v>
      </c>
      <c r="P119" s="553">
        <v>0.88638900000000009</v>
      </c>
      <c r="Q119" s="561">
        <f t="shared" si="56"/>
        <v>12.117771999999999</v>
      </c>
      <c r="R119" s="166"/>
      <c r="S119" s="166"/>
    </row>
    <row r="120" spans="3:19" hidden="1" x14ac:dyDescent="0.25">
      <c r="C120" s="17" t="s">
        <v>198</v>
      </c>
      <c r="D120" s="17" t="s">
        <v>199</v>
      </c>
      <c r="E120" s="553"/>
      <c r="F120" s="553"/>
      <c r="G120" s="553"/>
      <c r="H120" s="553"/>
      <c r="I120" s="553"/>
      <c r="J120" s="553"/>
      <c r="K120" s="553"/>
      <c r="L120" s="553"/>
      <c r="M120" s="553"/>
      <c r="N120" s="553"/>
      <c r="O120" s="553"/>
      <c r="P120" s="553"/>
      <c r="Q120" s="561">
        <f t="shared" si="56"/>
        <v>0</v>
      </c>
      <c r="R120" s="166"/>
      <c r="S120" s="166"/>
    </row>
    <row r="121" spans="3:19" hidden="1" x14ac:dyDescent="0.25">
      <c r="C121" s="17" t="s">
        <v>200</v>
      </c>
      <c r="D121" s="17" t="s">
        <v>201</v>
      </c>
      <c r="E121" s="553"/>
      <c r="F121" s="553"/>
      <c r="G121" s="553"/>
      <c r="H121" s="553"/>
      <c r="I121" s="553"/>
      <c r="J121" s="553"/>
      <c r="K121" s="553"/>
      <c r="L121" s="553"/>
      <c r="M121" s="553"/>
      <c r="N121" s="553"/>
      <c r="O121" s="553"/>
      <c r="P121" s="553"/>
      <c r="Q121" s="561">
        <f t="shared" si="56"/>
        <v>0</v>
      </c>
      <c r="R121" s="166"/>
      <c r="S121" s="166"/>
    </row>
    <row r="122" spans="3:19" hidden="1" x14ac:dyDescent="0.25">
      <c r="C122" s="17" t="s">
        <v>202</v>
      </c>
      <c r="D122" s="17" t="s">
        <v>203</v>
      </c>
      <c r="E122" s="553">
        <v>3.1728399999999999</v>
      </c>
      <c r="F122" s="553">
        <v>0.12335</v>
      </c>
      <c r="G122" s="553">
        <v>7.6094999999999996E-2</v>
      </c>
      <c r="H122" s="553">
        <v>7.4950000000000003E-2</v>
      </c>
      <c r="I122" s="553">
        <v>4.5009199999999998</v>
      </c>
      <c r="J122" s="553">
        <v>5.1381750000000004</v>
      </c>
      <c r="K122" s="553">
        <v>5.4124150000000002</v>
      </c>
      <c r="L122" s="553">
        <v>7.6682949999999996</v>
      </c>
      <c r="M122" s="553">
        <v>2.6615799999999998</v>
      </c>
      <c r="N122" s="553">
        <v>5.2675999999999998</v>
      </c>
      <c r="O122" s="553">
        <v>7.7697450000000003</v>
      </c>
      <c r="P122" s="553">
        <v>4.6405500000000002</v>
      </c>
      <c r="Q122" s="561">
        <f t="shared" si="56"/>
        <v>46.506515</v>
      </c>
      <c r="R122" s="166"/>
      <c r="S122" s="166"/>
    </row>
    <row r="123" spans="3:19" hidden="1" x14ac:dyDescent="0.25">
      <c r="C123" s="17" t="s">
        <v>204</v>
      </c>
      <c r="D123" s="17" t="s">
        <v>205</v>
      </c>
      <c r="E123" s="553">
        <v>18.938918999999999</v>
      </c>
      <c r="F123" s="553">
        <v>18.259281000000001</v>
      </c>
      <c r="G123" s="553">
        <v>18.228034000000001</v>
      </c>
      <c r="H123" s="553">
        <v>16.132538</v>
      </c>
      <c r="I123" s="553">
        <v>16.673590999999998</v>
      </c>
      <c r="J123" s="553">
        <v>18.097655</v>
      </c>
      <c r="K123" s="553">
        <v>17.143504</v>
      </c>
      <c r="L123" s="553">
        <v>18.497422</v>
      </c>
      <c r="M123" s="553">
        <v>18.72852</v>
      </c>
      <c r="N123" s="553">
        <v>19.212741999999999</v>
      </c>
      <c r="O123" s="553">
        <v>19.688081</v>
      </c>
      <c r="P123" s="553">
        <v>19.604049</v>
      </c>
      <c r="Q123" s="561">
        <f t="shared" si="56"/>
        <v>219.20433600000001</v>
      </c>
      <c r="R123" s="166"/>
      <c r="S123" s="166"/>
    </row>
    <row r="124" spans="3:19" hidden="1" x14ac:dyDescent="0.25">
      <c r="C124" s="17" t="s">
        <v>206</v>
      </c>
      <c r="D124" s="17" t="s">
        <v>207</v>
      </c>
      <c r="E124" s="553">
        <v>3.83982</v>
      </c>
      <c r="F124" s="553">
        <v>4.2133050000000001</v>
      </c>
      <c r="G124" s="553">
        <v>4.8246650000000004</v>
      </c>
      <c r="H124" s="553">
        <v>3.909395</v>
      </c>
      <c r="I124" s="553">
        <v>3.6659799999999998</v>
      </c>
      <c r="J124" s="553">
        <v>3.7956599999999998</v>
      </c>
      <c r="K124" s="553">
        <v>3.6556850000000001</v>
      </c>
      <c r="L124" s="553">
        <v>3.3792300000000002</v>
      </c>
      <c r="M124" s="553">
        <v>2.9880450000000001</v>
      </c>
      <c r="N124" s="553">
        <v>3.0089899999999998</v>
      </c>
      <c r="O124" s="553">
        <v>1.5994649999999999</v>
      </c>
      <c r="P124" s="553">
        <v>3.1214</v>
      </c>
      <c r="Q124" s="561">
        <f t="shared" si="56"/>
        <v>42.001640000000002</v>
      </c>
      <c r="R124" s="166"/>
      <c r="S124" s="166"/>
    </row>
    <row r="125" spans="3:19" hidden="1" x14ac:dyDescent="0.25">
      <c r="C125" s="17" t="s">
        <v>214</v>
      </c>
      <c r="D125" s="17" t="s">
        <v>187</v>
      </c>
      <c r="E125" s="553">
        <v>0</v>
      </c>
      <c r="F125" s="553">
        <v>0</v>
      </c>
      <c r="G125" s="553">
        <v>0</v>
      </c>
      <c r="H125" s="553">
        <v>0.76778999999999997</v>
      </c>
      <c r="I125" s="553">
        <v>0.56309600000000004</v>
      </c>
      <c r="J125" s="553">
        <v>0.55469500000000005</v>
      </c>
      <c r="K125" s="553">
        <v>0.56428900000000004</v>
      </c>
      <c r="L125" s="553">
        <v>1.1236809999999999</v>
      </c>
      <c r="M125" s="553">
        <v>1.3206519999999999</v>
      </c>
      <c r="N125" s="553">
        <v>1.3516300000000001</v>
      </c>
      <c r="O125" s="553">
        <v>1.5111749999999999</v>
      </c>
      <c r="P125" s="553">
        <v>1.252456</v>
      </c>
      <c r="Q125" s="561">
        <f t="shared" si="56"/>
        <v>9.0094639999999995</v>
      </c>
      <c r="R125" s="166"/>
      <c r="S125" s="166"/>
    </row>
    <row r="126" spans="3:19" hidden="1" x14ac:dyDescent="0.25">
      <c r="C126" s="17" t="s">
        <v>209</v>
      </c>
      <c r="D126" s="17" t="s">
        <v>210</v>
      </c>
      <c r="E126" s="553"/>
      <c r="F126" s="553"/>
      <c r="G126" s="553"/>
      <c r="H126" s="553"/>
      <c r="I126" s="553"/>
      <c r="J126" s="553"/>
      <c r="K126" s="553"/>
      <c r="L126" s="553"/>
      <c r="M126" s="553"/>
      <c r="N126" s="553"/>
      <c r="O126" s="553"/>
      <c r="P126" s="553"/>
      <c r="Q126" s="561">
        <f t="shared" si="56"/>
        <v>0</v>
      </c>
      <c r="R126" s="166"/>
      <c r="S126" s="166"/>
    </row>
    <row r="127" spans="3:19" hidden="1" x14ac:dyDescent="0.25">
      <c r="C127" s="17" t="s">
        <v>211</v>
      </c>
      <c r="D127" s="17" t="s">
        <v>189</v>
      </c>
      <c r="E127" s="553"/>
      <c r="F127" s="553"/>
      <c r="G127" s="553"/>
      <c r="H127" s="553"/>
      <c r="I127" s="553"/>
      <c r="J127" s="553"/>
      <c r="K127" s="553"/>
      <c r="L127" s="553"/>
      <c r="M127" s="553"/>
      <c r="N127" s="553"/>
      <c r="O127" s="553"/>
      <c r="P127" s="553"/>
      <c r="Q127" s="561">
        <f t="shared" si="56"/>
        <v>0</v>
      </c>
      <c r="R127" s="166"/>
      <c r="S127" s="166"/>
    </row>
    <row r="128" spans="3:19" hidden="1" x14ac:dyDescent="0.25">
      <c r="C128" s="17"/>
      <c r="D128" s="17"/>
      <c r="E128" s="553"/>
      <c r="F128" s="553"/>
      <c r="G128" s="553"/>
      <c r="H128" s="553"/>
      <c r="I128" s="553"/>
      <c r="J128" s="553"/>
      <c r="K128" s="553"/>
      <c r="L128" s="553"/>
      <c r="M128" s="553"/>
      <c r="N128" s="553"/>
      <c r="O128" s="553"/>
      <c r="P128" s="553"/>
      <c r="Q128" s="561">
        <f t="shared" si="56"/>
        <v>0</v>
      </c>
      <c r="R128" s="166"/>
      <c r="S128" s="166"/>
    </row>
    <row r="129" spans="3:19" hidden="1" x14ac:dyDescent="0.25">
      <c r="C129" s="17"/>
      <c r="D129" s="17"/>
      <c r="E129" s="553"/>
      <c r="F129" s="553"/>
      <c r="G129" s="553"/>
      <c r="H129" s="553"/>
      <c r="I129" s="553"/>
      <c r="J129" s="553"/>
      <c r="K129" s="553"/>
      <c r="L129" s="553"/>
      <c r="M129" s="553"/>
      <c r="N129" s="553"/>
      <c r="O129" s="553"/>
      <c r="P129" s="553"/>
      <c r="Q129" s="561">
        <f t="shared" si="56"/>
        <v>0</v>
      </c>
      <c r="R129" s="166"/>
      <c r="S129" s="166"/>
    </row>
    <row r="130" spans="3:19" hidden="1" x14ac:dyDescent="0.25">
      <c r="C130" s="17"/>
      <c r="D130" s="17"/>
      <c r="E130" s="553"/>
      <c r="F130" s="553"/>
      <c r="G130" s="553"/>
      <c r="H130" s="553"/>
      <c r="I130" s="553"/>
      <c r="J130" s="553"/>
      <c r="K130" s="553"/>
      <c r="L130" s="553"/>
      <c r="M130" s="553"/>
      <c r="N130" s="553"/>
      <c r="O130" s="553"/>
      <c r="P130" s="553"/>
      <c r="Q130" s="561">
        <f t="shared" si="56"/>
        <v>0</v>
      </c>
      <c r="R130" s="166"/>
      <c r="S130" s="166"/>
    </row>
    <row r="131" spans="3:19" hidden="1" x14ac:dyDescent="0.25">
      <c r="C131" s="17"/>
      <c r="D131" s="17"/>
      <c r="E131" s="553"/>
      <c r="F131" s="553"/>
      <c r="G131" s="553"/>
      <c r="H131" s="553"/>
      <c r="I131" s="553"/>
      <c r="J131" s="553"/>
      <c r="K131" s="553"/>
      <c r="L131" s="553"/>
      <c r="M131" s="553"/>
      <c r="N131" s="553"/>
      <c r="O131" s="553"/>
      <c r="P131" s="553"/>
      <c r="Q131" s="561">
        <f t="shared" si="56"/>
        <v>0</v>
      </c>
      <c r="R131" s="166"/>
      <c r="S131" s="166"/>
    </row>
    <row r="132" spans="3:19" hidden="1" x14ac:dyDescent="0.25">
      <c r="C132" s="751" t="s">
        <v>212</v>
      </c>
      <c r="D132" s="752"/>
      <c r="E132" s="561">
        <f t="shared" ref="E132:P132" si="57">SUM(E117:E131)</f>
        <v>49.958353000000002</v>
      </c>
      <c r="F132" s="561">
        <f t="shared" si="57"/>
        <v>44.755448999999992</v>
      </c>
      <c r="G132" s="561">
        <f t="shared" si="57"/>
        <v>45.349677</v>
      </c>
      <c r="H132" s="561">
        <f t="shared" si="57"/>
        <v>39.833452000000001</v>
      </c>
      <c r="I132" s="561">
        <f t="shared" si="57"/>
        <v>44.799002999999999</v>
      </c>
      <c r="J132" s="561">
        <f t="shared" si="57"/>
        <v>48.785312999999995</v>
      </c>
      <c r="K132" s="561">
        <f t="shared" si="57"/>
        <v>45.284736000000002</v>
      </c>
      <c r="L132" s="561">
        <f t="shared" si="57"/>
        <v>50.756752999999996</v>
      </c>
      <c r="M132" s="561">
        <f t="shared" si="57"/>
        <v>47.067605</v>
      </c>
      <c r="N132" s="561">
        <f t="shared" si="57"/>
        <v>50.358178999999993</v>
      </c>
      <c r="O132" s="561">
        <f t="shared" si="57"/>
        <v>53.220565000000008</v>
      </c>
      <c r="P132" s="561">
        <f t="shared" si="57"/>
        <v>48.206643000000007</v>
      </c>
      <c r="Q132" s="561">
        <f t="shared" si="56"/>
        <v>568.37572799999998</v>
      </c>
      <c r="R132" s="166"/>
      <c r="S132" s="166"/>
    </row>
    <row r="133" spans="3:19" hidden="1" x14ac:dyDescent="0.25">
      <c r="C133" s="753" t="s">
        <v>215</v>
      </c>
      <c r="D133" s="754"/>
      <c r="E133" s="553"/>
      <c r="F133" s="553"/>
      <c r="G133" s="553"/>
      <c r="H133" s="553"/>
      <c r="I133" s="553"/>
      <c r="J133" s="553"/>
      <c r="K133" s="553"/>
      <c r="L133" s="553"/>
      <c r="M133" s="553"/>
      <c r="N133" s="553"/>
      <c r="O133" s="553"/>
      <c r="P133" s="553"/>
      <c r="Q133" s="561"/>
      <c r="R133" s="166"/>
      <c r="S133" s="166"/>
    </row>
    <row r="134" spans="3:19" hidden="1" x14ac:dyDescent="0.25">
      <c r="C134" s="17" t="s">
        <v>192</v>
      </c>
      <c r="D134" s="17" t="s">
        <v>193</v>
      </c>
      <c r="E134" s="553">
        <v>70.925246799999996</v>
      </c>
      <c r="F134" s="553">
        <v>71.525693700000005</v>
      </c>
      <c r="G134" s="553">
        <v>70.670426699999993</v>
      </c>
      <c r="H134" s="553">
        <v>73.908498899999955</v>
      </c>
      <c r="I134" s="553">
        <v>68.722937299999927</v>
      </c>
      <c r="J134" s="553">
        <v>77.02211803000003</v>
      </c>
      <c r="K134" s="553">
        <v>67.631266679999982</v>
      </c>
      <c r="L134" s="553">
        <v>70.813809230000089</v>
      </c>
      <c r="M134" s="553">
        <v>76.570389470000038</v>
      </c>
      <c r="N134" s="553">
        <v>73.010892740000074</v>
      </c>
      <c r="O134" s="553">
        <v>76.616702629999992</v>
      </c>
      <c r="P134" s="553">
        <v>76.591291180000098</v>
      </c>
      <c r="Q134" s="561">
        <f t="shared" ref="Q134:Q153" si="58">SUM(E134:P134)</f>
        <v>874.00927335999995</v>
      </c>
      <c r="R134" s="166"/>
      <c r="S134" s="166"/>
    </row>
    <row r="135" spans="3:19" hidden="1" x14ac:dyDescent="0.25">
      <c r="C135" s="17" t="s">
        <v>194</v>
      </c>
      <c r="D135" s="17" t="s">
        <v>195</v>
      </c>
      <c r="E135" s="553"/>
      <c r="F135" s="553"/>
      <c r="G135" s="553"/>
      <c r="H135" s="553"/>
      <c r="I135" s="553"/>
      <c r="J135" s="553"/>
      <c r="K135" s="553"/>
      <c r="L135" s="553"/>
      <c r="M135" s="553"/>
      <c r="N135" s="553"/>
      <c r="O135" s="553"/>
      <c r="P135" s="553"/>
      <c r="Q135" s="561">
        <f t="shared" si="58"/>
        <v>0</v>
      </c>
      <c r="R135" s="166"/>
      <c r="S135" s="166"/>
    </row>
    <row r="136" spans="3:19" hidden="1" x14ac:dyDescent="0.25">
      <c r="C136" s="17" t="s">
        <v>233</v>
      </c>
      <c r="D136" s="17" t="s">
        <v>197</v>
      </c>
      <c r="E136" s="553">
        <v>0.12939999999999999</v>
      </c>
      <c r="F136" s="553">
        <v>0.59850000000000003</v>
      </c>
      <c r="G136" s="553">
        <v>0.1394</v>
      </c>
      <c r="H136" s="553">
        <v>0.3473</v>
      </c>
      <c r="I136" s="553">
        <v>0.48849999999999993</v>
      </c>
      <c r="J136" s="553">
        <v>0.74729999999999996</v>
      </c>
      <c r="K136" s="553">
        <v>0.59060000000000001</v>
      </c>
      <c r="L136" s="553">
        <v>0.40280000000000005</v>
      </c>
      <c r="M136" s="553">
        <v>0.47215000000000001</v>
      </c>
      <c r="N136" s="553">
        <v>6.9099999999999995E-2</v>
      </c>
      <c r="O136" s="553">
        <v>0.1013</v>
      </c>
      <c r="P136" s="553">
        <v>4.5499999999999999E-2</v>
      </c>
      <c r="Q136" s="561">
        <f t="shared" si="58"/>
        <v>4.1318499999999991</v>
      </c>
      <c r="R136" s="166"/>
      <c r="S136" s="166"/>
    </row>
    <row r="137" spans="3:19" hidden="1" x14ac:dyDescent="0.25">
      <c r="C137" s="17" t="s">
        <v>198</v>
      </c>
      <c r="D137" s="17" t="s">
        <v>199</v>
      </c>
      <c r="E137" s="553"/>
      <c r="F137" s="553"/>
      <c r="G137" s="553"/>
      <c r="H137" s="553"/>
      <c r="I137" s="553"/>
      <c r="J137" s="553"/>
      <c r="K137" s="553"/>
      <c r="L137" s="553"/>
      <c r="M137" s="553"/>
      <c r="N137" s="553"/>
      <c r="O137" s="553"/>
      <c r="P137" s="553"/>
      <c r="Q137" s="561">
        <f t="shared" si="58"/>
        <v>0</v>
      </c>
      <c r="R137" s="166"/>
      <c r="S137" s="166"/>
    </row>
    <row r="138" spans="3:19" hidden="1" x14ac:dyDescent="0.25">
      <c r="C138" s="17" t="s">
        <v>200</v>
      </c>
      <c r="D138" s="17" t="s">
        <v>201</v>
      </c>
      <c r="E138" s="553"/>
      <c r="F138" s="553"/>
      <c r="G138" s="553"/>
      <c r="H138" s="553"/>
      <c r="I138" s="553"/>
      <c r="J138" s="553"/>
      <c r="K138" s="553"/>
      <c r="L138" s="553"/>
      <c r="M138" s="553"/>
      <c r="N138" s="553"/>
      <c r="O138" s="553"/>
      <c r="P138" s="553"/>
      <c r="Q138" s="561">
        <f t="shared" si="58"/>
        <v>0</v>
      </c>
      <c r="R138" s="166"/>
      <c r="S138" s="166"/>
    </row>
    <row r="139" spans="3:19" hidden="1" x14ac:dyDescent="0.25">
      <c r="C139" s="17" t="s">
        <v>202</v>
      </c>
      <c r="D139" s="17" t="s">
        <v>234</v>
      </c>
      <c r="E139" s="553">
        <v>62.468595000000001</v>
      </c>
      <c r="F139" s="553">
        <v>2.746848</v>
      </c>
      <c r="G139" s="553">
        <v>2.2680980000000002</v>
      </c>
      <c r="H139" s="553">
        <v>49.945179000000003</v>
      </c>
      <c r="I139" s="553">
        <v>203.90710100000001</v>
      </c>
      <c r="J139" s="553">
        <v>326.82459999999998</v>
      </c>
      <c r="K139" s="553">
        <v>87.171548999999999</v>
      </c>
      <c r="L139" s="553">
        <v>350.16360400000002</v>
      </c>
      <c r="M139" s="553">
        <v>536.13238000000001</v>
      </c>
      <c r="N139" s="553">
        <v>203.301896</v>
      </c>
      <c r="O139" s="553">
        <v>336.787037</v>
      </c>
      <c r="P139" s="553">
        <v>439.74920700000001</v>
      </c>
      <c r="Q139" s="561">
        <f t="shared" si="58"/>
        <v>2601.4660939999999</v>
      </c>
      <c r="R139" s="166"/>
      <c r="S139" s="166"/>
    </row>
    <row r="140" spans="3:19" hidden="1" x14ac:dyDescent="0.25">
      <c r="C140" s="17" t="s">
        <v>204</v>
      </c>
      <c r="D140" s="17" t="s">
        <v>216</v>
      </c>
      <c r="E140" s="553">
        <v>1.50264</v>
      </c>
      <c r="F140" s="553">
        <v>1.9023479999999999</v>
      </c>
      <c r="G140" s="553">
        <v>1.7531639999999999</v>
      </c>
      <c r="H140" s="553">
        <v>2.198016</v>
      </c>
      <c r="I140" s="553">
        <v>1.81962</v>
      </c>
      <c r="J140" s="553">
        <v>1.897416</v>
      </c>
      <c r="K140" s="553">
        <v>1.7224200000000001</v>
      </c>
      <c r="L140" s="553">
        <v>1.8457920000000001</v>
      </c>
      <c r="M140" s="553">
        <v>2.1028319999999998</v>
      </c>
      <c r="N140" s="553">
        <v>1.8180719999999999</v>
      </c>
      <c r="O140" s="553">
        <v>1.5806880000000001</v>
      </c>
      <c r="P140" s="553">
        <v>2.149416</v>
      </c>
      <c r="Q140" s="561">
        <f t="shared" si="58"/>
        <v>22.292423999999997</v>
      </c>
      <c r="R140" s="166"/>
      <c r="S140" s="166"/>
    </row>
    <row r="141" spans="3:19" hidden="1" x14ac:dyDescent="0.25">
      <c r="C141" s="17" t="s">
        <v>217</v>
      </c>
      <c r="D141" s="17" t="s">
        <v>218</v>
      </c>
      <c r="E141" s="553">
        <v>37.905616199999997</v>
      </c>
      <c r="F141" s="553">
        <v>36.024020300000004</v>
      </c>
      <c r="G141" s="553">
        <v>36.9660273</v>
      </c>
      <c r="H141" s="553">
        <v>38.362291100000007</v>
      </c>
      <c r="I141" s="553">
        <v>37.225089699999998</v>
      </c>
      <c r="J141" s="553">
        <v>35.259374000000001</v>
      </c>
      <c r="K141" s="553">
        <v>34.641901400000009</v>
      </c>
      <c r="L141" s="553">
        <v>37.923777700000002</v>
      </c>
      <c r="M141" s="553">
        <v>36.617589500000001</v>
      </c>
      <c r="N141" s="553">
        <v>38.578350399999998</v>
      </c>
      <c r="O141" s="553">
        <v>40.992595100000003</v>
      </c>
      <c r="P141" s="553">
        <v>36.5916706</v>
      </c>
      <c r="Q141" s="561">
        <f t="shared" si="58"/>
        <v>447.08830330000006</v>
      </c>
      <c r="R141" s="166"/>
      <c r="S141" s="166"/>
    </row>
    <row r="142" spans="3:19" hidden="1" x14ac:dyDescent="0.25">
      <c r="C142" s="17" t="s">
        <v>252</v>
      </c>
      <c r="D142" s="17" t="s">
        <v>236</v>
      </c>
      <c r="E142" s="553"/>
      <c r="F142" s="553"/>
      <c r="G142" s="553"/>
      <c r="H142" s="553"/>
      <c r="I142" s="553"/>
      <c r="J142" s="553"/>
      <c r="K142" s="553"/>
      <c r="L142" s="553"/>
      <c r="M142" s="553"/>
      <c r="N142" s="553"/>
      <c r="O142" s="553"/>
      <c r="P142" s="553"/>
      <c r="Q142" s="561">
        <f t="shared" si="58"/>
        <v>0</v>
      </c>
      <c r="R142" s="166"/>
      <c r="S142" s="166"/>
    </row>
    <row r="143" spans="3:19" hidden="1" x14ac:dyDescent="0.25">
      <c r="C143" s="17" t="s">
        <v>206</v>
      </c>
      <c r="D143" s="17" t="s">
        <v>207</v>
      </c>
      <c r="E143" s="553">
        <v>9.0972000000000008</v>
      </c>
      <c r="F143" s="553">
        <v>10.1577</v>
      </c>
      <c r="G143" s="553">
        <v>10.091100000000001</v>
      </c>
      <c r="H143" s="553">
        <v>9.0021000000000004</v>
      </c>
      <c r="I143" s="553">
        <v>8.1705000000000005</v>
      </c>
      <c r="J143" s="553">
        <v>9.1242000000000001</v>
      </c>
      <c r="K143" s="553">
        <v>8.4570000000000007</v>
      </c>
      <c r="L143" s="553">
        <v>7.7321999999999997</v>
      </c>
      <c r="M143" s="553">
        <v>7.1966999999999999</v>
      </c>
      <c r="N143" s="553">
        <v>6.8792999999999997</v>
      </c>
      <c r="O143" s="553">
        <v>6.9786000000000001</v>
      </c>
      <c r="P143" s="553">
        <v>8.0321999999999996</v>
      </c>
      <c r="Q143" s="561">
        <f t="shared" si="58"/>
        <v>100.91880000000002</v>
      </c>
      <c r="R143" s="166"/>
      <c r="S143" s="166"/>
    </row>
    <row r="144" spans="3:19" hidden="1" x14ac:dyDescent="0.25">
      <c r="C144" s="17" t="s">
        <v>208</v>
      </c>
      <c r="D144" s="17" t="s">
        <v>187</v>
      </c>
      <c r="E144" s="553">
        <v>0</v>
      </c>
      <c r="F144" s="553">
        <v>0</v>
      </c>
      <c r="G144" s="553">
        <v>0</v>
      </c>
      <c r="H144" s="553">
        <v>0.38</v>
      </c>
      <c r="I144" s="553">
        <v>0.70799999999999996</v>
      </c>
      <c r="J144" s="553">
        <v>1.2629999999999999</v>
      </c>
      <c r="K144" s="553">
        <v>1.498</v>
      </c>
      <c r="L144" s="553">
        <v>1.508</v>
      </c>
      <c r="M144" s="553">
        <v>2.8490000000000002</v>
      </c>
      <c r="N144" s="553">
        <v>2.9390000000000001</v>
      </c>
      <c r="O144" s="553">
        <v>5.1710000000000003</v>
      </c>
      <c r="P144" s="553">
        <v>5.0549999999999997</v>
      </c>
      <c r="Q144" s="561">
        <f t="shared" si="58"/>
        <v>21.370999999999999</v>
      </c>
      <c r="R144" s="166"/>
      <c r="S144" s="166"/>
    </row>
    <row r="145" spans="3:19" hidden="1" x14ac:dyDescent="0.25">
      <c r="C145" s="17" t="s">
        <v>209</v>
      </c>
      <c r="D145" s="17" t="s">
        <v>210</v>
      </c>
      <c r="E145" s="553"/>
      <c r="F145" s="553"/>
      <c r="G145" s="553"/>
      <c r="H145" s="553"/>
      <c r="I145" s="553"/>
      <c r="J145" s="553"/>
      <c r="K145" s="553"/>
      <c r="L145" s="553"/>
      <c r="M145" s="553"/>
      <c r="N145" s="553"/>
      <c r="O145" s="553"/>
      <c r="P145" s="553"/>
      <c r="Q145" s="561">
        <f t="shared" si="58"/>
        <v>0</v>
      </c>
      <c r="R145" s="166"/>
      <c r="S145" s="166"/>
    </row>
    <row r="146" spans="3:19" hidden="1" x14ac:dyDescent="0.25">
      <c r="C146" s="17" t="s">
        <v>211</v>
      </c>
      <c r="D146" s="17" t="s">
        <v>189</v>
      </c>
      <c r="E146" s="553"/>
      <c r="F146" s="553"/>
      <c r="G146" s="553"/>
      <c r="H146" s="553"/>
      <c r="I146" s="553"/>
      <c r="J146" s="553"/>
      <c r="K146" s="553"/>
      <c r="L146" s="553"/>
      <c r="M146" s="553"/>
      <c r="N146" s="553"/>
      <c r="O146" s="553"/>
      <c r="P146" s="553"/>
      <c r="Q146" s="561">
        <f t="shared" si="58"/>
        <v>0</v>
      </c>
      <c r="R146" s="166"/>
      <c r="S146" s="166"/>
    </row>
    <row r="147" spans="3:19" hidden="1" x14ac:dyDescent="0.25">
      <c r="C147" s="17"/>
      <c r="D147" s="17"/>
      <c r="E147" s="553"/>
      <c r="F147" s="553"/>
      <c r="G147" s="553"/>
      <c r="H147" s="553"/>
      <c r="I147" s="553"/>
      <c r="J147" s="553"/>
      <c r="K147" s="553"/>
      <c r="L147" s="553"/>
      <c r="M147" s="553"/>
      <c r="N147" s="553"/>
      <c r="O147" s="553"/>
      <c r="P147" s="553"/>
      <c r="Q147" s="561">
        <f t="shared" si="58"/>
        <v>0</v>
      </c>
      <c r="R147" s="166"/>
      <c r="S147" s="166"/>
    </row>
    <row r="148" spans="3:19" hidden="1" x14ac:dyDescent="0.25">
      <c r="C148" s="17"/>
      <c r="D148" s="17"/>
      <c r="E148" s="553"/>
      <c r="F148" s="553"/>
      <c r="G148" s="553"/>
      <c r="H148" s="553"/>
      <c r="I148" s="553"/>
      <c r="J148" s="553"/>
      <c r="K148" s="553"/>
      <c r="L148" s="553"/>
      <c r="M148" s="553"/>
      <c r="N148" s="553"/>
      <c r="O148" s="553"/>
      <c r="P148" s="553"/>
      <c r="Q148" s="561">
        <f t="shared" si="58"/>
        <v>0</v>
      </c>
      <c r="R148" s="166"/>
      <c r="S148" s="166"/>
    </row>
    <row r="149" spans="3:19" hidden="1" x14ac:dyDescent="0.25">
      <c r="C149" s="17"/>
      <c r="D149" s="17"/>
      <c r="E149" s="553"/>
      <c r="F149" s="553"/>
      <c r="G149" s="553"/>
      <c r="H149" s="553"/>
      <c r="I149" s="553"/>
      <c r="J149" s="553"/>
      <c r="K149" s="553"/>
      <c r="L149" s="553"/>
      <c r="M149" s="553"/>
      <c r="N149" s="553"/>
      <c r="O149" s="553"/>
      <c r="P149" s="553"/>
      <c r="Q149" s="561">
        <f t="shared" si="58"/>
        <v>0</v>
      </c>
      <c r="R149" s="166"/>
      <c r="S149" s="166"/>
    </row>
    <row r="150" spans="3:19" hidden="1" x14ac:dyDescent="0.25">
      <c r="C150" s="17" t="s">
        <v>226</v>
      </c>
      <c r="D150" s="17" t="s">
        <v>226</v>
      </c>
      <c r="E150" s="553"/>
      <c r="F150" s="553"/>
      <c r="G150" s="553"/>
      <c r="H150" s="553"/>
      <c r="I150" s="553"/>
      <c r="J150" s="553"/>
      <c r="K150" s="553"/>
      <c r="L150" s="553"/>
      <c r="M150" s="553"/>
      <c r="N150" s="553"/>
      <c r="O150" s="553"/>
      <c r="P150" s="553"/>
      <c r="Q150" s="561">
        <f t="shared" si="58"/>
        <v>0</v>
      </c>
      <c r="R150" s="166"/>
      <c r="S150" s="166"/>
    </row>
    <row r="151" spans="3:19" hidden="1" x14ac:dyDescent="0.25">
      <c r="C151" s="751" t="s">
        <v>212</v>
      </c>
      <c r="D151" s="752"/>
      <c r="E151" s="561">
        <f t="shared" ref="E151:P151" si="59">SUM(E134:E150)</f>
        <v>182.02869800000002</v>
      </c>
      <c r="F151" s="561">
        <f t="shared" si="59"/>
        <v>122.95511000000002</v>
      </c>
      <c r="G151" s="561">
        <f t="shared" si="59"/>
        <v>121.88821599999999</v>
      </c>
      <c r="H151" s="561">
        <f t="shared" si="59"/>
        <v>174.14338499999999</v>
      </c>
      <c r="I151" s="561">
        <f t="shared" si="59"/>
        <v>321.04174799999998</v>
      </c>
      <c r="J151" s="561">
        <f t="shared" si="59"/>
        <v>452.13800802999998</v>
      </c>
      <c r="K151" s="561">
        <f t="shared" si="59"/>
        <v>201.71273707999995</v>
      </c>
      <c r="L151" s="561">
        <f t="shared" si="59"/>
        <v>470.38998293000009</v>
      </c>
      <c r="M151" s="561">
        <f t="shared" si="59"/>
        <v>661.94104097000013</v>
      </c>
      <c r="N151" s="561">
        <f t="shared" si="59"/>
        <v>326.59661114000005</v>
      </c>
      <c r="O151" s="561">
        <f t="shared" si="59"/>
        <v>468.22792272999999</v>
      </c>
      <c r="P151" s="561">
        <f t="shared" si="59"/>
        <v>568.21428478000007</v>
      </c>
      <c r="Q151" s="561">
        <f t="shared" si="58"/>
        <v>4071.2777446600003</v>
      </c>
      <c r="R151" s="166"/>
      <c r="S151" s="166"/>
    </row>
    <row r="152" spans="3:19" hidden="1" x14ac:dyDescent="0.25">
      <c r="C152" s="751" t="s">
        <v>219</v>
      </c>
      <c r="D152" s="752"/>
      <c r="E152" s="561">
        <f t="shared" ref="E152:P152" si="60">E115+E132+E151</f>
        <v>417.41251999000002</v>
      </c>
      <c r="F152" s="561">
        <f t="shared" si="60"/>
        <v>291.49803714999996</v>
      </c>
      <c r="G152" s="561">
        <f t="shared" si="60"/>
        <v>296.47855537999999</v>
      </c>
      <c r="H152" s="561">
        <f t="shared" si="60"/>
        <v>353.66049916000003</v>
      </c>
      <c r="I152" s="561">
        <f t="shared" si="60"/>
        <v>517.56578912000009</v>
      </c>
      <c r="J152" s="561">
        <f t="shared" si="60"/>
        <v>666.56115238999996</v>
      </c>
      <c r="K152" s="561">
        <f t="shared" si="60"/>
        <v>377.04296483999997</v>
      </c>
      <c r="L152" s="561">
        <f t="shared" si="60"/>
        <v>643.54055102999996</v>
      </c>
      <c r="M152" s="561">
        <f t="shared" si="60"/>
        <v>866.86570434000009</v>
      </c>
      <c r="N152" s="561">
        <f t="shared" si="60"/>
        <v>578.34626650999996</v>
      </c>
      <c r="O152" s="561">
        <f t="shared" si="60"/>
        <v>724.66145475999997</v>
      </c>
      <c r="P152" s="561">
        <f t="shared" si="60"/>
        <v>813.90361991000009</v>
      </c>
      <c r="Q152" s="561">
        <f t="shared" si="58"/>
        <v>6547.53711458</v>
      </c>
      <c r="R152" s="166"/>
      <c r="S152" s="166"/>
    </row>
    <row r="153" spans="3:19" hidden="1" x14ac:dyDescent="0.25">
      <c r="C153" s="751" t="s">
        <v>220</v>
      </c>
      <c r="D153" s="752"/>
      <c r="E153" s="561">
        <f t="shared" ref="E153:P153" si="61">E152+E98</f>
        <v>845.81938709000008</v>
      </c>
      <c r="F153" s="561">
        <f t="shared" si="61"/>
        <v>795.8015541499999</v>
      </c>
      <c r="G153" s="561">
        <f t="shared" si="61"/>
        <v>812.16551267999989</v>
      </c>
      <c r="H153" s="561">
        <f t="shared" si="61"/>
        <v>789.27869635999991</v>
      </c>
      <c r="I153" s="561">
        <f t="shared" si="61"/>
        <v>933.43723374000001</v>
      </c>
      <c r="J153" s="561">
        <f t="shared" si="61"/>
        <v>1075.2331023900001</v>
      </c>
      <c r="K153" s="561">
        <f t="shared" si="61"/>
        <v>788.29266384000005</v>
      </c>
      <c r="L153" s="561">
        <f t="shared" si="61"/>
        <v>1037.76579092</v>
      </c>
      <c r="M153" s="561">
        <f t="shared" si="61"/>
        <v>1225.7134108400001</v>
      </c>
      <c r="N153" s="561">
        <f t="shared" si="61"/>
        <v>919.61227210999994</v>
      </c>
      <c r="O153" s="561">
        <f t="shared" si="61"/>
        <v>1072.2145092599999</v>
      </c>
      <c r="P153" s="561">
        <f t="shared" si="61"/>
        <v>1176.75995091</v>
      </c>
      <c r="Q153" s="561">
        <f t="shared" si="58"/>
        <v>11472.09408429</v>
      </c>
      <c r="R153" s="166"/>
      <c r="S153" s="166"/>
    </row>
    <row r="154" spans="3:19" hidden="1" x14ac:dyDescent="0.25">
      <c r="C154" s="25"/>
      <c r="D154" s="25"/>
      <c r="E154" s="562"/>
      <c r="F154" s="562"/>
      <c r="G154" s="562"/>
      <c r="H154" s="562"/>
      <c r="I154" s="562"/>
      <c r="J154" s="562"/>
      <c r="K154" s="562"/>
      <c r="L154" s="562"/>
      <c r="M154" s="562"/>
      <c r="N154" s="562"/>
      <c r="O154" s="562"/>
      <c r="P154" s="562"/>
      <c r="Q154" s="562"/>
      <c r="R154" s="166"/>
      <c r="S154" s="166"/>
    </row>
    <row r="155" spans="3:19" hidden="1" x14ac:dyDescent="0.25">
      <c r="C155" s="14"/>
      <c r="E155" s="562"/>
      <c r="F155" s="562"/>
      <c r="G155" s="562"/>
      <c r="H155" s="562"/>
      <c r="I155" s="562"/>
      <c r="J155" s="562"/>
      <c r="K155" s="562"/>
      <c r="L155" s="562"/>
      <c r="M155" s="562"/>
      <c r="N155" s="562"/>
      <c r="O155" s="562"/>
      <c r="P155" s="562"/>
      <c r="Q155" s="564" t="s">
        <v>229</v>
      </c>
      <c r="R155" s="166"/>
      <c r="S155" s="166"/>
    </row>
    <row r="156" spans="3:19" hidden="1" x14ac:dyDescent="0.25">
      <c r="C156" s="760" t="s">
        <v>163</v>
      </c>
      <c r="D156" s="760"/>
      <c r="E156" s="769" t="s">
        <v>263</v>
      </c>
      <c r="F156" s="769"/>
      <c r="G156" s="769"/>
      <c r="H156" s="769"/>
      <c r="I156" s="769"/>
      <c r="J156" s="769"/>
      <c r="K156" s="769"/>
      <c r="L156" s="769"/>
      <c r="M156" s="769"/>
      <c r="N156" s="769"/>
      <c r="O156" s="769"/>
      <c r="P156" s="769"/>
      <c r="Q156" s="769"/>
      <c r="R156" s="166"/>
      <c r="S156" s="166"/>
    </row>
    <row r="157" spans="3:19" hidden="1" x14ac:dyDescent="0.25">
      <c r="C157" s="760"/>
      <c r="D157" s="760"/>
      <c r="E157" s="560" t="s">
        <v>239</v>
      </c>
      <c r="F157" s="560" t="s">
        <v>240</v>
      </c>
      <c r="G157" s="560" t="s">
        <v>241</v>
      </c>
      <c r="H157" s="560" t="s">
        <v>242</v>
      </c>
      <c r="I157" s="560" t="s">
        <v>243</v>
      </c>
      <c r="J157" s="560" t="s">
        <v>244</v>
      </c>
      <c r="K157" s="560" t="s">
        <v>245</v>
      </c>
      <c r="L157" s="560" t="s">
        <v>246</v>
      </c>
      <c r="M157" s="560" t="s">
        <v>247</v>
      </c>
      <c r="N157" s="560" t="s">
        <v>248</v>
      </c>
      <c r="O157" s="560" t="s">
        <v>249</v>
      </c>
      <c r="P157" s="560" t="s">
        <v>250</v>
      </c>
      <c r="Q157" s="560" t="s">
        <v>251</v>
      </c>
      <c r="R157" s="166"/>
      <c r="S157" s="166"/>
    </row>
    <row r="158" spans="3:19" hidden="1" x14ac:dyDescent="0.25">
      <c r="C158" s="753" t="s">
        <v>171</v>
      </c>
      <c r="D158" s="754"/>
      <c r="E158" s="553"/>
      <c r="F158" s="553"/>
      <c r="G158" s="553"/>
      <c r="H158" s="553"/>
      <c r="I158" s="553"/>
      <c r="J158" s="553"/>
      <c r="K158" s="553"/>
      <c r="L158" s="553"/>
      <c r="M158" s="553"/>
      <c r="N158" s="553"/>
      <c r="O158" s="553"/>
      <c r="P158" s="553"/>
      <c r="Q158" s="561"/>
      <c r="R158" s="166"/>
      <c r="S158" s="166"/>
    </row>
    <row r="159" spans="3:19" hidden="1" x14ac:dyDescent="0.25">
      <c r="C159" s="59" t="s">
        <v>172</v>
      </c>
      <c r="D159" s="59" t="s">
        <v>173</v>
      </c>
      <c r="E159" s="553">
        <v>311.84614900000008</v>
      </c>
      <c r="F159" s="553">
        <v>379.03850799999998</v>
      </c>
      <c r="G159" s="553">
        <v>370.61</v>
      </c>
      <c r="H159" s="553">
        <v>362.45415000000003</v>
      </c>
      <c r="I159" s="553">
        <v>376.81800699999997</v>
      </c>
      <c r="J159" s="553">
        <v>327.016368</v>
      </c>
      <c r="K159" s="553">
        <v>329.117639</v>
      </c>
      <c r="L159" s="553">
        <v>309.05405100000007</v>
      </c>
      <c r="M159" s="553">
        <v>262.97836800000005</v>
      </c>
      <c r="N159" s="553">
        <v>236.54878200000002</v>
      </c>
      <c r="O159" s="553">
        <v>246.71503300000001</v>
      </c>
      <c r="P159" s="553">
        <v>257.23450200000002</v>
      </c>
      <c r="Q159" s="561">
        <f t="shared" ref="Q159:Q172" si="62">SUM(E159:P159)</f>
        <v>3769.4315569999999</v>
      </c>
      <c r="R159" s="166"/>
      <c r="S159" s="166"/>
    </row>
    <row r="160" spans="3:19" hidden="1" x14ac:dyDescent="0.25">
      <c r="C160" s="17" t="s">
        <v>174</v>
      </c>
      <c r="D160" s="17" t="s">
        <v>175</v>
      </c>
      <c r="E160" s="553">
        <v>35.176163000000003</v>
      </c>
      <c r="F160" s="553">
        <v>53.605699000000008</v>
      </c>
      <c r="G160" s="553">
        <v>72.327473000000012</v>
      </c>
      <c r="H160" s="553">
        <v>60.488019700000002</v>
      </c>
      <c r="I160" s="553">
        <v>56.282000000000004</v>
      </c>
      <c r="J160" s="553">
        <v>49.557588000000003</v>
      </c>
      <c r="K160" s="553">
        <v>53.151333000000001</v>
      </c>
      <c r="L160" s="553">
        <v>55.091808999999998</v>
      </c>
      <c r="M160" s="553">
        <v>52.085960999999998</v>
      </c>
      <c r="N160" s="553">
        <v>52.334663999999997</v>
      </c>
      <c r="O160" s="553">
        <v>53.860999999999997</v>
      </c>
      <c r="P160" s="553">
        <v>55.022025000000006</v>
      </c>
      <c r="Q160" s="561">
        <f t="shared" si="62"/>
        <v>648.98373470000001</v>
      </c>
      <c r="R160" s="166"/>
      <c r="S160" s="166"/>
    </row>
    <row r="161" spans="3:19" hidden="1" x14ac:dyDescent="0.25">
      <c r="C161" s="17" t="s">
        <v>176</v>
      </c>
      <c r="D161" s="17" t="s">
        <v>177</v>
      </c>
      <c r="E161" s="553">
        <v>11.298350000000001</v>
      </c>
      <c r="F161" s="553">
        <v>30.92435369</v>
      </c>
      <c r="G161" s="553">
        <v>17.304302999999997</v>
      </c>
      <c r="H161" s="553">
        <v>17.803953</v>
      </c>
      <c r="I161" s="553">
        <v>16.564038000000004</v>
      </c>
      <c r="J161" s="553">
        <v>15.126946000000002</v>
      </c>
      <c r="K161" s="553">
        <v>16.9489695</v>
      </c>
      <c r="L161" s="553">
        <v>17.702435500000004</v>
      </c>
      <c r="M161" s="553">
        <v>24.540845832999999</v>
      </c>
      <c r="N161" s="553">
        <v>29.408604500000006</v>
      </c>
      <c r="O161" s="553">
        <v>26.233616499999997</v>
      </c>
      <c r="P161" s="553">
        <v>22.138976499999998</v>
      </c>
      <c r="Q161" s="561">
        <f t="shared" si="62"/>
        <v>245.99539202300002</v>
      </c>
      <c r="R161" s="166"/>
      <c r="S161" s="166"/>
    </row>
    <row r="162" spans="3:19" hidden="1" x14ac:dyDescent="0.25">
      <c r="C162" s="17" t="s">
        <v>178</v>
      </c>
      <c r="D162" s="17" t="s">
        <v>179</v>
      </c>
      <c r="E162" s="553">
        <v>0.33437699999999992</v>
      </c>
      <c r="F162" s="553">
        <v>1.063121</v>
      </c>
      <c r="G162" s="553">
        <v>0.57316000000000011</v>
      </c>
      <c r="H162" s="553">
        <v>0.65056400000000003</v>
      </c>
      <c r="I162" s="553">
        <v>0.68563200000000013</v>
      </c>
      <c r="J162" s="553">
        <v>0.65619200000000011</v>
      </c>
      <c r="K162" s="553">
        <v>0.67054900000000006</v>
      </c>
      <c r="L162" s="553">
        <v>0.64065400000000017</v>
      </c>
      <c r="M162" s="553">
        <v>0.6086950000000001</v>
      </c>
      <c r="N162" s="553">
        <v>0.64811499999999989</v>
      </c>
      <c r="O162" s="553">
        <v>0.63627100000000003</v>
      </c>
      <c r="P162" s="553">
        <v>0.6115020000000001</v>
      </c>
      <c r="Q162" s="561">
        <f t="shared" si="62"/>
        <v>7.7788320000000004</v>
      </c>
      <c r="R162" s="166"/>
      <c r="S162" s="166"/>
    </row>
    <row r="163" spans="3:19" hidden="1" x14ac:dyDescent="0.25">
      <c r="C163" s="17" t="s">
        <v>180</v>
      </c>
      <c r="D163" s="17" t="s">
        <v>181</v>
      </c>
      <c r="E163" s="553"/>
      <c r="F163" s="553"/>
      <c r="G163" s="553"/>
      <c r="H163" s="553"/>
      <c r="I163" s="553"/>
      <c r="J163" s="553"/>
      <c r="K163" s="553"/>
      <c r="L163" s="553"/>
      <c r="M163" s="553"/>
      <c r="N163" s="553"/>
      <c r="O163" s="553"/>
      <c r="P163" s="553"/>
      <c r="Q163" s="561">
        <f t="shared" si="62"/>
        <v>0</v>
      </c>
      <c r="R163" s="166"/>
      <c r="S163" s="166"/>
    </row>
    <row r="164" spans="3:19" hidden="1" x14ac:dyDescent="0.25">
      <c r="C164" s="17" t="s">
        <v>182</v>
      </c>
      <c r="D164" s="17" t="s">
        <v>183</v>
      </c>
      <c r="E164" s="553">
        <v>27.912628999999995</v>
      </c>
      <c r="F164" s="553">
        <v>27.897113000000001</v>
      </c>
      <c r="G164" s="553">
        <v>21.340533999999998</v>
      </c>
      <c r="H164" s="553">
        <v>28.68272</v>
      </c>
      <c r="I164" s="553">
        <v>28.291920999999999</v>
      </c>
      <c r="J164" s="553">
        <v>25.611475999999996</v>
      </c>
      <c r="K164" s="553">
        <v>24.822144999999999</v>
      </c>
      <c r="L164" s="553">
        <v>26.713840999999999</v>
      </c>
      <c r="M164" s="553">
        <v>26.874872000000003</v>
      </c>
      <c r="N164" s="553">
        <v>28.519701000000005</v>
      </c>
      <c r="O164" s="553">
        <v>28.753270999999998</v>
      </c>
      <c r="P164" s="553">
        <v>26.891283999999999</v>
      </c>
      <c r="Q164" s="561">
        <f t="shared" si="62"/>
        <v>322.31150699999995</v>
      </c>
      <c r="R164" s="166"/>
      <c r="S164" s="166"/>
    </row>
    <row r="165" spans="3:19" hidden="1" x14ac:dyDescent="0.25">
      <c r="C165" s="17" t="s">
        <v>184</v>
      </c>
      <c r="D165" s="17" t="s">
        <v>185</v>
      </c>
      <c r="E165" s="553">
        <v>2.6896989999999996</v>
      </c>
      <c r="F165" s="553">
        <v>2.2072579999999995</v>
      </c>
      <c r="G165" s="553">
        <v>3.2276069999999999</v>
      </c>
      <c r="H165" s="553">
        <v>2.5312039999999998</v>
      </c>
      <c r="I165" s="553">
        <v>2.3262549999999997</v>
      </c>
      <c r="J165" s="553">
        <v>1.4563630000000001</v>
      </c>
      <c r="K165" s="553">
        <v>1.857291</v>
      </c>
      <c r="L165" s="553">
        <v>1.810352</v>
      </c>
      <c r="M165" s="553">
        <v>1.7571650000000001</v>
      </c>
      <c r="N165" s="553">
        <v>1.8028659999999999</v>
      </c>
      <c r="O165" s="553">
        <v>1.997449</v>
      </c>
      <c r="P165" s="553">
        <v>3.3781499999999998</v>
      </c>
      <c r="Q165" s="561">
        <f t="shared" si="62"/>
        <v>27.041659000000003</v>
      </c>
      <c r="R165" s="166"/>
      <c r="S165" s="166"/>
    </row>
    <row r="166" spans="3:19" hidden="1" x14ac:dyDescent="0.25">
      <c r="C166" s="17" t="s">
        <v>186</v>
      </c>
      <c r="D166" s="17" t="s">
        <v>187</v>
      </c>
      <c r="E166" s="553">
        <v>7.8401999999999999E-2</v>
      </c>
      <c r="F166" s="553">
        <v>0.21665699999999999</v>
      </c>
      <c r="G166" s="553">
        <v>0.57315500000000008</v>
      </c>
      <c r="H166" s="553">
        <v>-0.21894000000000002</v>
      </c>
      <c r="I166" s="553">
        <v>0.15238699999999999</v>
      </c>
      <c r="J166" s="553">
        <v>0.154304</v>
      </c>
      <c r="K166" s="553">
        <v>0.17577399999999999</v>
      </c>
      <c r="L166" s="553">
        <v>0.18290299999999998</v>
      </c>
      <c r="M166" s="553">
        <v>0.17532400000000001</v>
      </c>
      <c r="N166" s="553">
        <v>0.23052999999999998</v>
      </c>
      <c r="O166" s="553">
        <v>0.33547400000000005</v>
      </c>
      <c r="P166" s="553">
        <v>0.20351900000000003</v>
      </c>
      <c r="Q166" s="561">
        <f t="shared" si="62"/>
        <v>2.2594890000000003</v>
      </c>
      <c r="R166" s="166"/>
      <c r="S166" s="166"/>
    </row>
    <row r="167" spans="3:19" hidden="1" x14ac:dyDescent="0.25">
      <c r="C167" s="17" t="s">
        <v>188</v>
      </c>
      <c r="D167" s="17" t="s">
        <v>189</v>
      </c>
      <c r="E167" s="553">
        <v>0</v>
      </c>
      <c r="F167" s="553">
        <v>0</v>
      </c>
      <c r="G167" s="553">
        <v>0</v>
      </c>
      <c r="H167" s="553">
        <v>0</v>
      </c>
      <c r="I167" s="553">
        <v>0</v>
      </c>
      <c r="J167" s="553">
        <v>0</v>
      </c>
      <c r="K167" s="553">
        <v>0</v>
      </c>
      <c r="L167" s="553">
        <v>0</v>
      </c>
      <c r="M167" s="553">
        <v>0</v>
      </c>
      <c r="N167" s="553">
        <v>0</v>
      </c>
      <c r="O167" s="553">
        <v>0</v>
      </c>
      <c r="P167" s="553">
        <v>0</v>
      </c>
      <c r="Q167" s="561">
        <f t="shared" si="62"/>
        <v>0</v>
      </c>
      <c r="R167" s="166"/>
      <c r="S167" s="166"/>
    </row>
    <row r="168" spans="3:19" hidden="1" x14ac:dyDescent="0.25">
      <c r="C168" s="17"/>
      <c r="D168" s="17"/>
      <c r="E168" s="553"/>
      <c r="F168" s="553"/>
      <c r="G168" s="553"/>
      <c r="H168" s="553"/>
      <c r="I168" s="553"/>
      <c r="J168" s="553"/>
      <c r="K168" s="553"/>
      <c r="L168" s="553"/>
      <c r="M168" s="553"/>
      <c r="N168" s="553"/>
      <c r="O168" s="553"/>
      <c r="P168" s="553"/>
      <c r="Q168" s="561">
        <f t="shared" si="62"/>
        <v>0</v>
      </c>
      <c r="R168" s="166"/>
      <c r="S168" s="166"/>
    </row>
    <row r="169" spans="3:19" hidden="1" x14ac:dyDescent="0.25">
      <c r="C169" s="17"/>
      <c r="D169" s="17"/>
      <c r="E169" s="553"/>
      <c r="F169" s="553"/>
      <c r="G169" s="553"/>
      <c r="H169" s="553"/>
      <c r="I169" s="553"/>
      <c r="J169" s="553"/>
      <c r="K169" s="553"/>
      <c r="L169" s="553"/>
      <c r="M169" s="553"/>
      <c r="N169" s="553"/>
      <c r="O169" s="553"/>
      <c r="P169" s="553"/>
      <c r="Q169" s="561">
        <f t="shared" si="62"/>
        <v>0</v>
      </c>
      <c r="R169" s="166"/>
      <c r="S169" s="166"/>
    </row>
    <row r="170" spans="3:19" hidden="1" x14ac:dyDescent="0.25">
      <c r="C170" s="17"/>
      <c r="D170" s="17"/>
      <c r="E170" s="553"/>
      <c r="F170" s="553"/>
      <c r="G170" s="553"/>
      <c r="H170" s="553"/>
      <c r="I170" s="553"/>
      <c r="J170" s="553"/>
      <c r="K170" s="553"/>
      <c r="L170" s="553"/>
      <c r="M170" s="553"/>
      <c r="N170" s="553"/>
      <c r="O170" s="553"/>
      <c r="P170" s="553"/>
      <c r="Q170" s="561">
        <f t="shared" si="62"/>
        <v>0</v>
      </c>
      <c r="R170" s="166"/>
      <c r="S170" s="166"/>
    </row>
    <row r="171" spans="3:19" hidden="1" x14ac:dyDescent="0.25">
      <c r="C171" s="17"/>
      <c r="D171" s="17"/>
      <c r="E171" s="553"/>
      <c r="F171" s="553"/>
      <c r="G171" s="553"/>
      <c r="H171" s="553"/>
      <c r="I171" s="553"/>
      <c r="J171" s="553"/>
      <c r="K171" s="553"/>
      <c r="L171" s="553"/>
      <c r="M171" s="553"/>
      <c r="N171" s="553"/>
      <c r="O171" s="553"/>
      <c r="P171" s="553"/>
      <c r="Q171" s="561">
        <f t="shared" si="62"/>
        <v>0</v>
      </c>
      <c r="R171" s="166"/>
      <c r="S171" s="166"/>
    </row>
    <row r="172" spans="3:19" hidden="1" x14ac:dyDescent="0.25">
      <c r="C172" s="751" t="s">
        <v>190</v>
      </c>
      <c r="D172" s="752"/>
      <c r="E172" s="561">
        <f t="shared" ref="E172:P172" si="63">SUM(E159:E171)</f>
        <v>389.33576900000008</v>
      </c>
      <c r="F172" s="561">
        <f t="shared" si="63"/>
        <v>494.95270969000001</v>
      </c>
      <c r="G172" s="561">
        <f t="shared" si="63"/>
        <v>485.95623199999994</v>
      </c>
      <c r="H172" s="561">
        <f t="shared" si="63"/>
        <v>472.39167070000002</v>
      </c>
      <c r="I172" s="561">
        <f t="shared" si="63"/>
        <v>481.12023999999991</v>
      </c>
      <c r="J172" s="561">
        <f t="shared" si="63"/>
        <v>419.57923699999998</v>
      </c>
      <c r="K172" s="561">
        <f t="shared" si="63"/>
        <v>426.74370049999993</v>
      </c>
      <c r="L172" s="561">
        <f t="shared" si="63"/>
        <v>411.19604550000008</v>
      </c>
      <c r="M172" s="561">
        <f t="shared" si="63"/>
        <v>369.021230833</v>
      </c>
      <c r="N172" s="561">
        <f t="shared" si="63"/>
        <v>349.49326250000001</v>
      </c>
      <c r="O172" s="561">
        <f t="shared" si="63"/>
        <v>358.53211449999998</v>
      </c>
      <c r="P172" s="561">
        <f t="shared" si="63"/>
        <v>365.47995850000001</v>
      </c>
      <c r="Q172" s="561">
        <f t="shared" si="62"/>
        <v>5023.802170723</v>
      </c>
      <c r="R172" s="166"/>
      <c r="S172" s="166"/>
    </row>
    <row r="173" spans="3:19" hidden="1" x14ac:dyDescent="0.25">
      <c r="C173" s="753" t="s">
        <v>191</v>
      </c>
      <c r="D173" s="754"/>
      <c r="E173" s="553"/>
      <c r="F173" s="553"/>
      <c r="G173" s="553"/>
      <c r="H173" s="553"/>
      <c r="I173" s="553"/>
      <c r="J173" s="553"/>
      <c r="K173" s="553"/>
      <c r="L173" s="553"/>
      <c r="M173" s="553"/>
      <c r="N173" s="553"/>
      <c r="O173" s="553"/>
      <c r="P173" s="553"/>
      <c r="Q173" s="561"/>
      <c r="R173" s="166"/>
      <c r="S173" s="166"/>
    </row>
    <row r="174" spans="3:19" hidden="1" x14ac:dyDescent="0.25">
      <c r="C174" s="17" t="s">
        <v>192</v>
      </c>
      <c r="D174" s="17" t="s">
        <v>193</v>
      </c>
      <c r="E174" s="553">
        <v>32.037228380000016</v>
      </c>
      <c r="F174" s="553">
        <v>34.631701579999998</v>
      </c>
      <c r="G174" s="553">
        <v>45.791985260000033</v>
      </c>
      <c r="H174" s="553">
        <v>56.663668990000033</v>
      </c>
      <c r="I174" s="553">
        <v>62.371997399999813</v>
      </c>
      <c r="J174" s="553">
        <v>68.961149320000033</v>
      </c>
      <c r="K174" s="553">
        <v>123.36903284999995</v>
      </c>
      <c r="L174" s="553">
        <v>79.717829880000039</v>
      </c>
      <c r="M174" s="553">
        <v>86.918338105000018</v>
      </c>
      <c r="N174" s="553">
        <v>74.379382728333368</v>
      </c>
      <c r="O174" s="553">
        <v>71.610245478333383</v>
      </c>
      <c r="P174" s="553">
        <v>35.182592068664427</v>
      </c>
      <c r="Q174" s="561">
        <f t="shared" ref="Q174:Q189" si="64">SUM(E174:P174)</f>
        <v>771.63515204033104</v>
      </c>
      <c r="R174" s="166"/>
      <c r="S174" s="166"/>
    </row>
    <row r="175" spans="3:19" hidden="1" x14ac:dyDescent="0.25">
      <c r="C175" s="17" t="s">
        <v>194</v>
      </c>
      <c r="D175" s="17" t="s">
        <v>195</v>
      </c>
      <c r="E175" s="553">
        <v>0</v>
      </c>
      <c r="F175" s="553">
        <v>0</v>
      </c>
      <c r="G175" s="553">
        <v>0</v>
      </c>
      <c r="H175" s="553">
        <v>0</v>
      </c>
      <c r="I175" s="553">
        <v>0</v>
      </c>
      <c r="J175" s="553">
        <v>0</v>
      </c>
      <c r="K175" s="553">
        <v>0</v>
      </c>
      <c r="L175" s="553">
        <v>0</v>
      </c>
      <c r="M175" s="553">
        <v>0</v>
      </c>
      <c r="N175" s="553">
        <v>0</v>
      </c>
      <c r="O175" s="553">
        <v>0</v>
      </c>
      <c r="P175" s="553">
        <v>0</v>
      </c>
      <c r="Q175" s="561">
        <f t="shared" si="64"/>
        <v>0</v>
      </c>
      <c r="R175" s="166"/>
      <c r="S175" s="166"/>
    </row>
    <row r="176" spans="3:19" hidden="1" x14ac:dyDescent="0.25">
      <c r="C176" s="17" t="s">
        <v>233</v>
      </c>
      <c r="D176" s="17" t="s">
        <v>197</v>
      </c>
      <c r="E176" s="553">
        <v>5.8179927500000002</v>
      </c>
      <c r="F176" s="553">
        <v>7.0237724000000004</v>
      </c>
      <c r="G176" s="553">
        <v>9.1010533500000008</v>
      </c>
      <c r="H176" s="553">
        <v>8.086951599999999</v>
      </c>
      <c r="I176" s="553">
        <v>7.7262547300000008</v>
      </c>
      <c r="J176" s="553">
        <v>8.2851254500000007</v>
      </c>
      <c r="K176" s="553">
        <v>8.4932269699999985</v>
      </c>
      <c r="L176" s="553">
        <v>8.4416537699999985</v>
      </c>
      <c r="M176" s="553">
        <v>7.3805216999999992</v>
      </c>
      <c r="N176" s="553">
        <v>7.5312930999999992</v>
      </c>
      <c r="O176" s="553">
        <v>8.6311232199999992</v>
      </c>
      <c r="P176" s="553">
        <v>9.5028571500000005</v>
      </c>
      <c r="Q176" s="561">
        <f t="shared" si="64"/>
        <v>96.021826189999999</v>
      </c>
      <c r="R176" s="166"/>
      <c r="S176" s="166"/>
    </row>
    <row r="177" spans="3:19" hidden="1" x14ac:dyDescent="0.25">
      <c r="C177" s="17" t="s">
        <v>198</v>
      </c>
      <c r="D177" s="17" t="s">
        <v>199</v>
      </c>
      <c r="E177" s="553">
        <v>0</v>
      </c>
      <c r="F177" s="553">
        <v>0</v>
      </c>
      <c r="G177" s="553">
        <v>0</v>
      </c>
      <c r="H177" s="553">
        <v>0</v>
      </c>
      <c r="I177" s="553">
        <v>0</v>
      </c>
      <c r="J177" s="553">
        <v>0</v>
      </c>
      <c r="K177" s="553">
        <v>0</v>
      </c>
      <c r="L177" s="553">
        <v>0</v>
      </c>
      <c r="M177" s="553">
        <v>0</v>
      </c>
      <c r="N177" s="553">
        <v>0</v>
      </c>
      <c r="O177" s="553">
        <v>0</v>
      </c>
      <c r="P177" s="553">
        <v>0</v>
      </c>
      <c r="Q177" s="561">
        <f t="shared" si="64"/>
        <v>0</v>
      </c>
      <c r="R177" s="166"/>
      <c r="S177" s="166"/>
    </row>
    <row r="178" spans="3:19" hidden="1" x14ac:dyDescent="0.25">
      <c r="C178" s="17" t="s">
        <v>200</v>
      </c>
      <c r="D178" s="17" t="s">
        <v>201</v>
      </c>
      <c r="E178" s="553">
        <v>0.53764400000000001</v>
      </c>
      <c r="F178" s="553">
        <v>0.55998400000000004</v>
      </c>
      <c r="G178" s="553">
        <v>0.58434600000000003</v>
      </c>
      <c r="H178" s="553">
        <v>0.532663</v>
      </c>
      <c r="I178" s="553">
        <v>0.52655300000000005</v>
      </c>
      <c r="J178" s="553">
        <v>0.532945</v>
      </c>
      <c r="K178" s="553">
        <v>0.52189799999999997</v>
      </c>
      <c r="L178" s="553">
        <v>0.49521499999999996</v>
      </c>
      <c r="M178" s="553">
        <v>0.46724500000000002</v>
      </c>
      <c r="N178" s="553">
        <v>0.45640899999999995</v>
      </c>
      <c r="O178" s="553">
        <v>0.49933400000000006</v>
      </c>
      <c r="P178" s="553">
        <v>0.48656600000000005</v>
      </c>
      <c r="Q178" s="561">
        <f t="shared" si="64"/>
        <v>6.2008020000000004</v>
      </c>
      <c r="R178" s="166"/>
      <c r="S178" s="166"/>
    </row>
    <row r="179" spans="3:19" hidden="1" x14ac:dyDescent="0.25">
      <c r="C179" s="17" t="s">
        <v>202</v>
      </c>
      <c r="D179" s="17" t="s">
        <v>203</v>
      </c>
      <c r="E179" s="553">
        <v>4.8261699099999849</v>
      </c>
      <c r="F179" s="553">
        <v>0.97720500000001054</v>
      </c>
      <c r="G179" s="553">
        <v>0.72237499999999233</v>
      </c>
      <c r="H179" s="553">
        <v>1.8892469099999805</v>
      </c>
      <c r="I179" s="553">
        <v>2.7376400000001602</v>
      </c>
      <c r="J179" s="553">
        <v>2.4940890000000002</v>
      </c>
      <c r="K179" s="553">
        <v>1.1308950000000035</v>
      </c>
      <c r="L179" s="553">
        <v>1.3840512500000113</v>
      </c>
      <c r="M179" s="553">
        <v>1.5312244999999989</v>
      </c>
      <c r="N179" s="553">
        <v>4.1464109999999916</v>
      </c>
      <c r="O179" s="553">
        <v>5.5994969999999551</v>
      </c>
      <c r="P179" s="553">
        <v>5.9826660000000054</v>
      </c>
      <c r="Q179" s="561">
        <f t="shared" si="64"/>
        <v>33.421470570000096</v>
      </c>
      <c r="R179" s="166"/>
      <c r="S179" s="166"/>
    </row>
    <row r="180" spans="3:19" hidden="1" x14ac:dyDescent="0.25">
      <c r="C180" s="17" t="s">
        <v>204</v>
      </c>
      <c r="D180" s="17" t="s">
        <v>205</v>
      </c>
      <c r="E180" s="553">
        <v>11.0481835</v>
      </c>
      <c r="F180" s="553">
        <v>10.826720999999999</v>
      </c>
      <c r="G180" s="553">
        <v>11.760232</v>
      </c>
      <c r="H180" s="553">
        <v>11.0379413</v>
      </c>
      <c r="I180" s="553">
        <v>11.311246000000001</v>
      </c>
      <c r="J180" s="553">
        <v>11.106309</v>
      </c>
      <c r="K180" s="553">
        <v>11.230182449999999</v>
      </c>
      <c r="L180" s="553">
        <v>12.053718999999999</v>
      </c>
      <c r="M180" s="553">
        <v>11.853188250000001</v>
      </c>
      <c r="N180" s="553">
        <v>11.88758595</v>
      </c>
      <c r="O180" s="553">
        <v>11.491752999999999</v>
      </c>
      <c r="P180" s="553">
        <v>10.861017</v>
      </c>
      <c r="Q180" s="561">
        <f t="shared" si="64"/>
        <v>136.46807845000001</v>
      </c>
      <c r="R180" s="166"/>
      <c r="S180" s="166"/>
    </row>
    <row r="181" spans="3:19" hidden="1" x14ac:dyDescent="0.25">
      <c r="C181" s="17" t="s">
        <v>206</v>
      </c>
      <c r="D181" s="17" t="s">
        <v>207</v>
      </c>
      <c r="E181" s="553">
        <v>0.75789200000000001</v>
      </c>
      <c r="F181" s="553">
        <v>0.82631500000000002</v>
      </c>
      <c r="G181" s="553">
        <v>0.91620199999999996</v>
      </c>
      <c r="H181" s="553">
        <v>0.84402728000000005</v>
      </c>
      <c r="I181" s="553">
        <v>0.82439200000000001</v>
      </c>
      <c r="J181" s="553">
        <v>0.77902800000000005</v>
      </c>
      <c r="K181" s="553">
        <v>0.77795599999999998</v>
      </c>
      <c r="L181" s="553">
        <v>0.64490999999999998</v>
      </c>
      <c r="M181" s="553">
        <v>0.58454300000000003</v>
      </c>
      <c r="N181" s="553">
        <v>0.58322200000000002</v>
      </c>
      <c r="O181" s="553">
        <v>0.60407200000000005</v>
      </c>
      <c r="P181" s="553">
        <v>0.63801799999999997</v>
      </c>
      <c r="Q181" s="561">
        <f t="shared" si="64"/>
        <v>8.780577280000001</v>
      </c>
      <c r="R181" s="166"/>
      <c r="S181" s="166"/>
    </row>
    <row r="182" spans="3:19" hidden="1" x14ac:dyDescent="0.25">
      <c r="C182" s="17" t="s">
        <v>208</v>
      </c>
      <c r="D182" s="17" t="s">
        <v>187</v>
      </c>
      <c r="E182" s="553">
        <v>2.1111960000000001</v>
      </c>
      <c r="F182" s="553">
        <v>1.9591540000000001</v>
      </c>
      <c r="G182" s="553">
        <v>2.106293</v>
      </c>
      <c r="H182" s="553">
        <v>2.096819</v>
      </c>
      <c r="I182" s="553">
        <v>2.0013839999999998</v>
      </c>
      <c r="J182" s="553">
        <v>2.329666</v>
      </c>
      <c r="K182" s="553">
        <v>2.075796</v>
      </c>
      <c r="L182" s="553">
        <v>2.1038610000000002</v>
      </c>
      <c r="M182" s="553">
        <v>1.881329</v>
      </c>
      <c r="N182" s="553">
        <v>1.7059150000000001</v>
      </c>
      <c r="O182" s="553">
        <v>1.75376</v>
      </c>
      <c r="P182" s="553">
        <v>1.6113960000000001</v>
      </c>
      <c r="Q182" s="561">
        <f t="shared" si="64"/>
        <v>23.736568999999999</v>
      </c>
      <c r="R182" s="166"/>
      <c r="S182" s="166"/>
    </row>
    <row r="183" spans="3:19" hidden="1" x14ac:dyDescent="0.25">
      <c r="C183" s="17" t="s">
        <v>209</v>
      </c>
      <c r="D183" s="17" t="s">
        <v>210</v>
      </c>
      <c r="E183" s="553">
        <v>98.315128000000001</v>
      </c>
      <c r="F183" s="553">
        <v>40.329764470000001</v>
      </c>
      <c r="G183" s="553">
        <v>49.983177659999996</v>
      </c>
      <c r="H183" s="553">
        <v>87.848506</v>
      </c>
      <c r="I183" s="553">
        <v>84.704957870000001</v>
      </c>
      <c r="J183" s="553">
        <v>78.185614000000001</v>
      </c>
      <c r="K183" s="553">
        <v>53.198448999999997</v>
      </c>
      <c r="L183" s="553">
        <v>43.873797000000003</v>
      </c>
      <c r="M183" s="553">
        <v>68.876333000000002</v>
      </c>
      <c r="N183" s="553">
        <v>114.321118</v>
      </c>
      <c r="O183" s="553">
        <v>102.93013000000001</v>
      </c>
      <c r="P183" s="553">
        <v>115.68003499999999</v>
      </c>
      <c r="Q183" s="561">
        <f t="shared" si="64"/>
        <v>938.24700999999993</v>
      </c>
      <c r="R183" s="166"/>
      <c r="S183" s="166"/>
    </row>
    <row r="184" spans="3:19" hidden="1" x14ac:dyDescent="0.25">
      <c r="C184" s="17" t="s">
        <v>211</v>
      </c>
      <c r="D184" s="17" t="s">
        <v>189</v>
      </c>
      <c r="E184" s="553">
        <v>0</v>
      </c>
      <c r="F184" s="553">
        <v>0</v>
      </c>
      <c r="G184" s="553">
        <v>0</v>
      </c>
      <c r="H184" s="553">
        <v>0</v>
      </c>
      <c r="I184" s="553">
        <v>0</v>
      </c>
      <c r="J184" s="553">
        <v>0</v>
      </c>
      <c r="K184" s="553">
        <v>0</v>
      </c>
      <c r="L184" s="553">
        <v>0</v>
      </c>
      <c r="M184" s="553">
        <v>0</v>
      </c>
      <c r="N184" s="553">
        <v>0</v>
      </c>
      <c r="O184" s="553">
        <v>0</v>
      </c>
      <c r="P184" s="553">
        <v>0</v>
      </c>
      <c r="Q184" s="561">
        <f t="shared" si="64"/>
        <v>0</v>
      </c>
      <c r="R184" s="166"/>
      <c r="S184" s="166"/>
    </row>
    <row r="185" spans="3:19" hidden="1" x14ac:dyDescent="0.25">
      <c r="C185" s="17"/>
      <c r="D185" s="17"/>
      <c r="E185" s="553"/>
      <c r="F185" s="553"/>
      <c r="G185" s="553"/>
      <c r="H185" s="553"/>
      <c r="I185" s="553"/>
      <c r="J185" s="553"/>
      <c r="K185" s="553"/>
      <c r="L185" s="553"/>
      <c r="M185" s="553"/>
      <c r="N185" s="553"/>
      <c r="O185" s="553"/>
      <c r="P185" s="553"/>
      <c r="Q185" s="561">
        <f t="shared" si="64"/>
        <v>0</v>
      </c>
      <c r="R185" s="166"/>
      <c r="S185" s="166"/>
    </row>
    <row r="186" spans="3:19" hidden="1" x14ac:dyDescent="0.25">
      <c r="C186" s="17"/>
      <c r="D186" s="17"/>
      <c r="E186" s="553"/>
      <c r="F186" s="553"/>
      <c r="G186" s="553"/>
      <c r="H186" s="553"/>
      <c r="I186" s="553"/>
      <c r="J186" s="553"/>
      <c r="K186" s="553"/>
      <c r="L186" s="553"/>
      <c r="M186" s="553"/>
      <c r="N186" s="553"/>
      <c r="O186" s="553"/>
      <c r="P186" s="553"/>
      <c r="Q186" s="561">
        <f t="shared" si="64"/>
        <v>0</v>
      </c>
      <c r="R186" s="166"/>
      <c r="S186" s="166"/>
    </row>
    <row r="187" spans="3:19" hidden="1" x14ac:dyDescent="0.25">
      <c r="C187" s="17"/>
      <c r="D187" s="17"/>
      <c r="E187" s="553"/>
      <c r="F187" s="553"/>
      <c r="G187" s="553"/>
      <c r="H187" s="553"/>
      <c r="I187" s="553"/>
      <c r="J187" s="553"/>
      <c r="K187" s="553"/>
      <c r="L187" s="553"/>
      <c r="M187" s="553"/>
      <c r="N187" s="553"/>
      <c r="O187" s="553"/>
      <c r="P187" s="553"/>
      <c r="Q187" s="561">
        <f t="shared" si="64"/>
        <v>0</v>
      </c>
      <c r="R187" s="166"/>
      <c r="S187" s="166"/>
    </row>
    <row r="188" spans="3:19" hidden="1" x14ac:dyDescent="0.25">
      <c r="C188" s="17"/>
      <c r="D188" s="17"/>
      <c r="E188" s="553"/>
      <c r="F188" s="553"/>
      <c r="G188" s="553"/>
      <c r="H188" s="553"/>
      <c r="I188" s="553"/>
      <c r="J188" s="553"/>
      <c r="K188" s="553"/>
      <c r="L188" s="553"/>
      <c r="M188" s="553"/>
      <c r="N188" s="553"/>
      <c r="O188" s="553"/>
      <c r="P188" s="553"/>
      <c r="Q188" s="561">
        <f t="shared" si="64"/>
        <v>0</v>
      </c>
      <c r="R188" s="166"/>
      <c r="S188" s="166"/>
    </row>
    <row r="189" spans="3:19" hidden="1" x14ac:dyDescent="0.25">
      <c r="C189" s="751" t="s">
        <v>212</v>
      </c>
      <c r="D189" s="752"/>
      <c r="E189" s="561">
        <f t="shared" ref="E189:P189" si="65">SUM(E174:E188)</f>
        <v>155.45143454000001</v>
      </c>
      <c r="F189" s="561">
        <f t="shared" si="65"/>
        <v>97.134617450000007</v>
      </c>
      <c r="G189" s="561">
        <f t="shared" si="65"/>
        <v>120.96566427</v>
      </c>
      <c r="H189" s="561">
        <f t="shared" si="65"/>
        <v>168.99982408000002</v>
      </c>
      <c r="I189" s="561">
        <f t="shared" si="65"/>
        <v>172.20442499999999</v>
      </c>
      <c r="J189" s="561">
        <f t="shared" si="65"/>
        <v>172.67392577000004</v>
      </c>
      <c r="K189" s="561">
        <f t="shared" si="65"/>
        <v>200.79743626999993</v>
      </c>
      <c r="L189" s="561">
        <f t="shared" si="65"/>
        <v>148.71503690000006</v>
      </c>
      <c r="M189" s="561">
        <f t="shared" si="65"/>
        <v>179.492722555</v>
      </c>
      <c r="N189" s="561">
        <f t="shared" si="65"/>
        <v>215.01133677833337</v>
      </c>
      <c r="O189" s="561">
        <f t="shared" si="65"/>
        <v>203.11991469833336</v>
      </c>
      <c r="P189" s="561">
        <f t="shared" si="65"/>
        <v>179.94514721866443</v>
      </c>
      <c r="Q189" s="561">
        <f t="shared" si="64"/>
        <v>2014.5114855303314</v>
      </c>
      <c r="R189" s="166"/>
      <c r="S189" s="166"/>
    </row>
    <row r="190" spans="3:19" hidden="1" x14ac:dyDescent="0.25">
      <c r="C190" s="753" t="s">
        <v>213</v>
      </c>
      <c r="D190" s="754"/>
      <c r="E190" s="553"/>
      <c r="F190" s="553"/>
      <c r="G190" s="553"/>
      <c r="H190" s="553"/>
      <c r="I190" s="553"/>
      <c r="J190" s="553"/>
      <c r="K190" s="553"/>
      <c r="L190" s="553"/>
      <c r="M190" s="553"/>
      <c r="N190" s="553"/>
      <c r="O190" s="553"/>
      <c r="P190" s="553"/>
      <c r="Q190" s="561"/>
      <c r="R190" s="166"/>
      <c r="S190" s="166"/>
    </row>
    <row r="191" spans="3:19" hidden="1" x14ac:dyDescent="0.25">
      <c r="C191" s="17" t="s">
        <v>192</v>
      </c>
      <c r="D191" s="17" t="s">
        <v>193</v>
      </c>
      <c r="E191" s="553">
        <v>9.5842649996688589</v>
      </c>
      <c r="F191" s="553">
        <v>10.317535999999999</v>
      </c>
      <c r="G191" s="553">
        <v>15.144151999999998</v>
      </c>
      <c r="H191" s="553">
        <v>15.063948999999997</v>
      </c>
      <c r="I191" s="553">
        <v>15.564939000000001</v>
      </c>
      <c r="J191" s="553">
        <v>15.931827150000002</v>
      </c>
      <c r="K191" s="553">
        <v>16.095714999999998</v>
      </c>
      <c r="L191" s="553">
        <v>16.452584000000002</v>
      </c>
      <c r="M191" s="553">
        <v>17.0116783</v>
      </c>
      <c r="N191" s="553">
        <v>18.43723000000001</v>
      </c>
      <c r="O191" s="553">
        <v>18.073442</v>
      </c>
      <c r="P191" s="553">
        <v>20.537865840000006</v>
      </c>
      <c r="Q191" s="561">
        <f t="shared" ref="Q191:Q206" si="66">SUM(E191:P191)</f>
        <v>188.21518328966886</v>
      </c>
      <c r="R191" s="166"/>
      <c r="S191" s="166"/>
    </row>
    <row r="192" spans="3:19" hidden="1" x14ac:dyDescent="0.25">
      <c r="C192" s="17" t="s">
        <v>194</v>
      </c>
      <c r="D192" s="17" t="s">
        <v>195</v>
      </c>
      <c r="E192" s="553">
        <v>1.2976000000000001</v>
      </c>
      <c r="F192" s="553">
        <v>1.6434</v>
      </c>
      <c r="G192" s="553">
        <v>2.2686000000000002</v>
      </c>
      <c r="H192" s="553">
        <v>3.5619999999999998</v>
      </c>
      <c r="I192" s="553">
        <v>4.0523999999999996</v>
      </c>
      <c r="J192" s="553">
        <v>3.7856000000000001</v>
      </c>
      <c r="K192" s="553">
        <v>3.0543999999999998</v>
      </c>
      <c r="L192" s="553">
        <v>3.0682</v>
      </c>
      <c r="M192" s="553">
        <v>3.2804000000000002</v>
      </c>
      <c r="N192" s="553">
        <v>3.5649999999999999</v>
      </c>
      <c r="O192" s="553">
        <v>3.8460000000000001</v>
      </c>
      <c r="P192" s="553">
        <v>3.5564</v>
      </c>
      <c r="Q192" s="561">
        <f t="shared" si="66"/>
        <v>36.980000000000004</v>
      </c>
      <c r="R192" s="166"/>
      <c r="S192" s="166"/>
    </row>
    <row r="193" spans="3:19" hidden="1" x14ac:dyDescent="0.25">
      <c r="C193" s="17" t="s">
        <v>233</v>
      </c>
      <c r="D193" s="17" t="s">
        <v>197</v>
      </c>
      <c r="E193" s="553">
        <v>0.64555866000000006</v>
      </c>
      <c r="F193" s="553">
        <v>0.81172900000000003</v>
      </c>
      <c r="G193" s="553">
        <v>0.80044400000000004</v>
      </c>
      <c r="H193" s="553">
        <v>0.76925900000000003</v>
      </c>
      <c r="I193" s="553">
        <v>0.86277400000000015</v>
      </c>
      <c r="J193" s="553">
        <v>1.4165920000000001</v>
      </c>
      <c r="K193" s="553">
        <v>0.85290100000000002</v>
      </c>
      <c r="L193" s="553">
        <v>0.72000799999999998</v>
      </c>
      <c r="M193" s="553">
        <v>0.58941100000000002</v>
      </c>
      <c r="N193" s="553">
        <v>0.64684300000000006</v>
      </c>
      <c r="O193" s="553">
        <v>0.66332400000000002</v>
      </c>
      <c r="P193" s="553">
        <v>0.78271800000000002</v>
      </c>
      <c r="Q193" s="561">
        <f t="shared" si="66"/>
        <v>9.5615616599999989</v>
      </c>
      <c r="R193" s="166"/>
      <c r="S193" s="166"/>
    </row>
    <row r="194" spans="3:19" hidden="1" x14ac:dyDescent="0.25">
      <c r="C194" s="17" t="s">
        <v>198</v>
      </c>
      <c r="D194" s="17" t="s">
        <v>199</v>
      </c>
      <c r="E194" s="553"/>
      <c r="F194" s="553"/>
      <c r="G194" s="553"/>
      <c r="H194" s="553"/>
      <c r="I194" s="553"/>
      <c r="J194" s="553"/>
      <c r="K194" s="553"/>
      <c r="L194" s="553"/>
      <c r="M194" s="553"/>
      <c r="N194" s="553"/>
      <c r="O194" s="553"/>
      <c r="P194" s="553"/>
      <c r="Q194" s="561">
        <f t="shared" si="66"/>
        <v>0</v>
      </c>
      <c r="R194" s="166"/>
      <c r="S194" s="166"/>
    </row>
    <row r="195" spans="3:19" hidden="1" x14ac:dyDescent="0.25">
      <c r="C195" s="17" t="s">
        <v>200</v>
      </c>
      <c r="D195" s="17" t="s">
        <v>201</v>
      </c>
      <c r="E195" s="553"/>
      <c r="F195" s="553"/>
      <c r="G195" s="553"/>
      <c r="H195" s="553"/>
      <c r="I195" s="553"/>
      <c r="J195" s="553"/>
      <c r="K195" s="553"/>
      <c r="L195" s="553"/>
      <c r="M195" s="553"/>
      <c r="N195" s="553"/>
      <c r="O195" s="553"/>
      <c r="P195" s="553"/>
      <c r="Q195" s="561">
        <f t="shared" si="66"/>
        <v>0</v>
      </c>
      <c r="R195" s="166"/>
      <c r="S195" s="166"/>
    </row>
    <row r="196" spans="3:19" hidden="1" x14ac:dyDescent="0.25">
      <c r="C196" s="17" t="s">
        <v>202</v>
      </c>
      <c r="D196" s="17" t="s">
        <v>203</v>
      </c>
      <c r="E196" s="553">
        <v>4.6002049999999999</v>
      </c>
      <c r="F196" s="553">
        <v>0.334698</v>
      </c>
      <c r="G196" s="553">
        <v>1.566408</v>
      </c>
      <c r="H196" s="553">
        <v>1.134215</v>
      </c>
      <c r="I196" s="553">
        <v>8.4346449999999997</v>
      </c>
      <c r="J196" s="553">
        <v>2.5698850000000002</v>
      </c>
      <c r="K196" s="553">
        <v>0.61824999999999997</v>
      </c>
      <c r="L196" s="553">
        <v>0.35964000000000002</v>
      </c>
      <c r="M196" s="553">
        <v>0.87379499999999999</v>
      </c>
      <c r="N196" s="553">
        <v>2.8809399999999998</v>
      </c>
      <c r="O196" s="553">
        <v>4.0917149999999998</v>
      </c>
      <c r="P196" s="553">
        <v>4.7710499999999998</v>
      </c>
      <c r="Q196" s="561">
        <f t="shared" si="66"/>
        <v>32.235446000000003</v>
      </c>
      <c r="R196" s="166"/>
      <c r="S196" s="166"/>
    </row>
    <row r="197" spans="3:19" hidden="1" x14ac:dyDescent="0.25">
      <c r="C197" s="17" t="s">
        <v>204</v>
      </c>
      <c r="D197" s="17" t="s">
        <v>205</v>
      </c>
      <c r="E197" s="553">
        <v>22.488665000000001</v>
      </c>
      <c r="F197" s="553">
        <v>22.298304000000002</v>
      </c>
      <c r="G197" s="553">
        <v>24.454535</v>
      </c>
      <c r="H197" s="553">
        <v>22.353332999999999</v>
      </c>
      <c r="I197" s="553">
        <v>23.166979999999999</v>
      </c>
      <c r="J197" s="553">
        <v>23.925360000000001</v>
      </c>
      <c r="K197" s="553">
        <v>23.673648</v>
      </c>
      <c r="L197" s="553">
        <v>25.764773000000002</v>
      </c>
      <c r="M197" s="553">
        <v>24.703056</v>
      </c>
      <c r="N197" s="553">
        <v>24.326359</v>
      </c>
      <c r="O197" s="553">
        <v>26.180620999999999</v>
      </c>
      <c r="P197" s="553">
        <v>24.825789</v>
      </c>
      <c r="Q197" s="561">
        <f t="shared" si="66"/>
        <v>288.16142299999996</v>
      </c>
      <c r="R197" s="166"/>
      <c r="S197" s="166"/>
    </row>
    <row r="198" spans="3:19" hidden="1" x14ac:dyDescent="0.25">
      <c r="C198" s="17" t="s">
        <v>206</v>
      </c>
      <c r="D198" s="17" t="s">
        <v>207</v>
      </c>
      <c r="E198" s="553">
        <v>4.2295699999999998</v>
      </c>
      <c r="F198" s="553">
        <v>4.3643049999999999</v>
      </c>
      <c r="G198" s="553">
        <v>4.6145050000000003</v>
      </c>
      <c r="H198" s="553">
        <v>3.9552350000000001</v>
      </c>
      <c r="I198" s="553">
        <v>3.9897749999999998</v>
      </c>
      <c r="J198" s="553">
        <v>4.1771599999999998</v>
      </c>
      <c r="K198" s="553">
        <v>3.6726200000000002</v>
      </c>
      <c r="L198" s="553">
        <v>3.4201199999999998</v>
      </c>
      <c r="M198" s="553">
        <v>2.9274849999999999</v>
      </c>
      <c r="N198" s="553">
        <v>2.7462880000000003</v>
      </c>
      <c r="O198" s="553">
        <v>2.2417280000000002</v>
      </c>
      <c r="P198" s="553">
        <v>2.233943</v>
      </c>
      <c r="Q198" s="561">
        <f t="shared" si="66"/>
        <v>42.572733999999997</v>
      </c>
      <c r="R198" s="166"/>
      <c r="S198" s="166"/>
    </row>
    <row r="199" spans="3:19" hidden="1" x14ac:dyDescent="0.25">
      <c r="C199" s="17" t="s">
        <v>214</v>
      </c>
      <c r="D199" s="17" t="s">
        <v>187</v>
      </c>
      <c r="E199" s="553">
        <v>0.69891000000000003</v>
      </c>
      <c r="F199" s="553">
        <v>0.80654300000000001</v>
      </c>
      <c r="G199" s="553">
        <v>0.97218000000000004</v>
      </c>
      <c r="H199" s="553">
        <v>0.81362299999999999</v>
      </c>
      <c r="I199" s="553">
        <v>0.76725100000000002</v>
      </c>
      <c r="J199" s="553">
        <v>1.0407280000000001</v>
      </c>
      <c r="K199" s="553">
        <v>1.1957469999999999</v>
      </c>
      <c r="L199" s="553">
        <v>1.3605370000000001</v>
      </c>
      <c r="M199" s="553">
        <v>1.346568</v>
      </c>
      <c r="N199" s="553">
        <v>1.4047460000000001</v>
      </c>
      <c r="O199" s="553">
        <v>1.386717</v>
      </c>
      <c r="P199" s="553">
        <v>1.27291</v>
      </c>
      <c r="Q199" s="561">
        <f t="shared" si="66"/>
        <v>13.066459999999999</v>
      </c>
      <c r="R199" s="166"/>
      <c r="S199" s="166"/>
    </row>
    <row r="200" spans="3:19" hidden="1" x14ac:dyDescent="0.25">
      <c r="C200" s="17" t="s">
        <v>209</v>
      </c>
      <c r="D200" s="17" t="s">
        <v>210</v>
      </c>
      <c r="E200" s="553"/>
      <c r="F200" s="553"/>
      <c r="G200" s="553"/>
      <c r="H200" s="553"/>
      <c r="I200" s="553"/>
      <c r="J200" s="553"/>
      <c r="K200" s="553"/>
      <c r="L200" s="553"/>
      <c r="M200" s="553"/>
      <c r="N200" s="553"/>
      <c r="O200" s="553"/>
      <c r="P200" s="553"/>
      <c r="Q200" s="561">
        <f t="shared" si="66"/>
        <v>0</v>
      </c>
      <c r="R200" s="166"/>
      <c r="S200" s="166"/>
    </row>
    <row r="201" spans="3:19" hidden="1" x14ac:dyDescent="0.25">
      <c r="C201" s="17" t="s">
        <v>211</v>
      </c>
      <c r="D201" s="17" t="s">
        <v>189</v>
      </c>
      <c r="E201" s="553"/>
      <c r="F201" s="553"/>
      <c r="G201" s="553"/>
      <c r="H201" s="553"/>
      <c r="I201" s="553"/>
      <c r="J201" s="553"/>
      <c r="K201" s="553"/>
      <c r="L201" s="553"/>
      <c r="M201" s="553"/>
      <c r="N201" s="553"/>
      <c r="O201" s="553"/>
      <c r="P201" s="553"/>
      <c r="Q201" s="561">
        <f t="shared" si="66"/>
        <v>0</v>
      </c>
      <c r="R201" s="166"/>
      <c r="S201" s="166"/>
    </row>
    <row r="202" spans="3:19" hidden="1" x14ac:dyDescent="0.25">
      <c r="C202" s="17"/>
      <c r="D202" s="17"/>
      <c r="E202" s="553"/>
      <c r="F202" s="553"/>
      <c r="G202" s="553"/>
      <c r="H202" s="553"/>
      <c r="I202" s="553"/>
      <c r="J202" s="553"/>
      <c r="K202" s="553"/>
      <c r="L202" s="553"/>
      <c r="M202" s="553"/>
      <c r="N202" s="553"/>
      <c r="O202" s="553"/>
      <c r="P202" s="553"/>
      <c r="Q202" s="561">
        <f t="shared" si="66"/>
        <v>0</v>
      </c>
      <c r="R202" s="166"/>
      <c r="S202" s="166"/>
    </row>
    <row r="203" spans="3:19" hidden="1" x14ac:dyDescent="0.25">
      <c r="C203" s="17"/>
      <c r="D203" s="17"/>
      <c r="E203" s="553"/>
      <c r="F203" s="553"/>
      <c r="G203" s="553"/>
      <c r="H203" s="553"/>
      <c r="I203" s="553"/>
      <c r="J203" s="553"/>
      <c r="K203" s="553"/>
      <c r="L203" s="553"/>
      <c r="M203" s="553"/>
      <c r="N203" s="553"/>
      <c r="O203" s="553"/>
      <c r="P203" s="553"/>
      <c r="Q203" s="561">
        <f t="shared" si="66"/>
        <v>0</v>
      </c>
      <c r="R203" s="166"/>
      <c r="S203" s="166"/>
    </row>
    <row r="204" spans="3:19" hidden="1" x14ac:dyDescent="0.25">
      <c r="C204" s="17"/>
      <c r="D204" s="17"/>
      <c r="E204" s="553"/>
      <c r="F204" s="553"/>
      <c r="G204" s="553"/>
      <c r="H204" s="553"/>
      <c r="I204" s="553"/>
      <c r="J204" s="553"/>
      <c r="K204" s="553"/>
      <c r="L204" s="553"/>
      <c r="M204" s="553"/>
      <c r="N204" s="553"/>
      <c r="O204" s="553"/>
      <c r="P204" s="553"/>
      <c r="Q204" s="561">
        <f t="shared" si="66"/>
        <v>0</v>
      </c>
      <c r="R204" s="166"/>
      <c r="S204" s="166"/>
    </row>
    <row r="205" spans="3:19" hidden="1" x14ac:dyDescent="0.25">
      <c r="C205" s="17"/>
      <c r="D205" s="17"/>
      <c r="E205" s="553"/>
      <c r="F205" s="553"/>
      <c r="G205" s="553"/>
      <c r="H205" s="553"/>
      <c r="I205" s="553"/>
      <c r="J205" s="553"/>
      <c r="K205" s="553"/>
      <c r="L205" s="553"/>
      <c r="M205" s="553"/>
      <c r="N205" s="553"/>
      <c r="O205" s="553"/>
      <c r="P205" s="553"/>
      <c r="Q205" s="561">
        <f t="shared" si="66"/>
        <v>0</v>
      </c>
      <c r="R205" s="166"/>
      <c r="S205" s="166"/>
    </row>
    <row r="206" spans="3:19" hidden="1" x14ac:dyDescent="0.25">
      <c r="C206" s="751" t="s">
        <v>212</v>
      </c>
      <c r="D206" s="752"/>
      <c r="E206" s="561">
        <f t="shared" ref="E206:P206" si="67">SUM(E191:E205)</f>
        <v>43.544773659668863</v>
      </c>
      <c r="F206" s="561">
        <f t="shared" si="67"/>
        <v>40.576515000000001</v>
      </c>
      <c r="G206" s="561">
        <f t="shared" si="67"/>
        <v>49.820824000000002</v>
      </c>
      <c r="H206" s="561">
        <f t="shared" si="67"/>
        <v>47.651614000000002</v>
      </c>
      <c r="I206" s="561">
        <f t="shared" si="67"/>
        <v>56.838764000000005</v>
      </c>
      <c r="J206" s="561">
        <f t="shared" si="67"/>
        <v>52.847152150000007</v>
      </c>
      <c r="K206" s="561">
        <f t="shared" si="67"/>
        <v>49.163280999999998</v>
      </c>
      <c r="L206" s="561">
        <f t="shared" si="67"/>
        <v>51.145862000000001</v>
      </c>
      <c r="M206" s="561">
        <f t="shared" si="67"/>
        <v>50.732393299999998</v>
      </c>
      <c r="N206" s="561">
        <f t="shared" si="67"/>
        <v>54.00740600000001</v>
      </c>
      <c r="O206" s="561">
        <f t="shared" si="67"/>
        <v>56.483547000000002</v>
      </c>
      <c r="P206" s="561">
        <f t="shared" si="67"/>
        <v>57.980675840000011</v>
      </c>
      <c r="Q206" s="561">
        <f t="shared" si="66"/>
        <v>610.79280794966894</v>
      </c>
      <c r="R206" s="166"/>
      <c r="S206" s="166"/>
    </row>
    <row r="207" spans="3:19" hidden="1" x14ac:dyDescent="0.25">
      <c r="C207" s="753" t="s">
        <v>215</v>
      </c>
      <c r="D207" s="754"/>
      <c r="E207" s="553"/>
      <c r="F207" s="553"/>
      <c r="G207" s="553"/>
      <c r="H207" s="553"/>
      <c r="I207" s="553"/>
      <c r="J207" s="553"/>
      <c r="K207" s="553"/>
      <c r="L207" s="553"/>
      <c r="M207" s="553"/>
      <c r="N207" s="553"/>
      <c r="O207" s="553"/>
      <c r="P207" s="553"/>
      <c r="Q207" s="561"/>
      <c r="R207" s="166"/>
      <c r="S207" s="166"/>
    </row>
    <row r="208" spans="3:19" hidden="1" x14ac:dyDescent="0.25">
      <c r="C208" s="17" t="s">
        <v>192</v>
      </c>
      <c r="D208" s="17" t="s">
        <v>193</v>
      </c>
      <c r="E208" s="553">
        <v>63.436564659999938</v>
      </c>
      <c r="F208" s="553">
        <v>61.603072900000036</v>
      </c>
      <c r="G208" s="553">
        <v>68.930464350000008</v>
      </c>
      <c r="H208" s="553">
        <v>63.219351599999975</v>
      </c>
      <c r="I208" s="553">
        <v>70.039538550000032</v>
      </c>
      <c r="J208" s="553">
        <v>68.180314099999961</v>
      </c>
      <c r="K208" s="553">
        <v>68.388285299999993</v>
      </c>
      <c r="L208" s="553">
        <v>70.690649000000008</v>
      </c>
      <c r="M208" s="553">
        <v>69.774895070000014</v>
      </c>
      <c r="N208" s="553">
        <v>69.725390400000023</v>
      </c>
      <c r="O208" s="553">
        <v>70.876534999999876</v>
      </c>
      <c r="P208" s="553">
        <v>62.251465000000024</v>
      </c>
      <c r="Q208" s="561">
        <f t="shared" ref="Q208:Q220" si="68">SUM(E208:P208)</f>
        <v>807.11652592999997</v>
      </c>
      <c r="R208" s="166"/>
      <c r="S208" s="166"/>
    </row>
    <row r="209" spans="3:19" hidden="1" x14ac:dyDescent="0.25">
      <c r="C209" s="17" t="s">
        <v>194</v>
      </c>
      <c r="D209" s="17" t="s">
        <v>195</v>
      </c>
      <c r="E209" s="553">
        <v>0</v>
      </c>
      <c r="F209" s="553">
        <v>0</v>
      </c>
      <c r="G209" s="553">
        <v>0</v>
      </c>
      <c r="H209" s="553">
        <v>0</v>
      </c>
      <c r="I209" s="553">
        <v>0</v>
      </c>
      <c r="J209" s="553">
        <v>0</v>
      </c>
      <c r="K209" s="553">
        <v>0</v>
      </c>
      <c r="L209" s="553">
        <v>0</v>
      </c>
      <c r="M209" s="553">
        <v>0</v>
      </c>
      <c r="N209" s="553">
        <v>0</v>
      </c>
      <c r="O209" s="553">
        <v>0</v>
      </c>
      <c r="P209" s="553">
        <v>0</v>
      </c>
      <c r="Q209" s="561">
        <f t="shared" si="68"/>
        <v>0</v>
      </c>
      <c r="R209" s="166"/>
      <c r="S209" s="166"/>
    </row>
    <row r="210" spans="3:19" hidden="1" x14ac:dyDescent="0.25">
      <c r="C210" s="17" t="s">
        <v>233</v>
      </c>
      <c r="D210" s="17" t="s">
        <v>197</v>
      </c>
      <c r="E210" s="553">
        <v>2.0345183400000004</v>
      </c>
      <c r="F210" s="553">
        <v>1.9636581</v>
      </c>
      <c r="G210" s="553">
        <v>0.47038165000000021</v>
      </c>
      <c r="H210" s="553">
        <v>0.39545040000000109</v>
      </c>
      <c r="I210" s="553">
        <v>1.2444004499999979</v>
      </c>
      <c r="J210" s="553">
        <v>0.48928989999999872</v>
      </c>
      <c r="K210" s="553">
        <v>0.44616070000000141</v>
      </c>
      <c r="L210" s="553">
        <v>0.2916650000000009</v>
      </c>
      <c r="M210" s="553">
        <v>0.35418993000000232</v>
      </c>
      <c r="N210" s="553">
        <v>0.31939160000000166</v>
      </c>
      <c r="O210" s="553">
        <v>0.56704900000000136</v>
      </c>
      <c r="P210" s="553">
        <v>0.35802300000000087</v>
      </c>
      <c r="Q210" s="561">
        <f t="shared" si="68"/>
        <v>8.9341780700000069</v>
      </c>
      <c r="R210" s="166"/>
      <c r="S210" s="166"/>
    </row>
    <row r="211" spans="3:19" hidden="1" x14ac:dyDescent="0.25">
      <c r="C211" s="17" t="s">
        <v>198</v>
      </c>
      <c r="D211" s="17" t="s">
        <v>199</v>
      </c>
      <c r="E211" s="553"/>
      <c r="F211" s="553"/>
      <c r="G211" s="553"/>
      <c r="H211" s="553"/>
      <c r="I211" s="553"/>
      <c r="J211" s="553"/>
      <c r="K211" s="553"/>
      <c r="L211" s="553"/>
      <c r="M211" s="553"/>
      <c r="N211" s="553"/>
      <c r="O211" s="553"/>
      <c r="P211" s="553"/>
      <c r="Q211" s="561">
        <f t="shared" si="68"/>
        <v>0</v>
      </c>
      <c r="R211" s="166"/>
      <c r="S211" s="166"/>
    </row>
    <row r="212" spans="3:19" hidden="1" x14ac:dyDescent="0.25">
      <c r="C212" s="17" t="s">
        <v>200</v>
      </c>
      <c r="D212" s="17" t="s">
        <v>201</v>
      </c>
      <c r="E212" s="553"/>
      <c r="F212" s="553"/>
      <c r="G212" s="553"/>
      <c r="H212" s="553"/>
      <c r="I212" s="553"/>
      <c r="J212" s="553"/>
      <c r="K212" s="553"/>
      <c r="L212" s="553"/>
      <c r="M212" s="553"/>
      <c r="N212" s="553"/>
      <c r="O212" s="553"/>
      <c r="P212" s="553"/>
      <c r="Q212" s="561">
        <f t="shared" si="68"/>
        <v>0</v>
      </c>
      <c r="R212" s="166"/>
      <c r="S212" s="166"/>
    </row>
    <row r="213" spans="3:19" hidden="1" x14ac:dyDescent="0.25">
      <c r="C213" s="17" t="s">
        <v>202</v>
      </c>
      <c r="D213" s="17" t="s">
        <v>234</v>
      </c>
      <c r="E213" s="553">
        <v>222.02933884000001</v>
      </c>
      <c r="F213" s="553">
        <v>68.903187129999992</v>
      </c>
      <c r="G213" s="553">
        <v>74.872352000000006</v>
      </c>
      <c r="H213" s="553">
        <v>59.80789017</v>
      </c>
      <c r="I213" s="553">
        <v>494.28448944000002</v>
      </c>
      <c r="J213" s="553">
        <v>54.78697854</v>
      </c>
      <c r="K213" s="553">
        <v>7.7220339999999998</v>
      </c>
      <c r="L213" s="553">
        <v>3.1130719999999998</v>
      </c>
      <c r="M213" s="553">
        <v>3.468712</v>
      </c>
      <c r="N213" s="553">
        <v>87.519681599999998</v>
      </c>
      <c r="O213" s="553">
        <v>629.94031032000009</v>
      </c>
      <c r="P213" s="553">
        <v>185.939808</v>
      </c>
      <c r="Q213" s="561">
        <f t="shared" si="68"/>
        <v>1892.3878540400001</v>
      </c>
      <c r="R213" s="166"/>
      <c r="S213" s="166"/>
    </row>
    <row r="214" spans="3:19" hidden="1" x14ac:dyDescent="0.25">
      <c r="C214" s="17" t="s">
        <v>204</v>
      </c>
      <c r="D214" s="17" t="s">
        <v>216</v>
      </c>
      <c r="E214" s="553">
        <v>1.9768319999999999</v>
      </c>
      <c r="F214" s="553">
        <v>2.1512519999999999</v>
      </c>
      <c r="G214" s="553">
        <v>2.2210920000000001</v>
      </c>
      <c r="H214" s="553">
        <v>2.0117159999999998</v>
      </c>
      <c r="I214" s="553">
        <v>1.9902960000000001</v>
      </c>
      <c r="J214" s="553">
        <v>1.9007639999999999</v>
      </c>
      <c r="K214" s="553">
        <v>1.8685080000000001</v>
      </c>
      <c r="L214" s="553">
        <v>2.1167639999999999</v>
      </c>
      <c r="M214" s="553">
        <v>1.906488</v>
      </c>
      <c r="N214" s="553">
        <v>2.0625840000000002</v>
      </c>
      <c r="O214" s="553">
        <v>2.259792</v>
      </c>
      <c r="P214" s="553">
        <v>1.8145439999999999</v>
      </c>
      <c r="Q214" s="561">
        <f t="shared" si="68"/>
        <v>24.280632000000004</v>
      </c>
      <c r="R214" s="166"/>
      <c r="S214" s="166"/>
    </row>
    <row r="215" spans="3:19" hidden="1" x14ac:dyDescent="0.25">
      <c r="C215" s="17" t="s">
        <v>217</v>
      </c>
      <c r="D215" s="17" t="s">
        <v>218</v>
      </c>
      <c r="E215" s="553">
        <v>16.1116931</v>
      </c>
      <c r="F215" s="553">
        <v>18.642124299999999</v>
      </c>
      <c r="G215" s="553">
        <v>24.070616400000002</v>
      </c>
      <c r="H215" s="553">
        <v>17.4473281</v>
      </c>
      <c r="I215" s="553">
        <v>20.104613700000002</v>
      </c>
      <c r="J215" s="553">
        <v>23.027841900000002</v>
      </c>
      <c r="K215" s="553">
        <v>22.512025000000005</v>
      </c>
      <c r="L215" s="553">
        <v>28.350425900000001</v>
      </c>
      <c r="M215" s="553">
        <v>33.231368400000001</v>
      </c>
      <c r="N215" s="553">
        <v>37.119526</v>
      </c>
      <c r="O215" s="553">
        <v>39.895040699999996</v>
      </c>
      <c r="P215" s="553">
        <v>37.974158299999999</v>
      </c>
      <c r="Q215" s="561">
        <f t="shared" si="68"/>
        <v>318.48676180000001</v>
      </c>
      <c r="R215" s="166"/>
      <c r="S215" s="166"/>
    </row>
    <row r="216" spans="3:19" hidden="1" x14ac:dyDescent="0.25">
      <c r="C216" s="17" t="s">
        <v>252</v>
      </c>
      <c r="D216" s="17" t="s">
        <v>236</v>
      </c>
      <c r="E216" s="553">
        <v>0</v>
      </c>
      <c r="F216" s="553">
        <v>0</v>
      </c>
      <c r="G216" s="553">
        <v>0</v>
      </c>
      <c r="H216" s="553">
        <v>0</v>
      </c>
      <c r="I216" s="553">
        <v>0</v>
      </c>
      <c r="J216" s="553">
        <v>0</v>
      </c>
      <c r="K216" s="553">
        <v>0</v>
      </c>
      <c r="L216" s="553">
        <v>0</v>
      </c>
      <c r="M216" s="553">
        <v>0</v>
      </c>
      <c r="N216" s="553">
        <v>0</v>
      </c>
      <c r="O216" s="553">
        <v>0</v>
      </c>
      <c r="P216" s="553">
        <v>0</v>
      </c>
      <c r="Q216" s="561">
        <f t="shared" si="68"/>
        <v>0</v>
      </c>
      <c r="R216" s="166"/>
      <c r="S216" s="166"/>
    </row>
    <row r="217" spans="3:19" hidden="1" x14ac:dyDescent="0.25">
      <c r="C217" s="17" t="s">
        <v>206</v>
      </c>
      <c r="D217" s="17" t="s">
        <v>207</v>
      </c>
      <c r="E217" s="553">
        <v>9.5126560000000016</v>
      </c>
      <c r="F217" s="553">
        <v>10.893533999999999</v>
      </c>
      <c r="G217" s="553">
        <v>9.7494189999999996</v>
      </c>
      <c r="H217" s="553">
        <v>9.7355999999999998</v>
      </c>
      <c r="I217" s="553">
        <v>9.0271360000000005</v>
      </c>
      <c r="J217" s="553">
        <v>7.2849500000000011</v>
      </c>
      <c r="K217" s="553">
        <v>6.7387959999999989</v>
      </c>
      <c r="L217" s="553">
        <v>7.5572330000000001</v>
      </c>
      <c r="M217" s="553">
        <v>7.0223479999999974</v>
      </c>
      <c r="N217" s="553">
        <v>7.022358999999998</v>
      </c>
      <c r="O217" s="553">
        <v>7.3451390000000005</v>
      </c>
      <c r="P217" s="553">
        <v>7.3611379999999995</v>
      </c>
      <c r="Q217" s="561">
        <f t="shared" si="68"/>
        <v>99.25030799999999</v>
      </c>
      <c r="R217" s="166"/>
      <c r="S217" s="166"/>
    </row>
    <row r="218" spans="3:19" hidden="1" x14ac:dyDescent="0.25">
      <c r="C218" s="17" t="s">
        <v>208</v>
      </c>
      <c r="D218" s="17" t="s">
        <v>187</v>
      </c>
      <c r="E218" s="553">
        <v>3.8690549999999995</v>
      </c>
      <c r="F218" s="553">
        <v>4.1993979999999995</v>
      </c>
      <c r="G218" s="553">
        <v>5.8456280000000005</v>
      </c>
      <c r="H218" s="553">
        <v>5.1069779999999998</v>
      </c>
      <c r="I218" s="553">
        <v>1.9542559999999995</v>
      </c>
      <c r="J218" s="553">
        <v>3.945511999999999</v>
      </c>
      <c r="K218" s="553">
        <v>6.4216050000000005</v>
      </c>
      <c r="L218" s="553">
        <v>7.0992319999999998</v>
      </c>
      <c r="M218" s="553">
        <v>10.739398</v>
      </c>
      <c r="N218" s="553">
        <v>6.7186950000000012</v>
      </c>
      <c r="O218" s="553">
        <v>10.391020000000001</v>
      </c>
      <c r="P218" s="553">
        <v>4.0639320000000003</v>
      </c>
      <c r="Q218" s="561">
        <f t="shared" si="68"/>
        <v>70.354709</v>
      </c>
      <c r="R218" s="166"/>
      <c r="S218" s="166"/>
    </row>
    <row r="219" spans="3:19" hidden="1" x14ac:dyDescent="0.25">
      <c r="C219" s="17" t="s">
        <v>209</v>
      </c>
      <c r="D219" s="17" t="s">
        <v>210</v>
      </c>
      <c r="E219" s="553"/>
      <c r="F219" s="553"/>
      <c r="G219" s="553"/>
      <c r="H219" s="553"/>
      <c r="I219" s="553"/>
      <c r="J219" s="553"/>
      <c r="K219" s="553"/>
      <c r="L219" s="553"/>
      <c r="M219" s="553"/>
      <c r="N219" s="553"/>
      <c r="O219" s="553"/>
      <c r="P219" s="553"/>
      <c r="Q219" s="561">
        <f t="shared" si="68"/>
        <v>0</v>
      </c>
      <c r="R219" s="166"/>
      <c r="S219" s="166"/>
    </row>
    <row r="220" spans="3:19" hidden="1" x14ac:dyDescent="0.25">
      <c r="C220" s="17" t="s">
        <v>211</v>
      </c>
      <c r="D220" s="17" t="s">
        <v>189</v>
      </c>
      <c r="E220" s="553"/>
      <c r="F220" s="553"/>
      <c r="G220" s="553"/>
      <c r="H220" s="553"/>
      <c r="I220" s="553"/>
      <c r="J220" s="553"/>
      <c r="K220" s="553"/>
      <c r="L220" s="553"/>
      <c r="M220" s="553"/>
      <c r="N220" s="553"/>
      <c r="O220" s="553"/>
      <c r="P220" s="553"/>
      <c r="Q220" s="561">
        <f t="shared" si="68"/>
        <v>0</v>
      </c>
      <c r="R220" s="166"/>
      <c r="S220" s="166"/>
    </row>
    <row r="221" spans="3:19" hidden="1" x14ac:dyDescent="0.25">
      <c r="C221" s="17"/>
      <c r="D221" s="17"/>
      <c r="E221" s="553"/>
      <c r="F221" s="553"/>
      <c r="G221" s="553"/>
      <c r="H221" s="553"/>
      <c r="I221" s="553"/>
      <c r="J221" s="553"/>
      <c r="K221" s="553"/>
      <c r="L221" s="553"/>
      <c r="M221" s="553"/>
      <c r="N221" s="553"/>
      <c r="O221" s="553"/>
      <c r="P221" s="553"/>
      <c r="Q221" s="561"/>
      <c r="R221" s="166"/>
      <c r="S221" s="166"/>
    </row>
    <row r="222" spans="3:19" hidden="1" x14ac:dyDescent="0.25">
      <c r="C222" s="17"/>
      <c r="D222" s="17"/>
      <c r="E222" s="553"/>
      <c r="F222" s="553"/>
      <c r="G222" s="553"/>
      <c r="H222" s="553"/>
      <c r="I222" s="553"/>
      <c r="J222" s="553"/>
      <c r="K222" s="553"/>
      <c r="L222" s="553"/>
      <c r="M222" s="553"/>
      <c r="N222" s="553"/>
      <c r="O222" s="553"/>
      <c r="P222" s="553"/>
      <c r="Q222" s="561"/>
      <c r="R222" s="166"/>
      <c r="S222" s="166"/>
    </row>
    <row r="223" spans="3:19" hidden="1" x14ac:dyDescent="0.25">
      <c r="C223" s="17"/>
      <c r="D223" s="17"/>
      <c r="E223" s="553"/>
      <c r="F223" s="553"/>
      <c r="G223" s="553"/>
      <c r="H223" s="553"/>
      <c r="I223" s="553"/>
      <c r="J223" s="553"/>
      <c r="K223" s="553"/>
      <c r="L223" s="553"/>
      <c r="M223" s="553"/>
      <c r="N223" s="553"/>
      <c r="O223" s="553"/>
      <c r="P223" s="553"/>
      <c r="Q223" s="561"/>
      <c r="R223" s="166"/>
      <c r="S223" s="166"/>
    </row>
    <row r="224" spans="3:19" hidden="1" x14ac:dyDescent="0.25">
      <c r="C224" s="751" t="s">
        <v>212</v>
      </c>
      <c r="D224" s="752"/>
      <c r="E224" s="561">
        <f t="shared" ref="E224:P224" si="69">SUM(E208:E223)</f>
        <v>318.97065793999997</v>
      </c>
      <c r="F224" s="561">
        <f t="shared" si="69"/>
        <v>168.35622643000002</v>
      </c>
      <c r="G224" s="561">
        <f t="shared" si="69"/>
        <v>186.15995340000001</v>
      </c>
      <c r="H224" s="561">
        <f t="shared" si="69"/>
        <v>157.72431426999998</v>
      </c>
      <c r="I224" s="561">
        <f t="shared" si="69"/>
        <v>598.64473013999998</v>
      </c>
      <c r="J224" s="561">
        <f t="shared" si="69"/>
        <v>159.61565044</v>
      </c>
      <c r="K224" s="561">
        <f t="shared" si="69"/>
        <v>114.097414</v>
      </c>
      <c r="L224" s="561">
        <f t="shared" si="69"/>
        <v>119.21904090000001</v>
      </c>
      <c r="M224" s="561">
        <f t="shared" si="69"/>
        <v>126.49739940000001</v>
      </c>
      <c r="N224" s="561">
        <f t="shared" si="69"/>
        <v>210.4876276</v>
      </c>
      <c r="O224" s="561">
        <f t="shared" si="69"/>
        <v>761.27488601999994</v>
      </c>
      <c r="P224" s="561">
        <f t="shared" si="69"/>
        <v>299.76306830000004</v>
      </c>
      <c r="Q224" s="561">
        <f>SUM(E224:P224)</f>
        <v>3220.81096884</v>
      </c>
      <c r="R224" s="166"/>
      <c r="S224" s="166"/>
    </row>
    <row r="225" spans="3:19" hidden="1" x14ac:dyDescent="0.25">
      <c r="C225" s="751" t="s">
        <v>219</v>
      </c>
      <c r="D225" s="752"/>
      <c r="E225" s="561">
        <f t="shared" ref="E225:P225" si="70">E224+E206+E189</f>
        <v>517.96686613966881</v>
      </c>
      <c r="F225" s="561">
        <f t="shared" si="70"/>
        <v>306.06735888000003</v>
      </c>
      <c r="G225" s="561">
        <f t="shared" si="70"/>
        <v>356.94644167000001</v>
      </c>
      <c r="H225" s="561">
        <f t="shared" si="70"/>
        <v>374.37575234999997</v>
      </c>
      <c r="I225" s="561">
        <f t="shared" si="70"/>
        <v>827.68791913999996</v>
      </c>
      <c r="J225" s="561">
        <f t="shared" si="70"/>
        <v>385.13672836000001</v>
      </c>
      <c r="K225" s="561">
        <f t="shared" si="70"/>
        <v>364.05813126999993</v>
      </c>
      <c r="L225" s="561">
        <f t="shared" si="70"/>
        <v>319.07993980000003</v>
      </c>
      <c r="M225" s="561">
        <f t="shared" si="70"/>
        <v>356.72251525500002</v>
      </c>
      <c r="N225" s="561">
        <f t="shared" si="70"/>
        <v>479.50637037833337</v>
      </c>
      <c r="O225" s="561">
        <f t="shared" si="70"/>
        <v>1020.8783477183333</v>
      </c>
      <c r="P225" s="561">
        <f t="shared" si="70"/>
        <v>537.68889135866448</v>
      </c>
      <c r="Q225" s="561">
        <f>SUM(E225:P225)</f>
        <v>5846.1152623199996</v>
      </c>
      <c r="R225" s="166"/>
      <c r="S225" s="166"/>
    </row>
    <row r="226" spans="3:19" hidden="1" x14ac:dyDescent="0.25">
      <c r="C226" s="751" t="s">
        <v>220</v>
      </c>
      <c r="D226" s="752"/>
      <c r="E226" s="561">
        <f t="shared" ref="E226:P226" si="71">E225+E172</f>
        <v>907.30263513966884</v>
      </c>
      <c r="F226" s="561">
        <f t="shared" si="71"/>
        <v>801.02006857000003</v>
      </c>
      <c r="G226" s="561">
        <f t="shared" si="71"/>
        <v>842.90267367000001</v>
      </c>
      <c r="H226" s="561">
        <f t="shared" si="71"/>
        <v>846.76742304999993</v>
      </c>
      <c r="I226" s="561">
        <f t="shared" si="71"/>
        <v>1308.8081591399998</v>
      </c>
      <c r="J226" s="561">
        <f t="shared" si="71"/>
        <v>804.71596535999993</v>
      </c>
      <c r="K226" s="561">
        <f t="shared" si="71"/>
        <v>790.80183176999981</v>
      </c>
      <c r="L226" s="561">
        <f t="shared" si="71"/>
        <v>730.27598530000012</v>
      </c>
      <c r="M226" s="561">
        <f t="shared" si="71"/>
        <v>725.74374608800008</v>
      </c>
      <c r="N226" s="561">
        <f t="shared" si="71"/>
        <v>828.99963287833339</v>
      </c>
      <c r="O226" s="561">
        <f t="shared" si="71"/>
        <v>1379.4104622183334</v>
      </c>
      <c r="P226" s="561">
        <f t="shared" si="71"/>
        <v>903.16884985866454</v>
      </c>
      <c r="Q226" s="561">
        <f>SUM(E226:P226)</f>
        <v>10869.917433043</v>
      </c>
      <c r="R226" s="166"/>
      <c r="S226" s="166"/>
    </row>
    <row r="227" spans="3:19" hidden="1" x14ac:dyDescent="0.25">
      <c r="C227" s="25"/>
      <c r="D227" s="25"/>
      <c r="E227" s="562"/>
      <c r="F227" s="562"/>
      <c r="G227" s="562"/>
      <c r="H227" s="562"/>
      <c r="I227" s="562"/>
      <c r="J227" s="562"/>
      <c r="K227" s="562"/>
      <c r="L227" s="562"/>
      <c r="M227" s="562"/>
      <c r="N227" s="562"/>
      <c r="O227" s="562"/>
      <c r="P227" s="562"/>
      <c r="Q227" s="562"/>
      <c r="R227" s="166"/>
      <c r="S227" s="166"/>
    </row>
    <row r="228" spans="3:19" hidden="1" x14ac:dyDescent="0.25">
      <c r="C228" s="14"/>
      <c r="E228" s="562"/>
      <c r="F228" s="562"/>
      <c r="G228" s="562"/>
      <c r="H228" s="562"/>
      <c r="I228" s="562"/>
      <c r="J228" s="562"/>
      <c r="K228" s="562"/>
      <c r="L228" s="562"/>
      <c r="M228" s="562"/>
      <c r="N228" s="562"/>
      <c r="O228" s="562"/>
      <c r="P228" s="562"/>
      <c r="Q228" s="564" t="s">
        <v>229</v>
      </c>
      <c r="R228" s="166"/>
      <c r="S228" s="166"/>
    </row>
    <row r="229" spans="3:19" hidden="1" x14ac:dyDescent="0.25">
      <c r="C229" s="760" t="s">
        <v>163</v>
      </c>
      <c r="D229" s="760"/>
      <c r="E229" s="769" t="s">
        <v>264</v>
      </c>
      <c r="F229" s="769"/>
      <c r="G229" s="769"/>
      <c r="H229" s="769"/>
      <c r="I229" s="769"/>
      <c r="J229" s="769"/>
      <c r="K229" s="769"/>
      <c r="L229" s="769"/>
      <c r="M229" s="769"/>
      <c r="N229" s="769"/>
      <c r="O229" s="769"/>
      <c r="P229" s="769"/>
      <c r="Q229" s="769"/>
      <c r="R229" s="166"/>
      <c r="S229" s="166"/>
    </row>
    <row r="230" spans="3:19" hidden="1" x14ac:dyDescent="0.25">
      <c r="C230" s="760"/>
      <c r="D230" s="760"/>
      <c r="E230" s="560" t="s">
        <v>239</v>
      </c>
      <c r="F230" s="560" t="s">
        <v>240</v>
      </c>
      <c r="G230" s="560" t="s">
        <v>241</v>
      </c>
      <c r="H230" s="560" t="s">
        <v>242</v>
      </c>
      <c r="I230" s="560" t="s">
        <v>243</v>
      </c>
      <c r="J230" s="560" t="s">
        <v>244</v>
      </c>
      <c r="K230" s="560" t="s">
        <v>245</v>
      </c>
      <c r="L230" s="560" t="s">
        <v>246</v>
      </c>
      <c r="M230" s="560" t="s">
        <v>247</v>
      </c>
      <c r="N230" s="560" t="s">
        <v>248</v>
      </c>
      <c r="O230" s="560" t="s">
        <v>249</v>
      </c>
      <c r="P230" s="560" t="s">
        <v>250</v>
      </c>
      <c r="Q230" s="560" t="s">
        <v>251</v>
      </c>
      <c r="R230" s="166"/>
      <c r="S230" s="166"/>
    </row>
    <row r="231" spans="3:19" hidden="1" x14ac:dyDescent="0.25">
      <c r="C231" s="753" t="s">
        <v>171</v>
      </c>
      <c r="D231" s="754"/>
      <c r="E231" s="553"/>
      <c r="F231" s="553"/>
      <c r="G231" s="553"/>
      <c r="H231" s="553"/>
      <c r="I231" s="553"/>
      <c r="J231" s="553"/>
      <c r="K231" s="553"/>
      <c r="L231" s="553"/>
      <c r="M231" s="553"/>
      <c r="N231" s="553"/>
      <c r="O231" s="553"/>
      <c r="P231" s="553"/>
      <c r="Q231" s="561"/>
      <c r="R231" s="166"/>
      <c r="S231" s="166"/>
    </row>
    <row r="232" spans="3:19" hidden="1" x14ac:dyDescent="0.25">
      <c r="C232" s="59" t="s">
        <v>172</v>
      </c>
      <c r="D232" s="59" t="s">
        <v>173</v>
      </c>
      <c r="E232" s="553">
        <v>333.62933812389008</v>
      </c>
      <c r="F232" s="553">
        <v>399.94714199999999</v>
      </c>
      <c r="G232" s="553">
        <v>405.39577099999997</v>
      </c>
      <c r="H232" s="553">
        <v>358.41199999999992</v>
      </c>
      <c r="I232" s="553">
        <v>372.15892899999994</v>
      </c>
      <c r="J232" s="553">
        <v>350.02704699999992</v>
      </c>
      <c r="K232" s="553">
        <v>339.12101499999994</v>
      </c>
      <c r="L232" s="553">
        <v>316.38501516999997</v>
      </c>
      <c r="M232" s="553">
        <v>272.18700000000001</v>
      </c>
      <c r="N232" s="553">
        <v>234.19050299999998</v>
      </c>
      <c r="O232" s="553">
        <v>229.74135010999998</v>
      </c>
      <c r="P232" s="553">
        <v>252.22675699999996</v>
      </c>
      <c r="Q232" s="561">
        <f t="shared" ref="Q232:Q240" si="72">SUM(E232:P232)</f>
        <v>3863.4218674038889</v>
      </c>
      <c r="R232" s="166"/>
      <c r="S232" s="166"/>
    </row>
    <row r="233" spans="3:19" hidden="1" x14ac:dyDescent="0.25">
      <c r="C233" s="17" t="s">
        <v>174</v>
      </c>
      <c r="D233" s="17" t="s">
        <v>175</v>
      </c>
      <c r="E233" s="553">
        <v>65.146134619481018</v>
      </c>
      <c r="F233" s="553">
        <v>65.877068000000008</v>
      </c>
      <c r="G233" s="553">
        <v>57.862479000000022</v>
      </c>
      <c r="H233" s="553">
        <v>60.416999999999994</v>
      </c>
      <c r="I233" s="553">
        <v>63.616415000000003</v>
      </c>
      <c r="J233" s="553">
        <v>65.255687000000009</v>
      </c>
      <c r="K233" s="553">
        <v>63.981610000000011</v>
      </c>
      <c r="L233" s="553">
        <v>66.002808000000016</v>
      </c>
      <c r="M233" s="553">
        <v>62.628730000000019</v>
      </c>
      <c r="N233" s="553">
        <v>58.422727000000023</v>
      </c>
      <c r="O233" s="553">
        <v>55.084436560000022</v>
      </c>
      <c r="P233" s="553">
        <v>59.562203000000011</v>
      </c>
      <c r="Q233" s="561">
        <f t="shared" si="72"/>
        <v>743.85729817948095</v>
      </c>
      <c r="R233" s="166"/>
      <c r="S233" s="166"/>
    </row>
    <row r="234" spans="3:19" hidden="1" x14ac:dyDescent="0.25">
      <c r="C234" s="17" t="s">
        <v>176</v>
      </c>
      <c r="D234" s="17" t="s">
        <v>177</v>
      </c>
      <c r="E234" s="553">
        <v>23.036509254418004</v>
      </c>
      <c r="F234" s="553">
        <v>18.583062000000005</v>
      </c>
      <c r="G234" s="553">
        <v>17.507388000000002</v>
      </c>
      <c r="H234" s="553">
        <v>18.530999999999995</v>
      </c>
      <c r="I234" s="553">
        <v>17.383475000000001</v>
      </c>
      <c r="J234" s="553">
        <v>17.238634999999995</v>
      </c>
      <c r="K234" s="553">
        <v>16.238274000000001</v>
      </c>
      <c r="L234" s="553">
        <v>16.492170000000002</v>
      </c>
      <c r="M234" s="553">
        <v>20.195349999999998</v>
      </c>
      <c r="N234" s="553">
        <v>26.320556</v>
      </c>
      <c r="O234" s="553">
        <v>24.047546000000004</v>
      </c>
      <c r="P234" s="553">
        <v>20.162482999999995</v>
      </c>
      <c r="Q234" s="561">
        <f t="shared" si="72"/>
        <v>235.73644825441801</v>
      </c>
      <c r="R234" s="166"/>
      <c r="S234" s="166"/>
    </row>
    <row r="235" spans="3:19" hidden="1" x14ac:dyDescent="0.25">
      <c r="C235" s="17" t="s">
        <v>178</v>
      </c>
      <c r="D235" s="17" t="s">
        <v>179</v>
      </c>
      <c r="E235" s="553">
        <v>0.71030101199000006</v>
      </c>
      <c r="F235" s="553">
        <v>0.68848900000000013</v>
      </c>
      <c r="G235" s="553">
        <v>0.69644300000000015</v>
      </c>
      <c r="H235" s="553">
        <v>0.68543200000000026</v>
      </c>
      <c r="I235" s="553">
        <v>0.69957899999999995</v>
      </c>
      <c r="J235" s="553">
        <v>0.72765200000000008</v>
      </c>
      <c r="K235" s="553">
        <v>0.69283699999999993</v>
      </c>
      <c r="L235" s="553">
        <v>0.69324099999999989</v>
      </c>
      <c r="M235" s="553">
        <v>0.67070200000000013</v>
      </c>
      <c r="N235" s="553">
        <v>0.6683300000000002</v>
      </c>
      <c r="O235" s="553">
        <v>0.636459</v>
      </c>
      <c r="P235" s="553">
        <v>0.61001399999999995</v>
      </c>
      <c r="Q235" s="561">
        <f t="shared" si="72"/>
        <v>8.1794790119900007</v>
      </c>
      <c r="R235" s="166"/>
      <c r="S235" s="166"/>
    </row>
    <row r="236" spans="3:19" hidden="1" x14ac:dyDescent="0.25">
      <c r="C236" s="17" t="s">
        <v>180</v>
      </c>
      <c r="D236" s="17" t="s">
        <v>181</v>
      </c>
      <c r="E236" s="553"/>
      <c r="F236" s="553"/>
      <c r="G236" s="553"/>
      <c r="H236" s="553"/>
      <c r="I236" s="553"/>
      <c r="J236" s="553"/>
      <c r="K236" s="553"/>
      <c r="L236" s="553"/>
      <c r="M236" s="553"/>
      <c r="N236" s="553"/>
      <c r="O236" s="553"/>
      <c r="P236" s="553"/>
      <c r="Q236" s="561">
        <f t="shared" si="72"/>
        <v>0</v>
      </c>
      <c r="R236" s="166"/>
      <c r="S236" s="166"/>
    </row>
    <row r="237" spans="3:19" hidden="1" x14ac:dyDescent="0.25">
      <c r="C237" s="17" t="s">
        <v>182</v>
      </c>
      <c r="D237" s="17" t="s">
        <v>183</v>
      </c>
      <c r="E237" s="553">
        <v>28.166138466491997</v>
      </c>
      <c r="F237" s="553">
        <v>29.299648000000005</v>
      </c>
      <c r="G237" s="553">
        <v>29.700022000000004</v>
      </c>
      <c r="H237" s="553">
        <v>27.23252699999999</v>
      </c>
      <c r="I237" s="553">
        <v>27.382190000000001</v>
      </c>
      <c r="J237" s="553">
        <v>27.498260999999996</v>
      </c>
      <c r="K237" s="553">
        <v>26.829956999999997</v>
      </c>
      <c r="L237" s="553">
        <v>29.974435999999997</v>
      </c>
      <c r="M237" s="553">
        <v>29.114890999999993</v>
      </c>
      <c r="N237" s="553">
        <v>30.831655999999995</v>
      </c>
      <c r="O237" s="553">
        <v>29.642448999999999</v>
      </c>
      <c r="P237" s="553">
        <v>28.848711999999992</v>
      </c>
      <c r="Q237" s="561">
        <f t="shared" si="72"/>
        <v>344.52088746649196</v>
      </c>
      <c r="R237" s="166"/>
      <c r="S237" s="166"/>
    </row>
    <row r="238" spans="3:19" hidden="1" x14ac:dyDescent="0.25">
      <c r="C238" s="17" t="s">
        <v>184</v>
      </c>
      <c r="D238" s="17" t="s">
        <v>185</v>
      </c>
      <c r="E238" s="553">
        <v>3.2874220416490001</v>
      </c>
      <c r="F238" s="553">
        <v>2.4221669999999995</v>
      </c>
      <c r="G238" s="553">
        <v>1.9482400000000004</v>
      </c>
      <c r="H238" s="553">
        <v>1.8334930000000003</v>
      </c>
      <c r="I238" s="553">
        <v>2.1785360000000003</v>
      </c>
      <c r="J238" s="553">
        <v>2.310384</v>
      </c>
      <c r="K238" s="553">
        <v>2.3578010000000011</v>
      </c>
      <c r="L238" s="553">
        <v>3.0700069999999995</v>
      </c>
      <c r="M238" s="553">
        <v>4.3293220000000012</v>
      </c>
      <c r="N238" s="553">
        <v>3.6286029999999996</v>
      </c>
      <c r="O238" s="553">
        <v>2.3092009999999998</v>
      </c>
      <c r="P238" s="553">
        <v>4.1169799999999999</v>
      </c>
      <c r="Q238" s="561">
        <f t="shared" si="72"/>
        <v>33.792156041649001</v>
      </c>
      <c r="R238" s="166"/>
      <c r="S238" s="166"/>
    </row>
    <row r="239" spans="3:19" hidden="1" x14ac:dyDescent="0.25">
      <c r="C239" s="17" t="s">
        <v>186</v>
      </c>
      <c r="D239" s="17" t="s">
        <v>187</v>
      </c>
      <c r="E239" s="553">
        <v>0.36868000000000001</v>
      </c>
      <c r="F239" s="553">
        <v>0.37394200000000005</v>
      </c>
      <c r="G239" s="553">
        <v>0.34373004660000001</v>
      </c>
      <c r="H239" s="553">
        <v>0.34805799999999998</v>
      </c>
      <c r="I239" s="553">
        <v>0.38521399999999995</v>
      </c>
      <c r="J239" s="553">
        <v>0.41604599999999997</v>
      </c>
      <c r="K239" s="553">
        <v>0.42059200000000002</v>
      </c>
      <c r="L239" s="553">
        <v>0.43863600000000003</v>
      </c>
      <c r="M239" s="553">
        <v>0.38350499999999998</v>
      </c>
      <c r="N239" s="553">
        <v>0.50382899999999997</v>
      </c>
      <c r="O239" s="553">
        <v>0.485815</v>
      </c>
      <c r="P239" s="553">
        <v>0.53981199999999996</v>
      </c>
      <c r="Q239" s="561">
        <f t="shared" si="72"/>
        <v>5.0078590466000001</v>
      </c>
      <c r="R239" s="166"/>
      <c r="S239" s="166"/>
    </row>
    <row r="240" spans="3:19" hidden="1" x14ac:dyDescent="0.25">
      <c r="C240" s="17" t="s">
        <v>188</v>
      </c>
      <c r="D240" s="17" t="s">
        <v>189</v>
      </c>
      <c r="E240" s="553">
        <v>0</v>
      </c>
      <c r="F240" s="553">
        <v>0</v>
      </c>
      <c r="G240" s="553">
        <v>0</v>
      </c>
      <c r="H240" s="553">
        <v>0</v>
      </c>
      <c r="I240" s="553">
        <v>0</v>
      </c>
      <c r="J240" s="553">
        <v>0</v>
      </c>
      <c r="K240" s="553">
        <v>0</v>
      </c>
      <c r="L240" s="553">
        <v>0</v>
      </c>
      <c r="M240" s="553">
        <v>0</v>
      </c>
      <c r="N240" s="553">
        <v>0</v>
      </c>
      <c r="O240" s="553">
        <v>0</v>
      </c>
      <c r="P240" s="553">
        <v>0</v>
      </c>
      <c r="Q240" s="561">
        <f t="shared" si="72"/>
        <v>0</v>
      </c>
      <c r="R240" s="166"/>
      <c r="S240" s="166"/>
    </row>
    <row r="241" spans="3:19" hidden="1" x14ac:dyDescent="0.25">
      <c r="C241" s="17"/>
      <c r="D241" s="17"/>
      <c r="E241" s="553"/>
      <c r="F241" s="553"/>
      <c r="G241" s="553"/>
      <c r="H241" s="553"/>
      <c r="I241" s="553"/>
      <c r="J241" s="553"/>
      <c r="K241" s="553"/>
      <c r="L241" s="553"/>
      <c r="M241" s="553"/>
      <c r="N241" s="553"/>
      <c r="O241" s="553"/>
      <c r="P241" s="553"/>
      <c r="Q241" s="561"/>
      <c r="R241" s="166"/>
      <c r="S241" s="166"/>
    </row>
    <row r="242" spans="3:19" hidden="1" x14ac:dyDescent="0.25">
      <c r="C242" s="17"/>
      <c r="D242" s="17"/>
      <c r="E242" s="553"/>
      <c r="F242" s="553"/>
      <c r="G242" s="553"/>
      <c r="H242" s="553"/>
      <c r="I242" s="553"/>
      <c r="J242" s="553"/>
      <c r="K242" s="553"/>
      <c r="L242" s="553"/>
      <c r="M242" s="553"/>
      <c r="N242" s="553"/>
      <c r="O242" s="553"/>
      <c r="P242" s="553"/>
      <c r="Q242" s="561"/>
      <c r="R242" s="166"/>
      <c r="S242" s="166"/>
    </row>
    <row r="243" spans="3:19" hidden="1" x14ac:dyDescent="0.25">
      <c r="C243" s="17"/>
      <c r="D243" s="17"/>
      <c r="E243" s="553"/>
      <c r="F243" s="553"/>
      <c r="G243" s="553"/>
      <c r="H243" s="553"/>
      <c r="I243" s="553"/>
      <c r="J243" s="553"/>
      <c r="K243" s="553"/>
      <c r="L243" s="553"/>
      <c r="M243" s="553"/>
      <c r="N243" s="553"/>
      <c r="O243" s="553"/>
      <c r="P243" s="553"/>
      <c r="Q243" s="561"/>
      <c r="R243" s="166"/>
      <c r="S243" s="166"/>
    </row>
    <row r="244" spans="3:19" hidden="1" x14ac:dyDescent="0.25">
      <c r="C244" s="17"/>
      <c r="D244" s="17"/>
      <c r="E244" s="553"/>
      <c r="F244" s="553"/>
      <c r="G244" s="553"/>
      <c r="H244" s="553"/>
      <c r="I244" s="553"/>
      <c r="J244" s="553"/>
      <c r="K244" s="553"/>
      <c r="L244" s="553"/>
      <c r="M244" s="553"/>
      <c r="N244" s="553"/>
      <c r="O244" s="553"/>
      <c r="P244" s="553"/>
      <c r="Q244" s="561"/>
      <c r="R244" s="166"/>
      <c r="S244" s="166"/>
    </row>
    <row r="245" spans="3:19" hidden="1" x14ac:dyDescent="0.25">
      <c r="C245" s="751" t="s">
        <v>190</v>
      </c>
      <c r="D245" s="752"/>
      <c r="E245" s="561">
        <f t="shared" ref="E245:P245" si="73">SUM(E232:E244)</f>
        <v>454.34452351792004</v>
      </c>
      <c r="F245" s="561">
        <f t="shared" si="73"/>
        <v>517.19151799999997</v>
      </c>
      <c r="G245" s="561">
        <f t="shared" si="73"/>
        <v>513.45407304659989</v>
      </c>
      <c r="H245" s="561">
        <f t="shared" si="73"/>
        <v>467.45950999999985</v>
      </c>
      <c r="I245" s="561">
        <f t="shared" si="73"/>
        <v>483.80433799999997</v>
      </c>
      <c r="J245" s="561">
        <f t="shared" si="73"/>
        <v>463.47371199999992</v>
      </c>
      <c r="K245" s="561">
        <f t="shared" si="73"/>
        <v>449.64208599999989</v>
      </c>
      <c r="L245" s="561">
        <f t="shared" si="73"/>
        <v>433.0563131699999</v>
      </c>
      <c r="M245" s="561">
        <f t="shared" si="73"/>
        <v>389.50950000000006</v>
      </c>
      <c r="N245" s="561">
        <f t="shared" si="73"/>
        <v>354.56620400000003</v>
      </c>
      <c r="O245" s="561">
        <f t="shared" si="73"/>
        <v>341.94725667</v>
      </c>
      <c r="P245" s="561">
        <f t="shared" si="73"/>
        <v>366.06696099999994</v>
      </c>
      <c r="Q245" s="561">
        <f>SUM(E245:P245)</f>
        <v>5234.5159954045184</v>
      </c>
      <c r="R245" s="166"/>
      <c r="S245" s="166"/>
    </row>
    <row r="246" spans="3:19" hidden="1" x14ac:dyDescent="0.25">
      <c r="C246" s="753" t="s">
        <v>191</v>
      </c>
      <c r="D246" s="754"/>
      <c r="E246" s="553"/>
      <c r="F246" s="553"/>
      <c r="G246" s="553"/>
      <c r="H246" s="553"/>
      <c r="I246" s="553"/>
      <c r="J246" s="553"/>
      <c r="K246" s="553"/>
      <c r="L246" s="553"/>
      <c r="M246" s="553"/>
      <c r="N246" s="553"/>
      <c r="O246" s="553"/>
      <c r="P246" s="553"/>
      <c r="Q246" s="561"/>
      <c r="R246" s="166"/>
      <c r="S246" s="166"/>
    </row>
    <row r="247" spans="3:19" hidden="1" x14ac:dyDescent="0.25">
      <c r="C247" s="17" t="s">
        <v>192</v>
      </c>
      <c r="D247" s="17" t="s">
        <v>193</v>
      </c>
      <c r="E247" s="553">
        <v>68.332021150000031</v>
      </c>
      <c r="F247" s="553">
        <v>60.097860459999993</v>
      </c>
      <c r="G247" s="553">
        <v>62.587564149999984</v>
      </c>
      <c r="H247" s="553">
        <v>73.453788549999857</v>
      </c>
      <c r="I247" s="553">
        <v>77.151604639999988</v>
      </c>
      <c r="J247" s="553">
        <v>80.27341746000009</v>
      </c>
      <c r="K247" s="553">
        <v>70.641215869999996</v>
      </c>
      <c r="L247" s="553">
        <v>88.638909880000028</v>
      </c>
      <c r="M247" s="553">
        <v>90.427725529999989</v>
      </c>
      <c r="N247" s="553">
        <v>90.268448349999986</v>
      </c>
      <c r="O247" s="553">
        <v>89.293378559999979</v>
      </c>
      <c r="P247" s="553">
        <v>73.245769979999977</v>
      </c>
      <c r="Q247" s="561">
        <f t="shared" ref="Q247:Q257" si="74">SUM(E247:P247)</f>
        <v>924.41170457999988</v>
      </c>
      <c r="R247" s="166"/>
      <c r="S247" s="166"/>
    </row>
    <row r="248" spans="3:19" hidden="1" x14ac:dyDescent="0.25">
      <c r="C248" s="17" t="s">
        <v>194</v>
      </c>
      <c r="D248" s="17" t="s">
        <v>195</v>
      </c>
      <c r="E248" s="553">
        <v>0</v>
      </c>
      <c r="F248" s="553">
        <v>0</v>
      </c>
      <c r="G248" s="553">
        <v>0</v>
      </c>
      <c r="H248" s="553">
        <v>0</v>
      </c>
      <c r="I248" s="553">
        <v>0</v>
      </c>
      <c r="J248" s="553">
        <v>0</v>
      </c>
      <c r="K248" s="553">
        <v>0</v>
      </c>
      <c r="L248" s="553">
        <v>0</v>
      </c>
      <c r="M248" s="553">
        <v>0</v>
      </c>
      <c r="N248" s="553">
        <v>0</v>
      </c>
      <c r="O248" s="553">
        <v>0</v>
      </c>
      <c r="P248" s="553">
        <v>0</v>
      </c>
      <c r="Q248" s="561">
        <f t="shared" si="74"/>
        <v>0</v>
      </c>
      <c r="R248" s="166"/>
      <c r="S248" s="166"/>
    </row>
    <row r="249" spans="3:19" hidden="1" x14ac:dyDescent="0.25">
      <c r="C249" s="17" t="s">
        <v>233</v>
      </c>
      <c r="D249" s="17" t="s">
        <v>197</v>
      </c>
      <c r="E249" s="553">
        <v>11.828464940000002</v>
      </c>
      <c r="F249" s="553">
        <v>10.288450010000002</v>
      </c>
      <c r="G249" s="553">
        <v>9.2660659999999986</v>
      </c>
      <c r="H249" s="553">
        <v>10.502140579999999</v>
      </c>
      <c r="I249" s="553">
        <v>11.412323390000003</v>
      </c>
      <c r="J249" s="553">
        <v>11.789798239999996</v>
      </c>
      <c r="K249" s="553">
        <v>12.123981369999999</v>
      </c>
      <c r="L249" s="553">
        <v>12.333854779999999</v>
      </c>
      <c r="M249" s="553">
        <v>10.856400879999999</v>
      </c>
      <c r="N249" s="553">
        <v>9.7124504999999992</v>
      </c>
      <c r="O249" s="553">
        <v>9.7844310099999987</v>
      </c>
      <c r="P249" s="553">
        <v>11.829013659999999</v>
      </c>
      <c r="Q249" s="561">
        <f t="shared" si="74"/>
        <v>131.72737535999997</v>
      </c>
      <c r="R249" s="166"/>
      <c r="S249" s="166"/>
    </row>
    <row r="250" spans="3:19" hidden="1" x14ac:dyDescent="0.25">
      <c r="C250" s="17" t="s">
        <v>198</v>
      </c>
      <c r="D250" s="17" t="s">
        <v>199</v>
      </c>
      <c r="E250" s="553">
        <v>1.3370000000000001E-3</v>
      </c>
      <c r="F250" s="553">
        <v>2.13E-4</v>
      </c>
      <c r="G250" s="553">
        <v>8.8699999999999998E-4</v>
      </c>
      <c r="H250" s="553">
        <v>1.4429999999999998E-3</v>
      </c>
      <c r="I250" s="553">
        <v>2.0990000000000002E-3</v>
      </c>
      <c r="J250" s="553">
        <v>2.3259999999999999E-3</v>
      </c>
      <c r="K250" s="553">
        <v>1.4470000000000002E-3</v>
      </c>
      <c r="L250" s="553">
        <v>4.0430000000000006E-3</v>
      </c>
      <c r="M250" s="553">
        <v>3.0000000000000001E-6</v>
      </c>
      <c r="N250" s="553">
        <v>0</v>
      </c>
      <c r="O250" s="553">
        <v>0</v>
      </c>
      <c r="P250" s="553">
        <v>0</v>
      </c>
      <c r="Q250" s="561">
        <f t="shared" si="74"/>
        <v>1.3798000000000001E-2</v>
      </c>
      <c r="R250" s="166"/>
      <c r="S250" s="166"/>
    </row>
    <row r="251" spans="3:19" hidden="1" x14ac:dyDescent="0.25">
      <c r="C251" s="17" t="s">
        <v>200</v>
      </c>
      <c r="D251" s="17" t="s">
        <v>201</v>
      </c>
      <c r="E251" s="553">
        <v>0.65305499999999994</v>
      </c>
      <c r="F251" s="553">
        <v>0.62700400000000001</v>
      </c>
      <c r="G251" s="553">
        <v>0.63368200000000008</v>
      </c>
      <c r="H251" s="553">
        <v>0.62324000000000002</v>
      </c>
      <c r="I251" s="553">
        <v>0.67883700000000002</v>
      </c>
      <c r="J251" s="553">
        <v>0.60566299999999995</v>
      </c>
      <c r="K251" s="553">
        <v>0.61026900000000006</v>
      </c>
      <c r="L251" s="553">
        <v>0.60705200000000004</v>
      </c>
      <c r="M251" s="553">
        <v>0.51773400000000003</v>
      </c>
      <c r="N251" s="553">
        <v>0.50910200000000005</v>
      </c>
      <c r="O251" s="553">
        <v>0.50259399999999999</v>
      </c>
      <c r="P251" s="553">
        <v>0.57650199999999996</v>
      </c>
      <c r="Q251" s="561">
        <f t="shared" si="74"/>
        <v>7.1447340000000006</v>
      </c>
      <c r="R251" s="166"/>
      <c r="S251" s="166"/>
    </row>
    <row r="252" spans="3:19" hidden="1" x14ac:dyDescent="0.25">
      <c r="C252" s="17" t="s">
        <v>202</v>
      </c>
      <c r="D252" s="17" t="s">
        <v>203</v>
      </c>
      <c r="E252" s="553">
        <v>5.1358470000000001</v>
      </c>
      <c r="F252" s="553">
        <v>0.63705299999999998</v>
      </c>
      <c r="G252" s="553">
        <v>0.116093</v>
      </c>
      <c r="H252" s="553">
        <v>1.160372</v>
      </c>
      <c r="I252" s="553">
        <v>2.4884940000000002</v>
      </c>
      <c r="J252" s="553">
        <v>1.6531659999999999</v>
      </c>
      <c r="K252" s="553">
        <v>1.1940729999999999</v>
      </c>
      <c r="L252" s="553">
        <v>1.276931</v>
      </c>
      <c r="M252" s="553">
        <v>1.1273089999999999</v>
      </c>
      <c r="N252" s="553">
        <v>2.3760569999999999</v>
      </c>
      <c r="O252" s="553">
        <v>3.5362990000000001</v>
      </c>
      <c r="P252" s="553">
        <v>3.9061520000000001</v>
      </c>
      <c r="Q252" s="561">
        <f t="shared" si="74"/>
        <v>24.607845999999999</v>
      </c>
      <c r="R252" s="166"/>
      <c r="S252" s="166"/>
    </row>
    <row r="253" spans="3:19" hidden="1" x14ac:dyDescent="0.25">
      <c r="C253" s="17" t="s">
        <v>204</v>
      </c>
      <c r="D253" s="17" t="s">
        <v>205</v>
      </c>
      <c r="E253" s="553">
        <v>12.197381999999971</v>
      </c>
      <c r="F253" s="553">
        <v>11.891512000000015</v>
      </c>
      <c r="G253" s="553">
        <v>11.887722</v>
      </c>
      <c r="H253" s="553">
        <v>10.889535000000029</v>
      </c>
      <c r="I253" s="553">
        <v>11.21411899999997</v>
      </c>
      <c r="J253" s="553">
        <v>11.542954999999999</v>
      </c>
      <c r="K253" s="553">
        <v>11.558496999999999</v>
      </c>
      <c r="L253" s="553">
        <v>12.320057</v>
      </c>
      <c r="M253" s="553">
        <v>11.720464</v>
      </c>
      <c r="N253" s="553">
        <v>12.197487999999971</v>
      </c>
      <c r="O253" s="553">
        <v>12.871324000000014</v>
      </c>
      <c r="P253" s="553">
        <v>11.911370999999988</v>
      </c>
      <c r="Q253" s="561">
        <f t="shared" si="74"/>
        <v>142.20242599999995</v>
      </c>
      <c r="R253" s="166"/>
      <c r="S253" s="166"/>
    </row>
    <row r="254" spans="3:19" hidden="1" x14ac:dyDescent="0.25">
      <c r="C254" s="17" t="s">
        <v>206</v>
      </c>
      <c r="D254" s="17" t="s">
        <v>207</v>
      </c>
      <c r="E254" s="553">
        <v>0.83529899999999746</v>
      </c>
      <c r="F254" s="553">
        <v>0.8875059999999978</v>
      </c>
      <c r="G254" s="553">
        <v>0.9442309999999996</v>
      </c>
      <c r="H254" s="553">
        <v>0.77263300000000257</v>
      </c>
      <c r="I254" s="553">
        <v>0.75954600000000005</v>
      </c>
      <c r="J254" s="553">
        <v>0.71976399999999874</v>
      </c>
      <c r="K254" s="553">
        <v>0.72651900000000025</v>
      </c>
      <c r="L254" s="553">
        <v>0.69849199999999867</v>
      </c>
      <c r="M254" s="553">
        <v>0.5943849999999995</v>
      </c>
      <c r="N254" s="553">
        <v>0.56391999999999998</v>
      </c>
      <c r="O254" s="553">
        <v>0.61146900000000004</v>
      </c>
      <c r="P254" s="553">
        <v>0.62881099999999834</v>
      </c>
      <c r="Q254" s="561">
        <f t="shared" si="74"/>
        <v>8.7425749999999933</v>
      </c>
      <c r="R254" s="166"/>
      <c r="S254" s="166"/>
    </row>
    <row r="255" spans="3:19" hidden="1" x14ac:dyDescent="0.25">
      <c r="C255" s="17" t="s">
        <v>208</v>
      </c>
      <c r="D255" s="17" t="s">
        <v>187</v>
      </c>
      <c r="E255" s="553">
        <v>1.6241329999999983</v>
      </c>
      <c r="F255" s="553">
        <v>1.4420339999999994</v>
      </c>
      <c r="G255" s="553">
        <v>1.4725390000000007</v>
      </c>
      <c r="H255" s="553">
        <v>1.8422610000000004</v>
      </c>
      <c r="I255" s="553">
        <v>1.9370440000000007</v>
      </c>
      <c r="J255" s="553">
        <v>1.9811120000000002</v>
      </c>
      <c r="K255" s="553">
        <v>1.9845060000000003</v>
      </c>
      <c r="L255" s="553">
        <v>1.8872150000000008</v>
      </c>
      <c r="M255" s="553">
        <v>1.7339420000000005</v>
      </c>
      <c r="N255" s="553">
        <v>1.8822789999999998</v>
      </c>
      <c r="O255" s="553">
        <v>1.9439190000000002</v>
      </c>
      <c r="P255" s="553">
        <v>1.5312850000000002</v>
      </c>
      <c r="Q255" s="561">
        <f t="shared" si="74"/>
        <v>21.262269</v>
      </c>
      <c r="R255" s="166"/>
      <c r="S255" s="166"/>
    </row>
    <row r="256" spans="3:19" hidden="1" x14ac:dyDescent="0.25">
      <c r="C256" s="17" t="s">
        <v>209</v>
      </c>
      <c r="D256" s="17" t="s">
        <v>210</v>
      </c>
      <c r="E256" s="553">
        <v>130.82248300000001</v>
      </c>
      <c r="F256" s="553">
        <v>49.029578000000001</v>
      </c>
      <c r="G256" s="553">
        <v>46.295816000000002</v>
      </c>
      <c r="H256" s="553">
        <v>79.510699000000002</v>
      </c>
      <c r="I256" s="553">
        <v>96.421060999999995</v>
      </c>
      <c r="J256" s="553">
        <v>69.279307000000003</v>
      </c>
      <c r="K256" s="553">
        <v>62.181607999999997</v>
      </c>
      <c r="L256" s="553">
        <v>39.609403</v>
      </c>
      <c r="M256" s="553">
        <v>59.647077000000003</v>
      </c>
      <c r="N256" s="553">
        <v>88.616050000000001</v>
      </c>
      <c r="O256" s="553">
        <v>101.484881</v>
      </c>
      <c r="P256" s="553">
        <v>101.001637</v>
      </c>
      <c r="Q256" s="561">
        <f t="shared" si="74"/>
        <v>923.89959999999996</v>
      </c>
      <c r="R256" s="166"/>
      <c r="S256" s="166"/>
    </row>
    <row r="257" spans="3:19" hidden="1" x14ac:dyDescent="0.25">
      <c r="C257" s="17" t="s">
        <v>211</v>
      </c>
      <c r="D257" s="17" t="s">
        <v>189</v>
      </c>
      <c r="E257" s="553">
        <v>0</v>
      </c>
      <c r="F257" s="553">
        <v>0</v>
      </c>
      <c r="G257" s="553">
        <v>0</v>
      </c>
      <c r="H257" s="553">
        <v>0</v>
      </c>
      <c r="I257" s="553">
        <v>0</v>
      </c>
      <c r="J257" s="553">
        <v>0</v>
      </c>
      <c r="K257" s="553">
        <v>0</v>
      </c>
      <c r="L257" s="553">
        <v>0</v>
      </c>
      <c r="M257" s="553">
        <v>0</v>
      </c>
      <c r="N257" s="553">
        <v>0</v>
      </c>
      <c r="O257" s="553">
        <v>0</v>
      </c>
      <c r="P257" s="553">
        <v>0</v>
      </c>
      <c r="Q257" s="561">
        <f t="shared" si="74"/>
        <v>0</v>
      </c>
      <c r="R257" s="166"/>
      <c r="S257" s="166"/>
    </row>
    <row r="258" spans="3:19" hidden="1" x14ac:dyDescent="0.25">
      <c r="C258" s="17"/>
      <c r="D258" s="17"/>
      <c r="E258" s="553"/>
      <c r="F258" s="553"/>
      <c r="G258" s="553"/>
      <c r="H258" s="553"/>
      <c r="I258" s="553"/>
      <c r="J258" s="553"/>
      <c r="K258" s="553"/>
      <c r="L258" s="553"/>
      <c r="M258" s="553"/>
      <c r="N258" s="553"/>
      <c r="O258" s="553"/>
      <c r="P258" s="553"/>
      <c r="Q258" s="561"/>
      <c r="R258" s="166"/>
      <c r="S258" s="166"/>
    </row>
    <row r="259" spans="3:19" hidden="1" x14ac:dyDescent="0.25">
      <c r="C259" s="17"/>
      <c r="D259" s="17"/>
      <c r="E259" s="553"/>
      <c r="F259" s="553"/>
      <c r="G259" s="553"/>
      <c r="H259" s="553"/>
      <c r="I259" s="553"/>
      <c r="J259" s="553"/>
      <c r="K259" s="553"/>
      <c r="L259" s="553"/>
      <c r="M259" s="553"/>
      <c r="N259" s="553"/>
      <c r="O259" s="553"/>
      <c r="P259" s="553"/>
      <c r="Q259" s="561"/>
      <c r="R259" s="166"/>
      <c r="S259" s="166"/>
    </row>
    <row r="260" spans="3:19" hidden="1" x14ac:dyDescent="0.25">
      <c r="C260" s="17"/>
      <c r="D260" s="17"/>
      <c r="E260" s="553"/>
      <c r="F260" s="553"/>
      <c r="G260" s="553"/>
      <c r="H260" s="553"/>
      <c r="I260" s="553"/>
      <c r="J260" s="553"/>
      <c r="K260" s="553"/>
      <c r="L260" s="553"/>
      <c r="M260" s="553"/>
      <c r="N260" s="553"/>
      <c r="O260" s="553"/>
      <c r="P260" s="553"/>
      <c r="Q260" s="561"/>
      <c r="R260" s="166"/>
      <c r="S260" s="166"/>
    </row>
    <row r="261" spans="3:19" hidden="1" x14ac:dyDescent="0.25">
      <c r="C261" s="17"/>
      <c r="D261" s="17"/>
      <c r="E261" s="553"/>
      <c r="F261" s="553"/>
      <c r="G261" s="553"/>
      <c r="H261" s="553"/>
      <c r="I261" s="553"/>
      <c r="J261" s="553"/>
      <c r="K261" s="553"/>
      <c r="L261" s="553"/>
      <c r="M261" s="553"/>
      <c r="N261" s="553"/>
      <c r="O261" s="553"/>
      <c r="P261" s="553"/>
      <c r="Q261" s="561"/>
      <c r="R261" s="166"/>
      <c r="S261" s="166"/>
    </row>
    <row r="262" spans="3:19" hidden="1" x14ac:dyDescent="0.25">
      <c r="C262" s="751" t="s">
        <v>212</v>
      </c>
      <c r="D262" s="752"/>
      <c r="E262" s="561">
        <f t="shared" ref="E262:P262" si="75">SUM(E247:E261)</f>
        <v>231.43002209000002</v>
      </c>
      <c r="F262" s="561">
        <f t="shared" si="75"/>
        <v>134.90121047000002</v>
      </c>
      <c r="G262" s="561">
        <f t="shared" si="75"/>
        <v>133.20460014999998</v>
      </c>
      <c r="H262" s="561">
        <f t="shared" si="75"/>
        <v>178.75611212999985</v>
      </c>
      <c r="I262" s="561">
        <f t="shared" si="75"/>
        <v>202.06512802999995</v>
      </c>
      <c r="J262" s="561">
        <f t="shared" si="75"/>
        <v>177.84750870000011</v>
      </c>
      <c r="K262" s="561">
        <f t="shared" si="75"/>
        <v>161.02211624</v>
      </c>
      <c r="L262" s="561">
        <f t="shared" si="75"/>
        <v>157.37595766000004</v>
      </c>
      <c r="M262" s="561">
        <f t="shared" si="75"/>
        <v>176.62504041</v>
      </c>
      <c r="N262" s="561">
        <f t="shared" si="75"/>
        <v>206.12579484999998</v>
      </c>
      <c r="O262" s="561">
        <f t="shared" si="75"/>
        <v>220.02829556999998</v>
      </c>
      <c r="P262" s="561">
        <f t="shared" si="75"/>
        <v>204.63054163999999</v>
      </c>
      <c r="Q262" s="561">
        <f>SUM(E262:P262)</f>
        <v>2184.0123279399995</v>
      </c>
      <c r="R262" s="166"/>
      <c r="S262" s="166"/>
    </row>
    <row r="263" spans="3:19" hidden="1" x14ac:dyDescent="0.25">
      <c r="C263" s="753" t="s">
        <v>213</v>
      </c>
      <c r="D263" s="754"/>
      <c r="E263" s="553"/>
      <c r="F263" s="553"/>
      <c r="G263" s="553"/>
      <c r="H263" s="553"/>
      <c r="I263" s="553"/>
      <c r="J263" s="553"/>
      <c r="K263" s="553"/>
      <c r="L263" s="553"/>
      <c r="M263" s="553"/>
      <c r="N263" s="553"/>
      <c r="O263" s="553"/>
      <c r="P263" s="553"/>
      <c r="Q263" s="561"/>
      <c r="R263" s="166"/>
      <c r="S263" s="166"/>
    </row>
    <row r="264" spans="3:19" hidden="1" x14ac:dyDescent="0.25">
      <c r="C264" s="17" t="s">
        <v>192</v>
      </c>
      <c r="D264" s="17" t="s">
        <v>193</v>
      </c>
      <c r="E264" s="553">
        <v>19.639009000000033</v>
      </c>
      <c r="F264" s="553">
        <v>14.828383000000048</v>
      </c>
      <c r="G264" s="553">
        <v>15.052427000000023</v>
      </c>
      <c r="H264" s="553">
        <v>18.091589990000124</v>
      </c>
      <c r="I264" s="553">
        <v>14.795680999999995</v>
      </c>
      <c r="J264" s="553">
        <v>17.304750999999989</v>
      </c>
      <c r="K264" s="553">
        <v>17.173650000000002</v>
      </c>
      <c r="L264" s="553">
        <v>16.680862000000005</v>
      </c>
      <c r="M264" s="553">
        <v>15.499290000000011</v>
      </c>
      <c r="N264" s="553">
        <v>15.191394000000003</v>
      </c>
      <c r="O264" s="553">
        <v>14.232786000000001</v>
      </c>
      <c r="P264" s="553">
        <v>12.736807000000011</v>
      </c>
      <c r="Q264" s="561">
        <f t="shared" ref="Q264:Q274" si="76">SUM(E264:P264)</f>
        <v>191.22662999000022</v>
      </c>
      <c r="R264" s="166"/>
      <c r="S264" s="166"/>
    </row>
    <row r="265" spans="3:19" hidden="1" x14ac:dyDescent="0.25">
      <c r="C265" s="17" t="s">
        <v>194</v>
      </c>
      <c r="D265" s="17" t="s">
        <v>195</v>
      </c>
      <c r="E265" s="553">
        <v>4.9742879999999996</v>
      </c>
      <c r="F265" s="553">
        <v>6.3639809999999999</v>
      </c>
      <c r="G265" s="553">
        <v>6.582821</v>
      </c>
      <c r="H265" s="553">
        <v>6.35921</v>
      </c>
      <c r="I265" s="553">
        <v>6.6521169999999996</v>
      </c>
      <c r="J265" s="553">
        <v>6.3527880000000003</v>
      </c>
      <c r="K265" s="553">
        <v>5.9101650000000001</v>
      </c>
      <c r="L265" s="553">
        <v>6.3403600000000004</v>
      </c>
      <c r="M265" s="553">
        <v>6.1535570000000002</v>
      </c>
      <c r="N265" s="553">
        <v>4.572203</v>
      </c>
      <c r="O265" s="553">
        <v>6.6435399999999998</v>
      </c>
      <c r="P265" s="553">
        <v>6.2701399999999996</v>
      </c>
      <c r="Q265" s="561">
        <f t="shared" si="76"/>
        <v>73.175169999999994</v>
      </c>
      <c r="R265" s="166"/>
      <c r="S265" s="166"/>
    </row>
    <row r="266" spans="3:19" hidden="1" x14ac:dyDescent="0.25">
      <c r="C266" s="17" t="s">
        <v>233</v>
      </c>
      <c r="D266" s="17" t="s">
        <v>197</v>
      </c>
      <c r="E266" s="553">
        <v>0.74189759999999993</v>
      </c>
      <c r="F266" s="553">
        <v>0.77186049999999995</v>
      </c>
      <c r="G266" s="553">
        <v>0.81665200000000004</v>
      </c>
      <c r="H266" s="553">
        <v>0.87150099999999986</v>
      </c>
      <c r="I266" s="553">
        <v>0.83592</v>
      </c>
      <c r="J266" s="553">
        <v>1.0332140000000001</v>
      </c>
      <c r="K266" s="553">
        <v>1.0150574299999999</v>
      </c>
      <c r="L266" s="553">
        <v>0.94171099999999974</v>
      </c>
      <c r="M266" s="553">
        <v>0.80182014000000001</v>
      </c>
      <c r="N266" s="553">
        <v>0.76309499999999997</v>
      </c>
      <c r="O266" s="553">
        <v>0.73846699999999998</v>
      </c>
      <c r="P266" s="553">
        <v>0.83583800000000008</v>
      </c>
      <c r="Q266" s="561">
        <f t="shared" si="76"/>
        <v>10.16703367</v>
      </c>
      <c r="R266" s="166"/>
      <c r="S266" s="166"/>
    </row>
    <row r="267" spans="3:19" hidden="1" x14ac:dyDescent="0.25">
      <c r="C267" s="17" t="s">
        <v>198</v>
      </c>
      <c r="D267" s="17" t="s">
        <v>199</v>
      </c>
      <c r="E267" s="553"/>
      <c r="F267" s="553"/>
      <c r="G267" s="553"/>
      <c r="H267" s="553"/>
      <c r="I267" s="553"/>
      <c r="J267" s="553"/>
      <c r="K267" s="553"/>
      <c r="L267" s="553"/>
      <c r="M267" s="553"/>
      <c r="N267" s="553"/>
      <c r="O267" s="553"/>
      <c r="P267" s="553"/>
      <c r="Q267" s="561">
        <f t="shared" si="76"/>
        <v>0</v>
      </c>
      <c r="R267" s="166"/>
      <c r="S267" s="166"/>
    </row>
    <row r="268" spans="3:19" hidden="1" x14ac:dyDescent="0.25">
      <c r="C268" s="17" t="s">
        <v>200</v>
      </c>
      <c r="D268" s="17" t="s">
        <v>201</v>
      </c>
      <c r="E268" s="553"/>
      <c r="F268" s="553"/>
      <c r="G268" s="553"/>
      <c r="H268" s="553"/>
      <c r="I268" s="553"/>
      <c r="J268" s="553"/>
      <c r="K268" s="553"/>
      <c r="L268" s="553"/>
      <c r="M268" s="553"/>
      <c r="N268" s="553"/>
      <c r="O268" s="553"/>
      <c r="P268" s="553"/>
      <c r="Q268" s="561">
        <f t="shared" si="76"/>
        <v>0</v>
      </c>
      <c r="R268" s="166"/>
      <c r="S268" s="166"/>
    </row>
    <row r="269" spans="3:19" hidden="1" x14ac:dyDescent="0.25">
      <c r="C269" s="17" t="s">
        <v>202</v>
      </c>
      <c r="D269" s="17" t="s">
        <v>203</v>
      </c>
      <c r="E269" s="553">
        <v>5.5148859999999651</v>
      </c>
      <c r="F269" s="553">
        <v>2.6083209999999597</v>
      </c>
      <c r="G269" s="553">
        <v>0.49303899999997858</v>
      </c>
      <c r="H269" s="553">
        <v>0.68750700999988301</v>
      </c>
      <c r="I269" s="553">
        <v>2.8849740000000033</v>
      </c>
      <c r="J269" s="553">
        <v>1.4878870000000102</v>
      </c>
      <c r="K269" s="553">
        <v>0.79404300000000527</v>
      </c>
      <c r="L269" s="553">
        <v>0.24658399999999631</v>
      </c>
      <c r="M269" s="553">
        <v>0.18308699999999714</v>
      </c>
      <c r="N269" s="553">
        <v>1.3422350000000001</v>
      </c>
      <c r="O269" s="553">
        <v>1.5001500000000001</v>
      </c>
      <c r="P269" s="553">
        <v>3.1013250000000001</v>
      </c>
      <c r="Q269" s="561">
        <f t="shared" si="76"/>
        <v>20.844038009999799</v>
      </c>
      <c r="R269" s="166"/>
      <c r="S269" s="166"/>
    </row>
    <row r="270" spans="3:19" hidden="1" x14ac:dyDescent="0.25">
      <c r="C270" s="17" t="s">
        <v>204</v>
      </c>
      <c r="D270" s="17" t="s">
        <v>205</v>
      </c>
      <c r="E270" s="553">
        <v>26.407066</v>
      </c>
      <c r="F270" s="553">
        <v>26.702625999999999</v>
      </c>
      <c r="G270" s="553">
        <v>28.235897000000001</v>
      </c>
      <c r="H270" s="553">
        <v>26.832384999999999</v>
      </c>
      <c r="I270" s="553">
        <v>26.736487</v>
      </c>
      <c r="J270" s="553">
        <v>27.203068999999999</v>
      </c>
      <c r="K270" s="553">
        <v>27.846831000000002</v>
      </c>
      <c r="L270" s="553">
        <v>27.331779000000001</v>
      </c>
      <c r="M270" s="553">
        <v>25.931901</v>
      </c>
      <c r="N270" s="553">
        <v>27.741489000000001</v>
      </c>
      <c r="O270" s="553">
        <v>28.80771</v>
      </c>
      <c r="P270" s="553">
        <v>26.501930000000002</v>
      </c>
      <c r="Q270" s="561">
        <f t="shared" si="76"/>
        <v>326.27917000000002</v>
      </c>
      <c r="R270" s="166"/>
      <c r="S270" s="166"/>
    </row>
    <row r="271" spans="3:19" hidden="1" x14ac:dyDescent="0.25">
      <c r="C271" s="17" t="s">
        <v>206</v>
      </c>
      <c r="D271" s="17" t="s">
        <v>207</v>
      </c>
      <c r="E271" s="553">
        <v>3.272008</v>
      </c>
      <c r="F271" s="553">
        <v>3.3961259999999998</v>
      </c>
      <c r="G271" s="553">
        <v>3.510062</v>
      </c>
      <c r="H271" s="553">
        <v>3.0472260000000002</v>
      </c>
      <c r="I271" s="553">
        <v>1.7207440000000003</v>
      </c>
      <c r="J271" s="553">
        <v>2.8198859999999999</v>
      </c>
      <c r="K271" s="553">
        <v>2.9253850000000003</v>
      </c>
      <c r="L271" s="553">
        <v>2.3857799999999996</v>
      </c>
      <c r="M271" s="553">
        <v>2.092921</v>
      </c>
      <c r="N271" s="553">
        <v>2.0874989999999998</v>
      </c>
      <c r="O271" s="553">
        <v>1.2779129999999999</v>
      </c>
      <c r="P271" s="553">
        <v>1.4445440000000003</v>
      </c>
      <c r="Q271" s="561">
        <f t="shared" si="76"/>
        <v>29.980094000000001</v>
      </c>
      <c r="R271" s="166"/>
      <c r="S271" s="166"/>
    </row>
    <row r="272" spans="3:19" hidden="1" x14ac:dyDescent="0.25">
      <c r="C272" s="17" t="s">
        <v>214</v>
      </c>
      <c r="D272" s="17" t="s">
        <v>187</v>
      </c>
      <c r="E272" s="553">
        <v>1.377194</v>
      </c>
      <c r="F272" s="553">
        <v>1.2922370000000001</v>
      </c>
      <c r="G272" s="553">
        <v>1.09443</v>
      </c>
      <c r="H272" s="553">
        <v>0.94864999999999999</v>
      </c>
      <c r="I272" s="553">
        <v>1.0529759999999999</v>
      </c>
      <c r="J272" s="553">
        <v>1.078168</v>
      </c>
      <c r="K272" s="553">
        <v>0.91212499999999996</v>
      </c>
      <c r="L272" s="553">
        <v>1.0034019999999999</v>
      </c>
      <c r="M272" s="553">
        <v>0.89849699999999999</v>
      </c>
      <c r="N272" s="553">
        <v>0.89423850000000005</v>
      </c>
      <c r="O272" s="553">
        <v>0.96807100000000001</v>
      </c>
      <c r="P272" s="553">
        <v>0.72716499999999995</v>
      </c>
      <c r="Q272" s="561">
        <f t="shared" si="76"/>
        <v>12.2471535</v>
      </c>
      <c r="R272" s="166"/>
      <c r="S272" s="166"/>
    </row>
    <row r="273" spans="3:19" hidden="1" x14ac:dyDescent="0.25">
      <c r="C273" s="17" t="s">
        <v>209</v>
      </c>
      <c r="D273" s="17" t="s">
        <v>210</v>
      </c>
      <c r="E273" s="553"/>
      <c r="F273" s="553"/>
      <c r="G273" s="553"/>
      <c r="H273" s="553"/>
      <c r="I273" s="553"/>
      <c r="J273" s="553"/>
      <c r="K273" s="553"/>
      <c r="L273" s="553"/>
      <c r="M273" s="553"/>
      <c r="N273" s="553"/>
      <c r="O273" s="553"/>
      <c r="P273" s="553"/>
      <c r="Q273" s="561">
        <f t="shared" si="76"/>
        <v>0</v>
      </c>
      <c r="R273" s="166"/>
      <c r="S273" s="166"/>
    </row>
    <row r="274" spans="3:19" hidden="1" x14ac:dyDescent="0.25">
      <c r="C274" s="17" t="s">
        <v>211</v>
      </c>
      <c r="D274" s="17" t="s">
        <v>189</v>
      </c>
      <c r="E274" s="553"/>
      <c r="F274" s="553"/>
      <c r="G274" s="553"/>
      <c r="H274" s="553"/>
      <c r="I274" s="553"/>
      <c r="J274" s="553"/>
      <c r="K274" s="553"/>
      <c r="L274" s="553"/>
      <c r="M274" s="553"/>
      <c r="N274" s="553"/>
      <c r="O274" s="553"/>
      <c r="P274" s="553"/>
      <c r="Q274" s="561">
        <f t="shared" si="76"/>
        <v>0</v>
      </c>
      <c r="R274" s="166"/>
      <c r="S274" s="166"/>
    </row>
    <row r="275" spans="3:19" hidden="1" x14ac:dyDescent="0.25">
      <c r="C275" s="17"/>
      <c r="D275" s="17"/>
      <c r="E275" s="553"/>
      <c r="F275" s="553"/>
      <c r="G275" s="553"/>
      <c r="H275" s="553"/>
      <c r="I275" s="553"/>
      <c r="J275" s="553"/>
      <c r="K275" s="553"/>
      <c r="L275" s="553"/>
      <c r="M275" s="553"/>
      <c r="N275" s="553"/>
      <c r="O275" s="553"/>
      <c r="P275" s="553"/>
      <c r="Q275" s="561"/>
      <c r="R275" s="166"/>
      <c r="S275" s="166"/>
    </row>
    <row r="276" spans="3:19" hidden="1" x14ac:dyDescent="0.25">
      <c r="C276" s="17"/>
      <c r="D276" s="17"/>
      <c r="E276" s="553"/>
      <c r="F276" s="553"/>
      <c r="G276" s="553"/>
      <c r="H276" s="553"/>
      <c r="I276" s="553"/>
      <c r="J276" s="553"/>
      <c r="K276" s="553"/>
      <c r="L276" s="553"/>
      <c r="M276" s="553"/>
      <c r="N276" s="553"/>
      <c r="O276" s="553"/>
      <c r="P276" s="553"/>
      <c r="Q276" s="561"/>
      <c r="R276" s="166"/>
      <c r="S276" s="166"/>
    </row>
    <row r="277" spans="3:19" hidden="1" x14ac:dyDescent="0.25">
      <c r="C277" s="17"/>
      <c r="D277" s="17"/>
      <c r="E277" s="553"/>
      <c r="F277" s="553"/>
      <c r="G277" s="553"/>
      <c r="H277" s="553"/>
      <c r="I277" s="553"/>
      <c r="J277" s="553"/>
      <c r="K277" s="553"/>
      <c r="L277" s="553"/>
      <c r="M277" s="553"/>
      <c r="N277" s="553"/>
      <c r="O277" s="553"/>
      <c r="P277" s="553"/>
      <c r="Q277" s="561"/>
      <c r="R277" s="166"/>
      <c r="S277" s="166"/>
    </row>
    <row r="278" spans="3:19" hidden="1" x14ac:dyDescent="0.25">
      <c r="C278" s="17"/>
      <c r="D278" s="17"/>
      <c r="E278" s="553"/>
      <c r="F278" s="553"/>
      <c r="G278" s="553"/>
      <c r="H278" s="553"/>
      <c r="I278" s="553"/>
      <c r="J278" s="553"/>
      <c r="K278" s="553"/>
      <c r="L278" s="553"/>
      <c r="M278" s="553"/>
      <c r="N278" s="553"/>
      <c r="O278" s="553"/>
      <c r="P278" s="553"/>
      <c r="Q278" s="561"/>
      <c r="R278" s="166"/>
      <c r="S278" s="166"/>
    </row>
    <row r="279" spans="3:19" hidden="1" x14ac:dyDescent="0.25">
      <c r="C279" s="751" t="s">
        <v>212</v>
      </c>
      <c r="D279" s="752"/>
      <c r="E279" s="561">
        <f t="shared" ref="E279:P279" si="77">SUM(E264:E278)</f>
        <v>61.926348599999997</v>
      </c>
      <c r="F279" s="561">
        <f t="shared" si="77"/>
        <v>55.963534500000009</v>
      </c>
      <c r="G279" s="561">
        <f t="shared" si="77"/>
        <v>55.785328</v>
      </c>
      <c r="H279" s="561">
        <f t="shared" si="77"/>
        <v>56.838069000000011</v>
      </c>
      <c r="I279" s="561">
        <f t="shared" si="77"/>
        <v>54.678899000000008</v>
      </c>
      <c r="J279" s="561">
        <f t="shared" si="77"/>
        <v>57.279762999999996</v>
      </c>
      <c r="K279" s="561">
        <f t="shared" si="77"/>
        <v>56.577256430000013</v>
      </c>
      <c r="L279" s="561">
        <f t="shared" si="77"/>
        <v>54.930478000000001</v>
      </c>
      <c r="M279" s="561">
        <f t="shared" si="77"/>
        <v>51.561073140000005</v>
      </c>
      <c r="N279" s="561">
        <f t="shared" si="77"/>
        <v>52.592153500000002</v>
      </c>
      <c r="O279" s="561">
        <f t="shared" si="77"/>
        <v>54.168636999999997</v>
      </c>
      <c r="P279" s="561">
        <f t="shared" si="77"/>
        <v>51.617749000000011</v>
      </c>
      <c r="Q279" s="561">
        <f>SUM(E279:P279)</f>
        <v>663.91928917000007</v>
      </c>
      <c r="R279" s="166"/>
      <c r="S279" s="166"/>
    </row>
    <row r="280" spans="3:19" hidden="1" x14ac:dyDescent="0.25">
      <c r="C280" s="753" t="s">
        <v>215</v>
      </c>
      <c r="D280" s="754"/>
      <c r="E280" s="553"/>
      <c r="F280" s="553"/>
      <c r="G280" s="553"/>
      <c r="H280" s="553"/>
      <c r="I280" s="553"/>
      <c r="J280" s="553"/>
      <c r="K280" s="553"/>
      <c r="L280" s="553"/>
      <c r="M280" s="553"/>
      <c r="N280" s="553"/>
      <c r="O280" s="553"/>
      <c r="P280" s="553"/>
      <c r="Q280" s="561"/>
      <c r="R280" s="166"/>
      <c r="S280" s="166"/>
    </row>
    <row r="281" spans="3:19" hidden="1" x14ac:dyDescent="0.25">
      <c r="C281" s="17" t="s">
        <v>192</v>
      </c>
      <c r="D281" s="17" t="s">
        <v>193</v>
      </c>
      <c r="E281" s="553">
        <v>64.960934999999992</v>
      </c>
      <c r="F281" s="553">
        <v>64.658098889999991</v>
      </c>
      <c r="G281" s="553">
        <v>69.07692400000002</v>
      </c>
      <c r="H281" s="553">
        <v>61.231445000000001</v>
      </c>
      <c r="I281" s="553">
        <v>65.645136999999977</v>
      </c>
      <c r="J281" s="553">
        <v>54.294128000000001</v>
      </c>
      <c r="K281" s="553">
        <v>58.232085199999993</v>
      </c>
      <c r="L281" s="553">
        <v>67.324345811460603</v>
      </c>
      <c r="M281" s="553">
        <v>56.586655071791284</v>
      </c>
      <c r="N281" s="553">
        <v>57.817802700000001</v>
      </c>
      <c r="O281" s="553">
        <v>58.268298750000007</v>
      </c>
      <c r="P281" s="553">
        <v>48.069096940000009</v>
      </c>
      <c r="Q281" s="561">
        <f t="shared" ref="Q281:Q293" si="78">SUM(E281:P281)</f>
        <v>726.16495236325181</v>
      </c>
      <c r="R281" s="166"/>
      <c r="S281" s="166"/>
    </row>
    <row r="282" spans="3:19" hidden="1" x14ac:dyDescent="0.25">
      <c r="C282" s="17" t="s">
        <v>194</v>
      </c>
      <c r="D282" s="17" t="s">
        <v>195</v>
      </c>
      <c r="E282" s="553">
        <v>0</v>
      </c>
      <c r="F282" s="553">
        <v>0</v>
      </c>
      <c r="G282" s="553">
        <v>0</v>
      </c>
      <c r="H282" s="553">
        <v>0</v>
      </c>
      <c r="I282" s="553">
        <v>0</v>
      </c>
      <c r="J282" s="553">
        <v>0</v>
      </c>
      <c r="K282" s="553">
        <v>0</v>
      </c>
      <c r="L282" s="553">
        <v>0</v>
      </c>
      <c r="M282" s="553">
        <v>0</v>
      </c>
      <c r="N282" s="553">
        <v>0</v>
      </c>
      <c r="O282" s="553">
        <v>0</v>
      </c>
      <c r="P282" s="553">
        <v>0</v>
      </c>
      <c r="Q282" s="561">
        <f t="shared" si="78"/>
        <v>0</v>
      </c>
      <c r="R282" s="166"/>
      <c r="S282" s="166"/>
    </row>
    <row r="283" spans="3:19" hidden="1" x14ac:dyDescent="0.25">
      <c r="C283" s="17" t="s">
        <v>233</v>
      </c>
      <c r="D283" s="17" t="s">
        <v>197</v>
      </c>
      <c r="E283" s="553">
        <v>0.16100000000000003</v>
      </c>
      <c r="F283" s="553">
        <v>0.24560000000000001</v>
      </c>
      <c r="G283" s="553">
        <v>0.57569999999999999</v>
      </c>
      <c r="H283" s="553">
        <v>0.29039999999999999</v>
      </c>
      <c r="I283" s="553">
        <v>0.13730000000000001</v>
      </c>
      <c r="J283" s="553">
        <v>0.24399999999999999</v>
      </c>
      <c r="K283" s="553">
        <v>0.27983999999999998</v>
      </c>
      <c r="L283" s="553">
        <v>0.53549999999999998</v>
      </c>
      <c r="M283" s="553">
        <v>0.43369999999999997</v>
      </c>
      <c r="N283" s="553">
        <v>0.46340000000000003</v>
      </c>
      <c r="O283" s="553">
        <v>0.69340000000000002</v>
      </c>
      <c r="P283" s="553">
        <v>0.28162799999999927</v>
      </c>
      <c r="Q283" s="561">
        <f t="shared" si="78"/>
        <v>4.341467999999999</v>
      </c>
      <c r="R283" s="166"/>
      <c r="S283" s="166"/>
    </row>
    <row r="284" spans="3:19" hidden="1" x14ac:dyDescent="0.25">
      <c r="C284" s="17" t="s">
        <v>198</v>
      </c>
      <c r="D284" s="17" t="s">
        <v>199</v>
      </c>
      <c r="E284" s="553"/>
      <c r="F284" s="553"/>
      <c r="G284" s="553"/>
      <c r="H284" s="553"/>
      <c r="I284" s="553"/>
      <c r="J284" s="553"/>
      <c r="K284" s="553"/>
      <c r="L284" s="553"/>
      <c r="M284" s="553"/>
      <c r="N284" s="553"/>
      <c r="O284" s="553"/>
      <c r="P284" s="553"/>
      <c r="Q284" s="561">
        <f t="shared" si="78"/>
        <v>0</v>
      </c>
      <c r="R284" s="166"/>
      <c r="S284" s="166"/>
    </row>
    <row r="285" spans="3:19" hidden="1" x14ac:dyDescent="0.25">
      <c r="C285" s="17" t="s">
        <v>200</v>
      </c>
      <c r="D285" s="17" t="s">
        <v>201</v>
      </c>
      <c r="E285" s="553">
        <v>0</v>
      </c>
      <c r="F285" s="553">
        <v>0</v>
      </c>
      <c r="G285" s="553">
        <v>0</v>
      </c>
      <c r="H285" s="553">
        <v>0</v>
      </c>
      <c r="I285" s="553">
        <v>0</v>
      </c>
      <c r="J285" s="553">
        <v>0</v>
      </c>
      <c r="K285" s="553">
        <v>0</v>
      </c>
      <c r="L285" s="553">
        <v>0</v>
      </c>
      <c r="M285" s="553">
        <v>0</v>
      </c>
      <c r="N285" s="553">
        <v>0</v>
      </c>
      <c r="O285" s="553">
        <v>0</v>
      </c>
      <c r="P285" s="553">
        <v>0</v>
      </c>
      <c r="Q285" s="561">
        <f t="shared" si="78"/>
        <v>0</v>
      </c>
      <c r="R285" s="166"/>
      <c r="S285" s="166"/>
    </row>
    <row r="286" spans="3:19" hidden="1" x14ac:dyDescent="0.25">
      <c r="C286" s="17" t="s">
        <v>202</v>
      </c>
      <c r="D286" s="17" t="s">
        <v>234</v>
      </c>
      <c r="E286" s="553">
        <v>269.06556899999998</v>
      </c>
      <c r="F286" s="553">
        <v>62.920482</v>
      </c>
      <c r="G286" s="553">
        <v>165.49462299999999</v>
      </c>
      <c r="H286" s="553">
        <v>662.74608699000009</v>
      </c>
      <c r="I286" s="553">
        <v>65.861003000000025</v>
      </c>
      <c r="J286" s="553">
        <v>69.368162369999993</v>
      </c>
      <c r="K286" s="553">
        <v>47.390408000000001</v>
      </c>
      <c r="L286" s="553">
        <v>4.546200479999996</v>
      </c>
      <c r="M286" s="553">
        <v>6.6711900000000002</v>
      </c>
      <c r="N286" s="553">
        <v>79.029255000000006</v>
      </c>
      <c r="O286" s="553">
        <v>67.069014559999999</v>
      </c>
      <c r="P286" s="553">
        <v>292.48373117</v>
      </c>
      <c r="Q286" s="561">
        <f t="shared" si="78"/>
        <v>1792.6457255699997</v>
      </c>
      <c r="R286" s="166"/>
      <c r="S286" s="166"/>
    </row>
    <row r="287" spans="3:19" hidden="1" x14ac:dyDescent="0.25">
      <c r="C287" s="17" t="s">
        <v>204</v>
      </c>
      <c r="D287" s="17" t="s">
        <v>216</v>
      </c>
      <c r="E287" s="553">
        <v>2.1949559999999999</v>
      </c>
      <c r="F287" s="553">
        <v>2.1782879999999998</v>
      </c>
      <c r="G287" s="553">
        <v>2.2931279999999998</v>
      </c>
      <c r="H287" s="553">
        <v>2.3157359999999998</v>
      </c>
      <c r="I287" s="553">
        <v>1.856808</v>
      </c>
      <c r="J287" s="553">
        <v>2.282184</v>
      </c>
      <c r="K287" s="553">
        <v>1.9198440000000001</v>
      </c>
      <c r="L287" s="553">
        <v>2.3172839999999999</v>
      </c>
      <c r="M287" s="553">
        <v>2.3000039999999999</v>
      </c>
      <c r="N287" s="553">
        <v>2.3787720000000001</v>
      </c>
      <c r="O287" s="553">
        <v>2.2408199999999998</v>
      </c>
      <c r="P287" s="553">
        <v>1.9256040000000001</v>
      </c>
      <c r="Q287" s="561">
        <f t="shared" si="78"/>
        <v>26.203427999999999</v>
      </c>
      <c r="R287" s="166"/>
      <c r="S287" s="166"/>
    </row>
    <row r="288" spans="3:19" hidden="1" x14ac:dyDescent="0.25">
      <c r="C288" s="17" t="s">
        <v>217</v>
      </c>
      <c r="D288" s="17" t="s">
        <v>218</v>
      </c>
      <c r="E288" s="553">
        <v>40.344869299999999</v>
      </c>
      <c r="F288" s="553">
        <v>37.970936100000003</v>
      </c>
      <c r="G288" s="553">
        <v>40.797838200000001</v>
      </c>
      <c r="H288" s="553">
        <v>38.461032100000004</v>
      </c>
      <c r="I288" s="553">
        <v>38.101239399999997</v>
      </c>
      <c r="J288" s="553">
        <v>40.774827700000003</v>
      </c>
      <c r="K288" s="553">
        <v>40.325548099999999</v>
      </c>
      <c r="L288" s="553">
        <v>40.066469300000001</v>
      </c>
      <c r="M288" s="553">
        <v>38.241601299999999</v>
      </c>
      <c r="N288" s="553">
        <v>43.807163200000005</v>
      </c>
      <c r="O288" s="553">
        <v>42.544015999999999</v>
      </c>
      <c r="P288" s="553">
        <v>40.6378956</v>
      </c>
      <c r="Q288" s="561">
        <f t="shared" si="78"/>
        <v>482.07343629999997</v>
      </c>
      <c r="R288" s="166"/>
      <c r="S288" s="166"/>
    </row>
    <row r="289" spans="3:19" hidden="1" x14ac:dyDescent="0.25">
      <c r="C289" s="17" t="s">
        <v>252</v>
      </c>
      <c r="D289" s="17" t="s">
        <v>236</v>
      </c>
      <c r="E289" s="553">
        <v>0</v>
      </c>
      <c r="F289" s="553">
        <v>0</v>
      </c>
      <c r="G289" s="553">
        <v>0</v>
      </c>
      <c r="H289" s="553">
        <v>0</v>
      </c>
      <c r="I289" s="553">
        <v>0</v>
      </c>
      <c r="J289" s="553">
        <v>0</v>
      </c>
      <c r="K289" s="553">
        <v>0</v>
      </c>
      <c r="L289" s="553">
        <v>0</v>
      </c>
      <c r="M289" s="553">
        <v>0</v>
      </c>
      <c r="N289" s="553">
        <v>0</v>
      </c>
      <c r="O289" s="553">
        <v>0</v>
      </c>
      <c r="P289" s="553">
        <v>0</v>
      </c>
      <c r="Q289" s="561">
        <f t="shared" si="78"/>
        <v>0</v>
      </c>
      <c r="R289" s="166"/>
      <c r="S289" s="166"/>
    </row>
    <row r="290" spans="3:19" hidden="1" x14ac:dyDescent="0.25">
      <c r="C290" s="17" t="s">
        <v>206</v>
      </c>
      <c r="D290" s="17" t="s">
        <v>207</v>
      </c>
      <c r="E290" s="553">
        <v>8.2769999999999992</v>
      </c>
      <c r="F290" s="553">
        <v>10.845599999999999</v>
      </c>
      <c r="G290" s="553">
        <v>9.2159999999999993</v>
      </c>
      <c r="H290" s="553">
        <v>9.4044000000000008</v>
      </c>
      <c r="I290" s="553">
        <v>9.2951999999999995</v>
      </c>
      <c r="J290" s="553">
        <v>9.1898999999999997</v>
      </c>
      <c r="K290" s="553">
        <v>8.4441000000000006</v>
      </c>
      <c r="L290" s="553">
        <v>7.7625000000000002</v>
      </c>
      <c r="M290" s="553">
        <v>6.7077020000000003</v>
      </c>
      <c r="N290" s="553">
        <v>6.2515900000000002</v>
      </c>
      <c r="O290" s="553">
        <v>6.7982909999999999</v>
      </c>
      <c r="P290" s="553">
        <v>7.6851349999999998</v>
      </c>
      <c r="Q290" s="561">
        <f t="shared" si="78"/>
        <v>99.877418000000006</v>
      </c>
      <c r="R290" s="166"/>
      <c r="S290" s="166"/>
    </row>
    <row r="291" spans="3:19" hidden="1" x14ac:dyDescent="0.25">
      <c r="C291" s="17" t="s">
        <v>208</v>
      </c>
      <c r="D291" s="17" t="s">
        <v>187</v>
      </c>
      <c r="E291" s="553">
        <v>8.5570000000000004</v>
      </c>
      <c r="F291" s="553">
        <v>0</v>
      </c>
      <c r="G291" s="553">
        <v>0</v>
      </c>
      <c r="H291" s="553">
        <v>0</v>
      </c>
      <c r="I291" s="553">
        <v>0</v>
      </c>
      <c r="J291" s="553">
        <v>0</v>
      </c>
      <c r="K291" s="553">
        <v>0</v>
      </c>
      <c r="L291" s="553">
        <v>0</v>
      </c>
      <c r="M291" s="553">
        <v>0</v>
      </c>
      <c r="N291" s="553">
        <v>0</v>
      </c>
      <c r="O291" s="553">
        <v>0</v>
      </c>
      <c r="P291" s="553">
        <v>0</v>
      </c>
      <c r="Q291" s="561">
        <f t="shared" si="78"/>
        <v>8.5570000000000004</v>
      </c>
      <c r="R291" s="166"/>
      <c r="S291" s="166"/>
    </row>
    <row r="292" spans="3:19" hidden="1" x14ac:dyDescent="0.25">
      <c r="C292" s="17" t="s">
        <v>209</v>
      </c>
      <c r="D292" s="17" t="s">
        <v>210</v>
      </c>
      <c r="E292" s="553"/>
      <c r="F292" s="553"/>
      <c r="G292" s="553"/>
      <c r="H292" s="553"/>
      <c r="I292" s="553"/>
      <c r="J292" s="553"/>
      <c r="K292" s="553"/>
      <c r="L292" s="553"/>
      <c r="M292" s="553"/>
      <c r="N292" s="553"/>
      <c r="O292" s="553"/>
      <c r="P292" s="553"/>
      <c r="Q292" s="561">
        <f t="shared" si="78"/>
        <v>0</v>
      </c>
      <c r="R292" s="166"/>
      <c r="S292" s="166"/>
    </row>
    <row r="293" spans="3:19" hidden="1" x14ac:dyDescent="0.25">
      <c r="C293" s="17" t="s">
        <v>211</v>
      </c>
      <c r="D293" s="17" t="s">
        <v>189</v>
      </c>
      <c r="E293" s="553"/>
      <c r="F293" s="553"/>
      <c r="G293" s="553"/>
      <c r="H293" s="553"/>
      <c r="I293" s="553"/>
      <c r="J293" s="553"/>
      <c r="K293" s="553"/>
      <c r="L293" s="553"/>
      <c r="M293" s="553"/>
      <c r="N293" s="553"/>
      <c r="O293" s="553"/>
      <c r="P293" s="553"/>
      <c r="Q293" s="561">
        <f t="shared" si="78"/>
        <v>0</v>
      </c>
      <c r="R293" s="166"/>
      <c r="S293" s="166"/>
    </row>
    <row r="294" spans="3:19" hidden="1" x14ac:dyDescent="0.25">
      <c r="C294" s="17"/>
      <c r="D294" s="17"/>
      <c r="E294" s="553"/>
      <c r="F294" s="553"/>
      <c r="G294" s="553"/>
      <c r="H294" s="553"/>
      <c r="I294" s="553"/>
      <c r="J294" s="553"/>
      <c r="K294" s="553"/>
      <c r="L294" s="553"/>
      <c r="M294" s="553"/>
      <c r="N294" s="553"/>
      <c r="O294" s="553"/>
      <c r="P294" s="553"/>
      <c r="Q294" s="561"/>
      <c r="R294" s="166"/>
      <c r="S294" s="166"/>
    </row>
    <row r="295" spans="3:19" hidden="1" x14ac:dyDescent="0.25">
      <c r="C295" s="17"/>
      <c r="D295" s="17"/>
      <c r="E295" s="553"/>
      <c r="F295" s="553"/>
      <c r="G295" s="553"/>
      <c r="H295" s="553"/>
      <c r="I295" s="553"/>
      <c r="J295" s="553"/>
      <c r="K295" s="553"/>
      <c r="L295" s="553"/>
      <c r="M295" s="553"/>
      <c r="N295" s="553"/>
      <c r="O295" s="553"/>
      <c r="P295" s="553"/>
      <c r="Q295" s="561"/>
      <c r="R295" s="166"/>
      <c r="S295" s="166"/>
    </row>
    <row r="296" spans="3:19" hidden="1" x14ac:dyDescent="0.25">
      <c r="C296" s="17"/>
      <c r="D296" s="17"/>
      <c r="E296" s="553"/>
      <c r="F296" s="553"/>
      <c r="G296" s="553"/>
      <c r="H296" s="553"/>
      <c r="I296" s="553"/>
      <c r="J296" s="553"/>
      <c r="K296" s="553"/>
      <c r="L296" s="553"/>
      <c r="M296" s="553"/>
      <c r="N296" s="553"/>
      <c r="O296" s="553"/>
      <c r="P296" s="553"/>
      <c r="Q296" s="561"/>
      <c r="R296" s="166"/>
      <c r="S296" s="166"/>
    </row>
    <row r="297" spans="3:19" hidden="1" x14ac:dyDescent="0.25">
      <c r="C297" s="17"/>
      <c r="D297" s="17"/>
      <c r="E297" s="553"/>
      <c r="F297" s="553"/>
      <c r="G297" s="553"/>
      <c r="H297" s="553"/>
      <c r="I297" s="553"/>
      <c r="J297" s="553"/>
      <c r="K297" s="553"/>
      <c r="L297" s="553"/>
      <c r="M297" s="553"/>
      <c r="N297" s="553"/>
      <c r="O297" s="553"/>
      <c r="P297" s="553"/>
      <c r="Q297" s="561"/>
      <c r="R297" s="166"/>
      <c r="S297" s="166"/>
    </row>
    <row r="298" spans="3:19" hidden="1" x14ac:dyDescent="0.25">
      <c r="C298" s="751" t="s">
        <v>212</v>
      </c>
      <c r="D298" s="752"/>
      <c r="E298" s="561">
        <f t="shared" ref="E298:P298" si="79">SUM(E281:E297)</f>
        <v>393.56132929999995</v>
      </c>
      <c r="F298" s="561">
        <f t="shared" si="79"/>
        <v>178.81900499</v>
      </c>
      <c r="G298" s="561">
        <f t="shared" si="79"/>
        <v>287.45421320000003</v>
      </c>
      <c r="H298" s="561">
        <f t="shared" si="79"/>
        <v>774.44910009000012</v>
      </c>
      <c r="I298" s="561">
        <f t="shared" si="79"/>
        <v>180.89668739999999</v>
      </c>
      <c r="J298" s="561">
        <f t="shared" si="79"/>
        <v>176.15320206999999</v>
      </c>
      <c r="K298" s="561">
        <f t="shared" si="79"/>
        <v>156.59182529999998</v>
      </c>
      <c r="L298" s="561">
        <f t="shared" si="79"/>
        <v>122.5522995914606</v>
      </c>
      <c r="M298" s="561">
        <f t="shared" si="79"/>
        <v>110.94085237179128</v>
      </c>
      <c r="N298" s="561">
        <f t="shared" si="79"/>
        <v>189.74798289999998</v>
      </c>
      <c r="O298" s="561">
        <f t="shared" si="79"/>
        <v>177.61384031000003</v>
      </c>
      <c r="P298" s="561">
        <f t="shared" si="79"/>
        <v>391.08309071000002</v>
      </c>
      <c r="Q298" s="561">
        <f>SUM(E298:P298)</f>
        <v>3139.8634282332514</v>
      </c>
      <c r="R298" s="166"/>
      <c r="S298" s="166"/>
    </row>
    <row r="299" spans="3:19" hidden="1" x14ac:dyDescent="0.25">
      <c r="C299" s="751" t="s">
        <v>219</v>
      </c>
      <c r="D299" s="752"/>
      <c r="E299" s="561">
        <f t="shared" ref="E299:P299" si="80">E298+E279+E262</f>
        <v>686.91769998999996</v>
      </c>
      <c r="F299" s="561">
        <f t="shared" si="80"/>
        <v>369.68374996</v>
      </c>
      <c r="G299" s="561">
        <f t="shared" si="80"/>
        <v>476.44414135</v>
      </c>
      <c r="H299" s="561">
        <f t="shared" si="80"/>
        <v>1010.0432812199999</v>
      </c>
      <c r="I299" s="561">
        <f t="shared" si="80"/>
        <v>437.64071442999995</v>
      </c>
      <c r="J299" s="561">
        <f t="shared" si="80"/>
        <v>411.28047377000007</v>
      </c>
      <c r="K299" s="561">
        <f t="shared" si="80"/>
        <v>374.19119796999996</v>
      </c>
      <c r="L299" s="561">
        <f t="shared" si="80"/>
        <v>334.85873525146064</v>
      </c>
      <c r="M299" s="561">
        <f t="shared" si="80"/>
        <v>339.12696592179128</v>
      </c>
      <c r="N299" s="561">
        <f t="shared" si="80"/>
        <v>448.46593124999993</v>
      </c>
      <c r="O299" s="561">
        <f t="shared" si="80"/>
        <v>451.81077288</v>
      </c>
      <c r="P299" s="561">
        <f t="shared" si="80"/>
        <v>647.33138135000002</v>
      </c>
      <c r="Q299" s="561">
        <f>SUM(E299:P299)</f>
        <v>5987.7950453432513</v>
      </c>
      <c r="R299" s="166"/>
      <c r="S299" s="166"/>
    </row>
    <row r="300" spans="3:19" hidden="1" x14ac:dyDescent="0.25">
      <c r="C300" s="751" t="s">
        <v>220</v>
      </c>
      <c r="D300" s="752"/>
      <c r="E300" s="561">
        <f t="shared" ref="E300:P300" si="81">E299+E245</f>
        <v>1141.26222350792</v>
      </c>
      <c r="F300" s="561">
        <f t="shared" si="81"/>
        <v>886.87526795999997</v>
      </c>
      <c r="G300" s="561">
        <f t="shared" si="81"/>
        <v>989.89821439659988</v>
      </c>
      <c r="H300" s="561">
        <f t="shared" si="81"/>
        <v>1477.5027912199998</v>
      </c>
      <c r="I300" s="561">
        <f t="shared" si="81"/>
        <v>921.44505242999992</v>
      </c>
      <c r="J300" s="561">
        <f t="shared" si="81"/>
        <v>874.75418577000005</v>
      </c>
      <c r="K300" s="561">
        <f t="shared" si="81"/>
        <v>823.83328396999991</v>
      </c>
      <c r="L300" s="561">
        <f t="shared" si="81"/>
        <v>767.9150484214606</v>
      </c>
      <c r="M300" s="561">
        <f t="shared" si="81"/>
        <v>728.63646592179134</v>
      </c>
      <c r="N300" s="561">
        <f t="shared" si="81"/>
        <v>803.03213525000001</v>
      </c>
      <c r="O300" s="561">
        <f t="shared" si="81"/>
        <v>793.75802954999995</v>
      </c>
      <c r="P300" s="561">
        <f t="shared" si="81"/>
        <v>1013.3983423499999</v>
      </c>
      <c r="Q300" s="561">
        <f>SUM(E300:P300)</f>
        <v>11222.311040747769</v>
      </c>
      <c r="R300" s="166"/>
      <c r="S300" s="166"/>
    </row>
    <row r="301" spans="3:19" hidden="1" x14ac:dyDescent="0.25">
      <c r="C301" s="14"/>
      <c r="E301" s="562"/>
      <c r="F301" s="562"/>
      <c r="G301" s="562"/>
      <c r="H301" s="562"/>
      <c r="I301" s="562"/>
      <c r="J301" s="562"/>
      <c r="K301" s="562"/>
      <c r="L301" s="562"/>
      <c r="M301" s="562"/>
      <c r="N301" s="562"/>
      <c r="O301" s="562"/>
      <c r="P301" s="562"/>
      <c r="Q301" s="564" t="s">
        <v>229</v>
      </c>
      <c r="R301" s="166"/>
      <c r="S301" s="166"/>
    </row>
    <row r="302" spans="3:19" hidden="1" x14ac:dyDescent="0.25">
      <c r="C302" s="760" t="s">
        <v>163</v>
      </c>
      <c r="D302" s="760"/>
      <c r="E302" s="769" t="s">
        <v>265</v>
      </c>
      <c r="F302" s="769"/>
      <c r="G302" s="769"/>
      <c r="H302" s="769"/>
      <c r="I302" s="769"/>
      <c r="J302" s="769"/>
      <c r="K302" s="769"/>
      <c r="L302" s="769"/>
      <c r="M302" s="769"/>
      <c r="N302" s="769"/>
      <c r="O302" s="769"/>
      <c r="P302" s="769"/>
      <c r="Q302" s="769"/>
      <c r="R302" s="166"/>
      <c r="S302" s="166"/>
    </row>
    <row r="303" spans="3:19" hidden="1" x14ac:dyDescent="0.25">
      <c r="C303" s="760"/>
      <c r="D303" s="760"/>
      <c r="E303" s="560" t="s">
        <v>239</v>
      </c>
      <c r="F303" s="560" t="s">
        <v>240</v>
      </c>
      <c r="G303" s="560" t="s">
        <v>241</v>
      </c>
      <c r="H303" s="560" t="s">
        <v>242</v>
      </c>
      <c r="I303" s="560" t="s">
        <v>243</v>
      </c>
      <c r="J303" s="560" t="s">
        <v>244</v>
      </c>
      <c r="K303" s="560" t="s">
        <v>245</v>
      </c>
      <c r="L303" s="560" t="s">
        <v>246</v>
      </c>
      <c r="M303" s="560" t="s">
        <v>247</v>
      </c>
      <c r="N303" s="560" t="s">
        <v>248</v>
      </c>
      <c r="O303" s="560" t="s">
        <v>249</v>
      </c>
      <c r="P303" s="560" t="s">
        <v>250</v>
      </c>
      <c r="Q303" s="560" t="s">
        <v>251</v>
      </c>
      <c r="R303" s="166"/>
      <c r="S303" s="166"/>
    </row>
    <row r="304" spans="3:19" hidden="1" x14ac:dyDescent="0.25">
      <c r="C304" s="753" t="s">
        <v>171</v>
      </c>
      <c r="D304" s="754"/>
      <c r="E304" s="553"/>
      <c r="F304" s="553"/>
      <c r="G304" s="553"/>
      <c r="H304" s="553"/>
      <c r="I304" s="553"/>
      <c r="J304" s="553"/>
      <c r="K304" s="553"/>
      <c r="L304" s="553"/>
      <c r="M304" s="553"/>
      <c r="N304" s="553"/>
      <c r="O304" s="553"/>
      <c r="P304" s="553"/>
      <c r="Q304" s="561"/>
      <c r="R304" s="166"/>
      <c r="S304" s="166"/>
    </row>
    <row r="305" spans="3:19" hidden="1" x14ac:dyDescent="0.25">
      <c r="C305" s="59" t="s">
        <v>172</v>
      </c>
      <c r="D305" s="59" t="s">
        <v>173</v>
      </c>
      <c r="E305" s="553">
        <v>365.610254</v>
      </c>
      <c r="F305" s="553">
        <v>421.796719</v>
      </c>
      <c r="G305" s="553">
        <v>440.76467699999995</v>
      </c>
      <c r="H305" s="553">
        <v>373.50165099999992</v>
      </c>
      <c r="I305" s="553">
        <v>313.20398829999999</v>
      </c>
      <c r="J305" s="553">
        <v>346.03150899999997</v>
      </c>
      <c r="K305" s="553">
        <v>328.04758299999992</v>
      </c>
      <c r="L305" s="553">
        <v>290.00077999999991</v>
      </c>
      <c r="M305" s="553">
        <v>245.65373099999996</v>
      </c>
      <c r="N305" s="553">
        <v>255.37288599999999</v>
      </c>
      <c r="O305" s="553">
        <v>252.529065</v>
      </c>
      <c r="P305" s="553">
        <v>259.34137300000003</v>
      </c>
      <c r="Q305" s="561">
        <f t="shared" ref="Q305:Q313" si="82">SUM(E305:P305)</f>
        <v>3891.8542163000002</v>
      </c>
      <c r="R305" s="166"/>
      <c r="S305" s="166"/>
    </row>
    <row r="306" spans="3:19" hidden="1" x14ac:dyDescent="0.25">
      <c r="C306" s="17" t="s">
        <v>174</v>
      </c>
      <c r="D306" s="17" t="s">
        <v>175</v>
      </c>
      <c r="E306" s="553">
        <v>79.94304799999999</v>
      </c>
      <c r="F306" s="553">
        <v>86.530002999999994</v>
      </c>
      <c r="G306" s="553">
        <v>90.612987000000004</v>
      </c>
      <c r="H306" s="553">
        <v>78.423677999999995</v>
      </c>
      <c r="I306" s="553">
        <v>68.017126000000005</v>
      </c>
      <c r="J306" s="553">
        <v>73.683937</v>
      </c>
      <c r="K306" s="553">
        <v>70.613885000000025</v>
      </c>
      <c r="L306" s="553">
        <v>67.335615000000004</v>
      </c>
      <c r="M306" s="553">
        <v>62.238168000000002</v>
      </c>
      <c r="N306" s="553">
        <v>66.536774999999992</v>
      </c>
      <c r="O306" s="553">
        <v>65.036568000000017</v>
      </c>
      <c r="P306" s="553">
        <v>66.165188999999998</v>
      </c>
      <c r="Q306" s="561">
        <f t="shared" si="82"/>
        <v>875.13697900000011</v>
      </c>
      <c r="R306" s="166"/>
      <c r="S306" s="166"/>
    </row>
    <row r="307" spans="3:19" hidden="1" x14ac:dyDescent="0.25">
      <c r="C307" s="17" t="s">
        <v>176</v>
      </c>
      <c r="D307" s="17" t="s">
        <v>177</v>
      </c>
      <c r="E307" s="553">
        <v>21.277899999999995</v>
      </c>
      <c r="F307" s="553">
        <v>21.101853000000002</v>
      </c>
      <c r="G307" s="553">
        <v>21.908694999999994</v>
      </c>
      <c r="H307" s="553">
        <v>17.595610999999998</v>
      </c>
      <c r="I307" s="553">
        <v>14.882455500000001</v>
      </c>
      <c r="J307" s="553">
        <v>16.780107999999998</v>
      </c>
      <c r="K307" s="553">
        <v>15.748473999999998</v>
      </c>
      <c r="L307" s="553">
        <v>17.335014000000001</v>
      </c>
      <c r="M307" s="553">
        <v>21.366014000000003</v>
      </c>
      <c r="N307" s="553">
        <v>24.650779000000004</v>
      </c>
      <c r="O307" s="553">
        <v>23.489951999999999</v>
      </c>
      <c r="P307" s="553">
        <v>20.878366999999997</v>
      </c>
      <c r="Q307" s="561">
        <f t="shared" si="82"/>
        <v>237.01522249999996</v>
      </c>
      <c r="R307" s="166"/>
      <c r="S307" s="166"/>
    </row>
    <row r="308" spans="3:19" hidden="1" x14ac:dyDescent="0.25">
      <c r="C308" s="17" t="s">
        <v>178</v>
      </c>
      <c r="D308" s="17" t="s">
        <v>179</v>
      </c>
      <c r="E308" s="553">
        <v>0.73176899999999989</v>
      </c>
      <c r="F308" s="553">
        <v>0.73470000000000002</v>
      </c>
      <c r="G308" s="553">
        <v>0.78040200000000004</v>
      </c>
      <c r="H308" s="553">
        <v>0.73809799999999992</v>
      </c>
      <c r="I308" s="553">
        <v>0.66727099999999995</v>
      </c>
      <c r="J308" s="553">
        <v>0.71270800000000001</v>
      </c>
      <c r="K308" s="553">
        <v>0.69061799999999995</v>
      </c>
      <c r="L308" s="553">
        <v>0.66414100000000009</v>
      </c>
      <c r="M308" s="553">
        <v>0.65244599999999997</v>
      </c>
      <c r="N308" s="553">
        <v>0.64971500000000004</v>
      </c>
      <c r="O308" s="553">
        <v>0.70571099999999987</v>
      </c>
      <c r="P308" s="553">
        <v>0.60979899999999998</v>
      </c>
      <c r="Q308" s="561">
        <f t="shared" si="82"/>
        <v>8.3373779999999993</v>
      </c>
      <c r="R308" s="166"/>
      <c r="S308" s="166"/>
    </row>
    <row r="309" spans="3:19" hidden="1" x14ac:dyDescent="0.25">
      <c r="C309" s="17" t="s">
        <v>180</v>
      </c>
      <c r="D309" s="17" t="s">
        <v>181</v>
      </c>
      <c r="E309" s="553"/>
      <c r="F309" s="553"/>
      <c r="G309" s="553"/>
      <c r="H309" s="553"/>
      <c r="I309" s="553"/>
      <c r="J309" s="553"/>
      <c r="K309" s="553"/>
      <c r="L309" s="553"/>
      <c r="M309" s="553"/>
      <c r="N309" s="553"/>
      <c r="O309" s="553"/>
      <c r="P309" s="553"/>
      <c r="Q309" s="561">
        <f t="shared" si="82"/>
        <v>0</v>
      </c>
      <c r="R309" s="166"/>
      <c r="S309" s="166"/>
    </row>
    <row r="310" spans="3:19" hidden="1" x14ac:dyDescent="0.25">
      <c r="C310" s="17" t="s">
        <v>182</v>
      </c>
      <c r="D310" s="17" t="s">
        <v>183</v>
      </c>
      <c r="E310" s="553">
        <v>31.785612</v>
      </c>
      <c r="F310" s="553">
        <v>31.768662999999997</v>
      </c>
      <c r="G310" s="553">
        <v>31.456674000000003</v>
      </c>
      <c r="H310" s="553">
        <v>27.883637</v>
      </c>
      <c r="I310" s="553">
        <v>25.881440999999999</v>
      </c>
      <c r="J310" s="553">
        <v>28.289197999999995</v>
      </c>
      <c r="K310" s="553">
        <v>28.254200999999998</v>
      </c>
      <c r="L310" s="553">
        <v>29.715046999999998</v>
      </c>
      <c r="M310" s="553">
        <v>29.465969999999995</v>
      </c>
      <c r="N310" s="553">
        <v>30.596094000000001</v>
      </c>
      <c r="O310" s="553">
        <v>30.893644999999999</v>
      </c>
      <c r="P310" s="553">
        <v>28.798748000000003</v>
      </c>
      <c r="Q310" s="561">
        <f t="shared" si="82"/>
        <v>354.78892999999994</v>
      </c>
      <c r="R310" s="166"/>
      <c r="S310" s="166"/>
    </row>
    <row r="311" spans="3:19" hidden="1" x14ac:dyDescent="0.25">
      <c r="C311" s="17" t="s">
        <v>184</v>
      </c>
      <c r="D311" s="17" t="s">
        <v>185</v>
      </c>
      <c r="E311" s="553">
        <v>5.7321319999999991</v>
      </c>
      <c r="F311" s="553">
        <v>5.657654</v>
      </c>
      <c r="G311" s="553">
        <v>4.3044739999999999</v>
      </c>
      <c r="H311" s="553">
        <v>4.3690720000000001</v>
      </c>
      <c r="I311" s="553">
        <v>4.6829459999999994</v>
      </c>
      <c r="J311" s="553">
        <v>5.5055700000000005</v>
      </c>
      <c r="K311" s="553">
        <v>4.3103030000000002</v>
      </c>
      <c r="L311" s="553">
        <v>4.7415019999999997</v>
      </c>
      <c r="M311" s="553">
        <v>4.7951060000000005</v>
      </c>
      <c r="N311" s="553">
        <v>5.0926150000000003</v>
      </c>
      <c r="O311" s="553">
        <v>4.3589139999999995</v>
      </c>
      <c r="P311" s="553">
        <v>5.1018340000000002</v>
      </c>
      <c r="Q311" s="561">
        <f t="shared" si="82"/>
        <v>58.652121999999991</v>
      </c>
      <c r="R311" s="166"/>
      <c r="S311" s="166"/>
    </row>
    <row r="312" spans="3:19" hidden="1" x14ac:dyDescent="0.25">
      <c r="C312" s="17" t="s">
        <v>186</v>
      </c>
      <c r="D312" s="17" t="s">
        <v>187</v>
      </c>
      <c r="E312" s="553">
        <v>0.68999500000000002</v>
      </c>
      <c r="F312" s="553">
        <v>0.743668</v>
      </c>
      <c r="G312" s="553">
        <v>0.88549500000000003</v>
      </c>
      <c r="H312" s="553">
        <v>0.79413700000000009</v>
      </c>
      <c r="I312" s="553">
        <v>0.79022599999999987</v>
      </c>
      <c r="J312" s="553">
        <v>0.8682970000000001</v>
      </c>
      <c r="K312" s="553">
        <v>0.82492799999999999</v>
      </c>
      <c r="L312" s="553">
        <v>0.87514599999999998</v>
      </c>
      <c r="M312" s="553">
        <v>0.880714</v>
      </c>
      <c r="N312" s="553">
        <v>0.99453700000000012</v>
      </c>
      <c r="O312" s="553">
        <v>1.003514</v>
      </c>
      <c r="P312" s="553">
        <v>0.94001000000000012</v>
      </c>
      <c r="Q312" s="561">
        <f t="shared" si="82"/>
        <v>10.290667000000003</v>
      </c>
      <c r="R312" s="166"/>
      <c r="S312" s="166"/>
    </row>
    <row r="313" spans="3:19" hidden="1" x14ac:dyDescent="0.25">
      <c r="C313" s="17" t="s">
        <v>188</v>
      </c>
      <c r="D313" s="17" t="s">
        <v>189</v>
      </c>
      <c r="E313" s="553">
        <v>0</v>
      </c>
      <c r="F313" s="553">
        <v>0</v>
      </c>
      <c r="G313" s="553">
        <v>2.23E-4</v>
      </c>
      <c r="H313" s="553">
        <v>4.7199999999999998E-4</v>
      </c>
      <c r="I313" s="553">
        <v>6.3000000000000003E-4</v>
      </c>
      <c r="J313" s="553">
        <v>5.8299999999999997E-4</v>
      </c>
      <c r="K313" s="553">
        <v>6.2E-4</v>
      </c>
      <c r="L313" s="553">
        <v>1.611E-3</v>
      </c>
      <c r="M313" s="553">
        <v>3.3289999999999999E-3</v>
      </c>
      <c r="N313" s="553">
        <v>4.1399999999999996E-3</v>
      </c>
      <c r="O313" s="553">
        <v>5.5069999999999997E-3</v>
      </c>
      <c r="P313" s="553">
        <v>5.3930000000000002E-3</v>
      </c>
      <c r="Q313" s="561">
        <f t="shared" si="82"/>
        <v>2.2508E-2</v>
      </c>
      <c r="R313" s="166"/>
      <c r="S313" s="166"/>
    </row>
    <row r="314" spans="3:19" hidden="1" x14ac:dyDescent="0.25">
      <c r="C314" s="17"/>
      <c r="D314" s="17"/>
      <c r="E314" s="553"/>
      <c r="F314" s="553"/>
      <c r="G314" s="553"/>
      <c r="H314" s="553"/>
      <c r="I314" s="553"/>
      <c r="J314" s="553"/>
      <c r="K314" s="553"/>
      <c r="L314" s="553"/>
      <c r="M314" s="553"/>
      <c r="N314" s="553"/>
      <c r="O314" s="553"/>
      <c r="P314" s="553"/>
      <c r="Q314" s="561"/>
      <c r="R314" s="166"/>
      <c r="S314" s="166"/>
    </row>
    <row r="315" spans="3:19" hidden="1" x14ac:dyDescent="0.25">
      <c r="C315" s="17"/>
      <c r="D315" s="17"/>
      <c r="E315" s="553"/>
      <c r="F315" s="553"/>
      <c r="G315" s="553"/>
      <c r="H315" s="553"/>
      <c r="I315" s="553"/>
      <c r="J315" s="553"/>
      <c r="K315" s="553"/>
      <c r="L315" s="553"/>
      <c r="M315" s="553"/>
      <c r="N315" s="553"/>
      <c r="O315" s="553"/>
      <c r="P315" s="553"/>
      <c r="Q315" s="561"/>
      <c r="R315" s="166"/>
      <c r="S315" s="166"/>
    </row>
    <row r="316" spans="3:19" hidden="1" x14ac:dyDescent="0.25">
      <c r="C316" s="17"/>
      <c r="D316" s="17"/>
      <c r="E316" s="553"/>
      <c r="F316" s="553"/>
      <c r="G316" s="553"/>
      <c r="H316" s="553"/>
      <c r="I316" s="553"/>
      <c r="J316" s="553"/>
      <c r="K316" s="553"/>
      <c r="L316" s="553"/>
      <c r="M316" s="553"/>
      <c r="N316" s="553"/>
      <c r="O316" s="553"/>
      <c r="P316" s="553"/>
      <c r="Q316" s="561"/>
      <c r="R316" s="166"/>
      <c r="S316" s="166"/>
    </row>
    <row r="317" spans="3:19" hidden="1" x14ac:dyDescent="0.25">
      <c r="C317" s="17"/>
      <c r="D317" s="17"/>
      <c r="E317" s="553"/>
      <c r="F317" s="553"/>
      <c r="G317" s="553"/>
      <c r="H317" s="553"/>
      <c r="I317" s="553"/>
      <c r="J317" s="553"/>
      <c r="K317" s="553"/>
      <c r="L317" s="553"/>
      <c r="M317" s="553"/>
      <c r="N317" s="553"/>
      <c r="O317" s="553"/>
      <c r="P317" s="553"/>
      <c r="Q317" s="561"/>
      <c r="R317" s="166"/>
      <c r="S317" s="166"/>
    </row>
    <row r="318" spans="3:19" hidden="1" x14ac:dyDescent="0.25">
      <c r="C318" s="751" t="s">
        <v>190</v>
      </c>
      <c r="D318" s="752"/>
      <c r="E318" s="561">
        <f t="shared" ref="E318:P318" si="83">SUM(E305:E317)</f>
        <v>505.77070999999995</v>
      </c>
      <c r="F318" s="561">
        <f t="shared" si="83"/>
        <v>568.33325999999988</v>
      </c>
      <c r="G318" s="561">
        <f t="shared" si="83"/>
        <v>590.71362699999997</v>
      </c>
      <c r="H318" s="561">
        <f t="shared" si="83"/>
        <v>503.30635599999994</v>
      </c>
      <c r="I318" s="561">
        <f t="shared" si="83"/>
        <v>428.12608380000006</v>
      </c>
      <c r="J318" s="561">
        <f t="shared" si="83"/>
        <v>471.87190999999996</v>
      </c>
      <c r="K318" s="561">
        <f t="shared" si="83"/>
        <v>448.49061199999994</v>
      </c>
      <c r="L318" s="561">
        <f t="shared" si="83"/>
        <v>410.66885599999995</v>
      </c>
      <c r="M318" s="561">
        <f t="shared" si="83"/>
        <v>365.05547799999994</v>
      </c>
      <c r="N318" s="561">
        <f t="shared" si="83"/>
        <v>383.89754099999999</v>
      </c>
      <c r="O318" s="561">
        <f t="shared" si="83"/>
        <v>378.02287600000011</v>
      </c>
      <c r="P318" s="561">
        <f t="shared" si="83"/>
        <v>381.84071300000005</v>
      </c>
      <c r="Q318" s="561">
        <f>SUM(E318:P318)</f>
        <v>5436.0980228000008</v>
      </c>
      <c r="R318" s="166"/>
      <c r="S318" s="166"/>
    </row>
    <row r="319" spans="3:19" hidden="1" x14ac:dyDescent="0.25">
      <c r="C319" s="753" t="s">
        <v>191</v>
      </c>
      <c r="D319" s="754"/>
      <c r="E319" s="553"/>
      <c r="F319" s="553"/>
      <c r="G319" s="553"/>
      <c r="H319" s="553"/>
      <c r="I319" s="553"/>
      <c r="J319" s="553"/>
      <c r="K319" s="553"/>
      <c r="L319" s="553"/>
      <c r="M319" s="553"/>
      <c r="N319" s="553"/>
      <c r="O319" s="553"/>
      <c r="P319" s="553"/>
      <c r="Q319" s="561"/>
      <c r="R319" s="166"/>
      <c r="S319" s="166"/>
    </row>
    <row r="320" spans="3:19" hidden="1" x14ac:dyDescent="0.25">
      <c r="C320" s="17" t="s">
        <v>192</v>
      </c>
      <c r="D320" s="17" t="s">
        <v>193</v>
      </c>
      <c r="E320" s="553">
        <v>77.789666020000013</v>
      </c>
      <c r="F320" s="553">
        <v>70.895851340000036</v>
      </c>
      <c r="G320" s="553">
        <v>85.950862359999988</v>
      </c>
      <c r="H320" s="553">
        <v>64.314094339999983</v>
      </c>
      <c r="I320" s="553">
        <v>73.657067320000024</v>
      </c>
      <c r="J320" s="553">
        <v>80.300633949999963</v>
      </c>
      <c r="K320" s="553">
        <v>80.318811969999985</v>
      </c>
      <c r="L320" s="553">
        <v>90.892152339999953</v>
      </c>
      <c r="M320" s="553">
        <v>90.709997320000028</v>
      </c>
      <c r="N320" s="553">
        <v>89.381892520000051</v>
      </c>
      <c r="O320" s="553">
        <v>93.820094499999996</v>
      </c>
      <c r="P320" s="553">
        <v>110.0792537029032</v>
      </c>
      <c r="Q320" s="561">
        <f t="shared" ref="Q320:Q330" si="84">SUM(E320:P320)</f>
        <v>1008.1103776829033</v>
      </c>
      <c r="R320" s="166"/>
      <c r="S320" s="166"/>
    </row>
    <row r="321" spans="3:19" hidden="1" x14ac:dyDescent="0.25">
      <c r="C321" s="17" t="s">
        <v>194</v>
      </c>
      <c r="D321" s="17" t="s">
        <v>195</v>
      </c>
      <c r="E321" s="553">
        <v>0</v>
      </c>
      <c r="F321" s="553">
        <v>0</v>
      </c>
      <c r="G321" s="553">
        <v>0</v>
      </c>
      <c r="H321" s="553">
        <v>0</v>
      </c>
      <c r="I321" s="553">
        <v>0</v>
      </c>
      <c r="J321" s="553">
        <v>0</v>
      </c>
      <c r="K321" s="553">
        <v>0</v>
      </c>
      <c r="L321" s="553">
        <v>0</v>
      </c>
      <c r="M321" s="553">
        <v>0</v>
      </c>
      <c r="N321" s="553">
        <v>0</v>
      </c>
      <c r="O321" s="553">
        <v>0</v>
      </c>
      <c r="P321" s="553">
        <v>0</v>
      </c>
      <c r="Q321" s="561">
        <f t="shared" si="84"/>
        <v>0</v>
      </c>
      <c r="R321" s="166"/>
      <c r="S321" s="166"/>
    </row>
    <row r="322" spans="3:19" hidden="1" x14ac:dyDescent="0.25">
      <c r="C322" s="17" t="s">
        <v>233</v>
      </c>
      <c r="D322" s="17" t="s">
        <v>197</v>
      </c>
      <c r="E322" s="553">
        <v>16.28860358</v>
      </c>
      <c r="F322" s="553">
        <v>18.212672770000005</v>
      </c>
      <c r="G322" s="553">
        <v>19.239188990000002</v>
      </c>
      <c r="H322" s="553">
        <v>14.196081060000001</v>
      </c>
      <c r="I322" s="553">
        <v>15.91609704</v>
      </c>
      <c r="J322" s="553">
        <v>16.546066719999999</v>
      </c>
      <c r="K322" s="553">
        <v>14.99262006</v>
      </c>
      <c r="L322" s="553">
        <v>14.22078273</v>
      </c>
      <c r="M322" s="553">
        <v>12.12550525</v>
      </c>
      <c r="N322" s="553">
        <v>12.592844550000002</v>
      </c>
      <c r="O322" s="553">
        <v>13.28100532</v>
      </c>
      <c r="P322" s="553">
        <v>19.159180120000009</v>
      </c>
      <c r="Q322" s="561">
        <f t="shared" si="84"/>
        <v>186.77064819</v>
      </c>
      <c r="R322" s="166"/>
      <c r="S322" s="166"/>
    </row>
    <row r="323" spans="3:19" hidden="1" x14ac:dyDescent="0.25">
      <c r="C323" s="17" t="s">
        <v>198</v>
      </c>
      <c r="D323" s="17" t="s">
        <v>199</v>
      </c>
      <c r="E323" s="553">
        <v>5.836E-3</v>
      </c>
      <c r="F323" s="553">
        <v>4.1529999999999996E-3</v>
      </c>
      <c r="G323" s="553">
        <v>5.4739999999999988E-3</v>
      </c>
      <c r="H323" s="553">
        <v>3.1120000000000002E-3</v>
      </c>
      <c r="I323" s="553">
        <v>2.97E-3</v>
      </c>
      <c r="J323" s="553">
        <v>2.2980000000000001E-3</v>
      </c>
      <c r="K323" s="553">
        <v>3.9769999999999996E-3</v>
      </c>
      <c r="L323" s="553">
        <v>3.1289999999999998E-3</v>
      </c>
      <c r="M323" s="553">
        <v>2.813E-3</v>
      </c>
      <c r="N323" s="553">
        <v>2.6440000000000001E-3</v>
      </c>
      <c r="O323" s="553">
        <v>5.7169999999999999E-3</v>
      </c>
      <c r="P323" s="553">
        <v>4.6860000000000009E-3</v>
      </c>
      <c r="Q323" s="561">
        <f t="shared" si="84"/>
        <v>4.6809000000000003E-2</v>
      </c>
      <c r="R323" s="166"/>
      <c r="S323" s="166"/>
    </row>
    <row r="324" spans="3:19" hidden="1" x14ac:dyDescent="0.25">
      <c r="C324" s="17" t="s">
        <v>200</v>
      </c>
      <c r="D324" s="17" t="s">
        <v>201</v>
      </c>
      <c r="E324" s="553">
        <v>0.7438499999999999</v>
      </c>
      <c r="F324" s="553">
        <v>0.75676699999999997</v>
      </c>
      <c r="G324" s="553">
        <v>0.83868300000000007</v>
      </c>
      <c r="H324" s="553">
        <v>0.64944299999999999</v>
      </c>
      <c r="I324" s="553">
        <v>0.66115999999999997</v>
      </c>
      <c r="J324" s="553">
        <v>0.652721</v>
      </c>
      <c r="K324" s="553">
        <v>0.63852200000000003</v>
      </c>
      <c r="L324" s="553">
        <v>0.58532299999999993</v>
      </c>
      <c r="M324" s="553">
        <v>0.56166499999999997</v>
      </c>
      <c r="N324" s="553">
        <v>0.58918199999999998</v>
      </c>
      <c r="O324" s="553">
        <v>0.59768299999999996</v>
      </c>
      <c r="P324" s="553">
        <v>0.85122399999999998</v>
      </c>
      <c r="Q324" s="561">
        <f t="shared" si="84"/>
        <v>8.1262229999999978</v>
      </c>
      <c r="R324" s="166"/>
      <c r="S324" s="166"/>
    </row>
    <row r="325" spans="3:19" hidden="1" x14ac:dyDescent="0.25">
      <c r="C325" s="17" t="s">
        <v>202</v>
      </c>
      <c r="D325" s="17" t="s">
        <v>203</v>
      </c>
      <c r="E325" s="553">
        <v>3.934545</v>
      </c>
      <c r="F325" s="553">
        <v>0.65493699999999999</v>
      </c>
      <c r="G325" s="553">
        <v>0.27963700000000002</v>
      </c>
      <c r="H325" s="553">
        <v>1.219358999999999</v>
      </c>
      <c r="I325" s="553">
        <v>1.2801870000000051</v>
      </c>
      <c r="J325" s="553">
        <v>1.8026124999999995</v>
      </c>
      <c r="K325" s="553">
        <v>1.116174</v>
      </c>
      <c r="L325" s="553">
        <v>0.978545</v>
      </c>
      <c r="M325" s="553">
        <v>1.218175</v>
      </c>
      <c r="N325" s="553">
        <v>3.8245879999999999</v>
      </c>
      <c r="O325" s="553">
        <v>4.598440000000001</v>
      </c>
      <c r="P325" s="553">
        <v>5.3856970438871858</v>
      </c>
      <c r="Q325" s="561">
        <f t="shared" si="84"/>
        <v>26.292896543887188</v>
      </c>
      <c r="R325" s="166"/>
      <c r="S325" s="166"/>
    </row>
    <row r="326" spans="3:19" hidden="1" x14ac:dyDescent="0.25">
      <c r="C326" s="17" t="s">
        <v>204</v>
      </c>
      <c r="D326" s="17" t="s">
        <v>205</v>
      </c>
      <c r="E326" s="553">
        <v>13.283893390000026</v>
      </c>
      <c r="F326" s="553">
        <v>8.2592244499999801</v>
      </c>
      <c r="G326" s="553">
        <v>13.884098000000078</v>
      </c>
      <c r="H326" s="553">
        <v>10.963228000000022</v>
      </c>
      <c r="I326" s="553">
        <v>11.677500299999998</v>
      </c>
      <c r="J326" s="553">
        <v>12.315385460000076</v>
      </c>
      <c r="K326" s="553">
        <v>12.050159770000029</v>
      </c>
      <c r="L326" s="553">
        <v>13.936143999999999</v>
      </c>
      <c r="M326" s="553">
        <v>13.032609999999989</v>
      </c>
      <c r="N326" s="553">
        <v>13.774529499999973</v>
      </c>
      <c r="O326" s="553">
        <v>13.968702000000041</v>
      </c>
      <c r="P326" s="553">
        <v>16.813908423209668</v>
      </c>
      <c r="Q326" s="561">
        <f t="shared" si="84"/>
        <v>153.9593832932099</v>
      </c>
      <c r="R326" s="166"/>
      <c r="S326" s="166"/>
    </row>
    <row r="327" spans="3:19" hidden="1" x14ac:dyDescent="0.25">
      <c r="C327" s="17" t="s">
        <v>206</v>
      </c>
      <c r="D327" s="17" t="s">
        <v>207</v>
      </c>
      <c r="E327" s="553">
        <v>0.88521799999999995</v>
      </c>
      <c r="F327" s="553">
        <v>0.84296899999999997</v>
      </c>
      <c r="G327" s="553">
        <v>0.96179700000000001</v>
      </c>
      <c r="H327" s="553">
        <v>0.65316099999999999</v>
      </c>
      <c r="I327" s="553">
        <v>0.71056400000000053</v>
      </c>
      <c r="J327" s="553">
        <v>0.75368599999999997</v>
      </c>
      <c r="K327" s="553">
        <v>0.742363</v>
      </c>
      <c r="L327" s="553">
        <v>0.64513100000000001</v>
      </c>
      <c r="M327" s="553">
        <v>0.56318800000000002</v>
      </c>
      <c r="N327" s="553">
        <v>0.60026900000000005</v>
      </c>
      <c r="O327" s="553">
        <v>0.596302</v>
      </c>
      <c r="P327" s="553">
        <v>0.86318500000000054</v>
      </c>
      <c r="Q327" s="561">
        <f t="shared" si="84"/>
        <v>8.8178330000000003</v>
      </c>
      <c r="R327" s="166"/>
      <c r="S327" s="166"/>
    </row>
    <row r="328" spans="3:19" hidden="1" x14ac:dyDescent="0.25">
      <c r="C328" s="17" t="s">
        <v>208</v>
      </c>
      <c r="D328" s="17" t="s">
        <v>187</v>
      </c>
      <c r="E328" s="553">
        <v>1.761344</v>
      </c>
      <c r="F328" s="553">
        <v>2.312039</v>
      </c>
      <c r="G328" s="553">
        <v>2.2836340000000002</v>
      </c>
      <c r="H328" s="553">
        <v>2.0574159999999999</v>
      </c>
      <c r="I328" s="553">
        <v>2.8118210000000001</v>
      </c>
      <c r="J328" s="553">
        <v>3.132584</v>
      </c>
      <c r="K328" s="553">
        <v>2.4602130000000004</v>
      </c>
      <c r="L328" s="553">
        <v>2.5777129999999997</v>
      </c>
      <c r="M328" s="553">
        <v>1.7902239999999991</v>
      </c>
      <c r="N328" s="553">
        <v>1.7816160000000001</v>
      </c>
      <c r="O328" s="553">
        <v>1.8400560000000001</v>
      </c>
      <c r="P328" s="553">
        <v>1.9580679999999997</v>
      </c>
      <c r="Q328" s="561">
        <f t="shared" si="84"/>
        <v>26.766727999999997</v>
      </c>
      <c r="R328" s="166"/>
      <c r="S328" s="166"/>
    </row>
    <row r="329" spans="3:19" hidden="1" x14ac:dyDescent="0.25">
      <c r="C329" s="17" t="s">
        <v>209</v>
      </c>
      <c r="D329" s="17" t="s">
        <v>210</v>
      </c>
      <c r="E329" s="553">
        <v>122.476922</v>
      </c>
      <c r="F329" s="553">
        <v>53.506596999999999</v>
      </c>
      <c r="G329" s="553">
        <v>55.273127000000002</v>
      </c>
      <c r="H329" s="553">
        <v>60.668765</v>
      </c>
      <c r="I329" s="553">
        <v>71.755230999999995</v>
      </c>
      <c r="J329" s="553">
        <v>91.557015000000007</v>
      </c>
      <c r="K329" s="553">
        <v>69.690771999999996</v>
      </c>
      <c r="L329" s="553">
        <v>39.101453999999997</v>
      </c>
      <c r="M329" s="553">
        <v>84.216633999999999</v>
      </c>
      <c r="N329" s="553">
        <v>108.261852</v>
      </c>
      <c r="O329" s="553">
        <v>105.14416900000001</v>
      </c>
      <c r="P329" s="553">
        <v>174.65912</v>
      </c>
      <c r="Q329" s="561">
        <f t="shared" si="84"/>
        <v>1036.3116580000001</v>
      </c>
      <c r="R329" s="166"/>
      <c r="S329" s="166"/>
    </row>
    <row r="330" spans="3:19" hidden="1" x14ac:dyDescent="0.25">
      <c r="C330" s="17" t="s">
        <v>211</v>
      </c>
      <c r="D330" s="17" t="s">
        <v>189</v>
      </c>
      <c r="E330" s="553">
        <v>0</v>
      </c>
      <c r="F330" s="553">
        <v>0</v>
      </c>
      <c r="G330" s="553">
        <v>0</v>
      </c>
      <c r="H330" s="553">
        <v>0</v>
      </c>
      <c r="I330" s="553">
        <v>0</v>
      </c>
      <c r="J330" s="553">
        <v>0</v>
      </c>
      <c r="K330" s="553">
        <v>0</v>
      </c>
      <c r="L330" s="553">
        <v>0</v>
      </c>
      <c r="M330" s="553">
        <v>0</v>
      </c>
      <c r="N330" s="553">
        <v>0</v>
      </c>
      <c r="O330" s="553">
        <v>0</v>
      </c>
      <c r="P330" s="553">
        <v>0</v>
      </c>
      <c r="Q330" s="561">
        <f t="shared" si="84"/>
        <v>0</v>
      </c>
      <c r="R330" s="166"/>
      <c r="S330" s="166"/>
    </row>
    <row r="331" spans="3:19" hidden="1" x14ac:dyDescent="0.25">
      <c r="C331" s="17"/>
      <c r="D331" s="17"/>
      <c r="E331" s="553"/>
      <c r="F331" s="553"/>
      <c r="G331" s="553"/>
      <c r="H331" s="553"/>
      <c r="I331" s="553"/>
      <c r="J331" s="553"/>
      <c r="K331" s="553"/>
      <c r="L331" s="553"/>
      <c r="M331" s="553"/>
      <c r="N331" s="553"/>
      <c r="O331" s="553"/>
      <c r="P331" s="553"/>
      <c r="Q331" s="561"/>
      <c r="R331" s="166"/>
      <c r="S331" s="166"/>
    </row>
    <row r="332" spans="3:19" hidden="1" x14ac:dyDescent="0.25">
      <c r="C332" s="17"/>
      <c r="D332" s="17"/>
      <c r="E332" s="553"/>
      <c r="F332" s="553"/>
      <c r="G332" s="553"/>
      <c r="H332" s="553"/>
      <c r="I332" s="553"/>
      <c r="J332" s="553"/>
      <c r="K332" s="553"/>
      <c r="L332" s="553"/>
      <c r="M332" s="553"/>
      <c r="N332" s="553"/>
      <c r="O332" s="553"/>
      <c r="P332" s="553"/>
      <c r="Q332" s="561"/>
      <c r="R332" s="166"/>
      <c r="S332" s="166"/>
    </row>
    <row r="333" spans="3:19" hidden="1" x14ac:dyDescent="0.25">
      <c r="C333" s="17"/>
      <c r="D333" s="17"/>
      <c r="E333" s="553"/>
      <c r="F333" s="553"/>
      <c r="G333" s="553"/>
      <c r="H333" s="553"/>
      <c r="I333" s="553"/>
      <c r="J333" s="553"/>
      <c r="K333" s="553"/>
      <c r="L333" s="553"/>
      <c r="M333" s="553"/>
      <c r="N333" s="553"/>
      <c r="O333" s="553"/>
      <c r="P333" s="553"/>
      <c r="Q333" s="561"/>
      <c r="R333" s="166"/>
      <c r="S333" s="166"/>
    </row>
    <row r="334" spans="3:19" hidden="1" x14ac:dyDescent="0.25">
      <c r="C334" s="17"/>
      <c r="D334" s="17"/>
      <c r="E334" s="553"/>
      <c r="F334" s="553"/>
      <c r="G334" s="553"/>
      <c r="H334" s="553"/>
      <c r="I334" s="553"/>
      <c r="J334" s="553"/>
      <c r="K334" s="553"/>
      <c r="L334" s="553"/>
      <c r="M334" s="553"/>
      <c r="N334" s="553"/>
      <c r="O334" s="553"/>
      <c r="P334" s="553"/>
      <c r="Q334" s="561"/>
      <c r="R334" s="166"/>
      <c r="S334" s="166"/>
    </row>
    <row r="335" spans="3:19" hidden="1" x14ac:dyDescent="0.25">
      <c r="C335" s="751" t="s">
        <v>212</v>
      </c>
      <c r="D335" s="752"/>
      <c r="E335" s="561">
        <f t="shared" ref="E335:P335" si="85">SUM(E320:E334)</f>
        <v>237.16987799000003</v>
      </c>
      <c r="F335" s="561">
        <f t="shared" si="85"/>
        <v>155.44521056000002</v>
      </c>
      <c r="G335" s="561">
        <f t="shared" si="85"/>
        <v>178.7165013500001</v>
      </c>
      <c r="H335" s="561">
        <f t="shared" si="85"/>
        <v>154.72465940000001</v>
      </c>
      <c r="I335" s="561">
        <f t="shared" si="85"/>
        <v>178.47259766000002</v>
      </c>
      <c r="J335" s="561">
        <f t="shared" si="85"/>
        <v>207.06300263000003</v>
      </c>
      <c r="K335" s="561">
        <f t="shared" si="85"/>
        <v>182.01361280000003</v>
      </c>
      <c r="L335" s="561">
        <f t="shared" si="85"/>
        <v>162.94037406999996</v>
      </c>
      <c r="M335" s="561">
        <f t="shared" si="85"/>
        <v>204.22081157000002</v>
      </c>
      <c r="N335" s="561">
        <f t="shared" si="85"/>
        <v>230.80941757000005</v>
      </c>
      <c r="O335" s="561">
        <f t="shared" si="85"/>
        <v>233.85216882000003</v>
      </c>
      <c r="P335" s="561">
        <f t="shared" si="85"/>
        <v>329.77432229000004</v>
      </c>
      <c r="Q335" s="561">
        <f>SUM(E335:P335)</f>
        <v>2455.2025567100004</v>
      </c>
      <c r="R335" s="166"/>
      <c r="S335" s="166"/>
    </row>
    <row r="336" spans="3:19" hidden="1" x14ac:dyDescent="0.25">
      <c r="C336" s="753" t="s">
        <v>213</v>
      </c>
      <c r="D336" s="754"/>
      <c r="E336" s="553"/>
      <c r="F336" s="553"/>
      <c r="G336" s="553"/>
      <c r="H336" s="553"/>
      <c r="I336" s="553"/>
      <c r="J336" s="553"/>
      <c r="K336" s="553"/>
      <c r="L336" s="553"/>
      <c r="M336" s="553"/>
      <c r="N336" s="553"/>
      <c r="O336" s="553"/>
      <c r="P336" s="553"/>
      <c r="Q336" s="561"/>
      <c r="R336" s="166"/>
      <c r="S336" s="166"/>
    </row>
    <row r="337" spans="3:19" hidden="1" x14ac:dyDescent="0.25">
      <c r="C337" s="17" t="s">
        <v>192</v>
      </c>
      <c r="D337" s="17" t="s">
        <v>193</v>
      </c>
      <c r="E337" s="553">
        <v>14.316629000000002</v>
      </c>
      <c r="F337" s="553">
        <v>9.6975449999999999</v>
      </c>
      <c r="G337" s="553">
        <v>9.1965570000000003</v>
      </c>
      <c r="H337" s="553">
        <v>8.6207069999999995</v>
      </c>
      <c r="I337" s="553">
        <v>10.412011</v>
      </c>
      <c r="J337" s="553">
        <v>11.599526000000001</v>
      </c>
      <c r="K337" s="553">
        <v>11.246956999999998</v>
      </c>
      <c r="L337" s="553">
        <v>12.163435</v>
      </c>
      <c r="M337" s="553">
        <v>14.641942999999999</v>
      </c>
      <c r="N337" s="553">
        <v>13.027376</v>
      </c>
      <c r="O337" s="553">
        <v>15.299692</v>
      </c>
      <c r="P337" s="553">
        <v>19.650424000000001</v>
      </c>
      <c r="Q337" s="561">
        <f t="shared" ref="Q337:Q347" si="86">SUM(E337:P337)</f>
        <v>149.87280199999998</v>
      </c>
      <c r="R337" s="166"/>
      <c r="S337" s="166"/>
    </row>
    <row r="338" spans="3:19" hidden="1" x14ac:dyDescent="0.25">
      <c r="C338" s="17" t="s">
        <v>194</v>
      </c>
      <c r="D338" s="17" t="s">
        <v>195</v>
      </c>
      <c r="E338" s="553">
        <v>6.5736350000000003</v>
      </c>
      <c r="F338" s="553">
        <v>5.6210060000000004</v>
      </c>
      <c r="G338" s="553">
        <v>4.0812429999999997</v>
      </c>
      <c r="H338" s="553">
        <v>3.7191540000000001</v>
      </c>
      <c r="I338" s="553">
        <v>0.85794000000000004</v>
      </c>
      <c r="J338" s="553">
        <v>3.0349999999999999E-3</v>
      </c>
      <c r="K338" s="553">
        <v>2.7539999999999999E-3</v>
      </c>
      <c r="L338" s="553">
        <v>2.6649999999999998E-3</v>
      </c>
      <c r="M338" s="553">
        <v>2.8E-3</v>
      </c>
      <c r="N338" s="553">
        <v>2.8999999999999998E-3</v>
      </c>
      <c r="O338" s="553">
        <v>3.0000000000000001E-3</v>
      </c>
      <c r="P338" s="553">
        <v>3.8909999999999999E-3</v>
      </c>
      <c r="Q338" s="561">
        <f t="shared" si="86"/>
        <v>20.874023000000001</v>
      </c>
      <c r="R338" s="166"/>
      <c r="S338" s="166"/>
    </row>
    <row r="339" spans="3:19" hidden="1" x14ac:dyDescent="0.25">
      <c r="C339" s="17" t="s">
        <v>233</v>
      </c>
      <c r="D339" s="17" t="s">
        <v>197</v>
      </c>
      <c r="E339" s="553">
        <v>1.0914178000000001</v>
      </c>
      <c r="F339" s="553">
        <v>2.1794000000000001E-2</v>
      </c>
      <c r="G339" s="553">
        <v>2.3578999999999996E-2</v>
      </c>
      <c r="H339" s="553">
        <v>4.4541999999999998E-2</v>
      </c>
      <c r="I339" s="553">
        <v>8.7797E-2</v>
      </c>
      <c r="J339" s="553">
        <v>9.6714999999999995E-2</v>
      </c>
      <c r="K339" s="553">
        <v>8.7956000000000006E-2</v>
      </c>
      <c r="L339" s="553">
        <v>7.0082000000000005E-2</v>
      </c>
      <c r="M339" s="553">
        <v>1.2226669999999999</v>
      </c>
      <c r="N339" s="553">
        <v>0.96880200000000016</v>
      </c>
      <c r="O339" s="553">
        <v>1.0750790000000001</v>
      </c>
      <c r="P339" s="553">
        <v>1.5027980000000001</v>
      </c>
      <c r="Q339" s="561">
        <f t="shared" si="86"/>
        <v>6.2932288000000005</v>
      </c>
      <c r="R339" s="166"/>
      <c r="S339" s="166"/>
    </row>
    <row r="340" spans="3:19" hidden="1" x14ac:dyDescent="0.25">
      <c r="C340" s="17" t="s">
        <v>198</v>
      </c>
      <c r="D340" s="17" t="s">
        <v>199</v>
      </c>
      <c r="E340" s="553"/>
      <c r="F340" s="553"/>
      <c r="G340" s="553"/>
      <c r="H340" s="553"/>
      <c r="I340" s="553"/>
      <c r="J340" s="553"/>
      <c r="K340" s="553"/>
      <c r="L340" s="553"/>
      <c r="M340" s="553"/>
      <c r="N340" s="553"/>
      <c r="O340" s="553"/>
      <c r="P340" s="553"/>
      <c r="Q340" s="561">
        <f t="shared" si="86"/>
        <v>0</v>
      </c>
      <c r="R340" s="166"/>
      <c r="S340" s="166"/>
    </row>
    <row r="341" spans="3:19" hidden="1" x14ac:dyDescent="0.25">
      <c r="C341" s="17" t="s">
        <v>200</v>
      </c>
      <c r="D341" s="17" t="s">
        <v>201</v>
      </c>
      <c r="E341" s="553">
        <v>0</v>
      </c>
      <c r="F341" s="553">
        <v>0</v>
      </c>
      <c r="G341" s="553">
        <v>0</v>
      </c>
      <c r="H341" s="553">
        <v>0</v>
      </c>
      <c r="I341" s="553">
        <v>0</v>
      </c>
      <c r="J341" s="553">
        <v>0</v>
      </c>
      <c r="K341" s="553">
        <v>0</v>
      </c>
      <c r="L341" s="553">
        <v>0</v>
      </c>
      <c r="M341" s="553">
        <v>0</v>
      </c>
      <c r="N341" s="553">
        <v>0</v>
      </c>
      <c r="O341" s="553">
        <v>0</v>
      </c>
      <c r="P341" s="553">
        <v>0</v>
      </c>
      <c r="Q341" s="561">
        <f t="shared" si="86"/>
        <v>0</v>
      </c>
      <c r="R341" s="166"/>
      <c r="S341" s="166"/>
    </row>
    <row r="342" spans="3:19" hidden="1" x14ac:dyDescent="0.25">
      <c r="C342" s="17" t="s">
        <v>202</v>
      </c>
      <c r="D342" s="17" t="s">
        <v>203</v>
      </c>
      <c r="E342" s="553">
        <v>2.6386449999999999</v>
      </c>
      <c r="F342" s="553">
        <v>0.75601499999999999</v>
      </c>
      <c r="G342" s="553">
        <v>0.20072499999999999</v>
      </c>
      <c r="H342" s="553">
        <v>0.141182</v>
      </c>
      <c r="I342" s="553">
        <v>2.2359490000000002</v>
      </c>
      <c r="J342" s="553">
        <v>1.5393490000000001</v>
      </c>
      <c r="K342" s="553">
        <v>1.067885</v>
      </c>
      <c r="L342" s="553">
        <v>0.32733000000000001</v>
      </c>
      <c r="M342" s="553">
        <v>0.52414499999999997</v>
      </c>
      <c r="N342" s="553">
        <v>2.1111499999999999</v>
      </c>
      <c r="O342" s="553">
        <v>1.9835750000000001</v>
      </c>
      <c r="P342" s="553">
        <v>4.1314799999999998</v>
      </c>
      <c r="Q342" s="561">
        <f t="shared" si="86"/>
        <v>17.657430000000002</v>
      </c>
      <c r="R342" s="166"/>
      <c r="S342" s="166"/>
    </row>
    <row r="343" spans="3:19" hidden="1" x14ac:dyDescent="0.25">
      <c r="C343" s="17" t="s">
        <v>204</v>
      </c>
      <c r="D343" s="17" t="s">
        <v>205</v>
      </c>
      <c r="E343" s="553">
        <v>30.429439609999974</v>
      </c>
      <c r="F343" s="553">
        <v>34.000480550000013</v>
      </c>
      <c r="G343" s="553">
        <v>29.675747999999906</v>
      </c>
      <c r="H343" s="553">
        <v>25.664591999999971</v>
      </c>
      <c r="I343" s="553">
        <v>27.869703700000002</v>
      </c>
      <c r="J343" s="553">
        <v>27.626550539999922</v>
      </c>
      <c r="K343" s="553">
        <v>27.673644229999972</v>
      </c>
      <c r="L343" s="553">
        <v>30.004687000000001</v>
      </c>
      <c r="M343" s="553">
        <v>28.124777000000012</v>
      </c>
      <c r="N343" s="553">
        <v>29.326507500000027</v>
      </c>
      <c r="O343" s="553">
        <v>28.960403999999958</v>
      </c>
      <c r="P343" s="553">
        <v>34.556197883871</v>
      </c>
      <c r="Q343" s="561">
        <f t="shared" si="86"/>
        <v>353.91273201387082</v>
      </c>
      <c r="R343" s="166"/>
      <c r="S343" s="166"/>
    </row>
    <row r="344" spans="3:19" hidden="1" x14ac:dyDescent="0.25">
      <c r="C344" s="17" t="s">
        <v>206</v>
      </c>
      <c r="D344" s="17" t="s">
        <v>207</v>
      </c>
      <c r="E344" s="553">
        <v>2.3074500000000002</v>
      </c>
      <c r="F344" s="553">
        <v>2.5877129999999999</v>
      </c>
      <c r="G344" s="553">
        <v>2.7680840000000004</v>
      </c>
      <c r="H344" s="553">
        <v>2.2111200000000002</v>
      </c>
      <c r="I344" s="553">
        <v>2.0965889999999998</v>
      </c>
      <c r="J344" s="553">
        <v>2.1213509999999998</v>
      </c>
      <c r="K344" s="553">
        <v>2.1289879999999997</v>
      </c>
      <c r="L344" s="553">
        <v>1.030762</v>
      </c>
      <c r="M344" s="553">
        <v>1.7055799999999999</v>
      </c>
      <c r="N344" s="553">
        <v>1.7011539999999998</v>
      </c>
      <c r="O344" s="553">
        <v>2.412493</v>
      </c>
      <c r="P344" s="553">
        <v>2.56284</v>
      </c>
      <c r="Q344" s="561">
        <f t="shared" si="86"/>
        <v>25.634124</v>
      </c>
      <c r="R344" s="166"/>
      <c r="S344" s="166"/>
    </row>
    <row r="345" spans="3:19" hidden="1" x14ac:dyDescent="0.25">
      <c r="C345" s="17" t="s">
        <v>214</v>
      </c>
      <c r="D345" s="17" t="s">
        <v>187</v>
      </c>
      <c r="E345" s="553">
        <v>0.95831299999999997</v>
      </c>
      <c r="F345" s="553">
        <v>9.6839999999999996E-2</v>
      </c>
      <c r="G345" s="553">
        <v>8.5879999999999998E-2</v>
      </c>
      <c r="H345" s="553">
        <v>4.8759999999999998E-2</v>
      </c>
      <c r="I345" s="553">
        <v>5.7389999999999997E-2</v>
      </c>
      <c r="J345" s="553">
        <v>6.0109999999999997E-2</v>
      </c>
      <c r="K345" s="553">
        <v>4.2029999999999998E-2</v>
      </c>
      <c r="L345" s="553">
        <v>6.0449999999999997E-2</v>
      </c>
      <c r="M345" s="553">
        <v>0.52714499999999997</v>
      </c>
      <c r="N345" s="553">
        <v>0.54735199999999995</v>
      </c>
      <c r="O345" s="553">
        <v>0.52817099999999995</v>
      </c>
      <c r="P345" s="553">
        <v>0.63680800000000004</v>
      </c>
      <c r="Q345" s="561">
        <f t="shared" si="86"/>
        <v>3.6492490000000002</v>
      </c>
      <c r="R345" s="166"/>
      <c r="S345" s="166"/>
    </row>
    <row r="346" spans="3:19" hidden="1" x14ac:dyDescent="0.25">
      <c r="C346" s="17" t="s">
        <v>209</v>
      </c>
      <c r="D346" s="17" t="s">
        <v>210</v>
      </c>
      <c r="E346" s="553"/>
      <c r="F346" s="553"/>
      <c r="G346" s="553"/>
      <c r="H346" s="553"/>
      <c r="I346" s="553"/>
      <c r="J346" s="553"/>
      <c r="K346" s="553"/>
      <c r="L346" s="553"/>
      <c r="M346" s="553"/>
      <c r="N346" s="553"/>
      <c r="O346" s="553"/>
      <c r="P346" s="553"/>
      <c r="Q346" s="561">
        <f t="shared" si="86"/>
        <v>0</v>
      </c>
      <c r="R346" s="166"/>
      <c r="S346" s="166"/>
    </row>
    <row r="347" spans="3:19" hidden="1" x14ac:dyDescent="0.25">
      <c r="C347" s="17" t="s">
        <v>211</v>
      </c>
      <c r="D347" s="17" t="s">
        <v>189</v>
      </c>
      <c r="E347" s="553"/>
      <c r="F347" s="553"/>
      <c r="G347" s="553"/>
      <c r="H347" s="553"/>
      <c r="I347" s="553"/>
      <c r="J347" s="553"/>
      <c r="K347" s="553"/>
      <c r="L347" s="553"/>
      <c r="M347" s="553"/>
      <c r="N347" s="553"/>
      <c r="O347" s="553"/>
      <c r="P347" s="553"/>
      <c r="Q347" s="561">
        <f t="shared" si="86"/>
        <v>0</v>
      </c>
      <c r="R347" s="166"/>
      <c r="S347" s="166"/>
    </row>
    <row r="348" spans="3:19" hidden="1" x14ac:dyDescent="0.25">
      <c r="C348" s="17"/>
      <c r="D348" s="17"/>
      <c r="E348" s="553"/>
      <c r="F348" s="553"/>
      <c r="G348" s="553"/>
      <c r="H348" s="553"/>
      <c r="I348" s="553"/>
      <c r="J348" s="553"/>
      <c r="K348" s="553"/>
      <c r="L348" s="553"/>
      <c r="M348" s="553"/>
      <c r="N348" s="553"/>
      <c r="O348" s="553"/>
      <c r="P348" s="553"/>
      <c r="Q348" s="561"/>
      <c r="R348" s="166"/>
      <c r="S348" s="166"/>
    </row>
    <row r="349" spans="3:19" hidden="1" x14ac:dyDescent="0.25">
      <c r="C349" s="17"/>
      <c r="D349" s="17"/>
      <c r="E349" s="553"/>
      <c r="F349" s="553"/>
      <c r="G349" s="553"/>
      <c r="H349" s="553"/>
      <c r="I349" s="553"/>
      <c r="J349" s="553"/>
      <c r="K349" s="553"/>
      <c r="L349" s="553"/>
      <c r="M349" s="553"/>
      <c r="N349" s="553"/>
      <c r="O349" s="553"/>
      <c r="P349" s="553"/>
      <c r="Q349" s="561"/>
      <c r="R349" s="166"/>
      <c r="S349" s="166"/>
    </row>
    <row r="350" spans="3:19" hidden="1" x14ac:dyDescent="0.25">
      <c r="C350" s="17"/>
      <c r="D350" s="17"/>
      <c r="E350" s="553"/>
      <c r="F350" s="553"/>
      <c r="G350" s="553"/>
      <c r="H350" s="553"/>
      <c r="I350" s="553"/>
      <c r="J350" s="553"/>
      <c r="K350" s="553"/>
      <c r="L350" s="553"/>
      <c r="M350" s="553"/>
      <c r="N350" s="553"/>
      <c r="O350" s="553"/>
      <c r="P350" s="553"/>
      <c r="Q350" s="561"/>
      <c r="R350" s="166"/>
      <c r="S350" s="166"/>
    </row>
    <row r="351" spans="3:19" hidden="1" x14ac:dyDescent="0.25">
      <c r="C351" s="17"/>
      <c r="D351" s="17"/>
      <c r="E351" s="553"/>
      <c r="F351" s="553"/>
      <c r="G351" s="553"/>
      <c r="H351" s="553"/>
      <c r="I351" s="553"/>
      <c r="J351" s="553"/>
      <c r="K351" s="553"/>
      <c r="L351" s="553"/>
      <c r="M351" s="553"/>
      <c r="N351" s="553"/>
      <c r="O351" s="553"/>
      <c r="P351" s="553"/>
      <c r="Q351" s="561"/>
      <c r="R351" s="166"/>
      <c r="S351" s="166"/>
    </row>
    <row r="352" spans="3:19" hidden="1" x14ac:dyDescent="0.25">
      <c r="C352" s="751" t="s">
        <v>212</v>
      </c>
      <c r="D352" s="752"/>
      <c r="E352" s="561">
        <f t="shared" ref="E352:P352" si="87">SUM(E337:E351)</f>
        <v>58.315529409999975</v>
      </c>
      <c r="F352" s="561">
        <f t="shared" si="87"/>
        <v>52.781393550000011</v>
      </c>
      <c r="G352" s="561">
        <f t="shared" si="87"/>
        <v>46.031815999999907</v>
      </c>
      <c r="H352" s="561">
        <f t="shared" si="87"/>
        <v>40.450056999999973</v>
      </c>
      <c r="I352" s="561">
        <f t="shared" si="87"/>
        <v>43.617379700000001</v>
      </c>
      <c r="J352" s="561">
        <f t="shared" si="87"/>
        <v>43.046636539999923</v>
      </c>
      <c r="K352" s="561">
        <f t="shared" si="87"/>
        <v>42.250214229999969</v>
      </c>
      <c r="L352" s="561">
        <f t="shared" si="87"/>
        <v>43.659411000000006</v>
      </c>
      <c r="M352" s="561">
        <f t="shared" si="87"/>
        <v>46.749057000000008</v>
      </c>
      <c r="N352" s="561">
        <f t="shared" si="87"/>
        <v>47.685241500000025</v>
      </c>
      <c r="O352" s="561">
        <f t="shared" si="87"/>
        <v>50.26241399999995</v>
      </c>
      <c r="P352" s="561">
        <f t="shared" si="87"/>
        <v>63.044438883871003</v>
      </c>
      <c r="Q352" s="561">
        <f>SUM(E352:P352)</f>
        <v>577.89358881387068</v>
      </c>
      <c r="R352" s="166"/>
      <c r="S352" s="166"/>
    </row>
    <row r="353" spans="3:19" hidden="1" x14ac:dyDescent="0.25">
      <c r="C353" s="753" t="s">
        <v>215</v>
      </c>
      <c r="D353" s="754"/>
      <c r="E353" s="553"/>
      <c r="F353" s="553"/>
      <c r="G353" s="553"/>
      <c r="H353" s="553"/>
      <c r="I353" s="553"/>
      <c r="J353" s="553"/>
      <c r="K353" s="553"/>
      <c r="L353" s="553"/>
      <c r="M353" s="553"/>
      <c r="N353" s="553"/>
      <c r="O353" s="553"/>
      <c r="P353" s="553"/>
      <c r="Q353" s="561"/>
      <c r="R353" s="166"/>
      <c r="S353" s="166"/>
    </row>
    <row r="354" spans="3:19" hidden="1" x14ac:dyDescent="0.25">
      <c r="C354" s="17" t="s">
        <v>192</v>
      </c>
      <c r="D354" s="17" t="s">
        <v>193</v>
      </c>
      <c r="E354" s="553">
        <v>56.178757380000008</v>
      </c>
      <c r="F354" s="553">
        <v>63.717885720000012</v>
      </c>
      <c r="G354" s="553">
        <v>60.418775720000014</v>
      </c>
      <c r="H354" s="553">
        <v>59.607905389999999</v>
      </c>
      <c r="I354" s="553">
        <v>59.204581390000001</v>
      </c>
      <c r="J354" s="553">
        <v>63.079951629999996</v>
      </c>
      <c r="K354" s="553">
        <v>65.43516305</v>
      </c>
      <c r="L354" s="553">
        <v>60.858149689999991</v>
      </c>
      <c r="M354" s="553">
        <v>64.721838430000005</v>
      </c>
      <c r="N354" s="553">
        <v>55.874640450000001</v>
      </c>
      <c r="O354" s="553">
        <v>57.208315060000011</v>
      </c>
      <c r="P354" s="553">
        <v>59.550955050000006</v>
      </c>
      <c r="Q354" s="561">
        <f t="shared" ref="Q354:Q366" si="88">SUM(E354:P354)</f>
        <v>725.85691896000003</v>
      </c>
      <c r="R354" s="166"/>
      <c r="S354" s="166"/>
    </row>
    <row r="355" spans="3:19" hidden="1" x14ac:dyDescent="0.25">
      <c r="C355" s="17" t="s">
        <v>194</v>
      </c>
      <c r="D355" s="17" t="s">
        <v>195</v>
      </c>
      <c r="E355" s="553">
        <v>0</v>
      </c>
      <c r="F355" s="553">
        <v>0</v>
      </c>
      <c r="G355" s="553">
        <v>0</v>
      </c>
      <c r="H355" s="553">
        <v>0</v>
      </c>
      <c r="I355" s="553">
        <v>0</v>
      </c>
      <c r="J355" s="553">
        <v>0</v>
      </c>
      <c r="K355" s="553">
        <v>0</v>
      </c>
      <c r="L355" s="553">
        <v>0</v>
      </c>
      <c r="M355" s="553">
        <v>0</v>
      </c>
      <c r="N355" s="553">
        <v>0</v>
      </c>
      <c r="O355" s="553">
        <v>0</v>
      </c>
      <c r="P355" s="553">
        <v>0</v>
      </c>
      <c r="Q355" s="561">
        <f t="shared" si="88"/>
        <v>0</v>
      </c>
      <c r="R355" s="166"/>
      <c r="S355" s="166"/>
    </row>
    <row r="356" spans="3:19" hidden="1" x14ac:dyDescent="0.25">
      <c r="C356" s="17" t="s">
        <v>233</v>
      </c>
      <c r="D356" s="17" t="s">
        <v>197</v>
      </c>
      <c r="E356" s="553">
        <v>0.21229999999999999</v>
      </c>
      <c r="F356" s="553">
        <v>0.65210000000000001</v>
      </c>
      <c r="G356" s="553">
        <v>0.33579999999999999</v>
      </c>
      <c r="H356" s="553">
        <v>0.61839999999999995</v>
      </c>
      <c r="I356" s="553">
        <v>0.42820000000000003</v>
      </c>
      <c r="J356" s="553">
        <v>0.53920000000000001</v>
      </c>
      <c r="K356" s="553">
        <v>0.47249999999999998</v>
      </c>
      <c r="L356" s="553">
        <v>0.58820000000000006</v>
      </c>
      <c r="M356" s="553">
        <v>0.55640000000000001</v>
      </c>
      <c r="N356" s="553">
        <v>0.53500000000000003</v>
      </c>
      <c r="O356" s="553">
        <v>0.58709999999999996</v>
      </c>
      <c r="P356" s="553">
        <v>1.406533</v>
      </c>
      <c r="Q356" s="561">
        <f t="shared" si="88"/>
        <v>6.9317329999999995</v>
      </c>
      <c r="R356" s="166"/>
      <c r="S356" s="166"/>
    </row>
    <row r="357" spans="3:19" hidden="1" x14ac:dyDescent="0.25">
      <c r="C357" s="17" t="s">
        <v>198</v>
      </c>
      <c r="D357" s="17" t="s">
        <v>199</v>
      </c>
      <c r="E357" s="553"/>
      <c r="F357" s="553"/>
      <c r="G357" s="553"/>
      <c r="H357" s="553"/>
      <c r="I357" s="553"/>
      <c r="J357" s="553"/>
      <c r="K357" s="553"/>
      <c r="L357" s="553"/>
      <c r="M357" s="553"/>
      <c r="N357" s="553"/>
      <c r="O357" s="553"/>
      <c r="P357" s="553"/>
      <c r="Q357" s="561">
        <f t="shared" si="88"/>
        <v>0</v>
      </c>
      <c r="R357" s="166"/>
      <c r="S357" s="166"/>
    </row>
    <row r="358" spans="3:19" hidden="1" x14ac:dyDescent="0.25">
      <c r="C358" s="17" t="s">
        <v>200</v>
      </c>
      <c r="D358" s="17" t="s">
        <v>201</v>
      </c>
      <c r="E358" s="553">
        <v>0</v>
      </c>
      <c r="F358" s="553">
        <v>0</v>
      </c>
      <c r="G358" s="553">
        <v>0</v>
      </c>
      <c r="H358" s="553">
        <v>0</v>
      </c>
      <c r="I358" s="553">
        <v>0</v>
      </c>
      <c r="J358" s="553">
        <v>0</v>
      </c>
      <c r="K358" s="553">
        <v>0</v>
      </c>
      <c r="L358" s="553">
        <v>0</v>
      </c>
      <c r="M358" s="553">
        <v>0</v>
      </c>
      <c r="N358" s="553">
        <v>0</v>
      </c>
      <c r="O358" s="553">
        <v>0</v>
      </c>
      <c r="P358" s="553">
        <v>0</v>
      </c>
      <c r="Q358" s="561">
        <f t="shared" si="88"/>
        <v>0</v>
      </c>
      <c r="R358" s="166"/>
      <c r="S358" s="166"/>
    </row>
    <row r="359" spans="3:19" hidden="1" x14ac:dyDescent="0.25">
      <c r="C359" s="17" t="s">
        <v>202</v>
      </c>
      <c r="D359" s="17" t="s">
        <v>234</v>
      </c>
      <c r="E359" s="553">
        <v>169.728328</v>
      </c>
      <c r="F359" s="553">
        <v>129.80947649999999</v>
      </c>
      <c r="G359" s="553">
        <v>3.8146089999999999</v>
      </c>
      <c r="H359" s="553">
        <v>16.506423000000002</v>
      </c>
      <c r="I359" s="553">
        <v>74.924600999999996</v>
      </c>
      <c r="J359" s="553">
        <v>15.246607350000001</v>
      </c>
      <c r="K359" s="553">
        <v>36.055034999999997</v>
      </c>
      <c r="L359" s="553">
        <v>8.5424600000000002</v>
      </c>
      <c r="M359" s="553">
        <v>4.848433</v>
      </c>
      <c r="N359" s="553">
        <v>95.552763999999996</v>
      </c>
      <c r="O359" s="553">
        <v>273.25341300000002</v>
      </c>
      <c r="P359" s="553">
        <v>661.37833499999999</v>
      </c>
      <c r="Q359" s="561">
        <f t="shared" si="88"/>
        <v>1489.6604848500001</v>
      </c>
      <c r="R359" s="166"/>
      <c r="S359" s="166"/>
    </row>
    <row r="360" spans="3:19" hidden="1" x14ac:dyDescent="0.25">
      <c r="C360" s="17" t="s">
        <v>204</v>
      </c>
      <c r="D360" s="17" t="s">
        <v>216</v>
      </c>
      <c r="E360" s="553">
        <v>2.1058919999999999</v>
      </c>
      <c r="F360" s="553">
        <v>2.1477480000000173</v>
      </c>
      <c r="G360" s="553">
        <v>2.2087439999999998</v>
      </c>
      <c r="H360" s="553">
        <v>2.1501000000000001</v>
      </c>
      <c r="I360" s="553">
        <v>2.355264</v>
      </c>
      <c r="J360" s="553">
        <v>2.4240240000000002</v>
      </c>
      <c r="K360" s="553">
        <v>2.1406679999999998</v>
      </c>
      <c r="L360" s="553">
        <v>2.084724</v>
      </c>
      <c r="M360" s="553">
        <v>2.4571800000000001</v>
      </c>
      <c r="N360" s="553">
        <v>1.9652400000000001</v>
      </c>
      <c r="O360" s="553">
        <v>2.0790359999999999</v>
      </c>
      <c r="P360" s="553">
        <v>3.0744606929193483</v>
      </c>
      <c r="Q360" s="561">
        <f t="shared" si="88"/>
        <v>27.193080692919366</v>
      </c>
      <c r="R360" s="166"/>
      <c r="S360" s="166"/>
    </row>
    <row r="361" spans="3:19" hidden="1" x14ac:dyDescent="0.25">
      <c r="C361" s="17" t="s">
        <v>217</v>
      </c>
      <c r="D361" s="17" t="s">
        <v>218</v>
      </c>
      <c r="E361" s="553">
        <v>45.418767600000002</v>
      </c>
      <c r="F361" s="553">
        <v>45.396074599999999</v>
      </c>
      <c r="G361" s="553">
        <v>47.124330700000002</v>
      </c>
      <c r="H361" s="553">
        <v>40.830919700000003</v>
      </c>
      <c r="I361" s="553">
        <v>43.693420799999998</v>
      </c>
      <c r="J361" s="553">
        <v>45.592782499999998</v>
      </c>
      <c r="K361" s="553">
        <v>45.0480655</v>
      </c>
      <c r="L361" s="553">
        <v>46.9569343</v>
      </c>
      <c r="M361" s="553">
        <v>47.965062500000002</v>
      </c>
      <c r="N361" s="553">
        <v>48.855157900000002</v>
      </c>
      <c r="O361" s="553">
        <v>50.706708999999996</v>
      </c>
      <c r="P361" s="553">
        <v>63.071943900000001</v>
      </c>
      <c r="Q361" s="561">
        <f t="shared" si="88"/>
        <v>570.660169</v>
      </c>
      <c r="R361" s="166"/>
      <c r="S361" s="166"/>
    </row>
    <row r="362" spans="3:19" hidden="1" x14ac:dyDescent="0.25">
      <c r="C362" s="17" t="s">
        <v>252</v>
      </c>
      <c r="D362" s="17" t="s">
        <v>236</v>
      </c>
      <c r="E362" s="553">
        <v>0</v>
      </c>
      <c r="F362" s="553">
        <v>0</v>
      </c>
      <c r="G362" s="553">
        <v>0</v>
      </c>
      <c r="H362" s="553">
        <v>0</v>
      </c>
      <c r="I362" s="553">
        <v>0</v>
      </c>
      <c r="J362" s="553">
        <v>0</v>
      </c>
      <c r="K362" s="553">
        <v>0</v>
      </c>
      <c r="L362" s="553">
        <v>0</v>
      </c>
      <c r="M362" s="553">
        <v>0</v>
      </c>
      <c r="N362" s="553">
        <v>0</v>
      </c>
      <c r="O362" s="553">
        <v>0</v>
      </c>
      <c r="P362" s="553">
        <v>0</v>
      </c>
      <c r="Q362" s="561">
        <f t="shared" si="88"/>
        <v>0</v>
      </c>
      <c r="R362" s="166"/>
      <c r="S362" s="166"/>
    </row>
    <row r="363" spans="3:19" hidden="1" x14ac:dyDescent="0.25">
      <c r="C363" s="17" t="s">
        <v>206</v>
      </c>
      <c r="D363" s="17" t="s">
        <v>207</v>
      </c>
      <c r="E363" s="553">
        <v>10.126234999999999</v>
      </c>
      <c r="F363" s="553">
        <v>11.268202</v>
      </c>
      <c r="G363" s="553">
        <v>10.74935</v>
      </c>
      <c r="H363" s="553">
        <v>8.5791579999999996</v>
      </c>
      <c r="I363" s="553">
        <v>9.3699999999999992</v>
      </c>
      <c r="J363" s="553">
        <v>8.6935680000000009</v>
      </c>
      <c r="K363" s="553">
        <v>8.3216900000000003</v>
      </c>
      <c r="L363" s="553">
        <v>6.0786220000000002</v>
      </c>
      <c r="M363" s="553">
        <v>5.7707090000000001</v>
      </c>
      <c r="N363" s="553">
        <v>4.1226800000000008</v>
      </c>
      <c r="O363" s="553">
        <v>3.5558490000000003</v>
      </c>
      <c r="P363" s="553">
        <v>4.8382269999999998</v>
      </c>
      <c r="Q363" s="561">
        <f t="shared" si="88"/>
        <v>91.474289999999996</v>
      </c>
      <c r="R363" s="166"/>
      <c r="S363" s="166"/>
    </row>
    <row r="364" spans="3:19" hidden="1" x14ac:dyDescent="0.25">
      <c r="C364" s="17" t="s">
        <v>208</v>
      </c>
      <c r="D364" s="17" t="s">
        <v>187</v>
      </c>
      <c r="E364" s="553">
        <v>0</v>
      </c>
      <c r="F364" s="553">
        <v>3.3000000000000002E-2</v>
      </c>
      <c r="G364" s="553">
        <v>0.10970000000000001</v>
      </c>
      <c r="H364" s="553">
        <v>9.06E-2</v>
      </c>
      <c r="I364" s="553">
        <v>9.7299999999999998E-2</v>
      </c>
      <c r="J364" s="553">
        <v>0.1132</v>
      </c>
      <c r="K364" s="553">
        <v>0.108</v>
      </c>
      <c r="L364" s="553">
        <v>0.1019</v>
      </c>
      <c r="M364" s="553">
        <v>0</v>
      </c>
      <c r="N364" s="553">
        <v>5.0799999999999998E-2</v>
      </c>
      <c r="O364" s="553">
        <v>0.12790000000000001</v>
      </c>
      <c r="P364" s="553">
        <v>0.12955</v>
      </c>
      <c r="Q364" s="561">
        <f t="shared" si="88"/>
        <v>0.96194999999999986</v>
      </c>
      <c r="R364" s="166"/>
      <c r="S364" s="166"/>
    </row>
    <row r="365" spans="3:19" hidden="1" x14ac:dyDescent="0.25">
      <c r="C365" s="17" t="s">
        <v>209</v>
      </c>
      <c r="D365" s="17" t="s">
        <v>210</v>
      </c>
      <c r="E365" s="553"/>
      <c r="F365" s="553"/>
      <c r="G365" s="553"/>
      <c r="H365" s="553"/>
      <c r="I365" s="553"/>
      <c r="J365" s="553"/>
      <c r="K365" s="553"/>
      <c r="L365" s="553"/>
      <c r="M365" s="553"/>
      <c r="N365" s="553"/>
      <c r="O365" s="553"/>
      <c r="P365" s="553"/>
      <c r="Q365" s="561">
        <f t="shared" si="88"/>
        <v>0</v>
      </c>
      <c r="R365" s="166"/>
      <c r="S365" s="166"/>
    </row>
    <row r="366" spans="3:19" hidden="1" x14ac:dyDescent="0.25">
      <c r="C366" s="17" t="s">
        <v>211</v>
      </c>
      <c r="D366" s="17" t="s">
        <v>189</v>
      </c>
      <c r="E366" s="553"/>
      <c r="F366" s="553"/>
      <c r="G366" s="553"/>
      <c r="H366" s="553"/>
      <c r="I366" s="553"/>
      <c r="J366" s="553"/>
      <c r="K366" s="553"/>
      <c r="L366" s="553"/>
      <c r="M366" s="553"/>
      <c r="N366" s="553"/>
      <c r="O366" s="553"/>
      <c r="P366" s="553"/>
      <c r="Q366" s="561">
        <f t="shared" si="88"/>
        <v>0</v>
      </c>
      <c r="R366" s="166"/>
      <c r="S366" s="166"/>
    </row>
    <row r="367" spans="3:19" hidden="1" x14ac:dyDescent="0.25">
      <c r="C367" s="17"/>
      <c r="D367" s="17"/>
      <c r="E367" s="553"/>
      <c r="F367" s="553"/>
      <c r="G367" s="553"/>
      <c r="H367" s="553"/>
      <c r="I367" s="553"/>
      <c r="J367" s="553"/>
      <c r="K367" s="553"/>
      <c r="L367" s="553"/>
      <c r="M367" s="553"/>
      <c r="N367" s="553"/>
      <c r="O367" s="553"/>
      <c r="P367" s="553"/>
      <c r="Q367" s="561"/>
      <c r="R367" s="166"/>
      <c r="S367" s="166"/>
    </row>
    <row r="368" spans="3:19" hidden="1" x14ac:dyDescent="0.25">
      <c r="C368" s="17"/>
      <c r="D368" s="17"/>
      <c r="E368" s="553"/>
      <c r="F368" s="553"/>
      <c r="G368" s="553"/>
      <c r="H368" s="553"/>
      <c r="I368" s="553"/>
      <c r="J368" s="553"/>
      <c r="K368" s="553"/>
      <c r="L368" s="553"/>
      <c r="M368" s="553"/>
      <c r="N368" s="553"/>
      <c r="O368" s="553"/>
      <c r="P368" s="553"/>
      <c r="Q368" s="561"/>
      <c r="R368" s="166"/>
      <c r="S368" s="166"/>
    </row>
    <row r="369" spans="3:19" hidden="1" x14ac:dyDescent="0.25">
      <c r="C369" s="17"/>
      <c r="D369" s="17"/>
      <c r="E369" s="553"/>
      <c r="F369" s="553"/>
      <c r="G369" s="553"/>
      <c r="H369" s="553"/>
      <c r="I369" s="553"/>
      <c r="J369" s="553"/>
      <c r="K369" s="553"/>
      <c r="L369" s="553"/>
      <c r="M369" s="553"/>
      <c r="N369" s="553"/>
      <c r="O369" s="553"/>
      <c r="P369" s="553"/>
      <c r="Q369" s="561"/>
      <c r="R369" s="166"/>
      <c r="S369" s="166"/>
    </row>
    <row r="370" spans="3:19" hidden="1" x14ac:dyDescent="0.25">
      <c r="C370" s="17"/>
      <c r="D370" s="17"/>
      <c r="E370" s="553"/>
      <c r="F370" s="553"/>
      <c r="G370" s="553"/>
      <c r="H370" s="553"/>
      <c r="I370" s="553"/>
      <c r="J370" s="553"/>
      <c r="K370" s="553"/>
      <c r="L370" s="553"/>
      <c r="M370" s="553"/>
      <c r="N370" s="553"/>
      <c r="O370" s="553"/>
      <c r="P370" s="553"/>
      <c r="Q370" s="561"/>
      <c r="R370" s="166"/>
      <c r="S370" s="166"/>
    </row>
    <row r="371" spans="3:19" hidden="1" x14ac:dyDescent="0.25">
      <c r="C371" s="751" t="s">
        <v>212</v>
      </c>
      <c r="D371" s="752"/>
      <c r="E371" s="561">
        <f t="shared" ref="E371:P371" si="89">SUM(E354:E370)</f>
        <v>283.77027998000005</v>
      </c>
      <c r="F371" s="561">
        <f t="shared" si="89"/>
        <v>253.02448681999999</v>
      </c>
      <c r="G371" s="561">
        <f t="shared" si="89"/>
        <v>124.76130942</v>
      </c>
      <c r="H371" s="561">
        <f t="shared" si="89"/>
        <v>128.38350609</v>
      </c>
      <c r="I371" s="561">
        <f t="shared" si="89"/>
        <v>190.07336718999997</v>
      </c>
      <c r="J371" s="561">
        <f t="shared" si="89"/>
        <v>135.68933348000002</v>
      </c>
      <c r="K371" s="561">
        <f t="shared" si="89"/>
        <v>157.58112155000001</v>
      </c>
      <c r="L371" s="561">
        <f t="shared" si="89"/>
        <v>125.21098998999999</v>
      </c>
      <c r="M371" s="561">
        <f t="shared" si="89"/>
        <v>126.31962292999999</v>
      </c>
      <c r="N371" s="561">
        <f t="shared" si="89"/>
        <v>206.95628235000001</v>
      </c>
      <c r="O371" s="561">
        <f t="shared" si="89"/>
        <v>387.51832206</v>
      </c>
      <c r="P371" s="561">
        <f t="shared" si="89"/>
        <v>793.45000464291934</v>
      </c>
      <c r="Q371" s="561">
        <f>SUM(E371:P371)</f>
        <v>2912.7386265029195</v>
      </c>
      <c r="R371" s="166"/>
      <c r="S371" s="166"/>
    </row>
    <row r="372" spans="3:19" hidden="1" x14ac:dyDescent="0.25">
      <c r="C372" s="751" t="s">
        <v>219</v>
      </c>
      <c r="D372" s="752"/>
      <c r="E372" s="561">
        <f t="shared" ref="E372:P372" si="90">E371+E352+E335</f>
        <v>579.25568738000004</v>
      </c>
      <c r="F372" s="561">
        <f t="shared" si="90"/>
        <v>461.25109093000003</v>
      </c>
      <c r="G372" s="561">
        <f t="shared" si="90"/>
        <v>349.50962677000001</v>
      </c>
      <c r="H372" s="561">
        <f t="shared" si="90"/>
        <v>323.55822248999999</v>
      </c>
      <c r="I372" s="561">
        <f t="shared" si="90"/>
        <v>412.16334454999998</v>
      </c>
      <c r="J372" s="561">
        <f t="shared" si="90"/>
        <v>385.79897265</v>
      </c>
      <c r="K372" s="561">
        <f t="shared" si="90"/>
        <v>381.84494857999999</v>
      </c>
      <c r="L372" s="561">
        <f t="shared" si="90"/>
        <v>331.81077505999997</v>
      </c>
      <c r="M372" s="561">
        <f t="shared" si="90"/>
        <v>377.28949150000005</v>
      </c>
      <c r="N372" s="561">
        <f t="shared" si="90"/>
        <v>485.45094142000005</v>
      </c>
      <c r="O372" s="561">
        <f t="shared" si="90"/>
        <v>671.63290488000007</v>
      </c>
      <c r="P372" s="561">
        <f t="shared" si="90"/>
        <v>1186.2687658167904</v>
      </c>
      <c r="Q372" s="561">
        <f>SUM(E372:P372)</f>
        <v>5945.8347720267911</v>
      </c>
      <c r="R372" s="166"/>
      <c r="S372" s="166"/>
    </row>
    <row r="373" spans="3:19" hidden="1" x14ac:dyDescent="0.25">
      <c r="C373" s="751" t="s">
        <v>220</v>
      </c>
      <c r="D373" s="752"/>
      <c r="E373" s="561">
        <f t="shared" ref="E373:P373" si="91">E372+E318</f>
        <v>1085.0263973799999</v>
      </c>
      <c r="F373" s="561">
        <f t="shared" si="91"/>
        <v>1029.5843509299998</v>
      </c>
      <c r="G373" s="561">
        <f t="shared" si="91"/>
        <v>940.22325376999993</v>
      </c>
      <c r="H373" s="561">
        <f t="shared" si="91"/>
        <v>826.86457848999999</v>
      </c>
      <c r="I373" s="561">
        <f t="shared" si="91"/>
        <v>840.28942834999998</v>
      </c>
      <c r="J373" s="561">
        <f t="shared" si="91"/>
        <v>857.67088264999995</v>
      </c>
      <c r="K373" s="561">
        <f t="shared" si="91"/>
        <v>830.33556057999999</v>
      </c>
      <c r="L373" s="561">
        <f t="shared" si="91"/>
        <v>742.47963105999997</v>
      </c>
      <c r="M373" s="561">
        <f t="shared" si="91"/>
        <v>742.34496949999993</v>
      </c>
      <c r="N373" s="561">
        <f t="shared" si="91"/>
        <v>869.34848241999998</v>
      </c>
      <c r="O373" s="561">
        <f t="shared" si="91"/>
        <v>1049.6557808800003</v>
      </c>
      <c r="P373" s="561">
        <f t="shared" si="91"/>
        <v>1568.1094788167904</v>
      </c>
      <c r="Q373" s="561">
        <f>SUM(E373:P373)</f>
        <v>11381.932794826791</v>
      </c>
      <c r="R373" s="166"/>
      <c r="S373" s="166"/>
    </row>
    <row r="374" spans="3:19" hidden="1" x14ac:dyDescent="0.25">
      <c r="C374" s="25"/>
      <c r="D374" s="25">
        <f>[13]Sales_NP!$FF$11</f>
        <v>159.08577678733764</v>
      </c>
      <c r="E374" s="562"/>
      <c r="F374" s="562"/>
      <c r="G374" s="562"/>
      <c r="H374" s="562"/>
      <c r="I374" s="562"/>
      <c r="J374" s="562"/>
      <c r="K374" s="562"/>
      <c r="L374" s="562"/>
      <c r="M374" s="562"/>
      <c r="N374" s="562"/>
      <c r="O374" s="562"/>
      <c r="P374" s="562"/>
      <c r="Q374" s="562"/>
      <c r="R374" s="166"/>
      <c r="S374" s="166"/>
    </row>
    <row r="375" spans="3:19" hidden="1" x14ac:dyDescent="0.25">
      <c r="C375" s="14"/>
      <c r="E375" s="562"/>
      <c r="F375" s="562"/>
      <c r="G375" s="562"/>
      <c r="H375" s="562"/>
      <c r="I375" s="562"/>
      <c r="J375" s="562"/>
      <c r="K375" s="562"/>
      <c r="L375" s="562"/>
      <c r="M375" s="562"/>
      <c r="N375" s="562"/>
      <c r="O375" s="562"/>
      <c r="P375" s="562"/>
      <c r="Q375" s="564" t="s">
        <v>229</v>
      </c>
      <c r="R375" s="166"/>
      <c r="S375" s="166"/>
    </row>
    <row r="376" spans="3:19" x14ac:dyDescent="0.25">
      <c r="C376" s="762" t="s">
        <v>163</v>
      </c>
      <c r="D376" s="763"/>
      <c r="E376" s="769" t="s">
        <v>1218</v>
      </c>
      <c r="F376" s="769"/>
      <c r="G376" s="769"/>
      <c r="H376" s="769"/>
      <c r="I376" s="769"/>
      <c r="J376" s="769"/>
      <c r="K376" s="769"/>
      <c r="L376" s="769"/>
      <c r="M376" s="769"/>
      <c r="N376" s="769"/>
      <c r="O376" s="769"/>
      <c r="P376" s="769"/>
      <c r="Q376" s="769"/>
      <c r="R376" s="166"/>
      <c r="S376" s="166"/>
    </row>
    <row r="377" spans="3:19" x14ac:dyDescent="0.25">
      <c r="C377" s="764"/>
      <c r="D377" s="765"/>
      <c r="E377" s="560" t="s">
        <v>239</v>
      </c>
      <c r="F377" s="560" t="s">
        <v>240</v>
      </c>
      <c r="G377" s="560" t="s">
        <v>241</v>
      </c>
      <c r="H377" s="560" t="s">
        <v>242</v>
      </c>
      <c r="I377" s="560" t="s">
        <v>243</v>
      </c>
      <c r="J377" s="560" t="s">
        <v>244</v>
      </c>
      <c r="K377" s="560" t="s">
        <v>245</v>
      </c>
      <c r="L377" s="560" t="s">
        <v>246</v>
      </c>
      <c r="M377" s="560" t="s">
        <v>247</v>
      </c>
      <c r="N377" s="560" t="s">
        <v>248</v>
      </c>
      <c r="O377" s="560" t="s">
        <v>249</v>
      </c>
      <c r="P377" s="560" t="s">
        <v>250</v>
      </c>
      <c r="Q377" s="560" t="s">
        <v>251</v>
      </c>
      <c r="R377" s="166"/>
      <c r="S377" s="166"/>
    </row>
    <row r="378" spans="3:19" x14ac:dyDescent="0.25">
      <c r="C378" s="766"/>
      <c r="D378" s="767"/>
      <c r="E378" s="560" t="s">
        <v>24</v>
      </c>
      <c r="F378" s="560" t="s">
        <v>24</v>
      </c>
      <c r="G378" s="560" t="s">
        <v>24</v>
      </c>
      <c r="H378" s="560" t="s">
        <v>24</v>
      </c>
      <c r="I378" s="560" t="s">
        <v>24</v>
      </c>
      <c r="J378" s="560" t="s">
        <v>24</v>
      </c>
      <c r="K378" s="560" t="s">
        <v>24</v>
      </c>
      <c r="L378" s="560" t="s">
        <v>24</v>
      </c>
      <c r="M378" s="560" t="s">
        <v>24</v>
      </c>
      <c r="N378" s="560" t="s">
        <v>24</v>
      </c>
      <c r="O378" s="560" t="s">
        <v>24</v>
      </c>
      <c r="P378" s="560" t="s">
        <v>24</v>
      </c>
      <c r="Q378" s="560" t="s">
        <v>24</v>
      </c>
      <c r="R378" s="166"/>
      <c r="S378" s="166"/>
    </row>
    <row r="379" spans="3:19" x14ac:dyDescent="0.25">
      <c r="C379" s="753" t="s">
        <v>171</v>
      </c>
      <c r="D379" s="754"/>
      <c r="E379" s="553"/>
      <c r="F379" s="553"/>
      <c r="G379" s="553"/>
      <c r="H379" s="553"/>
      <c r="I379" s="553"/>
      <c r="J379" s="553"/>
      <c r="K379" s="553"/>
      <c r="L379" s="553"/>
      <c r="M379" s="553"/>
      <c r="N379" s="553"/>
      <c r="O379" s="553"/>
      <c r="P379" s="553"/>
      <c r="Q379" s="561"/>
      <c r="R379" s="166"/>
      <c r="S379" s="166"/>
    </row>
    <row r="380" spans="3:19" x14ac:dyDescent="0.25">
      <c r="C380" s="59" t="s">
        <v>172</v>
      </c>
      <c r="D380" s="59" t="s">
        <v>173</v>
      </c>
      <c r="E380" s="553">
        <f>[8]Sales_NP!FE10</f>
        <v>337.61115799999993</v>
      </c>
      <c r="F380" s="553">
        <f>[8]Sales_NP!FF10</f>
        <v>369.44492999999994</v>
      </c>
      <c r="G380" s="553">
        <f>[8]Sales_NP!FG10</f>
        <v>463.25779699999998</v>
      </c>
      <c r="H380" s="553">
        <f>[8]Sales_NP!FH10</f>
        <v>409.38024099999996</v>
      </c>
      <c r="I380" s="553">
        <f>[8]Sales_NP!FI10</f>
        <v>335.71168599999999</v>
      </c>
      <c r="J380" s="553">
        <f>[8]Sales_NP!FJ10</f>
        <v>375.87584900000002</v>
      </c>
      <c r="K380" s="553">
        <f>[8]Sales_NP!FK10</f>
        <v>344.005742</v>
      </c>
      <c r="L380" s="553">
        <f>[8]Sales_NP!FL10</f>
        <v>341.45521200000002</v>
      </c>
      <c r="M380" s="553">
        <f>[8]Sales_NP!FM10</f>
        <v>291.04520300000001</v>
      </c>
      <c r="N380" s="553">
        <f>[8]Sales_NP!FN10</f>
        <v>236.07568600000002</v>
      </c>
      <c r="O380" s="553">
        <f>[8]Sales_NP!FO10</f>
        <v>284.42436199999997</v>
      </c>
      <c r="P380" s="553">
        <f>[8]Sales_NP!FP10</f>
        <v>291.71708599999999</v>
      </c>
      <c r="Q380" s="561">
        <f t="shared" ref="Q380:Q393" si="92">SUM(E380:P380)</f>
        <v>4080.0049519999998</v>
      </c>
      <c r="R380" s="166"/>
      <c r="S380" s="166"/>
    </row>
    <row r="381" spans="3:19" x14ac:dyDescent="0.25">
      <c r="C381" s="17" t="s">
        <v>174</v>
      </c>
      <c r="D381" s="17" t="s">
        <v>175</v>
      </c>
      <c r="E381" s="553">
        <f>[8]Sales_NP!FE23</f>
        <v>79.114322999999999</v>
      </c>
      <c r="F381" s="553">
        <f>[8]Sales_NP!FF23</f>
        <v>81.664203999999998</v>
      </c>
      <c r="G381" s="553">
        <f>[8]Sales_NP!FG23</f>
        <v>97.534172000000012</v>
      </c>
      <c r="H381" s="553">
        <f>[8]Sales_NP!FH23</f>
        <v>88.424800000000019</v>
      </c>
      <c r="I381" s="553">
        <f>[8]Sales_NP!FI23</f>
        <v>75.685324999999992</v>
      </c>
      <c r="J381" s="553">
        <f>[8]Sales_NP!FJ23</f>
        <v>84.373867999999987</v>
      </c>
      <c r="K381" s="553">
        <f>[8]Sales_NP!FK23</f>
        <v>78.419490999999994</v>
      </c>
      <c r="L381" s="553">
        <f>[8]Sales_NP!FL23</f>
        <v>81.137627000000009</v>
      </c>
      <c r="M381" s="553">
        <f>[8]Sales_NP!FM23</f>
        <v>74.032184999999984</v>
      </c>
      <c r="N381" s="553">
        <f>[8]Sales_NP!FN23</f>
        <v>66.940488999999999</v>
      </c>
      <c r="O381" s="553">
        <f>[8]Sales_NP!FO23</f>
        <v>72.828187999999997</v>
      </c>
      <c r="P381" s="553">
        <f>[8]Sales_NP!FP23</f>
        <v>75.904477999999983</v>
      </c>
      <c r="Q381" s="561">
        <f t="shared" si="92"/>
        <v>956.05915000000005</v>
      </c>
      <c r="R381" s="166"/>
      <c r="S381" s="166"/>
    </row>
    <row r="382" spans="3:19" x14ac:dyDescent="0.25">
      <c r="C382" s="17" t="s">
        <v>176</v>
      </c>
      <c r="D382" s="17" t="s">
        <v>177</v>
      </c>
      <c r="E382" s="553">
        <f>[8]Sales_NP!FE36</f>
        <v>21.064056000000004</v>
      </c>
      <c r="F382" s="553">
        <f>[8]Sales_NP!FF36</f>
        <v>20.522403999999998</v>
      </c>
      <c r="G382" s="553">
        <f>[8]Sales_NP!FG36</f>
        <v>22.623596999999993</v>
      </c>
      <c r="H382" s="553">
        <f>[8]Sales_NP!FH36</f>
        <v>19.063603999999991</v>
      </c>
      <c r="I382" s="553">
        <f>[8]Sales_NP!FI36</f>
        <v>16.437371000000002</v>
      </c>
      <c r="J382" s="553">
        <f>[8]Sales_NP!FJ36</f>
        <v>18.034071000000001</v>
      </c>
      <c r="K382" s="553">
        <f>[8]Sales_NP!FK36</f>
        <v>15.926697999999998</v>
      </c>
      <c r="L382" s="553">
        <f>[8]Sales_NP!FL36</f>
        <v>18.406926999999996</v>
      </c>
      <c r="M382" s="553">
        <f>[8]Sales_NP!FM36</f>
        <v>19.662627000000004</v>
      </c>
      <c r="N382" s="553">
        <f>[8]Sales_NP!FN36</f>
        <v>25.262725999999994</v>
      </c>
      <c r="O382" s="553">
        <f>[8]Sales_NP!FO36</f>
        <v>23.718239000000004</v>
      </c>
      <c r="P382" s="553">
        <f>[8]Sales_NP!FP36</f>
        <v>19.545201000000006</v>
      </c>
      <c r="Q382" s="561">
        <f t="shared" si="92"/>
        <v>240.26752099999999</v>
      </c>
      <c r="R382" s="166"/>
      <c r="S382" s="166"/>
    </row>
    <row r="383" spans="3:19" x14ac:dyDescent="0.25">
      <c r="C383" s="17" t="s">
        <v>178</v>
      </c>
      <c r="D383" s="17" t="s">
        <v>179</v>
      </c>
      <c r="E383" s="553">
        <f>[8]Sales_NP!FE43</f>
        <v>0.69751499999999989</v>
      </c>
      <c r="F383" s="553">
        <f>[8]Sales_NP!FF43</f>
        <v>0.69328000000000012</v>
      </c>
      <c r="G383" s="553">
        <f>[8]Sales_NP!FG43</f>
        <v>0.80247900000000016</v>
      </c>
      <c r="H383" s="553">
        <f>[8]Sales_NP!FH43</f>
        <v>0.74271299999999996</v>
      </c>
      <c r="I383" s="553">
        <f>[8]Sales_NP!FI43</f>
        <v>0.71364099999999997</v>
      </c>
      <c r="J383" s="553">
        <f>[8]Sales_NP!FJ43</f>
        <v>0.76668500000000017</v>
      </c>
      <c r="K383" s="553">
        <f>[8]Sales_NP!FK43</f>
        <v>0.68058399999999997</v>
      </c>
      <c r="L383" s="553">
        <f>[8]Sales_NP!FL43</f>
        <v>0.66631600000000002</v>
      </c>
      <c r="M383" s="553">
        <f>[8]Sales_NP!FM43</f>
        <v>0.64500900000000017</v>
      </c>
      <c r="N383" s="553">
        <f>[8]Sales_NP!FN43</f>
        <v>0.61515299999999995</v>
      </c>
      <c r="O383" s="553">
        <f>[8]Sales_NP!FO43</f>
        <v>0.64616599999999991</v>
      </c>
      <c r="P383" s="553">
        <f>[8]Sales_NP!FP43</f>
        <v>0.65661599999999998</v>
      </c>
      <c r="Q383" s="561">
        <f t="shared" si="92"/>
        <v>8.3261570000000003</v>
      </c>
      <c r="R383" s="166"/>
      <c r="S383" s="166"/>
    </row>
    <row r="384" spans="3:19" x14ac:dyDescent="0.25">
      <c r="C384" s="17" t="s">
        <v>180</v>
      </c>
      <c r="D384" s="17" t="s">
        <v>181</v>
      </c>
      <c r="E384" s="553"/>
      <c r="F384" s="553"/>
      <c r="G384" s="553"/>
      <c r="H384" s="553"/>
      <c r="I384" s="553"/>
      <c r="J384" s="553"/>
      <c r="K384" s="553"/>
      <c r="L384" s="553"/>
      <c r="M384" s="553"/>
      <c r="N384" s="553"/>
      <c r="O384" s="553"/>
      <c r="P384" s="553"/>
      <c r="Q384" s="561">
        <f t="shared" si="92"/>
        <v>0</v>
      </c>
      <c r="R384" s="166"/>
      <c r="S384" s="166"/>
    </row>
    <row r="385" spans="3:19" x14ac:dyDescent="0.25">
      <c r="C385" s="17" t="s">
        <v>182</v>
      </c>
      <c r="D385" s="17" t="s">
        <v>183</v>
      </c>
      <c r="E385" s="553">
        <f>[8]Sales_NP!FE54</f>
        <v>31.970800000000004</v>
      </c>
      <c r="F385" s="553">
        <f>[8]Sales_NP!FF54</f>
        <v>29.647422000000002</v>
      </c>
      <c r="G385" s="553">
        <f>[8]Sales_NP!FG54</f>
        <v>31.611483</v>
      </c>
      <c r="H385" s="553">
        <f>[8]Sales_NP!FH54</f>
        <v>29.750737999999998</v>
      </c>
      <c r="I385" s="553">
        <f>[8]Sales_NP!FI54</f>
        <v>27.828939000000005</v>
      </c>
      <c r="J385" s="553">
        <f>[8]Sales_NP!FJ54</f>
        <v>29.305672000000001</v>
      </c>
      <c r="K385" s="553">
        <f>[8]Sales_NP!FK54</f>
        <v>28.820459000000003</v>
      </c>
      <c r="L385" s="553">
        <f>[8]Sales_NP!FL54</f>
        <v>32.300114999999998</v>
      </c>
      <c r="M385" s="553">
        <f>[8]Sales_NP!FM54</f>
        <v>31.642415</v>
      </c>
      <c r="N385" s="553">
        <f>[8]Sales_NP!FN54</f>
        <v>31.586566000000001</v>
      </c>
      <c r="O385" s="553">
        <f>[8]Sales_NP!FO54</f>
        <v>32.458660999999999</v>
      </c>
      <c r="P385" s="553">
        <f>[8]Sales_NP!FP54</f>
        <v>30.868248000000001</v>
      </c>
      <c r="Q385" s="561">
        <f t="shared" si="92"/>
        <v>367.791518</v>
      </c>
      <c r="R385" s="166"/>
      <c r="S385" s="166"/>
    </row>
    <row r="386" spans="3:19" x14ac:dyDescent="0.25">
      <c r="C386" s="17" t="s">
        <v>184</v>
      </c>
      <c r="D386" s="17" t="s">
        <v>185</v>
      </c>
      <c r="E386" s="553">
        <f>[8]Sales_NP!FE64</f>
        <v>6.1874949999999993</v>
      </c>
      <c r="F386" s="553">
        <f>[8]Sales_NP!FF64</f>
        <v>4.6810619999999998</v>
      </c>
      <c r="G386" s="553">
        <f>[8]Sales_NP!FG64</f>
        <v>3.297283999999999</v>
      </c>
      <c r="H386" s="553">
        <f>[8]Sales_NP!FH64</f>
        <v>4.6932879999999999</v>
      </c>
      <c r="I386" s="553">
        <f>[8]Sales_NP!FI64</f>
        <v>5.5355599999999994</v>
      </c>
      <c r="J386" s="553">
        <f>[8]Sales_NP!FJ64</f>
        <v>6.3873689999999996</v>
      </c>
      <c r="K386" s="553">
        <f>[8]Sales_NP!FK64</f>
        <v>6.2720549999999999</v>
      </c>
      <c r="L386" s="553">
        <f>[8]Sales_NP!FL64</f>
        <v>4.6147600000000004</v>
      </c>
      <c r="M386" s="553">
        <f>[8]Sales_NP!FM64</f>
        <v>5.71915</v>
      </c>
      <c r="N386" s="553">
        <f>[8]Sales_NP!FN64</f>
        <v>4.8563859999999988</v>
      </c>
      <c r="O386" s="553">
        <f>[8]Sales_NP!FO64</f>
        <v>4.7530290000000006</v>
      </c>
      <c r="P386" s="553">
        <f>[8]Sales_NP!FP64</f>
        <v>5.9142509999999984</v>
      </c>
      <c r="Q386" s="561">
        <f t="shared" si="92"/>
        <v>62.911689000000003</v>
      </c>
      <c r="R386" s="166"/>
      <c r="S386" s="166"/>
    </row>
    <row r="387" spans="3:19" x14ac:dyDescent="0.25">
      <c r="C387" s="17" t="s">
        <v>186</v>
      </c>
      <c r="D387" s="17" t="s">
        <v>187</v>
      </c>
      <c r="E387" s="553">
        <f>[8]Sales_NP!FE69</f>
        <v>1.1198210000000002</v>
      </c>
      <c r="F387" s="553">
        <f>[8]Sales_NP!FF69</f>
        <v>1.1130349999999998</v>
      </c>
      <c r="G387" s="553">
        <f>[8]Sales_NP!FG69</f>
        <v>1.347539</v>
      </c>
      <c r="H387" s="553">
        <f>[8]Sales_NP!FH69</f>
        <v>1.2584259999999998</v>
      </c>
      <c r="I387" s="553">
        <f>[8]Sales_NP!FI69</f>
        <v>1.135866</v>
      </c>
      <c r="J387" s="553">
        <f>[8]Sales_NP!FJ69</f>
        <v>1.2681900000000002</v>
      </c>
      <c r="K387" s="553">
        <f>[8]Sales_NP!FK69</f>
        <v>1.2276680000000002</v>
      </c>
      <c r="L387" s="553">
        <f>[8]Sales_NP!FL69</f>
        <v>1.263682</v>
      </c>
      <c r="M387" s="553">
        <f>[8]Sales_NP!FM69</f>
        <v>1.0292410000000001</v>
      </c>
      <c r="N387" s="553">
        <f>[8]Sales_NP!FN69</f>
        <v>1.049382</v>
      </c>
      <c r="O387" s="553">
        <f>[8]Sales_NP!FO69</f>
        <v>1.1728370000000001</v>
      </c>
      <c r="P387" s="553">
        <f>[8]Sales_NP!FP69</f>
        <v>1.1699809999999999</v>
      </c>
      <c r="Q387" s="561">
        <f t="shared" si="92"/>
        <v>14.155667999999999</v>
      </c>
      <c r="R387" s="166"/>
      <c r="S387" s="166"/>
    </row>
    <row r="388" spans="3:19" x14ac:dyDescent="0.25">
      <c r="C388" s="17" t="s">
        <v>188</v>
      </c>
      <c r="D388" s="17" t="s">
        <v>189</v>
      </c>
      <c r="E388" s="553">
        <f>[8]Sales_NP!FE70</f>
        <v>5.5849999999999997E-3</v>
      </c>
      <c r="F388" s="553">
        <f>[8]Sales_NP!FF70</f>
        <v>7.6960000000000006E-3</v>
      </c>
      <c r="G388" s="553">
        <f>[8]Sales_NP!FG70</f>
        <v>1.0221000000000001E-2</v>
      </c>
      <c r="H388" s="553">
        <f>[8]Sales_NP!FH70</f>
        <v>9.3200000000000002E-3</v>
      </c>
      <c r="I388" s="553">
        <f>[8]Sales_NP!FI70</f>
        <v>9.6819999999999996E-3</v>
      </c>
      <c r="J388" s="553">
        <f>[8]Sales_NP!FJ70</f>
        <v>1.0625000000000001E-2</v>
      </c>
      <c r="K388" s="553">
        <f>[8]Sales_NP!FK70</f>
        <v>9.0099999999999989E-3</v>
      </c>
      <c r="L388" s="553">
        <f>[8]Sales_NP!FL70</f>
        <v>1.4904000000000001E-2</v>
      </c>
      <c r="M388" s="553">
        <f>[8]Sales_NP!FM70</f>
        <v>1.2573000000000001E-2</v>
      </c>
      <c r="N388" s="553">
        <f>[8]Sales_NP!FN70</f>
        <v>1.3364000000000001E-2</v>
      </c>
      <c r="O388" s="553">
        <f>[8]Sales_NP!FO70</f>
        <v>1.5465000000000003E-2</v>
      </c>
      <c r="P388" s="553">
        <f>[8]Sales_NP!FP70</f>
        <v>1.4304999999999998E-2</v>
      </c>
      <c r="Q388" s="561">
        <f t="shared" si="92"/>
        <v>0.13275000000000001</v>
      </c>
      <c r="R388" s="166"/>
      <c r="S388" s="166"/>
    </row>
    <row r="389" spans="3:19" hidden="1" x14ac:dyDescent="0.25">
      <c r="C389" s="17"/>
      <c r="D389" s="17"/>
      <c r="E389" s="553"/>
      <c r="F389" s="553"/>
      <c r="G389" s="553"/>
      <c r="H389" s="553"/>
      <c r="I389" s="553"/>
      <c r="J389" s="553"/>
      <c r="K389" s="553"/>
      <c r="L389" s="553"/>
      <c r="M389" s="553"/>
      <c r="N389" s="553"/>
      <c r="O389" s="553"/>
      <c r="P389" s="553"/>
      <c r="Q389" s="561">
        <f t="shared" si="92"/>
        <v>0</v>
      </c>
      <c r="R389" s="166"/>
      <c r="S389" s="166"/>
    </row>
    <row r="390" spans="3:19" hidden="1" x14ac:dyDescent="0.25">
      <c r="C390" s="17"/>
      <c r="D390" s="17"/>
      <c r="E390" s="553"/>
      <c r="F390" s="553"/>
      <c r="G390" s="553"/>
      <c r="H390" s="553"/>
      <c r="I390" s="553"/>
      <c r="J390" s="553"/>
      <c r="K390" s="553"/>
      <c r="L390" s="553"/>
      <c r="M390" s="553"/>
      <c r="N390" s="553"/>
      <c r="O390" s="553"/>
      <c r="P390" s="553"/>
      <c r="Q390" s="561">
        <f t="shared" si="92"/>
        <v>0</v>
      </c>
      <c r="R390" s="166"/>
      <c r="S390" s="166"/>
    </row>
    <row r="391" spans="3:19" hidden="1" x14ac:dyDescent="0.25">
      <c r="C391" s="17"/>
      <c r="D391" s="17"/>
      <c r="E391" s="553"/>
      <c r="F391" s="553"/>
      <c r="G391" s="553"/>
      <c r="H391" s="553"/>
      <c r="I391" s="553"/>
      <c r="J391" s="553"/>
      <c r="K391" s="553"/>
      <c r="L391" s="553"/>
      <c r="M391" s="553"/>
      <c r="N391" s="553"/>
      <c r="O391" s="553"/>
      <c r="P391" s="553"/>
      <c r="Q391" s="561">
        <f t="shared" si="92"/>
        <v>0</v>
      </c>
      <c r="R391" s="166"/>
      <c r="S391" s="166"/>
    </row>
    <row r="392" spans="3:19" hidden="1" x14ac:dyDescent="0.25">
      <c r="C392" s="17" t="s">
        <v>226</v>
      </c>
      <c r="D392" s="17" t="s">
        <v>226</v>
      </c>
      <c r="E392" s="553"/>
      <c r="F392" s="553"/>
      <c r="G392" s="553"/>
      <c r="H392" s="553"/>
      <c r="I392" s="553"/>
      <c r="J392" s="553"/>
      <c r="K392" s="553"/>
      <c r="L392" s="553"/>
      <c r="M392" s="553"/>
      <c r="N392" s="553"/>
      <c r="O392" s="553"/>
      <c r="P392" s="553"/>
      <c r="Q392" s="561">
        <f t="shared" si="92"/>
        <v>0</v>
      </c>
      <c r="R392" s="166"/>
      <c r="S392" s="166"/>
    </row>
    <row r="393" spans="3:19" x14ac:dyDescent="0.25">
      <c r="C393" s="751" t="s">
        <v>190</v>
      </c>
      <c r="D393" s="752"/>
      <c r="E393" s="561">
        <f t="shared" ref="E393:P393" si="93">SUM(E380:E392)</f>
        <v>477.77075299999996</v>
      </c>
      <c r="F393" s="561">
        <f t="shared" si="93"/>
        <v>507.77403299999997</v>
      </c>
      <c r="G393" s="561">
        <f t="shared" si="93"/>
        <v>620.48457199999996</v>
      </c>
      <c r="H393" s="561">
        <f t="shared" si="93"/>
        <v>553.32312999999988</v>
      </c>
      <c r="I393" s="561">
        <f t="shared" si="93"/>
        <v>463.05806999999993</v>
      </c>
      <c r="J393" s="561">
        <f t="shared" si="93"/>
        <v>516.02232900000001</v>
      </c>
      <c r="K393" s="561">
        <f t="shared" si="93"/>
        <v>475.36170700000002</v>
      </c>
      <c r="L393" s="561">
        <f t="shared" si="93"/>
        <v>479.85954300000003</v>
      </c>
      <c r="M393" s="561">
        <f t="shared" si="93"/>
        <v>423.78840299999996</v>
      </c>
      <c r="N393" s="561">
        <f t="shared" si="93"/>
        <v>366.39975200000003</v>
      </c>
      <c r="O393" s="561">
        <f t="shared" si="93"/>
        <v>420.01694700000002</v>
      </c>
      <c r="P393" s="561">
        <f t="shared" si="93"/>
        <v>425.79016599999994</v>
      </c>
      <c r="Q393" s="561">
        <f t="shared" si="92"/>
        <v>5729.6494049999992</v>
      </c>
      <c r="R393" s="166"/>
      <c r="S393" s="166"/>
    </row>
    <row r="394" spans="3:19" x14ac:dyDescent="0.25">
      <c r="C394" s="753" t="s">
        <v>191</v>
      </c>
      <c r="D394" s="754"/>
      <c r="E394" s="553"/>
      <c r="F394" s="553"/>
      <c r="G394" s="553"/>
      <c r="H394" s="553"/>
      <c r="I394" s="553"/>
      <c r="J394" s="553"/>
      <c r="K394" s="553"/>
      <c r="L394" s="553"/>
      <c r="M394" s="553"/>
      <c r="N394" s="553"/>
      <c r="O394" s="553"/>
      <c r="P394" s="553"/>
      <c r="Q394" s="561"/>
      <c r="R394" s="166"/>
      <c r="S394" s="166"/>
    </row>
    <row r="395" spans="3:19" x14ac:dyDescent="0.25">
      <c r="C395" s="17" t="s">
        <v>192</v>
      </c>
      <c r="D395" s="17" t="s">
        <v>193</v>
      </c>
      <c r="E395" s="553">
        <f>[8]Sales_NP!FE89</f>
        <v>85.739670240000024</v>
      </c>
      <c r="F395" s="553">
        <f>[8]Sales_NP!FF89</f>
        <v>76.865275039999986</v>
      </c>
      <c r="G395" s="553">
        <f>[8]Sales_NP!FG89</f>
        <v>83.143414240000013</v>
      </c>
      <c r="H395" s="553">
        <f>[8]Sales_NP!FH89</f>
        <v>82.555034509999999</v>
      </c>
      <c r="I395" s="553">
        <f>[8]Sales_NP!FI89</f>
        <v>86.001242780000013</v>
      </c>
      <c r="J395" s="553">
        <f>[8]Sales_NP!FJ89</f>
        <v>82.233624880000008</v>
      </c>
      <c r="K395" s="553">
        <f>[8]Sales_NP!FK89</f>
        <v>86.029680110000001</v>
      </c>
      <c r="L395" s="553">
        <f>[8]Sales_NP!FL89</f>
        <v>90.210195560000003</v>
      </c>
      <c r="M395" s="553">
        <f>[8]Sales_NP!FM89</f>
        <v>101.46957083999999</v>
      </c>
      <c r="N395" s="553">
        <f>[8]Sales_NP!FN89</f>
        <v>107.12371061999998</v>
      </c>
      <c r="O395" s="553">
        <f>[8]Sales_NP!FO89</f>
        <v>96.801977619999988</v>
      </c>
      <c r="P395" s="553">
        <f>[8]Sales_NP!FP89</f>
        <v>83.81168765000001</v>
      </c>
      <c r="Q395" s="561">
        <f t="shared" ref="Q395:Q410" si="94">SUM(E395:P395)</f>
        <v>1061.9850840899999</v>
      </c>
      <c r="R395" s="166"/>
      <c r="S395" s="166"/>
    </row>
    <row r="396" spans="3:19" x14ac:dyDescent="0.25">
      <c r="C396" s="17" t="s">
        <v>194</v>
      </c>
      <c r="D396" s="17" t="s">
        <v>195</v>
      </c>
      <c r="E396" s="553">
        <f>[8]Sales_NP!FE104</f>
        <v>0</v>
      </c>
      <c r="F396" s="553">
        <f>[8]Sales_NP!FF104</f>
        <v>0</v>
      </c>
      <c r="G396" s="553">
        <f>[8]Sales_NP!FG104</f>
        <v>0</v>
      </c>
      <c r="H396" s="553">
        <f>[8]Sales_NP!FH104</f>
        <v>0</v>
      </c>
      <c r="I396" s="553">
        <f>[8]Sales_NP!FI104</f>
        <v>0</v>
      </c>
      <c r="J396" s="553">
        <f>[8]Sales_NP!FJ104</f>
        <v>0</v>
      </c>
      <c r="K396" s="553">
        <f>[8]Sales_NP!FK104</f>
        <v>0</v>
      </c>
      <c r="L396" s="553">
        <f>[8]Sales_NP!FL104</f>
        <v>0</v>
      </c>
      <c r="M396" s="553">
        <f>[8]Sales_NP!FM104</f>
        <v>0</v>
      </c>
      <c r="N396" s="553">
        <f>[8]Sales_NP!FN104</f>
        <v>0</v>
      </c>
      <c r="O396" s="553">
        <f>[8]Sales_NP!FO104</f>
        <v>0</v>
      </c>
      <c r="P396" s="553">
        <f>[8]Sales_NP!FP104</f>
        <v>0</v>
      </c>
      <c r="Q396" s="561">
        <f t="shared" si="94"/>
        <v>0</v>
      </c>
      <c r="R396" s="166"/>
      <c r="S396" s="166"/>
    </row>
    <row r="397" spans="3:19" x14ac:dyDescent="0.25">
      <c r="C397" s="17" t="s">
        <v>233</v>
      </c>
      <c r="D397" s="17" t="s">
        <v>197</v>
      </c>
      <c r="E397" s="553">
        <f>[8]Sales_NP!FE105</f>
        <v>17.046831500000003</v>
      </c>
      <c r="F397" s="553">
        <f>[8]Sales_NP!FF105</f>
        <v>18.408123860000003</v>
      </c>
      <c r="G397" s="553">
        <f>[8]Sales_NP!FG105</f>
        <v>20.34227284</v>
      </c>
      <c r="H397" s="553">
        <f>[8]Sales_NP!FH105</f>
        <v>16.383497050000003</v>
      </c>
      <c r="I397" s="553">
        <f>[8]Sales_NP!FI105</f>
        <v>17.707839999999997</v>
      </c>
      <c r="J397" s="553">
        <f>[8]Sales_NP!FJ105</f>
        <v>17.318968999999999</v>
      </c>
      <c r="K397" s="553">
        <f>[8]Sales_NP!FK105</f>
        <v>18.158021259999998</v>
      </c>
      <c r="L397" s="553">
        <f>[8]Sales_NP!FL105</f>
        <v>16.235536750000001</v>
      </c>
      <c r="M397" s="553">
        <f>[8]Sales_NP!FM105</f>
        <v>13.913398800000001</v>
      </c>
      <c r="N397" s="553">
        <f>[8]Sales_NP!FN105</f>
        <v>14.525394</v>
      </c>
      <c r="O397" s="553">
        <f>[8]Sales_NP!FO105</f>
        <v>15.7582805</v>
      </c>
      <c r="P397" s="553">
        <f>[8]Sales_NP!FP105</f>
        <v>18.481182830000002</v>
      </c>
      <c r="Q397" s="561">
        <f t="shared" si="94"/>
        <v>204.27934839000002</v>
      </c>
      <c r="R397" s="166"/>
      <c r="S397" s="166"/>
    </row>
    <row r="398" spans="3:19" x14ac:dyDescent="0.25">
      <c r="C398" s="17" t="s">
        <v>198</v>
      </c>
      <c r="D398" s="17" t="s">
        <v>199</v>
      </c>
      <c r="E398" s="553">
        <f>[8]Sales_NP!FE110</f>
        <v>6.1190000000000003E-3</v>
      </c>
      <c r="F398" s="553">
        <f>[8]Sales_NP!FF110</f>
        <v>2.8101999999999999E-2</v>
      </c>
      <c r="G398" s="553">
        <f>[8]Sales_NP!FG110</f>
        <v>2.2585999999999995E-2</v>
      </c>
      <c r="H398" s="553">
        <f>[8]Sales_NP!FH110</f>
        <v>2.1766000000000001E-2</v>
      </c>
      <c r="I398" s="553">
        <f>[8]Sales_NP!FI110</f>
        <v>2.4339E-2</v>
      </c>
      <c r="J398" s="553">
        <f>[8]Sales_NP!FJ110</f>
        <v>2.2033000000000004E-2</v>
      </c>
      <c r="K398" s="553">
        <f>[8]Sales_NP!FK110</f>
        <v>2.1436999999999998E-2</v>
      </c>
      <c r="L398" s="553">
        <f>[8]Sales_NP!FL110</f>
        <v>1.7954000000000001E-2</v>
      </c>
      <c r="M398" s="553">
        <f>[8]Sales_NP!FM110</f>
        <v>1.9971000000000003E-2</v>
      </c>
      <c r="N398" s="553">
        <f>[8]Sales_NP!FN110</f>
        <v>2.6127999999999998E-2</v>
      </c>
      <c r="O398" s="553">
        <f>[8]Sales_NP!FO110</f>
        <v>2.5822000000000001E-2</v>
      </c>
      <c r="P398" s="553">
        <f>[8]Sales_NP!FP110</f>
        <v>3.1118E-2</v>
      </c>
      <c r="Q398" s="561">
        <f t="shared" si="94"/>
        <v>0.26737499999999997</v>
      </c>
      <c r="R398" s="166"/>
      <c r="S398" s="166"/>
    </row>
    <row r="399" spans="3:19" x14ac:dyDescent="0.25">
      <c r="C399" s="17" t="s">
        <v>200</v>
      </c>
      <c r="D399" s="17" t="s">
        <v>201</v>
      </c>
      <c r="E399" s="553">
        <f>[8]Sales_NP!FE115</f>
        <v>0.72348499999999993</v>
      </c>
      <c r="F399" s="553">
        <f>[8]Sales_NP!FF115</f>
        <v>0.78592300000000004</v>
      </c>
      <c r="G399" s="553">
        <f>[8]Sales_NP!FG115</f>
        <v>0.86079450000000013</v>
      </c>
      <c r="H399" s="553">
        <f>[8]Sales_NP!FH115</f>
        <v>0.72595949999999998</v>
      </c>
      <c r="I399" s="553">
        <f>[8]Sales_NP!FI115</f>
        <v>0.69113500000000005</v>
      </c>
      <c r="J399" s="553">
        <f>[8]Sales_NP!FJ115</f>
        <v>0.71928000000000003</v>
      </c>
      <c r="K399" s="553">
        <f>[8]Sales_NP!FK115</f>
        <v>0.72035899999999997</v>
      </c>
      <c r="L399" s="553">
        <f>[8]Sales_NP!FL115</f>
        <v>0.63071600000000005</v>
      </c>
      <c r="M399" s="553">
        <f>[8]Sales_NP!FM115</f>
        <v>0.57216800000000001</v>
      </c>
      <c r="N399" s="553">
        <f>[8]Sales_NP!FN115</f>
        <v>0.60181099999999987</v>
      </c>
      <c r="O399" s="553">
        <f>[8]Sales_NP!FO115</f>
        <v>0.61883999999999995</v>
      </c>
      <c r="P399" s="553">
        <f>[8]Sales_NP!FP115</f>
        <v>0.67726500000000001</v>
      </c>
      <c r="Q399" s="561">
        <f t="shared" si="94"/>
        <v>8.3277359999999998</v>
      </c>
      <c r="R399" s="166"/>
      <c r="S399" s="166"/>
    </row>
    <row r="400" spans="3:19" x14ac:dyDescent="0.25">
      <c r="C400" s="17" t="s">
        <v>202</v>
      </c>
      <c r="D400" s="17" t="s">
        <v>203</v>
      </c>
      <c r="E400" s="553">
        <f>[8]Sales_NP!FE121</f>
        <v>2.8694959999999998</v>
      </c>
      <c r="F400" s="553">
        <f>[8]Sales_NP!FF121</f>
        <v>0.30124899999999999</v>
      </c>
      <c r="G400" s="553">
        <f>[8]Sales_NP!FG121</f>
        <v>0.413267</v>
      </c>
      <c r="H400" s="553">
        <f>[8]Sales_NP!FH121</f>
        <v>0.96440700000000001</v>
      </c>
      <c r="I400" s="553">
        <f>[8]Sales_NP!FI121</f>
        <v>1.9552339999999999</v>
      </c>
      <c r="J400" s="553">
        <f>[8]Sales_NP!FJ121</f>
        <v>1.343798</v>
      </c>
      <c r="K400" s="553">
        <f>[8]Sales_NP!FK121</f>
        <v>2.7922435999999999</v>
      </c>
      <c r="L400" s="553">
        <f>[8]Sales_NP!FL121</f>
        <v>1.195738</v>
      </c>
      <c r="M400" s="553">
        <f>[8]Sales_NP!FM121</f>
        <v>1.4618586999999998</v>
      </c>
      <c r="N400" s="553">
        <f>[8]Sales_NP!FN121</f>
        <v>3.7515427999999997</v>
      </c>
      <c r="O400" s="553">
        <f>[8]Sales_NP!FO121</f>
        <v>4.0852820000000003</v>
      </c>
      <c r="P400" s="553">
        <f>[8]Sales_NP!FP121</f>
        <v>4.5289510000000002</v>
      </c>
      <c r="Q400" s="561">
        <f t="shared" si="94"/>
        <v>25.663067099999999</v>
      </c>
      <c r="R400" s="166"/>
      <c r="S400" s="166"/>
    </row>
    <row r="401" spans="3:19" x14ac:dyDescent="0.25">
      <c r="C401" s="17" t="s">
        <v>204</v>
      </c>
      <c r="D401" s="17" t="s">
        <v>205</v>
      </c>
      <c r="E401" s="553">
        <f>[8]Sales_NP!FE122+[8]Sales_NP!FE123</f>
        <v>13.275296000000001</v>
      </c>
      <c r="F401" s="553">
        <f>[8]Sales_NP!FF122+[8]Sales_NP!FF123</f>
        <v>13.138759</v>
      </c>
      <c r="G401" s="553">
        <f>[8]Sales_NP!FG122+[8]Sales_NP!FG123</f>
        <v>13.034138</v>
      </c>
      <c r="H401" s="553">
        <f>[8]Sales_NP!FH122+[8]Sales_NP!FH123</f>
        <v>12.020168999999999</v>
      </c>
      <c r="I401" s="553">
        <f>[8]Sales_NP!FI122+[8]Sales_NP!FI123</f>
        <v>12.351711999999999</v>
      </c>
      <c r="J401" s="553">
        <f>[8]Sales_NP!FJ122+[8]Sales_NP!FJ123</f>
        <v>12.598532000000001</v>
      </c>
      <c r="K401" s="553">
        <f>[8]Sales_NP!FK122+[8]Sales_NP!FK123</f>
        <v>13.023673</v>
      </c>
      <c r="L401" s="553">
        <f>[8]Sales_NP!FL122+[8]Sales_NP!FL123</f>
        <v>12.731928</v>
      </c>
      <c r="M401" s="553">
        <f>[8]Sales_NP!FM122+[8]Sales_NP!FM123</f>
        <v>12.847969000000001</v>
      </c>
      <c r="N401" s="553">
        <f>[8]Sales_NP!FN122+[8]Sales_NP!FN123</f>
        <v>13.610018999999999</v>
      </c>
      <c r="O401" s="553">
        <f>[8]Sales_NP!FO122+[8]Sales_NP!FO123</f>
        <v>12.640878000000001</v>
      </c>
      <c r="P401" s="553">
        <f>[8]Sales_NP!FP122+[8]Sales_NP!FP123</f>
        <v>13.548292</v>
      </c>
      <c r="Q401" s="561">
        <f t="shared" si="94"/>
        <v>154.82136500000001</v>
      </c>
      <c r="R401" s="166"/>
      <c r="S401" s="166"/>
    </row>
    <row r="402" spans="3:19" x14ac:dyDescent="0.25">
      <c r="C402" s="17" t="s">
        <v>206</v>
      </c>
      <c r="D402" s="17" t="s">
        <v>207</v>
      </c>
      <c r="E402" s="553">
        <f>[8]Sales_NP!FE126</f>
        <v>0.77688599999999997</v>
      </c>
      <c r="F402" s="553">
        <f>[8]Sales_NP!FF126</f>
        <v>0.83904000000000001</v>
      </c>
      <c r="G402" s="553">
        <f>[8]Sales_NP!FG126</f>
        <v>0.93410400000000005</v>
      </c>
      <c r="H402" s="553">
        <f>[8]Sales_NP!FH126</f>
        <v>0.71230000000000004</v>
      </c>
      <c r="I402" s="553">
        <f>[8]Sales_NP!FI126</f>
        <v>0.764567</v>
      </c>
      <c r="J402" s="553">
        <f>[8]Sales_NP!FJ126</f>
        <v>0.71884599999999998</v>
      </c>
      <c r="K402" s="553">
        <f>[8]Sales_NP!FK126</f>
        <v>0.73038000000000003</v>
      </c>
      <c r="L402" s="553">
        <f>[8]Sales_NP!FL126</f>
        <v>0.66359299999999999</v>
      </c>
      <c r="M402" s="553">
        <f>[8]Sales_NP!FM126</f>
        <v>0.55238299999999996</v>
      </c>
      <c r="N402" s="553">
        <f>[8]Sales_NP!FN126</f>
        <v>0.62448300000000001</v>
      </c>
      <c r="O402" s="553">
        <f>[8]Sales_NP!FO126</f>
        <v>0.637571</v>
      </c>
      <c r="P402" s="553">
        <f>[8]Sales_NP!FP126</f>
        <v>0.74855300000000002</v>
      </c>
      <c r="Q402" s="561">
        <f t="shared" si="94"/>
        <v>8.7027059999999992</v>
      </c>
      <c r="R402" s="166"/>
      <c r="S402" s="166"/>
    </row>
    <row r="403" spans="3:19" x14ac:dyDescent="0.25">
      <c r="C403" s="17" t="s">
        <v>208</v>
      </c>
      <c r="D403" s="17" t="s">
        <v>187</v>
      </c>
      <c r="E403" s="553">
        <f>[8]Sales_NP!FE127</f>
        <v>1.5610999999999999</v>
      </c>
      <c r="F403" s="553">
        <f>[8]Sales_NP!FF127</f>
        <v>1.462845</v>
      </c>
      <c r="G403" s="553">
        <f>[8]Sales_NP!FG127</f>
        <v>1.394908</v>
      </c>
      <c r="H403" s="553">
        <f>[8]Sales_NP!FH127</f>
        <v>1.353515</v>
      </c>
      <c r="I403" s="553">
        <f>[8]Sales_NP!FI127</f>
        <v>1.490027</v>
      </c>
      <c r="J403" s="553">
        <f>[8]Sales_NP!FJ127</f>
        <v>1.473875</v>
      </c>
      <c r="K403" s="553">
        <f>[8]Sales_NP!FK127</f>
        <v>1.4299949999999999</v>
      </c>
      <c r="L403" s="553">
        <f>[8]Sales_NP!FL127</f>
        <v>1.3612569999999999</v>
      </c>
      <c r="M403" s="553">
        <f>[8]Sales_NP!FM127</f>
        <v>1.364538</v>
      </c>
      <c r="N403" s="553">
        <f>[8]Sales_NP!FN127</f>
        <v>1.374131</v>
      </c>
      <c r="O403" s="553">
        <f>[8]Sales_NP!FO127</f>
        <v>1.2489410000000001</v>
      </c>
      <c r="P403" s="553">
        <f>[8]Sales_NP!FP127</f>
        <v>1.1490670000000001</v>
      </c>
      <c r="Q403" s="561">
        <f t="shared" si="94"/>
        <v>16.664199</v>
      </c>
      <c r="R403" s="166"/>
      <c r="S403" s="166"/>
    </row>
    <row r="404" spans="3:19" x14ac:dyDescent="0.25">
      <c r="C404" s="17" t="s">
        <v>209</v>
      </c>
      <c r="D404" s="17" t="s">
        <v>210</v>
      </c>
      <c r="E404" s="553">
        <f>[8]Sales_NP!FE128</f>
        <v>80.023948000000004</v>
      </c>
      <c r="F404" s="553">
        <f>[8]Sales_NP!FF128</f>
        <v>39.971445000000003</v>
      </c>
      <c r="G404" s="553">
        <f>[8]Sales_NP!FG128</f>
        <v>67.803726999999995</v>
      </c>
      <c r="H404" s="553">
        <f>[8]Sales_NP!FH128</f>
        <v>95.462288999999998</v>
      </c>
      <c r="I404" s="553">
        <f>[8]Sales_NP!FI128</f>
        <v>103.812484</v>
      </c>
      <c r="J404" s="553">
        <f>[8]Sales_NP!FJ128</f>
        <v>92.310203000000001</v>
      </c>
      <c r="K404" s="553">
        <f>[8]Sales_NP!FK128</f>
        <v>94.214755999999994</v>
      </c>
      <c r="L404" s="553">
        <f>[8]Sales_NP!FL128</f>
        <v>52.971626540000003</v>
      </c>
      <c r="M404" s="553">
        <f>[8]Sales_NP!FM128</f>
        <v>107.46443259999999</v>
      </c>
      <c r="N404" s="553">
        <f>[8]Sales_NP!FN128</f>
        <v>115.04643153999999</v>
      </c>
      <c r="O404" s="553">
        <f>[8]Sales_NP!FO128</f>
        <v>125.28935593999999</v>
      </c>
      <c r="P404" s="553">
        <f>[8]Sales_NP!FP128</f>
        <v>137.0658675</v>
      </c>
      <c r="Q404" s="561">
        <f t="shared" si="94"/>
        <v>1111.43656612</v>
      </c>
      <c r="R404" s="166"/>
      <c r="S404" s="166"/>
    </row>
    <row r="405" spans="3:19" x14ac:dyDescent="0.25">
      <c r="C405" s="17" t="s">
        <v>211</v>
      </c>
      <c r="D405" s="17" t="s">
        <v>189</v>
      </c>
      <c r="E405" s="553">
        <v>0</v>
      </c>
      <c r="F405" s="553">
        <v>0</v>
      </c>
      <c r="G405" s="553">
        <v>0</v>
      </c>
      <c r="H405" s="553">
        <v>0</v>
      </c>
      <c r="I405" s="553">
        <v>0</v>
      </c>
      <c r="J405" s="553">
        <v>0</v>
      </c>
      <c r="K405" s="553">
        <v>0</v>
      </c>
      <c r="L405" s="553">
        <v>0</v>
      </c>
      <c r="M405" s="553">
        <v>0</v>
      </c>
      <c r="N405" s="553">
        <v>0</v>
      </c>
      <c r="O405" s="553">
        <v>0</v>
      </c>
      <c r="P405" s="553">
        <v>0</v>
      </c>
      <c r="Q405" s="561">
        <f t="shared" si="94"/>
        <v>0</v>
      </c>
      <c r="R405" s="166"/>
      <c r="S405" s="166"/>
    </row>
    <row r="406" spans="3:19" hidden="1" x14ac:dyDescent="0.25">
      <c r="C406" s="17"/>
      <c r="D406" s="17"/>
      <c r="E406" s="553"/>
      <c r="F406" s="553"/>
      <c r="G406" s="553"/>
      <c r="H406" s="553"/>
      <c r="I406" s="553"/>
      <c r="J406" s="553"/>
      <c r="K406" s="553"/>
      <c r="L406" s="553"/>
      <c r="M406" s="553"/>
      <c r="N406" s="553"/>
      <c r="O406" s="553"/>
      <c r="P406" s="553"/>
      <c r="Q406" s="561">
        <f t="shared" si="94"/>
        <v>0</v>
      </c>
      <c r="R406" s="166"/>
      <c r="S406" s="166"/>
    </row>
    <row r="407" spans="3:19" hidden="1" x14ac:dyDescent="0.25">
      <c r="C407" s="17"/>
      <c r="D407" s="17"/>
      <c r="E407" s="553"/>
      <c r="F407" s="553"/>
      <c r="G407" s="553"/>
      <c r="H407" s="553"/>
      <c r="I407" s="553"/>
      <c r="J407" s="553"/>
      <c r="K407" s="553"/>
      <c r="L407" s="553"/>
      <c r="M407" s="553"/>
      <c r="N407" s="553"/>
      <c r="O407" s="553"/>
      <c r="P407" s="553"/>
      <c r="Q407" s="561">
        <f t="shared" si="94"/>
        <v>0</v>
      </c>
      <c r="R407" s="166"/>
      <c r="S407" s="166"/>
    </row>
    <row r="408" spans="3:19" hidden="1" x14ac:dyDescent="0.25">
      <c r="C408" s="17"/>
      <c r="D408" s="17"/>
      <c r="E408" s="553"/>
      <c r="F408" s="553"/>
      <c r="G408" s="553"/>
      <c r="H408" s="553"/>
      <c r="I408" s="553"/>
      <c r="J408" s="553"/>
      <c r="K408" s="553"/>
      <c r="L408" s="553"/>
      <c r="M408" s="553"/>
      <c r="N408" s="553"/>
      <c r="O408" s="553"/>
      <c r="P408" s="553"/>
      <c r="Q408" s="561">
        <f t="shared" si="94"/>
        <v>0</v>
      </c>
      <c r="R408" s="166"/>
      <c r="S408" s="166"/>
    </row>
    <row r="409" spans="3:19" hidden="1" x14ac:dyDescent="0.25">
      <c r="C409" s="17" t="s">
        <v>226</v>
      </c>
      <c r="D409" s="17" t="s">
        <v>226</v>
      </c>
      <c r="E409" s="553"/>
      <c r="F409" s="553"/>
      <c r="G409" s="553"/>
      <c r="H409" s="553"/>
      <c r="I409" s="553"/>
      <c r="J409" s="553"/>
      <c r="K409" s="553"/>
      <c r="L409" s="553"/>
      <c r="M409" s="553"/>
      <c r="N409" s="553"/>
      <c r="O409" s="553"/>
      <c r="P409" s="553"/>
      <c r="Q409" s="561">
        <f t="shared" si="94"/>
        <v>0</v>
      </c>
      <c r="R409" s="166"/>
      <c r="S409" s="166"/>
    </row>
    <row r="410" spans="3:19" x14ac:dyDescent="0.25">
      <c r="C410" s="751" t="s">
        <v>212</v>
      </c>
      <c r="D410" s="752"/>
      <c r="E410" s="561">
        <f t="shared" ref="E410:P410" si="95">SUM(E395:E409)</f>
        <v>202.02283174000002</v>
      </c>
      <c r="F410" s="561">
        <f t="shared" si="95"/>
        <v>151.8007619</v>
      </c>
      <c r="G410" s="561">
        <f t="shared" si="95"/>
        <v>187.94921158000002</v>
      </c>
      <c r="H410" s="561">
        <f t="shared" si="95"/>
        <v>210.19893705999999</v>
      </c>
      <c r="I410" s="561">
        <f t="shared" si="95"/>
        <v>224.79858078000001</v>
      </c>
      <c r="J410" s="561">
        <f t="shared" si="95"/>
        <v>208.73916088000001</v>
      </c>
      <c r="K410" s="561">
        <f t="shared" si="95"/>
        <v>217.12054497000003</v>
      </c>
      <c r="L410" s="561">
        <f t="shared" si="95"/>
        <v>176.01854485000001</v>
      </c>
      <c r="M410" s="561">
        <f t="shared" si="95"/>
        <v>239.66628993999996</v>
      </c>
      <c r="N410" s="561">
        <f t="shared" si="95"/>
        <v>256.68365095999997</v>
      </c>
      <c r="O410" s="561">
        <f t="shared" si="95"/>
        <v>257.10694805999998</v>
      </c>
      <c r="P410" s="561">
        <f t="shared" si="95"/>
        <v>260.04198398000005</v>
      </c>
      <c r="Q410" s="561">
        <f t="shared" si="94"/>
        <v>2592.1474466999998</v>
      </c>
      <c r="R410" s="166"/>
      <c r="S410" s="166"/>
    </row>
    <row r="411" spans="3:19" x14ac:dyDescent="0.25">
      <c r="C411" s="753" t="s">
        <v>213</v>
      </c>
      <c r="D411" s="754"/>
      <c r="E411" s="553"/>
      <c r="F411" s="553"/>
      <c r="G411" s="553"/>
      <c r="H411" s="553"/>
      <c r="I411" s="553"/>
      <c r="J411" s="553"/>
      <c r="K411" s="553"/>
      <c r="L411" s="553"/>
      <c r="M411" s="553"/>
      <c r="N411" s="553"/>
      <c r="O411" s="553"/>
      <c r="P411" s="553"/>
      <c r="Q411" s="561"/>
      <c r="R411" s="166"/>
      <c r="S411" s="166"/>
    </row>
    <row r="412" spans="3:19" x14ac:dyDescent="0.25">
      <c r="C412" s="17" t="s">
        <v>192</v>
      </c>
      <c r="D412" s="17" t="s">
        <v>193</v>
      </c>
      <c r="E412" s="553">
        <f>[8]Sales_NP!FE143</f>
        <v>17.536552</v>
      </c>
      <c r="F412" s="553">
        <f>[8]Sales_NP!FF143</f>
        <v>17.226063999999997</v>
      </c>
      <c r="G412" s="553">
        <f>[8]Sales_NP!FG143</f>
        <v>14.994312000000001</v>
      </c>
      <c r="H412" s="553">
        <f>[8]Sales_NP!FH143</f>
        <v>15.336771000000002</v>
      </c>
      <c r="I412" s="553">
        <f>[8]Sales_NP!FI143</f>
        <v>15.405141999999998</v>
      </c>
      <c r="J412" s="553">
        <f>[8]Sales_NP!FJ143</f>
        <v>15.820698</v>
      </c>
      <c r="K412" s="553">
        <f>[8]Sales_NP!FK143</f>
        <v>14.220012999999998</v>
      </c>
      <c r="L412" s="553">
        <f>[8]Sales_NP!FL143</f>
        <v>15.975750000000001</v>
      </c>
      <c r="M412" s="553">
        <f>[8]Sales_NP!FM143</f>
        <v>16.345948</v>
      </c>
      <c r="N412" s="553">
        <f>[8]Sales_NP!FN143</f>
        <v>17.395820000000001</v>
      </c>
      <c r="O412" s="553">
        <f>[8]Sales_NP!FO143</f>
        <v>17.587019999999995</v>
      </c>
      <c r="P412" s="553">
        <f>[8]Sales_NP!FP143</f>
        <v>18.278010689655172</v>
      </c>
      <c r="Q412" s="561">
        <f t="shared" ref="Q412:Q427" si="96">SUM(E412:P412)</f>
        <v>196.12210068965516</v>
      </c>
      <c r="R412" s="166"/>
      <c r="S412" s="166"/>
    </row>
    <row r="413" spans="3:19" x14ac:dyDescent="0.25">
      <c r="C413" s="17" t="s">
        <v>194</v>
      </c>
      <c r="D413" s="17" t="s">
        <v>195</v>
      </c>
      <c r="E413" s="553">
        <f>[8]Sales_NP!FE159</f>
        <v>3.8089999999999999E-3</v>
      </c>
      <c r="F413" s="553">
        <f>[8]Sales_NP!FF159</f>
        <v>2.5000000000000001E-3</v>
      </c>
      <c r="G413" s="553">
        <f>[8]Sales_NP!FG159</f>
        <v>2.0999999999999999E-3</v>
      </c>
      <c r="H413" s="553">
        <f>[8]Sales_NP!FH159</f>
        <v>2.5000000000000001E-3</v>
      </c>
      <c r="I413" s="553">
        <f>[8]Sales_NP!FI159</f>
        <v>2.2000000000000001E-3</v>
      </c>
      <c r="J413" s="553">
        <f>[8]Sales_NP!FJ159</f>
        <v>2.5999999999999999E-3</v>
      </c>
      <c r="K413" s="553">
        <f>[8]Sales_NP!FK159</f>
        <v>2.3999999999999998E-3</v>
      </c>
      <c r="L413" s="553">
        <f>[8]Sales_NP!FL159</f>
        <v>2.5000000000000001E-3</v>
      </c>
      <c r="M413" s="553">
        <f>[8]Sales_NP!FM159</f>
        <v>1.8E-3</v>
      </c>
      <c r="N413" s="553">
        <f>[8]Sales_NP!FN159</f>
        <v>2.0999999999999999E-3</v>
      </c>
      <c r="O413" s="553">
        <f>[8]Sales_NP!FO159</f>
        <v>2.0000000000000001E-4</v>
      </c>
      <c r="P413" s="553">
        <f>[8]Sales_NP!FP159</f>
        <v>8.0000000000000004E-4</v>
      </c>
      <c r="Q413" s="561">
        <f t="shared" si="96"/>
        <v>2.5508999999999997E-2</v>
      </c>
      <c r="R413" s="166"/>
      <c r="S413" s="166"/>
    </row>
    <row r="414" spans="3:19" x14ac:dyDescent="0.25">
      <c r="C414" s="17" t="s">
        <v>233</v>
      </c>
      <c r="D414" s="17" t="s">
        <v>197</v>
      </c>
      <c r="E414" s="553">
        <f>[8]Sales_NP!FE160</f>
        <v>1.3505850000000001</v>
      </c>
      <c r="F414" s="553">
        <f>[8]Sales_NP!FF160</f>
        <v>1.2136980000000002</v>
      </c>
      <c r="G414" s="553">
        <f>[8]Sales_NP!FG160</f>
        <v>1.3289810000000002</v>
      </c>
      <c r="H414" s="553">
        <f>[8]Sales_NP!FH160</f>
        <v>1.415751</v>
      </c>
      <c r="I414" s="553">
        <f>[8]Sales_NP!FI160</f>
        <v>1.7655989999999999</v>
      </c>
      <c r="J414" s="553">
        <f>[8]Sales_NP!FJ160</f>
        <v>1.5897550000000003</v>
      </c>
      <c r="K414" s="553">
        <f>[8]Sales_NP!FK160</f>
        <v>1.6683060000000001</v>
      </c>
      <c r="L414" s="553">
        <f>[8]Sales_NP!FL160</f>
        <v>1.4183939999999999</v>
      </c>
      <c r="M414" s="553">
        <f>[8]Sales_NP!FM160</f>
        <v>1.1224308000000001</v>
      </c>
      <c r="N414" s="553">
        <f>[8]Sales_NP!FN160</f>
        <v>1.044789</v>
      </c>
      <c r="O414" s="553">
        <f>[8]Sales_NP!FO160</f>
        <v>1.1721890000000001</v>
      </c>
      <c r="P414" s="553">
        <f>[8]Sales_NP!FP160</f>
        <v>1.2964910000000001</v>
      </c>
      <c r="Q414" s="561">
        <f t="shared" si="96"/>
        <v>16.386968799999998</v>
      </c>
      <c r="R414" s="166"/>
      <c r="S414" s="166"/>
    </row>
    <row r="415" spans="3:19" x14ac:dyDescent="0.25">
      <c r="C415" s="17" t="s">
        <v>198</v>
      </c>
      <c r="D415" s="17" t="s">
        <v>199</v>
      </c>
      <c r="E415" s="553">
        <f>[8]Sales_NP!FE166</f>
        <v>0</v>
      </c>
      <c r="F415" s="553">
        <f>[8]Sales_NP!FF166</f>
        <v>0</v>
      </c>
      <c r="G415" s="553">
        <f>[8]Sales_NP!FG166</f>
        <v>0</v>
      </c>
      <c r="H415" s="553">
        <f>[8]Sales_NP!FH166</f>
        <v>0</v>
      </c>
      <c r="I415" s="553">
        <f>[8]Sales_NP!FI166</f>
        <v>0</v>
      </c>
      <c r="J415" s="553">
        <f>[8]Sales_NP!FJ166</f>
        <v>0</v>
      </c>
      <c r="K415" s="553">
        <f>[8]Sales_NP!FK166</f>
        <v>0</v>
      </c>
      <c r="L415" s="553">
        <f>[8]Sales_NP!FL166</f>
        <v>0</v>
      </c>
      <c r="M415" s="553">
        <f>[8]Sales_NP!FM166</f>
        <v>0</v>
      </c>
      <c r="N415" s="553">
        <f>[8]Sales_NP!FN166</f>
        <v>0</v>
      </c>
      <c r="O415" s="553">
        <f>[8]Sales_NP!FO166</f>
        <v>0</v>
      </c>
      <c r="P415" s="553">
        <f>[8]Sales_NP!FP166</f>
        <v>0</v>
      </c>
      <c r="Q415" s="561">
        <f t="shared" si="96"/>
        <v>0</v>
      </c>
      <c r="R415" s="166"/>
      <c r="S415" s="166"/>
    </row>
    <row r="416" spans="3:19" x14ac:dyDescent="0.25">
      <c r="C416" s="17" t="s">
        <v>200</v>
      </c>
      <c r="D416" s="17" t="s">
        <v>201</v>
      </c>
      <c r="E416" s="553">
        <f>[8]Sales_NP!FE171</f>
        <v>0</v>
      </c>
      <c r="F416" s="553">
        <f>[8]Sales_NP!FF171</f>
        <v>0</v>
      </c>
      <c r="G416" s="553">
        <f>[8]Sales_NP!FG171</f>
        <v>0</v>
      </c>
      <c r="H416" s="553">
        <f>[8]Sales_NP!FH171</f>
        <v>0</v>
      </c>
      <c r="I416" s="553">
        <f>[8]Sales_NP!FI171</f>
        <v>0</v>
      </c>
      <c r="J416" s="553">
        <f>[8]Sales_NP!FJ171</f>
        <v>0</v>
      </c>
      <c r="K416" s="553">
        <f>[8]Sales_NP!FK171</f>
        <v>0</v>
      </c>
      <c r="L416" s="553">
        <f>[8]Sales_NP!FL171</f>
        <v>0</v>
      </c>
      <c r="M416" s="553">
        <f>[8]Sales_NP!FM171</f>
        <v>0</v>
      </c>
      <c r="N416" s="553">
        <f>[8]Sales_NP!FN171</f>
        <v>0</v>
      </c>
      <c r="O416" s="553">
        <f>[8]Sales_NP!FO171</f>
        <v>0</v>
      </c>
      <c r="P416" s="553">
        <f>[8]Sales_NP!FP171</f>
        <v>0</v>
      </c>
      <c r="Q416" s="561">
        <f t="shared" si="96"/>
        <v>0</v>
      </c>
      <c r="R416" s="166"/>
      <c r="S416" s="166"/>
    </row>
    <row r="417" spans="3:19" x14ac:dyDescent="0.25">
      <c r="C417" s="17" t="s">
        <v>202</v>
      </c>
      <c r="D417" s="17" t="s">
        <v>203</v>
      </c>
      <c r="E417" s="553">
        <f>[8]Sales_NP!FE177</f>
        <v>3.3807849999999999</v>
      </c>
      <c r="F417" s="553">
        <f>[8]Sales_NP!FF177</f>
        <v>3.3518249999999998</v>
      </c>
      <c r="G417" s="553">
        <f>[8]Sales_NP!FG177</f>
        <v>0.1234</v>
      </c>
      <c r="H417" s="553">
        <f>[8]Sales_NP!FH177</f>
        <v>0.45871499999999998</v>
      </c>
      <c r="I417" s="553">
        <f>[8]Sales_NP!FI177</f>
        <v>0.404395</v>
      </c>
      <c r="J417" s="553">
        <f>[8]Sales_NP!FJ177</f>
        <v>3.3472</v>
      </c>
      <c r="K417" s="553">
        <f>[8]Sales_NP!FK177</f>
        <v>2.06528</v>
      </c>
      <c r="L417" s="553">
        <f>[8]Sales_NP!FL177</f>
        <v>1.0924499999999999</v>
      </c>
      <c r="M417" s="553">
        <f>[8]Sales_NP!FM177</f>
        <v>0.46172000000000002</v>
      </c>
      <c r="N417" s="553">
        <f>[8]Sales_NP!FN177</f>
        <v>7.4367049999999999</v>
      </c>
      <c r="O417" s="553">
        <f>[8]Sales_NP!FO177</f>
        <v>6.0677500000000002</v>
      </c>
      <c r="P417" s="553">
        <f>[8]Sales_NP!FP177</f>
        <v>4.4021249999999998</v>
      </c>
      <c r="Q417" s="561">
        <f t="shared" si="96"/>
        <v>32.592349999999996</v>
      </c>
      <c r="R417" s="166"/>
      <c r="S417" s="166"/>
    </row>
    <row r="418" spans="3:19" x14ac:dyDescent="0.25">
      <c r="C418" s="17" t="s">
        <v>204</v>
      </c>
      <c r="D418" s="17" t="s">
        <v>205</v>
      </c>
      <c r="E418" s="553">
        <f>[8]Sales_NP!FE178+[8]Sales_NP!FE179</f>
        <v>28.867612000000001</v>
      </c>
      <c r="F418" s="553">
        <f>[8]Sales_NP!FF178+[8]Sales_NP!FF179</f>
        <v>29.581188000000001</v>
      </c>
      <c r="G418" s="553">
        <f>[8]Sales_NP!FG178+[8]Sales_NP!FG179</f>
        <v>29.633278000000001</v>
      </c>
      <c r="H418" s="553">
        <f>[8]Sales_NP!FH178+[8]Sales_NP!FH179</f>
        <v>28.537329</v>
      </c>
      <c r="I418" s="553">
        <f>[8]Sales_NP!FI178+[8]Sales_NP!FI179</f>
        <v>29.241343000000001</v>
      </c>
      <c r="J418" s="553">
        <f>[8]Sales_NP!FJ178+[8]Sales_NP!FJ179</f>
        <v>26.658668500000001</v>
      </c>
      <c r="K418" s="553">
        <f>[8]Sales_NP!FK178+[8]Sales_NP!FK179</f>
        <v>29.788055</v>
      </c>
      <c r="L418" s="553">
        <f>[8]Sales_NP!FL178+[8]Sales_NP!FL179</f>
        <v>29.806920000000002</v>
      </c>
      <c r="M418" s="553">
        <f>[8]Sales_NP!FM178+[8]Sales_NP!FM179</f>
        <v>29.513055000000001</v>
      </c>
      <c r="N418" s="553">
        <f>[8]Sales_NP!FN178+[8]Sales_NP!FN179</f>
        <v>30.772010000000002</v>
      </c>
      <c r="O418" s="553">
        <f>[8]Sales_NP!FO178+[8]Sales_NP!FO179</f>
        <v>27.696558</v>
      </c>
      <c r="P418" s="553">
        <f>[8]Sales_NP!FP178+[8]Sales_NP!FP179</f>
        <v>36.922083000000001</v>
      </c>
      <c r="Q418" s="561">
        <f t="shared" si="96"/>
        <v>357.01809950000001</v>
      </c>
      <c r="R418" s="166"/>
      <c r="S418" s="166"/>
    </row>
    <row r="419" spans="3:19" x14ac:dyDescent="0.25">
      <c r="C419" s="17" t="s">
        <v>206</v>
      </c>
      <c r="D419" s="17" t="s">
        <v>207</v>
      </c>
      <c r="E419" s="553">
        <f>[8]Sales_NP!FE182</f>
        <v>3.0141620000000002</v>
      </c>
      <c r="F419" s="553">
        <f>[8]Sales_NP!FF182</f>
        <v>3.743404</v>
      </c>
      <c r="G419" s="553">
        <f>[8]Sales_NP!FG182</f>
        <v>3.9980290000000003</v>
      </c>
      <c r="H419" s="553">
        <f>[8]Sales_NP!FH182</f>
        <v>3.2130929999999998</v>
      </c>
      <c r="I419" s="553">
        <f>[8]Sales_NP!FI182</f>
        <v>3.1807370000000001</v>
      </c>
      <c r="J419" s="553">
        <f>[8]Sales_NP!FJ182</f>
        <v>3.2625140000000004</v>
      </c>
      <c r="K419" s="553">
        <f>[8]Sales_NP!FK182</f>
        <v>1.7436400000000001</v>
      </c>
      <c r="L419" s="553">
        <f>[8]Sales_NP!FL182</f>
        <v>1.2835639999999999</v>
      </c>
      <c r="M419" s="553">
        <f>[8]Sales_NP!FM182</f>
        <v>0.63641499999999995</v>
      </c>
      <c r="N419" s="553">
        <f>[8]Sales_NP!FN182</f>
        <v>1.765506</v>
      </c>
      <c r="O419" s="553">
        <f>[8]Sales_NP!FO182</f>
        <v>2.2222189999999999</v>
      </c>
      <c r="P419" s="553">
        <f>[8]Sales_NP!FP182</f>
        <v>3.2211628965517245</v>
      </c>
      <c r="Q419" s="561">
        <f t="shared" si="96"/>
        <v>31.28444589655172</v>
      </c>
      <c r="R419" s="166"/>
      <c r="S419" s="166"/>
    </row>
    <row r="420" spans="3:19" x14ac:dyDescent="0.25">
      <c r="C420" s="17" t="s">
        <v>214</v>
      </c>
      <c r="D420" s="17" t="s">
        <v>187</v>
      </c>
      <c r="E420" s="553">
        <f>[8]Sales_NP!FE183</f>
        <v>0.52256899999999995</v>
      </c>
      <c r="F420" s="553">
        <f>[8]Sales_NP!FF183</f>
        <v>0.41805799999999999</v>
      </c>
      <c r="G420" s="553">
        <f>[8]Sales_NP!FG183</f>
        <v>0.48759999999999998</v>
      </c>
      <c r="H420" s="553">
        <f>[8]Sales_NP!FH183</f>
        <v>0.41524499999999998</v>
      </c>
      <c r="I420" s="553">
        <f>[8]Sales_NP!FI183</f>
        <v>0.44621899999999998</v>
      </c>
      <c r="J420" s="553">
        <f>[8]Sales_NP!FJ183</f>
        <v>0.59886499999999998</v>
      </c>
      <c r="K420" s="553">
        <f>[8]Sales_NP!FK183</f>
        <v>0.64257799999999998</v>
      </c>
      <c r="L420" s="553">
        <f>[8]Sales_NP!FL183</f>
        <v>0.65287700000000004</v>
      </c>
      <c r="M420" s="553">
        <f>[8]Sales_NP!FM183</f>
        <v>0.77142100000000002</v>
      </c>
      <c r="N420" s="553">
        <f>[8]Sales_NP!FN183</f>
        <v>0.721055</v>
      </c>
      <c r="O420" s="553">
        <f>[8]Sales_NP!FO183</f>
        <v>0.67944899999999997</v>
      </c>
      <c r="P420" s="553">
        <f>[8]Sales_NP!FP183</f>
        <v>0.66636499999999999</v>
      </c>
      <c r="Q420" s="561">
        <f t="shared" si="96"/>
        <v>7.0223009999999997</v>
      </c>
      <c r="R420" s="166"/>
      <c r="S420" s="166"/>
    </row>
    <row r="421" spans="3:19" x14ac:dyDescent="0.25">
      <c r="C421" s="17" t="s">
        <v>209</v>
      </c>
      <c r="D421" s="17" t="s">
        <v>210</v>
      </c>
      <c r="E421" s="553">
        <v>0</v>
      </c>
      <c r="F421" s="553">
        <v>0</v>
      </c>
      <c r="G421" s="553">
        <v>0</v>
      </c>
      <c r="H421" s="553">
        <v>0</v>
      </c>
      <c r="I421" s="553">
        <v>0</v>
      </c>
      <c r="J421" s="553">
        <v>0</v>
      </c>
      <c r="K421" s="553">
        <v>0</v>
      </c>
      <c r="L421" s="553">
        <v>0</v>
      </c>
      <c r="M421" s="553">
        <v>0</v>
      </c>
      <c r="N421" s="553">
        <v>0</v>
      </c>
      <c r="O421" s="553">
        <v>0</v>
      </c>
      <c r="P421" s="553">
        <v>0</v>
      </c>
      <c r="Q421" s="561">
        <f t="shared" si="96"/>
        <v>0</v>
      </c>
      <c r="R421" s="166"/>
      <c r="S421" s="166"/>
    </row>
    <row r="422" spans="3:19" x14ac:dyDescent="0.25">
      <c r="C422" s="17" t="s">
        <v>211</v>
      </c>
      <c r="D422" s="17" t="s">
        <v>189</v>
      </c>
      <c r="E422" s="553">
        <f>[8]Sales_NP!FE188</f>
        <v>0</v>
      </c>
      <c r="F422" s="553">
        <f>[8]Sales_NP!FF188</f>
        <v>0</v>
      </c>
      <c r="G422" s="553">
        <f>[8]Sales_NP!FG188</f>
        <v>0</v>
      </c>
      <c r="H422" s="553">
        <f>[8]Sales_NP!FH188</f>
        <v>0</v>
      </c>
      <c r="I422" s="553">
        <f>[8]Sales_NP!FI188</f>
        <v>0</v>
      </c>
      <c r="J422" s="553">
        <f>[8]Sales_NP!FJ188</f>
        <v>0</v>
      </c>
      <c r="K422" s="553">
        <f>[8]Sales_NP!FK188</f>
        <v>0</v>
      </c>
      <c r="L422" s="553">
        <f>[8]Sales_NP!FL188</f>
        <v>0</v>
      </c>
      <c r="M422" s="553">
        <f>[8]Sales_NP!FM188</f>
        <v>0</v>
      </c>
      <c r="N422" s="553">
        <f>[8]Sales_NP!FN188</f>
        <v>0</v>
      </c>
      <c r="O422" s="553">
        <f>[8]Sales_NP!FO188</f>
        <v>0</v>
      </c>
      <c r="P422" s="553">
        <f>[8]Sales_NP!FP188</f>
        <v>0</v>
      </c>
      <c r="Q422" s="561">
        <f t="shared" si="96"/>
        <v>0</v>
      </c>
      <c r="R422" s="166"/>
      <c r="S422" s="166"/>
    </row>
    <row r="423" spans="3:19" hidden="1" x14ac:dyDescent="0.25">
      <c r="C423" s="17"/>
      <c r="D423" s="17"/>
      <c r="E423" s="553"/>
      <c r="F423" s="553"/>
      <c r="G423" s="553"/>
      <c r="H423" s="553"/>
      <c r="I423" s="553"/>
      <c r="J423" s="553"/>
      <c r="K423" s="553"/>
      <c r="L423" s="553"/>
      <c r="M423" s="553"/>
      <c r="N423" s="553"/>
      <c r="O423" s="553"/>
      <c r="P423" s="553"/>
      <c r="Q423" s="561">
        <f t="shared" si="96"/>
        <v>0</v>
      </c>
      <c r="R423" s="166"/>
      <c r="S423" s="166"/>
    </row>
    <row r="424" spans="3:19" hidden="1" x14ac:dyDescent="0.25">
      <c r="C424" s="17"/>
      <c r="D424" s="17"/>
      <c r="E424" s="553"/>
      <c r="F424" s="553"/>
      <c r="G424" s="553"/>
      <c r="H424" s="553"/>
      <c r="I424" s="553"/>
      <c r="J424" s="553"/>
      <c r="K424" s="553"/>
      <c r="L424" s="553"/>
      <c r="M424" s="553"/>
      <c r="N424" s="553"/>
      <c r="O424" s="553"/>
      <c r="P424" s="553"/>
      <c r="Q424" s="561">
        <f t="shared" si="96"/>
        <v>0</v>
      </c>
      <c r="R424" s="166"/>
      <c r="S424" s="166"/>
    </row>
    <row r="425" spans="3:19" hidden="1" x14ac:dyDescent="0.25">
      <c r="C425" s="17"/>
      <c r="D425" s="17"/>
      <c r="E425" s="553"/>
      <c r="F425" s="553"/>
      <c r="G425" s="553"/>
      <c r="H425" s="553"/>
      <c r="I425" s="553"/>
      <c r="J425" s="553"/>
      <c r="K425" s="553"/>
      <c r="L425" s="553"/>
      <c r="M425" s="553"/>
      <c r="N425" s="553"/>
      <c r="O425" s="553"/>
      <c r="P425" s="553"/>
      <c r="Q425" s="561">
        <f t="shared" si="96"/>
        <v>0</v>
      </c>
      <c r="R425" s="166"/>
      <c r="S425" s="166"/>
    </row>
    <row r="426" spans="3:19" hidden="1" x14ac:dyDescent="0.25">
      <c r="C426" s="17" t="s">
        <v>226</v>
      </c>
      <c r="D426" s="17" t="s">
        <v>226</v>
      </c>
      <c r="E426" s="553"/>
      <c r="F426" s="553"/>
      <c r="G426" s="553"/>
      <c r="H426" s="553"/>
      <c r="I426" s="553"/>
      <c r="J426" s="553"/>
      <c r="K426" s="553"/>
      <c r="L426" s="553"/>
      <c r="M426" s="553"/>
      <c r="N426" s="553"/>
      <c r="O426" s="553"/>
      <c r="P426" s="553"/>
      <c r="Q426" s="561">
        <f t="shared" si="96"/>
        <v>0</v>
      </c>
      <c r="R426" s="166"/>
      <c r="S426" s="166"/>
    </row>
    <row r="427" spans="3:19" x14ac:dyDescent="0.25">
      <c r="C427" s="751" t="s">
        <v>212</v>
      </c>
      <c r="D427" s="752"/>
      <c r="E427" s="561">
        <f t="shared" ref="E427:P427" si="97">SUM(E412:E426)</f>
        <v>54.676073999999993</v>
      </c>
      <c r="F427" s="561">
        <f t="shared" si="97"/>
        <v>55.536737000000002</v>
      </c>
      <c r="G427" s="561">
        <f t="shared" si="97"/>
        <v>50.567700000000002</v>
      </c>
      <c r="H427" s="561">
        <f t="shared" si="97"/>
        <v>49.379404000000001</v>
      </c>
      <c r="I427" s="561">
        <f t="shared" si="97"/>
        <v>50.445635000000003</v>
      </c>
      <c r="J427" s="561">
        <f t="shared" si="97"/>
        <v>51.280300499999996</v>
      </c>
      <c r="K427" s="561">
        <f t="shared" si="97"/>
        <v>50.130271999999998</v>
      </c>
      <c r="L427" s="561">
        <f t="shared" si="97"/>
        <v>50.232454999999995</v>
      </c>
      <c r="M427" s="561">
        <f t="shared" si="97"/>
        <v>48.852789799999996</v>
      </c>
      <c r="N427" s="561">
        <f t="shared" si="97"/>
        <v>59.137985000000008</v>
      </c>
      <c r="O427" s="561">
        <f t="shared" si="97"/>
        <v>55.425384999999991</v>
      </c>
      <c r="P427" s="561">
        <f t="shared" si="97"/>
        <v>64.787037586206893</v>
      </c>
      <c r="Q427" s="561">
        <f t="shared" si="96"/>
        <v>640.45177488620686</v>
      </c>
      <c r="R427" s="166"/>
      <c r="S427" s="166"/>
    </row>
    <row r="428" spans="3:19" x14ac:dyDescent="0.25">
      <c r="C428" s="753" t="s">
        <v>215</v>
      </c>
      <c r="D428" s="754"/>
      <c r="E428" s="553"/>
      <c r="F428" s="553"/>
      <c r="G428" s="553"/>
      <c r="H428" s="553"/>
      <c r="I428" s="553"/>
      <c r="J428" s="553"/>
      <c r="K428" s="553"/>
      <c r="L428" s="553"/>
      <c r="M428" s="553"/>
      <c r="N428" s="553"/>
      <c r="O428" s="553"/>
      <c r="P428" s="553"/>
      <c r="Q428" s="561"/>
      <c r="R428" s="166"/>
      <c r="S428" s="166"/>
    </row>
    <row r="429" spans="3:19" x14ac:dyDescent="0.25">
      <c r="C429" s="17" t="s">
        <v>192</v>
      </c>
      <c r="D429" s="17" t="s">
        <v>193</v>
      </c>
      <c r="E429" s="553">
        <f>[8]Sales_NP!FE198</f>
        <v>50.060616019999998</v>
      </c>
      <c r="F429" s="553">
        <f>[8]Sales_NP!FF198</f>
        <v>46.879794380000007</v>
      </c>
      <c r="G429" s="553">
        <f>[8]Sales_NP!FG198</f>
        <v>52.76143106</v>
      </c>
      <c r="H429" s="553">
        <f>[8]Sales_NP!FH198</f>
        <v>51.902225390000005</v>
      </c>
      <c r="I429" s="553">
        <f>[8]Sales_NP!FI198</f>
        <v>55.301880720000021</v>
      </c>
      <c r="J429" s="553">
        <f>[8]Sales_NP!FJ198</f>
        <v>61.64216639</v>
      </c>
      <c r="K429" s="553">
        <f>[8]Sales_NP!FK198</f>
        <v>57.797519720000011</v>
      </c>
      <c r="L429" s="553">
        <f>[8]Sales_NP!FL198</f>
        <v>59.026331719999995</v>
      </c>
      <c r="M429" s="553">
        <f>[8]Sales_NP!FM198</f>
        <v>52.049582389999998</v>
      </c>
      <c r="N429" s="553">
        <f>[8]Sales_NP!FN198</f>
        <v>55.736774050000001</v>
      </c>
      <c r="O429" s="553">
        <f>[8]Sales_NP!FO198</f>
        <v>52.402986720000001</v>
      </c>
      <c r="P429" s="553">
        <f>[8]Sales_NP!FP198</f>
        <v>52.981075370344826</v>
      </c>
      <c r="Q429" s="561">
        <f t="shared" ref="Q429:Q448" si="98">SUM(E429:P429)</f>
        <v>648.54238393034484</v>
      </c>
      <c r="R429" s="166"/>
      <c r="S429" s="166"/>
    </row>
    <row r="430" spans="3:19" x14ac:dyDescent="0.25">
      <c r="C430" s="17" t="s">
        <v>194</v>
      </c>
      <c r="D430" s="17" t="s">
        <v>195</v>
      </c>
      <c r="E430" s="553">
        <f>[8]Sales_NP!FE208</f>
        <v>0</v>
      </c>
      <c r="F430" s="553">
        <f>[8]Sales_NP!FF208</f>
        <v>0</v>
      </c>
      <c r="G430" s="553">
        <f>[8]Sales_NP!FG208</f>
        <v>0</v>
      </c>
      <c r="H430" s="553">
        <f>[8]Sales_NP!FH208</f>
        <v>0</v>
      </c>
      <c r="I430" s="553">
        <f>[8]Sales_NP!FI208</f>
        <v>0</v>
      </c>
      <c r="J430" s="553">
        <f>[8]Sales_NP!FJ208</f>
        <v>0</v>
      </c>
      <c r="K430" s="553">
        <f>[8]Sales_NP!FK208</f>
        <v>0</v>
      </c>
      <c r="L430" s="553">
        <f>[8]Sales_NP!FL208</f>
        <v>0</v>
      </c>
      <c r="M430" s="553">
        <f>[8]Sales_NP!FM208</f>
        <v>0</v>
      </c>
      <c r="N430" s="553">
        <f>[8]Sales_NP!FN208</f>
        <v>0</v>
      </c>
      <c r="O430" s="553">
        <f>[8]Sales_NP!FO208</f>
        <v>0</v>
      </c>
      <c r="P430" s="553">
        <f>[8]Sales_NP!FP208</f>
        <v>0</v>
      </c>
      <c r="Q430" s="561">
        <f t="shared" si="98"/>
        <v>0</v>
      </c>
      <c r="R430" s="166"/>
      <c r="S430" s="166"/>
    </row>
    <row r="431" spans="3:19" x14ac:dyDescent="0.25">
      <c r="C431" s="17" t="s">
        <v>233</v>
      </c>
      <c r="D431" s="17" t="s">
        <v>197</v>
      </c>
      <c r="E431" s="553">
        <f>[8]Sales_NP!FE214</f>
        <v>1.1470670000000003</v>
      </c>
      <c r="F431" s="553">
        <f>[8]Sales_NP!FF214</f>
        <v>0.67890000000000006</v>
      </c>
      <c r="G431" s="553">
        <f>[8]Sales_NP!FG214</f>
        <v>0.6421</v>
      </c>
      <c r="H431" s="553">
        <f>[8]Sales_NP!FH214</f>
        <v>0.65960000000000019</v>
      </c>
      <c r="I431" s="553">
        <f>[8]Sales_NP!FI214</f>
        <v>0.14149999999999999</v>
      </c>
      <c r="J431" s="553">
        <f>[8]Sales_NP!FJ214</f>
        <v>0.29430000000000001</v>
      </c>
      <c r="K431" s="553">
        <f>[8]Sales_NP!FK214</f>
        <v>0.25009999999999999</v>
      </c>
      <c r="L431" s="553">
        <f>[8]Sales_NP!FL214</f>
        <v>0.33629999999999999</v>
      </c>
      <c r="M431" s="553">
        <f>[8]Sales_NP!FM214</f>
        <v>0.36739999999999995</v>
      </c>
      <c r="N431" s="553">
        <f>[8]Sales_NP!FN214</f>
        <v>0.62139999999999995</v>
      </c>
      <c r="O431" s="553">
        <f>[8]Sales_NP!FO214</f>
        <v>0.26619999999999999</v>
      </c>
      <c r="P431" s="553">
        <f>[8]Sales_NP!FP214</f>
        <v>0.23020000000000002</v>
      </c>
      <c r="Q431" s="561">
        <f t="shared" si="98"/>
        <v>5.6350669999999994</v>
      </c>
      <c r="R431" s="166"/>
      <c r="S431" s="166"/>
    </row>
    <row r="432" spans="3:19" x14ac:dyDescent="0.25">
      <c r="C432" s="17" t="s">
        <v>198</v>
      </c>
      <c r="D432" s="17" t="s">
        <v>199</v>
      </c>
      <c r="E432" s="553">
        <f>[8]Sales_NP!FE219</f>
        <v>0</v>
      </c>
      <c r="F432" s="553">
        <f>[8]Sales_NP!FF219</f>
        <v>0</v>
      </c>
      <c r="G432" s="553">
        <f>[8]Sales_NP!FG219</f>
        <v>0</v>
      </c>
      <c r="H432" s="553">
        <f>[8]Sales_NP!FH219</f>
        <v>0</v>
      </c>
      <c r="I432" s="553">
        <f>[8]Sales_NP!FI219</f>
        <v>0</v>
      </c>
      <c r="J432" s="553">
        <f>[8]Sales_NP!FJ219</f>
        <v>0</v>
      </c>
      <c r="K432" s="553">
        <f>[8]Sales_NP!FK219</f>
        <v>0</v>
      </c>
      <c r="L432" s="553">
        <f>[8]Sales_NP!FL219</f>
        <v>0</v>
      </c>
      <c r="M432" s="553">
        <f>[8]Sales_NP!FM219</f>
        <v>0</v>
      </c>
      <c r="N432" s="553">
        <f>[8]Sales_NP!FN219</f>
        <v>0</v>
      </c>
      <c r="O432" s="553">
        <f>[8]Sales_NP!FO219</f>
        <v>0</v>
      </c>
      <c r="P432" s="553">
        <f>[8]Sales_NP!FP219</f>
        <v>0</v>
      </c>
      <c r="Q432" s="561">
        <f t="shared" si="98"/>
        <v>0</v>
      </c>
      <c r="R432" s="166"/>
      <c r="S432" s="166"/>
    </row>
    <row r="433" spans="3:19" x14ac:dyDescent="0.25">
      <c r="C433" s="17" t="s">
        <v>200</v>
      </c>
      <c r="D433" s="17" t="s">
        <v>201</v>
      </c>
      <c r="E433" s="553">
        <f>[8]Sales_NP!FE224</f>
        <v>0</v>
      </c>
      <c r="F433" s="553">
        <f>[8]Sales_NP!FF224</f>
        <v>0</v>
      </c>
      <c r="G433" s="553">
        <f>[8]Sales_NP!FG224</f>
        <v>0</v>
      </c>
      <c r="H433" s="553">
        <f>[8]Sales_NP!FH224</f>
        <v>0</v>
      </c>
      <c r="I433" s="553">
        <f>[8]Sales_NP!FI224</f>
        <v>0</v>
      </c>
      <c r="J433" s="553">
        <f>[8]Sales_NP!FJ224</f>
        <v>0</v>
      </c>
      <c r="K433" s="553">
        <f>[8]Sales_NP!FK224</f>
        <v>0</v>
      </c>
      <c r="L433" s="553">
        <f>[8]Sales_NP!FL224</f>
        <v>0</v>
      </c>
      <c r="M433" s="553">
        <f>[8]Sales_NP!FM224</f>
        <v>0</v>
      </c>
      <c r="N433" s="553">
        <f>[8]Sales_NP!FN224</f>
        <v>0</v>
      </c>
      <c r="O433" s="553">
        <f>[8]Sales_NP!FO224</f>
        <v>0</v>
      </c>
      <c r="P433" s="553">
        <f>[8]Sales_NP!FP224</f>
        <v>0</v>
      </c>
      <c r="Q433" s="561">
        <f t="shared" si="98"/>
        <v>0</v>
      </c>
      <c r="R433" s="166"/>
      <c r="S433" s="166"/>
    </row>
    <row r="434" spans="3:19" x14ac:dyDescent="0.25">
      <c r="C434" s="17" t="s">
        <v>202</v>
      </c>
      <c r="D434" s="17" t="s">
        <v>234</v>
      </c>
      <c r="E434" s="553">
        <f>[8]Sales_NP!FE230+[8]Sales_NP!FE231</f>
        <v>245.62884000000003</v>
      </c>
      <c r="F434" s="553">
        <f>[8]Sales_NP!FF230+[8]Sales_NP!FF231</f>
        <v>61.091186999999998</v>
      </c>
      <c r="G434" s="553">
        <f>[8]Sales_NP!FG230+[8]Sales_NP!FG231</f>
        <v>14.910439</v>
      </c>
      <c r="H434" s="553">
        <f>[8]Sales_NP!FH230+[8]Sales_NP!FH231</f>
        <v>268.40174139999999</v>
      </c>
      <c r="I434" s="553">
        <f>[8]Sales_NP!FI230+[8]Sales_NP!FI231</f>
        <v>10.977345</v>
      </c>
      <c r="J434" s="553">
        <f>[8]Sales_NP!FJ230+[8]Sales_NP!FJ231</f>
        <v>56.271777450000002</v>
      </c>
      <c r="K434" s="553">
        <f>[8]Sales_NP!FK230+[8]Sales_NP!FK231</f>
        <v>74.385187999999999</v>
      </c>
      <c r="L434" s="553">
        <f>[8]Sales_NP!FL230+[8]Sales_NP!FL231</f>
        <v>138.6304978</v>
      </c>
      <c r="M434" s="553">
        <f>[8]Sales_NP!FM230+[8]Sales_NP!FM231</f>
        <v>24.626479</v>
      </c>
      <c r="N434" s="553">
        <f>[8]Sales_NP!FN230+[8]Sales_NP!FN231</f>
        <v>115.738292</v>
      </c>
      <c r="O434" s="553">
        <f>[8]Sales_NP!FO230+[8]Sales_NP!FO231</f>
        <v>135.818702</v>
      </c>
      <c r="P434" s="553">
        <f>[8]Sales_NP!FP230+[8]Sales_NP!FP231</f>
        <v>145.34598400000002</v>
      </c>
      <c r="Q434" s="561">
        <f t="shared" si="98"/>
        <v>1291.8264726500001</v>
      </c>
      <c r="R434" s="166"/>
      <c r="S434" s="166"/>
    </row>
    <row r="435" spans="3:19" x14ac:dyDescent="0.25">
      <c r="C435" s="17" t="s">
        <v>204</v>
      </c>
      <c r="D435" s="17" t="s">
        <v>216</v>
      </c>
      <c r="E435" s="553">
        <f>[8]Sales_NP!FE232+[8]Sales_NP!FE233</f>
        <v>2.275318</v>
      </c>
      <c r="F435" s="553">
        <f>[8]Sales_NP!FF232+[8]Sales_NP!FF233</f>
        <v>2.3300640000000001</v>
      </c>
      <c r="G435" s="553">
        <f>[8]Sales_NP!FG232+[8]Sales_NP!FG233</f>
        <v>2.2835519999999998</v>
      </c>
      <c r="H435" s="553">
        <f>[8]Sales_NP!FH232+[8]Sales_NP!FH233</f>
        <v>2.2257359999999999</v>
      </c>
      <c r="I435" s="553">
        <f>[8]Sales_NP!FI232+[8]Sales_NP!FI233</f>
        <v>2.3238720000000002</v>
      </c>
      <c r="J435" s="553">
        <f>[8]Sales_NP!FJ232+[8]Sales_NP!FJ233</f>
        <v>2.3504040000000002</v>
      </c>
      <c r="K435" s="553">
        <f>[8]Sales_NP!FK232+[8]Sales_NP!FK233</f>
        <v>2.2852440000000001</v>
      </c>
      <c r="L435" s="553">
        <f>[8]Sales_NP!FL232+[8]Sales_NP!FL233</f>
        <v>2.2156199999999999</v>
      </c>
      <c r="M435" s="553">
        <f>[8]Sales_NP!FM232+[8]Sales_NP!FM233</f>
        <v>2.3844959999999999</v>
      </c>
      <c r="N435" s="553">
        <f>[8]Sales_NP!FN232+[8]Sales_NP!FN233</f>
        <v>2.4319799999999998</v>
      </c>
      <c r="O435" s="553">
        <f>[8]Sales_NP!FO232+[8]Sales_NP!FO233</f>
        <v>2.2608359999999998</v>
      </c>
      <c r="P435" s="553">
        <f>[8]Sales_NP!FP232+[8]Sales_NP!FP233</f>
        <v>2.5938720000000002</v>
      </c>
      <c r="Q435" s="561">
        <f t="shared" si="98"/>
        <v>27.960993999999999</v>
      </c>
      <c r="R435" s="166"/>
      <c r="S435" s="166"/>
    </row>
    <row r="436" spans="3:19" x14ac:dyDescent="0.25">
      <c r="C436" s="17" t="s">
        <v>217</v>
      </c>
      <c r="D436" s="17" t="s">
        <v>218</v>
      </c>
      <c r="E436" s="553">
        <f>[8]Sales_NP!FE235</f>
        <v>52.380434100000002</v>
      </c>
      <c r="F436" s="553">
        <f>[8]Sales_NP!FF235</f>
        <v>50.951533399999995</v>
      </c>
      <c r="G436" s="553">
        <f>[8]Sales_NP!FG235</f>
        <v>49.920386399999998</v>
      </c>
      <c r="H436" s="553">
        <f>[8]Sales_NP!FH235</f>
        <v>50.325516999999998</v>
      </c>
      <c r="I436" s="553">
        <f>[8]Sales_NP!FI235</f>
        <v>50.944802100000004</v>
      </c>
      <c r="J436" s="553">
        <f>[8]Sales_NP!FJ235</f>
        <v>48.377898399999999</v>
      </c>
      <c r="K436" s="553">
        <f>[8]Sales_NP!FK235</f>
        <v>51.080441899999997</v>
      </c>
      <c r="L436" s="553">
        <f>[8]Sales_NP!FL235</f>
        <v>51.8477994</v>
      </c>
      <c r="M436" s="553">
        <f>[8]Sales_NP!FM235</f>
        <v>50.947680499999997</v>
      </c>
      <c r="N436" s="553">
        <f>[8]Sales_NP!FN235</f>
        <v>52.801384899999995</v>
      </c>
      <c r="O436" s="553">
        <f>[8]Sales_NP!FO235</f>
        <v>50.062151100000001</v>
      </c>
      <c r="P436" s="553">
        <f>[8]Sales_NP!FP235</f>
        <v>54.032003200000005</v>
      </c>
      <c r="Q436" s="561">
        <f t="shared" si="98"/>
        <v>613.67203239999992</v>
      </c>
      <c r="R436" s="166"/>
      <c r="S436" s="166"/>
    </row>
    <row r="437" spans="3:19" x14ac:dyDescent="0.25">
      <c r="C437" s="17" t="s">
        <v>252</v>
      </c>
      <c r="D437" s="17" t="s">
        <v>236</v>
      </c>
      <c r="E437" s="553">
        <v>0</v>
      </c>
      <c r="F437" s="553">
        <v>0</v>
      </c>
      <c r="G437" s="553">
        <v>0</v>
      </c>
      <c r="H437" s="553">
        <v>0</v>
      </c>
      <c r="I437" s="553">
        <v>0</v>
      </c>
      <c r="J437" s="553">
        <v>0</v>
      </c>
      <c r="K437" s="553">
        <v>0</v>
      </c>
      <c r="L437" s="553">
        <v>0</v>
      </c>
      <c r="M437" s="553">
        <v>0</v>
      </c>
      <c r="N437" s="553">
        <v>0</v>
      </c>
      <c r="O437" s="553">
        <v>0</v>
      </c>
      <c r="P437" s="553">
        <v>0</v>
      </c>
      <c r="Q437" s="561">
        <f t="shared" si="98"/>
        <v>0</v>
      </c>
      <c r="R437" s="166"/>
      <c r="S437" s="166"/>
    </row>
    <row r="438" spans="3:19" x14ac:dyDescent="0.25">
      <c r="C438" s="17" t="s">
        <v>206</v>
      </c>
      <c r="D438" s="17" t="s">
        <v>207</v>
      </c>
      <c r="E438" s="553">
        <f>[8]Sales_NP!FE239</f>
        <v>6.0300630000000002</v>
      </c>
      <c r="F438" s="553">
        <f>[8]Sales_NP!FF239</f>
        <v>7.4215529999999994</v>
      </c>
      <c r="G438" s="553">
        <f>[8]Sales_NP!FG239</f>
        <v>6.9074059999999999</v>
      </c>
      <c r="H438" s="553">
        <f>[8]Sales_NP!FH239</f>
        <v>6.6595540000000009</v>
      </c>
      <c r="I438" s="553">
        <f>[8]Sales_NP!FI239</f>
        <v>6.5525560000000009</v>
      </c>
      <c r="J438" s="553">
        <f>[8]Sales_NP!FJ239</f>
        <v>6.0851669999999993</v>
      </c>
      <c r="K438" s="553">
        <f>[8]Sales_NP!FK239</f>
        <v>5.3285729999999996</v>
      </c>
      <c r="L438" s="553">
        <f>[8]Sales_NP!FL239</f>
        <v>4.6946779999999997</v>
      </c>
      <c r="M438" s="553">
        <f>[8]Sales_NP!FM239</f>
        <v>2.9676140000000002</v>
      </c>
      <c r="N438" s="553">
        <f>[8]Sales_NP!FN239</f>
        <v>3.2173480000000003</v>
      </c>
      <c r="O438" s="553">
        <f>[8]Sales_NP!FO239</f>
        <v>3.8677219999999997</v>
      </c>
      <c r="P438" s="553">
        <f>[8]Sales_NP!FP239</f>
        <v>5.7141391034482751</v>
      </c>
      <c r="Q438" s="561">
        <f t="shared" si="98"/>
        <v>65.446373103448266</v>
      </c>
      <c r="R438" s="166"/>
      <c r="S438" s="166"/>
    </row>
    <row r="439" spans="3:19" x14ac:dyDescent="0.25">
      <c r="C439" s="17" t="s">
        <v>208</v>
      </c>
      <c r="D439" s="17" t="s">
        <v>187</v>
      </c>
      <c r="E439" s="553">
        <f>[8]Sales_NP!FE240</f>
        <v>0.12095</v>
      </c>
      <c r="F439" s="553">
        <f>[8]Sales_NP!FF240</f>
        <v>0.1176</v>
      </c>
      <c r="G439" s="553">
        <f>[8]Sales_NP!FG240</f>
        <v>0.12</v>
      </c>
      <c r="H439" s="553">
        <f>[8]Sales_NP!FH240</f>
        <v>8.6900000000000005E-2</v>
      </c>
      <c r="I439" s="553">
        <f>[8]Sales_NP!FI240</f>
        <v>0.1118</v>
      </c>
      <c r="J439" s="553">
        <f>[8]Sales_NP!FJ240</f>
        <v>0.1172</v>
      </c>
      <c r="K439" s="553">
        <f>[8]Sales_NP!FK240</f>
        <v>0.11700000000000001</v>
      </c>
      <c r="L439" s="553">
        <f>[8]Sales_NP!FL240</f>
        <v>7.6799999999999993E-2</v>
      </c>
      <c r="M439" s="553">
        <f>[8]Sales_NP!FM240</f>
        <v>4.6300000000000001E-2</v>
      </c>
      <c r="N439" s="553">
        <f>[8]Sales_NP!FN240</f>
        <v>8.6E-3</v>
      </c>
      <c r="O439" s="553">
        <f>[8]Sales_NP!FO240</f>
        <v>0.1103</v>
      </c>
      <c r="P439" s="553">
        <f>[8]Sales_NP!FP240</f>
        <v>0.1057</v>
      </c>
      <c r="Q439" s="561">
        <f t="shared" si="98"/>
        <v>1.1391499999999999</v>
      </c>
      <c r="R439" s="166"/>
      <c r="S439" s="166"/>
    </row>
    <row r="440" spans="3:19" x14ac:dyDescent="0.25">
      <c r="C440" s="17" t="s">
        <v>209</v>
      </c>
      <c r="D440" s="17" t="s">
        <v>210</v>
      </c>
      <c r="E440" s="553">
        <v>0</v>
      </c>
      <c r="F440" s="553">
        <v>0</v>
      </c>
      <c r="G440" s="553">
        <v>0</v>
      </c>
      <c r="H440" s="553">
        <v>0</v>
      </c>
      <c r="I440" s="553">
        <v>0</v>
      </c>
      <c r="J440" s="553">
        <v>0</v>
      </c>
      <c r="K440" s="553">
        <v>0</v>
      </c>
      <c r="L440" s="553">
        <v>0</v>
      </c>
      <c r="M440" s="553">
        <v>0</v>
      </c>
      <c r="N440" s="553">
        <v>0</v>
      </c>
      <c r="O440" s="553">
        <v>0</v>
      </c>
      <c r="P440" s="553">
        <v>0</v>
      </c>
      <c r="Q440" s="561">
        <f t="shared" si="98"/>
        <v>0</v>
      </c>
      <c r="R440" s="166"/>
      <c r="S440" s="166"/>
    </row>
    <row r="441" spans="3:19" x14ac:dyDescent="0.25">
      <c r="C441" s="17" t="s">
        <v>211</v>
      </c>
      <c r="D441" s="17" t="s">
        <v>189</v>
      </c>
      <c r="E441" s="553">
        <v>0</v>
      </c>
      <c r="F441" s="553">
        <v>0</v>
      </c>
      <c r="G441" s="553">
        <v>0</v>
      </c>
      <c r="H441" s="553">
        <v>0</v>
      </c>
      <c r="I441" s="553">
        <v>0</v>
      </c>
      <c r="J441" s="553">
        <v>0</v>
      </c>
      <c r="K441" s="553">
        <v>0</v>
      </c>
      <c r="L441" s="553">
        <v>0</v>
      </c>
      <c r="M441" s="553">
        <v>0</v>
      </c>
      <c r="N441" s="553">
        <v>0</v>
      </c>
      <c r="O441" s="553">
        <v>0</v>
      </c>
      <c r="P441" s="553">
        <v>0</v>
      </c>
      <c r="Q441" s="561">
        <f t="shared" si="98"/>
        <v>0</v>
      </c>
      <c r="R441" s="166"/>
      <c r="S441" s="166"/>
    </row>
    <row r="442" spans="3:19" hidden="1" x14ac:dyDescent="0.25">
      <c r="C442" s="17"/>
      <c r="D442" s="17"/>
      <c r="E442" s="553"/>
      <c r="F442" s="553"/>
      <c r="G442" s="553"/>
      <c r="H442" s="553"/>
      <c r="I442" s="553"/>
      <c r="J442" s="553"/>
      <c r="K442" s="553"/>
      <c r="L442" s="553"/>
      <c r="M442" s="553"/>
      <c r="N442" s="553"/>
      <c r="O442" s="553"/>
      <c r="P442" s="553"/>
      <c r="Q442" s="561">
        <f t="shared" si="98"/>
        <v>0</v>
      </c>
      <c r="R442" s="166"/>
      <c r="S442" s="166"/>
    </row>
    <row r="443" spans="3:19" hidden="1" x14ac:dyDescent="0.25">
      <c r="C443" s="17"/>
      <c r="D443" s="17"/>
      <c r="E443" s="553"/>
      <c r="F443" s="553"/>
      <c r="G443" s="553"/>
      <c r="H443" s="553"/>
      <c r="I443" s="553"/>
      <c r="J443" s="553"/>
      <c r="K443" s="553"/>
      <c r="L443" s="553"/>
      <c r="M443" s="553"/>
      <c r="N443" s="553"/>
      <c r="O443" s="553"/>
      <c r="P443" s="553"/>
      <c r="Q443" s="561">
        <f t="shared" si="98"/>
        <v>0</v>
      </c>
      <c r="R443" s="166"/>
      <c r="S443" s="166"/>
    </row>
    <row r="444" spans="3:19" hidden="1" x14ac:dyDescent="0.25">
      <c r="C444" s="17"/>
      <c r="D444" s="17"/>
      <c r="E444" s="553"/>
      <c r="F444" s="553"/>
      <c r="G444" s="553"/>
      <c r="H444" s="553"/>
      <c r="I444" s="553"/>
      <c r="J444" s="553"/>
      <c r="K444" s="553"/>
      <c r="L444" s="553"/>
      <c r="M444" s="553"/>
      <c r="N444" s="553"/>
      <c r="O444" s="553"/>
      <c r="P444" s="553"/>
      <c r="Q444" s="561">
        <f t="shared" si="98"/>
        <v>0</v>
      </c>
      <c r="R444" s="166"/>
      <c r="S444" s="166"/>
    </row>
    <row r="445" spans="3:19" hidden="1" x14ac:dyDescent="0.25">
      <c r="C445" s="17" t="s">
        <v>226</v>
      </c>
      <c r="D445" s="17" t="s">
        <v>226</v>
      </c>
      <c r="E445" s="553"/>
      <c r="F445" s="553"/>
      <c r="G445" s="553"/>
      <c r="H445" s="553"/>
      <c r="I445" s="553"/>
      <c r="J445" s="553"/>
      <c r="K445" s="553"/>
      <c r="L445" s="553"/>
      <c r="M445" s="553"/>
      <c r="N445" s="553"/>
      <c r="O445" s="553"/>
      <c r="P445" s="553"/>
      <c r="Q445" s="561">
        <f t="shared" si="98"/>
        <v>0</v>
      </c>
      <c r="R445" s="166"/>
      <c r="S445" s="166"/>
    </row>
    <row r="446" spans="3:19" x14ac:dyDescent="0.25">
      <c r="C446" s="751" t="s">
        <v>212</v>
      </c>
      <c r="D446" s="752"/>
      <c r="E446" s="561">
        <f t="shared" ref="E446:P446" si="99">SUM(E429:E445)</f>
        <v>357.64328812000002</v>
      </c>
      <c r="F446" s="561">
        <f t="shared" si="99"/>
        <v>169.47063177999999</v>
      </c>
      <c r="G446" s="561">
        <f t="shared" si="99"/>
        <v>127.54531446</v>
      </c>
      <c r="H446" s="561">
        <f t="shared" si="99"/>
        <v>380.26127379000002</v>
      </c>
      <c r="I446" s="561">
        <f t="shared" si="99"/>
        <v>126.35375582000002</v>
      </c>
      <c r="J446" s="561">
        <f t="shared" si="99"/>
        <v>175.13891323999999</v>
      </c>
      <c r="K446" s="561">
        <f t="shared" si="99"/>
        <v>191.24406662000004</v>
      </c>
      <c r="L446" s="561">
        <f t="shared" si="99"/>
        <v>256.82802692000001</v>
      </c>
      <c r="M446" s="561">
        <f t="shared" si="99"/>
        <v>133.38955189000001</v>
      </c>
      <c r="N446" s="561">
        <f t="shared" si="99"/>
        <v>230.55577894999999</v>
      </c>
      <c r="O446" s="561">
        <f t="shared" si="99"/>
        <v>244.78889781999999</v>
      </c>
      <c r="P446" s="561">
        <f t="shared" si="99"/>
        <v>261.00297367379318</v>
      </c>
      <c r="Q446" s="561">
        <f t="shared" si="98"/>
        <v>2654.2224730837929</v>
      </c>
      <c r="R446" s="166"/>
      <c r="S446" s="166"/>
    </row>
    <row r="447" spans="3:19" x14ac:dyDescent="0.25">
      <c r="C447" s="751" t="s">
        <v>219</v>
      </c>
      <c r="D447" s="752"/>
      <c r="E447" s="561">
        <f t="shared" ref="E447:P447" si="100">E446+E427+E410</f>
        <v>614.34219385999995</v>
      </c>
      <c r="F447" s="561">
        <f t="shared" si="100"/>
        <v>376.80813067999998</v>
      </c>
      <c r="G447" s="561">
        <f t="shared" si="100"/>
        <v>366.06222604000004</v>
      </c>
      <c r="H447" s="561">
        <f t="shared" si="100"/>
        <v>639.83961485000009</v>
      </c>
      <c r="I447" s="561">
        <f t="shared" si="100"/>
        <v>401.59797160000005</v>
      </c>
      <c r="J447" s="561">
        <f t="shared" si="100"/>
        <v>435.15837462000002</v>
      </c>
      <c r="K447" s="561">
        <f t="shared" si="100"/>
        <v>458.49488359000009</v>
      </c>
      <c r="L447" s="561">
        <f t="shared" si="100"/>
        <v>483.07902677000004</v>
      </c>
      <c r="M447" s="561">
        <f t="shared" si="100"/>
        <v>421.90863162999995</v>
      </c>
      <c r="N447" s="561">
        <f t="shared" si="100"/>
        <v>546.37741490999997</v>
      </c>
      <c r="O447" s="561">
        <f t="shared" si="100"/>
        <v>557.32123088000003</v>
      </c>
      <c r="P447" s="561">
        <f t="shared" si="100"/>
        <v>585.8319952400002</v>
      </c>
      <c r="Q447" s="561">
        <f t="shared" si="98"/>
        <v>5886.8216946699995</v>
      </c>
      <c r="R447" s="166"/>
      <c r="S447" s="166"/>
    </row>
    <row r="448" spans="3:19" x14ac:dyDescent="0.25">
      <c r="C448" s="751" t="s">
        <v>220</v>
      </c>
      <c r="D448" s="752"/>
      <c r="E448" s="561">
        <f t="shared" ref="E448:P448" si="101">E447+E393</f>
        <v>1092.11294686</v>
      </c>
      <c r="F448" s="561">
        <f t="shared" si="101"/>
        <v>884.58216367999989</v>
      </c>
      <c r="G448" s="561">
        <f t="shared" si="101"/>
        <v>986.54679804</v>
      </c>
      <c r="H448" s="561">
        <f t="shared" si="101"/>
        <v>1193.1627448499999</v>
      </c>
      <c r="I448" s="561">
        <f t="shared" si="101"/>
        <v>864.65604159999998</v>
      </c>
      <c r="J448" s="561">
        <f t="shared" si="101"/>
        <v>951.18070362000003</v>
      </c>
      <c r="K448" s="561">
        <f t="shared" si="101"/>
        <v>933.85659059000011</v>
      </c>
      <c r="L448" s="561">
        <f t="shared" si="101"/>
        <v>962.93856977000007</v>
      </c>
      <c r="M448" s="561">
        <f t="shared" si="101"/>
        <v>845.69703462999996</v>
      </c>
      <c r="N448" s="561">
        <f t="shared" si="101"/>
        <v>912.77716691000001</v>
      </c>
      <c r="O448" s="561">
        <f t="shared" si="101"/>
        <v>977.3381778800001</v>
      </c>
      <c r="P448" s="561">
        <f t="shared" si="101"/>
        <v>1011.6221612400002</v>
      </c>
      <c r="Q448" s="561">
        <f t="shared" si="98"/>
        <v>11616.47109967</v>
      </c>
      <c r="R448" s="166"/>
      <c r="S448" s="166"/>
    </row>
    <row r="449" spans="3:19" x14ac:dyDescent="0.25">
      <c r="E449" s="562"/>
      <c r="F449" s="562"/>
      <c r="G449" s="562"/>
      <c r="H449" s="562"/>
      <c r="I449" s="562"/>
      <c r="J449" s="562"/>
      <c r="K449" s="562"/>
      <c r="L449" s="562"/>
      <c r="M449" s="562"/>
      <c r="N449" s="562"/>
      <c r="O449" s="562"/>
      <c r="P449" s="562"/>
      <c r="Q449" s="562"/>
      <c r="R449" s="166"/>
      <c r="S449" s="166"/>
    </row>
    <row r="450" spans="3:19" x14ac:dyDescent="0.25">
      <c r="C450" s="14"/>
      <c r="E450" s="562"/>
      <c r="F450" s="562"/>
      <c r="G450" s="562"/>
      <c r="H450" s="562"/>
      <c r="I450" s="562"/>
      <c r="J450" s="562"/>
      <c r="K450" s="562"/>
      <c r="L450" s="562"/>
      <c r="M450" s="562"/>
      <c r="N450" s="562"/>
      <c r="O450" s="562"/>
      <c r="P450" s="562"/>
      <c r="Q450" s="564" t="s">
        <v>229</v>
      </c>
      <c r="R450" s="166"/>
      <c r="S450" s="166"/>
    </row>
    <row r="451" spans="3:19" x14ac:dyDescent="0.25">
      <c r="C451" s="760" t="s">
        <v>163</v>
      </c>
      <c r="D451" s="760"/>
      <c r="E451" s="770" t="s">
        <v>1219</v>
      </c>
      <c r="F451" s="771"/>
      <c r="G451" s="771"/>
      <c r="H451" s="771"/>
      <c r="I451" s="771"/>
      <c r="J451" s="771"/>
      <c r="K451" s="771"/>
      <c r="L451" s="771"/>
      <c r="M451" s="771"/>
      <c r="N451" s="771"/>
      <c r="O451" s="771"/>
      <c r="P451" s="771"/>
      <c r="Q451" s="772"/>
      <c r="R451" s="166"/>
      <c r="S451" s="166"/>
    </row>
    <row r="452" spans="3:19" x14ac:dyDescent="0.25">
      <c r="C452" s="760"/>
      <c r="D452" s="760"/>
      <c r="E452" s="560" t="s">
        <v>239</v>
      </c>
      <c r="F452" s="560" t="s">
        <v>240</v>
      </c>
      <c r="G452" s="560" t="s">
        <v>241</v>
      </c>
      <c r="H452" s="560" t="s">
        <v>242</v>
      </c>
      <c r="I452" s="560" t="s">
        <v>243</v>
      </c>
      <c r="J452" s="560" t="s">
        <v>244</v>
      </c>
      <c r="K452" s="560" t="s">
        <v>245</v>
      </c>
      <c r="L452" s="560" t="s">
        <v>246</v>
      </c>
      <c r="M452" s="560" t="s">
        <v>247</v>
      </c>
      <c r="N452" s="560" t="s">
        <v>248</v>
      </c>
      <c r="O452" s="560" t="s">
        <v>249</v>
      </c>
      <c r="P452" s="560" t="s">
        <v>250</v>
      </c>
      <c r="Q452" s="560" t="s">
        <v>251</v>
      </c>
      <c r="R452" s="166"/>
      <c r="S452" s="166"/>
    </row>
    <row r="453" spans="3:19" x14ac:dyDescent="0.25">
      <c r="C453" s="753" t="s">
        <v>171</v>
      </c>
      <c r="D453" s="754"/>
      <c r="E453" s="553"/>
      <c r="F453" s="553"/>
      <c r="G453" s="553"/>
      <c r="H453" s="553"/>
      <c r="I453" s="553"/>
      <c r="J453" s="553"/>
      <c r="K453" s="553"/>
      <c r="L453" s="553"/>
      <c r="M453" s="553"/>
      <c r="N453" s="553"/>
      <c r="O453" s="553"/>
      <c r="P453" s="553"/>
      <c r="Q453" s="561"/>
      <c r="R453" s="166"/>
      <c r="S453" s="166"/>
    </row>
    <row r="454" spans="3:19" x14ac:dyDescent="0.25">
      <c r="C454" s="59" t="s">
        <v>172</v>
      </c>
      <c r="D454" s="59" t="s">
        <v>173</v>
      </c>
      <c r="E454" s="550">
        <f>[9]Sales_NP!FZ10</f>
        <v>385.71098199999994</v>
      </c>
      <c r="F454" s="550">
        <f>[9]Sales_NP!GA10</f>
        <v>463.19762000000003</v>
      </c>
      <c r="G454" s="550">
        <f>[9]Sales_NP!GB10</f>
        <v>492.18432900000005</v>
      </c>
      <c r="H454" s="550">
        <f>[9]Sales_NP!GC10</f>
        <v>423.90121800000003</v>
      </c>
      <c r="I454" s="550">
        <f>[9]Sales_NP!GD10</f>
        <v>379.95671099999993</v>
      </c>
      <c r="J454" s="550">
        <f>[9]Sales_NP!GE10</f>
        <v>411.79402400000004</v>
      </c>
      <c r="K454" s="550">
        <f>[9]Sales_NP!GF10</f>
        <v>377.28490246332501</v>
      </c>
      <c r="L454" s="550">
        <f>[9]Sales_NP!GG10</f>
        <v>374.48763385761737</v>
      </c>
      <c r="M454" s="550">
        <f>[9]Sales_NP!GH10</f>
        <v>319.20095399533659</v>
      </c>
      <c r="N454" s="550">
        <f>[9]Sales_NP!GI10</f>
        <v>258.91367873293393</v>
      </c>
      <c r="O454" s="550">
        <f>[9]Sales_NP!GJ10</f>
        <v>311.93961197125441</v>
      </c>
      <c r="P454" s="550">
        <f>[9]Sales_NP!GK10</f>
        <v>319.93783504461214</v>
      </c>
      <c r="Q454" s="561">
        <f t="shared" ref="Q454:Q467" si="102">SUM(E454:P454)</f>
        <v>4518.509500065079</v>
      </c>
      <c r="R454" s="166"/>
      <c r="S454" s="166"/>
    </row>
    <row r="455" spans="3:19" x14ac:dyDescent="0.25">
      <c r="C455" s="17" t="s">
        <v>174</v>
      </c>
      <c r="D455" s="17" t="s">
        <v>175</v>
      </c>
      <c r="E455" s="550">
        <f>[9]Sales_NP!FZ23</f>
        <v>89.531622999999982</v>
      </c>
      <c r="F455" s="550">
        <f>[9]Sales_NP!GA23</f>
        <v>97.91225900000002</v>
      </c>
      <c r="G455" s="550">
        <f>[9]Sales_NP!GB23</f>
        <v>99.268553999999995</v>
      </c>
      <c r="H455" s="550">
        <f>[9]Sales_NP!GC23</f>
        <v>89.213927000000027</v>
      </c>
      <c r="I455" s="550">
        <f>[9]Sales_NP!GD23</f>
        <v>84.157735000000002</v>
      </c>
      <c r="J455" s="550">
        <f>[9]Sales_NP!GE23</f>
        <v>88.745399000000006</v>
      </c>
      <c r="K455" s="550">
        <f>[9]Sales_NP!GF23</f>
        <v>84.125964798125565</v>
      </c>
      <c r="L455" s="550">
        <f>[9]Sales_NP!GG23</f>
        <v>87.041895653281443</v>
      </c>
      <c r="M455" s="550">
        <f>[9]Sales_NP!GH23</f>
        <v>79.419400837966663</v>
      </c>
      <c r="N455" s="550">
        <f>[9]Sales_NP!GI23</f>
        <v>71.811652299341119</v>
      </c>
      <c r="O455" s="550">
        <f>[9]Sales_NP!GJ23</f>
        <v>78.127790704472559</v>
      </c>
      <c r="P455" s="550">
        <f>[9]Sales_NP!GK23</f>
        <v>81.427937912120541</v>
      </c>
      <c r="Q455" s="561">
        <f t="shared" si="102"/>
        <v>1030.7841392053081</v>
      </c>
      <c r="R455" s="166"/>
      <c r="S455" s="166"/>
    </row>
    <row r="456" spans="3:19" x14ac:dyDescent="0.25">
      <c r="C456" s="17" t="s">
        <v>176</v>
      </c>
      <c r="D456" s="17" t="s">
        <v>177</v>
      </c>
      <c r="E456" s="550">
        <f>[9]Sales_NP!FZ36</f>
        <v>20.214950999999996</v>
      </c>
      <c r="F456" s="550">
        <f>[9]Sales_NP!GA36</f>
        <v>21.266035000000002</v>
      </c>
      <c r="G456" s="550">
        <f>[9]Sales_NP!GB36</f>
        <v>21.9161</v>
      </c>
      <c r="H456" s="550">
        <f>[9]Sales_NP!GC36</f>
        <v>18.541379999999997</v>
      </c>
      <c r="I456" s="550">
        <f>[9]Sales_NP!GD36</f>
        <v>16.205666999999998</v>
      </c>
      <c r="J456" s="550">
        <f>[9]Sales_NP!GE36</f>
        <v>16.194275000000001</v>
      </c>
      <c r="K456" s="550">
        <f>[9]Sales_NP!GF36</f>
        <v>16.245231959999998</v>
      </c>
      <c r="L456" s="550">
        <f>[9]Sales_NP!GG36</f>
        <v>18.77506554</v>
      </c>
      <c r="M456" s="550">
        <f>[9]Sales_NP!GH36</f>
        <v>20.055879540000007</v>
      </c>
      <c r="N456" s="550">
        <f>[9]Sales_NP!GI36</f>
        <v>25.767980519999995</v>
      </c>
      <c r="O456" s="550">
        <f>[9]Sales_NP!GJ36</f>
        <v>24.192603780000006</v>
      </c>
      <c r="P456" s="550">
        <f>[9]Sales_NP!GK36</f>
        <v>19.936105020000003</v>
      </c>
      <c r="Q456" s="561">
        <f t="shared" si="102"/>
        <v>239.31127436000008</v>
      </c>
      <c r="R456" s="166"/>
      <c r="S456" s="166"/>
    </row>
    <row r="457" spans="3:19" x14ac:dyDescent="0.25">
      <c r="C457" s="17" t="s">
        <v>178</v>
      </c>
      <c r="D457" s="17" t="s">
        <v>179</v>
      </c>
      <c r="E457" s="550">
        <f>[9]Sales_NP!FZ43</f>
        <v>0.71792399999999978</v>
      </c>
      <c r="F457" s="550">
        <f>[9]Sales_NP!GA43</f>
        <v>0.74621400000000004</v>
      </c>
      <c r="G457" s="550">
        <f>[9]Sales_NP!GB43</f>
        <v>0.74058299999999999</v>
      </c>
      <c r="H457" s="550">
        <f>[9]Sales_NP!GC43</f>
        <v>0.67259199999999997</v>
      </c>
      <c r="I457" s="550">
        <f>[9]Sales_NP!GD43</f>
        <v>0.65379700000000018</v>
      </c>
      <c r="J457" s="550">
        <f>[9]Sales_NP!GE43</f>
        <v>0.69088899999999998</v>
      </c>
      <c r="K457" s="550">
        <f>[9]Sales_NP!GF43</f>
        <v>0.69751083642922396</v>
      </c>
      <c r="L457" s="550">
        <f>[9]Sales_NP!GG43</f>
        <v>0.68288797633528664</v>
      </c>
      <c r="M457" s="550">
        <f>[9]Sales_NP!GH43</f>
        <v>0.66105104894381506</v>
      </c>
      <c r="N457" s="550">
        <f>[9]Sales_NP!GI43</f>
        <v>0.63045249897433131</v>
      </c>
      <c r="O457" s="550">
        <f>[9]Sales_NP!GJ43</f>
        <v>0.66223682474481593</v>
      </c>
      <c r="P457" s="550">
        <f>[9]Sales_NP!GK43</f>
        <v>0.67294672718255388</v>
      </c>
      <c r="Q457" s="561">
        <f t="shared" si="102"/>
        <v>8.2290849126100269</v>
      </c>
      <c r="R457" s="166"/>
      <c r="S457" s="166"/>
    </row>
    <row r="458" spans="3:19" x14ac:dyDescent="0.25">
      <c r="C458" s="17" t="s">
        <v>180</v>
      </c>
      <c r="D458" s="17" t="s">
        <v>181</v>
      </c>
      <c r="E458" s="550"/>
      <c r="F458" s="550"/>
      <c r="G458" s="550"/>
      <c r="H458" s="550"/>
      <c r="I458" s="550"/>
      <c r="J458" s="550"/>
      <c r="K458" s="550"/>
      <c r="L458" s="550"/>
      <c r="M458" s="550"/>
      <c r="N458" s="550"/>
      <c r="O458" s="550"/>
      <c r="P458" s="550"/>
      <c r="Q458" s="561">
        <f t="shared" si="102"/>
        <v>0</v>
      </c>
      <c r="R458" s="166"/>
      <c r="S458" s="166"/>
    </row>
    <row r="459" spans="3:19" x14ac:dyDescent="0.25">
      <c r="C459" s="17" t="s">
        <v>182</v>
      </c>
      <c r="D459" s="17" t="s">
        <v>183</v>
      </c>
      <c r="E459" s="550">
        <f>[9]Sales_NP!FZ54</f>
        <v>32.502114999999989</v>
      </c>
      <c r="F459" s="550">
        <f>[9]Sales_NP!GA54</f>
        <v>32.542159999999996</v>
      </c>
      <c r="G459" s="550">
        <f>[9]Sales_NP!GB54</f>
        <v>32.640613000000002</v>
      </c>
      <c r="H459" s="550">
        <f>[9]Sales_NP!GC54</f>
        <v>28.829748000000002</v>
      </c>
      <c r="I459" s="550">
        <f>[9]Sales_NP!GD54</f>
        <v>28.951825999999993</v>
      </c>
      <c r="J459" s="550">
        <f>[9]Sales_NP!GE54</f>
        <v>29.353164999999997</v>
      </c>
      <c r="K459" s="550">
        <f>[9]Sales_NP!GF54</f>
        <v>29.992966452489167</v>
      </c>
      <c r="L459" s="550">
        <f>[9]Sales_NP!GG54</f>
        <v>33.61418586728761</v>
      </c>
      <c r="M459" s="550">
        <f>[9]Sales_NP!GH54</f>
        <v>32.929728550497408</v>
      </c>
      <c r="N459" s="550">
        <f>[9]Sales_NP!GI54</f>
        <v>32.871607436485831</v>
      </c>
      <c r="O459" s="550">
        <f>[9]Sales_NP!GJ54</f>
        <v>33.77918202016555</v>
      </c>
      <c r="P459" s="550">
        <f>[9]Sales_NP!GK54</f>
        <v>32.124065987676175</v>
      </c>
      <c r="Q459" s="561">
        <f t="shared" si="102"/>
        <v>380.13136331460169</v>
      </c>
      <c r="R459" s="166"/>
      <c r="S459" s="166"/>
    </row>
    <row r="460" spans="3:19" x14ac:dyDescent="0.25">
      <c r="C460" s="17" t="s">
        <v>184</v>
      </c>
      <c r="D460" s="17" t="s">
        <v>185</v>
      </c>
      <c r="E460" s="550">
        <f>[9]Sales_NP!FZ64</f>
        <v>6.7563279999999999</v>
      </c>
      <c r="F460" s="550">
        <f>[9]Sales_NP!GA64</f>
        <v>5.1689550000000004</v>
      </c>
      <c r="G460" s="550">
        <f>[9]Sales_NP!GB64</f>
        <v>3.6585529999999995</v>
      </c>
      <c r="H460" s="550">
        <f>[9]Sales_NP!GC64</f>
        <v>5.1230949999999993</v>
      </c>
      <c r="I460" s="550">
        <f>[9]Sales_NP!GD64</f>
        <v>6.9326870000000005</v>
      </c>
      <c r="J460" s="550">
        <f>[9]Sales_NP!GE64</f>
        <v>7.2515500000000008</v>
      </c>
      <c r="K460" s="550">
        <f>[9]Sales_NP!GF64</f>
        <v>6.515053727615804</v>
      </c>
      <c r="L460" s="550">
        <f>[9]Sales_NP!GG64</f>
        <v>4.7935500151150316</v>
      </c>
      <c r="M460" s="550">
        <f>[9]Sales_NP!GH64</f>
        <v>5.9407274850577565</v>
      </c>
      <c r="N460" s="550">
        <f>[9]Sales_NP!GI64</f>
        <v>5.0445373505240623</v>
      </c>
      <c r="O460" s="550">
        <f>[9]Sales_NP!GJ64</f>
        <v>4.9371759820212073</v>
      </c>
      <c r="P460" s="550">
        <f>[9]Sales_NP!GK64</f>
        <v>6.1433872986773057</v>
      </c>
      <c r="Q460" s="561">
        <f t="shared" si="102"/>
        <v>68.265599859011161</v>
      </c>
      <c r="R460" s="166"/>
      <c r="S460" s="166"/>
    </row>
    <row r="461" spans="3:19" x14ac:dyDescent="0.25">
      <c r="C461" s="17" t="s">
        <v>186</v>
      </c>
      <c r="D461" s="17" t="s">
        <v>187</v>
      </c>
      <c r="E461" s="550">
        <f>[9]Sales_NP!FZ69</f>
        <v>1.2602660000000001</v>
      </c>
      <c r="F461" s="550">
        <f>[9]Sales_NP!GA69</f>
        <v>1.385839</v>
      </c>
      <c r="G461" s="550">
        <f>[9]Sales_NP!GB69</f>
        <v>1.438409</v>
      </c>
      <c r="H461" s="550">
        <f>[9]Sales_NP!GC69</f>
        <v>1.2869579999999998</v>
      </c>
      <c r="I461" s="550">
        <f>[9]Sales_NP!GD69</f>
        <v>1.295342</v>
      </c>
      <c r="J461" s="550">
        <f>[9]Sales_NP!GE69</f>
        <v>1.2992269999999999</v>
      </c>
      <c r="K461" s="550">
        <f>[9]Sales_NP!GF69</f>
        <v>1.2890514000000002</v>
      </c>
      <c r="L461" s="550">
        <f>[9]Sales_NP!GG69</f>
        <v>1.3268660999999999</v>
      </c>
      <c r="M461" s="550">
        <f>[9]Sales_NP!GH69</f>
        <v>1.0807030500000001</v>
      </c>
      <c r="N461" s="550">
        <f>[9]Sales_NP!GI69</f>
        <v>1.1018511000000002</v>
      </c>
      <c r="O461" s="550">
        <f>[9]Sales_NP!GJ69</f>
        <v>1.2314788500000002</v>
      </c>
      <c r="P461" s="550">
        <f>[9]Sales_NP!GK69</f>
        <v>1.2284800499999999</v>
      </c>
      <c r="Q461" s="561">
        <f t="shared" si="102"/>
        <v>15.224471550000001</v>
      </c>
      <c r="R461" s="166"/>
      <c r="S461" s="166"/>
    </row>
    <row r="462" spans="3:19" x14ac:dyDescent="0.25">
      <c r="C462" s="17" t="s">
        <v>188</v>
      </c>
      <c r="D462" s="17" t="s">
        <v>189</v>
      </c>
      <c r="E462" s="550">
        <f>[9]Sales_NP!FZ70</f>
        <v>1.4302000000000002E-2</v>
      </c>
      <c r="F462" s="550">
        <f>[9]Sales_NP!GA70</f>
        <v>1.1467E-2</v>
      </c>
      <c r="G462" s="550">
        <f>[9]Sales_NP!GB70</f>
        <v>1.5811000000000002E-2</v>
      </c>
      <c r="H462" s="550">
        <f>[9]Sales_NP!GC70</f>
        <v>1.3339999999999999E-2</v>
      </c>
      <c r="I462" s="550">
        <f>[9]Sales_NP!GD70</f>
        <v>1.4573000000000001E-2</v>
      </c>
      <c r="J462" s="550">
        <f>[9]Sales_NP!GE70</f>
        <v>1.4573000000000001E-2</v>
      </c>
      <c r="K462" s="550">
        <f>[9]Sales_NP!GF70</f>
        <v>9.4604999999999984E-3</v>
      </c>
      <c r="L462" s="550">
        <f>[9]Sales_NP!GG70</f>
        <v>1.5649200000000002E-2</v>
      </c>
      <c r="M462" s="550">
        <f>[9]Sales_NP!GH70</f>
        <v>1.3201650000000002E-2</v>
      </c>
      <c r="N462" s="550">
        <f>[9]Sales_NP!GI70</f>
        <v>1.4032200000000002E-2</v>
      </c>
      <c r="O462" s="550">
        <f>[9]Sales_NP!GJ70</f>
        <v>1.6238250000000003E-2</v>
      </c>
      <c r="P462" s="550">
        <f>[9]Sales_NP!GK70</f>
        <v>1.5020249999999999E-2</v>
      </c>
      <c r="Q462" s="561">
        <f t="shared" si="102"/>
        <v>0.16766805000000001</v>
      </c>
      <c r="R462" s="166"/>
      <c r="S462" s="166"/>
    </row>
    <row r="463" spans="3:19" hidden="1" x14ac:dyDescent="0.25">
      <c r="C463" s="17"/>
      <c r="D463" s="17"/>
      <c r="E463" s="553"/>
      <c r="F463" s="553"/>
      <c r="G463" s="553"/>
      <c r="H463" s="553"/>
      <c r="I463" s="553"/>
      <c r="J463" s="553"/>
      <c r="K463" s="553"/>
      <c r="L463" s="553"/>
      <c r="M463" s="553"/>
      <c r="N463" s="553"/>
      <c r="O463" s="553"/>
      <c r="P463" s="553"/>
      <c r="Q463" s="561">
        <f t="shared" si="102"/>
        <v>0</v>
      </c>
      <c r="R463" s="166"/>
      <c r="S463" s="166"/>
    </row>
    <row r="464" spans="3:19" hidden="1" x14ac:dyDescent="0.25">
      <c r="C464" s="17"/>
      <c r="D464" s="17"/>
      <c r="E464" s="553"/>
      <c r="F464" s="553"/>
      <c r="G464" s="553"/>
      <c r="H464" s="553"/>
      <c r="I464" s="553"/>
      <c r="J464" s="553"/>
      <c r="K464" s="553"/>
      <c r="L464" s="553"/>
      <c r="M464" s="553"/>
      <c r="N464" s="553"/>
      <c r="O464" s="553"/>
      <c r="P464" s="553"/>
      <c r="Q464" s="561">
        <f t="shared" si="102"/>
        <v>0</v>
      </c>
      <c r="R464" s="166"/>
      <c r="S464" s="166"/>
    </row>
    <row r="465" spans="3:19" hidden="1" x14ac:dyDescent="0.25">
      <c r="C465" s="17"/>
      <c r="D465" s="17"/>
      <c r="E465" s="553"/>
      <c r="F465" s="553"/>
      <c r="G465" s="553"/>
      <c r="H465" s="553"/>
      <c r="I465" s="553"/>
      <c r="J465" s="553"/>
      <c r="K465" s="553"/>
      <c r="L465" s="553"/>
      <c r="M465" s="553"/>
      <c r="N465" s="553"/>
      <c r="O465" s="553"/>
      <c r="P465" s="553"/>
      <c r="Q465" s="561">
        <f t="shared" si="102"/>
        <v>0</v>
      </c>
      <c r="R465" s="166"/>
      <c r="S465" s="166"/>
    </row>
    <row r="466" spans="3:19" hidden="1" x14ac:dyDescent="0.25">
      <c r="C466" s="17" t="s">
        <v>226</v>
      </c>
      <c r="D466" s="17" t="s">
        <v>226</v>
      </c>
      <c r="E466" s="553"/>
      <c r="F466" s="553"/>
      <c r="G466" s="553"/>
      <c r="H466" s="553"/>
      <c r="I466" s="553"/>
      <c r="J466" s="553"/>
      <c r="K466" s="553"/>
      <c r="L466" s="553"/>
      <c r="M466" s="553"/>
      <c r="N466" s="553"/>
      <c r="O466" s="553"/>
      <c r="P466" s="553"/>
      <c r="Q466" s="561">
        <f t="shared" si="102"/>
        <v>0</v>
      </c>
      <c r="R466" s="166"/>
      <c r="S466" s="166"/>
    </row>
    <row r="467" spans="3:19" x14ac:dyDescent="0.25">
      <c r="C467" s="751" t="s">
        <v>190</v>
      </c>
      <c r="D467" s="752"/>
      <c r="E467" s="561">
        <f t="shared" ref="E467:P467" si="103">SUM(E454:E466)</f>
        <v>536.70849099999998</v>
      </c>
      <c r="F467" s="561">
        <f t="shared" si="103"/>
        <v>622.23054900000011</v>
      </c>
      <c r="G467" s="561">
        <f t="shared" si="103"/>
        <v>651.86295200000006</v>
      </c>
      <c r="H467" s="561">
        <f t="shared" si="103"/>
        <v>567.58225800000014</v>
      </c>
      <c r="I467" s="561">
        <f t="shared" si="103"/>
        <v>518.16833799999995</v>
      </c>
      <c r="J467" s="561">
        <f t="shared" si="103"/>
        <v>555.34310199999993</v>
      </c>
      <c r="K467" s="561">
        <f t="shared" si="103"/>
        <v>516.16014213798474</v>
      </c>
      <c r="L467" s="561">
        <f t="shared" si="103"/>
        <v>520.73773420963664</v>
      </c>
      <c r="M467" s="561">
        <f t="shared" si="103"/>
        <v>459.30164615780228</v>
      </c>
      <c r="N467" s="561">
        <f t="shared" si="103"/>
        <v>396.15579213825919</v>
      </c>
      <c r="O467" s="561">
        <f t="shared" si="103"/>
        <v>454.88631838265849</v>
      </c>
      <c r="P467" s="561">
        <f t="shared" si="103"/>
        <v>461.48577829026874</v>
      </c>
      <c r="Q467" s="561">
        <f t="shared" si="102"/>
        <v>6260.6231013166107</v>
      </c>
      <c r="R467" s="166"/>
      <c r="S467" s="166"/>
    </row>
    <row r="468" spans="3:19" x14ac:dyDescent="0.25">
      <c r="C468" s="753" t="s">
        <v>191</v>
      </c>
      <c r="D468" s="754"/>
      <c r="E468" s="553"/>
      <c r="F468" s="553"/>
      <c r="G468" s="553"/>
      <c r="H468" s="553"/>
      <c r="I468" s="553"/>
      <c r="J468" s="553"/>
      <c r="K468" s="553"/>
      <c r="L468" s="553"/>
      <c r="M468" s="553"/>
      <c r="N468" s="553"/>
      <c r="O468" s="553"/>
      <c r="P468" s="553"/>
      <c r="Q468" s="561"/>
      <c r="R468" s="166"/>
      <c r="S468" s="166"/>
    </row>
    <row r="469" spans="3:19" x14ac:dyDescent="0.25">
      <c r="C469" s="17" t="s">
        <v>192</v>
      </c>
      <c r="D469" s="17" t="s">
        <v>193</v>
      </c>
      <c r="E469" s="553">
        <f>[9]Sales_NP!FZ89</f>
        <v>88.02666619999998</v>
      </c>
      <c r="F469" s="553">
        <f>[9]Sales_NP!GA89</f>
        <v>86.918028469999982</v>
      </c>
      <c r="G469" s="553">
        <f>[9]Sales_NP!GB89</f>
        <v>89.602586140000014</v>
      </c>
      <c r="H469" s="553">
        <f>[9]Sales_NP!GC89</f>
        <v>90.254908659999998</v>
      </c>
      <c r="I469" s="553">
        <f>[9]Sales_NP!GD89</f>
        <v>90.519578640000006</v>
      </c>
      <c r="J469" s="553">
        <f>[9]Sales_NP!GE89</f>
        <v>87.068890299999978</v>
      </c>
      <c r="K469" s="553">
        <f>[9]Sales_NP!GF89</f>
        <v>91.257692527602615</v>
      </c>
      <c r="L469" s="553">
        <f>[9]Sales_NP!GG89</f>
        <v>95.692257355173624</v>
      </c>
      <c r="M469" s="553">
        <f>[9]Sales_NP!GH89</f>
        <v>107.63586339952171</v>
      </c>
      <c r="N469" s="553">
        <f>[9]Sales_NP!GI89</f>
        <v>113.63360451504806</v>
      </c>
      <c r="O469" s="553">
        <f>[9]Sales_NP!GJ89</f>
        <v>102.68462114952098</v>
      </c>
      <c r="P469" s="553">
        <f>[9]Sales_NP!GK89</f>
        <v>88.904912955664017</v>
      </c>
      <c r="Q469" s="561">
        <f t="shared" ref="Q469:Q484" si="104">SUM(E469:P469)</f>
        <v>1132.1996103125309</v>
      </c>
      <c r="R469" s="166"/>
      <c r="S469" s="166"/>
    </row>
    <row r="470" spans="3:19" x14ac:dyDescent="0.25">
      <c r="C470" s="17" t="s">
        <v>194</v>
      </c>
      <c r="D470" s="17" t="s">
        <v>195</v>
      </c>
      <c r="E470" s="553">
        <f>[9]Sales_NP!FZ104</f>
        <v>0</v>
      </c>
      <c r="F470" s="553">
        <f>[9]Sales_NP!GA104</f>
        <v>0</v>
      </c>
      <c r="G470" s="553">
        <f>[9]Sales_NP!GB104</f>
        <v>0</v>
      </c>
      <c r="H470" s="553">
        <f>[9]Sales_NP!GC104</f>
        <v>0</v>
      </c>
      <c r="I470" s="553">
        <f>[9]Sales_NP!GD104</f>
        <v>0</v>
      </c>
      <c r="J470" s="553">
        <f>[9]Sales_NP!GE104</f>
        <v>0</v>
      </c>
      <c r="K470" s="553">
        <f>[9]Sales_NP!GF104</f>
        <v>0</v>
      </c>
      <c r="L470" s="553">
        <f>[9]Sales_NP!GG104</f>
        <v>0</v>
      </c>
      <c r="M470" s="553">
        <f>[9]Sales_NP!GH104</f>
        <v>0</v>
      </c>
      <c r="N470" s="553">
        <f>[9]Sales_NP!GI104</f>
        <v>0</v>
      </c>
      <c r="O470" s="553">
        <f>[9]Sales_NP!GJ104</f>
        <v>0</v>
      </c>
      <c r="P470" s="553">
        <f>[9]Sales_NP!GK104</f>
        <v>0</v>
      </c>
      <c r="Q470" s="561">
        <f t="shared" si="104"/>
        <v>0</v>
      </c>
      <c r="R470" s="166"/>
      <c r="S470" s="166"/>
    </row>
    <row r="471" spans="3:19" x14ac:dyDescent="0.25">
      <c r="C471" s="17" t="s">
        <v>233</v>
      </c>
      <c r="D471" s="17" t="s">
        <v>197</v>
      </c>
      <c r="E471" s="553">
        <f>[9]Sales_NP!FZ105</f>
        <v>22.455763939999997</v>
      </c>
      <c r="F471" s="553">
        <f>[9]Sales_NP!GA105</f>
        <v>21.99384521</v>
      </c>
      <c r="G471" s="553">
        <f>[9]Sales_NP!GB105</f>
        <v>21.525164899999996</v>
      </c>
      <c r="H471" s="553">
        <f>[9]Sales_NP!GC105</f>
        <v>19.2761365</v>
      </c>
      <c r="I471" s="553">
        <f>[9]Sales_NP!GD105</f>
        <v>20.729245550000005</v>
      </c>
      <c r="J471" s="553">
        <f>[9]Sales_NP!GE105</f>
        <v>18.979559789999996</v>
      </c>
      <c r="K471" s="553">
        <f>[9]Sales_NP!GF105</f>
        <v>19.373382624997795</v>
      </c>
      <c r="L471" s="553">
        <f>[9]Sales_NP!GG105</f>
        <v>17.322221462139826</v>
      </c>
      <c r="M471" s="553">
        <f>[9]Sales_NP!GH105</f>
        <v>14.844657064058598</v>
      </c>
      <c r="N471" s="553">
        <f>[9]Sales_NP!GI105</f>
        <v>15.497614619537416</v>
      </c>
      <c r="O471" s="553">
        <f>[9]Sales_NP!GJ105</f>
        <v>16.813021268515772</v>
      </c>
      <c r="P471" s="553">
        <f>[9]Sales_NP!GK105</f>
        <v>19.718174199787757</v>
      </c>
      <c r="Q471" s="561">
        <f t="shared" si="104"/>
        <v>228.52878712903714</v>
      </c>
      <c r="R471" s="166"/>
      <c r="S471" s="166"/>
    </row>
    <row r="472" spans="3:19" x14ac:dyDescent="0.25">
      <c r="C472" s="17" t="s">
        <v>198</v>
      </c>
      <c r="D472" s="17" t="s">
        <v>199</v>
      </c>
      <c r="E472" s="553">
        <f>[9]Sales_NP!FZ110</f>
        <v>3.3565999999999999E-2</v>
      </c>
      <c r="F472" s="553">
        <f>[9]Sales_NP!GA110</f>
        <v>3.7803000000000003E-2</v>
      </c>
      <c r="G472" s="553">
        <f>[9]Sales_NP!GB110</f>
        <v>3.2315000000000003E-2</v>
      </c>
      <c r="H472" s="553">
        <f>[9]Sales_NP!GC110</f>
        <v>2.9323999999999999E-2</v>
      </c>
      <c r="I472" s="553">
        <f>[9]Sales_NP!GD110</f>
        <v>2.6544999999999999E-2</v>
      </c>
      <c r="J472" s="553">
        <f>[9]Sales_NP!GE110</f>
        <v>2.6194999999999996E-2</v>
      </c>
      <c r="K472" s="553">
        <f>[9]Sales_NP!GF110</f>
        <v>2.1865740000000002E-2</v>
      </c>
      <c r="L472" s="553">
        <f>[9]Sales_NP!GG110</f>
        <v>1.8313080000000002E-2</v>
      </c>
      <c r="M472" s="553">
        <f>[9]Sales_NP!GH110</f>
        <v>2.037042E-2</v>
      </c>
      <c r="N472" s="553">
        <f>[9]Sales_NP!GI110</f>
        <v>2.6650559999999997E-2</v>
      </c>
      <c r="O472" s="553">
        <f>[9]Sales_NP!GJ110</f>
        <v>2.6338439999999998E-2</v>
      </c>
      <c r="P472" s="553">
        <f>[9]Sales_NP!GK110</f>
        <v>3.1740360000000002E-2</v>
      </c>
      <c r="Q472" s="561">
        <f t="shared" si="104"/>
        <v>0.33102660000000006</v>
      </c>
      <c r="R472" s="166"/>
      <c r="S472" s="166"/>
    </row>
    <row r="473" spans="3:19" x14ac:dyDescent="0.25">
      <c r="C473" s="17" t="s">
        <v>200</v>
      </c>
      <c r="D473" s="17" t="s">
        <v>201</v>
      </c>
      <c r="E473" s="553">
        <f>[9]Sales_NP!FZ115</f>
        <v>0.81062999999999996</v>
      </c>
      <c r="F473" s="553">
        <f>[9]Sales_NP!GA115</f>
        <v>0.85855800000000004</v>
      </c>
      <c r="G473" s="553">
        <f>[9]Sales_NP!GB115</f>
        <v>0.80576300000000001</v>
      </c>
      <c r="H473" s="553">
        <f>[9]Sales_NP!GC115</f>
        <v>0.69171099999999985</v>
      </c>
      <c r="I473" s="553">
        <f>[9]Sales_NP!GD115</f>
        <v>0.69565500000000002</v>
      </c>
      <c r="J473" s="553">
        <f>[9]Sales_NP!GE115</f>
        <v>0.64584350000000001</v>
      </c>
      <c r="K473" s="553">
        <f>[9]Sales_NP!GF115</f>
        <v>0.73879502077230552</v>
      </c>
      <c r="L473" s="553">
        <f>[9]Sales_NP!GG115</f>
        <v>0.64685780329172737</v>
      </c>
      <c r="M473" s="553">
        <f>[9]Sales_NP!GH115</f>
        <v>0.58681139465911925</v>
      </c>
      <c r="N473" s="553">
        <f>[9]Sales_NP!GI115</f>
        <v>0.61721304272730948</v>
      </c>
      <c r="O473" s="553">
        <f>[9]Sales_NP!GJ115</f>
        <v>0.63467786291936856</v>
      </c>
      <c r="P473" s="553">
        <f>[9]Sales_NP!GK115</f>
        <v>0.69459812363468143</v>
      </c>
      <c r="Q473" s="561">
        <f t="shared" si="104"/>
        <v>8.427113748004512</v>
      </c>
      <c r="R473" s="166"/>
      <c r="S473" s="166"/>
    </row>
    <row r="474" spans="3:19" x14ac:dyDescent="0.25">
      <c r="C474" s="17" t="s">
        <v>202</v>
      </c>
      <c r="D474" s="17" t="s">
        <v>203</v>
      </c>
      <c r="E474" s="553">
        <f>[9]Sales_NP!FZ121</f>
        <v>1.8810929999999999</v>
      </c>
      <c r="F474" s="553">
        <f>[9]Sales_NP!GA121</f>
        <v>0.25292900000000001</v>
      </c>
      <c r="G474" s="553">
        <f>[9]Sales_NP!GB121</f>
        <v>0.246472</v>
      </c>
      <c r="H474" s="553">
        <f>[9]Sales_NP!GC121</f>
        <v>1.0268710000000001</v>
      </c>
      <c r="I474" s="553">
        <f>[9]Sales_NP!GD121</f>
        <v>1.7964720000000001</v>
      </c>
      <c r="J474" s="553">
        <f>[9]Sales_NP!GE121</f>
        <v>1.5432570000000001</v>
      </c>
      <c r="K474" s="553">
        <f>[9]Sales_NP!GF121</f>
        <v>2.7922435999999999</v>
      </c>
      <c r="L474" s="553">
        <f>[9]Sales_NP!GG121</f>
        <v>1.195738</v>
      </c>
      <c r="M474" s="553">
        <f>[9]Sales_NP!GH121</f>
        <v>1.4618586999999998</v>
      </c>
      <c r="N474" s="553">
        <f>[9]Sales_NP!GI121</f>
        <v>3.7515427999999997</v>
      </c>
      <c r="O474" s="553">
        <f>[9]Sales_NP!GJ121</f>
        <v>4.0852820000000003</v>
      </c>
      <c r="P474" s="553">
        <f>[9]Sales_NP!GK121</f>
        <v>4.5289510000000002</v>
      </c>
      <c r="Q474" s="561">
        <f t="shared" si="104"/>
        <v>24.5627101</v>
      </c>
      <c r="R474" s="166"/>
      <c r="S474" s="166"/>
    </row>
    <row r="475" spans="3:19" x14ac:dyDescent="0.25">
      <c r="C475" s="17" t="s">
        <v>204</v>
      </c>
      <c r="D475" s="17" t="s">
        <v>205</v>
      </c>
      <c r="E475" s="553">
        <f>[9]Sales_NP!FZ122</f>
        <v>14.13611</v>
      </c>
      <c r="F475" s="553">
        <f>[9]Sales_NP!GA122</f>
        <v>13.819861660000001</v>
      </c>
      <c r="G475" s="553">
        <f>[9]Sales_NP!GB122</f>
        <v>13.385196000000001</v>
      </c>
      <c r="H475" s="553">
        <f>[9]Sales_NP!GC122</f>
        <v>12.128666000000001</v>
      </c>
      <c r="I475" s="553">
        <f>[9]Sales_NP!GD122</f>
        <v>12.54369133</v>
      </c>
      <c r="J475" s="553">
        <f>[9]Sales_NP!GE122</f>
        <v>11.636266000000001</v>
      </c>
      <c r="K475" s="553">
        <f>[9]Sales_NP!GF122</f>
        <v>13.53608474954156</v>
      </c>
      <c r="L475" s="553">
        <f>[9]Sales_NP!GG122</f>
        <v>13.232861147009848</v>
      </c>
      <c r="M475" s="553">
        <f>[9]Sales_NP!GH122</f>
        <v>13.353467738592849</v>
      </c>
      <c r="N475" s="553">
        <f>[9]Sales_NP!GI122</f>
        <v>14.145500322902063</v>
      </c>
      <c r="O475" s="553">
        <f>[9]Sales_NP!GJ122</f>
        <v>13.138228817370909</v>
      </c>
      <c r="P475" s="553">
        <f>[9]Sales_NP!GK122</f>
        <v>14.081344696195606</v>
      </c>
      <c r="Q475" s="561">
        <f t="shared" si="104"/>
        <v>159.13727846161282</v>
      </c>
      <c r="R475" s="166"/>
      <c r="S475" s="166"/>
    </row>
    <row r="476" spans="3:19" x14ac:dyDescent="0.25">
      <c r="C476" s="17" t="s">
        <v>206</v>
      </c>
      <c r="D476" s="17" t="s">
        <v>207</v>
      </c>
      <c r="E476" s="553">
        <f>[9]Sales_NP!FZ126</f>
        <v>0.92873700000000003</v>
      </c>
      <c r="F476" s="553">
        <f>[9]Sales_NP!GA126</f>
        <v>0.96299999999999997</v>
      </c>
      <c r="G476" s="553">
        <f>[9]Sales_NP!GB126</f>
        <v>0.91133799999999998</v>
      </c>
      <c r="H476" s="553">
        <f>[9]Sales_NP!GC126</f>
        <v>0.76014099999999996</v>
      </c>
      <c r="I476" s="553">
        <f>[9]Sales_NP!GD126</f>
        <v>0.79836600000000002</v>
      </c>
      <c r="J476" s="553">
        <f>[9]Sales_NP!GE126</f>
        <v>0.74847399999999997</v>
      </c>
      <c r="K476" s="553">
        <f>[9]Sales_NP!GF126</f>
        <v>0.73818825906948671</v>
      </c>
      <c r="L476" s="553">
        <f>[9]Sales_NP!GG126</f>
        <v>0.67068726060502459</v>
      </c>
      <c r="M476" s="553">
        <f>[9]Sales_NP!GH126</f>
        <v>0.55828835005008381</v>
      </c>
      <c r="N476" s="553">
        <f>[9]Sales_NP!GI126</f>
        <v>0.63115914809892149</v>
      </c>
      <c r="O476" s="553">
        <f>[9]Sales_NP!GJ126</f>
        <v>0.64438706772254406</v>
      </c>
      <c r="P476" s="553">
        <f>[9]Sales_NP!GK126</f>
        <v>0.75655554080237886</v>
      </c>
      <c r="Q476" s="561">
        <f t="shared" si="104"/>
        <v>9.1093216263484411</v>
      </c>
      <c r="R476" s="166"/>
      <c r="S476" s="166"/>
    </row>
    <row r="477" spans="3:19" x14ac:dyDescent="0.25">
      <c r="C477" s="17" t="s">
        <v>208</v>
      </c>
      <c r="D477" s="17" t="s">
        <v>187</v>
      </c>
      <c r="E477" s="553">
        <f>[9]Sales_NP!FZ127</f>
        <v>1.101181</v>
      </c>
      <c r="F477" s="553">
        <f>[9]Sales_NP!GA127</f>
        <v>1.0717239999999999</v>
      </c>
      <c r="G477" s="553">
        <f>[9]Sales_NP!GB127</f>
        <v>1.084025</v>
      </c>
      <c r="H477" s="553">
        <f>[9]Sales_NP!GC127</f>
        <v>1.0250300000000001</v>
      </c>
      <c r="I477" s="553">
        <f>[9]Sales_NP!GD127</f>
        <v>1.213595</v>
      </c>
      <c r="J477" s="553">
        <f>[9]Sales_NP!GE127</f>
        <v>1.1878</v>
      </c>
      <c r="K477" s="553">
        <f>[9]Sales_NP!GF127</f>
        <v>1.4299949999999999</v>
      </c>
      <c r="L477" s="553">
        <f>[9]Sales_NP!GG127</f>
        <v>1.3612569999999999</v>
      </c>
      <c r="M477" s="553">
        <f>[9]Sales_NP!GH127</f>
        <v>1.364538</v>
      </c>
      <c r="N477" s="553">
        <f>[9]Sales_NP!GI127</f>
        <v>1.374131</v>
      </c>
      <c r="O477" s="553">
        <f>[9]Sales_NP!GJ127</f>
        <v>1.2489410000000001</v>
      </c>
      <c r="P477" s="553">
        <f>[9]Sales_NP!GK127</f>
        <v>1.1490670000000001</v>
      </c>
      <c r="Q477" s="561">
        <f t="shared" si="104"/>
        <v>14.611284000000001</v>
      </c>
      <c r="R477" s="166"/>
      <c r="S477" s="166"/>
    </row>
    <row r="478" spans="3:19" x14ac:dyDescent="0.25">
      <c r="C478" s="17" t="s">
        <v>209</v>
      </c>
      <c r="D478" s="17" t="s">
        <v>210</v>
      </c>
      <c r="E478" s="553">
        <f>[9]Sales_NP!FZ128</f>
        <v>74.935330099999987</v>
      </c>
      <c r="F478" s="553">
        <f>[9]Sales_NP!GA128</f>
        <v>50.249909000000002</v>
      </c>
      <c r="G478" s="553">
        <f>[9]Sales_NP!GB128</f>
        <v>70.708532019999993</v>
      </c>
      <c r="H478" s="553">
        <f>[9]Sales_NP!GC128</f>
        <v>101.04559681000001</v>
      </c>
      <c r="I478" s="553">
        <f>[9]Sales_NP!GD128</f>
        <v>93.933269940000017</v>
      </c>
      <c r="J478" s="553">
        <f>[9]Sales_NP!GE128</f>
        <v>86.487805000000009</v>
      </c>
      <c r="K478" s="553">
        <f>[9]Sales_NP!GF128</f>
        <v>102.48035387760032</v>
      </c>
      <c r="L478" s="553">
        <f>[9]Sales_NP!GG128</f>
        <v>57.618904551334673</v>
      </c>
      <c r="M478" s="553">
        <f>[9]Sales_NP!GH128</f>
        <v>116.89244391933178</v>
      </c>
      <c r="N478" s="553">
        <f>[9]Sales_NP!GI128</f>
        <v>125.13962267836598</v>
      </c>
      <c r="O478" s="553">
        <f>[9]Sales_NP!GJ128</f>
        <v>136.28117376674865</v>
      </c>
      <c r="P478" s="553">
        <f>[9]Sales_NP!GK128</f>
        <v>149.0908558521372</v>
      </c>
      <c r="Q478" s="561">
        <f t="shared" si="104"/>
        <v>1164.8637975155186</v>
      </c>
      <c r="R478" s="166"/>
      <c r="S478" s="166"/>
    </row>
    <row r="479" spans="3:19" x14ac:dyDescent="0.25">
      <c r="C479" s="17" t="s">
        <v>211</v>
      </c>
      <c r="D479" s="17" t="s">
        <v>189</v>
      </c>
      <c r="E479" s="553">
        <v>0</v>
      </c>
      <c r="F479" s="553">
        <v>0</v>
      </c>
      <c r="G479" s="553">
        <v>0</v>
      </c>
      <c r="H479" s="553">
        <v>0</v>
      </c>
      <c r="I479" s="553">
        <v>0</v>
      </c>
      <c r="J479" s="553">
        <v>0</v>
      </c>
      <c r="K479" s="553">
        <v>0</v>
      </c>
      <c r="L479" s="553">
        <v>0</v>
      </c>
      <c r="M479" s="553">
        <v>0</v>
      </c>
      <c r="N479" s="553">
        <v>0</v>
      </c>
      <c r="O479" s="553">
        <v>0</v>
      </c>
      <c r="P479" s="553">
        <v>0</v>
      </c>
      <c r="Q479" s="561">
        <f t="shared" si="104"/>
        <v>0</v>
      </c>
      <c r="R479" s="166"/>
      <c r="S479" s="166"/>
    </row>
    <row r="480" spans="3:19" hidden="1" x14ac:dyDescent="0.25">
      <c r="C480" s="17"/>
      <c r="D480" s="17"/>
      <c r="E480" s="553"/>
      <c r="F480" s="553"/>
      <c r="G480" s="553"/>
      <c r="H480" s="553"/>
      <c r="I480" s="553"/>
      <c r="J480" s="553"/>
      <c r="K480" s="553"/>
      <c r="L480" s="553"/>
      <c r="M480" s="553"/>
      <c r="N480" s="553"/>
      <c r="O480" s="553"/>
      <c r="P480" s="553"/>
      <c r="Q480" s="561">
        <f t="shared" si="104"/>
        <v>0</v>
      </c>
      <c r="R480" s="166"/>
      <c r="S480" s="166"/>
    </row>
    <row r="481" spans="3:19" hidden="1" x14ac:dyDescent="0.25">
      <c r="C481" s="17"/>
      <c r="D481" s="17"/>
      <c r="E481" s="553"/>
      <c r="F481" s="553"/>
      <c r="G481" s="553"/>
      <c r="H481" s="553"/>
      <c r="I481" s="553"/>
      <c r="J481" s="553"/>
      <c r="K481" s="553"/>
      <c r="L481" s="553"/>
      <c r="M481" s="553"/>
      <c r="N481" s="553"/>
      <c r="O481" s="553"/>
      <c r="P481" s="553"/>
      <c r="Q481" s="561">
        <f t="shared" si="104"/>
        <v>0</v>
      </c>
      <c r="R481" s="166"/>
      <c r="S481" s="166"/>
    </row>
    <row r="482" spans="3:19" hidden="1" x14ac:dyDescent="0.25">
      <c r="C482" s="17"/>
      <c r="D482" s="17"/>
      <c r="E482" s="553"/>
      <c r="F482" s="553"/>
      <c r="G482" s="553"/>
      <c r="H482" s="553"/>
      <c r="I482" s="553"/>
      <c r="J482" s="553"/>
      <c r="K482" s="553"/>
      <c r="L482" s="553"/>
      <c r="M482" s="553"/>
      <c r="N482" s="553"/>
      <c r="O482" s="553"/>
      <c r="P482" s="553"/>
      <c r="Q482" s="561">
        <f t="shared" si="104"/>
        <v>0</v>
      </c>
      <c r="R482" s="166"/>
      <c r="S482" s="166"/>
    </row>
    <row r="483" spans="3:19" hidden="1" x14ac:dyDescent="0.25">
      <c r="C483" s="17" t="s">
        <v>226</v>
      </c>
      <c r="D483" s="17" t="s">
        <v>226</v>
      </c>
      <c r="E483" s="553"/>
      <c r="F483" s="553"/>
      <c r="G483" s="553"/>
      <c r="H483" s="553"/>
      <c r="I483" s="553"/>
      <c r="J483" s="553"/>
      <c r="K483" s="553"/>
      <c r="L483" s="553"/>
      <c r="M483" s="553"/>
      <c r="N483" s="553"/>
      <c r="O483" s="553"/>
      <c r="P483" s="553"/>
      <c r="Q483" s="561">
        <f t="shared" si="104"/>
        <v>0</v>
      </c>
      <c r="R483" s="166"/>
      <c r="S483" s="166"/>
    </row>
    <row r="484" spans="3:19" x14ac:dyDescent="0.25">
      <c r="C484" s="751" t="s">
        <v>212</v>
      </c>
      <c r="D484" s="752"/>
      <c r="E484" s="561">
        <f t="shared" ref="E484:P484" si="105">SUM(E469:E483)</f>
        <v>204.30907723999997</v>
      </c>
      <c r="F484" s="561">
        <f t="shared" si="105"/>
        <v>176.16565833999999</v>
      </c>
      <c r="G484" s="561">
        <f t="shared" si="105"/>
        <v>198.30139206000001</v>
      </c>
      <c r="H484" s="561">
        <f t="shared" si="105"/>
        <v>226.23838497</v>
      </c>
      <c r="I484" s="561">
        <f t="shared" si="105"/>
        <v>222.25641846000002</v>
      </c>
      <c r="J484" s="561">
        <f t="shared" si="105"/>
        <v>208.32409058999997</v>
      </c>
      <c r="K484" s="561">
        <f t="shared" si="105"/>
        <v>232.36860139958407</v>
      </c>
      <c r="L484" s="561">
        <f t="shared" si="105"/>
        <v>187.75909765955473</v>
      </c>
      <c r="M484" s="561">
        <f t="shared" si="105"/>
        <v>256.71829898621411</v>
      </c>
      <c r="N484" s="561">
        <f t="shared" si="105"/>
        <v>274.81703868667978</v>
      </c>
      <c r="O484" s="561">
        <f t="shared" si="105"/>
        <v>275.55667137279823</v>
      </c>
      <c r="P484" s="561">
        <f t="shared" si="105"/>
        <v>278.95619972822163</v>
      </c>
      <c r="Q484" s="561">
        <f t="shared" si="104"/>
        <v>2741.7709294930523</v>
      </c>
      <c r="R484" s="166"/>
      <c r="S484" s="166"/>
    </row>
    <row r="485" spans="3:19" x14ac:dyDescent="0.25">
      <c r="C485" s="753" t="s">
        <v>213</v>
      </c>
      <c r="D485" s="754"/>
      <c r="E485" s="553"/>
      <c r="F485" s="553"/>
      <c r="G485" s="553"/>
      <c r="H485" s="553"/>
      <c r="I485" s="553"/>
      <c r="J485" s="553"/>
      <c r="K485" s="553"/>
      <c r="L485" s="553"/>
      <c r="M485" s="553"/>
      <c r="N485" s="553"/>
      <c r="O485" s="553"/>
      <c r="P485" s="553"/>
      <c r="Q485" s="561"/>
      <c r="R485" s="166"/>
      <c r="S485" s="166"/>
    </row>
    <row r="486" spans="3:19" x14ac:dyDescent="0.25">
      <c r="C486" s="17" t="s">
        <v>192</v>
      </c>
      <c r="D486" s="17" t="s">
        <v>193</v>
      </c>
      <c r="E486" s="553">
        <f>[9]Sales_NP!FZ144</f>
        <v>18.733255</v>
      </c>
      <c r="F486" s="553">
        <f>[9]Sales_NP!GA144</f>
        <v>17.510019</v>
      </c>
      <c r="G486" s="553">
        <f>[9]Sales_NP!GB144</f>
        <v>18.371242000000002</v>
      </c>
      <c r="H486" s="553">
        <f>[9]Sales_NP!GC144</f>
        <v>19.461491000000002</v>
      </c>
      <c r="I486" s="553">
        <f>[9]Sales_NP!GD144</f>
        <v>20.109402000000003</v>
      </c>
      <c r="J486" s="553">
        <f>[9]Sales_NP!GE144</f>
        <v>19.656043</v>
      </c>
      <c r="K486" s="553">
        <f>[9]Sales_NP!GF144</f>
        <v>14.849957011148625</v>
      </c>
      <c r="L486" s="553">
        <f>[9]Sales_NP!GG144</f>
        <v>16.683472843580219</v>
      </c>
      <c r="M486" s="553">
        <f>[9]Sales_NP!GH144</f>
        <v>17.070070548210531</v>
      </c>
      <c r="N486" s="553">
        <f>[9]Sales_NP!GI144</f>
        <v>18.166451688453414</v>
      </c>
      <c r="O486" s="553">
        <f>[9]Sales_NP!GJ144</f>
        <v>18.366121813968178</v>
      </c>
      <c r="P486" s="553">
        <f>[9]Sales_NP!GK144</f>
        <v>19.087723266546547</v>
      </c>
      <c r="Q486" s="561">
        <f t="shared" ref="Q486:Q501" si="106">SUM(E486:P486)</f>
        <v>218.06524917190757</v>
      </c>
      <c r="R486" s="166"/>
      <c r="S486" s="166"/>
    </row>
    <row r="487" spans="3:19" x14ac:dyDescent="0.25">
      <c r="C487" s="17" t="s">
        <v>194</v>
      </c>
      <c r="D487" s="17" t="s">
        <v>195</v>
      </c>
      <c r="E487" s="553">
        <f>[9]Sales_NP!FZ159</f>
        <v>0</v>
      </c>
      <c r="F487" s="553">
        <f>[9]Sales_NP!GA159</f>
        <v>0</v>
      </c>
      <c r="G487" s="553">
        <f>[9]Sales_NP!GB159</f>
        <v>2.3999999999999998E-3</v>
      </c>
      <c r="H487" s="553">
        <f>[9]Sales_NP!GC159</f>
        <v>2.8E-3</v>
      </c>
      <c r="I487" s="553">
        <f>[9]Sales_NP!GD159</f>
        <v>0.72760000000000002</v>
      </c>
      <c r="J487" s="553">
        <f>[9]Sales_NP!GE159</f>
        <v>2.9662000000000002</v>
      </c>
      <c r="K487" s="553">
        <f>[9]Sales_NP!GF159</f>
        <v>2.9662000000000002</v>
      </c>
      <c r="L487" s="553">
        <f>[9]Sales_NP!GG159</f>
        <v>2.9662000000000002</v>
      </c>
      <c r="M487" s="553">
        <f>[9]Sales_NP!GH159</f>
        <v>2.9662000000000002</v>
      </c>
      <c r="N487" s="553">
        <f>[9]Sales_NP!GI159</f>
        <v>2.9662000000000002</v>
      </c>
      <c r="O487" s="553">
        <f>[9]Sales_NP!GJ159</f>
        <v>2.9662000000000002</v>
      </c>
      <c r="P487" s="553">
        <f>[9]Sales_NP!GK159</f>
        <v>2.9662000000000002</v>
      </c>
      <c r="Q487" s="561">
        <f t="shared" si="106"/>
        <v>21.496200000000002</v>
      </c>
      <c r="R487" s="166"/>
      <c r="S487" s="166"/>
    </row>
    <row r="488" spans="3:19" x14ac:dyDescent="0.25">
      <c r="C488" s="17" t="s">
        <v>233</v>
      </c>
      <c r="D488" s="17" t="s">
        <v>197</v>
      </c>
      <c r="E488" s="553">
        <f>[9]Sales_NP!FZ160</f>
        <v>1.351898</v>
      </c>
      <c r="F488" s="553">
        <f>[9]Sales_NP!GA160</f>
        <v>1.282016</v>
      </c>
      <c r="G488" s="553">
        <f>[9]Sales_NP!GB160</f>
        <v>1.2406270000000001</v>
      </c>
      <c r="H488" s="553">
        <f>[9]Sales_NP!GC160</f>
        <v>1.3505119999999997</v>
      </c>
      <c r="I488" s="553">
        <f>[9]Sales_NP!GD160</f>
        <v>1.6477911000000001</v>
      </c>
      <c r="J488" s="553">
        <f>[9]Sales_NP!GE160</f>
        <v>1.6116490000000001</v>
      </c>
      <c r="K488" s="553">
        <f>[9]Sales_NP!GF160</f>
        <v>1.70167212</v>
      </c>
      <c r="L488" s="553">
        <f>[9]Sales_NP!GG160</f>
        <v>1.4467618799999999</v>
      </c>
      <c r="M488" s="553">
        <f>[9]Sales_NP!GH160</f>
        <v>1.1448794160000002</v>
      </c>
      <c r="N488" s="553">
        <f>[9]Sales_NP!GI160</f>
        <v>1.06568478</v>
      </c>
      <c r="O488" s="553">
        <f>[9]Sales_NP!GJ160</f>
        <v>1.19563278</v>
      </c>
      <c r="P488" s="553">
        <f>[9]Sales_NP!GK160</f>
        <v>1.3224208200000001</v>
      </c>
      <c r="Q488" s="561">
        <f t="shared" si="106"/>
        <v>16.361544896000002</v>
      </c>
      <c r="R488" s="166"/>
      <c r="S488" s="166"/>
    </row>
    <row r="489" spans="3:19" x14ac:dyDescent="0.25">
      <c r="C489" s="17" t="s">
        <v>198</v>
      </c>
      <c r="D489" s="17" t="s">
        <v>199</v>
      </c>
      <c r="E489" s="553">
        <f>[9]Sales_NP!FZ166</f>
        <v>0</v>
      </c>
      <c r="F489" s="553">
        <f>[9]Sales_NP!GA166</f>
        <v>0</v>
      </c>
      <c r="G489" s="553">
        <f>[9]Sales_NP!GB166</f>
        <v>0</v>
      </c>
      <c r="H489" s="553">
        <f>[9]Sales_NP!GC166</f>
        <v>0</v>
      </c>
      <c r="I489" s="553">
        <f>[9]Sales_NP!GD166</f>
        <v>0</v>
      </c>
      <c r="J489" s="553">
        <f>[9]Sales_NP!GE166</f>
        <v>0</v>
      </c>
      <c r="K489" s="553">
        <f>[9]Sales_NP!GF166</f>
        <v>0</v>
      </c>
      <c r="L489" s="553">
        <f>[9]Sales_NP!GG166</f>
        <v>0</v>
      </c>
      <c r="M489" s="553">
        <f>[9]Sales_NP!GH166</f>
        <v>0</v>
      </c>
      <c r="N489" s="553">
        <f>[9]Sales_NP!GI166</f>
        <v>0</v>
      </c>
      <c r="O489" s="553">
        <f>[9]Sales_NP!GJ166</f>
        <v>0</v>
      </c>
      <c r="P489" s="553">
        <f>[9]Sales_NP!GK166</f>
        <v>0</v>
      </c>
      <c r="Q489" s="561">
        <f t="shared" si="106"/>
        <v>0</v>
      </c>
      <c r="R489" s="166"/>
      <c r="S489" s="166"/>
    </row>
    <row r="490" spans="3:19" x14ac:dyDescent="0.25">
      <c r="C490" s="17" t="s">
        <v>200</v>
      </c>
      <c r="D490" s="17" t="s">
        <v>201</v>
      </c>
      <c r="E490" s="553">
        <f>[9]Sales_NP!FZ171</f>
        <v>0</v>
      </c>
      <c r="F490" s="553">
        <f>[9]Sales_NP!GA171</f>
        <v>0</v>
      </c>
      <c r="G490" s="553">
        <f>[9]Sales_NP!GB171</f>
        <v>0</v>
      </c>
      <c r="H490" s="553">
        <f>[9]Sales_NP!GC171</f>
        <v>0</v>
      </c>
      <c r="I490" s="553">
        <f>[9]Sales_NP!GD171</f>
        <v>0</v>
      </c>
      <c r="J490" s="553">
        <f>[9]Sales_NP!GE171</f>
        <v>0</v>
      </c>
      <c r="K490" s="553">
        <f>[9]Sales_NP!GF171</f>
        <v>0</v>
      </c>
      <c r="L490" s="553">
        <f>[9]Sales_NP!GG171</f>
        <v>0</v>
      </c>
      <c r="M490" s="553">
        <f>[9]Sales_NP!GH171</f>
        <v>0</v>
      </c>
      <c r="N490" s="553">
        <f>[9]Sales_NP!GI171</f>
        <v>0</v>
      </c>
      <c r="O490" s="553">
        <f>[9]Sales_NP!GJ171</f>
        <v>0</v>
      </c>
      <c r="P490" s="553">
        <f>[9]Sales_NP!GK171</f>
        <v>0</v>
      </c>
      <c r="Q490" s="561">
        <f t="shared" si="106"/>
        <v>0</v>
      </c>
      <c r="R490" s="166"/>
      <c r="S490" s="166"/>
    </row>
    <row r="491" spans="3:19" x14ac:dyDescent="0.25">
      <c r="C491" s="17" t="s">
        <v>202</v>
      </c>
      <c r="D491" s="17" t="s">
        <v>203</v>
      </c>
      <c r="E491" s="553">
        <f>[9]Sales_NP!FZ177</f>
        <v>0.96419500000000002</v>
      </c>
      <c r="F491" s="553">
        <f>[9]Sales_NP!GA177</f>
        <v>8.6150000000000004E-2</v>
      </c>
      <c r="G491" s="553">
        <f>[9]Sales_NP!GB177</f>
        <v>7.9454999999999998E-2</v>
      </c>
      <c r="H491" s="553">
        <f>[9]Sales_NP!GC177</f>
        <v>0.15110000000000001</v>
      </c>
      <c r="I491" s="553">
        <f>[9]Sales_NP!GD177</f>
        <v>3.6118199999999998</v>
      </c>
      <c r="J491" s="553">
        <f>[9]Sales_NP!GE177</f>
        <v>3.8618899999999998</v>
      </c>
      <c r="K491" s="553">
        <f>[9]Sales_NP!GF177</f>
        <v>2.06528</v>
      </c>
      <c r="L491" s="553">
        <f>[9]Sales_NP!GG177</f>
        <v>1.0924499999999999</v>
      </c>
      <c r="M491" s="553">
        <f>[9]Sales_NP!GH177</f>
        <v>0.46172000000000002</v>
      </c>
      <c r="N491" s="553">
        <f>[9]Sales_NP!GI177</f>
        <v>7.4367049999999999</v>
      </c>
      <c r="O491" s="553">
        <f>[9]Sales_NP!GJ177</f>
        <v>6.0677500000000002</v>
      </c>
      <c r="P491" s="553">
        <f>[9]Sales_NP!GK177</f>
        <v>4.4021249999999998</v>
      </c>
      <c r="Q491" s="561">
        <f t="shared" si="106"/>
        <v>30.280639999999998</v>
      </c>
      <c r="R491" s="166"/>
      <c r="S491" s="166"/>
    </row>
    <row r="492" spans="3:19" x14ac:dyDescent="0.25">
      <c r="C492" s="17" t="s">
        <v>204</v>
      </c>
      <c r="D492" s="17" t="s">
        <v>205</v>
      </c>
      <c r="E492" s="553">
        <f>[9]Sales_NP!FZ178</f>
        <v>31.637810000000002</v>
      </c>
      <c r="F492" s="553">
        <f>[9]Sales_NP!GA178</f>
        <v>32.154882999999998</v>
      </c>
      <c r="G492" s="553">
        <f>[9]Sales_NP!GB178</f>
        <v>29.797879999999999</v>
      </c>
      <c r="H492" s="553">
        <f>[9]Sales_NP!GC178</f>
        <v>30.456292999999999</v>
      </c>
      <c r="I492" s="553">
        <f>[9]Sales_NP!GD178</f>
        <v>29.774274999999999</v>
      </c>
      <c r="J492" s="553">
        <f>[9]Sales_NP!GE178</f>
        <v>29.234998000000001</v>
      </c>
      <c r="K492" s="553">
        <f>[9]Sales_NP!GF178</f>
        <v>30.763913899001746</v>
      </c>
      <c r="L492" s="553">
        <f>[9]Sales_NP!GG178</f>
        <v>30.78339691780592</v>
      </c>
      <c r="M492" s="553">
        <f>[9]Sales_NP!GH178</f>
        <v>30.479904878532789</v>
      </c>
      <c r="N492" s="553">
        <f>[9]Sales_NP!GI178</f>
        <v>31.780103338040057</v>
      </c>
      <c r="O492" s="553">
        <f>[9]Sales_NP!GJ178</f>
        <v>28.60389930160623</v>
      </c>
      <c r="P492" s="553">
        <f>[9]Sales_NP!GK178</f>
        <v>38.131653187285849</v>
      </c>
      <c r="Q492" s="561">
        <f t="shared" si="106"/>
        <v>373.59901052227264</v>
      </c>
      <c r="R492" s="166"/>
      <c r="S492" s="166"/>
    </row>
    <row r="493" spans="3:19" x14ac:dyDescent="0.25">
      <c r="C493" s="17" t="s">
        <v>206</v>
      </c>
      <c r="D493" s="17" t="s">
        <v>207</v>
      </c>
      <c r="E493" s="553">
        <f>[9]Sales_NP!FZ182</f>
        <v>4.3664389999999997</v>
      </c>
      <c r="F493" s="553">
        <f>[9]Sales_NP!GA182</f>
        <v>4.6133490000000004</v>
      </c>
      <c r="G493" s="553">
        <f>[9]Sales_NP!GB182</f>
        <v>3.9556540000000004</v>
      </c>
      <c r="H493" s="553">
        <f>[9]Sales_NP!GC182</f>
        <v>3.2344680000000006</v>
      </c>
      <c r="I493" s="553">
        <f>[9]Sales_NP!GD182</f>
        <v>3.5508120000000001</v>
      </c>
      <c r="J493" s="553">
        <f>[9]Sales_NP!GE182</f>
        <v>3.3408439999999997</v>
      </c>
      <c r="K493" s="553">
        <f>[9]Sales_NP!GF182</f>
        <v>1.7436400000000001</v>
      </c>
      <c r="L493" s="553">
        <f>[9]Sales_NP!GG182</f>
        <v>1.2835639999999999</v>
      </c>
      <c r="M493" s="553">
        <f>[9]Sales_NP!GH182</f>
        <v>0.63641499999999995</v>
      </c>
      <c r="N493" s="553">
        <f>[9]Sales_NP!GI182</f>
        <v>1.765506</v>
      </c>
      <c r="O493" s="553">
        <f>[9]Sales_NP!GJ182</f>
        <v>2.2222189999999999</v>
      </c>
      <c r="P493" s="553">
        <f>[9]Sales_NP!GK182</f>
        <v>3.2211628965517245</v>
      </c>
      <c r="Q493" s="561">
        <f t="shared" si="106"/>
        <v>33.934072896551719</v>
      </c>
      <c r="R493" s="166"/>
      <c r="S493" s="166"/>
    </row>
    <row r="494" spans="3:19" x14ac:dyDescent="0.25">
      <c r="C494" s="17" t="s">
        <v>214</v>
      </c>
      <c r="D494" s="17" t="s">
        <v>187</v>
      </c>
      <c r="E494" s="553">
        <f>[9]Sales_NP!FZ183</f>
        <v>0.62608299999999995</v>
      </c>
      <c r="F494" s="553">
        <f>[9]Sales_NP!GA183</f>
        <v>0.64824099999999996</v>
      </c>
      <c r="G494" s="553">
        <f>[9]Sales_NP!GB183</f>
        <v>0.77407099999999995</v>
      </c>
      <c r="H494" s="553">
        <f>[9]Sales_NP!GC183</f>
        <v>0.66778199999999999</v>
      </c>
      <c r="I494" s="553">
        <f>[9]Sales_NP!GD183</f>
        <v>0.58966600000000002</v>
      </c>
      <c r="J494" s="553">
        <f>[9]Sales_NP!GE183</f>
        <v>0.62527900000000003</v>
      </c>
      <c r="K494" s="553">
        <f>[9]Sales_NP!GF183</f>
        <v>0.65542955999999997</v>
      </c>
      <c r="L494" s="553">
        <f>[9]Sales_NP!GG183</f>
        <v>0.66593454000000007</v>
      </c>
      <c r="M494" s="553">
        <f>[9]Sales_NP!GH183</f>
        <v>0.78684942000000002</v>
      </c>
      <c r="N494" s="553">
        <f>[9]Sales_NP!GI183</f>
        <v>0.73547609999999997</v>
      </c>
      <c r="O494" s="553">
        <f>[9]Sales_NP!GJ183</f>
        <v>0.69303797999999994</v>
      </c>
      <c r="P494" s="553">
        <f>[9]Sales_NP!GK183</f>
        <v>0.67969230000000003</v>
      </c>
      <c r="Q494" s="561">
        <f t="shared" si="106"/>
        <v>8.1475419000000002</v>
      </c>
      <c r="R494" s="166"/>
      <c r="S494" s="166"/>
    </row>
    <row r="495" spans="3:19" x14ac:dyDescent="0.25">
      <c r="C495" s="17" t="s">
        <v>209</v>
      </c>
      <c r="D495" s="17" t="s">
        <v>210</v>
      </c>
      <c r="E495" s="553">
        <f>[9]Sales_NP!FZ184</f>
        <v>0</v>
      </c>
      <c r="F495" s="553">
        <f>[9]Sales_NP!GA184</f>
        <v>0</v>
      </c>
      <c r="G495" s="553">
        <f>[9]Sales_NP!GB184</f>
        <v>0</v>
      </c>
      <c r="H495" s="553">
        <f>[9]Sales_NP!GC184</f>
        <v>0</v>
      </c>
      <c r="I495" s="553">
        <f>[9]Sales_NP!GD184</f>
        <v>0</v>
      </c>
      <c r="J495" s="553">
        <f>[9]Sales_NP!GE184</f>
        <v>0</v>
      </c>
      <c r="K495" s="553">
        <f>[9]Sales_NP!GF184</f>
        <v>0</v>
      </c>
      <c r="L495" s="553">
        <f>[9]Sales_NP!GG184</f>
        <v>0</v>
      </c>
      <c r="M495" s="553">
        <f>[9]Sales_NP!GH184</f>
        <v>0</v>
      </c>
      <c r="N495" s="553">
        <f>[9]Sales_NP!GI184</f>
        <v>0</v>
      </c>
      <c r="O495" s="553">
        <f>[9]Sales_NP!GJ184</f>
        <v>0</v>
      </c>
      <c r="P495" s="553">
        <f>[9]Sales_NP!GK184</f>
        <v>0</v>
      </c>
      <c r="Q495" s="561">
        <f t="shared" si="106"/>
        <v>0</v>
      </c>
      <c r="R495" s="166"/>
      <c r="S495" s="166"/>
    </row>
    <row r="496" spans="3:19" x14ac:dyDescent="0.25">
      <c r="C496" s="17" t="s">
        <v>211</v>
      </c>
      <c r="D496" s="17" t="s">
        <v>189</v>
      </c>
      <c r="E496" s="553">
        <f>[9]Sales_NP!FZ188</f>
        <v>0</v>
      </c>
      <c r="F496" s="553">
        <f>[9]Sales_NP!GA188</f>
        <v>0</v>
      </c>
      <c r="G496" s="553">
        <f>[9]Sales_NP!GB188</f>
        <v>0</v>
      </c>
      <c r="H496" s="553">
        <f>[9]Sales_NP!GC188</f>
        <v>0</v>
      </c>
      <c r="I496" s="553">
        <f>[9]Sales_NP!GD188</f>
        <v>0.02</v>
      </c>
      <c r="J496" s="553">
        <f>[9]Sales_NP!GE188</f>
        <v>0.03</v>
      </c>
      <c r="K496" s="553">
        <f>[9]Sales_NP!GF188</f>
        <v>1.35408</v>
      </c>
      <c r="L496" s="553">
        <f>[9]Sales_NP!GG188</f>
        <v>1.3104</v>
      </c>
      <c r="M496" s="553">
        <f>[9]Sales_NP!GH188</f>
        <v>1.35408</v>
      </c>
      <c r="N496" s="553">
        <f>[9]Sales_NP!GI188</f>
        <v>1.66656</v>
      </c>
      <c r="O496" s="553">
        <f>[9]Sales_NP!GJ188</f>
        <v>1.50528</v>
      </c>
      <c r="P496" s="553">
        <f>[9]Sales_NP!GK188</f>
        <v>1.66656</v>
      </c>
      <c r="Q496" s="561">
        <f t="shared" si="106"/>
        <v>8.9069599999999998</v>
      </c>
      <c r="R496" s="166"/>
      <c r="S496" s="166"/>
    </row>
    <row r="497" spans="3:19" hidden="1" x14ac:dyDescent="0.25">
      <c r="C497" s="17"/>
      <c r="D497" s="17"/>
      <c r="E497" s="553"/>
      <c r="F497" s="553"/>
      <c r="G497" s="553"/>
      <c r="H497" s="553"/>
      <c r="I497" s="553"/>
      <c r="J497" s="553"/>
      <c r="K497" s="553"/>
      <c r="L497" s="553"/>
      <c r="M497" s="553"/>
      <c r="N497" s="553"/>
      <c r="O497" s="553"/>
      <c r="P497" s="553"/>
      <c r="Q497" s="561">
        <f t="shared" si="106"/>
        <v>0</v>
      </c>
      <c r="R497" s="166"/>
      <c r="S497" s="166"/>
    </row>
    <row r="498" spans="3:19" hidden="1" x14ac:dyDescent="0.25">
      <c r="C498" s="17"/>
      <c r="D498" s="17"/>
      <c r="E498" s="553"/>
      <c r="F498" s="553"/>
      <c r="G498" s="553"/>
      <c r="H498" s="553"/>
      <c r="I498" s="553"/>
      <c r="J498" s="553"/>
      <c r="K498" s="553"/>
      <c r="L498" s="553"/>
      <c r="M498" s="553"/>
      <c r="N498" s="553"/>
      <c r="O498" s="553"/>
      <c r="P498" s="553"/>
      <c r="Q498" s="561">
        <f t="shared" si="106"/>
        <v>0</v>
      </c>
      <c r="R498" s="166"/>
      <c r="S498" s="166"/>
    </row>
    <row r="499" spans="3:19" hidden="1" x14ac:dyDescent="0.25">
      <c r="C499" s="17"/>
      <c r="D499" s="17"/>
      <c r="E499" s="553"/>
      <c r="F499" s="553"/>
      <c r="G499" s="553"/>
      <c r="H499" s="553"/>
      <c r="I499" s="553"/>
      <c r="J499" s="553"/>
      <c r="K499" s="553"/>
      <c r="L499" s="553"/>
      <c r="M499" s="553"/>
      <c r="N499" s="553"/>
      <c r="O499" s="553"/>
      <c r="P499" s="553"/>
      <c r="Q499" s="561">
        <f t="shared" si="106"/>
        <v>0</v>
      </c>
      <c r="R499" s="166"/>
      <c r="S499" s="166"/>
    </row>
    <row r="500" spans="3:19" hidden="1" x14ac:dyDescent="0.25">
      <c r="C500" s="17" t="s">
        <v>226</v>
      </c>
      <c r="D500" s="17" t="s">
        <v>226</v>
      </c>
      <c r="E500" s="553"/>
      <c r="F500" s="553"/>
      <c r="G500" s="553"/>
      <c r="H500" s="553"/>
      <c r="I500" s="553"/>
      <c r="J500" s="553"/>
      <c r="K500" s="553"/>
      <c r="L500" s="553"/>
      <c r="M500" s="553"/>
      <c r="N500" s="553"/>
      <c r="O500" s="553"/>
      <c r="P500" s="553"/>
      <c r="Q500" s="561">
        <f t="shared" si="106"/>
        <v>0</v>
      </c>
      <c r="R500" s="166"/>
      <c r="S500" s="166"/>
    </row>
    <row r="501" spans="3:19" x14ac:dyDescent="0.25">
      <c r="C501" s="751" t="s">
        <v>212</v>
      </c>
      <c r="D501" s="752"/>
      <c r="E501" s="561">
        <f t="shared" ref="E501:P501" si="107">SUM(E486:E500)</f>
        <v>57.679679999999998</v>
      </c>
      <c r="F501" s="561">
        <f t="shared" si="107"/>
        <v>56.294657999999998</v>
      </c>
      <c r="G501" s="561">
        <f t="shared" si="107"/>
        <v>54.221329000000004</v>
      </c>
      <c r="H501" s="561">
        <f t="shared" si="107"/>
        <v>55.324446000000002</v>
      </c>
      <c r="I501" s="561">
        <f t="shared" si="107"/>
        <v>60.031366100000007</v>
      </c>
      <c r="J501" s="561">
        <f t="shared" si="107"/>
        <v>61.326903000000001</v>
      </c>
      <c r="K501" s="561">
        <f t="shared" si="107"/>
        <v>56.100172590150379</v>
      </c>
      <c r="L501" s="561">
        <f t="shared" si="107"/>
        <v>56.232180181386141</v>
      </c>
      <c r="M501" s="561">
        <f t="shared" si="107"/>
        <v>54.900119262743331</v>
      </c>
      <c r="N501" s="561">
        <f t="shared" si="107"/>
        <v>65.582686906493478</v>
      </c>
      <c r="O501" s="561">
        <f t="shared" si="107"/>
        <v>61.620140875574414</v>
      </c>
      <c r="P501" s="561">
        <f t="shared" si="107"/>
        <v>71.477537470384121</v>
      </c>
      <c r="Q501" s="561">
        <f t="shared" si="106"/>
        <v>710.79121938673188</v>
      </c>
      <c r="R501" s="166"/>
      <c r="S501" s="166"/>
    </row>
    <row r="502" spans="3:19" x14ac:dyDescent="0.25">
      <c r="C502" s="753" t="s">
        <v>215</v>
      </c>
      <c r="D502" s="754"/>
      <c r="E502" s="553"/>
      <c r="F502" s="553"/>
      <c r="G502" s="553"/>
      <c r="H502" s="553"/>
      <c r="I502" s="553"/>
      <c r="J502" s="553"/>
      <c r="K502" s="553"/>
      <c r="L502" s="553"/>
      <c r="M502" s="553"/>
      <c r="N502" s="553"/>
      <c r="O502" s="553"/>
      <c r="P502" s="553"/>
      <c r="Q502" s="561"/>
      <c r="R502" s="166"/>
      <c r="S502" s="166"/>
    </row>
    <row r="503" spans="3:19" x14ac:dyDescent="0.25">
      <c r="C503" s="17" t="s">
        <v>192</v>
      </c>
      <c r="D503" s="17" t="s">
        <v>193</v>
      </c>
      <c r="E503" s="553">
        <f>[9]Sales_NP!FZ198</f>
        <v>49.117088719999998</v>
      </c>
      <c r="F503" s="553">
        <f>[9]Sales_NP!GA198</f>
        <v>50.520845719999997</v>
      </c>
      <c r="G503" s="553">
        <f>[9]Sales_NP!GB198</f>
        <v>47.358044390000003</v>
      </c>
      <c r="H503" s="553">
        <f>[9]Sales_NP!GC198</f>
        <v>51.399640389999995</v>
      </c>
      <c r="I503" s="553">
        <f>[9]Sales_NP!GD198</f>
        <v>52.908668720000001</v>
      </c>
      <c r="J503" s="553">
        <f>[9]Sales_NP!GE198</f>
        <v>54.280838719999998</v>
      </c>
      <c r="K503" s="553">
        <f>[9]Sales_NP!GF198</f>
        <v>57.895970355760099</v>
      </c>
      <c r="L503" s="553">
        <f>[9]Sales_NP!GG198</f>
        <v>59.121675024573641</v>
      </c>
      <c r="M503" s="553">
        <f>[9]Sales_NP!GH198</f>
        <v>52.150697668330139</v>
      </c>
      <c r="N503" s="553">
        <f>[9]Sales_NP!GI198</f>
        <v>55.83279527399305</v>
      </c>
      <c r="O503" s="553">
        <f>[9]Sales_NP!GJ198</f>
        <v>52.500340550107452</v>
      </c>
      <c r="P503" s="553">
        <f>[9]Sales_NP!GK198</f>
        <v>53.083730142943999</v>
      </c>
      <c r="Q503" s="561">
        <f t="shared" ref="Q503:Q522" si="108">SUM(E503:P503)</f>
        <v>636.17033567570832</v>
      </c>
      <c r="R503" s="166"/>
      <c r="S503" s="166"/>
    </row>
    <row r="504" spans="3:19" x14ac:dyDescent="0.25">
      <c r="C504" s="17" t="s">
        <v>194</v>
      </c>
      <c r="D504" s="17" t="s">
        <v>195</v>
      </c>
      <c r="E504" s="553">
        <f>[9]Sales_NP!FZ208</f>
        <v>0</v>
      </c>
      <c r="F504" s="553">
        <f>[9]Sales_NP!GA208</f>
        <v>0</v>
      </c>
      <c r="G504" s="553">
        <f>[9]Sales_NP!GB208</f>
        <v>0</v>
      </c>
      <c r="H504" s="553">
        <f>[9]Sales_NP!GC208</f>
        <v>0</v>
      </c>
      <c r="I504" s="553">
        <f>[9]Sales_NP!GD208</f>
        <v>0</v>
      </c>
      <c r="J504" s="553">
        <f>[9]Sales_NP!GE208</f>
        <v>0</v>
      </c>
      <c r="K504" s="553">
        <f>[9]Sales_NP!GF208</f>
        <v>0</v>
      </c>
      <c r="L504" s="553">
        <f>[9]Sales_NP!GG208</f>
        <v>0</v>
      </c>
      <c r="M504" s="553">
        <f>[9]Sales_NP!GH208</f>
        <v>0</v>
      </c>
      <c r="N504" s="553">
        <f>[9]Sales_NP!GI208</f>
        <v>0</v>
      </c>
      <c r="O504" s="553">
        <f>[9]Sales_NP!GJ208</f>
        <v>0</v>
      </c>
      <c r="P504" s="553">
        <f>[9]Sales_NP!GK208</f>
        <v>0</v>
      </c>
      <c r="Q504" s="561">
        <f t="shared" si="108"/>
        <v>0</v>
      </c>
      <c r="R504" s="166"/>
      <c r="S504" s="166"/>
    </row>
    <row r="505" spans="3:19" x14ac:dyDescent="0.25">
      <c r="C505" s="17" t="s">
        <v>233</v>
      </c>
      <c r="D505" s="17" t="s">
        <v>197</v>
      </c>
      <c r="E505" s="553">
        <f>[9]Sales_NP!FZ214</f>
        <v>0.18790000000000004</v>
      </c>
      <c r="F505" s="553">
        <f>[9]Sales_NP!GA214</f>
        <v>0.1915</v>
      </c>
      <c r="G505" s="553">
        <f>[9]Sales_NP!GB214</f>
        <v>0.21079999999999999</v>
      </c>
      <c r="H505" s="553">
        <f>[9]Sales_NP!GC214</f>
        <v>0.68430000000000013</v>
      </c>
      <c r="I505" s="553">
        <f>[9]Sales_NP!GD214</f>
        <v>0.22889999999999999</v>
      </c>
      <c r="J505" s="553">
        <f>[9]Sales_NP!GE214</f>
        <v>1.0044</v>
      </c>
      <c r="K505" s="553">
        <f>[9]Sales_NP!GF214</f>
        <v>0.25009999999999999</v>
      </c>
      <c r="L505" s="553">
        <f>[9]Sales_NP!GG214</f>
        <v>0.33629999999999999</v>
      </c>
      <c r="M505" s="553">
        <f>[9]Sales_NP!GH214</f>
        <v>0.36739999999999995</v>
      </c>
      <c r="N505" s="553">
        <f>[9]Sales_NP!GI214</f>
        <v>0.62139999999999995</v>
      </c>
      <c r="O505" s="553">
        <f>[9]Sales_NP!GJ214</f>
        <v>0.26619999999999999</v>
      </c>
      <c r="P505" s="553">
        <f>[9]Sales_NP!GK214</f>
        <v>0.23020000000000002</v>
      </c>
      <c r="Q505" s="561">
        <f t="shared" si="108"/>
        <v>4.5793999999999997</v>
      </c>
      <c r="R505" s="166"/>
      <c r="S505" s="166"/>
    </row>
    <row r="506" spans="3:19" x14ac:dyDescent="0.25">
      <c r="C506" s="17" t="s">
        <v>198</v>
      </c>
      <c r="D506" s="17" t="s">
        <v>199</v>
      </c>
      <c r="E506" s="553">
        <f>[9]Sales_NP!FZ219</f>
        <v>0</v>
      </c>
      <c r="F506" s="553">
        <f>[9]Sales_NP!GA219</f>
        <v>0</v>
      </c>
      <c r="G506" s="553">
        <f>[9]Sales_NP!GB219</f>
        <v>0</v>
      </c>
      <c r="H506" s="553">
        <f>[9]Sales_NP!GC219</f>
        <v>0</v>
      </c>
      <c r="I506" s="553">
        <f>[9]Sales_NP!GD219</f>
        <v>0</v>
      </c>
      <c r="J506" s="553">
        <f>[9]Sales_NP!GE219</f>
        <v>0</v>
      </c>
      <c r="K506" s="553">
        <f>[9]Sales_NP!GF219</f>
        <v>0</v>
      </c>
      <c r="L506" s="553">
        <f>[9]Sales_NP!GG219</f>
        <v>0</v>
      </c>
      <c r="M506" s="553">
        <f>[9]Sales_NP!GH219</f>
        <v>0</v>
      </c>
      <c r="N506" s="553">
        <f>[9]Sales_NP!GI219</f>
        <v>0</v>
      </c>
      <c r="O506" s="553">
        <f>[9]Sales_NP!GJ219</f>
        <v>0</v>
      </c>
      <c r="P506" s="553">
        <f>[9]Sales_NP!GK219</f>
        <v>0</v>
      </c>
      <c r="Q506" s="561">
        <f t="shared" si="108"/>
        <v>0</v>
      </c>
      <c r="R506" s="166"/>
      <c r="S506" s="166"/>
    </row>
    <row r="507" spans="3:19" x14ac:dyDescent="0.25">
      <c r="C507" s="17" t="s">
        <v>200</v>
      </c>
      <c r="D507" s="17" t="s">
        <v>201</v>
      </c>
      <c r="E507" s="553">
        <f>[9]Sales_NP!FZ224</f>
        <v>0</v>
      </c>
      <c r="F507" s="553">
        <f>[9]Sales_NP!GA224</f>
        <v>0</v>
      </c>
      <c r="G507" s="553">
        <f>[9]Sales_NP!GB224</f>
        <v>0</v>
      </c>
      <c r="H507" s="553">
        <f>[9]Sales_NP!GC224</f>
        <v>0</v>
      </c>
      <c r="I507" s="553">
        <f>[9]Sales_NP!GD224</f>
        <v>0</v>
      </c>
      <c r="J507" s="553">
        <f>[9]Sales_NP!GE224</f>
        <v>0</v>
      </c>
      <c r="K507" s="553">
        <f>[9]Sales_NP!GF224</f>
        <v>0</v>
      </c>
      <c r="L507" s="553">
        <f>[9]Sales_NP!GG224</f>
        <v>0</v>
      </c>
      <c r="M507" s="553">
        <f>[9]Sales_NP!GH224</f>
        <v>0</v>
      </c>
      <c r="N507" s="553">
        <f>[9]Sales_NP!GI224</f>
        <v>0</v>
      </c>
      <c r="O507" s="553">
        <f>[9]Sales_NP!GJ224</f>
        <v>0</v>
      </c>
      <c r="P507" s="553">
        <f>[9]Sales_NP!GK224</f>
        <v>0</v>
      </c>
      <c r="Q507" s="561">
        <f t="shared" si="108"/>
        <v>0</v>
      </c>
      <c r="R507" s="166"/>
      <c r="S507" s="166"/>
    </row>
    <row r="508" spans="3:19" x14ac:dyDescent="0.25">
      <c r="C508" s="17" t="s">
        <v>202</v>
      </c>
      <c r="D508" s="17" t="s">
        <v>234</v>
      </c>
      <c r="E508" s="553">
        <f>[9]Sales_NP!FZ230</f>
        <v>9.1935830000000003</v>
      </c>
      <c r="F508" s="553">
        <f>[9]Sales_NP!GA230</f>
        <v>22.441925000000001</v>
      </c>
      <c r="G508" s="553">
        <f>[9]Sales_NP!GB230</f>
        <v>4.4943159999999995</v>
      </c>
      <c r="H508" s="553">
        <f>[9]Sales_NP!GC230</f>
        <v>140.67014499999999</v>
      </c>
      <c r="I508" s="553">
        <f>[9]Sales_NP!GD230</f>
        <v>542.38561800000002</v>
      </c>
      <c r="J508" s="553">
        <f>[9]Sales_NP!GE230</f>
        <v>141.72118799999998</v>
      </c>
      <c r="K508" s="553">
        <f>[9]Sales_NP!GF230</f>
        <v>74.385187999999999</v>
      </c>
      <c r="L508" s="553">
        <f>[9]Sales_NP!GG230</f>
        <v>138.6304978</v>
      </c>
      <c r="M508" s="553">
        <f>[9]Sales_NP!GH230</f>
        <v>24.626479</v>
      </c>
      <c r="N508" s="553">
        <f>[9]Sales_NP!GI230</f>
        <v>115.738292</v>
      </c>
      <c r="O508" s="553">
        <f>[9]Sales_NP!GJ230</f>
        <v>135.818702</v>
      </c>
      <c r="P508" s="553">
        <f>[9]Sales_NP!GK230</f>
        <v>145.34598400000002</v>
      </c>
      <c r="Q508" s="561">
        <f t="shared" si="108"/>
        <v>1495.4519178</v>
      </c>
      <c r="R508" s="166"/>
      <c r="S508" s="166"/>
    </row>
    <row r="509" spans="3:19" x14ac:dyDescent="0.25">
      <c r="C509" s="17" t="s">
        <v>204</v>
      </c>
      <c r="D509" s="17" t="s">
        <v>216</v>
      </c>
      <c r="E509" s="553">
        <f>[9]Sales_NP!FZ232</f>
        <v>2.1915360000000002</v>
      </c>
      <c r="F509" s="553">
        <f>[9]Sales_NP!GA232</f>
        <v>2.4081480000000002</v>
      </c>
      <c r="G509" s="553">
        <f>[9]Sales_NP!GB232</f>
        <v>2.3921999999999999</v>
      </c>
      <c r="H509" s="553">
        <f>[9]Sales_NP!GC232</f>
        <v>2.610684</v>
      </c>
      <c r="I509" s="553">
        <f>[9]Sales_NP!GD232</f>
        <v>2.493468</v>
      </c>
      <c r="J509" s="553">
        <f>[9]Sales_NP!GE232</f>
        <v>2.3063760000000002</v>
      </c>
      <c r="K509" s="553">
        <f>[9]Sales_NP!GF232</f>
        <v>2.3466316405434569</v>
      </c>
      <c r="L509" s="553">
        <f>[9]Sales_NP!GG232</f>
        <v>2.2751373575079481</v>
      </c>
      <c r="M509" s="553">
        <f>[9]Sales_NP!GH232</f>
        <v>2.4485498092760816</v>
      </c>
      <c r="N509" s="553">
        <f>[9]Sales_NP!GI232</f>
        <v>2.4973093539109503</v>
      </c>
      <c r="O509" s="553">
        <f>[9]Sales_NP!GJ232</f>
        <v>2.3215679777212874</v>
      </c>
      <c r="P509" s="553">
        <f>[9]Sales_NP!GK232</f>
        <v>2.6635501971429472</v>
      </c>
      <c r="Q509" s="561">
        <f t="shared" si="108"/>
        <v>28.955158336102667</v>
      </c>
      <c r="R509" s="166"/>
      <c r="S509" s="166"/>
    </row>
    <row r="510" spans="3:19" x14ac:dyDescent="0.25">
      <c r="C510" s="17" t="s">
        <v>217</v>
      </c>
      <c r="D510" s="17" t="s">
        <v>218</v>
      </c>
      <c r="E510" s="553">
        <f>[9]Sales_NP!FZ235</f>
        <v>52.879330100000004</v>
      </c>
      <c r="F510" s="553">
        <f>[9]Sales_NP!GA235</f>
        <v>53.790901700000006</v>
      </c>
      <c r="G510" s="553">
        <f>[9]Sales_NP!GB235</f>
        <v>52.512849600000003</v>
      </c>
      <c r="H510" s="553">
        <f>[9]Sales_NP!GC235</f>
        <v>50.321667700000006</v>
      </c>
      <c r="I510" s="553">
        <f>[9]Sales_NP!GD235</f>
        <v>52.117640399999999</v>
      </c>
      <c r="J510" s="553">
        <f>[9]Sales_NP!GE235</f>
        <v>45.233927799999996</v>
      </c>
      <c r="K510" s="553">
        <f>[9]Sales_NP!GF235</f>
        <v>55.066384746628245</v>
      </c>
      <c r="L510" s="553">
        <f>[9]Sales_NP!GG235</f>
        <v>55.893621194894187</v>
      </c>
      <c r="M510" s="553">
        <f>[9]Sales_NP!GH235</f>
        <v>54.923263621203901</v>
      </c>
      <c r="N510" s="553">
        <f>[9]Sales_NP!GI235</f>
        <v>56.92161750969909</v>
      </c>
      <c r="O510" s="553">
        <f>[9]Sales_NP!GJ235</f>
        <v>53.968634005032733</v>
      </c>
      <c r="P510" s="553">
        <f>[9]Sales_NP!GK235</f>
        <v>58.248264231289845</v>
      </c>
      <c r="Q510" s="561">
        <f t="shared" si="108"/>
        <v>641.87810260874801</v>
      </c>
      <c r="R510" s="166"/>
      <c r="S510" s="166"/>
    </row>
    <row r="511" spans="3:19" x14ac:dyDescent="0.25">
      <c r="C511" s="17" t="s">
        <v>252</v>
      </c>
      <c r="D511" s="17" t="s">
        <v>236</v>
      </c>
      <c r="E511" s="553">
        <v>0</v>
      </c>
      <c r="F511" s="553">
        <v>0</v>
      </c>
      <c r="G511" s="553">
        <v>0</v>
      </c>
      <c r="H511" s="553">
        <v>0</v>
      </c>
      <c r="I511" s="553">
        <v>0</v>
      </c>
      <c r="J511" s="553">
        <v>0</v>
      </c>
      <c r="K511" s="553">
        <v>0</v>
      </c>
      <c r="L511" s="553">
        <v>0</v>
      </c>
      <c r="M511" s="553">
        <v>0</v>
      </c>
      <c r="N511" s="553">
        <v>0</v>
      </c>
      <c r="O511" s="553">
        <v>0</v>
      </c>
      <c r="P511" s="553">
        <v>0</v>
      </c>
      <c r="Q511" s="561">
        <f t="shared" si="108"/>
        <v>0</v>
      </c>
      <c r="R511" s="166"/>
      <c r="S511" s="166"/>
    </row>
    <row r="512" spans="3:19" x14ac:dyDescent="0.25">
      <c r="C512" s="17" t="s">
        <v>206</v>
      </c>
      <c r="D512" s="17" t="s">
        <v>207</v>
      </c>
      <c r="E512" s="553">
        <f>[9]Sales_NP!FZ239</f>
        <v>6.8058180000000004</v>
      </c>
      <c r="F512" s="553">
        <f>[9]Sales_NP!GA239</f>
        <v>8.1115929999999992</v>
      </c>
      <c r="G512" s="553">
        <f>[9]Sales_NP!GB239</f>
        <v>7.0418869999999991</v>
      </c>
      <c r="H512" s="553">
        <f>[9]Sales_NP!GC239</f>
        <v>6.7359859999999996</v>
      </c>
      <c r="I512" s="553">
        <f>[9]Sales_NP!GD239</f>
        <v>6.3618709999999998</v>
      </c>
      <c r="J512" s="553">
        <f>[9]Sales_NP!GE239</f>
        <v>6.0985360000000002</v>
      </c>
      <c r="K512" s="553">
        <f>[9]Sales_NP!GF239</f>
        <v>5.3285729999999996</v>
      </c>
      <c r="L512" s="553">
        <f>[9]Sales_NP!GG239</f>
        <v>4.6946779999999997</v>
      </c>
      <c r="M512" s="553">
        <f>[9]Sales_NP!GH239</f>
        <v>2.9676140000000002</v>
      </c>
      <c r="N512" s="553">
        <f>[9]Sales_NP!GI239</f>
        <v>3.2173480000000003</v>
      </c>
      <c r="O512" s="553">
        <f>[9]Sales_NP!GJ239</f>
        <v>3.8677219999999997</v>
      </c>
      <c r="P512" s="553">
        <f>[9]Sales_NP!GK239</f>
        <v>5.7141391034482751</v>
      </c>
      <c r="Q512" s="561">
        <f t="shared" si="108"/>
        <v>66.945765103448267</v>
      </c>
      <c r="R512" s="166"/>
      <c r="S512" s="166"/>
    </row>
    <row r="513" spans="3:19" x14ac:dyDescent="0.25">
      <c r="C513" s="17" t="s">
        <v>208</v>
      </c>
      <c r="D513" s="17" t="s">
        <v>187</v>
      </c>
      <c r="E513" s="553">
        <f>[9]Sales_NP!FZ240</f>
        <v>0</v>
      </c>
      <c r="F513" s="553">
        <f>[9]Sales_NP!GA240</f>
        <v>0</v>
      </c>
      <c r="G513" s="553">
        <f>[9]Sales_NP!GB240</f>
        <v>0</v>
      </c>
      <c r="H513" s="553">
        <f>[9]Sales_NP!GC240</f>
        <v>0</v>
      </c>
      <c r="I513" s="553">
        <f>[9]Sales_NP!GD240</f>
        <v>0</v>
      </c>
      <c r="J513" s="553">
        <f>[9]Sales_NP!GE240</f>
        <v>0</v>
      </c>
      <c r="K513" s="553">
        <f>[9]Sales_NP!GF240</f>
        <v>0</v>
      </c>
      <c r="L513" s="553">
        <f>[9]Sales_NP!GG240</f>
        <v>0</v>
      </c>
      <c r="M513" s="553">
        <f>[9]Sales_NP!GH240</f>
        <v>0</v>
      </c>
      <c r="N513" s="553">
        <f>[9]Sales_NP!GI240</f>
        <v>0</v>
      </c>
      <c r="O513" s="553">
        <f>[9]Sales_NP!GJ240</f>
        <v>0</v>
      </c>
      <c r="P513" s="553">
        <f>[9]Sales_NP!GK240</f>
        <v>0</v>
      </c>
      <c r="Q513" s="561">
        <f t="shared" si="108"/>
        <v>0</v>
      </c>
      <c r="R513" s="166"/>
      <c r="S513" s="166"/>
    </row>
    <row r="514" spans="3:19" x14ac:dyDescent="0.25">
      <c r="C514" s="17" t="s">
        <v>209</v>
      </c>
      <c r="D514" s="17" t="s">
        <v>210</v>
      </c>
      <c r="E514" s="553">
        <v>0</v>
      </c>
      <c r="F514" s="553">
        <v>0</v>
      </c>
      <c r="G514" s="553">
        <v>0</v>
      </c>
      <c r="H514" s="553">
        <v>0</v>
      </c>
      <c r="I514" s="553">
        <v>0</v>
      </c>
      <c r="J514" s="553">
        <v>0</v>
      </c>
      <c r="K514" s="553">
        <v>0</v>
      </c>
      <c r="L514" s="553">
        <v>0</v>
      </c>
      <c r="M514" s="553">
        <v>0</v>
      </c>
      <c r="N514" s="553">
        <v>0</v>
      </c>
      <c r="O514" s="553">
        <v>0</v>
      </c>
      <c r="P514" s="553">
        <v>0</v>
      </c>
      <c r="Q514" s="561">
        <f t="shared" si="108"/>
        <v>0</v>
      </c>
      <c r="R514" s="166"/>
      <c r="S514" s="166"/>
    </row>
    <row r="515" spans="3:19" x14ac:dyDescent="0.25">
      <c r="C515" s="17" t="s">
        <v>211</v>
      </c>
      <c r="D515" s="17" t="s">
        <v>189</v>
      </c>
      <c r="E515" s="553">
        <v>0</v>
      </c>
      <c r="F515" s="553">
        <v>0</v>
      </c>
      <c r="G515" s="553">
        <v>0</v>
      </c>
      <c r="H515" s="553">
        <v>0</v>
      </c>
      <c r="I515" s="553">
        <v>0</v>
      </c>
      <c r="J515" s="553">
        <v>0</v>
      </c>
      <c r="K515" s="553">
        <v>0</v>
      </c>
      <c r="L515" s="553">
        <v>0</v>
      </c>
      <c r="M515" s="553">
        <v>0</v>
      </c>
      <c r="N515" s="553">
        <v>0</v>
      </c>
      <c r="O515" s="553">
        <v>0</v>
      </c>
      <c r="P515" s="553">
        <v>0</v>
      </c>
      <c r="Q515" s="561">
        <f t="shared" si="108"/>
        <v>0</v>
      </c>
      <c r="R515" s="166"/>
      <c r="S515" s="166"/>
    </row>
    <row r="516" spans="3:19" hidden="1" x14ac:dyDescent="0.25">
      <c r="C516" s="17"/>
      <c r="D516" s="17"/>
      <c r="E516" s="553"/>
      <c r="F516" s="553"/>
      <c r="G516" s="553"/>
      <c r="H516" s="553"/>
      <c r="I516" s="553"/>
      <c r="J516" s="553"/>
      <c r="K516" s="553"/>
      <c r="L516" s="553"/>
      <c r="M516" s="553"/>
      <c r="N516" s="553"/>
      <c r="O516" s="553"/>
      <c r="P516" s="553"/>
      <c r="Q516" s="561">
        <f t="shared" si="108"/>
        <v>0</v>
      </c>
      <c r="R516" s="166"/>
      <c r="S516" s="166"/>
    </row>
    <row r="517" spans="3:19" hidden="1" x14ac:dyDescent="0.25">
      <c r="C517" s="17"/>
      <c r="D517" s="17"/>
      <c r="E517" s="553"/>
      <c r="F517" s="553"/>
      <c r="G517" s="553"/>
      <c r="H517" s="553"/>
      <c r="I517" s="553"/>
      <c r="J517" s="553"/>
      <c r="K517" s="553"/>
      <c r="L517" s="553"/>
      <c r="M517" s="553"/>
      <c r="N517" s="553"/>
      <c r="O517" s="553"/>
      <c r="P517" s="553"/>
      <c r="Q517" s="561">
        <f t="shared" si="108"/>
        <v>0</v>
      </c>
      <c r="R517" s="166"/>
      <c r="S517" s="166"/>
    </row>
    <row r="518" spans="3:19" hidden="1" x14ac:dyDescent="0.25">
      <c r="C518" s="17"/>
      <c r="D518" s="17"/>
      <c r="E518" s="553"/>
      <c r="F518" s="553"/>
      <c r="G518" s="553"/>
      <c r="H518" s="553"/>
      <c r="I518" s="553"/>
      <c r="J518" s="553"/>
      <c r="K518" s="553"/>
      <c r="L518" s="553"/>
      <c r="M518" s="553"/>
      <c r="N518" s="553"/>
      <c r="O518" s="553"/>
      <c r="P518" s="553"/>
      <c r="Q518" s="561">
        <f t="shared" si="108"/>
        <v>0</v>
      </c>
      <c r="R518" s="166"/>
      <c r="S518" s="166"/>
    </row>
    <row r="519" spans="3:19" hidden="1" x14ac:dyDescent="0.25">
      <c r="C519" s="17" t="s">
        <v>226</v>
      </c>
      <c r="D519" s="17" t="s">
        <v>226</v>
      </c>
      <c r="E519" s="553"/>
      <c r="F519" s="553"/>
      <c r="G519" s="553"/>
      <c r="H519" s="553"/>
      <c r="I519" s="553"/>
      <c r="J519" s="553"/>
      <c r="K519" s="553"/>
      <c r="L519" s="553"/>
      <c r="M519" s="553"/>
      <c r="N519" s="553"/>
      <c r="O519" s="553"/>
      <c r="P519" s="553"/>
      <c r="Q519" s="561">
        <f t="shared" si="108"/>
        <v>0</v>
      </c>
      <c r="R519" s="166"/>
      <c r="S519" s="166"/>
    </row>
    <row r="520" spans="3:19" x14ac:dyDescent="0.25">
      <c r="C520" s="751" t="s">
        <v>212</v>
      </c>
      <c r="D520" s="752"/>
      <c r="E520" s="561">
        <f t="shared" ref="E520:P520" si="109">SUM(E503:E519)</f>
        <v>120.37525582000001</v>
      </c>
      <c r="F520" s="561">
        <f t="shared" si="109"/>
        <v>137.46491341999999</v>
      </c>
      <c r="G520" s="561">
        <f t="shared" si="109"/>
        <v>114.01009699000001</v>
      </c>
      <c r="H520" s="561">
        <f t="shared" si="109"/>
        <v>252.42242309</v>
      </c>
      <c r="I520" s="561">
        <f t="shared" si="109"/>
        <v>656.49616612</v>
      </c>
      <c r="J520" s="561">
        <f t="shared" si="109"/>
        <v>250.64526651999998</v>
      </c>
      <c r="K520" s="561">
        <f t="shared" si="109"/>
        <v>195.27284774293179</v>
      </c>
      <c r="L520" s="561">
        <f t="shared" si="109"/>
        <v>260.95190937697578</v>
      </c>
      <c r="M520" s="561">
        <f t="shared" si="109"/>
        <v>137.48400409881012</v>
      </c>
      <c r="N520" s="561">
        <f t="shared" si="109"/>
        <v>234.82876213760309</v>
      </c>
      <c r="O520" s="561">
        <f t="shared" si="109"/>
        <v>248.74316653286147</v>
      </c>
      <c r="P520" s="561">
        <f t="shared" si="109"/>
        <v>265.28586767482511</v>
      </c>
      <c r="Q520" s="561">
        <f t="shared" si="108"/>
        <v>2873.9806795240074</v>
      </c>
      <c r="R520" s="166"/>
      <c r="S520" s="166"/>
    </row>
    <row r="521" spans="3:19" x14ac:dyDescent="0.25">
      <c r="C521" s="751" t="s">
        <v>219</v>
      </c>
      <c r="D521" s="752"/>
      <c r="E521" s="561">
        <f t="shared" ref="E521:P521" si="110">E520+E501+E484</f>
        <v>382.36401305999993</v>
      </c>
      <c r="F521" s="561">
        <f t="shared" si="110"/>
        <v>369.92522975999998</v>
      </c>
      <c r="G521" s="561">
        <f t="shared" si="110"/>
        <v>366.53281805000006</v>
      </c>
      <c r="H521" s="561">
        <f t="shared" si="110"/>
        <v>533.98525405999999</v>
      </c>
      <c r="I521" s="561">
        <f t="shared" si="110"/>
        <v>938.78395068000009</v>
      </c>
      <c r="J521" s="561">
        <f t="shared" si="110"/>
        <v>520.29626010999993</v>
      </c>
      <c r="K521" s="561">
        <f t="shared" si="110"/>
        <v>483.7416217326662</v>
      </c>
      <c r="L521" s="561">
        <f t="shared" si="110"/>
        <v>504.9431872179166</v>
      </c>
      <c r="M521" s="561">
        <f t="shared" si="110"/>
        <v>449.10242234776757</v>
      </c>
      <c r="N521" s="561">
        <f t="shared" si="110"/>
        <v>575.22848773077635</v>
      </c>
      <c r="O521" s="561">
        <f t="shared" si="110"/>
        <v>585.91997878123414</v>
      </c>
      <c r="P521" s="561">
        <f t="shared" si="110"/>
        <v>615.71960487343085</v>
      </c>
      <c r="Q521" s="561">
        <f t="shared" si="108"/>
        <v>6326.5428284037916</v>
      </c>
      <c r="R521" s="166"/>
      <c r="S521" s="166"/>
    </row>
    <row r="522" spans="3:19" x14ac:dyDescent="0.25">
      <c r="C522" s="751" t="s">
        <v>220</v>
      </c>
      <c r="D522" s="752"/>
      <c r="E522" s="561">
        <f t="shared" ref="E522:P522" si="111">E521+E467</f>
        <v>919.07250405999991</v>
      </c>
      <c r="F522" s="561">
        <f t="shared" si="111"/>
        <v>992.15577876000009</v>
      </c>
      <c r="G522" s="561">
        <f t="shared" si="111"/>
        <v>1018.3957700500001</v>
      </c>
      <c r="H522" s="561">
        <f t="shared" si="111"/>
        <v>1101.5675120600001</v>
      </c>
      <c r="I522" s="561">
        <f t="shared" si="111"/>
        <v>1456.95228868</v>
      </c>
      <c r="J522" s="561">
        <f t="shared" si="111"/>
        <v>1075.6393621099999</v>
      </c>
      <c r="K522" s="561">
        <f t="shared" si="111"/>
        <v>999.90176387065094</v>
      </c>
      <c r="L522" s="561">
        <f t="shared" si="111"/>
        <v>1025.6809214275531</v>
      </c>
      <c r="M522" s="561">
        <f t="shared" si="111"/>
        <v>908.40406850556985</v>
      </c>
      <c r="N522" s="561">
        <f t="shared" si="111"/>
        <v>971.38427986903548</v>
      </c>
      <c r="O522" s="561">
        <f t="shared" si="111"/>
        <v>1040.8062971638926</v>
      </c>
      <c r="P522" s="561">
        <f t="shared" si="111"/>
        <v>1077.2053831636995</v>
      </c>
      <c r="Q522" s="561">
        <f t="shared" si="108"/>
        <v>12587.165929720399</v>
      </c>
      <c r="R522" s="166"/>
      <c r="S522" s="166"/>
    </row>
    <row r="523" spans="3:19" x14ac:dyDescent="0.25">
      <c r="E523" s="562"/>
      <c r="F523" s="562"/>
      <c r="G523" s="562"/>
      <c r="H523" s="562"/>
      <c r="I523" s="562"/>
      <c r="J523" s="562"/>
      <c r="K523" s="562"/>
      <c r="L523" s="562"/>
      <c r="M523" s="562"/>
      <c r="N523" s="562"/>
      <c r="O523" s="562"/>
      <c r="P523" s="562"/>
      <c r="Q523" s="562"/>
      <c r="R523" s="166"/>
      <c r="S523" s="166"/>
    </row>
    <row r="524" spans="3:19" x14ac:dyDescent="0.25">
      <c r="C524" s="14"/>
      <c r="E524" s="562"/>
      <c r="F524" s="562"/>
      <c r="G524" s="562"/>
      <c r="H524" s="562"/>
      <c r="I524" s="562"/>
      <c r="J524" s="562"/>
      <c r="K524" s="562"/>
      <c r="L524" s="562"/>
      <c r="M524" s="562"/>
      <c r="N524" s="562"/>
      <c r="O524" s="562"/>
      <c r="P524" s="562"/>
      <c r="Q524" s="564" t="s">
        <v>229</v>
      </c>
      <c r="R524" s="166"/>
      <c r="S524" s="166"/>
    </row>
    <row r="525" spans="3:19" x14ac:dyDescent="0.25">
      <c r="C525" s="760" t="s">
        <v>163</v>
      </c>
      <c r="D525" s="760"/>
      <c r="E525" s="769" t="s">
        <v>1220</v>
      </c>
      <c r="F525" s="769"/>
      <c r="G525" s="769"/>
      <c r="H525" s="769"/>
      <c r="I525" s="769"/>
      <c r="J525" s="769"/>
      <c r="K525" s="769"/>
      <c r="L525" s="769"/>
      <c r="M525" s="769"/>
      <c r="N525" s="769"/>
      <c r="O525" s="769"/>
      <c r="P525" s="769"/>
      <c r="Q525" s="769"/>
      <c r="R525" s="166"/>
      <c r="S525" s="166"/>
    </row>
    <row r="526" spans="3:19" x14ac:dyDescent="0.25">
      <c r="C526" s="760"/>
      <c r="D526" s="760"/>
      <c r="E526" s="560" t="s">
        <v>239</v>
      </c>
      <c r="F526" s="560" t="s">
        <v>240</v>
      </c>
      <c r="G526" s="560" t="s">
        <v>241</v>
      </c>
      <c r="H526" s="560" t="s">
        <v>242</v>
      </c>
      <c r="I526" s="560" t="s">
        <v>243</v>
      </c>
      <c r="J526" s="560" t="s">
        <v>244</v>
      </c>
      <c r="K526" s="560" t="s">
        <v>245</v>
      </c>
      <c r="L526" s="560" t="s">
        <v>246</v>
      </c>
      <c r="M526" s="560" t="s">
        <v>247</v>
      </c>
      <c r="N526" s="560" t="s">
        <v>248</v>
      </c>
      <c r="O526" s="560" t="s">
        <v>249</v>
      </c>
      <c r="P526" s="560" t="s">
        <v>250</v>
      </c>
      <c r="Q526" s="560" t="s">
        <v>251</v>
      </c>
      <c r="R526" s="166"/>
      <c r="S526" s="166"/>
    </row>
    <row r="527" spans="3:19" x14ac:dyDescent="0.25">
      <c r="C527" s="753" t="s">
        <v>171</v>
      </c>
      <c r="D527" s="754"/>
      <c r="E527" s="553"/>
      <c r="F527" s="553"/>
      <c r="G527" s="553"/>
      <c r="H527" s="553"/>
      <c r="I527" s="553"/>
      <c r="J527" s="553"/>
      <c r="K527" s="553"/>
      <c r="L527" s="553"/>
      <c r="M527" s="553"/>
      <c r="N527" s="553"/>
      <c r="O527" s="553"/>
      <c r="P527" s="553"/>
      <c r="Q527" s="561"/>
      <c r="R527" s="166"/>
      <c r="S527" s="166"/>
    </row>
    <row r="528" spans="3:19" x14ac:dyDescent="0.25">
      <c r="C528" s="59" t="s">
        <v>172</v>
      </c>
      <c r="D528" s="59" t="s">
        <v>173</v>
      </c>
      <c r="E528" s="553">
        <f>[9]Sales_NP!GU10</f>
        <v>427.16583851009761</v>
      </c>
      <c r="F528" s="553">
        <f>[9]Sales_NP!GV10</f>
        <v>512.98046718094656</v>
      </c>
      <c r="G528" s="553">
        <f>[9]Sales_NP!GW10</f>
        <v>545.08256547078258</v>
      </c>
      <c r="H528" s="553">
        <f>[9]Sales_NP!GX10</f>
        <v>469.46062643459226</v>
      </c>
      <c r="I528" s="553">
        <f>[9]Sales_NP!GY10</f>
        <v>420.79311874986706</v>
      </c>
      <c r="J528" s="553">
        <f>[9]Sales_NP!GZ10</f>
        <v>456.05219390773613</v>
      </c>
      <c r="K528" s="553">
        <f>[9]Sales_NP!HA10</f>
        <v>417.83415365120891</v>
      </c>
      <c r="L528" s="553">
        <f>[9]Sales_NP!HB10</f>
        <v>414.73624447761142</v>
      </c>
      <c r="M528" s="553">
        <f>[9]Sales_NP!HC10</f>
        <v>353.50754717852732</v>
      </c>
      <c r="N528" s="553">
        <f>[9]Sales_NP!HD10</f>
        <v>286.74080811546031</v>
      </c>
      <c r="O528" s="553">
        <f>[9]Sales_NP!HE10</f>
        <v>345.46578171376876</v>
      </c>
      <c r="P528" s="553">
        <f>[9]Sales_NP!HF10</f>
        <v>354.32362560508341</v>
      </c>
      <c r="Q528" s="561">
        <f t="shared" ref="Q528:Q541" si="112">SUM(E528:P528)</f>
        <v>5004.142970995681</v>
      </c>
      <c r="R528" s="166"/>
      <c r="S528" s="166"/>
    </row>
    <row r="529" spans="3:19" x14ac:dyDescent="0.25">
      <c r="C529" s="17" t="s">
        <v>174</v>
      </c>
      <c r="D529" s="17" t="s">
        <v>175</v>
      </c>
      <c r="E529" s="553">
        <f>[9]Sales_NP!GU23</f>
        <v>95.209142708343023</v>
      </c>
      <c r="F529" s="553">
        <f>[9]Sales_NP!GV23</f>
        <v>104.12122474343224</v>
      </c>
      <c r="G529" s="553">
        <f>[9]Sales_NP!GW23</f>
        <v>105.56352724932569</v>
      </c>
      <c r="H529" s="553">
        <f>[9]Sales_NP!GX23</f>
        <v>94.87130047128376</v>
      </c>
      <c r="I529" s="553">
        <f>[9]Sales_NP!GY23</f>
        <v>89.494477293524724</v>
      </c>
      <c r="J529" s="553">
        <f>[9]Sales_NP!GZ23</f>
        <v>94.373061438859935</v>
      </c>
      <c r="K529" s="553">
        <f>[9]Sales_NP!HA23</f>
        <v>89.460692429777353</v>
      </c>
      <c r="L529" s="553">
        <f>[9]Sales_NP!HB23</f>
        <v>92.561532865968232</v>
      </c>
      <c r="M529" s="553">
        <f>[9]Sales_NP!HC23</f>
        <v>84.455668453514662</v>
      </c>
      <c r="N529" s="553">
        <f>[9]Sales_NP!HD23</f>
        <v>76.36548543177733</v>
      </c>
      <c r="O529" s="553">
        <f>[9]Sales_NP!HE23</f>
        <v>83.08215271234036</v>
      </c>
      <c r="P529" s="553">
        <f>[9]Sales_NP!HF23</f>
        <v>86.591574031012271</v>
      </c>
      <c r="Q529" s="561">
        <f t="shared" si="112"/>
        <v>1096.1498398291596</v>
      </c>
      <c r="R529" s="166"/>
      <c r="S529" s="166"/>
    </row>
    <row r="530" spans="3:19" x14ac:dyDescent="0.25">
      <c r="C530" s="17" t="s">
        <v>176</v>
      </c>
      <c r="D530" s="17" t="s">
        <v>177</v>
      </c>
      <c r="E530" s="553">
        <f>[9]Sales_NP!GU36</f>
        <v>20.619250019999999</v>
      </c>
      <c r="F530" s="553">
        <f>[9]Sales_NP!GV36</f>
        <v>21.691355700000006</v>
      </c>
      <c r="G530" s="553">
        <f>[9]Sales_NP!GW36</f>
        <v>22.354422</v>
      </c>
      <c r="H530" s="553">
        <f>[9]Sales_NP!GX36</f>
        <v>18.912207599999999</v>
      </c>
      <c r="I530" s="553">
        <f>[9]Sales_NP!GY36</f>
        <v>16.529780340000002</v>
      </c>
      <c r="J530" s="553">
        <f>[9]Sales_NP!GZ36</f>
        <v>16.5181605</v>
      </c>
      <c r="K530" s="553">
        <f>[9]Sales_NP!HA36</f>
        <v>16.570136599199998</v>
      </c>
      <c r="L530" s="553">
        <f>[9]Sales_NP!HB36</f>
        <v>19.150566850800001</v>
      </c>
      <c r="M530" s="553">
        <f>[9]Sales_NP!HC36</f>
        <v>20.456997130800005</v>
      </c>
      <c r="N530" s="553">
        <f>[9]Sales_NP!HD36</f>
        <v>26.283340130399996</v>
      </c>
      <c r="O530" s="553">
        <f>[9]Sales_NP!HE36</f>
        <v>24.676455855600004</v>
      </c>
      <c r="P530" s="553">
        <f>[9]Sales_NP!HF36</f>
        <v>20.334827120400007</v>
      </c>
      <c r="Q530" s="561">
        <f t="shared" si="112"/>
        <v>244.09749984720006</v>
      </c>
      <c r="R530" s="166"/>
      <c r="S530" s="166"/>
    </row>
    <row r="531" spans="3:19" x14ac:dyDescent="0.25">
      <c r="C531" s="17" t="s">
        <v>178</v>
      </c>
      <c r="D531" s="17" t="s">
        <v>179</v>
      </c>
      <c r="E531" s="553">
        <f>[9]Sales_NP!GU43</f>
        <v>0.75382019999999983</v>
      </c>
      <c r="F531" s="553">
        <f>[9]Sales_NP!GV43</f>
        <v>0.78352469999999996</v>
      </c>
      <c r="G531" s="553">
        <f>[9]Sales_NP!GW43</f>
        <v>0.77761214999999995</v>
      </c>
      <c r="H531" s="553">
        <f>[9]Sales_NP!GX43</f>
        <v>0.7062216</v>
      </c>
      <c r="I531" s="553">
        <f>[9]Sales_NP!GY43</f>
        <v>0.6864868500000002</v>
      </c>
      <c r="J531" s="553">
        <f>[9]Sales_NP!GZ43</f>
        <v>0.72543344999999981</v>
      </c>
      <c r="K531" s="553">
        <f>[9]Sales_NP!HA43</f>
        <v>0.7323863782506852</v>
      </c>
      <c r="L531" s="553">
        <f>[9]Sales_NP!HB43</f>
        <v>0.71703237515205098</v>
      </c>
      <c r="M531" s="553">
        <f>[9]Sales_NP!HC43</f>
        <v>0.6941036013910058</v>
      </c>
      <c r="N531" s="553">
        <f>[9]Sales_NP!HD43</f>
        <v>0.66197512392304791</v>
      </c>
      <c r="O531" s="553">
        <f>[9]Sales_NP!HE43</f>
        <v>0.6953486659820568</v>
      </c>
      <c r="P531" s="553">
        <f>[9]Sales_NP!HF43</f>
        <v>0.70659406354168164</v>
      </c>
      <c r="Q531" s="561">
        <f t="shared" si="112"/>
        <v>8.6405391582405286</v>
      </c>
      <c r="R531" s="166"/>
      <c r="S531" s="166"/>
    </row>
    <row r="532" spans="3:19" x14ac:dyDescent="0.25">
      <c r="C532" s="17" t="s">
        <v>180</v>
      </c>
      <c r="D532" s="17" t="s">
        <v>181</v>
      </c>
      <c r="E532" s="553"/>
      <c r="F532" s="553"/>
      <c r="G532" s="553"/>
      <c r="H532" s="553"/>
      <c r="I532" s="553"/>
      <c r="J532" s="553"/>
      <c r="K532" s="553"/>
      <c r="L532" s="553"/>
      <c r="M532" s="553"/>
      <c r="N532" s="553"/>
      <c r="O532" s="553"/>
      <c r="P532" s="553"/>
      <c r="Q532" s="561">
        <f t="shared" si="112"/>
        <v>0</v>
      </c>
      <c r="R532" s="166"/>
      <c r="S532" s="166"/>
    </row>
    <row r="533" spans="3:19" x14ac:dyDescent="0.25">
      <c r="C533" s="17" t="s">
        <v>182</v>
      </c>
      <c r="D533" s="17" t="s">
        <v>183</v>
      </c>
      <c r="E533" s="553">
        <f>[9]Sales_NP!GU54</f>
        <v>33.902991189184064</v>
      </c>
      <c r="F533" s="553">
        <f>[9]Sales_NP!GV54</f>
        <v>33.944762171846918</v>
      </c>
      <c r="G533" s="553">
        <f>[9]Sales_NP!GW54</f>
        <v>34.04745860226533</v>
      </c>
      <c r="H533" s="553">
        <f>[9]Sales_NP!GX54</f>
        <v>30.072341213191727</v>
      </c>
      <c r="I533" s="553">
        <f>[9]Sales_NP!GY54</f>
        <v>30.199680906574542</v>
      </c>
      <c r="J533" s="553">
        <f>[9]Sales_NP!GZ54</f>
        <v>30.618318050061241</v>
      </c>
      <c r="K533" s="553">
        <f>[9]Sales_NP!HA54</f>
        <v>31.285695634768189</v>
      </c>
      <c r="L533" s="553">
        <f>[9]Sales_NP!HB54</f>
        <v>35.062993509506924</v>
      </c>
      <c r="M533" s="553">
        <f>[9]Sales_NP!HC54</f>
        <v>34.349035344614862</v>
      </c>
      <c r="N533" s="553">
        <f>[9]Sales_NP!HD54</f>
        <v>34.288409147943035</v>
      </c>
      <c r="O533" s="553">
        <f>[9]Sales_NP!HE54</f>
        <v>35.235101174416421</v>
      </c>
      <c r="P533" s="553">
        <f>[9]Sales_NP!HF54</f>
        <v>33.508647856945714</v>
      </c>
      <c r="Q533" s="561">
        <f t="shared" si="112"/>
        <v>396.51543480131897</v>
      </c>
      <c r="R533" s="166"/>
      <c r="S533" s="166"/>
    </row>
    <row r="534" spans="3:19" x14ac:dyDescent="0.25">
      <c r="C534" s="17" t="s">
        <v>184</v>
      </c>
      <c r="D534" s="17" t="s">
        <v>185</v>
      </c>
      <c r="E534" s="553">
        <f>[9]Sales_NP!GU64</f>
        <v>7.2890313126665678</v>
      </c>
      <c r="F534" s="553">
        <f>[9]Sales_NP!GV64</f>
        <v>5.5765017401115546</v>
      </c>
      <c r="G534" s="553">
        <f>[9]Sales_NP!GW64</f>
        <v>3.9470119532459362</v>
      </c>
      <c r="H534" s="553">
        <f>[9]Sales_NP!GX64</f>
        <v>5.5270259041250709</v>
      </c>
      <c r="I534" s="553">
        <f>[9]Sales_NP!GY64</f>
        <v>7.479295354505652</v>
      </c>
      <c r="J534" s="553">
        <f>[9]Sales_NP!GZ64</f>
        <v>7.823299137544427</v>
      </c>
      <c r="K534" s="553">
        <f>[9]Sales_NP!HA64</f>
        <v>7.0287337477245995</v>
      </c>
      <c r="L534" s="553">
        <f>[9]Sales_NP!HB64</f>
        <v>5.1714979141046387</v>
      </c>
      <c r="M534" s="553">
        <f>[9]Sales_NP!HC64</f>
        <v>6.4091246988904178</v>
      </c>
      <c r="N534" s="553">
        <f>[9]Sales_NP!HD64</f>
        <v>5.4422743694335054</v>
      </c>
      <c r="O534" s="553">
        <f>[9]Sales_NP!HE64</f>
        <v>5.3264480837960937</v>
      </c>
      <c r="P534" s="553">
        <f>[9]Sales_NP!HF64</f>
        <v>6.6277632444571912</v>
      </c>
      <c r="Q534" s="561">
        <f t="shared" si="112"/>
        <v>73.648007460605655</v>
      </c>
      <c r="R534" s="166"/>
      <c r="S534" s="166"/>
    </row>
    <row r="535" spans="3:19" x14ac:dyDescent="0.25">
      <c r="C535" s="17" t="s">
        <v>186</v>
      </c>
      <c r="D535" s="17" t="s">
        <v>187</v>
      </c>
      <c r="E535" s="553">
        <f>[9]Sales_NP!GU69</f>
        <v>1.3554205892955602</v>
      </c>
      <c r="F535" s="553">
        <f>[9]Sales_NP!GV69</f>
        <v>1.4904747998031922</v>
      </c>
      <c r="G535" s="553">
        <f>[9]Sales_NP!GW69</f>
        <v>1.5470140227761739</v>
      </c>
      <c r="H535" s="553">
        <f>[9]Sales_NP!GX69</f>
        <v>1.3841279307373486</v>
      </c>
      <c r="I535" s="553">
        <f>[9]Sales_NP!GY69</f>
        <v>1.3931449527157675</v>
      </c>
      <c r="J535" s="553">
        <f>[9]Sales_NP!GZ69</f>
        <v>1.397323284107246</v>
      </c>
      <c r="K535" s="553">
        <f>[9]Sales_NP!HA69</f>
        <v>1.3863793899226569</v>
      </c>
      <c r="L535" s="553">
        <f>[9]Sales_NP!HB69</f>
        <v>1.4270492349855519</v>
      </c>
      <c r="M535" s="553">
        <f>[9]Sales_NP!HC69</f>
        <v>1.1622999945126737</v>
      </c>
      <c r="N535" s="553">
        <f>[9]Sales_NP!HD69</f>
        <v>1.1850447979061258</v>
      </c>
      <c r="O535" s="553">
        <f>[9]Sales_NP!HE69</f>
        <v>1.3244599065372065</v>
      </c>
      <c r="P535" s="553">
        <f>[9]Sales_NP!HF69</f>
        <v>1.3212346864144864</v>
      </c>
      <c r="Q535" s="561">
        <f t="shared" si="112"/>
        <v>16.373973589713991</v>
      </c>
      <c r="R535" s="166"/>
      <c r="S535" s="166"/>
    </row>
    <row r="536" spans="3:19" x14ac:dyDescent="0.25">
      <c r="C536" s="17" t="s">
        <v>188</v>
      </c>
      <c r="D536" s="17" t="s">
        <v>189</v>
      </c>
      <c r="E536" s="553">
        <f>[9]Sales_NP!GU70</f>
        <v>1.5017100000000004E-2</v>
      </c>
      <c r="F536" s="553">
        <f>[9]Sales_NP!GV70</f>
        <v>1.204035E-2</v>
      </c>
      <c r="G536" s="553">
        <f>[9]Sales_NP!GW70</f>
        <v>1.6601550000000003E-2</v>
      </c>
      <c r="H536" s="553">
        <f>[9]Sales_NP!GX70</f>
        <v>1.4007E-2</v>
      </c>
      <c r="I536" s="553">
        <f>[9]Sales_NP!GY70</f>
        <v>1.5301650000000002E-2</v>
      </c>
      <c r="J536" s="553">
        <f>[9]Sales_NP!GZ70</f>
        <v>1.5301650000000002E-2</v>
      </c>
      <c r="K536" s="553">
        <f>[9]Sales_NP!HA70</f>
        <v>9.9335249999999986E-3</v>
      </c>
      <c r="L536" s="553">
        <f>[9]Sales_NP!HB70</f>
        <v>1.6431660000000004E-2</v>
      </c>
      <c r="M536" s="553">
        <f>[9]Sales_NP!HC70</f>
        <v>1.3861732500000003E-2</v>
      </c>
      <c r="N536" s="553">
        <f>[9]Sales_NP!HD70</f>
        <v>1.4733810000000002E-2</v>
      </c>
      <c r="O536" s="553">
        <f>[9]Sales_NP!HE70</f>
        <v>1.7050162500000004E-2</v>
      </c>
      <c r="P536" s="553">
        <f>[9]Sales_NP!HF70</f>
        <v>1.5771262500000001E-2</v>
      </c>
      <c r="Q536" s="561">
        <f t="shared" si="112"/>
        <v>0.17605145250000001</v>
      </c>
      <c r="R536" s="166"/>
      <c r="S536" s="166"/>
    </row>
    <row r="537" spans="3:19" hidden="1" x14ac:dyDescent="0.25">
      <c r="C537" s="17"/>
      <c r="D537" s="17"/>
      <c r="E537" s="553"/>
      <c r="F537" s="553"/>
      <c r="G537" s="553"/>
      <c r="H537" s="553"/>
      <c r="I537" s="553"/>
      <c r="J537" s="553"/>
      <c r="K537" s="553"/>
      <c r="L537" s="553"/>
      <c r="M537" s="553"/>
      <c r="N537" s="553"/>
      <c r="O537" s="553"/>
      <c r="P537" s="553"/>
      <c r="Q537" s="561">
        <f t="shared" si="112"/>
        <v>0</v>
      </c>
      <c r="R537" s="166"/>
      <c r="S537" s="166"/>
    </row>
    <row r="538" spans="3:19" hidden="1" x14ac:dyDescent="0.25">
      <c r="C538" s="17"/>
      <c r="D538" s="17"/>
      <c r="E538" s="553"/>
      <c r="F538" s="553"/>
      <c r="G538" s="553"/>
      <c r="H538" s="553"/>
      <c r="I538" s="553"/>
      <c r="J538" s="553"/>
      <c r="K538" s="553"/>
      <c r="L538" s="553"/>
      <c r="M538" s="553"/>
      <c r="N538" s="553"/>
      <c r="O538" s="553"/>
      <c r="P538" s="553"/>
      <c r="Q538" s="561">
        <f t="shared" si="112"/>
        <v>0</v>
      </c>
      <c r="R538" s="166"/>
      <c r="S538" s="166"/>
    </row>
    <row r="539" spans="3:19" hidden="1" x14ac:dyDescent="0.25">
      <c r="C539" s="17"/>
      <c r="D539" s="17"/>
      <c r="E539" s="553"/>
      <c r="F539" s="553"/>
      <c r="G539" s="553"/>
      <c r="H539" s="553"/>
      <c r="I539" s="553"/>
      <c r="J539" s="553"/>
      <c r="K539" s="553"/>
      <c r="L539" s="553"/>
      <c r="M539" s="553"/>
      <c r="N539" s="553"/>
      <c r="O539" s="553"/>
      <c r="P539" s="553"/>
      <c r="Q539" s="561">
        <f t="shared" si="112"/>
        <v>0</v>
      </c>
      <c r="R539" s="166"/>
      <c r="S539" s="166"/>
    </row>
    <row r="540" spans="3:19" hidden="1" x14ac:dyDescent="0.25">
      <c r="C540" s="17" t="s">
        <v>226</v>
      </c>
      <c r="D540" s="17" t="s">
        <v>226</v>
      </c>
      <c r="E540" s="553"/>
      <c r="F540" s="553"/>
      <c r="G540" s="553"/>
      <c r="H540" s="553"/>
      <c r="I540" s="553"/>
      <c r="J540" s="553"/>
      <c r="K540" s="553"/>
      <c r="L540" s="553"/>
      <c r="M540" s="553"/>
      <c r="N540" s="553"/>
      <c r="O540" s="553"/>
      <c r="P540" s="553"/>
      <c r="Q540" s="561">
        <f t="shared" si="112"/>
        <v>0</v>
      </c>
      <c r="R540" s="166"/>
      <c r="S540" s="166"/>
    </row>
    <row r="541" spans="3:19" x14ac:dyDescent="0.25">
      <c r="C541" s="751" t="s">
        <v>190</v>
      </c>
      <c r="D541" s="752"/>
      <c r="E541" s="561">
        <f t="shared" ref="E541:P541" si="113">SUM(E528:E540)</f>
        <v>586.31051162958681</v>
      </c>
      <c r="F541" s="561">
        <f t="shared" si="113"/>
        <v>680.60035138614057</v>
      </c>
      <c r="G541" s="561">
        <f t="shared" si="113"/>
        <v>713.33621299839569</v>
      </c>
      <c r="H541" s="561">
        <f t="shared" si="113"/>
        <v>620.94785815393016</v>
      </c>
      <c r="I541" s="561">
        <f t="shared" si="113"/>
        <v>566.59128609718778</v>
      </c>
      <c r="J541" s="561">
        <f t="shared" si="113"/>
        <v>607.52309141830892</v>
      </c>
      <c r="K541" s="561">
        <f t="shared" si="113"/>
        <v>564.30811135585236</v>
      </c>
      <c r="L541" s="561">
        <f t="shared" si="113"/>
        <v>568.84334888812873</v>
      </c>
      <c r="M541" s="561">
        <f t="shared" si="113"/>
        <v>501.048638134751</v>
      </c>
      <c r="N541" s="561">
        <f t="shared" si="113"/>
        <v>430.98207092684339</v>
      </c>
      <c r="O541" s="561">
        <f t="shared" si="113"/>
        <v>495.82279827494091</v>
      </c>
      <c r="P541" s="561">
        <f t="shared" si="113"/>
        <v>503.43003787035474</v>
      </c>
      <c r="Q541" s="561">
        <f t="shared" si="112"/>
        <v>6839.7443171344221</v>
      </c>
      <c r="R541" s="166"/>
      <c r="S541" s="166"/>
    </row>
    <row r="542" spans="3:19" x14ac:dyDescent="0.25">
      <c r="C542" s="753" t="s">
        <v>191</v>
      </c>
      <c r="D542" s="754"/>
      <c r="E542" s="553"/>
      <c r="F542" s="553"/>
      <c r="G542" s="553"/>
      <c r="H542" s="553"/>
      <c r="I542" s="553"/>
      <c r="J542" s="553"/>
      <c r="K542" s="553"/>
      <c r="L542" s="553"/>
      <c r="M542" s="553"/>
      <c r="N542" s="553"/>
      <c r="O542" s="553"/>
      <c r="P542" s="553"/>
      <c r="Q542" s="561"/>
      <c r="R542" s="166"/>
      <c r="S542" s="166"/>
    </row>
    <row r="543" spans="3:19" x14ac:dyDescent="0.25">
      <c r="C543" s="17" t="s">
        <v>192</v>
      </c>
      <c r="D543" s="17" t="s">
        <v>193</v>
      </c>
      <c r="E543" s="553">
        <f>[9]Sales_NP!GU89</f>
        <v>94.181754387670154</v>
      </c>
      <c r="F543" s="553">
        <f>[9]Sales_NP!GV89</f>
        <v>92.995597386625349</v>
      </c>
      <c r="G543" s="553">
        <f>[9]Sales_NP!GW89</f>
        <v>95.867867370598461</v>
      </c>
      <c r="H543" s="553">
        <f>[9]Sales_NP!GX89</f>
        <v>96.565802235251837</v>
      </c>
      <c r="I543" s="553">
        <f>[9]Sales_NP!GY89</f>
        <v>96.848978733081623</v>
      </c>
      <c r="J543" s="553">
        <f>[9]Sales_NP!GZ89</f>
        <v>93.15700792769087</v>
      </c>
      <c r="K543" s="553">
        <f>[9]Sales_NP!HA89</f>
        <v>97.638703754751461</v>
      </c>
      <c r="L543" s="553">
        <f>[9]Sales_NP!HB89</f>
        <v>102.38334663896072</v>
      </c>
      <c r="M543" s="553">
        <f>[9]Sales_NP!HC89</f>
        <v>115.16208539542048</v>
      </c>
      <c r="N543" s="553">
        <f>[9]Sales_NP!HD89</f>
        <v>121.57920653618829</v>
      </c>
      <c r="O543" s="553">
        <f>[9]Sales_NP!HE89</f>
        <v>109.86463745567984</v>
      </c>
      <c r="P543" s="553">
        <f>[9]Sales_NP!HF89</f>
        <v>95.121410787309188</v>
      </c>
      <c r="Q543" s="561">
        <f t="shared" ref="Q543:Q558" si="114">SUM(E543:P543)</f>
        <v>1211.3663986092283</v>
      </c>
      <c r="R543" s="166"/>
      <c r="S543" s="166"/>
    </row>
    <row r="544" spans="3:19" x14ac:dyDescent="0.25">
      <c r="C544" s="17" t="s">
        <v>194</v>
      </c>
      <c r="D544" s="17" t="s">
        <v>195</v>
      </c>
      <c r="E544" s="553">
        <f>[9]Sales_NP!GU104</f>
        <v>0</v>
      </c>
      <c r="F544" s="553">
        <f>[9]Sales_NP!GV104</f>
        <v>0</v>
      </c>
      <c r="G544" s="553">
        <f>[9]Sales_NP!GW104</f>
        <v>0</v>
      </c>
      <c r="H544" s="553">
        <f>[9]Sales_NP!GX104</f>
        <v>0</v>
      </c>
      <c r="I544" s="553">
        <f>[9]Sales_NP!GY104</f>
        <v>0</v>
      </c>
      <c r="J544" s="553">
        <f>[9]Sales_NP!GZ104</f>
        <v>0</v>
      </c>
      <c r="K544" s="553">
        <f>[9]Sales_NP!HA104</f>
        <v>0</v>
      </c>
      <c r="L544" s="553">
        <f>[9]Sales_NP!HB104</f>
        <v>0</v>
      </c>
      <c r="M544" s="553">
        <f>[9]Sales_NP!HC104</f>
        <v>0</v>
      </c>
      <c r="N544" s="553">
        <f>[9]Sales_NP!HD104</f>
        <v>0</v>
      </c>
      <c r="O544" s="553">
        <f>[9]Sales_NP!HE104</f>
        <v>0</v>
      </c>
      <c r="P544" s="553">
        <f>[9]Sales_NP!HF104</f>
        <v>0</v>
      </c>
      <c r="Q544" s="561">
        <f t="shared" si="114"/>
        <v>0</v>
      </c>
      <c r="R544" s="166"/>
      <c r="S544" s="166"/>
    </row>
    <row r="545" spans="3:19" x14ac:dyDescent="0.25">
      <c r="C545" s="17" t="s">
        <v>233</v>
      </c>
      <c r="D545" s="17" t="s">
        <v>197</v>
      </c>
      <c r="E545" s="553">
        <f>[9]Sales_NP!GU105</f>
        <v>24.859233478923638</v>
      </c>
      <c r="F545" s="553">
        <f>[9]Sales_NP!GV105</f>
        <v>24.347874988157553</v>
      </c>
      <c r="G545" s="553">
        <f>[9]Sales_NP!GW105</f>
        <v>23.829031216714512</v>
      </c>
      <c r="H545" s="553">
        <f>[9]Sales_NP!GX105</f>
        <v>21.339286390142824</v>
      </c>
      <c r="I545" s="553">
        <f>[9]Sales_NP!GY105</f>
        <v>22.947923586401444</v>
      </c>
      <c r="J545" s="553">
        <f>[9]Sales_NP!GZ105</f>
        <v>21.01096669022078</v>
      </c>
      <c r="K545" s="553">
        <f>[9]Sales_NP!HA105</f>
        <v>21.446940894024326</v>
      </c>
      <c r="L545" s="553">
        <f>[9]Sales_NP!HB105</f>
        <v>19.176241291613611</v>
      </c>
      <c r="M545" s="553">
        <f>[9]Sales_NP!HC105</f>
        <v>16.433499962681999</v>
      </c>
      <c r="N545" s="553">
        <f>[9]Sales_NP!HD105</f>
        <v>17.156344412189302</v>
      </c>
      <c r="O545" s="553">
        <f>[9]Sales_NP!HE105</f>
        <v>18.612540740849209</v>
      </c>
      <c r="P545" s="553">
        <f>[9]Sales_NP!HF105</f>
        <v>21.828635958247972</v>
      </c>
      <c r="Q545" s="561">
        <f t="shared" si="114"/>
        <v>252.98851961016715</v>
      </c>
      <c r="R545" s="166"/>
      <c r="S545" s="166"/>
    </row>
    <row r="546" spans="3:19" x14ac:dyDescent="0.25">
      <c r="C546" s="17" t="s">
        <v>198</v>
      </c>
      <c r="D546" s="17" t="s">
        <v>199</v>
      </c>
      <c r="E546" s="553">
        <f>[9]Sales_NP!GU110</f>
        <v>3.4237320000000002E-2</v>
      </c>
      <c r="F546" s="553">
        <f>[9]Sales_NP!GV110</f>
        <v>3.8559060000000006E-2</v>
      </c>
      <c r="G546" s="553">
        <f>[9]Sales_NP!GW110</f>
        <v>3.2961300000000006E-2</v>
      </c>
      <c r="H546" s="553">
        <f>[9]Sales_NP!GX110</f>
        <v>2.991048E-2</v>
      </c>
      <c r="I546" s="553">
        <f>[9]Sales_NP!GY110</f>
        <v>2.70759E-2</v>
      </c>
      <c r="J546" s="553">
        <f>[9]Sales_NP!GZ110</f>
        <v>2.67189E-2</v>
      </c>
      <c r="K546" s="553">
        <f>[9]Sales_NP!HA110</f>
        <v>2.23030548E-2</v>
      </c>
      <c r="L546" s="553">
        <f>[9]Sales_NP!HB110</f>
        <v>1.8679341600000003E-2</v>
      </c>
      <c r="M546" s="553">
        <f>[9]Sales_NP!HC110</f>
        <v>2.07778284E-2</v>
      </c>
      <c r="N546" s="553">
        <f>[9]Sales_NP!HD110</f>
        <v>2.7183571199999999E-2</v>
      </c>
      <c r="O546" s="553">
        <f>[9]Sales_NP!HE110</f>
        <v>2.6865208800000005E-2</v>
      </c>
      <c r="P546" s="553">
        <f>[9]Sales_NP!HF110</f>
        <v>3.2375167199999999E-2</v>
      </c>
      <c r="Q546" s="561">
        <f t="shared" si="114"/>
        <v>0.33764713199999996</v>
      </c>
      <c r="R546" s="166"/>
      <c r="S546" s="166"/>
    </row>
    <row r="547" spans="3:19" x14ac:dyDescent="0.25">
      <c r="C547" s="17" t="s">
        <v>200</v>
      </c>
      <c r="D547" s="17" t="s">
        <v>201</v>
      </c>
      <c r="E547" s="553">
        <f>[9]Sales_NP!GU115</f>
        <v>0.82833991137099761</v>
      </c>
      <c r="F547" s="553">
        <f>[9]Sales_NP!GV115</f>
        <v>0.87731499898456877</v>
      </c>
      <c r="G547" s="553">
        <f>[9]Sales_NP!GW115</f>
        <v>0.82336658155512277</v>
      </c>
      <c r="H547" s="553">
        <f>[9]Sales_NP!GX115</f>
        <v>0.7068228765704998</v>
      </c>
      <c r="I547" s="553">
        <f>[9]Sales_NP!GY115</f>
        <v>0.71085304151683437</v>
      </c>
      <c r="J547" s="553">
        <f>[9]Sales_NP!GZ115</f>
        <v>0.65995330489808535</v>
      </c>
      <c r="K547" s="553">
        <f>[9]Sales_NP!HA115</f>
        <v>0.75493554646122885</v>
      </c>
      <c r="L547" s="553">
        <f>[9]Sales_NP!HB115</f>
        <v>0.66098976777112595</v>
      </c>
      <c r="M547" s="553">
        <f>[9]Sales_NP!HC115</f>
        <v>0.59963151948907201</v>
      </c>
      <c r="N547" s="553">
        <f>[9]Sales_NP!HD115</f>
        <v>0.63069735527893533</v>
      </c>
      <c r="O547" s="553">
        <f>[9]Sales_NP!HE115</f>
        <v>0.64854373107307162</v>
      </c>
      <c r="P547" s="553">
        <f>[9]Sales_NP!HF115</f>
        <v>0.70977307547218005</v>
      </c>
      <c r="Q547" s="561">
        <f t="shared" si="114"/>
        <v>8.6112217104417219</v>
      </c>
      <c r="R547" s="166"/>
      <c r="S547" s="166"/>
    </row>
    <row r="548" spans="3:19" x14ac:dyDescent="0.25">
      <c r="C548" s="17" t="s">
        <v>202</v>
      </c>
      <c r="D548" s="17" t="s">
        <v>203</v>
      </c>
      <c r="E548" s="553">
        <f>[9]Sales_NP!GU121</f>
        <v>1.9187148599999999</v>
      </c>
      <c r="F548" s="553">
        <f>[9]Sales_NP!GV121</f>
        <v>0.25798757999999999</v>
      </c>
      <c r="G548" s="553">
        <f>[9]Sales_NP!GW121</f>
        <v>0.25140143999999998</v>
      </c>
      <c r="H548" s="553">
        <f>[9]Sales_NP!GX121</f>
        <v>1.04740842</v>
      </c>
      <c r="I548" s="553">
        <f>[9]Sales_NP!GY121</f>
        <v>1.8324014400000002</v>
      </c>
      <c r="J548" s="553">
        <f>[9]Sales_NP!GZ121</f>
        <v>1.5741221400000001</v>
      </c>
      <c r="K548" s="553">
        <f>[9]Sales_NP!HA121</f>
        <v>2.8480884720000001</v>
      </c>
      <c r="L548" s="553">
        <f>[9]Sales_NP!HB121</f>
        <v>1.21965276</v>
      </c>
      <c r="M548" s="553">
        <f>[9]Sales_NP!HC121</f>
        <v>1.4910958739999998</v>
      </c>
      <c r="N548" s="553">
        <f>[9]Sales_NP!HD121</f>
        <v>3.8265736559999999</v>
      </c>
      <c r="O548" s="553">
        <f>[9]Sales_NP!HE121</f>
        <v>4.1669876400000003</v>
      </c>
      <c r="P548" s="553">
        <f>[9]Sales_NP!HF121</f>
        <v>4.61953002</v>
      </c>
      <c r="Q548" s="561">
        <f t="shared" si="114"/>
        <v>25.053964301999997</v>
      </c>
      <c r="R548" s="166"/>
      <c r="S548" s="166"/>
    </row>
    <row r="549" spans="3:19" x14ac:dyDescent="0.25">
      <c r="C549" s="17" t="s">
        <v>204</v>
      </c>
      <c r="D549" s="17" t="s">
        <v>205</v>
      </c>
      <c r="E549" s="553">
        <f>[9]Sales_NP!GU122+[9]Sales_NP!GU123</f>
        <v>14.676355499585378</v>
      </c>
      <c r="F549" s="553">
        <f>[9]Sales_NP!GV122+[9]Sales_NP!GV123</f>
        <v>14.348020967384246</v>
      </c>
      <c r="G549" s="553">
        <f>[9]Sales_NP!GW122+[9]Sales_NP!GW123</f>
        <v>13.896743512014847</v>
      </c>
      <c r="H549" s="553">
        <f>[9]Sales_NP!GX122+[9]Sales_NP!GX123</f>
        <v>12.592192190902178</v>
      </c>
      <c r="I549" s="553">
        <f>[9]Sales_NP!GY122+[9]Sales_NP!GY123</f>
        <v>13.023078713744228</v>
      </c>
      <c r="J549" s="553">
        <f>[9]Sales_NP!GZ122+[9]Sales_NP!GZ123</f>
        <v>12.080973938639298</v>
      </c>
      <c r="K549" s="553">
        <f>[9]Sales_NP!HA122+[9]Sales_NP!HA123</f>
        <v>14.053398838632978</v>
      </c>
      <c r="L549" s="553">
        <f>[9]Sales_NP!HB122+[9]Sales_NP!HB123</f>
        <v>13.738586815620963</v>
      </c>
      <c r="M549" s="553">
        <f>[9]Sales_NP!HC122+[9]Sales_NP!HC123</f>
        <v>13.863802678660047</v>
      </c>
      <c r="N549" s="553">
        <f>[9]Sales_NP!HD122+[9]Sales_NP!HD123</f>
        <v>14.68610469629979</v>
      </c>
      <c r="O549" s="553">
        <f>[9]Sales_NP!HE122+[9]Sales_NP!HE123</f>
        <v>13.640337883521889</v>
      </c>
      <c r="P549" s="553">
        <f>[9]Sales_NP!HF122+[9]Sales_NP!HF123</f>
        <v>14.619497207758553</v>
      </c>
      <c r="Q549" s="561">
        <f t="shared" si="114"/>
        <v>165.21909294276438</v>
      </c>
      <c r="R549" s="166"/>
      <c r="S549" s="166"/>
    </row>
    <row r="550" spans="3:19" x14ac:dyDescent="0.25">
      <c r="C550" s="17" t="s">
        <v>206</v>
      </c>
      <c r="D550" s="17" t="s">
        <v>207</v>
      </c>
      <c r="E550" s="553">
        <f>[9]Sales_NP!GU126</f>
        <v>0.94396269409905509</v>
      </c>
      <c r="F550" s="553">
        <f>[9]Sales_NP!GV126</f>
        <v>0.97878740097292338</v>
      </c>
      <c r="G550" s="553">
        <f>[9]Sales_NP!GW126</f>
        <v>0.92627845527296171</v>
      </c>
      <c r="H550" s="553">
        <f>[9]Sales_NP!GX126</f>
        <v>0.77260273495634368</v>
      </c>
      <c r="I550" s="553">
        <f>[9]Sales_NP!GY126</f>
        <v>0.811454394771702</v>
      </c>
      <c r="J550" s="553">
        <f>[9]Sales_NP!GZ126</f>
        <v>0.76074446641309224</v>
      </c>
      <c r="K550" s="553">
        <f>[9]Sales_NP!HA126</f>
        <v>0.750290101270353</v>
      </c>
      <c r="L550" s="553">
        <f>[9]Sales_NP!HB126</f>
        <v>0.68168249291094685</v>
      </c>
      <c r="M550" s="553">
        <f>[9]Sales_NP!HC126</f>
        <v>0.5674409170705953</v>
      </c>
      <c r="N550" s="553">
        <f>[9]Sales_NP!HD126</f>
        <v>0.64150635739151385</v>
      </c>
      <c r="O550" s="553">
        <f>[9]Sales_NP!HE126</f>
        <v>0.65495113524061488</v>
      </c>
      <c r="P550" s="553">
        <f>[9]Sales_NP!HF126</f>
        <v>0.76895849581892517</v>
      </c>
      <c r="Q550" s="561">
        <f t="shared" si="114"/>
        <v>9.2586596461890274</v>
      </c>
      <c r="R550" s="166"/>
      <c r="S550" s="166"/>
    </row>
    <row r="551" spans="3:19" x14ac:dyDescent="0.25">
      <c r="C551" s="17" t="s">
        <v>208</v>
      </c>
      <c r="D551" s="17" t="s">
        <v>187</v>
      </c>
      <c r="E551" s="553">
        <f>[9]Sales_NP!GU127</f>
        <v>1.101181</v>
      </c>
      <c r="F551" s="553">
        <f>[9]Sales_NP!GV127</f>
        <v>1.0717239999999999</v>
      </c>
      <c r="G551" s="553">
        <f>[9]Sales_NP!GW127</f>
        <v>1.084025</v>
      </c>
      <c r="H551" s="553">
        <f>[9]Sales_NP!GX127</f>
        <v>1.0250300000000001</v>
      </c>
      <c r="I551" s="553">
        <f>[9]Sales_NP!GY127</f>
        <v>1.213595</v>
      </c>
      <c r="J551" s="553">
        <f>[9]Sales_NP!GZ127</f>
        <v>1.1878</v>
      </c>
      <c r="K551" s="553">
        <f>[9]Sales_NP!HA127</f>
        <v>1.4299949999999999</v>
      </c>
      <c r="L551" s="553">
        <f>[9]Sales_NP!HB127</f>
        <v>1.3612569999999999</v>
      </c>
      <c r="M551" s="553">
        <f>[9]Sales_NP!HC127</f>
        <v>1.364538</v>
      </c>
      <c r="N551" s="553">
        <f>[9]Sales_NP!HD127</f>
        <v>1.374131</v>
      </c>
      <c r="O551" s="553">
        <f>[9]Sales_NP!HE127</f>
        <v>1.2489410000000001</v>
      </c>
      <c r="P551" s="553">
        <f>[9]Sales_NP!HF127</f>
        <v>1.1490670000000001</v>
      </c>
      <c r="Q551" s="561">
        <f t="shared" si="114"/>
        <v>14.611284000000001</v>
      </c>
      <c r="R551" s="166"/>
      <c r="S551" s="166"/>
    </row>
    <row r="552" spans="3:19" x14ac:dyDescent="0.25">
      <c r="C552" s="17" t="s">
        <v>209</v>
      </c>
      <c r="D552" s="17" t="s">
        <v>210</v>
      </c>
      <c r="E552" s="553">
        <f>[9]Sales_NP!GU128</f>
        <v>79.450844595437488</v>
      </c>
      <c r="F552" s="553">
        <f>[9]Sales_NP!GV128</f>
        <v>53.277909172697115</v>
      </c>
      <c r="G552" s="553">
        <f>[9]Sales_NP!GW128</f>
        <v>74.969344654859071</v>
      </c>
      <c r="H552" s="553">
        <f>[9]Sales_NP!GX128</f>
        <v>107.13448514193634</v>
      </c>
      <c r="I552" s="553">
        <f>[9]Sales_NP!GY128</f>
        <v>99.593577854195928</v>
      </c>
      <c r="J552" s="553">
        <f>[9]Sales_NP!GZ128</f>
        <v>91.699457989783411</v>
      </c>
      <c r="K552" s="553">
        <f>[9]Sales_NP!HA128</f>
        <v>108.65569897602498</v>
      </c>
      <c r="L552" s="553">
        <f>[9]Sales_NP!HB128</f>
        <v>61.090951693391382</v>
      </c>
      <c r="M552" s="553">
        <f>[9]Sales_NP!HC128</f>
        <v>123.93624454342294</v>
      </c>
      <c r="N552" s="553">
        <f>[9]Sales_NP!HD128</f>
        <v>132.68038855480455</v>
      </c>
      <c r="O552" s="553">
        <f>[9]Sales_NP!HE128</f>
        <v>144.49331635393384</v>
      </c>
      <c r="P552" s="553">
        <f>[9]Sales_NP!HF128</f>
        <v>158.07489475393564</v>
      </c>
      <c r="Q552" s="561">
        <f t="shared" si="114"/>
        <v>1235.0571142844228</v>
      </c>
      <c r="R552" s="166"/>
      <c r="S552" s="166"/>
    </row>
    <row r="553" spans="3:19" x14ac:dyDescent="0.25">
      <c r="C553" s="17" t="s">
        <v>211</v>
      </c>
      <c r="D553" s="17" t="s">
        <v>189</v>
      </c>
      <c r="E553" s="553">
        <v>0</v>
      </c>
      <c r="F553" s="553">
        <v>0</v>
      </c>
      <c r="G553" s="553">
        <v>0</v>
      </c>
      <c r="H553" s="553">
        <v>0</v>
      </c>
      <c r="I553" s="553">
        <v>0</v>
      </c>
      <c r="J553" s="553">
        <v>0</v>
      </c>
      <c r="K553" s="553">
        <v>0</v>
      </c>
      <c r="L553" s="553">
        <v>0</v>
      </c>
      <c r="M553" s="553">
        <v>0</v>
      </c>
      <c r="N553" s="553">
        <v>0</v>
      </c>
      <c r="O553" s="553">
        <v>0</v>
      </c>
      <c r="P553" s="553">
        <v>0</v>
      </c>
      <c r="Q553" s="561">
        <f t="shared" si="114"/>
        <v>0</v>
      </c>
      <c r="R553" s="166"/>
      <c r="S553" s="166"/>
    </row>
    <row r="554" spans="3:19" hidden="1" x14ac:dyDescent="0.25">
      <c r="C554" s="17"/>
      <c r="D554" s="17"/>
      <c r="E554" s="553"/>
      <c r="F554" s="553"/>
      <c r="G554" s="553"/>
      <c r="H554" s="553"/>
      <c r="I554" s="553"/>
      <c r="J554" s="553"/>
      <c r="K554" s="553"/>
      <c r="L554" s="553"/>
      <c r="M554" s="553"/>
      <c r="N554" s="553"/>
      <c r="O554" s="553"/>
      <c r="P554" s="553"/>
      <c r="Q554" s="561">
        <f t="shared" si="114"/>
        <v>0</v>
      </c>
      <c r="R554" s="166"/>
      <c r="S554" s="166"/>
    </row>
    <row r="555" spans="3:19" hidden="1" x14ac:dyDescent="0.25">
      <c r="C555" s="17"/>
      <c r="D555" s="17"/>
      <c r="E555" s="553"/>
      <c r="F555" s="553"/>
      <c r="G555" s="553"/>
      <c r="H555" s="553"/>
      <c r="I555" s="553"/>
      <c r="J555" s="553"/>
      <c r="K555" s="553"/>
      <c r="L555" s="553"/>
      <c r="M555" s="553"/>
      <c r="N555" s="553"/>
      <c r="O555" s="553"/>
      <c r="P555" s="553"/>
      <c r="Q555" s="561">
        <f t="shared" si="114"/>
        <v>0</v>
      </c>
      <c r="R555" s="166"/>
      <c r="S555" s="166"/>
    </row>
    <row r="556" spans="3:19" hidden="1" x14ac:dyDescent="0.25">
      <c r="C556" s="17"/>
      <c r="D556" s="17"/>
      <c r="E556" s="553"/>
      <c r="F556" s="553"/>
      <c r="G556" s="553"/>
      <c r="H556" s="553"/>
      <c r="I556" s="553"/>
      <c r="J556" s="553"/>
      <c r="K556" s="553"/>
      <c r="L556" s="553"/>
      <c r="M556" s="553"/>
      <c r="N556" s="553"/>
      <c r="O556" s="553"/>
      <c r="P556" s="553"/>
      <c r="Q556" s="561">
        <f t="shared" si="114"/>
        <v>0</v>
      </c>
      <c r="R556" s="166"/>
      <c r="S556" s="166"/>
    </row>
    <row r="557" spans="3:19" hidden="1" x14ac:dyDescent="0.25">
      <c r="C557" s="17" t="s">
        <v>226</v>
      </c>
      <c r="D557" s="17" t="s">
        <v>226</v>
      </c>
      <c r="E557" s="553"/>
      <c r="F557" s="553"/>
      <c r="G557" s="553"/>
      <c r="H557" s="553"/>
      <c r="I557" s="553"/>
      <c r="J557" s="553"/>
      <c r="K557" s="553"/>
      <c r="L557" s="553"/>
      <c r="M557" s="553"/>
      <c r="N557" s="553"/>
      <c r="O557" s="553"/>
      <c r="P557" s="553"/>
      <c r="Q557" s="561">
        <f t="shared" si="114"/>
        <v>0</v>
      </c>
      <c r="R557" s="166"/>
      <c r="S557" s="166"/>
    </row>
    <row r="558" spans="3:19" x14ac:dyDescent="0.25">
      <c r="C558" s="751" t="s">
        <v>212</v>
      </c>
      <c r="D558" s="752"/>
      <c r="E558" s="561">
        <f t="shared" ref="E558:P558" si="115">SUM(E543:E557)</f>
        <v>217.99462374708668</v>
      </c>
      <c r="F558" s="561">
        <f t="shared" si="115"/>
        <v>188.19377555482177</v>
      </c>
      <c r="G558" s="561">
        <f t="shared" si="115"/>
        <v>211.68101953101495</v>
      </c>
      <c r="H558" s="561">
        <f t="shared" si="115"/>
        <v>241.21354046976001</v>
      </c>
      <c r="I558" s="561">
        <f t="shared" si="115"/>
        <v>237.00893866371177</v>
      </c>
      <c r="J558" s="561">
        <f t="shared" si="115"/>
        <v>222.15774535764555</v>
      </c>
      <c r="K558" s="561">
        <f t="shared" si="115"/>
        <v>247.60035463796532</v>
      </c>
      <c r="L558" s="561">
        <f t="shared" si="115"/>
        <v>200.33138780186874</v>
      </c>
      <c r="M558" s="561">
        <f t="shared" si="115"/>
        <v>273.43911671914515</v>
      </c>
      <c r="N558" s="561">
        <f t="shared" si="115"/>
        <v>292.60213613935241</v>
      </c>
      <c r="O558" s="561">
        <f t="shared" si="115"/>
        <v>293.35712114909848</v>
      </c>
      <c r="P558" s="561">
        <f t="shared" si="115"/>
        <v>296.92414246574248</v>
      </c>
      <c r="Q558" s="561">
        <f t="shared" si="114"/>
        <v>2922.5039022372134</v>
      </c>
      <c r="R558" s="166"/>
      <c r="S558" s="166"/>
    </row>
    <row r="559" spans="3:19" x14ac:dyDescent="0.25">
      <c r="C559" s="753" t="s">
        <v>213</v>
      </c>
      <c r="D559" s="754"/>
      <c r="E559" s="553"/>
      <c r="F559" s="553"/>
      <c r="G559" s="553"/>
      <c r="H559" s="553"/>
      <c r="I559" s="553"/>
      <c r="J559" s="553"/>
      <c r="K559" s="553"/>
      <c r="L559" s="553"/>
      <c r="M559" s="553"/>
      <c r="N559" s="553"/>
      <c r="O559" s="553"/>
      <c r="P559" s="553"/>
      <c r="Q559" s="561"/>
      <c r="R559" s="166"/>
      <c r="S559" s="166"/>
    </row>
    <row r="560" spans="3:19" x14ac:dyDescent="0.25">
      <c r="C560" s="17" t="s">
        <v>192</v>
      </c>
      <c r="D560" s="17" t="s">
        <v>193</v>
      </c>
      <c r="E560" s="553">
        <f>[9]Sales_NP!GU143</f>
        <v>19.57158244841078</v>
      </c>
      <c r="F560" s="553">
        <f>[9]Sales_NP!GV143</f>
        <v>18.29360570449392</v>
      </c>
      <c r="G560" s="553">
        <f>[9]Sales_NP!GW143</f>
        <v>19.193369090566854</v>
      </c>
      <c r="H560" s="553">
        <f>[9]Sales_NP!GX143</f>
        <v>20.332407564809451</v>
      </c>
      <c r="I560" s="553">
        <f>[9]Sales_NP!GY143</f>
        <v>21.009313076197206</v>
      </c>
      <c r="J560" s="553">
        <f>[9]Sales_NP!GZ143</f>
        <v>20.53566591518706</v>
      </c>
      <c r="K560" s="553">
        <f>[9]Sales_NP!HA143</f>
        <v>15.514503912910548</v>
      </c>
      <c r="L560" s="553">
        <f>[9]Sales_NP!HB143</f>
        <v>17.43007097719817</v>
      </c>
      <c r="M560" s="553">
        <f>[9]Sales_NP!HC143</f>
        <v>17.833969223954462</v>
      </c>
      <c r="N560" s="553">
        <f>[9]Sales_NP!HD143</f>
        <v>18.979414256392559</v>
      </c>
      <c r="O560" s="553">
        <f>[9]Sales_NP!HE143</f>
        <v>19.188019772305132</v>
      </c>
      <c r="P560" s="553">
        <f>[9]Sales_NP!HF143</f>
        <v>19.941913440225122</v>
      </c>
      <c r="Q560" s="561">
        <f t="shared" ref="Q560:Q575" si="116">SUM(E560:P560)</f>
        <v>227.82383538265128</v>
      </c>
      <c r="R560" s="166"/>
      <c r="S560" s="166"/>
    </row>
    <row r="561" spans="3:19" x14ac:dyDescent="0.25">
      <c r="C561" s="17" t="s">
        <v>194</v>
      </c>
      <c r="D561" s="17" t="s">
        <v>195</v>
      </c>
      <c r="E561" s="553">
        <f>[9]Sales_NP!GU159</f>
        <v>2.9662000000000002</v>
      </c>
      <c r="F561" s="553">
        <f>[9]Sales_NP!GV159</f>
        <v>2.9662000000000002</v>
      </c>
      <c r="G561" s="553">
        <f>[9]Sales_NP!GW159</f>
        <v>2.9662000000000002</v>
      </c>
      <c r="H561" s="553">
        <f>[9]Sales_NP!GX159</f>
        <v>2.9662000000000002</v>
      </c>
      <c r="I561" s="553">
        <f>[9]Sales_NP!GY159</f>
        <v>2.9662000000000002</v>
      </c>
      <c r="J561" s="553">
        <f>[9]Sales_NP!GZ159</f>
        <v>2.9662000000000002</v>
      </c>
      <c r="K561" s="553">
        <f>[9]Sales_NP!HA159</f>
        <v>2.9662000000000002</v>
      </c>
      <c r="L561" s="553">
        <f>[9]Sales_NP!HB159</f>
        <v>2.9662000000000002</v>
      </c>
      <c r="M561" s="553">
        <f>[9]Sales_NP!HC159</f>
        <v>2.9662000000000002</v>
      </c>
      <c r="N561" s="553">
        <f>[9]Sales_NP!HD159</f>
        <v>2.9662000000000002</v>
      </c>
      <c r="O561" s="553">
        <f>[9]Sales_NP!HE159</f>
        <v>2.9662000000000002</v>
      </c>
      <c r="P561" s="553">
        <f>[9]Sales_NP!HF159</f>
        <v>2.9662000000000002</v>
      </c>
      <c r="Q561" s="561">
        <f t="shared" si="116"/>
        <v>35.5944</v>
      </c>
      <c r="R561" s="166"/>
      <c r="S561" s="166"/>
    </row>
    <row r="562" spans="3:19" x14ac:dyDescent="0.25">
      <c r="C562" s="17" t="s">
        <v>233</v>
      </c>
      <c r="D562" s="17" t="s">
        <v>197</v>
      </c>
      <c r="E562" s="553">
        <f>[9]Sales_NP!GU160</f>
        <v>1.3789359600000002</v>
      </c>
      <c r="F562" s="553">
        <f>[9]Sales_NP!GV160</f>
        <v>1.30765632</v>
      </c>
      <c r="G562" s="553">
        <f>[9]Sales_NP!GW160</f>
        <v>1.26543954</v>
      </c>
      <c r="H562" s="553">
        <f>[9]Sales_NP!GX160</f>
        <v>1.3775222399999998</v>
      </c>
      <c r="I562" s="553">
        <f>[9]Sales_NP!GY160</f>
        <v>1.6807469220000002</v>
      </c>
      <c r="J562" s="553">
        <f>[9]Sales_NP!GZ160</f>
        <v>1.6438819800000002</v>
      </c>
      <c r="K562" s="553">
        <f>[9]Sales_NP!HA160</f>
        <v>1.7357055624000002</v>
      </c>
      <c r="L562" s="553">
        <f>[9]Sales_NP!HB160</f>
        <v>1.4756971175999998</v>
      </c>
      <c r="M562" s="553">
        <f>[9]Sales_NP!HC160</f>
        <v>1.1677770043200002</v>
      </c>
      <c r="N562" s="553">
        <f>[9]Sales_NP!HD160</f>
        <v>1.0869984756</v>
      </c>
      <c r="O562" s="553">
        <f>[9]Sales_NP!HE160</f>
        <v>1.2195454356000002</v>
      </c>
      <c r="P562" s="553">
        <f>[9]Sales_NP!HF160</f>
        <v>1.3488692364000001</v>
      </c>
      <c r="Q562" s="561">
        <f t="shared" si="116"/>
        <v>16.688775793919998</v>
      </c>
      <c r="R562" s="166"/>
      <c r="S562" s="166"/>
    </row>
    <row r="563" spans="3:19" x14ac:dyDescent="0.25">
      <c r="C563" s="17" t="s">
        <v>198</v>
      </c>
      <c r="D563" s="17" t="s">
        <v>199</v>
      </c>
      <c r="E563" s="553">
        <f>[9]Sales_NP!GU166</f>
        <v>0</v>
      </c>
      <c r="F563" s="553">
        <f>[9]Sales_NP!GV166</f>
        <v>0</v>
      </c>
      <c r="G563" s="553">
        <f>[9]Sales_NP!GW166</f>
        <v>0</v>
      </c>
      <c r="H563" s="553">
        <f>[9]Sales_NP!GX166</f>
        <v>0</v>
      </c>
      <c r="I563" s="553">
        <f>[9]Sales_NP!GY166</f>
        <v>0</v>
      </c>
      <c r="J563" s="553">
        <f>[9]Sales_NP!GZ166</f>
        <v>0</v>
      </c>
      <c r="K563" s="553">
        <f>[9]Sales_NP!HA166</f>
        <v>0</v>
      </c>
      <c r="L563" s="553">
        <f>[9]Sales_NP!HB166</f>
        <v>0</v>
      </c>
      <c r="M563" s="553">
        <f>[9]Sales_NP!HC166</f>
        <v>0</v>
      </c>
      <c r="N563" s="553">
        <f>[9]Sales_NP!HD166</f>
        <v>0</v>
      </c>
      <c r="O563" s="553">
        <f>[9]Sales_NP!HE166</f>
        <v>0</v>
      </c>
      <c r="P563" s="553">
        <f>[9]Sales_NP!HF166</f>
        <v>0</v>
      </c>
      <c r="Q563" s="561">
        <f t="shared" si="116"/>
        <v>0</v>
      </c>
      <c r="R563" s="166"/>
      <c r="S563" s="166"/>
    </row>
    <row r="564" spans="3:19" x14ac:dyDescent="0.25">
      <c r="C564" s="17" t="s">
        <v>200</v>
      </c>
      <c r="D564" s="17" t="s">
        <v>201</v>
      </c>
      <c r="E564" s="553">
        <f>[9]Sales_NP!GU171</f>
        <v>0</v>
      </c>
      <c r="F564" s="553">
        <f>[9]Sales_NP!GV171</f>
        <v>0</v>
      </c>
      <c r="G564" s="553">
        <f>[9]Sales_NP!GW171</f>
        <v>0</v>
      </c>
      <c r="H564" s="553">
        <f>[9]Sales_NP!GX171</f>
        <v>0</v>
      </c>
      <c r="I564" s="553">
        <f>[9]Sales_NP!GY171</f>
        <v>0</v>
      </c>
      <c r="J564" s="553">
        <f>[9]Sales_NP!GZ171</f>
        <v>0</v>
      </c>
      <c r="K564" s="553">
        <f>[9]Sales_NP!HA171</f>
        <v>0</v>
      </c>
      <c r="L564" s="553">
        <f>[9]Sales_NP!HB171</f>
        <v>0</v>
      </c>
      <c r="M564" s="553">
        <f>[9]Sales_NP!HC171</f>
        <v>0</v>
      </c>
      <c r="N564" s="553">
        <f>[9]Sales_NP!HD171</f>
        <v>0</v>
      </c>
      <c r="O564" s="553">
        <f>[9]Sales_NP!HE171</f>
        <v>0</v>
      </c>
      <c r="P564" s="553">
        <f>[9]Sales_NP!HF171</f>
        <v>0</v>
      </c>
      <c r="Q564" s="561">
        <f t="shared" si="116"/>
        <v>0</v>
      </c>
      <c r="R564" s="166"/>
      <c r="S564" s="166"/>
    </row>
    <row r="565" spans="3:19" x14ac:dyDescent="0.25">
      <c r="C565" s="17" t="s">
        <v>202</v>
      </c>
      <c r="D565" s="17" t="s">
        <v>203</v>
      </c>
      <c r="E565" s="553">
        <f>[9]Sales_NP!GU177</f>
        <v>0.98347890000000004</v>
      </c>
      <c r="F565" s="553">
        <f>[9]Sales_NP!GV177</f>
        <v>8.7873000000000007E-2</v>
      </c>
      <c r="G565" s="553">
        <f>[9]Sales_NP!GW177</f>
        <v>8.1044099999999994E-2</v>
      </c>
      <c r="H565" s="553">
        <f>[9]Sales_NP!GX177</f>
        <v>0.15412200000000001</v>
      </c>
      <c r="I565" s="553">
        <f>[9]Sales_NP!GY177</f>
        <v>3.6840563999999998</v>
      </c>
      <c r="J565" s="553">
        <f>[9]Sales_NP!GZ177</f>
        <v>3.9391278000000001</v>
      </c>
      <c r="K565" s="553">
        <f>[9]Sales_NP!HA177</f>
        <v>2.1065855999999998</v>
      </c>
      <c r="L565" s="553">
        <f>[9]Sales_NP!HB177</f>
        <v>1.1142989999999999</v>
      </c>
      <c r="M565" s="553">
        <f>[9]Sales_NP!HC177</f>
        <v>0.47095440000000005</v>
      </c>
      <c r="N565" s="553">
        <f>[9]Sales_NP!HD177</f>
        <v>7.5854391000000003</v>
      </c>
      <c r="O565" s="553">
        <f>[9]Sales_NP!HE177</f>
        <v>6.1891050000000005</v>
      </c>
      <c r="P565" s="553">
        <f>[9]Sales_NP!HF177</f>
        <v>4.4901675000000001</v>
      </c>
      <c r="Q565" s="561">
        <f t="shared" si="116"/>
        <v>30.886252800000001</v>
      </c>
      <c r="R565" s="166"/>
      <c r="S565" s="166"/>
    </row>
    <row r="566" spans="3:19" x14ac:dyDescent="0.25">
      <c r="C566" s="17" t="s">
        <v>204</v>
      </c>
      <c r="D566" s="17" t="s">
        <v>205</v>
      </c>
      <c r="E566" s="553">
        <f>[9]Sales_NP!GU178</f>
        <v>32.505823950093173</v>
      </c>
      <c r="F566" s="553">
        <f>[9]Sales_NP!GV178</f>
        <v>33.037083348494846</v>
      </c>
      <c r="G566" s="553">
        <f>[9]Sales_NP!GW178</f>
        <v>30.615413689063885</v>
      </c>
      <c r="H566" s="553">
        <f>[9]Sales_NP!GX178</f>
        <v>31.291890887215487</v>
      </c>
      <c r="I566" s="553">
        <f>[9]Sales_NP!GY178</f>
        <v>30.591161063033766</v>
      </c>
      <c r="J566" s="553">
        <f>[9]Sales_NP!GZ178</f>
        <v>30.037088476393468</v>
      </c>
      <c r="K566" s="553">
        <f>[9]Sales_NP!HA178</f>
        <v>31.607951663429773</v>
      </c>
      <c r="L566" s="553">
        <f>[9]Sales_NP!HB178</f>
        <v>31.627969217718924</v>
      </c>
      <c r="M566" s="553">
        <f>[9]Sales_NP!HC178</f>
        <v>31.316150580497602</v>
      </c>
      <c r="N566" s="553">
        <f>[9]Sales_NP!HD178</f>
        <v>32.652021243635332</v>
      </c>
      <c r="O566" s="553">
        <f>[9]Sales_NP!HE178</f>
        <v>29.388674974159244</v>
      </c>
      <c r="P566" s="553">
        <f>[9]Sales_NP!HF178</f>
        <v>39.177832012769628</v>
      </c>
      <c r="Q566" s="561">
        <f t="shared" si="116"/>
        <v>383.84906110650508</v>
      </c>
      <c r="R566" s="166"/>
      <c r="S566" s="166"/>
    </row>
    <row r="567" spans="3:19" x14ac:dyDescent="0.25">
      <c r="C567" s="17" t="s">
        <v>206</v>
      </c>
      <c r="D567" s="17" t="s">
        <v>207</v>
      </c>
      <c r="E567" s="553">
        <f>[9]Sales_NP!GU182</f>
        <v>4.4537677799999997</v>
      </c>
      <c r="F567" s="553">
        <f>[9]Sales_NP!GV182</f>
        <v>4.7056159800000001</v>
      </c>
      <c r="G567" s="553">
        <f>[9]Sales_NP!GW182</f>
        <v>4.0347670800000008</v>
      </c>
      <c r="H567" s="553">
        <f>[9]Sales_NP!GX182</f>
        <v>3.2991573600000006</v>
      </c>
      <c r="I567" s="553">
        <f>[9]Sales_NP!GY182</f>
        <v>3.6218282400000001</v>
      </c>
      <c r="J567" s="553">
        <f>[9]Sales_NP!GZ182</f>
        <v>3.4076608799999999</v>
      </c>
      <c r="K567" s="553">
        <f>[9]Sales_NP!HA182</f>
        <v>1.7785128000000001</v>
      </c>
      <c r="L567" s="553">
        <f>[9]Sales_NP!HB182</f>
        <v>1.30923528</v>
      </c>
      <c r="M567" s="553">
        <f>[9]Sales_NP!HC182</f>
        <v>0.64914329999999998</v>
      </c>
      <c r="N567" s="553">
        <f>[9]Sales_NP!HD182</f>
        <v>1.8008161200000001</v>
      </c>
      <c r="O567" s="553">
        <f>[9]Sales_NP!HE182</f>
        <v>2.2666633799999998</v>
      </c>
      <c r="P567" s="553">
        <f>[9]Sales_NP!HF182</f>
        <v>3.2855861544827589</v>
      </c>
      <c r="Q567" s="561">
        <f t="shared" si="116"/>
        <v>34.61275435448276</v>
      </c>
      <c r="R567" s="166"/>
      <c r="S567" s="166"/>
    </row>
    <row r="568" spans="3:19" x14ac:dyDescent="0.25">
      <c r="C568" s="17" t="s">
        <v>214</v>
      </c>
      <c r="D568" s="17" t="s">
        <v>187</v>
      </c>
      <c r="E568" s="553">
        <f>[9]Sales_NP!GU183</f>
        <v>0.63860465999999994</v>
      </c>
      <c r="F568" s="553">
        <f>[9]Sales_NP!GV183</f>
        <v>0.66120581999999994</v>
      </c>
      <c r="G568" s="553">
        <f>[9]Sales_NP!GW183</f>
        <v>0.78955241999999992</v>
      </c>
      <c r="H568" s="553">
        <f>[9]Sales_NP!GX183</f>
        <v>0.68113763999999999</v>
      </c>
      <c r="I568" s="553">
        <f>[9]Sales_NP!GY183</f>
        <v>0.60145932000000002</v>
      </c>
      <c r="J568" s="553">
        <f>[9]Sales_NP!GZ183</f>
        <v>0.63778458000000005</v>
      </c>
      <c r="K568" s="553">
        <f>[9]Sales_NP!HA183</f>
        <v>0.66853815119999993</v>
      </c>
      <c r="L568" s="553">
        <f>[9]Sales_NP!HB183</f>
        <v>0.67925323080000011</v>
      </c>
      <c r="M568" s="553">
        <f>[9]Sales_NP!HC183</f>
        <v>0.80258640840000006</v>
      </c>
      <c r="N568" s="553">
        <f>[9]Sales_NP!HD183</f>
        <v>0.75018562199999994</v>
      </c>
      <c r="O568" s="553">
        <f>[9]Sales_NP!HE183</f>
        <v>0.70689873959999994</v>
      </c>
      <c r="P568" s="553">
        <f>[9]Sales_NP!HF183</f>
        <v>0.69328614600000005</v>
      </c>
      <c r="Q568" s="561">
        <f t="shared" si="116"/>
        <v>8.3104927379999989</v>
      </c>
      <c r="R568" s="166"/>
      <c r="S568" s="166"/>
    </row>
    <row r="569" spans="3:19" x14ac:dyDescent="0.25">
      <c r="C569" s="17" t="s">
        <v>209</v>
      </c>
      <c r="D569" s="17" t="s">
        <v>210</v>
      </c>
      <c r="E569" s="553">
        <f>[9]Sales_NP!GU184</f>
        <v>0</v>
      </c>
      <c r="F569" s="553">
        <f>[9]Sales_NP!GV184</f>
        <v>0</v>
      </c>
      <c r="G569" s="553">
        <f>[9]Sales_NP!GW184</f>
        <v>0</v>
      </c>
      <c r="H569" s="553">
        <f>[9]Sales_NP!GX184</f>
        <v>0</v>
      </c>
      <c r="I569" s="553">
        <f>[9]Sales_NP!GY184</f>
        <v>0</v>
      </c>
      <c r="J569" s="553">
        <f>[9]Sales_NP!GZ184</f>
        <v>0</v>
      </c>
      <c r="K569" s="553">
        <f>[9]Sales_NP!HA184</f>
        <v>0</v>
      </c>
      <c r="L569" s="553">
        <f>[9]Sales_NP!HB184</f>
        <v>0</v>
      </c>
      <c r="M569" s="553">
        <f>[9]Sales_NP!HC184</f>
        <v>0</v>
      </c>
      <c r="N569" s="553">
        <f>[9]Sales_NP!HD184</f>
        <v>0</v>
      </c>
      <c r="O569" s="553">
        <f>[9]Sales_NP!HE184</f>
        <v>0</v>
      </c>
      <c r="P569" s="553">
        <f>[9]Sales_NP!HF184</f>
        <v>0</v>
      </c>
      <c r="Q569" s="561">
        <f t="shared" si="116"/>
        <v>0</v>
      </c>
      <c r="R569" s="166"/>
      <c r="S569" s="166"/>
    </row>
    <row r="570" spans="3:19" x14ac:dyDescent="0.25">
      <c r="C570" s="17" t="s">
        <v>211</v>
      </c>
      <c r="D570" s="17" t="s">
        <v>189</v>
      </c>
      <c r="E570" s="553">
        <f>[9]Sales_NP!GU188</f>
        <v>3.2256</v>
      </c>
      <c r="F570" s="553">
        <f>[9]Sales_NP!GV188</f>
        <v>3.3331200000000001</v>
      </c>
      <c r="G570" s="553">
        <f>[9]Sales_NP!GW188</f>
        <v>3.2256</v>
      </c>
      <c r="H570" s="553">
        <f>[9]Sales_NP!GX188</f>
        <v>3.3331200000000001</v>
      </c>
      <c r="I570" s="553">
        <f>[9]Sales_NP!GY188</f>
        <v>3.3331200000000001</v>
      </c>
      <c r="J570" s="553">
        <f>[9]Sales_NP!GZ188</f>
        <v>3.2256</v>
      </c>
      <c r="K570" s="553">
        <f>[9]Sales_NP!HA188</f>
        <v>3.3331200000000001</v>
      </c>
      <c r="L570" s="553">
        <f>[9]Sales_NP!HB188</f>
        <v>3.2256</v>
      </c>
      <c r="M570" s="553">
        <f>[9]Sales_NP!HC188</f>
        <v>3.3331200000000001</v>
      </c>
      <c r="N570" s="553">
        <f>[9]Sales_NP!HD188</f>
        <v>3.3331200000000001</v>
      </c>
      <c r="O570" s="553">
        <f>[9]Sales_NP!HE188</f>
        <v>3.0105599999999999</v>
      </c>
      <c r="P570" s="553">
        <f>[9]Sales_NP!HF188</f>
        <v>3.3331200000000001</v>
      </c>
      <c r="Q570" s="561">
        <f t="shared" si="116"/>
        <v>39.244800000000005</v>
      </c>
      <c r="R570" s="166"/>
      <c r="S570" s="166"/>
    </row>
    <row r="571" spans="3:19" hidden="1" x14ac:dyDescent="0.25">
      <c r="C571" s="17"/>
      <c r="D571" s="17"/>
      <c r="E571" s="553"/>
      <c r="F571" s="553"/>
      <c r="G571" s="553"/>
      <c r="H571" s="553"/>
      <c r="I571" s="553"/>
      <c r="J571" s="553"/>
      <c r="K571" s="553"/>
      <c r="L571" s="553"/>
      <c r="M571" s="553"/>
      <c r="N571" s="553"/>
      <c r="O571" s="553"/>
      <c r="P571" s="553"/>
      <c r="Q571" s="561">
        <f t="shared" si="116"/>
        <v>0</v>
      </c>
      <c r="R571" s="166"/>
      <c r="S571" s="166"/>
    </row>
    <row r="572" spans="3:19" hidden="1" x14ac:dyDescent="0.25">
      <c r="C572" s="17"/>
      <c r="D572" s="17"/>
      <c r="E572" s="553"/>
      <c r="F572" s="553"/>
      <c r="G572" s="553"/>
      <c r="H572" s="553"/>
      <c r="I572" s="553"/>
      <c r="J572" s="553"/>
      <c r="K572" s="553"/>
      <c r="L572" s="553"/>
      <c r="M572" s="553"/>
      <c r="N572" s="553"/>
      <c r="O572" s="553"/>
      <c r="P572" s="553"/>
      <c r="Q572" s="561">
        <f t="shared" si="116"/>
        <v>0</v>
      </c>
      <c r="R572" s="166"/>
      <c r="S572" s="166"/>
    </row>
    <row r="573" spans="3:19" hidden="1" x14ac:dyDescent="0.25">
      <c r="C573" s="17"/>
      <c r="D573" s="17"/>
      <c r="E573" s="553"/>
      <c r="F573" s="553"/>
      <c r="G573" s="553"/>
      <c r="H573" s="553"/>
      <c r="I573" s="553"/>
      <c r="J573" s="553"/>
      <c r="K573" s="553"/>
      <c r="L573" s="553"/>
      <c r="M573" s="553"/>
      <c r="N573" s="553"/>
      <c r="O573" s="553"/>
      <c r="P573" s="553"/>
      <c r="Q573" s="561">
        <f t="shared" si="116"/>
        <v>0</v>
      </c>
      <c r="R573" s="166"/>
      <c r="S573" s="166"/>
    </row>
    <row r="574" spans="3:19" hidden="1" x14ac:dyDescent="0.25">
      <c r="C574" s="17" t="s">
        <v>226</v>
      </c>
      <c r="D574" s="17" t="s">
        <v>226</v>
      </c>
      <c r="E574" s="553"/>
      <c r="F574" s="553"/>
      <c r="G574" s="553"/>
      <c r="H574" s="553"/>
      <c r="I574" s="553"/>
      <c r="J574" s="553"/>
      <c r="K574" s="553"/>
      <c r="L574" s="553"/>
      <c r="M574" s="553"/>
      <c r="N574" s="553"/>
      <c r="O574" s="553"/>
      <c r="P574" s="553"/>
      <c r="Q574" s="561">
        <f t="shared" si="116"/>
        <v>0</v>
      </c>
      <c r="R574" s="166"/>
      <c r="S574" s="166"/>
    </row>
    <row r="575" spans="3:19" x14ac:dyDescent="0.25">
      <c r="C575" s="751" t="s">
        <v>212</v>
      </c>
      <c r="D575" s="752"/>
      <c r="E575" s="561">
        <f t="shared" ref="E575:P575" si="117">SUM(E560:E574)</f>
        <v>65.723993698503961</v>
      </c>
      <c r="F575" s="561">
        <f t="shared" si="117"/>
        <v>64.392360172988759</v>
      </c>
      <c r="G575" s="561">
        <f t="shared" si="117"/>
        <v>62.171385919630737</v>
      </c>
      <c r="H575" s="561">
        <f t="shared" si="117"/>
        <v>63.435557692024943</v>
      </c>
      <c r="I575" s="561">
        <f t="shared" si="117"/>
        <v>67.487885021230966</v>
      </c>
      <c r="J575" s="561">
        <f t="shared" si="117"/>
        <v>66.393009631580526</v>
      </c>
      <c r="K575" s="561">
        <f t="shared" si="117"/>
        <v>59.711117689940316</v>
      </c>
      <c r="L575" s="561">
        <f t="shared" si="117"/>
        <v>59.828324823317097</v>
      </c>
      <c r="M575" s="561">
        <f t="shared" si="117"/>
        <v>58.539900917172069</v>
      </c>
      <c r="N575" s="561">
        <f t="shared" si="117"/>
        <v>69.154194817627882</v>
      </c>
      <c r="O575" s="561">
        <f t="shared" si="117"/>
        <v>64.935667301664381</v>
      </c>
      <c r="P575" s="561">
        <f t="shared" si="117"/>
        <v>75.236974489877497</v>
      </c>
      <c r="Q575" s="561">
        <f t="shared" si="116"/>
        <v>777.01037217555904</v>
      </c>
      <c r="R575" s="166"/>
      <c r="S575" s="166"/>
    </row>
    <row r="576" spans="3:19" x14ac:dyDescent="0.25">
      <c r="C576" s="753" t="s">
        <v>215</v>
      </c>
      <c r="D576" s="754"/>
      <c r="E576" s="553"/>
      <c r="F576" s="553"/>
      <c r="G576" s="553"/>
      <c r="H576" s="553"/>
      <c r="I576" s="553"/>
      <c r="J576" s="553"/>
      <c r="K576" s="553"/>
      <c r="L576" s="553"/>
      <c r="M576" s="553"/>
      <c r="N576" s="553"/>
      <c r="O576" s="553"/>
      <c r="P576" s="553"/>
      <c r="Q576" s="561"/>
      <c r="R576" s="166"/>
      <c r="S576" s="166"/>
    </row>
    <row r="577" spans="3:19" x14ac:dyDescent="0.25">
      <c r="C577" s="17" t="s">
        <v>192</v>
      </c>
      <c r="D577" s="17" t="s">
        <v>193</v>
      </c>
      <c r="E577" s="553">
        <f>[9]Sales_NP!GU198</f>
        <v>50.016591858304096</v>
      </c>
      <c r="F577" s="553">
        <f>[9]Sales_NP!GV198</f>
        <v>51.444167529792296</v>
      </c>
      <c r="G577" s="553">
        <f>[9]Sales_NP!GW198</f>
        <v>48.22599649924355</v>
      </c>
      <c r="H577" s="553">
        <f>[9]Sales_NP!GX198</f>
        <v>52.343267406266918</v>
      </c>
      <c r="I577" s="553">
        <f>[9]Sales_NP!GY198</f>
        <v>53.882326927988821</v>
      </c>
      <c r="J577" s="553">
        <f>[9]Sales_NP!GZ198</f>
        <v>55.285193645087574</v>
      </c>
      <c r="K577" s="553">
        <f>[9]Sales_NP!HA198</f>
        <v>58.970647202822576</v>
      </c>
      <c r="L577" s="553">
        <f>[9]Sales_NP!HB198</f>
        <v>60.223493293936102</v>
      </c>
      <c r="M577" s="553">
        <f>[9]Sales_NP!HC198</f>
        <v>53.108216037400503</v>
      </c>
      <c r="N577" s="553">
        <f>[9]Sales_NP!HD198</f>
        <v>56.868262749932896</v>
      </c>
      <c r="O577" s="553">
        <f>[9]Sales_NP!HE198</f>
        <v>53.468032178617214</v>
      </c>
      <c r="P577" s="553">
        <f>[9]Sales_NP!HF198</f>
        <v>54.05860747926608</v>
      </c>
      <c r="Q577" s="561">
        <f t="shared" ref="Q577:Q596" si="118">SUM(E577:P577)</f>
        <v>647.89480280865871</v>
      </c>
      <c r="R577" s="166"/>
      <c r="S577" s="166"/>
    </row>
    <row r="578" spans="3:19" x14ac:dyDescent="0.25">
      <c r="C578" s="17" t="s">
        <v>194</v>
      </c>
      <c r="D578" s="17" t="s">
        <v>195</v>
      </c>
      <c r="E578" s="553">
        <f>[9]Sales_NP!GU208</f>
        <v>0</v>
      </c>
      <c r="F578" s="553">
        <f>[9]Sales_NP!GV208</f>
        <v>0</v>
      </c>
      <c r="G578" s="553">
        <f>[9]Sales_NP!GW208</f>
        <v>0</v>
      </c>
      <c r="H578" s="553">
        <f>[9]Sales_NP!GX208</f>
        <v>0</v>
      </c>
      <c r="I578" s="553">
        <f>[9]Sales_NP!GY208</f>
        <v>0</v>
      </c>
      <c r="J578" s="553">
        <f>[9]Sales_NP!GZ208</f>
        <v>0</v>
      </c>
      <c r="K578" s="553">
        <f>[9]Sales_NP!HA208</f>
        <v>0</v>
      </c>
      <c r="L578" s="553">
        <f>[9]Sales_NP!HB208</f>
        <v>0</v>
      </c>
      <c r="M578" s="553">
        <f>[9]Sales_NP!HC208</f>
        <v>0</v>
      </c>
      <c r="N578" s="553">
        <f>[9]Sales_NP!HD208</f>
        <v>0</v>
      </c>
      <c r="O578" s="553">
        <f>[9]Sales_NP!HE208</f>
        <v>0</v>
      </c>
      <c r="P578" s="553">
        <f>[9]Sales_NP!HF208</f>
        <v>0</v>
      </c>
      <c r="Q578" s="561">
        <f t="shared" si="118"/>
        <v>0</v>
      </c>
      <c r="R578" s="166"/>
      <c r="S578" s="166"/>
    </row>
    <row r="579" spans="3:19" x14ac:dyDescent="0.25">
      <c r="C579" s="17" t="s">
        <v>233</v>
      </c>
      <c r="D579" s="17" t="s">
        <v>197</v>
      </c>
      <c r="E579" s="553">
        <f>[9]Sales_NP!GU214</f>
        <v>0.1918048509312377</v>
      </c>
      <c r="F579" s="553">
        <f>[9]Sales_NP!GV214</f>
        <v>0.19547966446690804</v>
      </c>
      <c r="G579" s="553">
        <f>[9]Sales_NP!GW214</f>
        <v>0.21518074814425175</v>
      </c>
      <c r="H579" s="553">
        <f>[9]Sales_NP!GX214</f>
        <v>0.69852080623866919</v>
      </c>
      <c r="I579" s="553">
        <f>[9]Sales_NP!GY214</f>
        <v>0.23365689397637202</v>
      </c>
      <c r="J579" s="553">
        <f>[9]Sales_NP!GZ214</f>
        <v>1.025272976452023</v>
      </c>
      <c r="K579" s="553">
        <f>[9]Sales_NP!HA214</f>
        <v>0.25529746257531954</v>
      </c>
      <c r="L579" s="553">
        <f>[9]Sales_NP!HB214</f>
        <v>0.34328883112387032</v>
      </c>
      <c r="M579" s="553">
        <f>[9]Sales_NP!HC214</f>
        <v>0.37503513694591117</v>
      </c>
      <c r="N579" s="553">
        <f>[9]Sales_NP!HD214</f>
        <v>0.63431364751820696</v>
      </c>
      <c r="O579" s="553">
        <f>[9]Sales_NP!HE214</f>
        <v>0.27173204533206741</v>
      </c>
      <c r="P579" s="553">
        <f>[9]Sales_NP!HF214</f>
        <v>0.23498390997536411</v>
      </c>
      <c r="Q579" s="561">
        <f t="shared" si="118"/>
        <v>4.6745669736802009</v>
      </c>
      <c r="R579" s="166"/>
      <c r="S579" s="166"/>
    </row>
    <row r="580" spans="3:19" x14ac:dyDescent="0.25">
      <c r="C580" s="17" t="s">
        <v>198</v>
      </c>
      <c r="D580" s="17" t="s">
        <v>199</v>
      </c>
      <c r="E580" s="553">
        <f>[9]Sales_NP!GU219</f>
        <v>0</v>
      </c>
      <c r="F580" s="553">
        <f>[9]Sales_NP!GV219</f>
        <v>0</v>
      </c>
      <c r="G580" s="553">
        <f>[9]Sales_NP!GW219</f>
        <v>0</v>
      </c>
      <c r="H580" s="553">
        <f>[9]Sales_NP!GX219</f>
        <v>0</v>
      </c>
      <c r="I580" s="553">
        <f>[9]Sales_NP!GY219</f>
        <v>0</v>
      </c>
      <c r="J580" s="553">
        <f>[9]Sales_NP!GZ219</f>
        <v>0</v>
      </c>
      <c r="K580" s="553">
        <f>[9]Sales_NP!HA219</f>
        <v>0</v>
      </c>
      <c r="L580" s="553">
        <f>[9]Sales_NP!HB219</f>
        <v>0</v>
      </c>
      <c r="M580" s="553">
        <f>[9]Sales_NP!HC219</f>
        <v>0</v>
      </c>
      <c r="N580" s="553">
        <f>[9]Sales_NP!HD219</f>
        <v>0</v>
      </c>
      <c r="O580" s="553">
        <f>[9]Sales_NP!HE219</f>
        <v>0</v>
      </c>
      <c r="P580" s="553">
        <f>[9]Sales_NP!HF219</f>
        <v>0</v>
      </c>
      <c r="Q580" s="561">
        <f t="shared" si="118"/>
        <v>0</v>
      </c>
      <c r="R580" s="166"/>
      <c r="S580" s="166"/>
    </row>
    <row r="581" spans="3:19" x14ac:dyDescent="0.25">
      <c r="C581" s="17" t="s">
        <v>200</v>
      </c>
      <c r="D581" s="17" t="s">
        <v>201</v>
      </c>
      <c r="E581" s="553">
        <f>[9]Sales_NP!GU224</f>
        <v>0</v>
      </c>
      <c r="F581" s="553">
        <f>[9]Sales_NP!GV224</f>
        <v>0</v>
      </c>
      <c r="G581" s="553">
        <f>[9]Sales_NP!GW224</f>
        <v>0</v>
      </c>
      <c r="H581" s="553">
        <f>[9]Sales_NP!GX224</f>
        <v>0</v>
      </c>
      <c r="I581" s="553">
        <f>[9]Sales_NP!GY224</f>
        <v>0</v>
      </c>
      <c r="J581" s="553">
        <f>[9]Sales_NP!GZ224</f>
        <v>0</v>
      </c>
      <c r="K581" s="553">
        <f>[9]Sales_NP!HA224</f>
        <v>0</v>
      </c>
      <c r="L581" s="553">
        <f>[9]Sales_NP!HB224</f>
        <v>0</v>
      </c>
      <c r="M581" s="553">
        <f>[9]Sales_NP!HC224</f>
        <v>0</v>
      </c>
      <c r="N581" s="553">
        <f>[9]Sales_NP!HD224</f>
        <v>0</v>
      </c>
      <c r="O581" s="553">
        <f>[9]Sales_NP!HE224</f>
        <v>0</v>
      </c>
      <c r="P581" s="553">
        <f>[9]Sales_NP!HF224</f>
        <v>0</v>
      </c>
      <c r="Q581" s="561">
        <f t="shared" si="118"/>
        <v>0</v>
      </c>
      <c r="R581" s="166"/>
      <c r="S581" s="166"/>
    </row>
    <row r="582" spans="3:19" x14ac:dyDescent="0.25">
      <c r="C582" s="17" t="s">
        <v>202</v>
      </c>
      <c r="D582" s="17" t="s">
        <v>234</v>
      </c>
      <c r="E582" s="553">
        <f>[9]Sales_NP!GU230</f>
        <v>9.3774546599999997</v>
      </c>
      <c r="F582" s="553">
        <f>[9]Sales_NP!GV230</f>
        <v>22.890763500000002</v>
      </c>
      <c r="G582" s="553">
        <f>[9]Sales_NP!GW230</f>
        <v>4.5842023199999993</v>
      </c>
      <c r="H582" s="553">
        <f>[9]Sales_NP!GX230</f>
        <v>143.48354789999999</v>
      </c>
      <c r="I582" s="553">
        <f>[9]Sales_NP!GY230</f>
        <v>553.23333036000008</v>
      </c>
      <c r="J582" s="553">
        <f>[9]Sales_NP!GZ230</f>
        <v>144.55561175999998</v>
      </c>
      <c r="K582" s="553">
        <f>[9]Sales_NP!HA230</f>
        <v>75.872891760000002</v>
      </c>
      <c r="L582" s="553">
        <f>[9]Sales_NP!HB230</f>
        <v>141.403107756</v>
      </c>
      <c r="M582" s="553">
        <f>[9]Sales_NP!HC230</f>
        <v>25.119008579999999</v>
      </c>
      <c r="N582" s="553">
        <f>[9]Sales_NP!HD230</f>
        <v>118.05305784000001</v>
      </c>
      <c r="O582" s="553">
        <f>[9]Sales_NP!HE230</f>
        <v>138.53507604000001</v>
      </c>
      <c r="P582" s="553">
        <f>[9]Sales_NP!HF230</f>
        <v>148.25290368000003</v>
      </c>
      <c r="Q582" s="561">
        <f t="shared" si="118"/>
        <v>1525.3609561559997</v>
      </c>
      <c r="R582" s="166"/>
      <c r="S582" s="166"/>
    </row>
    <row r="583" spans="3:19" x14ac:dyDescent="0.25">
      <c r="C583" s="17" t="s">
        <v>204</v>
      </c>
      <c r="D583" s="17" t="s">
        <v>216</v>
      </c>
      <c r="E583" s="553">
        <f>[9]Sales_NP!GU232</f>
        <v>2.2614259712181002</v>
      </c>
      <c r="F583" s="553">
        <f>[9]Sales_NP!GV232</f>
        <v>2.4849459145261252</v>
      </c>
      <c r="G583" s="553">
        <f>[9]Sales_NP!GW232</f>
        <v>2.4684893190656867</v>
      </c>
      <c r="H583" s="553">
        <f>[9]Sales_NP!GX232</f>
        <v>2.6939409620665846</v>
      </c>
      <c r="I583" s="553">
        <f>[9]Sales_NP!GY232</f>
        <v>2.5729868428359168</v>
      </c>
      <c r="J583" s="553">
        <f>[9]Sales_NP!GZ232</f>
        <v>2.3799283177616601</v>
      </c>
      <c r="K583" s="553">
        <f>[9]Sales_NP!HA232</f>
        <v>2.4214677453654017</v>
      </c>
      <c r="L583" s="553">
        <f>[9]Sales_NP!HB232</f>
        <v>2.3476934480460252</v>
      </c>
      <c r="M583" s="553">
        <f>[9]Sales_NP!HC232</f>
        <v>2.5266361723093103</v>
      </c>
      <c r="N583" s="553">
        <f>[9]Sales_NP!HD232</f>
        <v>2.5769507008327115</v>
      </c>
      <c r="O583" s="553">
        <f>[9]Sales_NP!HE232</f>
        <v>2.3956047807415453</v>
      </c>
      <c r="P583" s="553">
        <f>[9]Sales_NP!HF232</f>
        <v>2.7484931077847463</v>
      </c>
      <c r="Q583" s="561">
        <f t="shared" si="118"/>
        <v>29.878563282553817</v>
      </c>
      <c r="R583" s="166"/>
      <c r="S583" s="166"/>
    </row>
    <row r="584" spans="3:19" x14ac:dyDescent="0.25">
      <c r="C584" s="17" t="s">
        <v>217</v>
      </c>
      <c r="D584" s="17" t="s">
        <v>218</v>
      </c>
      <c r="E584" s="553">
        <f>[9]Sales_NP!GU235</f>
        <v>56.081993716677758</v>
      </c>
      <c r="F584" s="553">
        <f>[9]Sales_NP!GV235</f>
        <v>57.048775115890344</v>
      </c>
      <c r="G584" s="553">
        <f>[9]Sales_NP!GW235</f>
        <v>55.693317138146654</v>
      </c>
      <c r="H584" s="553">
        <f>[9]Sales_NP!GX235</f>
        <v>53.369425188012094</v>
      </c>
      <c r="I584" s="553">
        <f>[9]Sales_NP!GY235</f>
        <v>55.274171891237152</v>
      </c>
      <c r="J584" s="553">
        <f>[9]Sales_NP!GZ235</f>
        <v>47.973543724228364</v>
      </c>
      <c r="K584" s="553">
        <f>[9]Sales_NP!HA235</f>
        <v>58.401508444233578</v>
      </c>
      <c r="L584" s="553">
        <f>[9]Sales_NP!HB235</f>
        <v>59.278846890203369</v>
      </c>
      <c r="M584" s="553">
        <f>[9]Sales_NP!HC235</f>
        <v>58.249719114800079</v>
      </c>
      <c r="N584" s="553">
        <f>[9]Sales_NP!HD235</f>
        <v>60.369104326495219</v>
      </c>
      <c r="O584" s="553">
        <f>[9]Sales_NP!HE235</f>
        <v>57.23727186869047</v>
      </c>
      <c r="P584" s="553">
        <f>[9]Sales_NP!HF235</f>
        <v>61.776100083888593</v>
      </c>
      <c r="Q584" s="561">
        <f t="shared" si="118"/>
        <v>680.75377750250368</v>
      </c>
      <c r="R584" s="166"/>
      <c r="S584" s="166"/>
    </row>
    <row r="585" spans="3:19" x14ac:dyDescent="0.25">
      <c r="C585" s="17" t="s">
        <v>252</v>
      </c>
      <c r="D585" s="17" t="s">
        <v>236</v>
      </c>
      <c r="E585" s="553">
        <v>0</v>
      </c>
      <c r="F585" s="553">
        <v>0</v>
      </c>
      <c r="G585" s="553">
        <v>0</v>
      </c>
      <c r="H585" s="553">
        <v>0</v>
      </c>
      <c r="I585" s="553">
        <v>0</v>
      </c>
      <c r="J585" s="553">
        <v>0</v>
      </c>
      <c r="K585" s="553">
        <v>0</v>
      </c>
      <c r="L585" s="553">
        <v>0</v>
      </c>
      <c r="M585" s="553">
        <v>0</v>
      </c>
      <c r="N585" s="553">
        <v>0</v>
      </c>
      <c r="O585" s="553">
        <v>0</v>
      </c>
      <c r="P585" s="553">
        <v>0</v>
      </c>
      <c r="Q585" s="561">
        <f t="shared" si="118"/>
        <v>0</v>
      </c>
      <c r="R585" s="166"/>
      <c r="S585" s="166"/>
    </row>
    <row r="586" spans="3:19" x14ac:dyDescent="0.25">
      <c r="C586" s="17" t="s">
        <v>206</v>
      </c>
      <c r="D586" s="17" t="s">
        <v>207</v>
      </c>
      <c r="E586" s="553">
        <f>[9]Sales_NP!GU239</f>
        <v>6.8058180000000004</v>
      </c>
      <c r="F586" s="553">
        <f>[9]Sales_NP!GV239</f>
        <v>8.1115929999999992</v>
      </c>
      <c r="G586" s="553">
        <f>[9]Sales_NP!GW239</f>
        <v>7.0418869999999991</v>
      </c>
      <c r="H586" s="553">
        <f>[9]Sales_NP!GX239</f>
        <v>6.7359859999999996</v>
      </c>
      <c r="I586" s="553">
        <f>[9]Sales_NP!GY239</f>
        <v>6.3618709999999998</v>
      </c>
      <c r="J586" s="553">
        <f>[9]Sales_NP!GZ239</f>
        <v>6.0985360000000002</v>
      </c>
      <c r="K586" s="553">
        <f>[9]Sales_NP!HA239</f>
        <v>5.3285729999999996</v>
      </c>
      <c r="L586" s="553">
        <f>[9]Sales_NP!HB239</f>
        <v>4.6946779999999997</v>
      </c>
      <c r="M586" s="553">
        <f>[9]Sales_NP!HC239</f>
        <v>2.9676140000000002</v>
      </c>
      <c r="N586" s="553">
        <f>[9]Sales_NP!HD239</f>
        <v>3.2173480000000003</v>
      </c>
      <c r="O586" s="553">
        <f>[9]Sales_NP!HE239</f>
        <v>3.8677219999999997</v>
      </c>
      <c r="P586" s="553">
        <f>[9]Sales_NP!HF239</f>
        <v>5.7141391034482751</v>
      </c>
      <c r="Q586" s="561">
        <f t="shared" si="118"/>
        <v>66.945765103448267</v>
      </c>
      <c r="R586" s="166"/>
      <c r="S586" s="166"/>
    </row>
    <row r="587" spans="3:19" x14ac:dyDescent="0.25">
      <c r="C587" s="17" t="s">
        <v>208</v>
      </c>
      <c r="D587" s="17" t="s">
        <v>187</v>
      </c>
      <c r="E587" s="553">
        <f>[9]Sales_NP!GU240</f>
        <v>0</v>
      </c>
      <c r="F587" s="553">
        <f>[9]Sales_NP!GV240</f>
        <v>0</v>
      </c>
      <c r="G587" s="553">
        <f>[9]Sales_NP!GW240</f>
        <v>0</v>
      </c>
      <c r="H587" s="553">
        <f>[9]Sales_NP!GX240</f>
        <v>0</v>
      </c>
      <c r="I587" s="553">
        <f>[9]Sales_NP!GY240</f>
        <v>0</v>
      </c>
      <c r="J587" s="553">
        <f>[9]Sales_NP!GZ240</f>
        <v>0</v>
      </c>
      <c r="K587" s="553">
        <f>[9]Sales_NP!HA240</f>
        <v>0</v>
      </c>
      <c r="L587" s="553">
        <f>[9]Sales_NP!HB240</f>
        <v>0</v>
      </c>
      <c r="M587" s="553">
        <f>[9]Sales_NP!HC240</f>
        <v>0</v>
      </c>
      <c r="N587" s="553">
        <f>[9]Sales_NP!HD240</f>
        <v>0</v>
      </c>
      <c r="O587" s="553">
        <f>[9]Sales_NP!HE240</f>
        <v>0</v>
      </c>
      <c r="P587" s="553">
        <f>[9]Sales_NP!HF240</f>
        <v>0</v>
      </c>
      <c r="Q587" s="561">
        <f t="shared" si="118"/>
        <v>0</v>
      </c>
      <c r="R587" s="166"/>
      <c r="S587" s="166"/>
    </row>
    <row r="588" spans="3:19" x14ac:dyDescent="0.25">
      <c r="C588" s="17" t="s">
        <v>209</v>
      </c>
      <c r="D588" s="17" t="s">
        <v>210</v>
      </c>
      <c r="E588" s="553">
        <v>0</v>
      </c>
      <c r="F588" s="553">
        <v>0</v>
      </c>
      <c r="G588" s="553">
        <v>0</v>
      </c>
      <c r="H588" s="553">
        <v>0</v>
      </c>
      <c r="I588" s="553">
        <v>0</v>
      </c>
      <c r="J588" s="553">
        <v>0</v>
      </c>
      <c r="K588" s="553">
        <v>0</v>
      </c>
      <c r="L588" s="553">
        <v>0</v>
      </c>
      <c r="M588" s="553">
        <v>0</v>
      </c>
      <c r="N588" s="553">
        <v>0</v>
      </c>
      <c r="O588" s="553">
        <v>0</v>
      </c>
      <c r="P588" s="553">
        <v>0</v>
      </c>
      <c r="Q588" s="561">
        <f t="shared" si="118"/>
        <v>0</v>
      </c>
      <c r="R588" s="166"/>
      <c r="S588" s="166"/>
    </row>
    <row r="589" spans="3:19" x14ac:dyDescent="0.25">
      <c r="C589" s="17" t="s">
        <v>211</v>
      </c>
      <c r="D589" s="17" t="s">
        <v>189</v>
      </c>
      <c r="E589" s="553">
        <v>0</v>
      </c>
      <c r="F589" s="553">
        <v>0</v>
      </c>
      <c r="G589" s="553">
        <v>0</v>
      </c>
      <c r="H589" s="553">
        <v>0</v>
      </c>
      <c r="I589" s="553">
        <v>0</v>
      </c>
      <c r="J589" s="553">
        <v>0</v>
      </c>
      <c r="K589" s="553">
        <v>0</v>
      </c>
      <c r="L589" s="553">
        <v>0</v>
      </c>
      <c r="M589" s="553">
        <v>0</v>
      </c>
      <c r="N589" s="553">
        <v>0</v>
      </c>
      <c r="O589" s="553">
        <v>0</v>
      </c>
      <c r="P589" s="553">
        <v>0</v>
      </c>
      <c r="Q589" s="561">
        <f t="shared" si="118"/>
        <v>0</v>
      </c>
      <c r="R589" s="166"/>
      <c r="S589" s="166"/>
    </row>
    <row r="590" spans="3:19" hidden="1" x14ac:dyDescent="0.25">
      <c r="C590" s="17"/>
      <c r="D590" s="17"/>
      <c r="E590" s="553"/>
      <c r="F590" s="553"/>
      <c r="G590" s="553"/>
      <c r="H590" s="553"/>
      <c r="I590" s="553"/>
      <c r="J590" s="553"/>
      <c r="K590" s="553"/>
      <c r="L590" s="553"/>
      <c r="M590" s="553"/>
      <c r="N590" s="553"/>
      <c r="O590" s="553"/>
      <c r="P590" s="553"/>
      <c r="Q590" s="561">
        <f t="shared" si="118"/>
        <v>0</v>
      </c>
      <c r="R590" s="166"/>
      <c r="S590" s="166"/>
    </row>
    <row r="591" spans="3:19" hidden="1" x14ac:dyDescent="0.25">
      <c r="C591" s="17"/>
      <c r="D591" s="17"/>
      <c r="E591" s="553"/>
      <c r="F591" s="553"/>
      <c r="G591" s="553"/>
      <c r="H591" s="553"/>
      <c r="I591" s="553"/>
      <c r="J591" s="553"/>
      <c r="K591" s="553"/>
      <c r="L591" s="553"/>
      <c r="M591" s="553"/>
      <c r="N591" s="553"/>
      <c r="O591" s="553"/>
      <c r="P591" s="553"/>
      <c r="Q591" s="561">
        <f t="shared" si="118"/>
        <v>0</v>
      </c>
      <c r="R591" s="166"/>
      <c r="S591" s="166"/>
    </row>
    <row r="592" spans="3:19" hidden="1" x14ac:dyDescent="0.25">
      <c r="C592" s="17"/>
      <c r="D592" s="17"/>
      <c r="E592" s="553"/>
      <c r="F592" s="553"/>
      <c r="G592" s="553"/>
      <c r="H592" s="553"/>
      <c r="I592" s="553"/>
      <c r="J592" s="553"/>
      <c r="K592" s="553"/>
      <c r="L592" s="553"/>
      <c r="M592" s="553"/>
      <c r="N592" s="553"/>
      <c r="O592" s="553"/>
      <c r="P592" s="553"/>
      <c r="Q592" s="561">
        <f t="shared" si="118"/>
        <v>0</v>
      </c>
      <c r="R592" s="166"/>
      <c r="S592" s="166"/>
    </row>
    <row r="593" spans="3:19" hidden="1" x14ac:dyDescent="0.25">
      <c r="C593" s="17" t="s">
        <v>226</v>
      </c>
      <c r="D593" s="17" t="s">
        <v>226</v>
      </c>
      <c r="E593" s="553"/>
      <c r="F593" s="553"/>
      <c r="G593" s="553"/>
      <c r="H593" s="553"/>
      <c r="I593" s="553"/>
      <c r="J593" s="553"/>
      <c r="K593" s="553"/>
      <c r="L593" s="553"/>
      <c r="M593" s="553"/>
      <c r="N593" s="553"/>
      <c r="O593" s="553"/>
      <c r="P593" s="553"/>
      <c r="Q593" s="561">
        <f t="shared" si="118"/>
        <v>0</v>
      </c>
      <c r="R593" s="166"/>
      <c r="S593" s="166"/>
    </row>
    <row r="594" spans="3:19" x14ac:dyDescent="0.25">
      <c r="C594" s="751" t="s">
        <v>212</v>
      </c>
      <c r="D594" s="752"/>
      <c r="E594" s="561">
        <f t="shared" ref="E594:P594" si="119">SUM(E577:E593)</f>
        <v>124.73508905713119</v>
      </c>
      <c r="F594" s="561">
        <f t="shared" si="119"/>
        <v>142.17572472467566</v>
      </c>
      <c r="G594" s="561">
        <f t="shared" si="119"/>
        <v>118.22907302460015</v>
      </c>
      <c r="H594" s="561">
        <f t="shared" si="119"/>
        <v>259.32468826258429</v>
      </c>
      <c r="I594" s="561">
        <f t="shared" si="119"/>
        <v>671.55834391603833</v>
      </c>
      <c r="J594" s="561">
        <f t="shared" si="119"/>
        <v>257.31808642352962</v>
      </c>
      <c r="K594" s="561">
        <f t="shared" si="119"/>
        <v>201.25038561499687</v>
      </c>
      <c r="L594" s="561">
        <f t="shared" si="119"/>
        <v>268.29110821930936</v>
      </c>
      <c r="M594" s="561">
        <f t="shared" si="119"/>
        <v>142.34622904145581</v>
      </c>
      <c r="N594" s="561">
        <f t="shared" si="119"/>
        <v>241.71903726477902</v>
      </c>
      <c r="O594" s="561">
        <f t="shared" si="119"/>
        <v>255.77543891338127</v>
      </c>
      <c r="P594" s="561">
        <f t="shared" si="119"/>
        <v>272.7852273643631</v>
      </c>
      <c r="Q594" s="561">
        <f t="shared" si="118"/>
        <v>2955.5084318268446</v>
      </c>
      <c r="R594" s="166"/>
      <c r="S594" s="166"/>
    </row>
    <row r="595" spans="3:19" x14ac:dyDescent="0.25">
      <c r="C595" s="751" t="s">
        <v>219</v>
      </c>
      <c r="D595" s="752"/>
      <c r="E595" s="561">
        <f t="shared" ref="E595:P595" si="120">E594+E575+E558</f>
        <v>408.45370650272184</v>
      </c>
      <c r="F595" s="561">
        <f t="shared" si="120"/>
        <v>394.76186045248619</v>
      </c>
      <c r="G595" s="561">
        <f t="shared" si="120"/>
        <v>392.08147847524583</v>
      </c>
      <c r="H595" s="561">
        <f t="shared" si="120"/>
        <v>563.97378642436922</v>
      </c>
      <c r="I595" s="561">
        <f t="shared" si="120"/>
        <v>976.05516760098101</v>
      </c>
      <c r="J595" s="561">
        <f t="shared" si="120"/>
        <v>545.86884141275573</v>
      </c>
      <c r="K595" s="561">
        <f t="shared" si="120"/>
        <v>508.56185794290252</v>
      </c>
      <c r="L595" s="561">
        <f t="shared" si="120"/>
        <v>528.45082084449518</v>
      </c>
      <c r="M595" s="561">
        <f t="shared" si="120"/>
        <v>474.32524667777307</v>
      </c>
      <c r="N595" s="561">
        <f t="shared" si="120"/>
        <v>603.47536822175925</v>
      </c>
      <c r="O595" s="561">
        <f t="shared" si="120"/>
        <v>614.06822736414415</v>
      </c>
      <c r="P595" s="561">
        <f t="shared" si="120"/>
        <v>644.94634431998315</v>
      </c>
      <c r="Q595" s="561">
        <f t="shared" si="118"/>
        <v>6655.022706239617</v>
      </c>
      <c r="R595" s="166"/>
      <c r="S595" s="166"/>
    </row>
    <row r="596" spans="3:19" x14ac:dyDescent="0.25">
      <c r="C596" s="751" t="s">
        <v>220</v>
      </c>
      <c r="D596" s="752"/>
      <c r="E596" s="561">
        <f t="shared" ref="E596:P596" si="121">E595+E541</f>
        <v>994.76421813230866</v>
      </c>
      <c r="F596" s="561">
        <f t="shared" si="121"/>
        <v>1075.3622118386268</v>
      </c>
      <c r="G596" s="561">
        <f t="shared" si="121"/>
        <v>1105.4176914736415</v>
      </c>
      <c r="H596" s="561">
        <f t="shared" si="121"/>
        <v>1184.9216445782995</v>
      </c>
      <c r="I596" s="561">
        <f t="shared" si="121"/>
        <v>1542.6464536981689</v>
      </c>
      <c r="J596" s="561">
        <f t="shared" si="121"/>
        <v>1153.3919328310647</v>
      </c>
      <c r="K596" s="561">
        <f t="shared" si="121"/>
        <v>1072.8699692987548</v>
      </c>
      <c r="L596" s="561">
        <f t="shared" si="121"/>
        <v>1097.2941697326239</v>
      </c>
      <c r="M596" s="561">
        <f t="shared" si="121"/>
        <v>975.37388481252401</v>
      </c>
      <c r="N596" s="561">
        <f t="shared" si="121"/>
        <v>1034.4574391486026</v>
      </c>
      <c r="O596" s="561">
        <f t="shared" si="121"/>
        <v>1109.891025639085</v>
      </c>
      <c r="P596" s="561">
        <f t="shared" si="121"/>
        <v>1148.3763821903378</v>
      </c>
      <c r="Q596" s="561">
        <f t="shared" si="118"/>
        <v>13494.767023374039</v>
      </c>
      <c r="R596" s="166"/>
      <c r="S596" s="166"/>
    </row>
    <row r="597" spans="3:19" hidden="1" x14ac:dyDescent="0.25">
      <c r="E597" s="562"/>
      <c r="F597" s="562"/>
      <c r="G597" s="562"/>
      <c r="H597" s="562"/>
      <c r="I597" s="562"/>
      <c r="J597" s="562"/>
      <c r="K597" s="562"/>
      <c r="L597" s="562"/>
      <c r="M597" s="562"/>
      <c r="N597" s="562"/>
      <c r="O597" s="562"/>
      <c r="P597" s="562"/>
      <c r="Q597" s="562"/>
      <c r="R597" s="166"/>
      <c r="S597" s="166"/>
    </row>
    <row r="598" spans="3:19" hidden="1" x14ac:dyDescent="0.25">
      <c r="C598" s="14"/>
      <c r="E598" s="562"/>
      <c r="F598" s="562"/>
      <c r="G598" s="562"/>
      <c r="H598" s="562"/>
      <c r="I598" s="562"/>
      <c r="J598" s="562"/>
      <c r="K598" s="562"/>
      <c r="L598" s="562"/>
      <c r="M598" s="562"/>
      <c r="N598" s="562"/>
      <c r="O598" s="562"/>
      <c r="P598" s="562"/>
      <c r="Q598" s="564" t="s">
        <v>229</v>
      </c>
      <c r="R598" s="166"/>
      <c r="S598" s="166"/>
    </row>
    <row r="599" spans="3:19" hidden="1" x14ac:dyDescent="0.25">
      <c r="C599" s="760" t="s">
        <v>163</v>
      </c>
      <c r="D599" s="760"/>
      <c r="E599" s="769" t="s">
        <v>266</v>
      </c>
      <c r="F599" s="769"/>
      <c r="G599" s="769"/>
      <c r="H599" s="769"/>
      <c r="I599" s="769"/>
      <c r="J599" s="769"/>
      <c r="K599" s="769"/>
      <c r="L599" s="769"/>
      <c r="M599" s="769"/>
      <c r="N599" s="769"/>
      <c r="O599" s="769"/>
      <c r="P599" s="769"/>
      <c r="Q599" s="769"/>
      <c r="R599" s="166"/>
      <c r="S599" s="166"/>
    </row>
    <row r="600" spans="3:19" hidden="1" x14ac:dyDescent="0.25">
      <c r="C600" s="760"/>
      <c r="D600" s="760"/>
      <c r="E600" s="560" t="s">
        <v>239</v>
      </c>
      <c r="F600" s="560" t="s">
        <v>240</v>
      </c>
      <c r="G600" s="560" t="s">
        <v>241</v>
      </c>
      <c r="H600" s="560" t="s">
        <v>242</v>
      </c>
      <c r="I600" s="560" t="s">
        <v>243</v>
      </c>
      <c r="J600" s="560" t="s">
        <v>244</v>
      </c>
      <c r="K600" s="560" t="s">
        <v>245</v>
      </c>
      <c r="L600" s="560" t="s">
        <v>246</v>
      </c>
      <c r="M600" s="560" t="s">
        <v>247</v>
      </c>
      <c r="N600" s="560" t="s">
        <v>248</v>
      </c>
      <c r="O600" s="560" t="s">
        <v>249</v>
      </c>
      <c r="P600" s="560" t="s">
        <v>250</v>
      </c>
      <c r="Q600" s="560" t="s">
        <v>251</v>
      </c>
      <c r="R600" s="166"/>
      <c r="S600" s="166"/>
    </row>
    <row r="601" spans="3:19" hidden="1" x14ac:dyDescent="0.25">
      <c r="C601" s="753" t="s">
        <v>171</v>
      </c>
      <c r="D601" s="754"/>
      <c r="E601" s="553"/>
      <c r="F601" s="553"/>
      <c r="G601" s="553"/>
      <c r="H601" s="553"/>
      <c r="I601" s="553"/>
      <c r="J601" s="553"/>
      <c r="K601" s="553"/>
      <c r="L601" s="553"/>
      <c r="M601" s="553"/>
      <c r="N601" s="553"/>
      <c r="O601" s="553"/>
      <c r="P601" s="553"/>
      <c r="Q601" s="561"/>
      <c r="R601" s="166"/>
      <c r="S601" s="166"/>
    </row>
    <row r="602" spans="3:19" hidden="1" x14ac:dyDescent="0.25">
      <c r="C602" s="59" t="s">
        <v>172</v>
      </c>
      <c r="D602" s="59" t="s">
        <v>173</v>
      </c>
      <c r="E602" s="553">
        <f>[8]Sales_NP!HP10</f>
        <v>380.5464125564751</v>
      </c>
      <c r="F602" s="553">
        <f>[8]Sales_NP!HQ10</f>
        <v>416.42860260168914</v>
      </c>
      <c r="G602" s="553">
        <f>[8]Sales_NP!HR10</f>
        <v>522.17199745858454</v>
      </c>
      <c r="H602" s="553">
        <f>[8]Sales_NP!HS10</f>
        <v>461.44263420362199</v>
      </c>
      <c r="I602" s="553">
        <f>[8]Sales_NP!HT10</f>
        <v>378.40537770551356</v>
      </c>
      <c r="J602" s="553">
        <f>[8]Sales_NP!HU10</f>
        <v>423.67736525926483</v>
      </c>
      <c r="K602" s="553">
        <f>[8]Sales_NP!HV10</f>
        <v>387.75421935826046</v>
      </c>
      <c r="L602" s="553">
        <f>[8]Sales_NP!HW10</f>
        <v>384.87932906326131</v>
      </c>
      <c r="M602" s="553">
        <f>[8]Sales_NP!HX10</f>
        <v>328.0584935330279</v>
      </c>
      <c r="N602" s="553">
        <f>[8]Sales_NP!HY10</f>
        <v>266.09830057544747</v>
      </c>
      <c r="O602" s="553">
        <f>[8]Sales_NP!HZ10</f>
        <v>320.59565579513287</v>
      </c>
      <c r="P602" s="553">
        <f>[8]Sales_NP!IA10</f>
        <v>328.81582236902472</v>
      </c>
      <c r="Q602" s="561">
        <f t="shared" ref="Q602:Q615" si="122">SUM(E602:P602)</f>
        <v>4598.8742104793027</v>
      </c>
      <c r="R602" s="166"/>
      <c r="S602" s="166"/>
    </row>
    <row r="603" spans="3:19" hidden="1" x14ac:dyDescent="0.25">
      <c r="C603" s="17" t="s">
        <v>174</v>
      </c>
      <c r="D603" s="17" t="s">
        <v>175</v>
      </c>
      <c r="E603" s="553">
        <f>[8]Sales_NP!HP23</f>
        <v>99.703199459587239</v>
      </c>
      <c r="F603" s="553">
        <f>[8]Sales_NP!HQ23</f>
        <v>102.91666681038809</v>
      </c>
      <c r="G603" s="553">
        <f>[8]Sales_NP!HR23</f>
        <v>122.91666838938495</v>
      </c>
      <c r="H603" s="553">
        <f>[8]Sales_NP!HS23</f>
        <v>111.4366544168508</v>
      </c>
      <c r="I603" s="553">
        <f>[8]Sales_NP!HT23</f>
        <v>95.3818318667618</v>
      </c>
      <c r="J603" s="553">
        <f>[8]Sales_NP!HU23</f>
        <v>106.33149942243561</v>
      </c>
      <c r="K603" s="553">
        <f>[8]Sales_NP!HV23</f>
        <v>98.827542930403482</v>
      </c>
      <c r="L603" s="553">
        <f>[8]Sales_NP!HW23</f>
        <v>102.25305231340465</v>
      </c>
      <c r="M603" s="553">
        <f>[8]Sales_NP!HX23</f>
        <v>93.298475264511382</v>
      </c>
      <c r="N603" s="553">
        <f>[8]Sales_NP!HY23</f>
        <v>84.361221503333937</v>
      </c>
      <c r="O603" s="553">
        <f>[8]Sales_NP!HZ23</f>
        <v>91.781147573547671</v>
      </c>
      <c r="P603" s="553">
        <f>[8]Sales_NP!IA23</f>
        <v>95.658017700661532</v>
      </c>
      <c r="Q603" s="561">
        <f t="shared" si="122"/>
        <v>1204.8659776512711</v>
      </c>
      <c r="R603" s="166"/>
      <c r="S603" s="166"/>
    </row>
    <row r="604" spans="3:19" hidden="1" x14ac:dyDescent="0.25">
      <c r="C604" s="17" t="s">
        <v>176</v>
      </c>
      <c r="D604" s="17" t="s">
        <v>177</v>
      </c>
      <c r="E604" s="553">
        <f>[8]Sales_NP!HP36</f>
        <v>22.215759839750852</v>
      </c>
      <c r="F604" s="553">
        <f>[8]Sales_NP!HQ36</f>
        <v>21.644492333211719</v>
      </c>
      <c r="G604" s="553">
        <f>[8]Sales_NP!HR36</f>
        <v>23.860570711704703</v>
      </c>
      <c r="H604" s="553">
        <f>[8]Sales_NP!HS36</f>
        <v>20.105930602544618</v>
      </c>
      <c r="I604" s="553">
        <f>[8]Sales_NP!HT36</f>
        <v>17.336104999572992</v>
      </c>
      <c r="J604" s="553">
        <f>[8]Sales_NP!HU36</f>
        <v>19.020106586737882</v>
      </c>
      <c r="K604" s="553">
        <f>[8]Sales_NP!HV36</f>
        <v>16.797510308947153</v>
      </c>
      <c r="L604" s="553">
        <f>[8]Sales_NP!HW36</f>
        <v>19.413348958995627</v>
      </c>
      <c r="M604" s="553">
        <f>[8]Sales_NP!HX36</f>
        <v>20.737705940897651</v>
      </c>
      <c r="N604" s="553">
        <f>[8]Sales_NP!HY36</f>
        <v>26.643997419748111</v>
      </c>
      <c r="O604" s="553">
        <f>[8]Sales_NP!HZ36</f>
        <v>25.015063644238907</v>
      </c>
      <c r="P604" s="553">
        <f>[8]Sales_NP!IA36</f>
        <v>20.613859526183294</v>
      </c>
      <c r="Q604" s="561">
        <f t="shared" si="122"/>
        <v>253.40445087253354</v>
      </c>
      <c r="R604" s="166"/>
      <c r="S604" s="166"/>
    </row>
    <row r="605" spans="3:19" hidden="1" x14ac:dyDescent="0.25">
      <c r="C605" s="17" t="s">
        <v>178</v>
      </c>
      <c r="D605" s="17" t="s">
        <v>179</v>
      </c>
      <c r="E605" s="553">
        <f>[8]Sales_NP!HP43</f>
        <v>0.76119390449673952</v>
      </c>
      <c r="F605" s="553">
        <f>[8]Sales_NP!HQ43</f>
        <v>0.75657227458835963</v>
      </c>
      <c r="G605" s="553">
        <f>[8]Sales_NP!HR43</f>
        <v>0.87574048341130895</v>
      </c>
      <c r="H605" s="553">
        <f>[8]Sales_NP!HS43</f>
        <v>0.81051820877040193</v>
      </c>
      <c r="I605" s="553">
        <f>[8]Sales_NP!HT43</f>
        <v>0.77879211084916844</v>
      </c>
      <c r="J605" s="553">
        <f>[8]Sales_NP!HU43</f>
        <v>0.83667870751035167</v>
      </c>
      <c r="K605" s="553">
        <f>[8]Sales_NP!HV43</f>
        <v>0.74271720650883355</v>
      </c>
      <c r="L605" s="553">
        <f>[8]Sales_NP!HW43</f>
        <v>0.72714662432872346</v>
      </c>
      <c r="M605" s="553">
        <f>[8]Sales_NP!HX43</f>
        <v>0.70389442398448432</v>
      </c>
      <c r="N605" s="553">
        <f>[8]Sales_NP!HY43</f>
        <v>0.67131275160087289</v>
      </c>
      <c r="O605" s="553">
        <f>[8]Sales_NP!HZ43</f>
        <v>0.70515705109286564</v>
      </c>
      <c r="P605" s="553">
        <f>[8]Sales_NP!IA43</f>
        <v>0.7165610729447125</v>
      </c>
      <c r="Q605" s="561">
        <f t="shared" si="122"/>
        <v>9.0862848200868207</v>
      </c>
      <c r="R605" s="166"/>
      <c r="S605" s="166"/>
    </row>
    <row r="606" spans="3:19" hidden="1" x14ac:dyDescent="0.25">
      <c r="C606" s="17" t="s">
        <v>180</v>
      </c>
      <c r="D606" s="17" t="s">
        <v>181</v>
      </c>
      <c r="E606" s="553"/>
      <c r="F606" s="553"/>
      <c r="G606" s="553"/>
      <c r="H606" s="553"/>
      <c r="I606" s="553"/>
      <c r="J606" s="553"/>
      <c r="K606" s="553"/>
      <c r="L606" s="553"/>
      <c r="M606" s="553"/>
      <c r="N606" s="553"/>
      <c r="O606" s="553"/>
      <c r="P606" s="553"/>
      <c r="Q606" s="561">
        <f t="shared" si="122"/>
        <v>0</v>
      </c>
      <c r="R606" s="166"/>
      <c r="S606" s="166"/>
    </row>
    <row r="607" spans="3:19" hidden="1" x14ac:dyDescent="0.25">
      <c r="C607" s="17" t="s">
        <v>182</v>
      </c>
      <c r="D607" s="17" t="s">
        <v>183</v>
      </c>
      <c r="E607" s="553">
        <f>[8]Sales_NP!HP54</f>
        <v>35.960122876899781</v>
      </c>
      <c r="F607" s="553">
        <f>[8]Sales_NP!HQ54</f>
        <v>33.346833301115453</v>
      </c>
      <c r="G607" s="553">
        <f>[8]Sales_NP!HR54</f>
        <v>35.555970229116213</v>
      </c>
      <c r="H607" s="553">
        <f>[8]Sales_NP!HS54</f>
        <v>33.463041092448464</v>
      </c>
      <c r="I607" s="553">
        <f>[8]Sales_NP!HT54</f>
        <v>31.301439625337764</v>
      </c>
      <c r="J607" s="553">
        <f>[8]Sales_NP!HU54</f>
        <v>32.962439667137552</v>
      </c>
      <c r="K607" s="553">
        <f>[8]Sales_NP!HV54</f>
        <v>32.416681691063474</v>
      </c>
      <c r="L607" s="553">
        <f>[8]Sales_NP!HW54</f>
        <v>36.330529869067817</v>
      </c>
      <c r="M607" s="553">
        <f>[8]Sales_NP!HX54</f>
        <v>35.590761930319438</v>
      </c>
      <c r="N607" s="553">
        <f>[8]Sales_NP!HY54</f>
        <v>35.527944080827027</v>
      </c>
      <c r="O607" s="553">
        <f>[8]Sales_NP!HZ54</f>
        <v>36.508859270948321</v>
      </c>
      <c r="P607" s="553">
        <f>[8]Sales_NP!IA54</f>
        <v>34.719994215803666</v>
      </c>
      <c r="Q607" s="561">
        <f t="shared" si="122"/>
        <v>413.68461785008503</v>
      </c>
      <c r="R607" s="166"/>
      <c r="S607" s="166"/>
    </row>
    <row r="608" spans="3:19" hidden="1" x14ac:dyDescent="0.25">
      <c r="C608" s="17" t="s">
        <v>184</v>
      </c>
      <c r="D608" s="17" t="s">
        <v>185</v>
      </c>
      <c r="E608" s="553">
        <f>[8]Sales_NP!HP64</f>
        <v>7.7674081980389333</v>
      </c>
      <c r="F608" s="553">
        <f>[8]Sales_NP!HQ64</f>
        <v>5.8763230280312992</v>
      </c>
      <c r="G608" s="553">
        <f>[8]Sales_NP!HR64</f>
        <v>4.1392115505325826</v>
      </c>
      <c r="H608" s="553">
        <f>[8]Sales_NP!HS64</f>
        <v>5.8916708113635252</v>
      </c>
      <c r="I608" s="553">
        <f>[8]Sales_NP!HT64</f>
        <v>6.9490083021863294</v>
      </c>
      <c r="J608" s="553">
        <f>[8]Sales_NP!HU64</f>
        <v>8.0183179678528624</v>
      </c>
      <c r="K608" s="553">
        <f>[8]Sales_NP!HV64</f>
        <v>7.8735597241777313</v>
      </c>
      <c r="L608" s="553">
        <f>[8]Sales_NP!HW64</f>
        <v>5.7930914943740817</v>
      </c>
      <c r="M608" s="553">
        <f>[8]Sales_NP!HX64</f>
        <v>7.1794761201123194</v>
      </c>
      <c r="N608" s="553">
        <f>[8]Sales_NP!HY64</f>
        <v>6.0964142078888965</v>
      </c>
      <c r="O608" s="553">
        <f>[8]Sales_NP!HZ64</f>
        <v>5.9666660611631688</v>
      </c>
      <c r="P608" s="553">
        <f>[8]Sales_NP!IA64</f>
        <v>7.4243941534756726</v>
      </c>
      <c r="Q608" s="561">
        <f t="shared" si="122"/>
        <v>78.975541619197401</v>
      </c>
      <c r="R608" s="166"/>
      <c r="S608" s="166"/>
    </row>
    <row r="609" spans="3:19" hidden="1" x14ac:dyDescent="0.25">
      <c r="C609" s="17" t="s">
        <v>186</v>
      </c>
      <c r="D609" s="17" t="s">
        <v>187</v>
      </c>
      <c r="E609" s="553">
        <f>[8]Sales_NP!HP69</f>
        <v>1.2963327851250004</v>
      </c>
      <c r="F609" s="553">
        <f>[8]Sales_NP!HQ69</f>
        <v>1.2884771418749998</v>
      </c>
      <c r="G609" s="553">
        <f>[8]Sales_NP!HR69</f>
        <v>1.5599448348750002</v>
      </c>
      <c r="H609" s="553">
        <f>[8]Sales_NP!HS69</f>
        <v>1.4567853982499999</v>
      </c>
      <c r="I609" s="553">
        <f>[8]Sales_NP!HT69</f>
        <v>1.3149068782500002</v>
      </c>
      <c r="J609" s="553">
        <f>[8]Sales_NP!HU69</f>
        <v>1.4680884487500003</v>
      </c>
      <c r="K609" s="553">
        <f>[8]Sales_NP!HV69</f>
        <v>1.4211791685000004</v>
      </c>
      <c r="L609" s="553">
        <f>[8]Sales_NP!HW69</f>
        <v>1.46286987525</v>
      </c>
      <c r="M609" s="553">
        <f>[8]Sales_NP!HX69</f>
        <v>1.1914751126250003</v>
      </c>
      <c r="N609" s="553">
        <f>[8]Sales_NP!HY69</f>
        <v>1.2147908377500003</v>
      </c>
      <c r="O609" s="553">
        <f>[8]Sales_NP!HZ69</f>
        <v>1.3577054321250004</v>
      </c>
      <c r="P609" s="553">
        <f>[8]Sales_NP!IA69</f>
        <v>1.3543992551250001</v>
      </c>
      <c r="Q609" s="561">
        <f t="shared" si="122"/>
        <v>16.386955168500002</v>
      </c>
      <c r="R609" s="166"/>
      <c r="S609" s="166"/>
    </row>
    <row r="610" spans="3:19" hidden="1" x14ac:dyDescent="0.25">
      <c r="C610" s="17" t="s">
        <v>188</v>
      </c>
      <c r="D610" s="17" t="s">
        <v>189</v>
      </c>
      <c r="E610" s="553">
        <f>[8]Sales_NP!HP70</f>
        <v>0.60590419942499996</v>
      </c>
      <c r="F610" s="553">
        <f>[8]Sales_NP!HQ70</f>
        <v>0.66935044385999998</v>
      </c>
      <c r="G610" s="553">
        <f>[8]Sales_NP!HR70</f>
        <v>0.69066682492499987</v>
      </c>
      <c r="H610" s="553">
        <f>[8]Sales_NP!HS70</f>
        <v>0.75327283205999995</v>
      </c>
      <c r="I610" s="553">
        <f>[8]Sales_NP!HT70</f>
        <v>0.79471309490999997</v>
      </c>
      <c r="J610" s="553">
        <f>[8]Sales_NP!HU70</f>
        <v>0.81022831942500007</v>
      </c>
      <c r="K610" s="553">
        <f>[8]Sales_NP!HV70</f>
        <v>0.87597757610999993</v>
      </c>
      <c r="L610" s="553">
        <f>[8]Sales_NP!HW70</f>
        <v>0.89457767279999989</v>
      </c>
      <c r="M610" s="553">
        <f>[8]Sales_NP!HX70</f>
        <v>0.96214459918499995</v>
      </c>
      <c r="N610" s="553">
        <f>[8]Sales_NP!HY70</f>
        <v>1.0040814831600002</v>
      </c>
      <c r="O610" s="553">
        <f>[8]Sales_NP!HZ70</f>
        <v>0.98110697296500005</v>
      </c>
      <c r="P610" s="553">
        <f>[8]Sales_NP!IA70</f>
        <v>1.0872132134850001</v>
      </c>
      <c r="Q610" s="561">
        <f t="shared" si="122"/>
        <v>10.12923723231</v>
      </c>
      <c r="R610" s="166"/>
      <c r="S610" s="166"/>
    </row>
    <row r="611" spans="3:19" hidden="1" x14ac:dyDescent="0.25">
      <c r="C611" s="17"/>
      <c r="D611" s="17"/>
      <c r="E611" s="553"/>
      <c r="F611" s="553"/>
      <c r="G611" s="553"/>
      <c r="H611" s="553"/>
      <c r="I611" s="553"/>
      <c r="J611" s="553"/>
      <c r="K611" s="553"/>
      <c r="L611" s="553"/>
      <c r="M611" s="553"/>
      <c r="N611" s="553"/>
      <c r="O611" s="553"/>
      <c r="P611" s="553"/>
      <c r="Q611" s="561">
        <f t="shared" si="122"/>
        <v>0</v>
      </c>
      <c r="R611" s="166"/>
      <c r="S611" s="166"/>
    </row>
    <row r="612" spans="3:19" hidden="1" x14ac:dyDescent="0.25">
      <c r="C612" s="17"/>
      <c r="D612" s="17"/>
      <c r="E612" s="553"/>
      <c r="F612" s="553"/>
      <c r="G612" s="553"/>
      <c r="H612" s="553"/>
      <c r="I612" s="553"/>
      <c r="J612" s="553"/>
      <c r="K612" s="553"/>
      <c r="L612" s="553"/>
      <c r="M612" s="553"/>
      <c r="N612" s="553"/>
      <c r="O612" s="553"/>
      <c r="P612" s="553"/>
      <c r="Q612" s="561">
        <f t="shared" si="122"/>
        <v>0</v>
      </c>
      <c r="R612" s="166"/>
      <c r="S612" s="166"/>
    </row>
    <row r="613" spans="3:19" hidden="1" x14ac:dyDescent="0.25">
      <c r="C613" s="17"/>
      <c r="D613" s="17"/>
      <c r="E613" s="553"/>
      <c r="F613" s="553"/>
      <c r="G613" s="553"/>
      <c r="H613" s="553"/>
      <c r="I613" s="553"/>
      <c r="J613" s="553"/>
      <c r="K613" s="553"/>
      <c r="L613" s="553"/>
      <c r="M613" s="553"/>
      <c r="N613" s="553"/>
      <c r="O613" s="553"/>
      <c r="P613" s="553"/>
      <c r="Q613" s="561">
        <f t="shared" si="122"/>
        <v>0</v>
      </c>
      <c r="R613" s="166"/>
      <c r="S613" s="166"/>
    </row>
    <row r="614" spans="3:19" hidden="1" x14ac:dyDescent="0.25">
      <c r="C614" s="17" t="s">
        <v>226</v>
      </c>
      <c r="D614" s="17" t="s">
        <v>226</v>
      </c>
      <c r="E614" s="553"/>
      <c r="F614" s="553"/>
      <c r="G614" s="553"/>
      <c r="H614" s="553"/>
      <c r="I614" s="553"/>
      <c r="J614" s="553"/>
      <c r="K614" s="553"/>
      <c r="L614" s="553"/>
      <c r="M614" s="553"/>
      <c r="N614" s="553"/>
      <c r="O614" s="553"/>
      <c r="P614" s="553"/>
      <c r="Q614" s="561">
        <f t="shared" si="122"/>
        <v>0</v>
      </c>
      <c r="R614" s="166"/>
      <c r="S614" s="166"/>
    </row>
    <row r="615" spans="3:19" hidden="1" x14ac:dyDescent="0.25">
      <c r="C615" s="751" t="s">
        <v>190</v>
      </c>
      <c r="D615" s="752"/>
      <c r="E615" s="561">
        <f t="shared" ref="E615:P615" si="123">SUM(E602:E614)</f>
        <v>548.85633381979846</v>
      </c>
      <c r="F615" s="561">
        <f t="shared" si="123"/>
        <v>582.927317934759</v>
      </c>
      <c r="G615" s="561">
        <f t="shared" si="123"/>
        <v>711.77077048253409</v>
      </c>
      <c r="H615" s="561">
        <f t="shared" si="123"/>
        <v>635.36050756590976</v>
      </c>
      <c r="I615" s="561">
        <f t="shared" si="123"/>
        <v>532.26217458338158</v>
      </c>
      <c r="J615" s="561">
        <f t="shared" si="123"/>
        <v>593.12472437911413</v>
      </c>
      <c r="K615" s="561">
        <f t="shared" si="123"/>
        <v>546.70938796397115</v>
      </c>
      <c r="L615" s="561">
        <f t="shared" si="123"/>
        <v>551.75394587148219</v>
      </c>
      <c r="M615" s="561">
        <f t="shared" si="123"/>
        <v>487.72242692466318</v>
      </c>
      <c r="N615" s="561">
        <f t="shared" si="123"/>
        <v>421.61806285975626</v>
      </c>
      <c r="O615" s="561">
        <f t="shared" si="123"/>
        <v>482.91136180121379</v>
      </c>
      <c r="P615" s="561">
        <f t="shared" si="123"/>
        <v>490.39026150670361</v>
      </c>
      <c r="Q615" s="561">
        <f t="shared" si="122"/>
        <v>6585.4072756932865</v>
      </c>
      <c r="R615" s="166"/>
      <c r="S615" s="166"/>
    </row>
    <row r="616" spans="3:19" hidden="1" x14ac:dyDescent="0.25">
      <c r="C616" s="753" t="s">
        <v>191</v>
      </c>
      <c r="D616" s="754"/>
      <c r="E616" s="553"/>
      <c r="F616" s="553"/>
      <c r="G616" s="553"/>
      <c r="H616" s="553"/>
      <c r="I616" s="553"/>
      <c r="J616" s="553"/>
      <c r="K616" s="553"/>
      <c r="L616" s="553"/>
      <c r="M616" s="553"/>
      <c r="N616" s="553"/>
      <c r="O616" s="553"/>
      <c r="P616" s="553"/>
      <c r="Q616" s="561"/>
      <c r="R616" s="166"/>
      <c r="S616" s="166"/>
    </row>
    <row r="617" spans="3:19" hidden="1" x14ac:dyDescent="0.25">
      <c r="C617" s="17" t="s">
        <v>192</v>
      </c>
      <c r="D617" s="17" t="s">
        <v>193</v>
      </c>
      <c r="E617" s="553">
        <f>[8]Sales_NP!HP89</f>
        <v>116.28673524571019</v>
      </c>
      <c r="F617" s="553">
        <f>[8]Sales_NP!HQ89</f>
        <v>104.25059792211736</v>
      </c>
      <c r="G617" s="553">
        <f>[8]Sales_NP!HR89</f>
        <v>112.76549317355166</v>
      </c>
      <c r="H617" s="553">
        <f>[8]Sales_NP!HS89</f>
        <v>111.96748732987473</v>
      </c>
      <c r="I617" s="553">
        <f>[8]Sales_NP!HT89</f>
        <v>116.64150004269835</v>
      </c>
      <c r="J617" s="553">
        <f>[8]Sales_NP!HU89</f>
        <v>111.5315668691987</v>
      </c>
      <c r="K617" s="553">
        <f>[8]Sales_NP!HV89</f>
        <v>116.68006893683508</v>
      </c>
      <c r="L617" s="553">
        <f>[8]Sales_NP!HW89</f>
        <v>122.3500055246942</v>
      </c>
      <c r="M617" s="553">
        <f>[8]Sales_NP!HX89</f>
        <v>137.62083626794816</v>
      </c>
      <c r="N617" s="553">
        <f>[8]Sales_NP!HY89</f>
        <v>145.28941551252237</v>
      </c>
      <c r="O617" s="553">
        <f>[8]Sales_NP!HZ89</f>
        <v>131.2902873459675</v>
      </c>
      <c r="P617" s="553">
        <f>[8]Sales_NP!IA89</f>
        <v>113.67185697088014</v>
      </c>
      <c r="Q617" s="561">
        <f t="shared" ref="Q617:Q632" si="124">SUM(E617:P617)</f>
        <v>1440.3458511419983</v>
      </c>
      <c r="R617" s="166"/>
      <c r="S617" s="166"/>
    </row>
    <row r="618" spans="3:19" hidden="1" x14ac:dyDescent="0.25">
      <c r="C618" s="17" t="s">
        <v>194</v>
      </c>
      <c r="D618" s="17" t="s">
        <v>195</v>
      </c>
      <c r="E618" s="553">
        <f>[8]Sales_NP!HP104</f>
        <v>0</v>
      </c>
      <c r="F618" s="553">
        <f>[8]Sales_NP!HQ104</f>
        <v>0</v>
      </c>
      <c r="G618" s="553">
        <f>[8]Sales_NP!HR104</f>
        <v>0</v>
      </c>
      <c r="H618" s="553">
        <f>[8]Sales_NP!HS104</f>
        <v>0</v>
      </c>
      <c r="I618" s="553">
        <f>[8]Sales_NP!HT104</f>
        <v>0</v>
      </c>
      <c r="J618" s="553">
        <f>[8]Sales_NP!HU104</f>
        <v>0</v>
      </c>
      <c r="K618" s="553">
        <f>[8]Sales_NP!HV104</f>
        <v>0</v>
      </c>
      <c r="L618" s="553">
        <f>[8]Sales_NP!HW104</f>
        <v>0</v>
      </c>
      <c r="M618" s="553">
        <f>[8]Sales_NP!HX104</f>
        <v>0</v>
      </c>
      <c r="N618" s="553">
        <f>[8]Sales_NP!HY104</f>
        <v>0</v>
      </c>
      <c r="O618" s="553">
        <f>[8]Sales_NP!HZ104</f>
        <v>0</v>
      </c>
      <c r="P618" s="553">
        <f>[8]Sales_NP!IA104</f>
        <v>0</v>
      </c>
      <c r="Q618" s="561">
        <f t="shared" si="124"/>
        <v>0</v>
      </c>
      <c r="R618" s="166"/>
      <c r="S618" s="166"/>
    </row>
    <row r="619" spans="3:19" hidden="1" x14ac:dyDescent="0.25">
      <c r="C619" s="17" t="s">
        <v>233</v>
      </c>
      <c r="D619" s="17" t="s">
        <v>197</v>
      </c>
      <c r="E619" s="553">
        <f>[8]Sales_NP!HP105</f>
        <v>23.895053981808747</v>
      </c>
      <c r="F619" s="553">
        <f>[8]Sales_NP!HQ105</f>
        <v>25.803218230820292</v>
      </c>
      <c r="G619" s="553">
        <f>[8]Sales_NP!HR105</f>
        <v>28.514372751586233</v>
      </c>
      <c r="H619" s="553">
        <f>[8]Sales_NP!HS105</f>
        <v>22.965238227441525</v>
      </c>
      <c r="I619" s="553">
        <f>[8]Sales_NP!HT105</f>
        <v>24.821609382437565</v>
      </c>
      <c r="J619" s="553">
        <f>[8]Sales_NP!HU105</f>
        <v>24.27651726153756</v>
      </c>
      <c r="K619" s="553">
        <f>[8]Sales_NP!HV105</f>
        <v>25.452641929999182</v>
      </c>
      <c r="L619" s="553">
        <f>[8]Sales_NP!HW105</f>
        <v>22.757837845988551</v>
      </c>
      <c r="M619" s="553">
        <f>[8]Sales_NP!HX105</f>
        <v>19.502827572175686</v>
      </c>
      <c r="N619" s="553">
        <f>[8]Sales_NP!HY105</f>
        <v>20.360679563063723</v>
      </c>
      <c r="O619" s="553">
        <f>[8]Sales_NP!HZ105</f>
        <v>22.088853474499594</v>
      </c>
      <c r="P619" s="553">
        <f>[8]Sales_NP!IA105</f>
        <v>25.905627175966799</v>
      </c>
      <c r="Q619" s="561">
        <f t="shared" si="124"/>
        <v>286.34447739732542</v>
      </c>
      <c r="R619" s="166"/>
      <c r="S619" s="166"/>
    </row>
    <row r="620" spans="3:19" hidden="1" x14ac:dyDescent="0.25">
      <c r="C620" s="17" t="s">
        <v>198</v>
      </c>
      <c r="D620" s="17" t="s">
        <v>199</v>
      </c>
      <c r="E620" s="553">
        <f>[8]Sales_NP!HP110</f>
        <v>6.4935317520000008E-3</v>
      </c>
      <c r="F620" s="553">
        <f>[8]Sales_NP!HQ110</f>
        <v>2.9822067216E-2</v>
      </c>
      <c r="G620" s="553">
        <f>[8]Sales_NP!HR110</f>
        <v>2.3968443887999999E-2</v>
      </c>
      <c r="H620" s="553">
        <f>[8]Sales_NP!HS110</f>
        <v>2.3098253328000001E-2</v>
      </c>
      <c r="I620" s="553">
        <f>[8]Sales_NP!HT110</f>
        <v>2.5828741512E-2</v>
      </c>
      <c r="J620" s="553">
        <f>[8]Sales_NP!HU110</f>
        <v>2.3381595864000005E-2</v>
      </c>
      <c r="K620" s="553">
        <f>[8]Sales_NP!HV110</f>
        <v>2.2749115896E-2</v>
      </c>
      <c r="L620" s="553">
        <f>[8]Sales_NP!HW110</f>
        <v>1.9052928432000002E-2</v>
      </c>
      <c r="M620" s="553">
        <f>[8]Sales_NP!HX110</f>
        <v>2.1193384968000002E-2</v>
      </c>
      <c r="N620" s="553">
        <f>[8]Sales_NP!HY110</f>
        <v>2.7727242623999997E-2</v>
      </c>
      <c r="O620" s="553">
        <f>[8]Sales_NP!HZ110</f>
        <v>2.7402512976000003E-2</v>
      </c>
      <c r="P620" s="553">
        <f>[8]Sales_NP!IA110</f>
        <v>3.3022670544000002E-2</v>
      </c>
      <c r="Q620" s="561">
        <f t="shared" si="124"/>
        <v>0.28374048899999998</v>
      </c>
      <c r="R620" s="166"/>
      <c r="S620" s="166"/>
    </row>
    <row r="621" spans="3:19" hidden="1" x14ac:dyDescent="0.25">
      <c r="C621" s="17" t="s">
        <v>200</v>
      </c>
      <c r="D621" s="17" t="s">
        <v>201</v>
      </c>
      <c r="E621" s="553">
        <f>[8]Sales_NP!HP115</f>
        <v>0.81065157341612537</v>
      </c>
      <c r="F621" s="553">
        <f>[8]Sales_NP!HQ115</f>
        <v>0.88061219864119011</v>
      </c>
      <c r="G621" s="553">
        <f>[8]Sales_NP!HR115</f>
        <v>0.96450433086096732</v>
      </c>
      <c r="H621" s="553">
        <f>[8]Sales_NP!HS115</f>
        <v>0.81342420494050827</v>
      </c>
      <c r="I621" s="553">
        <f>[8]Sales_NP!HT115</f>
        <v>0.77440399620303646</v>
      </c>
      <c r="J621" s="553">
        <f>[8]Sales_NP!HU115</f>
        <v>0.8059399486191845</v>
      </c>
      <c r="K621" s="553">
        <f>[8]Sales_NP!HV115</f>
        <v>0.80714894818063487</v>
      </c>
      <c r="L621" s="553">
        <f>[8]Sales_NP!HW115</f>
        <v>0.70670562316941599</v>
      </c>
      <c r="M621" s="553">
        <f>[8]Sales_NP!HX115</f>
        <v>0.6411036710620921</v>
      </c>
      <c r="N621" s="553">
        <f>[8]Sales_NP!HY115</f>
        <v>0.67431810479710264</v>
      </c>
      <c r="O621" s="553">
        <f>[8]Sales_NP!HZ115</f>
        <v>0.69339878462281179</v>
      </c>
      <c r="P621" s="553">
        <f>[8]Sales_NP!IA115</f>
        <v>0.75886291750301971</v>
      </c>
      <c r="Q621" s="561">
        <f t="shared" si="124"/>
        <v>9.3310743020160913</v>
      </c>
      <c r="R621" s="166"/>
      <c r="S621" s="166"/>
    </row>
    <row r="622" spans="3:19" hidden="1" x14ac:dyDescent="0.25">
      <c r="C622" s="17" t="s">
        <v>202</v>
      </c>
      <c r="D622" s="17" t="s">
        <v>203</v>
      </c>
      <c r="E622" s="553">
        <f>[8]Sales_NP!HP121</f>
        <v>2.9854236383999999</v>
      </c>
      <c r="F622" s="553">
        <f>[8]Sales_NP!HQ121</f>
        <v>0.31341945960000001</v>
      </c>
      <c r="G622" s="553">
        <f>[8]Sales_NP!HR121</f>
        <v>0.4299629868</v>
      </c>
      <c r="H622" s="553">
        <f>[8]Sales_NP!HS121</f>
        <v>1.0033690427999999</v>
      </c>
      <c r="I622" s="553">
        <f>[8]Sales_NP!HT121</f>
        <v>2.0342254536</v>
      </c>
      <c r="J622" s="553">
        <f>[8]Sales_NP!HU121</f>
        <v>1.3980874392</v>
      </c>
      <c r="K622" s="553">
        <f>[8]Sales_NP!HV121</f>
        <v>2.9050502414400001</v>
      </c>
      <c r="L622" s="553">
        <f>[8]Sales_NP!HW121</f>
        <v>1.2440458152</v>
      </c>
      <c r="M622" s="553">
        <f>[8]Sales_NP!HX121</f>
        <v>1.5209177914799998</v>
      </c>
      <c r="N622" s="553">
        <f>[8]Sales_NP!HY121</f>
        <v>3.9031051291200001</v>
      </c>
      <c r="O622" s="553">
        <f>[8]Sales_NP!HZ121</f>
        <v>4.2503273928</v>
      </c>
      <c r="P622" s="553">
        <f>[8]Sales_NP!IA121</f>
        <v>4.7119206203999999</v>
      </c>
      <c r="Q622" s="561">
        <f t="shared" si="124"/>
        <v>26.69985501084</v>
      </c>
      <c r="R622" s="166"/>
      <c r="S622" s="166"/>
    </row>
    <row r="623" spans="3:19" hidden="1" x14ac:dyDescent="0.25">
      <c r="C623" s="17" t="s">
        <v>204</v>
      </c>
      <c r="D623" s="17" t="s">
        <v>205</v>
      </c>
      <c r="E623" s="553">
        <f>[8]Sales_NP!HP122+[8]Sales_NP!HP123</f>
        <v>15.178871392507007</v>
      </c>
      <c r="F623" s="553">
        <f>[8]Sales_NP!HQ122+[8]Sales_NP!HQ123</f>
        <v>15.022756036335757</v>
      </c>
      <c r="G623" s="553">
        <f>[8]Sales_NP!HR122+[8]Sales_NP!HR123</f>
        <v>14.903133189210127</v>
      </c>
      <c r="H623" s="553">
        <f>[8]Sales_NP!HS122+[8]Sales_NP!HS123</f>
        <v>13.743768829501015</v>
      </c>
      <c r="I623" s="553">
        <f>[8]Sales_NP!HT122+[8]Sales_NP!HT123</f>
        <v>14.122852546962829</v>
      </c>
      <c r="J623" s="553">
        <f>[8]Sales_NP!HU122+[8]Sales_NP!HU123</f>
        <v>14.405064637533059</v>
      </c>
      <c r="K623" s="553">
        <f>[8]Sales_NP!HV122+[8]Sales_NP!HV123</f>
        <v>14.891167588659858</v>
      </c>
      <c r="L623" s="553">
        <f>[8]Sales_NP!HW122+[8]Sales_NP!HW123</f>
        <v>14.557588598450755</v>
      </c>
      <c r="M623" s="553">
        <f>[8]Sales_NP!HX122+[8]Sales_NP!HX123</f>
        <v>14.690268985785089</v>
      </c>
      <c r="N623" s="553">
        <f>[8]Sales_NP!HY122+[8]Sales_NP!HY123</f>
        <v>15.561591097522555</v>
      </c>
      <c r="O623" s="553">
        <f>[8]Sales_NP!HZ122+[8]Sales_NP!HZ123</f>
        <v>14.453482728398008</v>
      </c>
      <c r="P623" s="553">
        <f>[8]Sales_NP!IA122+[8]Sales_NP!IA123</f>
        <v>15.491012920249123</v>
      </c>
      <c r="Q623" s="561">
        <f t="shared" si="124"/>
        <v>177.02155855111516</v>
      </c>
      <c r="R623" s="166"/>
      <c r="S623" s="166"/>
    </row>
    <row r="624" spans="3:19" hidden="1" x14ac:dyDescent="0.25">
      <c r="C624" s="17" t="s">
        <v>206</v>
      </c>
      <c r="D624" s="17" t="s">
        <v>207</v>
      </c>
      <c r="E624" s="553">
        <f>[8]Sales_NP!HP126</f>
        <v>0.82443763828799999</v>
      </c>
      <c r="F624" s="553">
        <f>[8]Sales_NP!HQ126</f>
        <v>0.89039596032000012</v>
      </c>
      <c r="G624" s="553">
        <f>[8]Sales_NP!HR126</f>
        <v>0.99127863763200008</v>
      </c>
      <c r="H624" s="553">
        <f>[8]Sales_NP!HS126</f>
        <v>0.75589845840000003</v>
      </c>
      <c r="I624" s="553">
        <f>[8]Sales_NP!HT126</f>
        <v>0.81136461693600004</v>
      </c>
      <c r="J624" s="553">
        <f>[8]Sales_NP!HU126</f>
        <v>0.76284512596800003</v>
      </c>
      <c r="K624" s="553">
        <f>[8]Sales_NP!HV126</f>
        <v>0.77508509904000011</v>
      </c>
      <c r="L624" s="553">
        <f>[8]Sales_NP!HW126</f>
        <v>0.70421020034399995</v>
      </c>
      <c r="M624" s="553">
        <f>[8]Sales_NP!HX126</f>
        <v>0.58619325866400007</v>
      </c>
      <c r="N624" s="553">
        <f>[8]Sales_NP!HY126</f>
        <v>0.66270635546400003</v>
      </c>
      <c r="O624" s="553">
        <f>[8]Sales_NP!HZ126</f>
        <v>0.6765954457679999</v>
      </c>
      <c r="P624" s="553">
        <f>[8]Sales_NP!IA126</f>
        <v>0.79437043202400004</v>
      </c>
      <c r="Q624" s="561">
        <f t="shared" si="124"/>
        <v>9.2353812288479986</v>
      </c>
      <c r="R624" s="166"/>
      <c r="S624" s="166"/>
    </row>
    <row r="625" spans="3:19" hidden="1" x14ac:dyDescent="0.25">
      <c r="C625" s="17" t="s">
        <v>208</v>
      </c>
      <c r="D625" s="17" t="s">
        <v>187</v>
      </c>
      <c r="E625" s="553">
        <f>[8]Sales_NP!HP127</f>
        <v>1.6566518088000002</v>
      </c>
      <c r="F625" s="553">
        <f>[8]Sales_NP!HQ127</f>
        <v>1.55238281676</v>
      </c>
      <c r="G625" s="553">
        <f>[8]Sales_NP!HR127</f>
        <v>1.4802875288640003</v>
      </c>
      <c r="H625" s="553">
        <f>[8]Sales_NP!HS127</f>
        <v>1.4363609461200002</v>
      </c>
      <c r="I625" s="553">
        <f>[8]Sales_NP!HT127</f>
        <v>1.581228572616</v>
      </c>
      <c r="J625" s="553">
        <f>[8]Sales_NP!HU127</f>
        <v>1.5640879410000001</v>
      </c>
      <c r="K625" s="553">
        <f>[8]Sales_NP!HV127</f>
        <v>1.51752213396</v>
      </c>
      <c r="L625" s="553">
        <f>[8]Sales_NP!HW127</f>
        <v>1.4445768184560002</v>
      </c>
      <c r="M625" s="553">
        <f>[8]Sales_NP!HX127</f>
        <v>1.4480586419040002</v>
      </c>
      <c r="N625" s="553">
        <f>[8]Sales_NP!HY127</f>
        <v>1.458238810248</v>
      </c>
      <c r="O625" s="553">
        <f>[8]Sales_NP!HZ127</f>
        <v>1.3253861807280003</v>
      </c>
      <c r="P625" s="553">
        <f>[8]Sales_NP!IA127</f>
        <v>1.2193990929360001</v>
      </c>
      <c r="Q625" s="561">
        <f t="shared" si="124"/>
        <v>17.684181292392001</v>
      </c>
      <c r="R625" s="166"/>
      <c r="S625" s="166"/>
    </row>
    <row r="626" spans="3:19" hidden="1" x14ac:dyDescent="0.25">
      <c r="C626" s="17" t="s">
        <v>209</v>
      </c>
      <c r="D626" s="17" t="s">
        <v>210</v>
      </c>
      <c r="E626" s="553">
        <f>[8]Sales_NP!HP128</f>
        <v>93.747086015663257</v>
      </c>
      <c r="F626" s="553">
        <f>[8]Sales_NP!HQ128</f>
        <v>46.826063775125832</v>
      </c>
      <c r="G626" s="553">
        <f>[8]Sales_NP!HR128</f>
        <v>79.431245097424437</v>
      </c>
      <c r="H626" s="553">
        <f>[8]Sales_NP!HS128</f>
        <v>111.83291554342088</v>
      </c>
      <c r="I626" s="553">
        <f>[8]Sales_NP!HT128</f>
        <v>121.61506786752967</v>
      </c>
      <c r="J626" s="553">
        <f>[8]Sales_NP!HU128</f>
        <v>108.14028496524985</v>
      </c>
      <c r="K626" s="553">
        <f>[8]Sales_NP!HV128</f>
        <v>110.37144574117644</v>
      </c>
      <c r="L626" s="553">
        <f>[8]Sales_NP!HW128</f>
        <v>62.055619020883228</v>
      </c>
      <c r="M626" s="553">
        <f>[8]Sales_NP!HX128</f>
        <v>125.89328142841246</v>
      </c>
      <c r="N626" s="553">
        <f>[8]Sales_NP!HY128</f>
        <v>134.77550137085828</v>
      </c>
      <c r="O626" s="553">
        <f>[8]Sales_NP!HZ128</f>
        <v>146.77496326667398</v>
      </c>
      <c r="P626" s="553">
        <f>[8]Sales_NP!IA128</f>
        <v>160.57100394914286</v>
      </c>
      <c r="Q626" s="561">
        <f t="shared" si="124"/>
        <v>1302.034478041561</v>
      </c>
      <c r="R626" s="166"/>
      <c r="S626" s="166"/>
    </row>
    <row r="627" spans="3:19" hidden="1" x14ac:dyDescent="0.25">
      <c r="C627" s="17" t="s">
        <v>211</v>
      </c>
      <c r="D627" s="17" t="s">
        <v>189</v>
      </c>
      <c r="E627" s="553">
        <v>0</v>
      </c>
      <c r="F627" s="553">
        <v>0</v>
      </c>
      <c r="G627" s="553">
        <v>0</v>
      </c>
      <c r="H627" s="553">
        <v>0</v>
      </c>
      <c r="I627" s="553">
        <v>0</v>
      </c>
      <c r="J627" s="553">
        <v>0</v>
      </c>
      <c r="K627" s="553">
        <v>0</v>
      </c>
      <c r="L627" s="553">
        <v>0</v>
      </c>
      <c r="M627" s="553">
        <v>0</v>
      </c>
      <c r="N627" s="553">
        <v>0</v>
      </c>
      <c r="O627" s="553">
        <v>0</v>
      </c>
      <c r="P627" s="553">
        <v>0</v>
      </c>
      <c r="Q627" s="561">
        <f t="shared" si="124"/>
        <v>0</v>
      </c>
      <c r="R627" s="166"/>
      <c r="S627" s="166"/>
    </row>
    <row r="628" spans="3:19" hidden="1" x14ac:dyDescent="0.25">
      <c r="C628" s="17"/>
      <c r="D628" s="17"/>
      <c r="E628" s="553"/>
      <c r="F628" s="553"/>
      <c r="G628" s="553"/>
      <c r="H628" s="553"/>
      <c r="I628" s="553"/>
      <c r="J628" s="553"/>
      <c r="K628" s="553"/>
      <c r="L628" s="553"/>
      <c r="M628" s="553"/>
      <c r="N628" s="553"/>
      <c r="O628" s="553"/>
      <c r="P628" s="553"/>
      <c r="Q628" s="561">
        <f t="shared" si="124"/>
        <v>0</v>
      </c>
      <c r="R628" s="166"/>
      <c r="S628" s="166"/>
    </row>
    <row r="629" spans="3:19" hidden="1" x14ac:dyDescent="0.25">
      <c r="C629" s="17"/>
      <c r="D629" s="17"/>
      <c r="E629" s="553"/>
      <c r="F629" s="553"/>
      <c r="G629" s="553"/>
      <c r="H629" s="553"/>
      <c r="I629" s="553"/>
      <c r="J629" s="553"/>
      <c r="K629" s="553"/>
      <c r="L629" s="553"/>
      <c r="M629" s="553"/>
      <c r="N629" s="553"/>
      <c r="O629" s="553"/>
      <c r="P629" s="553"/>
      <c r="Q629" s="561">
        <f t="shared" si="124"/>
        <v>0</v>
      </c>
      <c r="R629" s="166"/>
      <c r="S629" s="166"/>
    </row>
    <row r="630" spans="3:19" hidden="1" x14ac:dyDescent="0.25">
      <c r="C630" s="17"/>
      <c r="D630" s="17"/>
      <c r="E630" s="553"/>
      <c r="F630" s="553"/>
      <c r="G630" s="553"/>
      <c r="H630" s="553"/>
      <c r="I630" s="553"/>
      <c r="J630" s="553"/>
      <c r="K630" s="553"/>
      <c r="L630" s="553"/>
      <c r="M630" s="553"/>
      <c r="N630" s="553"/>
      <c r="O630" s="553"/>
      <c r="P630" s="553"/>
      <c r="Q630" s="561">
        <f t="shared" si="124"/>
        <v>0</v>
      </c>
      <c r="R630" s="166"/>
      <c r="S630" s="166"/>
    </row>
    <row r="631" spans="3:19" hidden="1" x14ac:dyDescent="0.25">
      <c r="C631" s="17" t="s">
        <v>226</v>
      </c>
      <c r="D631" s="17" t="s">
        <v>226</v>
      </c>
      <c r="E631" s="553"/>
      <c r="F631" s="553"/>
      <c r="G631" s="553"/>
      <c r="H631" s="553"/>
      <c r="I631" s="553"/>
      <c r="J631" s="553"/>
      <c r="K631" s="553"/>
      <c r="L631" s="553"/>
      <c r="M631" s="553"/>
      <c r="N631" s="553"/>
      <c r="O631" s="553"/>
      <c r="P631" s="553"/>
      <c r="Q631" s="561">
        <f t="shared" si="124"/>
        <v>0</v>
      </c>
      <c r="R631" s="166"/>
      <c r="S631" s="166"/>
    </row>
    <row r="632" spans="3:19" hidden="1" x14ac:dyDescent="0.25">
      <c r="C632" s="751" t="s">
        <v>212</v>
      </c>
      <c r="D632" s="752"/>
      <c r="E632" s="561">
        <f t="shared" ref="E632:P632" si="125">SUM(E617:E631)</f>
        <v>255.39140482634534</v>
      </c>
      <c r="F632" s="561">
        <f t="shared" si="125"/>
        <v>195.56926846693642</v>
      </c>
      <c r="G632" s="561">
        <f t="shared" si="125"/>
        <v>239.50424613981747</v>
      </c>
      <c r="H632" s="561">
        <f t="shared" si="125"/>
        <v>264.54156083582666</v>
      </c>
      <c r="I632" s="561">
        <f t="shared" si="125"/>
        <v>282.42808122049541</v>
      </c>
      <c r="J632" s="561">
        <f t="shared" si="125"/>
        <v>262.90777578417038</v>
      </c>
      <c r="K632" s="561">
        <f t="shared" si="125"/>
        <v>273.42287973518722</v>
      </c>
      <c r="L632" s="561">
        <f t="shared" si="125"/>
        <v>225.83964237561815</v>
      </c>
      <c r="M632" s="561">
        <f t="shared" si="125"/>
        <v>301.9246810023995</v>
      </c>
      <c r="N632" s="561">
        <f t="shared" si="125"/>
        <v>322.71328318622</v>
      </c>
      <c r="O632" s="561">
        <f t="shared" si="125"/>
        <v>321.5806971324339</v>
      </c>
      <c r="P632" s="561">
        <f t="shared" si="125"/>
        <v>323.15707674964597</v>
      </c>
      <c r="Q632" s="561">
        <f t="shared" si="124"/>
        <v>3268.9805974550964</v>
      </c>
      <c r="R632" s="166"/>
      <c r="S632" s="166"/>
    </row>
    <row r="633" spans="3:19" hidden="1" x14ac:dyDescent="0.25">
      <c r="C633" s="753" t="s">
        <v>213</v>
      </c>
      <c r="D633" s="754"/>
      <c r="E633" s="553"/>
      <c r="F633" s="553"/>
      <c r="G633" s="553"/>
      <c r="H633" s="553"/>
      <c r="I633" s="553"/>
      <c r="J633" s="553"/>
      <c r="K633" s="553"/>
      <c r="L633" s="553"/>
      <c r="M633" s="553"/>
      <c r="N633" s="553"/>
      <c r="O633" s="553"/>
      <c r="P633" s="553"/>
      <c r="Q633" s="561"/>
      <c r="R633" s="166"/>
      <c r="S633" s="166"/>
    </row>
    <row r="634" spans="3:19" hidden="1" x14ac:dyDescent="0.25">
      <c r="C634" s="17" t="s">
        <v>192</v>
      </c>
      <c r="D634" s="17" t="s">
        <v>193</v>
      </c>
      <c r="E634" s="553">
        <f>[8]Sales_NP!HP143</f>
        <v>19.058753588854518</v>
      </c>
      <c r="F634" s="553">
        <f>[8]Sales_NP!HQ143</f>
        <v>18.721314719212621</v>
      </c>
      <c r="G634" s="553">
        <f>[8]Sales_NP!HR143</f>
        <v>16.295842970864761</v>
      </c>
      <c r="H634" s="553">
        <f>[8]Sales_NP!HS143</f>
        <v>16.668027975949318</v>
      </c>
      <c r="I634" s="553">
        <f>[8]Sales_NP!HT143</f>
        <v>16.742333691327318</v>
      </c>
      <c r="J634" s="553">
        <f>[8]Sales_NP!HU143</f>
        <v>17.193960636371589</v>
      </c>
      <c r="K634" s="553">
        <f>[8]Sales_NP!HV143</f>
        <v>15.454333542723102</v>
      </c>
      <c r="L634" s="553">
        <f>[8]Sales_NP!HW143</f>
        <v>17.362471405276398</v>
      </c>
      <c r="M634" s="553">
        <f>[8]Sales_NP!HX143</f>
        <v>17.764803201235303</v>
      </c>
      <c r="N634" s="553">
        <f>[8]Sales_NP!HY143</f>
        <v>18.905805819528673</v>
      </c>
      <c r="O634" s="553">
        <f>[8]Sales_NP!HZ143</f>
        <v>19.113602294353882</v>
      </c>
      <c r="P634" s="553">
        <f>[8]Sales_NP!IA143</f>
        <v>19.864572113639376</v>
      </c>
      <c r="Q634" s="561">
        <f t="shared" ref="Q634:Q649" si="126">SUM(E634:P634)</f>
        <v>213.14582195933687</v>
      </c>
      <c r="R634" s="166"/>
      <c r="S634" s="166"/>
    </row>
    <row r="635" spans="3:19" hidden="1" x14ac:dyDescent="0.25">
      <c r="C635" s="17" t="s">
        <v>194</v>
      </c>
      <c r="D635" s="17" t="s">
        <v>195</v>
      </c>
      <c r="E635" s="553">
        <f>[8]Sales_NP!HP159</f>
        <v>4.2834109500000002E-3</v>
      </c>
      <c r="F635" s="553">
        <f>[8]Sales_NP!HQ159</f>
        <v>2.8113750000000005E-3</v>
      </c>
      <c r="G635" s="553">
        <f>[8]Sales_NP!HR159</f>
        <v>2.361555E-3</v>
      </c>
      <c r="H635" s="553">
        <f>[8]Sales_NP!HS159</f>
        <v>2.8113750000000005E-3</v>
      </c>
      <c r="I635" s="553">
        <f>[8]Sales_NP!HT159</f>
        <v>2.4740100000000009E-3</v>
      </c>
      <c r="J635" s="553">
        <f>[8]Sales_NP!HU159</f>
        <v>2.9238300000000001E-3</v>
      </c>
      <c r="K635" s="553">
        <f>[8]Sales_NP!HV159</f>
        <v>2.6989199999999996E-3</v>
      </c>
      <c r="L635" s="553">
        <f>[8]Sales_NP!HW159</f>
        <v>2.8113750000000005E-3</v>
      </c>
      <c r="M635" s="553">
        <f>[8]Sales_NP!HX159</f>
        <v>2.0241900000000004E-3</v>
      </c>
      <c r="N635" s="553">
        <f>[8]Sales_NP!HY159</f>
        <v>2.361555E-3</v>
      </c>
      <c r="O635" s="553">
        <f>[8]Sales_NP!HZ159</f>
        <v>2.2491000000000004E-4</v>
      </c>
      <c r="P635" s="553">
        <f>[8]Sales_NP!IA159</f>
        <v>8.9964000000000016E-4</v>
      </c>
      <c r="Q635" s="561">
        <f t="shared" si="126"/>
        <v>2.8686145950000005E-2</v>
      </c>
      <c r="R635" s="166"/>
      <c r="S635" s="166"/>
    </row>
    <row r="636" spans="3:19" hidden="1" x14ac:dyDescent="0.25">
      <c r="C636" s="17" t="s">
        <v>233</v>
      </c>
      <c r="D636" s="17" t="s">
        <v>197</v>
      </c>
      <c r="E636" s="553">
        <f>[8]Sales_NP!HP160</f>
        <v>1.8028574603108507</v>
      </c>
      <c r="F636" s="553">
        <f>[8]Sales_NP!HQ160</f>
        <v>1.620130901693976</v>
      </c>
      <c r="G636" s="553">
        <f>[8]Sales_NP!HR160</f>
        <v>1.774018895857258</v>
      </c>
      <c r="H636" s="553">
        <f>[8]Sales_NP!HS160</f>
        <v>1.8898456981919294</v>
      </c>
      <c r="I636" s="553">
        <f>[8]Sales_NP!HT160</f>
        <v>2.3568478319153381</v>
      </c>
      <c r="J636" s="553">
        <f>[8]Sales_NP!HU160</f>
        <v>2.1221186832494632</v>
      </c>
      <c r="K636" s="553">
        <f>[8]Sales_NP!HV160</f>
        <v>2.2269741765097004</v>
      </c>
      <c r="L636" s="553">
        <f>[8]Sales_NP!HW160</f>
        <v>1.8933737636358676</v>
      </c>
      <c r="M636" s="553">
        <f>[8]Sales_NP!HX160</f>
        <v>1.4983009151313516</v>
      </c>
      <c r="N636" s="553">
        <f>[8]Sales_NP!HY160</f>
        <v>1.3946590870628011</v>
      </c>
      <c r="O636" s="553">
        <f>[8]Sales_NP!HZ160</f>
        <v>1.5647217195099279</v>
      </c>
      <c r="P636" s="553">
        <f>[8]Sales_NP!IA160</f>
        <v>1.7306489199686619</v>
      </c>
      <c r="Q636" s="561">
        <f t="shared" si="126"/>
        <v>21.874498053037129</v>
      </c>
      <c r="R636" s="166"/>
      <c r="S636" s="166"/>
    </row>
    <row r="637" spans="3:19" hidden="1" x14ac:dyDescent="0.25">
      <c r="C637" s="17" t="s">
        <v>198</v>
      </c>
      <c r="D637" s="17" t="s">
        <v>199</v>
      </c>
      <c r="E637" s="553">
        <f>[8]Sales_NP!HP166</f>
        <v>0</v>
      </c>
      <c r="F637" s="553">
        <f>[8]Sales_NP!HQ166</f>
        <v>0</v>
      </c>
      <c r="G637" s="553">
        <f>[8]Sales_NP!HR166</f>
        <v>0</v>
      </c>
      <c r="H637" s="553">
        <f>[8]Sales_NP!HS166</f>
        <v>0</v>
      </c>
      <c r="I637" s="553">
        <f>[8]Sales_NP!HT166</f>
        <v>0</v>
      </c>
      <c r="J637" s="553">
        <f>[8]Sales_NP!HU166</f>
        <v>0</v>
      </c>
      <c r="K637" s="553">
        <f>[8]Sales_NP!HV166</f>
        <v>0</v>
      </c>
      <c r="L637" s="553">
        <f>[8]Sales_NP!HW166</f>
        <v>0</v>
      </c>
      <c r="M637" s="553">
        <f>[8]Sales_NP!HX166</f>
        <v>0</v>
      </c>
      <c r="N637" s="553">
        <f>[8]Sales_NP!HY166</f>
        <v>0</v>
      </c>
      <c r="O637" s="553">
        <f>[8]Sales_NP!HZ166</f>
        <v>0</v>
      </c>
      <c r="P637" s="553">
        <f>[8]Sales_NP!IA166</f>
        <v>0</v>
      </c>
      <c r="Q637" s="561">
        <f t="shared" si="126"/>
        <v>0</v>
      </c>
      <c r="R637" s="166"/>
      <c r="S637" s="166"/>
    </row>
    <row r="638" spans="3:19" hidden="1" x14ac:dyDescent="0.25">
      <c r="C638" s="17" t="s">
        <v>200</v>
      </c>
      <c r="D638" s="17" t="s">
        <v>201</v>
      </c>
      <c r="E638" s="553">
        <f>[8]Sales_NP!HP171</f>
        <v>0</v>
      </c>
      <c r="F638" s="553">
        <f>[8]Sales_NP!HQ171</f>
        <v>0</v>
      </c>
      <c r="G638" s="553">
        <f>[8]Sales_NP!HR171</f>
        <v>0</v>
      </c>
      <c r="H638" s="553">
        <f>[8]Sales_NP!HS171</f>
        <v>0</v>
      </c>
      <c r="I638" s="553">
        <f>[8]Sales_NP!HT171</f>
        <v>0</v>
      </c>
      <c r="J638" s="553">
        <f>[8]Sales_NP!HU171</f>
        <v>0</v>
      </c>
      <c r="K638" s="553">
        <f>[8]Sales_NP!HV171</f>
        <v>0</v>
      </c>
      <c r="L638" s="553">
        <f>[8]Sales_NP!HW171</f>
        <v>0</v>
      </c>
      <c r="M638" s="553">
        <f>[8]Sales_NP!HX171</f>
        <v>0</v>
      </c>
      <c r="N638" s="553">
        <f>[8]Sales_NP!HY171</f>
        <v>0</v>
      </c>
      <c r="O638" s="553">
        <f>[8]Sales_NP!HZ171</f>
        <v>0</v>
      </c>
      <c r="P638" s="553">
        <f>[8]Sales_NP!IA171</f>
        <v>0</v>
      </c>
      <c r="Q638" s="561">
        <f t="shared" si="126"/>
        <v>0</v>
      </c>
      <c r="R638" s="166"/>
      <c r="S638" s="166"/>
    </row>
    <row r="639" spans="3:19" hidden="1" x14ac:dyDescent="0.25">
      <c r="C639" s="17" t="s">
        <v>202</v>
      </c>
      <c r="D639" s="17" t="s">
        <v>203</v>
      </c>
      <c r="E639" s="553">
        <f>[8]Sales_NP!HP177</f>
        <v>3.4697178261688615</v>
      </c>
      <c r="F639" s="553">
        <f>[8]Sales_NP!HQ177</f>
        <v>3.4399960224321995</v>
      </c>
      <c r="G639" s="553">
        <f>[8]Sales_NP!HR177</f>
        <v>0.12664608360165983</v>
      </c>
      <c r="H639" s="553">
        <f>[8]Sales_NP!HS177</f>
        <v>0.47078167130741805</v>
      </c>
      <c r="I639" s="553">
        <f>[8]Sales_NP!HT177</f>
        <v>0.41503276319362414</v>
      </c>
      <c r="J639" s="553">
        <f>[8]Sales_NP!HU177</f>
        <v>3.4352493600605811</v>
      </c>
      <c r="K639" s="553">
        <f>[8]Sales_NP!HV177</f>
        <v>2.1196079703471309</v>
      </c>
      <c r="L639" s="553">
        <f>[8]Sales_NP!HW177</f>
        <v>1.1211873098106424</v>
      </c>
      <c r="M639" s="553">
        <f>[8]Sales_NP!HX177</f>
        <v>0.47386571896724783</v>
      </c>
      <c r="N639" s="553">
        <f>[8]Sales_NP!HY177</f>
        <v>7.6323303334755401</v>
      </c>
      <c r="O639" s="553">
        <f>[8]Sales_NP!HZ177</f>
        <v>6.2273644552185692</v>
      </c>
      <c r="P639" s="553">
        <f>[8]Sales_NP!IA177</f>
        <v>4.5179245605750138</v>
      </c>
      <c r="Q639" s="561">
        <f t="shared" si="126"/>
        <v>33.449704075158486</v>
      </c>
      <c r="R639" s="166"/>
      <c r="S639" s="166"/>
    </row>
    <row r="640" spans="3:19" hidden="1" x14ac:dyDescent="0.25">
      <c r="C640" s="17" t="s">
        <v>204</v>
      </c>
      <c r="D640" s="17" t="s">
        <v>205</v>
      </c>
      <c r="E640" s="553">
        <f>[8]Sales_NP!HP178+[8]Sales_NP!HP179</f>
        <v>34.302599160631814</v>
      </c>
      <c r="F640" s="553">
        <f>[8]Sales_NP!HQ178+[8]Sales_NP!HQ179</f>
        <v>35.150522137379838</v>
      </c>
      <c r="G640" s="553">
        <f>[8]Sales_NP!HR178+[8]Sales_NP!HR179</f>
        <v>35.212419269372504</v>
      </c>
      <c r="H640" s="553">
        <f>[8]Sales_NP!HS178+[8]Sales_NP!HS179</f>
        <v>33.91013284375839</v>
      </c>
      <c r="I640" s="553">
        <f>[8]Sales_NP!HT178+[8]Sales_NP!HT179</f>
        <v>34.746693555654929</v>
      </c>
      <c r="J640" s="553">
        <f>[8]Sales_NP!HU178+[8]Sales_NP!HU179</f>
        <v>31.677771604788845</v>
      </c>
      <c r="K640" s="553">
        <f>[8]Sales_NP!HV178+[8]Sales_NP!HV179</f>
        <v>35.396336574007378</v>
      </c>
      <c r="L640" s="553">
        <f>[8]Sales_NP!HW178+[8]Sales_NP!HW179</f>
        <v>35.418753341045999</v>
      </c>
      <c r="M640" s="553">
        <f>[8]Sales_NP!HX178+[8]Sales_NP!HX179</f>
        <v>35.069561544289861</v>
      </c>
      <c r="N640" s="553">
        <f>[8]Sales_NP!HY178+[8]Sales_NP!HY179</f>
        <v>36.565543571700829</v>
      </c>
      <c r="O640" s="553">
        <f>[8]Sales_NP!HZ178+[8]Sales_NP!HZ179</f>
        <v>32.91106750371975</v>
      </c>
      <c r="P640" s="553">
        <f>[8]Sales_NP!IA178+[8]Sales_NP!IA179</f>
        <v>43.873508252936823</v>
      </c>
      <c r="Q640" s="561">
        <f t="shared" si="126"/>
        <v>424.23490935928697</v>
      </c>
      <c r="R640" s="166"/>
      <c r="S640" s="166"/>
    </row>
    <row r="641" spans="3:19" hidden="1" x14ac:dyDescent="0.25">
      <c r="C641" s="17" t="s">
        <v>206</v>
      </c>
      <c r="D641" s="17" t="s">
        <v>207</v>
      </c>
      <c r="E641" s="553">
        <f>[8]Sales_NP!HP182</f>
        <v>3.1986528276960002</v>
      </c>
      <c r="F641" s="553">
        <f>[8]Sales_NP!HQ182</f>
        <v>3.9725302720319999</v>
      </c>
      <c r="G641" s="553">
        <f>[8]Sales_NP!HR182</f>
        <v>4.242740359032001</v>
      </c>
      <c r="H641" s="553">
        <f>[8]Sales_NP!HS182</f>
        <v>3.409759996344</v>
      </c>
      <c r="I641" s="553">
        <f>[8]Sales_NP!HT182</f>
        <v>3.3754235502960004</v>
      </c>
      <c r="J641" s="553">
        <f>[8]Sales_NP!HU182</f>
        <v>3.4622059569120007</v>
      </c>
      <c r="K641" s="553">
        <f>[8]Sales_NP!HV182</f>
        <v>1.8503647171200002</v>
      </c>
      <c r="L641" s="553">
        <f>[8]Sales_NP!HW182</f>
        <v>1.3621283853120001</v>
      </c>
      <c r="M641" s="553">
        <f>[8]Sales_NP!HX182</f>
        <v>0.67536868931999994</v>
      </c>
      <c r="N641" s="553">
        <f>[8]Sales_NP!HY182</f>
        <v>1.8735690912480003</v>
      </c>
      <c r="O641" s="553">
        <f>[8]Sales_NP!HZ182</f>
        <v>2.358236580552</v>
      </c>
      <c r="P641" s="553">
        <f>[8]Sales_NP!IA182</f>
        <v>3.4183238351238625</v>
      </c>
      <c r="Q641" s="561">
        <f t="shared" si="126"/>
        <v>33.199304260987866</v>
      </c>
      <c r="R641" s="166"/>
      <c r="S641" s="166"/>
    </row>
    <row r="642" spans="3:19" hidden="1" x14ac:dyDescent="0.25">
      <c r="C642" s="17" t="s">
        <v>214</v>
      </c>
      <c r="D642" s="17" t="s">
        <v>187</v>
      </c>
      <c r="E642" s="553">
        <f>[8]Sales_NP!HP183</f>
        <v>0.5545544033519999</v>
      </c>
      <c r="F642" s="553">
        <f>[8]Sales_NP!HQ183</f>
        <v>0.44364649406400003</v>
      </c>
      <c r="G642" s="553">
        <f>[8]Sales_NP!HR183</f>
        <v>0.51744502079999988</v>
      </c>
      <c r="H642" s="553">
        <f>[8]Sales_NP!HS183</f>
        <v>0.44066131595999997</v>
      </c>
      <c r="I642" s="553">
        <f>[8]Sales_NP!HT183</f>
        <v>0.473531172552</v>
      </c>
      <c r="J642" s="553">
        <f>[8]Sales_NP!HU183</f>
        <v>0.63552032891999999</v>
      </c>
      <c r="K642" s="553">
        <f>[8]Sales_NP!HV183</f>
        <v>0.68190891422399991</v>
      </c>
      <c r="L642" s="553">
        <f>[8]Sales_NP!HW183</f>
        <v>0.69283829541600017</v>
      </c>
      <c r="M642" s="553">
        <f>[8]Sales_NP!HX183</f>
        <v>0.81863813656800011</v>
      </c>
      <c r="N642" s="553">
        <f>[8]Sales_NP!HY183</f>
        <v>0.76518933443999992</v>
      </c>
      <c r="O642" s="553">
        <f>[8]Sales_NP!HZ183</f>
        <v>0.7210367143919999</v>
      </c>
      <c r="P642" s="553">
        <f>[8]Sales_NP!IA183</f>
        <v>0.70715186892000004</v>
      </c>
      <c r="Q642" s="561">
        <f t="shared" si="126"/>
        <v>7.4521219996079999</v>
      </c>
      <c r="R642" s="166"/>
      <c r="S642" s="166"/>
    </row>
    <row r="643" spans="3:19" hidden="1" x14ac:dyDescent="0.25">
      <c r="C643" s="17" t="s">
        <v>209</v>
      </c>
      <c r="D643" s="17" t="s">
        <v>210</v>
      </c>
      <c r="E643" s="553">
        <f>[8]Sales_NP!HP184</f>
        <v>0</v>
      </c>
      <c r="F643" s="553">
        <f>[8]Sales_NP!HQ184</f>
        <v>0</v>
      </c>
      <c r="G643" s="553">
        <f>[8]Sales_NP!HR184</f>
        <v>0</v>
      </c>
      <c r="H643" s="553">
        <f>[8]Sales_NP!HS184</f>
        <v>0</v>
      </c>
      <c r="I643" s="553">
        <f>[8]Sales_NP!HT184</f>
        <v>0</v>
      </c>
      <c r="J643" s="553">
        <f>[8]Sales_NP!HU184</f>
        <v>0</v>
      </c>
      <c r="K643" s="553">
        <f>[8]Sales_NP!HV184</f>
        <v>0</v>
      </c>
      <c r="L643" s="553">
        <f>[8]Sales_NP!HW184</f>
        <v>0</v>
      </c>
      <c r="M643" s="553">
        <f>[8]Sales_NP!HX184</f>
        <v>0</v>
      </c>
      <c r="N643" s="553">
        <f>[8]Sales_NP!HY184</f>
        <v>0</v>
      </c>
      <c r="O643" s="553">
        <f>[8]Sales_NP!HZ184</f>
        <v>0</v>
      </c>
      <c r="P643" s="553">
        <f>[8]Sales_NP!IA184</f>
        <v>0</v>
      </c>
      <c r="Q643" s="561">
        <f t="shared" si="126"/>
        <v>0</v>
      </c>
      <c r="R643" s="166"/>
      <c r="S643" s="166"/>
    </row>
    <row r="644" spans="3:19" hidden="1" x14ac:dyDescent="0.25">
      <c r="C644" s="17" t="s">
        <v>211</v>
      </c>
      <c r="D644" s="17" t="s">
        <v>189</v>
      </c>
      <c r="E644" s="553">
        <f>[8]Sales_NP!HP188</f>
        <v>6.9551999999999996</v>
      </c>
      <c r="F644" s="553">
        <f>[8]Sales_NP!HQ188</f>
        <v>7.1870399999999997</v>
      </c>
      <c r="G644" s="553">
        <f>[8]Sales_NP!HR188</f>
        <v>6.9551999999999996</v>
      </c>
      <c r="H644" s="553">
        <f>[8]Sales_NP!HS188</f>
        <v>7.1870399999999997</v>
      </c>
      <c r="I644" s="553">
        <f>[8]Sales_NP!HT188</f>
        <v>7.1870399999999997</v>
      </c>
      <c r="J644" s="553">
        <f>[8]Sales_NP!HU188</f>
        <v>6.9551999999999996</v>
      </c>
      <c r="K644" s="553">
        <f>[8]Sales_NP!HV188</f>
        <v>7.1870399999999997</v>
      </c>
      <c r="L644" s="553">
        <f>[8]Sales_NP!HW188</f>
        <v>6.9551999999999996</v>
      </c>
      <c r="M644" s="553">
        <f>[8]Sales_NP!HX188</f>
        <v>7.1870399999999997</v>
      </c>
      <c r="N644" s="553">
        <f>[8]Sales_NP!HY188</f>
        <v>7.1870399999999997</v>
      </c>
      <c r="O644" s="553">
        <f>[8]Sales_NP!HZ188</f>
        <v>6.4915200000000004</v>
      </c>
      <c r="P644" s="553">
        <f>[8]Sales_NP!IA188</f>
        <v>7.1870399999999997</v>
      </c>
      <c r="Q644" s="561">
        <f t="shared" si="126"/>
        <v>84.621599999999987</v>
      </c>
      <c r="R644" s="166"/>
      <c r="S644" s="166"/>
    </row>
    <row r="645" spans="3:19" hidden="1" x14ac:dyDescent="0.25">
      <c r="C645" s="17"/>
      <c r="D645" s="17"/>
      <c r="E645" s="553"/>
      <c r="F645" s="553"/>
      <c r="G645" s="553"/>
      <c r="H645" s="553"/>
      <c r="I645" s="553"/>
      <c r="J645" s="553"/>
      <c r="K645" s="553"/>
      <c r="L645" s="553"/>
      <c r="M645" s="553"/>
      <c r="N645" s="553"/>
      <c r="O645" s="553"/>
      <c r="P645" s="553"/>
      <c r="Q645" s="561">
        <f t="shared" si="126"/>
        <v>0</v>
      </c>
      <c r="R645" s="166"/>
      <c r="S645" s="166"/>
    </row>
    <row r="646" spans="3:19" hidden="1" x14ac:dyDescent="0.25">
      <c r="C646" s="17"/>
      <c r="D646" s="17"/>
      <c r="E646" s="553"/>
      <c r="F646" s="553"/>
      <c r="G646" s="553"/>
      <c r="H646" s="553"/>
      <c r="I646" s="553"/>
      <c r="J646" s="553"/>
      <c r="K646" s="553"/>
      <c r="L646" s="553"/>
      <c r="M646" s="553"/>
      <c r="N646" s="553"/>
      <c r="O646" s="553"/>
      <c r="P646" s="553"/>
      <c r="Q646" s="561">
        <f t="shared" si="126"/>
        <v>0</v>
      </c>
      <c r="R646" s="166"/>
      <c r="S646" s="166"/>
    </row>
    <row r="647" spans="3:19" hidden="1" x14ac:dyDescent="0.25">
      <c r="C647" s="17"/>
      <c r="D647" s="17"/>
      <c r="E647" s="553"/>
      <c r="F647" s="553"/>
      <c r="G647" s="553"/>
      <c r="H647" s="553"/>
      <c r="I647" s="553"/>
      <c r="J647" s="553"/>
      <c r="K647" s="553"/>
      <c r="L647" s="553"/>
      <c r="M647" s="553"/>
      <c r="N647" s="553"/>
      <c r="O647" s="553"/>
      <c r="P647" s="553"/>
      <c r="Q647" s="561">
        <f t="shared" si="126"/>
        <v>0</v>
      </c>
      <c r="R647" s="166"/>
      <c r="S647" s="166"/>
    </row>
    <row r="648" spans="3:19" hidden="1" x14ac:dyDescent="0.25">
      <c r="C648" s="17" t="s">
        <v>226</v>
      </c>
      <c r="D648" s="17" t="s">
        <v>226</v>
      </c>
      <c r="E648" s="553"/>
      <c r="F648" s="553"/>
      <c r="G648" s="553"/>
      <c r="H648" s="553"/>
      <c r="I648" s="553"/>
      <c r="J648" s="553"/>
      <c r="K648" s="553"/>
      <c r="L648" s="553"/>
      <c r="M648" s="553"/>
      <c r="N648" s="553"/>
      <c r="O648" s="553"/>
      <c r="P648" s="553"/>
      <c r="Q648" s="561">
        <f t="shared" si="126"/>
        <v>0</v>
      </c>
      <c r="R648" s="166"/>
      <c r="S648" s="166"/>
    </row>
    <row r="649" spans="3:19" hidden="1" x14ac:dyDescent="0.25">
      <c r="C649" s="751" t="s">
        <v>212</v>
      </c>
      <c r="D649" s="752"/>
      <c r="E649" s="561">
        <f t="shared" ref="E649:P649" si="127">SUM(E634:E648)</f>
        <v>69.346618677964045</v>
      </c>
      <c r="F649" s="561">
        <f t="shared" si="127"/>
        <v>70.537991921814637</v>
      </c>
      <c r="G649" s="561">
        <f t="shared" si="127"/>
        <v>65.126674154528175</v>
      </c>
      <c r="H649" s="561">
        <f t="shared" si="127"/>
        <v>63.979060876511056</v>
      </c>
      <c r="I649" s="561">
        <f t="shared" si="127"/>
        <v>65.299376574939217</v>
      </c>
      <c r="J649" s="561">
        <f t="shared" si="127"/>
        <v>65.48495040030248</v>
      </c>
      <c r="K649" s="561">
        <f t="shared" si="127"/>
        <v>64.91926481493131</v>
      </c>
      <c r="L649" s="561">
        <f t="shared" si="127"/>
        <v>64.808763875496908</v>
      </c>
      <c r="M649" s="561">
        <f t="shared" si="127"/>
        <v>63.489602395511767</v>
      </c>
      <c r="N649" s="561">
        <f t="shared" si="127"/>
        <v>74.326498792455837</v>
      </c>
      <c r="O649" s="561">
        <f t="shared" si="127"/>
        <v>69.387774177746124</v>
      </c>
      <c r="P649" s="561">
        <f t="shared" si="127"/>
        <v>81.300069191163715</v>
      </c>
      <c r="Q649" s="561">
        <f t="shared" si="126"/>
        <v>818.00664585336528</v>
      </c>
      <c r="R649" s="166"/>
      <c r="S649" s="166"/>
    </row>
    <row r="650" spans="3:19" hidden="1" x14ac:dyDescent="0.25">
      <c r="C650" s="753" t="s">
        <v>215</v>
      </c>
      <c r="D650" s="754"/>
      <c r="E650" s="553"/>
      <c r="F650" s="553"/>
      <c r="G650" s="553"/>
      <c r="H650" s="553"/>
      <c r="I650" s="553"/>
      <c r="J650" s="553"/>
      <c r="K650" s="553"/>
      <c r="L650" s="553"/>
      <c r="M650" s="553"/>
      <c r="N650" s="553"/>
      <c r="O650" s="553"/>
      <c r="P650" s="553"/>
      <c r="Q650" s="561"/>
      <c r="R650" s="166"/>
      <c r="S650" s="166"/>
    </row>
    <row r="651" spans="3:19" hidden="1" x14ac:dyDescent="0.25">
      <c r="C651" s="17" t="s">
        <v>192</v>
      </c>
      <c r="D651" s="17" t="s">
        <v>193</v>
      </c>
      <c r="E651" s="553">
        <f>[8]Sales_NP!HP198</f>
        <v>52.899396624148395</v>
      </c>
      <c r="F651" s="553">
        <f>[8]Sales_NP!HQ198</f>
        <v>49.558970271897309</v>
      </c>
      <c r="G651" s="553">
        <f>[8]Sales_NP!HR198</f>
        <v>55.772550204127953</v>
      </c>
      <c r="H651" s="553">
        <f>[8]Sales_NP!HS198</f>
        <v>54.864534893964326</v>
      </c>
      <c r="I651" s="553">
        <f>[8]Sales_NP!HT198</f>
        <v>58.469698402307912</v>
      </c>
      <c r="J651" s="553">
        <f>[8]Sales_NP!HU198</f>
        <v>65.200109272055911</v>
      </c>
      <c r="K651" s="553">
        <f>[8]Sales_NP!HV198</f>
        <v>61.116453297066357</v>
      </c>
      <c r="L651" s="553">
        <f>[8]Sales_NP!HW198</f>
        <v>62.427382271058022</v>
      </c>
      <c r="M651" s="553">
        <f>[8]Sales_NP!HX198</f>
        <v>55.010775932689398</v>
      </c>
      <c r="N651" s="553">
        <f>[8]Sales_NP!HY198</f>
        <v>58.934971158044789</v>
      </c>
      <c r="O651" s="553">
        <f>[8]Sales_NP!HZ198</f>
        <v>55.394168597176865</v>
      </c>
      <c r="P651" s="553">
        <f>[8]Sales_NP!IA198</f>
        <v>55.995863296587252</v>
      </c>
      <c r="Q651" s="561">
        <f t="shared" ref="Q651:Q670" si="128">SUM(E651:P651)</f>
        <v>685.6448742211245</v>
      </c>
      <c r="R651" s="166"/>
      <c r="S651" s="166"/>
    </row>
    <row r="652" spans="3:19" hidden="1" x14ac:dyDescent="0.25">
      <c r="C652" s="17" t="s">
        <v>194</v>
      </c>
      <c r="D652" s="17" t="s">
        <v>195</v>
      </c>
      <c r="E652" s="553">
        <f>[8]Sales_NP!HP208</f>
        <v>0</v>
      </c>
      <c r="F652" s="553">
        <f>[8]Sales_NP!HQ208</f>
        <v>0</v>
      </c>
      <c r="G652" s="553">
        <f>[8]Sales_NP!HR208</f>
        <v>0</v>
      </c>
      <c r="H652" s="553">
        <f>[8]Sales_NP!HS208</f>
        <v>0</v>
      </c>
      <c r="I652" s="553">
        <f>[8]Sales_NP!HT208</f>
        <v>0</v>
      </c>
      <c r="J652" s="553">
        <f>[8]Sales_NP!HU208</f>
        <v>0</v>
      </c>
      <c r="K652" s="553">
        <f>[8]Sales_NP!HV208</f>
        <v>0</v>
      </c>
      <c r="L652" s="553">
        <f>[8]Sales_NP!HW208</f>
        <v>0</v>
      </c>
      <c r="M652" s="553">
        <f>[8]Sales_NP!HX208</f>
        <v>0</v>
      </c>
      <c r="N652" s="553">
        <f>[8]Sales_NP!HY208</f>
        <v>0</v>
      </c>
      <c r="O652" s="553">
        <f>[8]Sales_NP!HZ208</f>
        <v>0</v>
      </c>
      <c r="P652" s="553">
        <f>[8]Sales_NP!IA208</f>
        <v>0</v>
      </c>
      <c r="Q652" s="561">
        <f t="shared" si="128"/>
        <v>0</v>
      </c>
      <c r="R652" s="166"/>
      <c r="S652" s="166"/>
    </row>
    <row r="653" spans="3:19" hidden="1" x14ac:dyDescent="0.25">
      <c r="C653" s="17" t="s">
        <v>233</v>
      </c>
      <c r="D653" s="17" t="s">
        <v>197</v>
      </c>
      <c r="E653" s="553">
        <f>[8]Sales_NP!HP214</f>
        <v>1.2886465634177915</v>
      </c>
      <c r="F653" s="553">
        <f>[8]Sales_NP!HQ214</f>
        <v>0.76269490091192449</v>
      </c>
      <c r="G653" s="553">
        <f>[8]Sales_NP!HR214</f>
        <v>0.72135277047510205</v>
      </c>
      <c r="H653" s="553">
        <f>[8]Sales_NP!HS214</f>
        <v>0.74101275098174324</v>
      </c>
      <c r="I653" s="553">
        <f>[8]Sales_NP!HT214</f>
        <v>0.15896498523941271</v>
      </c>
      <c r="J653" s="553">
        <f>[8]Sales_NP!HU214</f>
        <v>0.3306247007488281</v>
      </c>
      <c r="K653" s="553">
        <f>[8]Sales_NP!HV214</f>
        <v>0.2809692071263401</v>
      </c>
      <c r="L653" s="553">
        <f>[8]Sales_NP!HW214</f>
        <v>0.37780865396476682</v>
      </c>
      <c r="M653" s="553">
        <f>[8]Sales_NP!HX214</f>
        <v>0.41274724789371192</v>
      </c>
      <c r="N653" s="553">
        <f>[8]Sales_NP!HY214</f>
        <v>0.6980978221043892</v>
      </c>
      <c r="O653" s="553">
        <f>[8]Sales_NP!HZ214</f>
        <v>0.29905638919244998</v>
      </c>
      <c r="P653" s="553">
        <f>[8]Sales_NP!IA214</f>
        <v>0.25861300072164534</v>
      </c>
      <c r="Q653" s="561">
        <f t="shared" si="128"/>
        <v>6.3305889927781047</v>
      </c>
      <c r="R653" s="166"/>
      <c r="S653" s="166"/>
    </row>
    <row r="654" spans="3:19" hidden="1" x14ac:dyDescent="0.25">
      <c r="C654" s="17" t="s">
        <v>198</v>
      </c>
      <c r="D654" s="17" t="s">
        <v>199</v>
      </c>
      <c r="E654" s="553">
        <f>[8]Sales_NP!HP219</f>
        <v>0</v>
      </c>
      <c r="F654" s="553">
        <f>[8]Sales_NP!HQ219</f>
        <v>0</v>
      </c>
      <c r="G654" s="553">
        <f>[8]Sales_NP!HR219</f>
        <v>0</v>
      </c>
      <c r="H654" s="553">
        <f>[8]Sales_NP!HS219</f>
        <v>0</v>
      </c>
      <c r="I654" s="553">
        <f>[8]Sales_NP!HT219</f>
        <v>0</v>
      </c>
      <c r="J654" s="553">
        <f>[8]Sales_NP!HU219</f>
        <v>0</v>
      </c>
      <c r="K654" s="553">
        <f>[8]Sales_NP!HV219</f>
        <v>0</v>
      </c>
      <c r="L654" s="553">
        <f>[8]Sales_NP!HW219</f>
        <v>0</v>
      </c>
      <c r="M654" s="553">
        <f>[8]Sales_NP!HX219</f>
        <v>0</v>
      </c>
      <c r="N654" s="553">
        <f>[8]Sales_NP!HY219</f>
        <v>0</v>
      </c>
      <c r="O654" s="553">
        <f>[8]Sales_NP!HZ219</f>
        <v>0</v>
      </c>
      <c r="P654" s="553">
        <f>[8]Sales_NP!IA219</f>
        <v>0</v>
      </c>
      <c r="Q654" s="561">
        <f t="shared" si="128"/>
        <v>0</v>
      </c>
      <c r="R654" s="166"/>
      <c r="S654" s="166"/>
    </row>
    <row r="655" spans="3:19" hidden="1" x14ac:dyDescent="0.25">
      <c r="C655" s="17" t="s">
        <v>200</v>
      </c>
      <c r="D655" s="17" t="s">
        <v>201</v>
      </c>
      <c r="E655" s="553">
        <f>[8]Sales_NP!HP224</f>
        <v>0</v>
      </c>
      <c r="F655" s="553">
        <f>[8]Sales_NP!HQ224</f>
        <v>0</v>
      </c>
      <c r="G655" s="553">
        <f>[8]Sales_NP!HR224</f>
        <v>0</v>
      </c>
      <c r="H655" s="553">
        <f>[8]Sales_NP!HS224</f>
        <v>0</v>
      </c>
      <c r="I655" s="553">
        <f>[8]Sales_NP!HT224</f>
        <v>0</v>
      </c>
      <c r="J655" s="553">
        <f>[8]Sales_NP!HU224</f>
        <v>0</v>
      </c>
      <c r="K655" s="553">
        <f>[8]Sales_NP!HV224</f>
        <v>0</v>
      </c>
      <c r="L655" s="553">
        <f>[8]Sales_NP!HW224</f>
        <v>0</v>
      </c>
      <c r="M655" s="553">
        <f>[8]Sales_NP!HX224</f>
        <v>0</v>
      </c>
      <c r="N655" s="553">
        <f>[8]Sales_NP!HY224</f>
        <v>0</v>
      </c>
      <c r="O655" s="553">
        <f>[8]Sales_NP!HZ224</f>
        <v>0</v>
      </c>
      <c r="P655" s="553">
        <f>[8]Sales_NP!IA224</f>
        <v>0</v>
      </c>
      <c r="Q655" s="561">
        <f t="shared" si="128"/>
        <v>0</v>
      </c>
      <c r="R655" s="166"/>
      <c r="S655" s="166"/>
    </row>
    <row r="656" spans="3:19" hidden="1" x14ac:dyDescent="0.25">
      <c r="C656" s="17" t="s">
        <v>202</v>
      </c>
      <c r="D656" s="17" t="s">
        <v>234</v>
      </c>
      <c r="E656" s="553">
        <f>[8]Sales_NP!HP230</f>
        <v>255.55224513600004</v>
      </c>
      <c r="F656" s="553">
        <f>[8]Sales_NP!HQ230</f>
        <v>63.559270954799999</v>
      </c>
      <c r="G656" s="553">
        <f>[8]Sales_NP!HR230</f>
        <v>15.5128207356</v>
      </c>
      <c r="H656" s="553">
        <f>[8]Sales_NP!HS230</f>
        <v>279.24517175256</v>
      </c>
      <c r="I656" s="553">
        <f>[8]Sales_NP!HT230</f>
        <v>11.420829738</v>
      </c>
      <c r="J656" s="553">
        <f>[8]Sales_NP!HU230</f>
        <v>58.545157258980005</v>
      </c>
      <c r="K656" s="553">
        <f>[8]Sales_NP!HV230</f>
        <v>77.390349595200007</v>
      </c>
      <c r="L656" s="553">
        <f>[8]Sales_NP!HW230</f>
        <v>144.23116991111999</v>
      </c>
      <c r="M656" s="553">
        <f>[8]Sales_NP!HX230</f>
        <v>25.621388751599998</v>
      </c>
      <c r="N656" s="553">
        <f>[8]Sales_NP!HY230</f>
        <v>120.41411899680001</v>
      </c>
      <c r="O656" s="553">
        <f>[8]Sales_NP!HZ230</f>
        <v>141.30577756080001</v>
      </c>
      <c r="P656" s="553">
        <f>[8]Sales_NP!IA230</f>
        <v>151.21796175360004</v>
      </c>
      <c r="Q656" s="561">
        <f t="shared" si="128"/>
        <v>1344.01626214506</v>
      </c>
      <c r="R656" s="166"/>
      <c r="S656" s="166"/>
    </row>
    <row r="657" spans="3:19" hidden="1" x14ac:dyDescent="0.25">
      <c r="C657" s="17" t="s">
        <v>204</v>
      </c>
      <c r="D657" s="17" t="s">
        <v>216</v>
      </c>
      <c r="E657" s="553">
        <f>[8]Sales_NP!HP232</f>
        <v>2.572356411472223</v>
      </c>
      <c r="F657" s="553">
        <f>[8]Sales_NP!HQ232</f>
        <v>2.6342493970252137</v>
      </c>
      <c r="G657" s="553">
        <f>[8]Sales_NP!HR232</f>
        <v>2.5816653444178868</v>
      </c>
      <c r="H657" s="553">
        <f>[8]Sales_NP!HS232</f>
        <v>2.5163015762388112</v>
      </c>
      <c r="I657" s="553">
        <f>[8]Sales_NP!HT232</f>
        <v>2.6272490432725353</v>
      </c>
      <c r="J657" s="553">
        <f>[8]Sales_NP!HU232</f>
        <v>2.6572447451081387</v>
      </c>
      <c r="K657" s="553">
        <f>[8]Sales_NP!HV232</f>
        <v>2.5835782317805376</v>
      </c>
      <c r="L657" s="553">
        <f>[8]Sales_NP!HW232</f>
        <v>2.5048649517940293</v>
      </c>
      <c r="M657" s="553">
        <f>[8]Sales_NP!HX232</f>
        <v>2.695787390478988</v>
      </c>
      <c r="N657" s="553">
        <f>[8]Sales_NP!HY232</f>
        <v>2.7494703358265604</v>
      </c>
      <c r="O657" s="553">
        <f>[8]Sales_NP!HZ232</f>
        <v>2.5559838140810274</v>
      </c>
      <c r="P657" s="553">
        <f>[8]Sales_NP!IA232</f>
        <v>2.9324970266741968</v>
      </c>
      <c r="Q657" s="561">
        <f t="shared" si="128"/>
        <v>31.611248268170151</v>
      </c>
      <c r="R657" s="166"/>
      <c r="S657" s="166"/>
    </row>
    <row r="658" spans="3:19" hidden="1" x14ac:dyDescent="0.25">
      <c r="C658" s="17" t="s">
        <v>217</v>
      </c>
      <c r="D658" s="17" t="s">
        <v>218</v>
      </c>
      <c r="E658" s="553">
        <f>[8]Sales_NP!HP234</f>
        <v>71.693248037113193</v>
      </c>
      <c r="F658" s="553">
        <f>[8]Sales_NP!HQ234</f>
        <v>69.737507614841562</v>
      </c>
      <c r="G658" s="553">
        <f>[8]Sales_NP!HR234</f>
        <v>68.326173804728569</v>
      </c>
      <c r="H658" s="553">
        <f>[8]Sales_NP!HS234</f>
        <v>68.880677200744245</v>
      </c>
      <c r="I658" s="553">
        <f>[8]Sales_NP!HT234</f>
        <v>69.728294465527256</v>
      </c>
      <c r="J658" s="553">
        <f>[8]Sales_NP!HU234</f>
        <v>66.214966124258609</v>
      </c>
      <c r="K658" s="553">
        <f>[8]Sales_NP!HV234</f>
        <v>69.91394504273589</v>
      </c>
      <c r="L658" s="553">
        <f>[8]Sales_NP!HW234</f>
        <v>70.964229419448202</v>
      </c>
      <c r="M658" s="553">
        <f>[8]Sales_NP!HX234</f>
        <v>69.732234139733762</v>
      </c>
      <c r="N658" s="553">
        <f>[8]Sales_NP!HY234</f>
        <v>72.269404585533636</v>
      </c>
      <c r="O658" s="553">
        <f>[8]Sales_NP!HZ234</f>
        <v>68.520207549859506</v>
      </c>
      <c r="P658" s="553">
        <f>[8]Sales_NP!IA234</f>
        <v>73.953755327119239</v>
      </c>
      <c r="Q658" s="561">
        <f t="shared" si="128"/>
        <v>839.93464331164364</v>
      </c>
      <c r="R658" s="166"/>
      <c r="S658" s="166"/>
    </row>
    <row r="659" spans="3:19" hidden="1" x14ac:dyDescent="0.25">
      <c r="C659" s="17" t="s">
        <v>252</v>
      </c>
      <c r="D659" s="17" t="s">
        <v>236</v>
      </c>
      <c r="E659" s="553">
        <v>0</v>
      </c>
      <c r="F659" s="553">
        <v>0</v>
      </c>
      <c r="G659" s="553">
        <v>0</v>
      </c>
      <c r="H659" s="553">
        <v>0</v>
      </c>
      <c r="I659" s="553">
        <v>0</v>
      </c>
      <c r="J659" s="553">
        <v>0</v>
      </c>
      <c r="K659" s="553">
        <v>0</v>
      </c>
      <c r="L659" s="553">
        <v>0</v>
      </c>
      <c r="M659" s="553">
        <v>0</v>
      </c>
      <c r="N659" s="553">
        <v>0</v>
      </c>
      <c r="O659" s="553">
        <v>0</v>
      </c>
      <c r="P659" s="553">
        <v>0</v>
      </c>
      <c r="Q659" s="561">
        <f t="shared" si="128"/>
        <v>0</v>
      </c>
      <c r="R659" s="166"/>
      <c r="S659" s="166"/>
    </row>
    <row r="660" spans="3:19" hidden="1" x14ac:dyDescent="0.25">
      <c r="C660" s="17" t="s">
        <v>206</v>
      </c>
      <c r="D660" s="17" t="s">
        <v>207</v>
      </c>
      <c r="E660" s="553">
        <f>[8]Sales_NP!HP239</f>
        <v>6.3991510961040001</v>
      </c>
      <c r="F660" s="553">
        <f>[8]Sales_NP!HQ239</f>
        <v>7.8758114160239998</v>
      </c>
      <c r="G660" s="553">
        <f>[8]Sales_NP!HR239</f>
        <v>7.3301945064480005</v>
      </c>
      <c r="H660" s="553">
        <f>[8]Sales_NP!HS239</f>
        <v>7.0671719812320015</v>
      </c>
      <c r="I660" s="553">
        <f>[8]Sales_NP!HT239</f>
        <v>6.9536248476480012</v>
      </c>
      <c r="J660" s="553">
        <f>[8]Sales_NP!HU239</f>
        <v>6.4576279017359992</v>
      </c>
      <c r="K660" s="553">
        <f>[8]Sales_NP!HV239</f>
        <v>5.6547242961839999</v>
      </c>
      <c r="L660" s="553">
        <f>[8]Sales_NP!HW239</f>
        <v>4.9820298510239995</v>
      </c>
      <c r="M660" s="553">
        <f>[8]Sales_NP!HX239</f>
        <v>3.1492557177120006</v>
      </c>
      <c r="N660" s="553">
        <f>[8]Sales_NP!HY239</f>
        <v>3.414275436384</v>
      </c>
      <c r="O660" s="553">
        <f>[8]Sales_NP!HZ239</f>
        <v>4.1044575281759998</v>
      </c>
      <c r="P660" s="553">
        <f>[8]Sales_NP!IA239</f>
        <v>6.0638901296921377</v>
      </c>
      <c r="Q660" s="561">
        <f t="shared" si="128"/>
        <v>69.452214708364139</v>
      </c>
      <c r="R660" s="166"/>
      <c r="S660" s="166"/>
    </row>
    <row r="661" spans="3:19" hidden="1" x14ac:dyDescent="0.25">
      <c r="C661" s="17" t="s">
        <v>208</v>
      </c>
      <c r="D661" s="17" t="s">
        <v>187</v>
      </c>
      <c r="E661" s="553">
        <f>[8]Sales_NP!HP240</f>
        <v>0.12835310759999999</v>
      </c>
      <c r="F661" s="553">
        <f>[8]Sales_NP!HQ240</f>
        <v>0.12479806080000001</v>
      </c>
      <c r="G661" s="553">
        <f>[8]Sales_NP!HR240</f>
        <v>0.12734496000000001</v>
      </c>
      <c r="H661" s="553">
        <f>[8]Sales_NP!HS240</f>
        <v>9.2218975200000011E-2</v>
      </c>
      <c r="I661" s="553">
        <f>[8]Sales_NP!HT240</f>
        <v>0.1186430544</v>
      </c>
      <c r="J661" s="553">
        <f>[8]Sales_NP!HU240</f>
        <v>0.12437357759999999</v>
      </c>
      <c r="K661" s="553">
        <f>[8]Sales_NP!HV240</f>
        <v>0.12416133600000002</v>
      </c>
      <c r="L661" s="553">
        <f>[8]Sales_NP!HW240</f>
        <v>8.1500774400000003E-2</v>
      </c>
      <c r="M661" s="553">
        <f>[8]Sales_NP!HX240</f>
        <v>4.9133930400000012E-2</v>
      </c>
      <c r="N661" s="553">
        <f>[8]Sales_NP!HY240</f>
        <v>9.1263888000000012E-3</v>
      </c>
      <c r="O661" s="553">
        <f>[8]Sales_NP!HZ240</f>
        <v>0.11705124240000001</v>
      </c>
      <c r="P661" s="553">
        <f>[8]Sales_NP!IA240</f>
        <v>0.1121696856</v>
      </c>
      <c r="Q661" s="561">
        <f t="shared" si="128"/>
        <v>1.2088750932000003</v>
      </c>
      <c r="R661" s="166"/>
      <c r="S661" s="166"/>
    </row>
    <row r="662" spans="3:19" hidden="1" x14ac:dyDescent="0.25">
      <c r="C662" s="17" t="s">
        <v>209</v>
      </c>
      <c r="D662" s="17" t="s">
        <v>210</v>
      </c>
      <c r="E662" s="553">
        <v>0</v>
      </c>
      <c r="F662" s="553">
        <v>0</v>
      </c>
      <c r="G662" s="553">
        <v>0</v>
      </c>
      <c r="H662" s="553">
        <v>0</v>
      </c>
      <c r="I662" s="553">
        <v>0</v>
      </c>
      <c r="J662" s="553">
        <v>0</v>
      </c>
      <c r="K662" s="553">
        <v>0</v>
      </c>
      <c r="L662" s="553">
        <v>0</v>
      </c>
      <c r="M662" s="553">
        <v>0</v>
      </c>
      <c r="N662" s="553">
        <v>0</v>
      </c>
      <c r="O662" s="553">
        <v>0</v>
      </c>
      <c r="P662" s="553">
        <v>0</v>
      </c>
      <c r="Q662" s="561">
        <f t="shared" si="128"/>
        <v>0</v>
      </c>
      <c r="R662" s="166"/>
      <c r="S662" s="166"/>
    </row>
    <row r="663" spans="3:19" hidden="1" x14ac:dyDescent="0.25">
      <c r="C663" s="17" t="s">
        <v>211</v>
      </c>
      <c r="D663" s="17" t="s">
        <v>189</v>
      </c>
      <c r="E663" s="553">
        <v>0</v>
      </c>
      <c r="F663" s="553">
        <v>0</v>
      </c>
      <c r="G663" s="553">
        <v>0</v>
      </c>
      <c r="H663" s="553">
        <v>0</v>
      </c>
      <c r="I663" s="553">
        <v>0</v>
      </c>
      <c r="J663" s="553">
        <v>0</v>
      </c>
      <c r="K663" s="553">
        <v>0</v>
      </c>
      <c r="L663" s="553">
        <v>0</v>
      </c>
      <c r="M663" s="553">
        <v>0</v>
      </c>
      <c r="N663" s="553">
        <v>0</v>
      </c>
      <c r="O663" s="553">
        <v>0</v>
      </c>
      <c r="P663" s="553">
        <v>0</v>
      </c>
      <c r="Q663" s="561">
        <f t="shared" si="128"/>
        <v>0</v>
      </c>
      <c r="R663" s="166"/>
      <c r="S663" s="166"/>
    </row>
    <row r="664" spans="3:19" hidden="1" x14ac:dyDescent="0.25">
      <c r="C664" s="17"/>
      <c r="D664" s="17"/>
      <c r="E664" s="553"/>
      <c r="F664" s="553"/>
      <c r="G664" s="553"/>
      <c r="H664" s="553"/>
      <c r="I664" s="553"/>
      <c r="J664" s="553"/>
      <c r="K664" s="553"/>
      <c r="L664" s="553"/>
      <c r="M664" s="553"/>
      <c r="N664" s="553"/>
      <c r="O664" s="553"/>
      <c r="P664" s="553"/>
      <c r="Q664" s="561">
        <f t="shared" si="128"/>
        <v>0</v>
      </c>
      <c r="R664" s="166"/>
      <c r="S664" s="166"/>
    </row>
    <row r="665" spans="3:19" hidden="1" x14ac:dyDescent="0.25">
      <c r="C665" s="17"/>
      <c r="D665" s="17"/>
      <c r="E665" s="553"/>
      <c r="F665" s="553"/>
      <c r="G665" s="553"/>
      <c r="H665" s="553"/>
      <c r="I665" s="553"/>
      <c r="J665" s="553"/>
      <c r="K665" s="553"/>
      <c r="L665" s="553"/>
      <c r="M665" s="553"/>
      <c r="N665" s="553"/>
      <c r="O665" s="553"/>
      <c r="P665" s="553"/>
      <c r="Q665" s="561">
        <f t="shared" si="128"/>
        <v>0</v>
      </c>
      <c r="R665" s="166"/>
      <c r="S665" s="166"/>
    </row>
    <row r="666" spans="3:19" hidden="1" x14ac:dyDescent="0.25">
      <c r="C666" s="17"/>
      <c r="D666" s="17"/>
      <c r="E666" s="553"/>
      <c r="F666" s="553"/>
      <c r="G666" s="553"/>
      <c r="H666" s="553"/>
      <c r="I666" s="553"/>
      <c r="J666" s="553"/>
      <c r="K666" s="553"/>
      <c r="L666" s="553"/>
      <c r="M666" s="553"/>
      <c r="N666" s="553"/>
      <c r="O666" s="553"/>
      <c r="P666" s="553"/>
      <c r="Q666" s="561">
        <f t="shared" si="128"/>
        <v>0</v>
      </c>
      <c r="R666" s="166"/>
      <c r="S666" s="166"/>
    </row>
    <row r="667" spans="3:19" hidden="1" x14ac:dyDescent="0.25">
      <c r="C667" s="17" t="s">
        <v>226</v>
      </c>
      <c r="D667" s="17" t="s">
        <v>226</v>
      </c>
      <c r="E667" s="553"/>
      <c r="F667" s="553"/>
      <c r="G667" s="553"/>
      <c r="H667" s="553"/>
      <c r="I667" s="553"/>
      <c r="J667" s="553"/>
      <c r="K667" s="553"/>
      <c r="L667" s="553"/>
      <c r="M667" s="553"/>
      <c r="N667" s="553"/>
      <c r="O667" s="553"/>
      <c r="P667" s="553"/>
      <c r="Q667" s="561">
        <f t="shared" si="128"/>
        <v>0</v>
      </c>
      <c r="R667" s="166"/>
      <c r="S667" s="166"/>
    </row>
    <row r="668" spans="3:19" hidden="1" x14ac:dyDescent="0.25">
      <c r="C668" s="751" t="s">
        <v>212</v>
      </c>
      <c r="D668" s="752"/>
      <c r="E668" s="561">
        <f t="shared" ref="E668:P668" si="129">SUM(E651:E667)</f>
        <v>390.53339697585568</v>
      </c>
      <c r="F668" s="561">
        <f t="shared" si="129"/>
        <v>194.2533026163</v>
      </c>
      <c r="G668" s="561">
        <f t="shared" si="129"/>
        <v>150.3721023257975</v>
      </c>
      <c r="H668" s="561">
        <f t="shared" si="129"/>
        <v>413.40708913092107</v>
      </c>
      <c r="I668" s="561">
        <f t="shared" si="129"/>
        <v>149.47730453639514</v>
      </c>
      <c r="J668" s="561">
        <f t="shared" si="129"/>
        <v>199.53010358048752</v>
      </c>
      <c r="K668" s="561">
        <f t="shared" si="129"/>
        <v>217.06418100609312</v>
      </c>
      <c r="L668" s="561">
        <f t="shared" si="129"/>
        <v>285.56898583280901</v>
      </c>
      <c r="M668" s="561">
        <f t="shared" si="129"/>
        <v>156.67132311050787</v>
      </c>
      <c r="N668" s="561">
        <f t="shared" si="129"/>
        <v>258.48946472349337</v>
      </c>
      <c r="O668" s="561">
        <f t="shared" si="129"/>
        <v>272.29670268168587</v>
      </c>
      <c r="P668" s="561">
        <f t="shared" si="129"/>
        <v>290.53475021999446</v>
      </c>
      <c r="Q668" s="561">
        <f t="shared" si="128"/>
        <v>2978.1987067403402</v>
      </c>
      <c r="R668" s="166"/>
      <c r="S668" s="166"/>
    </row>
    <row r="669" spans="3:19" hidden="1" x14ac:dyDescent="0.25">
      <c r="C669" s="751" t="s">
        <v>219</v>
      </c>
      <c r="D669" s="752"/>
      <c r="E669" s="561">
        <f t="shared" ref="E669:P669" si="130">E668+E649+E632</f>
        <v>715.27142048016503</v>
      </c>
      <c r="F669" s="561">
        <f t="shared" si="130"/>
        <v>460.36056300505106</v>
      </c>
      <c r="G669" s="561">
        <f t="shared" si="130"/>
        <v>455.00302262014316</v>
      </c>
      <c r="H669" s="561">
        <f t="shared" si="130"/>
        <v>741.92771084325875</v>
      </c>
      <c r="I669" s="561">
        <f t="shared" si="130"/>
        <v>497.20476233182978</v>
      </c>
      <c r="J669" s="561">
        <f t="shared" si="130"/>
        <v>527.9228297649604</v>
      </c>
      <c r="K669" s="561">
        <f t="shared" si="130"/>
        <v>555.40632555621164</v>
      </c>
      <c r="L669" s="561">
        <f t="shared" si="130"/>
        <v>576.2173920839241</v>
      </c>
      <c r="M669" s="561">
        <f t="shared" si="130"/>
        <v>522.08560650841912</v>
      </c>
      <c r="N669" s="561">
        <f t="shared" si="130"/>
        <v>655.52924670216919</v>
      </c>
      <c r="O669" s="561">
        <f t="shared" si="130"/>
        <v>663.26517399186582</v>
      </c>
      <c r="P669" s="561">
        <f t="shared" si="130"/>
        <v>694.99189616080412</v>
      </c>
      <c r="Q669" s="561">
        <f t="shared" si="128"/>
        <v>7065.1859500488008</v>
      </c>
      <c r="R669" s="166"/>
      <c r="S669" s="166"/>
    </row>
    <row r="670" spans="3:19" hidden="1" x14ac:dyDescent="0.25">
      <c r="C670" s="751" t="s">
        <v>220</v>
      </c>
      <c r="D670" s="752"/>
      <c r="E670" s="561">
        <f t="shared" ref="E670:P670" si="131">E669+E615</f>
        <v>1264.1277542999635</v>
      </c>
      <c r="F670" s="561">
        <f t="shared" si="131"/>
        <v>1043.2878809398101</v>
      </c>
      <c r="G670" s="561">
        <f t="shared" si="131"/>
        <v>1166.7737931026772</v>
      </c>
      <c r="H670" s="561">
        <f t="shared" si="131"/>
        <v>1377.2882184091686</v>
      </c>
      <c r="I670" s="561">
        <f t="shared" si="131"/>
        <v>1029.4669369152114</v>
      </c>
      <c r="J670" s="561">
        <f t="shared" si="131"/>
        <v>1121.0475541440746</v>
      </c>
      <c r="K670" s="561">
        <f t="shared" si="131"/>
        <v>1102.1157135201829</v>
      </c>
      <c r="L670" s="561">
        <f t="shared" si="131"/>
        <v>1127.9713379554064</v>
      </c>
      <c r="M670" s="561">
        <f t="shared" si="131"/>
        <v>1009.8080334330823</v>
      </c>
      <c r="N670" s="561">
        <f t="shared" si="131"/>
        <v>1077.1473095619253</v>
      </c>
      <c r="O670" s="561">
        <f t="shared" si="131"/>
        <v>1146.1765357930797</v>
      </c>
      <c r="P670" s="561">
        <f t="shared" si="131"/>
        <v>1185.3821576675077</v>
      </c>
      <c r="Q670" s="561">
        <f t="shared" si="128"/>
        <v>13650.59322574209</v>
      </c>
      <c r="R670" s="166"/>
      <c r="S670" s="166"/>
    </row>
    <row r="671" spans="3:19" hidden="1" x14ac:dyDescent="0.25">
      <c r="E671" s="562"/>
      <c r="F671" s="562"/>
      <c r="G671" s="562"/>
      <c r="H671" s="562"/>
      <c r="I671" s="562"/>
      <c r="J671" s="562"/>
      <c r="K671" s="562"/>
      <c r="L671" s="562"/>
      <c r="M671" s="562"/>
      <c r="N671" s="562"/>
      <c r="O671" s="562"/>
      <c r="P671" s="562"/>
      <c r="Q671" s="562"/>
      <c r="R671" s="166"/>
      <c r="S671" s="166"/>
    </row>
    <row r="672" spans="3:19" hidden="1" x14ac:dyDescent="0.25">
      <c r="C672" s="14"/>
      <c r="E672" s="562"/>
      <c r="F672" s="562"/>
      <c r="G672" s="562"/>
      <c r="H672" s="562"/>
      <c r="I672" s="562"/>
      <c r="J672" s="562"/>
      <c r="K672" s="562"/>
      <c r="L672" s="562"/>
      <c r="M672" s="562"/>
      <c r="N672" s="562"/>
      <c r="O672" s="562"/>
      <c r="P672" s="562"/>
      <c r="Q672" s="564" t="s">
        <v>229</v>
      </c>
      <c r="R672" s="166"/>
      <c r="S672" s="166"/>
    </row>
    <row r="673" spans="3:19" hidden="1" x14ac:dyDescent="0.25">
      <c r="C673" s="760" t="s">
        <v>163</v>
      </c>
      <c r="D673" s="760"/>
      <c r="E673" s="769" t="s">
        <v>267</v>
      </c>
      <c r="F673" s="769"/>
      <c r="G673" s="769"/>
      <c r="H673" s="769"/>
      <c r="I673" s="769"/>
      <c r="J673" s="769"/>
      <c r="K673" s="769"/>
      <c r="L673" s="769"/>
      <c r="M673" s="769"/>
      <c r="N673" s="769"/>
      <c r="O673" s="769"/>
      <c r="P673" s="769"/>
      <c r="Q673" s="769"/>
      <c r="R673" s="166"/>
      <c r="S673" s="166"/>
    </row>
    <row r="674" spans="3:19" hidden="1" x14ac:dyDescent="0.25">
      <c r="C674" s="760"/>
      <c r="D674" s="760"/>
      <c r="E674" s="560" t="s">
        <v>239</v>
      </c>
      <c r="F674" s="560" t="s">
        <v>240</v>
      </c>
      <c r="G674" s="560" t="s">
        <v>241</v>
      </c>
      <c r="H674" s="560" t="s">
        <v>242</v>
      </c>
      <c r="I674" s="560" t="s">
        <v>243</v>
      </c>
      <c r="J674" s="560" t="s">
        <v>244</v>
      </c>
      <c r="K674" s="560" t="s">
        <v>245</v>
      </c>
      <c r="L674" s="560" t="s">
        <v>246</v>
      </c>
      <c r="M674" s="560" t="s">
        <v>247</v>
      </c>
      <c r="N674" s="560" t="s">
        <v>248</v>
      </c>
      <c r="O674" s="560" t="s">
        <v>249</v>
      </c>
      <c r="P674" s="560" t="s">
        <v>250</v>
      </c>
      <c r="Q674" s="560" t="s">
        <v>251</v>
      </c>
      <c r="R674" s="166"/>
      <c r="S674" s="166"/>
    </row>
    <row r="675" spans="3:19" hidden="1" x14ac:dyDescent="0.25">
      <c r="C675" s="753" t="s">
        <v>171</v>
      </c>
      <c r="D675" s="754"/>
      <c r="E675" s="553"/>
      <c r="F675" s="553"/>
      <c r="G675" s="553"/>
      <c r="H675" s="553"/>
      <c r="I675" s="553"/>
      <c r="J675" s="553"/>
      <c r="K675" s="553"/>
      <c r="L675" s="553"/>
      <c r="M675" s="553"/>
      <c r="N675" s="553"/>
      <c r="O675" s="553"/>
      <c r="P675" s="553"/>
      <c r="Q675" s="561"/>
      <c r="R675" s="166"/>
      <c r="S675" s="166"/>
    </row>
    <row r="676" spans="3:19" hidden="1" x14ac:dyDescent="0.25">
      <c r="C676" s="59" t="s">
        <v>172</v>
      </c>
      <c r="D676" s="59" t="s">
        <v>173</v>
      </c>
      <c r="E676" s="553">
        <f>[8]Sales_NP!IK10</f>
        <v>394.04290449496443</v>
      </c>
      <c r="F676" s="553">
        <f>[8]Sales_NP!IL10</f>
        <v>431.19769539174655</v>
      </c>
      <c r="G676" s="553">
        <f>[8]Sales_NP!IM10</f>
        <v>540.69139462451835</v>
      </c>
      <c r="H676" s="553">
        <f>[8]Sales_NP!IN10</f>
        <v>477.80819852668657</v>
      </c>
      <c r="I676" s="553">
        <f>[8]Sales_NP!IO10</f>
        <v>391.82593551704088</v>
      </c>
      <c r="J676" s="553">
        <f>[8]Sales_NP!IP10</f>
        <v>438.70354329186802</v>
      </c>
      <c r="K676" s="553">
        <f>[8]Sales_NP!IQ10</f>
        <v>401.50634399537648</v>
      </c>
      <c r="L676" s="553">
        <f>[8]Sales_NP!IR10</f>
        <v>398.5294925928481</v>
      </c>
      <c r="M676" s="553">
        <f>[8]Sales_NP!IS10</f>
        <v>339.69344440164076</v>
      </c>
      <c r="N676" s="553">
        <f>[8]Sales_NP!IT10</f>
        <v>275.53576588864172</v>
      </c>
      <c r="O676" s="553">
        <f>[8]Sales_NP!IU10</f>
        <v>331.96592901591009</v>
      </c>
      <c r="P676" s="553">
        <f>[8]Sales_NP!IV10</f>
        <v>340.47763272755145</v>
      </c>
      <c r="Q676" s="561">
        <f t="shared" ref="Q676:Q689" si="132">SUM(E676:P676)</f>
        <v>4761.9782804687929</v>
      </c>
      <c r="R676" s="166"/>
      <c r="S676" s="166"/>
    </row>
    <row r="677" spans="3:19" hidden="1" x14ac:dyDescent="0.25">
      <c r="C677" s="17" t="s">
        <v>174</v>
      </c>
      <c r="D677" s="17" t="s">
        <v>175</v>
      </c>
      <c r="E677" s="553">
        <f>[8]Sales_NP!IK23</f>
        <v>109.79913469570768</v>
      </c>
      <c r="F677" s="553">
        <f>[8]Sales_NP!IL23</f>
        <v>113.33799740425951</v>
      </c>
      <c r="G677" s="553">
        <f>[8]Sales_NP!IM23</f>
        <v>135.36319698851909</v>
      </c>
      <c r="H677" s="553">
        <f>[8]Sales_NP!IN23</f>
        <v>122.72071803788316</v>
      </c>
      <c r="I677" s="553">
        <f>[8]Sales_NP!IO23</f>
        <v>105.04018588597934</v>
      </c>
      <c r="J677" s="553">
        <f>[8]Sales_NP!IP23</f>
        <v>117.09861559871858</v>
      </c>
      <c r="K677" s="553">
        <f>[8]Sales_NP!IQ23</f>
        <v>108.8348092807144</v>
      </c>
      <c r="L677" s="553">
        <f>[8]Sales_NP!IR23</f>
        <v>112.60718537480362</v>
      </c>
      <c r="M677" s="553">
        <f>[8]Sales_NP!IS23</f>
        <v>102.74586881862784</v>
      </c>
      <c r="N677" s="553">
        <f>[8]Sales_NP!IT23</f>
        <v>92.903629704415707</v>
      </c>
      <c r="O677" s="553">
        <f>[8]Sales_NP!IU23</f>
        <v>101.07489668914084</v>
      </c>
      <c r="P677" s="553">
        <f>[8]Sales_NP!IV23</f>
        <v>105.34433826766589</v>
      </c>
      <c r="Q677" s="561">
        <f t="shared" si="132"/>
        <v>1326.8705767464355</v>
      </c>
      <c r="R677" s="166"/>
      <c r="S677" s="166"/>
    </row>
    <row r="678" spans="3:19" hidden="1" x14ac:dyDescent="0.25">
      <c r="C678" s="17" t="s">
        <v>176</v>
      </c>
      <c r="D678" s="17" t="s">
        <v>177</v>
      </c>
      <c r="E678" s="553">
        <f>[8]Sales_NP!IK36</f>
        <v>22.660075036545869</v>
      </c>
      <c r="F678" s="553">
        <f>[8]Sales_NP!IL36</f>
        <v>22.077382179875951</v>
      </c>
      <c r="G678" s="553">
        <f>[8]Sales_NP!IM36</f>
        <v>24.337782125938798</v>
      </c>
      <c r="H678" s="553">
        <f>[8]Sales_NP!IN36</f>
        <v>20.508049214595509</v>
      </c>
      <c r="I678" s="553">
        <f>[8]Sales_NP!IO36</f>
        <v>17.682827099564449</v>
      </c>
      <c r="J678" s="553">
        <f>[8]Sales_NP!IP36</f>
        <v>19.400508718472636</v>
      </c>
      <c r="K678" s="553">
        <f>[8]Sales_NP!IQ36</f>
        <v>17.133460515126099</v>
      </c>
      <c r="L678" s="553">
        <f>[8]Sales_NP!IR36</f>
        <v>19.801615938175541</v>
      </c>
      <c r="M678" s="553">
        <f>[8]Sales_NP!IS36</f>
        <v>21.152460059715605</v>
      </c>
      <c r="N678" s="553">
        <f>[8]Sales_NP!IT36</f>
        <v>27.176877368143071</v>
      </c>
      <c r="O678" s="553">
        <f>[8]Sales_NP!IU36</f>
        <v>25.515364917123691</v>
      </c>
      <c r="P678" s="553">
        <f>[8]Sales_NP!IV36</f>
        <v>21.026136716706958</v>
      </c>
      <c r="Q678" s="561">
        <f t="shared" si="132"/>
        <v>258.47253988998415</v>
      </c>
      <c r="R678" s="166"/>
      <c r="S678" s="166"/>
    </row>
    <row r="679" spans="3:19" hidden="1" x14ac:dyDescent="0.25">
      <c r="C679" s="17" t="s">
        <v>178</v>
      </c>
      <c r="D679" s="17" t="s">
        <v>179</v>
      </c>
      <c r="E679" s="553">
        <f>[8]Sales_NP!IK43</f>
        <v>0.7773694024406248</v>
      </c>
      <c r="F679" s="553">
        <f>[8]Sales_NP!IL43</f>
        <v>0.77264956212273073</v>
      </c>
      <c r="G679" s="553">
        <f>[8]Sales_NP!IM43</f>
        <v>0.89435011533967068</v>
      </c>
      <c r="H679" s="553">
        <f>[8]Sales_NP!IN43</f>
        <v>0.82774185644019682</v>
      </c>
      <c r="I679" s="553">
        <f>[8]Sales_NP!IO43</f>
        <v>0.79534157362512636</v>
      </c>
      <c r="J679" s="553">
        <f>[8]Sales_NP!IP43</f>
        <v>0.85445827015933817</v>
      </c>
      <c r="K679" s="553">
        <f>[8]Sales_NP!IQ43</f>
        <v>0.75850007152627585</v>
      </c>
      <c r="L679" s="553">
        <f>[8]Sales_NP!IR43</f>
        <v>0.74259861186731113</v>
      </c>
      <c r="M679" s="553">
        <f>[8]Sales_NP!IS43</f>
        <v>0.7188522983718274</v>
      </c>
      <c r="N679" s="553">
        <f>[8]Sales_NP!IT43</f>
        <v>0.68557825999377475</v>
      </c>
      <c r="O679" s="553">
        <f>[8]Sales_NP!IU43</f>
        <v>0.72014175651770762</v>
      </c>
      <c r="P679" s="553">
        <f>[8]Sales_NP!IV43</f>
        <v>0.73178811574368063</v>
      </c>
      <c r="Q679" s="561">
        <f t="shared" si="132"/>
        <v>9.2793698941482656</v>
      </c>
      <c r="R679" s="166"/>
      <c r="S679" s="166"/>
    </row>
    <row r="680" spans="3:19" hidden="1" x14ac:dyDescent="0.25">
      <c r="C680" s="17" t="s">
        <v>180</v>
      </c>
      <c r="D680" s="17" t="s">
        <v>181</v>
      </c>
      <c r="E680" s="553"/>
      <c r="F680" s="553"/>
      <c r="G680" s="553"/>
      <c r="H680" s="553"/>
      <c r="I680" s="553"/>
      <c r="J680" s="553"/>
      <c r="K680" s="553"/>
      <c r="L680" s="553"/>
      <c r="M680" s="553"/>
      <c r="N680" s="553"/>
      <c r="O680" s="553"/>
      <c r="P680" s="553"/>
      <c r="Q680" s="561">
        <f t="shared" si="132"/>
        <v>0</v>
      </c>
      <c r="R680" s="166"/>
      <c r="S680" s="166"/>
    </row>
    <row r="681" spans="3:19" hidden="1" x14ac:dyDescent="0.25">
      <c r="C681" s="17" t="s">
        <v>182</v>
      </c>
      <c r="D681" s="17" t="s">
        <v>183</v>
      </c>
      <c r="E681" s="553">
        <f>[8]Sales_NP!IK54</f>
        <v>37.300266106398112</v>
      </c>
      <c r="F681" s="553">
        <f>[8]Sales_NP!IL54</f>
        <v>34.589585808571627</v>
      </c>
      <c r="G681" s="553">
        <f>[8]Sales_NP!IM54</f>
        <v>36.881051707116498</v>
      </c>
      <c r="H681" s="553">
        <f>[8]Sales_NP!IN54</f>
        <v>34.710124371668215</v>
      </c>
      <c r="I681" s="553">
        <f>[8]Sales_NP!IO54</f>
        <v>32.467965460943134</v>
      </c>
      <c r="J681" s="553">
        <f>[8]Sales_NP!IP54</f>
        <v>34.190866791785638</v>
      </c>
      <c r="K681" s="553">
        <f>[8]Sales_NP!IQ54</f>
        <v>33.624769790200325</v>
      </c>
      <c r="L681" s="553">
        <f>[8]Sales_NP!IR54</f>
        <v>37.684477234453347</v>
      </c>
      <c r="M681" s="553">
        <f>[8]Sales_NP!IS54</f>
        <v>36.917140007415618</v>
      </c>
      <c r="N681" s="553">
        <f>[8]Sales_NP!IT54</f>
        <v>36.851981094852391</v>
      </c>
      <c r="O681" s="553">
        <f>[8]Sales_NP!IU54</f>
        <v>37.869452524095927</v>
      </c>
      <c r="P681" s="553">
        <f>[8]Sales_NP!IV54</f>
        <v>36.013920972834313</v>
      </c>
      <c r="Q681" s="561">
        <f t="shared" si="132"/>
        <v>429.10160187033523</v>
      </c>
      <c r="R681" s="166"/>
      <c r="S681" s="166"/>
    </row>
    <row r="682" spans="3:19" hidden="1" x14ac:dyDescent="0.25">
      <c r="C682" s="17" t="s">
        <v>184</v>
      </c>
      <c r="D682" s="17" t="s">
        <v>185</v>
      </c>
      <c r="E682" s="553">
        <f>[8]Sales_NP!IK64</f>
        <v>9.2047388449818683</v>
      </c>
      <c r="F682" s="553">
        <f>[8]Sales_NP!IL64</f>
        <v>6.9637152397163167</v>
      </c>
      <c r="G682" s="553">
        <f>[8]Sales_NP!IM64</f>
        <v>4.905157598953565</v>
      </c>
      <c r="H682" s="553">
        <f>[8]Sales_NP!IN64</f>
        <v>6.9819030745539621</v>
      </c>
      <c r="I682" s="553">
        <f>[8]Sales_NP!IO64</f>
        <v>8.2348970238728008</v>
      </c>
      <c r="J682" s="553">
        <f>[8]Sales_NP!IP64</f>
        <v>9.5020785554627523</v>
      </c>
      <c r="K682" s="553">
        <f>[8]Sales_NP!IQ64</f>
        <v>9.3305333250956579</v>
      </c>
      <c r="L682" s="553">
        <f>[8]Sales_NP!IR64</f>
        <v>6.8650820133621986</v>
      </c>
      <c r="M682" s="553">
        <f>[8]Sales_NP!IS64</f>
        <v>8.5080120735900504</v>
      </c>
      <c r="N682" s="553">
        <f>[8]Sales_NP!IT64</f>
        <v>7.2245334922171445</v>
      </c>
      <c r="O682" s="553">
        <f>[8]Sales_NP!IU64</f>
        <v>7.0707759226674671</v>
      </c>
      <c r="P682" s="553">
        <f>[8]Sales_NP!IV64</f>
        <v>8.7982512985744403</v>
      </c>
      <c r="Q682" s="561">
        <f t="shared" si="132"/>
        <v>93.589678463048216</v>
      </c>
      <c r="R682" s="166"/>
      <c r="S682" s="166"/>
    </row>
    <row r="683" spans="3:19" hidden="1" x14ac:dyDescent="0.25">
      <c r="C683" s="17" t="s">
        <v>186</v>
      </c>
      <c r="D683" s="17" t="s">
        <v>187</v>
      </c>
      <c r="E683" s="553">
        <f>[8]Sales_NP!IK69</f>
        <v>1.3611494243812505</v>
      </c>
      <c r="F683" s="553">
        <f>[8]Sales_NP!IL69</f>
        <v>1.3529009989687499</v>
      </c>
      <c r="G683" s="553">
        <f>[8]Sales_NP!IM69</f>
        <v>1.6379420766187502</v>
      </c>
      <c r="H683" s="553">
        <f>[8]Sales_NP!IN69</f>
        <v>1.5296246681624999</v>
      </c>
      <c r="I683" s="553">
        <f>[8]Sales_NP!IO69</f>
        <v>1.3806522221625002</v>
      </c>
      <c r="J683" s="553">
        <f>[8]Sales_NP!IP69</f>
        <v>1.5414928711875004</v>
      </c>
      <c r="K683" s="553">
        <f>[8]Sales_NP!IQ69</f>
        <v>1.4922381269250005</v>
      </c>
      <c r="L683" s="553">
        <f>[8]Sales_NP!IR69</f>
        <v>1.5360133690125</v>
      </c>
      <c r="M683" s="553">
        <f>[8]Sales_NP!IS69</f>
        <v>1.2510488682562504</v>
      </c>
      <c r="N683" s="553">
        <f>[8]Sales_NP!IT69</f>
        <v>1.2755303796375004</v>
      </c>
      <c r="O683" s="553">
        <f>[8]Sales_NP!IU69</f>
        <v>1.4255907037312505</v>
      </c>
      <c r="P683" s="553">
        <f>[8]Sales_NP!IV69</f>
        <v>1.4221192178812503</v>
      </c>
      <c r="Q683" s="561">
        <f t="shared" si="132"/>
        <v>17.206302926925002</v>
      </c>
      <c r="R683" s="166"/>
      <c r="S683" s="166"/>
    </row>
    <row r="684" spans="3:19" hidden="1" x14ac:dyDescent="0.25">
      <c r="C684" s="17" t="s">
        <v>188</v>
      </c>
      <c r="D684" s="17" t="s">
        <v>189</v>
      </c>
      <c r="E684" s="553">
        <f>[8]Sales_NP!IK70</f>
        <v>0.63619940939624997</v>
      </c>
      <c r="F684" s="553">
        <f>[8]Sales_NP!IL70</f>
        <v>0.70281796605299995</v>
      </c>
      <c r="G684" s="553">
        <f>[8]Sales_NP!IM70</f>
        <v>0.72520016617124994</v>
      </c>
      <c r="H684" s="553">
        <f>[8]Sales_NP!IN70</f>
        <v>0.79093647366300002</v>
      </c>
      <c r="I684" s="553">
        <f>[8]Sales_NP!IO70</f>
        <v>0.83444874965549998</v>
      </c>
      <c r="J684" s="553">
        <f>[8]Sales_NP!IP70</f>
        <v>0.85073973539625014</v>
      </c>
      <c r="K684" s="553">
        <f>[8]Sales_NP!IQ70</f>
        <v>0.91977645491549997</v>
      </c>
      <c r="L684" s="553">
        <f>[8]Sales_NP!IR70</f>
        <v>0.93930655643999994</v>
      </c>
      <c r="M684" s="553">
        <f>[8]Sales_NP!IS70</f>
        <v>1.0102518291442499</v>
      </c>
      <c r="N684" s="553">
        <f>[8]Sales_NP!IT70</f>
        <v>1.0542855573180003</v>
      </c>
      <c r="O684" s="553">
        <f>[8]Sales_NP!IU70</f>
        <v>1.0301623216132501</v>
      </c>
      <c r="P684" s="553">
        <f>[8]Sales_NP!IV70</f>
        <v>1.1415738741592503</v>
      </c>
      <c r="Q684" s="561">
        <f t="shared" si="132"/>
        <v>10.635699093925501</v>
      </c>
      <c r="R684" s="166"/>
      <c r="S684" s="166"/>
    </row>
    <row r="685" spans="3:19" hidden="1" x14ac:dyDescent="0.25">
      <c r="C685" s="17"/>
      <c r="D685" s="17"/>
      <c r="E685" s="553"/>
      <c r="F685" s="553"/>
      <c r="G685" s="553"/>
      <c r="H685" s="553"/>
      <c r="I685" s="553"/>
      <c r="J685" s="553"/>
      <c r="K685" s="553"/>
      <c r="L685" s="553"/>
      <c r="M685" s="553"/>
      <c r="N685" s="553"/>
      <c r="O685" s="553"/>
      <c r="P685" s="553"/>
      <c r="Q685" s="561">
        <f t="shared" si="132"/>
        <v>0</v>
      </c>
      <c r="R685" s="166"/>
      <c r="S685" s="166"/>
    </row>
    <row r="686" spans="3:19" hidden="1" x14ac:dyDescent="0.25">
      <c r="C686" s="17"/>
      <c r="D686" s="17"/>
      <c r="E686" s="553"/>
      <c r="F686" s="553"/>
      <c r="G686" s="553"/>
      <c r="H686" s="553"/>
      <c r="I686" s="553"/>
      <c r="J686" s="553"/>
      <c r="K686" s="553"/>
      <c r="L686" s="553"/>
      <c r="M686" s="553"/>
      <c r="N686" s="553"/>
      <c r="O686" s="553"/>
      <c r="P686" s="553"/>
      <c r="Q686" s="561">
        <f t="shared" si="132"/>
        <v>0</v>
      </c>
      <c r="R686" s="166"/>
      <c r="S686" s="166"/>
    </row>
    <row r="687" spans="3:19" hidden="1" x14ac:dyDescent="0.25">
      <c r="C687" s="17"/>
      <c r="D687" s="17"/>
      <c r="E687" s="553"/>
      <c r="F687" s="553"/>
      <c r="G687" s="553"/>
      <c r="H687" s="553"/>
      <c r="I687" s="553"/>
      <c r="J687" s="553"/>
      <c r="K687" s="553"/>
      <c r="L687" s="553"/>
      <c r="M687" s="553"/>
      <c r="N687" s="553"/>
      <c r="O687" s="553"/>
      <c r="P687" s="553"/>
      <c r="Q687" s="561">
        <f t="shared" si="132"/>
        <v>0</v>
      </c>
      <c r="R687" s="166"/>
      <c r="S687" s="166"/>
    </row>
    <row r="688" spans="3:19" hidden="1" x14ac:dyDescent="0.25">
      <c r="C688" s="17" t="s">
        <v>226</v>
      </c>
      <c r="D688" s="17" t="s">
        <v>226</v>
      </c>
      <c r="E688" s="553"/>
      <c r="F688" s="553"/>
      <c r="G688" s="553"/>
      <c r="H688" s="553"/>
      <c r="I688" s="553"/>
      <c r="J688" s="553"/>
      <c r="K688" s="553"/>
      <c r="L688" s="553"/>
      <c r="M688" s="553"/>
      <c r="N688" s="553"/>
      <c r="O688" s="553"/>
      <c r="P688" s="553"/>
      <c r="Q688" s="561">
        <f t="shared" si="132"/>
        <v>0</v>
      </c>
      <c r="R688" s="166"/>
      <c r="S688" s="166"/>
    </row>
    <row r="689" spans="3:19" hidden="1" x14ac:dyDescent="0.25">
      <c r="C689" s="751" t="s">
        <v>190</v>
      </c>
      <c r="D689" s="752"/>
      <c r="E689" s="561">
        <f t="shared" ref="E689:P689" si="133">SUM(E676:E688)</f>
        <v>575.78183741481598</v>
      </c>
      <c r="F689" s="561">
        <f t="shared" si="133"/>
        <v>610.9947445513144</v>
      </c>
      <c r="G689" s="561">
        <f t="shared" si="133"/>
        <v>745.43607540317601</v>
      </c>
      <c r="H689" s="561">
        <f t="shared" si="133"/>
        <v>665.87729622365316</v>
      </c>
      <c r="I689" s="561">
        <f t="shared" si="133"/>
        <v>558.26225353284372</v>
      </c>
      <c r="J689" s="561">
        <f t="shared" si="133"/>
        <v>622.14230383305073</v>
      </c>
      <c r="K689" s="561">
        <f t="shared" si="133"/>
        <v>573.60043155987967</v>
      </c>
      <c r="L689" s="561">
        <f t="shared" si="133"/>
        <v>578.70577169096259</v>
      </c>
      <c r="M689" s="561">
        <f t="shared" si="133"/>
        <v>511.99707835676224</v>
      </c>
      <c r="N689" s="561">
        <f t="shared" si="133"/>
        <v>442.70818174521924</v>
      </c>
      <c r="O689" s="561">
        <f t="shared" si="133"/>
        <v>506.67231385080021</v>
      </c>
      <c r="P689" s="561">
        <f t="shared" si="133"/>
        <v>514.95576119111718</v>
      </c>
      <c r="Q689" s="561">
        <f t="shared" si="132"/>
        <v>6907.1340493535945</v>
      </c>
      <c r="R689" s="166"/>
      <c r="S689" s="166"/>
    </row>
    <row r="690" spans="3:19" hidden="1" x14ac:dyDescent="0.25">
      <c r="C690" s="753" t="s">
        <v>191</v>
      </c>
      <c r="D690" s="754"/>
      <c r="E690" s="553"/>
      <c r="F690" s="553"/>
      <c r="G690" s="553"/>
      <c r="H690" s="553"/>
      <c r="I690" s="553"/>
      <c r="J690" s="553"/>
      <c r="K690" s="553"/>
      <c r="L690" s="553"/>
      <c r="M690" s="553"/>
      <c r="N690" s="553"/>
      <c r="O690" s="553"/>
      <c r="P690" s="553"/>
      <c r="Q690" s="561"/>
      <c r="R690" s="166"/>
      <c r="S690" s="166"/>
    </row>
    <row r="691" spans="3:19" hidden="1" x14ac:dyDescent="0.25">
      <c r="C691" s="17" t="s">
        <v>192</v>
      </c>
      <c r="D691" s="17" t="s">
        <v>193</v>
      </c>
      <c r="E691" s="553">
        <f>[8]Sales_NP!IK89</f>
        <v>127.07217044367792</v>
      </c>
      <c r="F691" s="553">
        <f>[8]Sales_NP!IL89</f>
        <v>113.91969789179653</v>
      </c>
      <c r="G691" s="553">
        <f>[8]Sales_NP!IM89</f>
        <v>123.22433799897712</v>
      </c>
      <c r="H691" s="553">
        <f>[8]Sales_NP!IN89</f>
        <v>122.35231820782462</v>
      </c>
      <c r="I691" s="553">
        <f>[8]Sales_NP!IO89</f>
        <v>127.45983918899994</v>
      </c>
      <c r="J691" s="553">
        <f>[8]Sales_NP!IP89</f>
        <v>121.87596672231884</v>
      </c>
      <c r="K691" s="553">
        <f>[8]Sales_NP!IQ89</f>
        <v>127.50198529516767</v>
      </c>
      <c r="L691" s="553">
        <f>[8]Sales_NP!IR89</f>
        <v>133.6978007248029</v>
      </c>
      <c r="M691" s="553">
        <f>[8]Sales_NP!IS89</f>
        <v>150.38498007439182</v>
      </c>
      <c r="N691" s="553">
        <f>[8]Sales_NP!IT89</f>
        <v>158.76480952586257</v>
      </c>
      <c r="O691" s="553">
        <f>[8]Sales_NP!IU89</f>
        <v>143.46728142272514</v>
      </c>
      <c r="P691" s="553">
        <f>[8]Sales_NP!IV89</f>
        <v>124.21476579536115</v>
      </c>
      <c r="Q691" s="561">
        <f t="shared" ref="Q691:Q706" si="134">SUM(E691:P691)</f>
        <v>1573.9359532919061</v>
      </c>
      <c r="R691" s="166"/>
      <c r="S691" s="166"/>
    </row>
    <row r="692" spans="3:19" hidden="1" x14ac:dyDescent="0.25">
      <c r="C692" s="17" t="s">
        <v>194</v>
      </c>
      <c r="D692" s="17" t="s">
        <v>195</v>
      </c>
      <c r="E692" s="553">
        <f>[8]Sales_NP!IK104</f>
        <v>0</v>
      </c>
      <c r="F692" s="553">
        <f>[8]Sales_NP!IL104</f>
        <v>0</v>
      </c>
      <c r="G692" s="553">
        <f>[8]Sales_NP!IM104</f>
        <v>0</v>
      </c>
      <c r="H692" s="553">
        <f>[8]Sales_NP!IN104</f>
        <v>0</v>
      </c>
      <c r="I692" s="553">
        <f>[8]Sales_NP!IO104</f>
        <v>0</v>
      </c>
      <c r="J692" s="553">
        <f>[8]Sales_NP!IP104</f>
        <v>0</v>
      </c>
      <c r="K692" s="553">
        <f>[8]Sales_NP!IQ104</f>
        <v>0</v>
      </c>
      <c r="L692" s="553">
        <f>[8]Sales_NP!IR104</f>
        <v>0</v>
      </c>
      <c r="M692" s="553">
        <f>[8]Sales_NP!IS104</f>
        <v>0</v>
      </c>
      <c r="N692" s="553">
        <f>[8]Sales_NP!IT104</f>
        <v>0</v>
      </c>
      <c r="O692" s="553">
        <f>[8]Sales_NP!IU104</f>
        <v>0</v>
      </c>
      <c r="P692" s="553">
        <f>[8]Sales_NP!IV104</f>
        <v>0</v>
      </c>
      <c r="Q692" s="561">
        <f t="shared" si="134"/>
        <v>0</v>
      </c>
      <c r="R692" s="166"/>
      <c r="S692" s="166"/>
    </row>
    <row r="693" spans="3:19" hidden="1" x14ac:dyDescent="0.25">
      <c r="C693" s="17" t="s">
        <v>233</v>
      </c>
      <c r="D693" s="17" t="s">
        <v>197</v>
      </c>
      <c r="E693" s="553">
        <f>[8]Sales_NP!IK105</f>
        <v>27.91072658900563</v>
      </c>
      <c r="F693" s="553">
        <f>[8]Sales_NP!IL105</f>
        <v>30.139566527246483</v>
      </c>
      <c r="G693" s="553">
        <f>[8]Sales_NP!IM105</f>
        <v>33.306342908134866</v>
      </c>
      <c r="H693" s="553">
        <f>[8]Sales_NP!IN105</f>
        <v>26.824651064001557</v>
      </c>
      <c r="I693" s="553">
        <f>[8]Sales_NP!IO105</f>
        <v>28.992993842982337</v>
      </c>
      <c r="J693" s="553">
        <f>[8]Sales_NP!IP105</f>
        <v>28.35629650955746</v>
      </c>
      <c r="K693" s="553">
        <f>[8]Sales_NP!IQ105</f>
        <v>29.730074283025054</v>
      </c>
      <c r="L693" s="553">
        <f>[8]Sales_NP!IR105</f>
        <v>26.582396104226351</v>
      </c>
      <c r="M693" s="553">
        <f>[8]Sales_NP!IS105</f>
        <v>22.780366535012625</v>
      </c>
      <c r="N693" s="553">
        <f>[8]Sales_NP!IT105</f>
        <v>23.782384458459791</v>
      </c>
      <c r="O693" s="553">
        <f>[8]Sales_NP!IU105</f>
        <v>25.800985863464359</v>
      </c>
      <c r="P693" s="553">
        <f>[8]Sales_NP!IV105</f>
        <v>30.259185761855825</v>
      </c>
      <c r="Q693" s="561">
        <f t="shared" si="134"/>
        <v>334.46597044697234</v>
      </c>
      <c r="R693" s="166"/>
      <c r="S693" s="166"/>
    </row>
    <row r="694" spans="3:19" hidden="1" x14ac:dyDescent="0.25">
      <c r="C694" s="17" t="s">
        <v>198</v>
      </c>
      <c r="D694" s="17" t="s">
        <v>199</v>
      </c>
      <c r="E694" s="553">
        <f>[8]Sales_NP!IK110</f>
        <v>6.6234023870400021E-3</v>
      </c>
      <c r="F694" s="553">
        <f>[8]Sales_NP!IL110</f>
        <v>3.0418508560319999E-2</v>
      </c>
      <c r="G694" s="553">
        <f>[8]Sales_NP!IM110</f>
        <v>2.444781276576E-2</v>
      </c>
      <c r="H694" s="553">
        <f>[8]Sales_NP!IN110</f>
        <v>2.356021839456E-2</v>
      </c>
      <c r="I694" s="553">
        <f>[8]Sales_NP!IO110</f>
        <v>2.6345316342240001E-2</v>
      </c>
      <c r="J694" s="553">
        <f>[8]Sales_NP!IP110</f>
        <v>2.3849227781280007E-2</v>
      </c>
      <c r="K694" s="553">
        <f>[8]Sales_NP!IQ110</f>
        <v>2.3204098213920003E-2</v>
      </c>
      <c r="L694" s="553">
        <f>[8]Sales_NP!IR110</f>
        <v>1.9433987000640002E-2</v>
      </c>
      <c r="M694" s="553">
        <f>[8]Sales_NP!IS110</f>
        <v>2.1617252667360004E-2</v>
      </c>
      <c r="N694" s="553">
        <f>[8]Sales_NP!IT110</f>
        <v>2.8281787476479997E-2</v>
      </c>
      <c r="O694" s="553">
        <f>[8]Sales_NP!IU110</f>
        <v>2.7950563235520004E-2</v>
      </c>
      <c r="P694" s="553">
        <f>[8]Sales_NP!IV110</f>
        <v>3.3683123954880004E-2</v>
      </c>
      <c r="Q694" s="561">
        <f t="shared" si="134"/>
        <v>0.28941529878</v>
      </c>
      <c r="R694" s="166"/>
      <c r="S694" s="166"/>
    </row>
    <row r="695" spans="3:19" hidden="1" x14ac:dyDescent="0.25">
      <c r="C695" s="17" t="s">
        <v>200</v>
      </c>
      <c r="D695" s="17" t="s">
        <v>201</v>
      </c>
      <c r="E695" s="553">
        <f>[8]Sales_NP!IK115</f>
        <v>0.85511268038948085</v>
      </c>
      <c r="F695" s="553">
        <f>[8]Sales_NP!IL115</f>
        <v>0.92891037562595202</v>
      </c>
      <c r="G695" s="553">
        <f>[8]Sales_NP!IM115</f>
        <v>1.0174036671935465</v>
      </c>
      <c r="H695" s="553">
        <f>[8]Sales_NP!IN115</f>
        <v>0.85803738004133789</v>
      </c>
      <c r="I695" s="553">
        <f>[8]Sales_NP!IO115</f>
        <v>0.81687706360323131</v>
      </c>
      <c r="J695" s="553">
        <f>[8]Sales_NP!IP115</f>
        <v>0.85014264117507032</v>
      </c>
      <c r="K695" s="553">
        <f>[8]Sales_NP!IQ115</f>
        <v>0.85141794969168139</v>
      </c>
      <c r="L695" s="553">
        <f>[8]Sales_NP!IR115</f>
        <v>0.74546569635103954</v>
      </c>
      <c r="M695" s="553">
        <f>[8]Sales_NP!IS115</f>
        <v>0.67626573061374939</v>
      </c>
      <c r="N695" s="553">
        <f>[8]Sales_NP!IT115</f>
        <v>0.71130184772023441</v>
      </c>
      <c r="O695" s="553">
        <f>[8]Sales_NP!IU115</f>
        <v>0.73142902911909191</v>
      </c>
      <c r="P695" s="553">
        <f>[8]Sales_NP!IV115</f>
        <v>0.80048361677710211</v>
      </c>
      <c r="Q695" s="561">
        <f t="shared" si="134"/>
        <v>9.8428476783015171</v>
      </c>
      <c r="R695" s="166"/>
      <c r="S695" s="166"/>
    </row>
    <row r="696" spans="3:19" hidden="1" x14ac:dyDescent="0.25">
      <c r="C696" s="17" t="s">
        <v>202</v>
      </c>
      <c r="D696" s="17" t="s">
        <v>203</v>
      </c>
      <c r="E696" s="553">
        <f>[8]Sales_NP!IK121</f>
        <v>3.0345411264771065</v>
      </c>
      <c r="F696" s="553">
        <f>[8]Sales_NP!IL121</f>
        <v>0.31857597285728989</v>
      </c>
      <c r="G696" s="553">
        <f>[8]Sales_NP!IM121</f>
        <v>0.43703692485224388</v>
      </c>
      <c r="H696" s="553">
        <f>[8]Sales_NP!IN121</f>
        <v>1.0198769066631934</v>
      </c>
      <c r="I696" s="553">
        <f>[8]Sales_NP!IO121</f>
        <v>2.0676934154591393</v>
      </c>
      <c r="J696" s="553">
        <f>[8]Sales_NP!IP121</f>
        <v>1.4210893817860986</v>
      </c>
      <c r="K696" s="553">
        <f>[8]Sales_NP!IQ121</f>
        <v>2.9528453914354618</v>
      </c>
      <c r="L696" s="553">
        <f>[8]Sales_NP!IR121</f>
        <v>1.2645133979944501</v>
      </c>
      <c r="M696" s="553">
        <f>[8]Sales_NP!IS121</f>
        <v>1.5459405924414455</v>
      </c>
      <c r="N696" s="553">
        <f>[8]Sales_NP!IT121</f>
        <v>3.9673207121874641</v>
      </c>
      <c r="O696" s="553">
        <f>[8]Sales_NP!IU121</f>
        <v>4.3202556275585149</v>
      </c>
      <c r="P696" s="553">
        <f>[8]Sales_NP!IV121</f>
        <v>4.7894431876885761</v>
      </c>
      <c r="Q696" s="561">
        <f t="shared" si="134"/>
        <v>27.139132637400984</v>
      </c>
      <c r="R696" s="166"/>
      <c r="S696" s="166"/>
    </row>
    <row r="697" spans="3:19" hidden="1" x14ac:dyDescent="0.25">
      <c r="C697" s="17" t="s">
        <v>204</v>
      </c>
      <c r="D697" s="17" t="s">
        <v>205</v>
      </c>
      <c r="E697" s="553">
        <f>[8]Sales_NP!IK122+[8]Sales_NP!IK123</f>
        <v>15.858544025464845</v>
      </c>
      <c r="F697" s="553">
        <f>[8]Sales_NP!IL122+[8]Sales_NP!IL123</f>
        <v>15.69543820653584</v>
      </c>
      <c r="G697" s="553">
        <f>[8]Sales_NP!IM122+[8]Sales_NP!IM123</f>
        <v>15.570458941705272</v>
      </c>
      <c r="H697" s="553">
        <f>[8]Sales_NP!IN122+[8]Sales_NP!IN123</f>
        <v>14.359181089448226</v>
      </c>
      <c r="I697" s="553">
        <f>[8]Sales_NP!IO122+[8]Sales_NP!IO123</f>
        <v>14.755239246029795</v>
      </c>
      <c r="J697" s="553">
        <f>[8]Sales_NP!IP122+[8]Sales_NP!IP123</f>
        <v>15.050088101856835</v>
      </c>
      <c r="K697" s="553">
        <f>[8]Sales_NP!IQ122+[8]Sales_NP!IQ123</f>
        <v>15.55795755090943</v>
      </c>
      <c r="L697" s="553">
        <f>[8]Sales_NP!IR122+[8]Sales_NP!IR123</f>
        <v>15.209441711661158</v>
      </c>
      <c r="M697" s="553">
        <f>[8]Sales_NP!IS122+[8]Sales_NP!IS123</f>
        <v>15.348063201325795</v>
      </c>
      <c r="N697" s="553">
        <f>[8]Sales_NP!IT122+[8]Sales_NP!IT123</f>
        <v>16.25840098020511</v>
      </c>
      <c r="O697" s="553">
        <f>[8]Sales_NP!IU122+[8]Sales_NP!IU123</f>
        <v>15.100674236079554</v>
      </c>
      <c r="P697" s="553">
        <f>[8]Sales_NP!IV122+[8]Sales_NP!IV123</f>
        <v>16.184662485254801</v>
      </c>
      <c r="Q697" s="561">
        <f t="shared" si="134"/>
        <v>184.94814977647664</v>
      </c>
      <c r="R697" s="166"/>
      <c r="S697" s="166"/>
    </row>
    <row r="698" spans="3:19" hidden="1" x14ac:dyDescent="0.25">
      <c r="C698" s="17" t="s">
        <v>206</v>
      </c>
      <c r="D698" s="17" t="s">
        <v>207</v>
      </c>
      <c r="E698" s="553">
        <f>[8]Sales_NP!IK126</f>
        <v>0.84092639105375999</v>
      </c>
      <c r="F698" s="553">
        <f>[8]Sales_NP!IL126</f>
        <v>0.90820387952640014</v>
      </c>
      <c r="G698" s="553">
        <f>[8]Sales_NP!IM126</f>
        <v>1.0111042103846402</v>
      </c>
      <c r="H698" s="553">
        <f>[8]Sales_NP!IN126</f>
        <v>0.77101642756800004</v>
      </c>
      <c r="I698" s="553">
        <f>[8]Sales_NP!IO126</f>
        <v>0.82759190927472004</v>
      </c>
      <c r="J698" s="553">
        <f>[8]Sales_NP!IP126</f>
        <v>0.77810202848735999</v>
      </c>
      <c r="K698" s="553">
        <f>[8]Sales_NP!IQ126</f>
        <v>0.79058680102080015</v>
      </c>
      <c r="L698" s="553">
        <f>[8]Sales_NP!IR126</f>
        <v>0.71829440435087999</v>
      </c>
      <c r="M698" s="553">
        <f>[8]Sales_NP!IS126</f>
        <v>0.59791712383728013</v>
      </c>
      <c r="N698" s="553">
        <f>[8]Sales_NP!IT126</f>
        <v>0.67596048257328001</v>
      </c>
      <c r="O698" s="553">
        <f>[8]Sales_NP!IU126</f>
        <v>0.69012735468335995</v>
      </c>
      <c r="P698" s="553">
        <f>[8]Sales_NP!IV126</f>
        <v>0.81025784066448003</v>
      </c>
      <c r="Q698" s="561">
        <f t="shared" si="134"/>
        <v>9.4200888534249607</v>
      </c>
      <c r="R698" s="166"/>
      <c r="S698" s="166"/>
    </row>
    <row r="699" spans="3:19" hidden="1" x14ac:dyDescent="0.25">
      <c r="C699" s="17" t="s">
        <v>208</v>
      </c>
      <c r="D699" s="17" t="s">
        <v>187</v>
      </c>
      <c r="E699" s="553">
        <f>[8]Sales_NP!IK127</f>
        <v>1.6897848449760002</v>
      </c>
      <c r="F699" s="553">
        <f>[8]Sales_NP!IL127</f>
        <v>1.5834304730952</v>
      </c>
      <c r="G699" s="553">
        <f>[8]Sales_NP!IM127</f>
        <v>1.5098932794412803</v>
      </c>
      <c r="H699" s="553">
        <f>[8]Sales_NP!IN127</f>
        <v>1.4650881650424001</v>
      </c>
      <c r="I699" s="553">
        <f>[8]Sales_NP!IO127</f>
        <v>1.61285314406832</v>
      </c>
      <c r="J699" s="553">
        <f>[8]Sales_NP!IP127</f>
        <v>1.5953696998200002</v>
      </c>
      <c r="K699" s="553">
        <f>[8]Sales_NP!IQ127</f>
        <v>1.5478725766392001</v>
      </c>
      <c r="L699" s="553">
        <f>[8]Sales_NP!IR127</f>
        <v>1.4734683548251202</v>
      </c>
      <c r="M699" s="553">
        <f>[8]Sales_NP!IS127</f>
        <v>1.4770198147420803</v>
      </c>
      <c r="N699" s="553">
        <f>[8]Sales_NP!IT127</f>
        <v>1.48740358645296</v>
      </c>
      <c r="O699" s="553">
        <f>[8]Sales_NP!IU127</f>
        <v>1.3518939043425604</v>
      </c>
      <c r="P699" s="553">
        <f>[8]Sales_NP!IV127</f>
        <v>1.2437870747947202</v>
      </c>
      <c r="Q699" s="561">
        <f t="shared" si="134"/>
        <v>18.037864918239844</v>
      </c>
      <c r="R699" s="166"/>
      <c r="S699" s="166"/>
    </row>
    <row r="700" spans="3:19" hidden="1" x14ac:dyDescent="0.25">
      <c r="C700" s="17" t="s">
        <v>209</v>
      </c>
      <c r="D700" s="17" t="s">
        <v>210</v>
      </c>
      <c r="E700" s="553">
        <f>[8]Sales_NP!IK128</f>
        <v>100.40545726120394</v>
      </c>
      <c r="F700" s="553">
        <f>[8]Sales_NP!IL128</f>
        <v>50.15187719326299</v>
      </c>
      <c r="G700" s="553">
        <f>[8]Sales_NP!IM128</f>
        <v>85.072836114619562</v>
      </c>
      <c r="H700" s="553">
        <f>[8]Sales_NP!IN128</f>
        <v>119.77582983341684</v>
      </c>
      <c r="I700" s="553">
        <f>[8]Sales_NP!IO128</f>
        <v>130.25275790493887</v>
      </c>
      <c r="J700" s="553">
        <f>[8]Sales_NP!IP128</f>
        <v>115.82093078049033</v>
      </c>
      <c r="K700" s="553">
        <f>[8]Sales_NP!IQ128</f>
        <v>118.21055938070883</v>
      </c>
      <c r="L700" s="553">
        <f>[8]Sales_NP!IR128</f>
        <v>66.463109076028402</v>
      </c>
      <c r="M700" s="553">
        <f>[8]Sales_NP!IS128</f>
        <v>134.83483087486297</v>
      </c>
      <c r="N700" s="553">
        <f>[8]Sales_NP!IT128</f>
        <v>144.34790901647955</v>
      </c>
      <c r="O700" s="553">
        <f>[8]Sales_NP!IU128</f>
        <v>157.19963070451655</v>
      </c>
      <c r="P700" s="553">
        <f>[8]Sales_NP!IV128</f>
        <v>171.97553288974308</v>
      </c>
      <c r="Q700" s="561">
        <f t="shared" si="134"/>
        <v>1394.511261030272</v>
      </c>
      <c r="R700" s="166"/>
      <c r="S700" s="166"/>
    </row>
    <row r="701" spans="3:19" hidden="1" x14ac:dyDescent="0.25">
      <c r="C701" s="17" t="s">
        <v>211</v>
      </c>
      <c r="D701" s="17" t="s">
        <v>189</v>
      </c>
      <c r="E701" s="553">
        <v>0</v>
      </c>
      <c r="F701" s="553">
        <v>0</v>
      </c>
      <c r="G701" s="553">
        <v>0</v>
      </c>
      <c r="H701" s="553">
        <v>0</v>
      </c>
      <c r="I701" s="553">
        <v>0</v>
      </c>
      <c r="J701" s="553">
        <v>0</v>
      </c>
      <c r="K701" s="553">
        <v>0</v>
      </c>
      <c r="L701" s="553">
        <v>0</v>
      </c>
      <c r="M701" s="553">
        <v>0</v>
      </c>
      <c r="N701" s="553">
        <v>0</v>
      </c>
      <c r="O701" s="553">
        <v>0</v>
      </c>
      <c r="P701" s="553">
        <v>0</v>
      </c>
      <c r="Q701" s="561">
        <f t="shared" si="134"/>
        <v>0</v>
      </c>
      <c r="R701" s="166"/>
      <c r="S701" s="166"/>
    </row>
    <row r="702" spans="3:19" hidden="1" x14ac:dyDescent="0.25">
      <c r="C702" s="17"/>
      <c r="D702" s="17"/>
      <c r="E702" s="553"/>
      <c r="F702" s="553"/>
      <c r="G702" s="553"/>
      <c r="H702" s="553"/>
      <c r="I702" s="553"/>
      <c r="J702" s="553"/>
      <c r="K702" s="553"/>
      <c r="L702" s="553"/>
      <c r="M702" s="553"/>
      <c r="N702" s="553"/>
      <c r="O702" s="553"/>
      <c r="P702" s="553"/>
      <c r="Q702" s="561">
        <f t="shared" si="134"/>
        <v>0</v>
      </c>
      <c r="R702" s="166"/>
      <c r="S702" s="166"/>
    </row>
    <row r="703" spans="3:19" hidden="1" x14ac:dyDescent="0.25">
      <c r="C703" s="17"/>
      <c r="D703" s="17"/>
      <c r="E703" s="553"/>
      <c r="F703" s="553"/>
      <c r="G703" s="553"/>
      <c r="H703" s="553"/>
      <c r="I703" s="553"/>
      <c r="J703" s="553"/>
      <c r="K703" s="553"/>
      <c r="L703" s="553"/>
      <c r="M703" s="553"/>
      <c r="N703" s="553"/>
      <c r="O703" s="553"/>
      <c r="P703" s="553"/>
      <c r="Q703" s="561">
        <f t="shared" si="134"/>
        <v>0</v>
      </c>
      <c r="R703" s="166"/>
      <c r="S703" s="166"/>
    </row>
    <row r="704" spans="3:19" hidden="1" x14ac:dyDescent="0.25">
      <c r="C704" s="17"/>
      <c r="D704" s="17"/>
      <c r="E704" s="553"/>
      <c r="F704" s="553"/>
      <c r="G704" s="553"/>
      <c r="H704" s="553"/>
      <c r="I704" s="553"/>
      <c r="J704" s="553"/>
      <c r="K704" s="553"/>
      <c r="L704" s="553"/>
      <c r="M704" s="553"/>
      <c r="N704" s="553"/>
      <c r="O704" s="553"/>
      <c r="P704" s="553"/>
      <c r="Q704" s="561">
        <f t="shared" si="134"/>
        <v>0</v>
      </c>
      <c r="R704" s="166"/>
      <c r="S704" s="166"/>
    </row>
    <row r="705" spans="3:19" hidden="1" x14ac:dyDescent="0.25">
      <c r="C705" s="17" t="s">
        <v>226</v>
      </c>
      <c r="D705" s="17" t="s">
        <v>226</v>
      </c>
      <c r="E705" s="553"/>
      <c r="F705" s="553"/>
      <c r="G705" s="553"/>
      <c r="H705" s="553"/>
      <c r="I705" s="553"/>
      <c r="J705" s="553"/>
      <c r="K705" s="553"/>
      <c r="L705" s="553"/>
      <c r="M705" s="553"/>
      <c r="N705" s="553"/>
      <c r="O705" s="553"/>
      <c r="P705" s="553"/>
      <c r="Q705" s="561">
        <f t="shared" si="134"/>
        <v>0</v>
      </c>
      <c r="R705" s="166"/>
      <c r="S705" s="166"/>
    </row>
    <row r="706" spans="3:19" hidden="1" x14ac:dyDescent="0.25">
      <c r="C706" s="751" t="s">
        <v>212</v>
      </c>
      <c r="D706" s="752"/>
      <c r="E706" s="561">
        <f t="shared" ref="E706:P706" si="135">SUM(E691:E705)</f>
        <v>277.67388676463577</v>
      </c>
      <c r="F706" s="561">
        <f t="shared" si="135"/>
        <v>213.67611902850706</v>
      </c>
      <c r="G706" s="561">
        <f t="shared" si="135"/>
        <v>261.1738618580743</v>
      </c>
      <c r="H706" s="561">
        <f t="shared" si="135"/>
        <v>287.44955929240069</v>
      </c>
      <c r="I706" s="561">
        <f t="shared" si="135"/>
        <v>306.8121910316986</v>
      </c>
      <c r="J706" s="561">
        <f t="shared" si="135"/>
        <v>285.77183509327324</v>
      </c>
      <c r="K706" s="561">
        <f t="shared" si="135"/>
        <v>297.16650332681206</v>
      </c>
      <c r="L706" s="561">
        <f t="shared" si="135"/>
        <v>246.1739234572409</v>
      </c>
      <c r="M706" s="561">
        <f t="shared" si="135"/>
        <v>327.66700119989514</v>
      </c>
      <c r="N706" s="561">
        <f t="shared" si="135"/>
        <v>350.02377239741747</v>
      </c>
      <c r="O706" s="561">
        <f t="shared" si="135"/>
        <v>348.69022870572462</v>
      </c>
      <c r="P706" s="561">
        <f t="shared" si="135"/>
        <v>350.31180177609463</v>
      </c>
      <c r="Q706" s="561">
        <f t="shared" si="134"/>
        <v>3552.5906839317749</v>
      </c>
      <c r="R706" s="166"/>
      <c r="S706" s="166"/>
    </row>
    <row r="707" spans="3:19" hidden="1" x14ac:dyDescent="0.25">
      <c r="C707" s="753" t="s">
        <v>213</v>
      </c>
      <c r="D707" s="754"/>
      <c r="E707" s="553"/>
      <c r="F707" s="553"/>
      <c r="G707" s="553"/>
      <c r="H707" s="553"/>
      <c r="I707" s="553"/>
      <c r="J707" s="553"/>
      <c r="K707" s="553"/>
      <c r="L707" s="553"/>
      <c r="M707" s="553"/>
      <c r="N707" s="553"/>
      <c r="O707" s="553"/>
      <c r="P707" s="553"/>
      <c r="Q707" s="561"/>
      <c r="R707" s="166"/>
      <c r="S707" s="166"/>
    </row>
    <row r="708" spans="3:19" hidden="1" x14ac:dyDescent="0.25">
      <c r="C708" s="17" t="s">
        <v>192</v>
      </c>
      <c r="D708" s="17" t="s">
        <v>193</v>
      </c>
      <c r="E708" s="553">
        <f>[8]Sales_NP!IK143</f>
        <v>19.476915747760884</v>
      </c>
      <c r="F708" s="553">
        <f>[8]Sales_NP!IL143</f>
        <v>19.132073237289561</v>
      </c>
      <c r="G708" s="553">
        <f>[8]Sales_NP!IM143</f>
        <v>16.653384970981755</v>
      </c>
      <c r="H708" s="553">
        <f>[8]Sales_NP!IN143</f>
        <v>17.033735970999459</v>
      </c>
      <c r="I708" s="553">
        <f>[8]Sales_NP!IO143</f>
        <v>17.109672004866894</v>
      </c>
      <c r="J708" s="553">
        <f>[8]Sales_NP!IP143</f>
        <v>17.571207955632843</v>
      </c>
      <c r="K708" s="553">
        <f>[8]Sales_NP!IQ143</f>
        <v>15.793412247348535</v>
      </c>
      <c r="L708" s="553">
        <f>[8]Sales_NP!IR143</f>
        <v>17.743415966678683</v>
      </c>
      <c r="M708" s="553">
        <f>[8]Sales_NP!IS143</f>
        <v>18.154575198892033</v>
      </c>
      <c r="N708" s="553">
        <f>[8]Sales_NP!IT143</f>
        <v>19.320612199206192</v>
      </c>
      <c r="O708" s="553">
        <f>[8]Sales_NP!IU143</f>
        <v>19.532967871573931</v>
      </c>
      <c r="P708" s="553">
        <f>[8]Sales_NP!IV143</f>
        <v>20.300414485075891</v>
      </c>
      <c r="Q708" s="561">
        <f t="shared" ref="Q708:Q723" si="136">SUM(E708:P708)</f>
        <v>217.82238785630665</v>
      </c>
      <c r="R708" s="166"/>
      <c r="S708" s="166"/>
    </row>
    <row r="709" spans="3:19" hidden="1" x14ac:dyDescent="0.25">
      <c r="C709" s="17" t="s">
        <v>194</v>
      </c>
      <c r="D709" s="17" t="s">
        <v>195</v>
      </c>
      <c r="E709" s="553">
        <f>[8]Sales_NP!IK159</f>
        <v>4.4975814975E-3</v>
      </c>
      <c r="F709" s="553">
        <f>[8]Sales_NP!IL159</f>
        <v>2.9519437500000007E-3</v>
      </c>
      <c r="G709" s="553">
        <f>[8]Sales_NP!IM159</f>
        <v>2.4796327499999999E-3</v>
      </c>
      <c r="H709" s="553">
        <f>[8]Sales_NP!IN159</f>
        <v>2.9519437500000007E-3</v>
      </c>
      <c r="I709" s="553">
        <f>[8]Sales_NP!IO159</f>
        <v>2.5977105000000011E-3</v>
      </c>
      <c r="J709" s="553">
        <f>[8]Sales_NP!IP159</f>
        <v>3.0700215000000002E-3</v>
      </c>
      <c r="K709" s="553">
        <f>[8]Sales_NP!IQ159</f>
        <v>2.8338659999999996E-3</v>
      </c>
      <c r="L709" s="553">
        <f>[8]Sales_NP!IR159</f>
        <v>2.9519437500000007E-3</v>
      </c>
      <c r="M709" s="553">
        <f>[8]Sales_NP!IS159</f>
        <v>2.1253995000000006E-3</v>
      </c>
      <c r="N709" s="553">
        <f>[8]Sales_NP!IT159</f>
        <v>2.4796327499999999E-3</v>
      </c>
      <c r="O709" s="553">
        <f>[8]Sales_NP!IU159</f>
        <v>2.3615550000000005E-4</v>
      </c>
      <c r="P709" s="553">
        <f>[8]Sales_NP!IV159</f>
        <v>9.4462200000000021E-4</v>
      </c>
      <c r="Q709" s="561">
        <f t="shared" si="136"/>
        <v>3.0120453247500005E-2</v>
      </c>
      <c r="R709" s="166"/>
      <c r="S709" s="166"/>
    </row>
    <row r="710" spans="3:19" hidden="1" x14ac:dyDescent="0.25">
      <c r="C710" s="17" t="s">
        <v>233</v>
      </c>
      <c r="D710" s="17" t="s">
        <v>197</v>
      </c>
      <c r="E710" s="553">
        <f>[8]Sales_NP!IK160</f>
        <v>2.1014069208443908</v>
      </c>
      <c r="F710" s="553">
        <f>[8]Sales_NP!IL160</f>
        <v>1.8884212226664712</v>
      </c>
      <c r="G710" s="553">
        <f>[8]Sales_NP!IM160</f>
        <v>2.0677927498607644</v>
      </c>
      <c r="H710" s="553">
        <f>[8]Sales_NP!IN160</f>
        <v>2.2028002307091872</v>
      </c>
      <c r="I710" s="553">
        <f>[8]Sales_NP!IO160</f>
        <v>2.7471369503111136</v>
      </c>
      <c r="J710" s="553">
        <f>[8]Sales_NP!IP160</f>
        <v>2.4735371409033675</v>
      </c>
      <c r="K710" s="553">
        <f>[8]Sales_NP!IQ160</f>
        <v>2.5957564866233689</v>
      </c>
      <c r="L710" s="553">
        <f>[8]Sales_NP!IR160</f>
        <v>2.2069125364817168</v>
      </c>
      <c r="M710" s="553">
        <f>[8]Sales_NP!IS160</f>
        <v>1.7464164427184565</v>
      </c>
      <c r="N710" s="553">
        <f>[8]Sales_NP!IT160</f>
        <v>1.6256117426315932</v>
      </c>
      <c r="O710" s="553">
        <f>[8]Sales_NP!IU160</f>
        <v>1.8238363947013081</v>
      </c>
      <c r="P710" s="553">
        <f>[8]Sales_NP!IV160</f>
        <v>2.0172407958125302</v>
      </c>
      <c r="Q710" s="561">
        <f t="shared" si="136"/>
        <v>25.496869614264266</v>
      </c>
      <c r="R710" s="166"/>
      <c r="S710" s="166"/>
    </row>
    <row r="711" spans="3:19" hidden="1" x14ac:dyDescent="0.25">
      <c r="C711" s="17" t="s">
        <v>198</v>
      </c>
      <c r="D711" s="17" t="s">
        <v>199</v>
      </c>
      <c r="E711" s="553">
        <f>[8]Sales_NP!IK166</f>
        <v>0</v>
      </c>
      <c r="F711" s="553">
        <f>[8]Sales_NP!IL166</f>
        <v>0</v>
      </c>
      <c r="G711" s="553">
        <f>[8]Sales_NP!IM166</f>
        <v>0</v>
      </c>
      <c r="H711" s="553">
        <f>[8]Sales_NP!IN166</f>
        <v>0</v>
      </c>
      <c r="I711" s="553">
        <f>[8]Sales_NP!IO166</f>
        <v>0</v>
      </c>
      <c r="J711" s="553">
        <f>[8]Sales_NP!IP166</f>
        <v>0</v>
      </c>
      <c r="K711" s="553">
        <f>[8]Sales_NP!IQ166</f>
        <v>0</v>
      </c>
      <c r="L711" s="553">
        <f>[8]Sales_NP!IR166</f>
        <v>0</v>
      </c>
      <c r="M711" s="553">
        <f>[8]Sales_NP!IS166</f>
        <v>0</v>
      </c>
      <c r="N711" s="553">
        <f>[8]Sales_NP!IT166</f>
        <v>0</v>
      </c>
      <c r="O711" s="553">
        <f>[8]Sales_NP!IU166</f>
        <v>0</v>
      </c>
      <c r="P711" s="553">
        <f>[8]Sales_NP!IV166</f>
        <v>0</v>
      </c>
      <c r="Q711" s="561">
        <f t="shared" si="136"/>
        <v>0</v>
      </c>
      <c r="R711" s="166"/>
      <c r="S711" s="166"/>
    </row>
    <row r="712" spans="3:19" hidden="1" x14ac:dyDescent="0.25">
      <c r="C712" s="17" t="s">
        <v>200</v>
      </c>
      <c r="D712" s="17" t="s">
        <v>201</v>
      </c>
      <c r="E712" s="553">
        <f>[8]Sales_NP!IK171</f>
        <v>0</v>
      </c>
      <c r="F712" s="553">
        <f>[8]Sales_NP!IL171</f>
        <v>0</v>
      </c>
      <c r="G712" s="553">
        <f>[8]Sales_NP!IM171</f>
        <v>0</v>
      </c>
      <c r="H712" s="553">
        <f>[8]Sales_NP!IN171</f>
        <v>0</v>
      </c>
      <c r="I712" s="553">
        <f>[8]Sales_NP!IO171</f>
        <v>0</v>
      </c>
      <c r="J712" s="553">
        <f>[8]Sales_NP!IP171</f>
        <v>0</v>
      </c>
      <c r="K712" s="553">
        <f>[8]Sales_NP!IQ171</f>
        <v>0</v>
      </c>
      <c r="L712" s="553">
        <f>[8]Sales_NP!IR171</f>
        <v>0</v>
      </c>
      <c r="M712" s="553">
        <f>[8]Sales_NP!IS171</f>
        <v>0</v>
      </c>
      <c r="N712" s="553">
        <f>[8]Sales_NP!IT171</f>
        <v>0</v>
      </c>
      <c r="O712" s="553">
        <f>[8]Sales_NP!IU171</f>
        <v>0</v>
      </c>
      <c r="P712" s="553">
        <f>[8]Sales_NP!IV171</f>
        <v>0</v>
      </c>
      <c r="Q712" s="561">
        <f t="shared" si="136"/>
        <v>0</v>
      </c>
      <c r="R712" s="166"/>
      <c r="S712" s="166"/>
    </row>
    <row r="713" spans="3:19" hidden="1" x14ac:dyDescent="0.25">
      <c r="C713" s="17" t="s">
        <v>202</v>
      </c>
      <c r="D713" s="17" t="s">
        <v>203</v>
      </c>
      <c r="E713" s="553">
        <f>[8]Sales_NP!IK177</f>
        <v>3.8139609494147271</v>
      </c>
      <c r="F713" s="553">
        <f>[8]Sales_NP!IL177</f>
        <v>3.781290339158514</v>
      </c>
      <c r="G713" s="553">
        <f>[8]Sales_NP!IM177</f>
        <v>0.13921109480720523</v>
      </c>
      <c r="H713" s="553">
        <f>[8]Sales_NP!IN177</f>
        <v>0.51748960579000924</v>
      </c>
      <c r="I713" s="553">
        <f>[8]Sales_NP!IO177</f>
        <v>0.45620964898346639</v>
      </c>
      <c r="J713" s="553">
        <f>[8]Sales_NP!IP177</f>
        <v>3.7760727434252614</v>
      </c>
      <c r="K713" s="553">
        <f>[8]Sales_NP!IQ177</f>
        <v>2.3299018629126804</v>
      </c>
      <c r="L713" s="553">
        <f>[8]Sales_NP!IR177</f>
        <v>1.2324243154143546</v>
      </c>
      <c r="M713" s="553">
        <f>[8]Sales_NP!IS177</f>
        <v>0.52087963285561434</v>
      </c>
      <c r="N713" s="553">
        <f>[8]Sales_NP!IT177</f>
        <v>8.3895611410714519</v>
      </c>
      <c r="O713" s="553">
        <f>[8]Sales_NP!IU177</f>
        <v>6.8452035698251175</v>
      </c>
      <c r="P713" s="553">
        <f>[8]Sales_NP!IV177</f>
        <v>4.9661640253498236</v>
      </c>
      <c r="Q713" s="561">
        <f t="shared" si="136"/>
        <v>36.768368929008226</v>
      </c>
      <c r="R713" s="166"/>
      <c r="S713" s="166"/>
    </row>
    <row r="714" spans="3:19" hidden="1" x14ac:dyDescent="0.25">
      <c r="C714" s="17" t="s">
        <v>204</v>
      </c>
      <c r="D714" s="17" t="s">
        <v>205</v>
      </c>
      <c r="E714" s="553">
        <f>[8]Sales_NP!IK178</f>
        <v>36.151842746867345</v>
      </c>
      <c r="F714" s="553">
        <f>[8]Sales_NP!IL178</f>
        <v>37.045477015609023</v>
      </c>
      <c r="G714" s="553">
        <f>[8]Sales_NP!IM178</f>
        <v>37.110711004782914</v>
      </c>
      <c r="H714" s="553">
        <f>[8]Sales_NP!IN178</f>
        <v>35.738218679938505</v>
      </c>
      <c r="I714" s="553">
        <f>[8]Sales_NP!IO178</f>
        <v>36.619878147288738</v>
      </c>
      <c r="J714" s="553">
        <f>[8]Sales_NP!IP178</f>
        <v>33.385511467067865</v>
      </c>
      <c r="K714" s="553">
        <f>[8]Sales_NP!IQ178</f>
        <v>37.30454324019027</v>
      </c>
      <c r="L714" s="553">
        <f>[8]Sales_NP!IR178</f>
        <v>37.328168488909128</v>
      </c>
      <c r="M714" s="553">
        <f>[8]Sales_NP!IS178</f>
        <v>36.960151859448814</v>
      </c>
      <c r="N714" s="553">
        <f>[8]Sales_NP!IT178</f>
        <v>38.53678186214465</v>
      </c>
      <c r="O714" s="553">
        <f>[8]Sales_NP!IU178</f>
        <v>34.6852940051117</v>
      </c>
      <c r="P714" s="553">
        <f>[8]Sales_NP!IV178</f>
        <v>46.238716888074563</v>
      </c>
      <c r="Q714" s="561">
        <f t="shared" si="136"/>
        <v>447.10529540543354</v>
      </c>
      <c r="R714" s="166"/>
      <c r="S714" s="166"/>
    </row>
    <row r="715" spans="3:19" hidden="1" x14ac:dyDescent="0.25">
      <c r="C715" s="17" t="s">
        <v>206</v>
      </c>
      <c r="D715" s="17" t="s">
        <v>207</v>
      </c>
      <c r="E715" s="553">
        <f>[8]Sales_NP!IK182</f>
        <v>3.2626258842499203</v>
      </c>
      <c r="F715" s="553">
        <f>[8]Sales_NP!IL182</f>
        <v>4.0519808774726398</v>
      </c>
      <c r="G715" s="553">
        <f>[8]Sales_NP!IM182</f>
        <v>4.3275951662126415</v>
      </c>
      <c r="H715" s="553">
        <f>[8]Sales_NP!IN182</f>
        <v>3.4779551962708801</v>
      </c>
      <c r="I715" s="553">
        <f>[8]Sales_NP!IO182</f>
        <v>3.4429320213019206</v>
      </c>
      <c r="J715" s="553">
        <f>[8]Sales_NP!IP182</f>
        <v>3.5314500760502407</v>
      </c>
      <c r="K715" s="553">
        <f>[8]Sales_NP!IQ182</f>
        <v>1.8873720114624002</v>
      </c>
      <c r="L715" s="553">
        <f>[8]Sales_NP!IR182</f>
        <v>1.3893709530182401</v>
      </c>
      <c r="M715" s="553">
        <f>[8]Sales_NP!IS182</f>
        <v>0.68887606310639993</v>
      </c>
      <c r="N715" s="553">
        <f>[8]Sales_NP!IT182</f>
        <v>1.9110404730729604</v>
      </c>
      <c r="O715" s="553">
        <f>[8]Sales_NP!IU182</f>
        <v>2.4054013121630402</v>
      </c>
      <c r="P715" s="553">
        <f>[8]Sales_NP!IV182</f>
        <v>3.4866903118263397</v>
      </c>
      <c r="Q715" s="561">
        <f t="shared" si="136"/>
        <v>33.86329034620762</v>
      </c>
      <c r="R715" s="166"/>
      <c r="S715" s="166"/>
    </row>
    <row r="716" spans="3:19" hidden="1" x14ac:dyDescent="0.25">
      <c r="C716" s="17" t="s">
        <v>214</v>
      </c>
      <c r="D716" s="17" t="s">
        <v>187</v>
      </c>
      <c r="E716" s="553">
        <f>[8]Sales_NP!IK183</f>
        <v>0.56564549141903986</v>
      </c>
      <c r="F716" s="553">
        <f>[8]Sales_NP!IL183</f>
        <v>0.45251942394528005</v>
      </c>
      <c r="G716" s="553">
        <f>[8]Sales_NP!IM183</f>
        <v>0.52779392121599988</v>
      </c>
      <c r="H716" s="553">
        <f>[8]Sales_NP!IN183</f>
        <v>0.44947454227919997</v>
      </c>
      <c r="I716" s="553">
        <f>[8]Sales_NP!IO183</f>
        <v>0.48300179600304</v>
      </c>
      <c r="J716" s="553">
        <f>[8]Sales_NP!IP183</f>
        <v>0.64823073549840005</v>
      </c>
      <c r="K716" s="553">
        <f>[8]Sales_NP!IQ183</f>
        <v>0.6955470925084799</v>
      </c>
      <c r="L716" s="553">
        <f>[8]Sales_NP!IR183</f>
        <v>0.70669506132432014</v>
      </c>
      <c r="M716" s="553">
        <f>[8]Sales_NP!IS183</f>
        <v>0.83501089929936012</v>
      </c>
      <c r="N716" s="553">
        <f>[8]Sales_NP!IT183</f>
        <v>0.78049312112879998</v>
      </c>
      <c r="O716" s="553">
        <f>[8]Sales_NP!IU183</f>
        <v>0.73545744867983986</v>
      </c>
      <c r="P716" s="553">
        <f>[8]Sales_NP!IV183</f>
        <v>0.7212949062984001</v>
      </c>
      <c r="Q716" s="561">
        <f t="shared" si="136"/>
        <v>7.6011644396001605</v>
      </c>
      <c r="R716" s="166"/>
      <c r="S716" s="166"/>
    </row>
    <row r="717" spans="3:19" hidden="1" x14ac:dyDescent="0.25">
      <c r="C717" s="17" t="s">
        <v>209</v>
      </c>
      <c r="D717" s="17" t="s">
        <v>210</v>
      </c>
      <c r="E717" s="553">
        <f>[8]Sales_NP!IK184</f>
        <v>0</v>
      </c>
      <c r="F717" s="553">
        <f>[8]Sales_NP!IL184</f>
        <v>0</v>
      </c>
      <c r="G717" s="553">
        <f>[8]Sales_NP!IM184</f>
        <v>0</v>
      </c>
      <c r="H717" s="553">
        <f>[8]Sales_NP!IN184</f>
        <v>0</v>
      </c>
      <c r="I717" s="553">
        <f>[8]Sales_NP!IO184</f>
        <v>0</v>
      </c>
      <c r="J717" s="553">
        <f>[8]Sales_NP!IP184</f>
        <v>0</v>
      </c>
      <c r="K717" s="553">
        <f>[8]Sales_NP!IQ184</f>
        <v>0</v>
      </c>
      <c r="L717" s="553">
        <f>[8]Sales_NP!IR184</f>
        <v>0</v>
      </c>
      <c r="M717" s="553">
        <f>[8]Sales_NP!IS184</f>
        <v>0</v>
      </c>
      <c r="N717" s="553">
        <f>[8]Sales_NP!IT184</f>
        <v>0</v>
      </c>
      <c r="O717" s="553">
        <f>[8]Sales_NP!IU184</f>
        <v>0</v>
      </c>
      <c r="P717" s="553">
        <f>[8]Sales_NP!IV184</f>
        <v>0</v>
      </c>
      <c r="Q717" s="561">
        <f t="shared" si="136"/>
        <v>0</v>
      </c>
      <c r="R717" s="166"/>
      <c r="S717" s="166"/>
    </row>
    <row r="718" spans="3:19" hidden="1" x14ac:dyDescent="0.25">
      <c r="C718" s="17" t="s">
        <v>211</v>
      </c>
      <c r="D718" s="17" t="s">
        <v>189</v>
      </c>
      <c r="E718" s="553">
        <f>[8]Sales_NP!IK188</f>
        <v>6.9551999999999996</v>
      </c>
      <c r="F718" s="553">
        <f>[8]Sales_NP!IL188</f>
        <v>7.1870399999999997</v>
      </c>
      <c r="G718" s="553">
        <f>[8]Sales_NP!IM188</f>
        <v>6.9551999999999996</v>
      </c>
      <c r="H718" s="553">
        <f>[8]Sales_NP!IN188</f>
        <v>7.1870399999999997</v>
      </c>
      <c r="I718" s="553">
        <f>[8]Sales_NP!IO188</f>
        <v>7.1870399999999997</v>
      </c>
      <c r="J718" s="553">
        <f>[8]Sales_NP!IP188</f>
        <v>6.9551999999999996</v>
      </c>
      <c r="K718" s="553">
        <f>[8]Sales_NP!IQ188</f>
        <v>7.1870399999999997</v>
      </c>
      <c r="L718" s="553">
        <f>[8]Sales_NP!IR188</f>
        <v>6.9551999999999996</v>
      </c>
      <c r="M718" s="553">
        <f>[8]Sales_NP!IS188</f>
        <v>7.1870399999999997</v>
      </c>
      <c r="N718" s="553">
        <f>[8]Sales_NP!IT188</f>
        <v>7.1870399999999997</v>
      </c>
      <c r="O718" s="553">
        <f>[8]Sales_NP!IU188</f>
        <v>6.4915200000000004</v>
      </c>
      <c r="P718" s="553">
        <f>[8]Sales_NP!IV188</f>
        <v>7.1870399999999997</v>
      </c>
      <c r="Q718" s="561">
        <f t="shared" si="136"/>
        <v>84.621599999999987</v>
      </c>
      <c r="R718" s="166"/>
      <c r="S718" s="166"/>
    </row>
    <row r="719" spans="3:19" hidden="1" x14ac:dyDescent="0.25">
      <c r="C719" s="17"/>
      <c r="D719" s="17"/>
      <c r="E719" s="553"/>
      <c r="F719" s="553"/>
      <c r="G719" s="553"/>
      <c r="H719" s="553"/>
      <c r="I719" s="553"/>
      <c r="J719" s="553"/>
      <c r="K719" s="553"/>
      <c r="L719" s="553"/>
      <c r="M719" s="553"/>
      <c r="N719" s="553"/>
      <c r="O719" s="553"/>
      <c r="P719" s="553"/>
      <c r="Q719" s="561">
        <f t="shared" si="136"/>
        <v>0</v>
      </c>
      <c r="R719" s="166"/>
      <c r="S719" s="166"/>
    </row>
    <row r="720" spans="3:19" hidden="1" x14ac:dyDescent="0.25">
      <c r="C720" s="17"/>
      <c r="D720" s="17"/>
      <c r="E720" s="553"/>
      <c r="F720" s="553"/>
      <c r="G720" s="553"/>
      <c r="H720" s="553"/>
      <c r="I720" s="553"/>
      <c r="J720" s="553"/>
      <c r="K720" s="553"/>
      <c r="L720" s="553"/>
      <c r="M720" s="553"/>
      <c r="N720" s="553"/>
      <c r="O720" s="553"/>
      <c r="P720" s="553"/>
      <c r="Q720" s="561">
        <f t="shared" si="136"/>
        <v>0</v>
      </c>
      <c r="R720" s="166"/>
      <c r="S720" s="166"/>
    </row>
    <row r="721" spans="3:19" hidden="1" x14ac:dyDescent="0.25">
      <c r="C721" s="17"/>
      <c r="D721" s="17"/>
      <c r="E721" s="553"/>
      <c r="F721" s="553"/>
      <c r="G721" s="553"/>
      <c r="H721" s="553"/>
      <c r="I721" s="553"/>
      <c r="J721" s="553"/>
      <c r="K721" s="553"/>
      <c r="L721" s="553"/>
      <c r="M721" s="553"/>
      <c r="N721" s="553"/>
      <c r="O721" s="553"/>
      <c r="P721" s="553"/>
      <c r="Q721" s="561">
        <f t="shared" si="136"/>
        <v>0</v>
      </c>
      <c r="R721" s="166"/>
      <c r="S721" s="166"/>
    </row>
    <row r="722" spans="3:19" hidden="1" x14ac:dyDescent="0.25">
      <c r="C722" s="17" t="s">
        <v>226</v>
      </c>
      <c r="D722" s="17" t="s">
        <v>226</v>
      </c>
      <c r="E722" s="553"/>
      <c r="F722" s="553"/>
      <c r="G722" s="553"/>
      <c r="H722" s="553"/>
      <c r="I722" s="553"/>
      <c r="J722" s="553"/>
      <c r="K722" s="553"/>
      <c r="L722" s="553"/>
      <c r="M722" s="553"/>
      <c r="N722" s="553"/>
      <c r="O722" s="553"/>
      <c r="P722" s="553"/>
      <c r="Q722" s="561">
        <f t="shared" si="136"/>
        <v>0</v>
      </c>
      <c r="R722" s="166"/>
      <c r="S722" s="166"/>
    </row>
    <row r="723" spans="3:19" hidden="1" x14ac:dyDescent="0.25">
      <c r="C723" s="751" t="s">
        <v>212</v>
      </c>
      <c r="D723" s="752"/>
      <c r="E723" s="561">
        <f t="shared" ref="E723:P723" si="137">SUM(E708:E722)</f>
        <v>72.332095322053803</v>
      </c>
      <c r="F723" s="561">
        <f t="shared" si="137"/>
        <v>73.541754059891488</v>
      </c>
      <c r="G723" s="561">
        <f t="shared" si="137"/>
        <v>67.784168540611276</v>
      </c>
      <c r="H723" s="561">
        <f t="shared" si="137"/>
        <v>66.609666169737238</v>
      </c>
      <c r="I723" s="561">
        <f t="shared" si="137"/>
        <v>68.048468279255175</v>
      </c>
      <c r="J723" s="561">
        <f t="shared" si="137"/>
        <v>68.344280140077984</v>
      </c>
      <c r="K723" s="561">
        <f t="shared" si="137"/>
        <v>67.796406807045727</v>
      </c>
      <c r="L723" s="561">
        <f t="shared" si="137"/>
        <v>67.565139265576448</v>
      </c>
      <c r="M723" s="561">
        <f t="shared" si="137"/>
        <v>66.09507549582068</v>
      </c>
      <c r="N723" s="561">
        <f t="shared" si="137"/>
        <v>77.75362017200564</v>
      </c>
      <c r="O723" s="561">
        <f t="shared" si="137"/>
        <v>72.519916757554924</v>
      </c>
      <c r="P723" s="561">
        <f t="shared" si="137"/>
        <v>84.918506034437527</v>
      </c>
      <c r="Q723" s="561">
        <f t="shared" si="136"/>
        <v>853.30909704406793</v>
      </c>
      <c r="R723" s="166"/>
      <c r="S723" s="166"/>
    </row>
    <row r="724" spans="3:19" hidden="1" x14ac:dyDescent="0.25">
      <c r="C724" s="753" t="s">
        <v>215</v>
      </c>
      <c r="D724" s="754"/>
      <c r="E724" s="553"/>
      <c r="F724" s="553"/>
      <c r="G724" s="553"/>
      <c r="H724" s="553"/>
      <c r="I724" s="553"/>
      <c r="J724" s="553"/>
      <c r="K724" s="553"/>
      <c r="L724" s="553"/>
      <c r="M724" s="553"/>
      <c r="N724" s="553"/>
      <c r="O724" s="553"/>
      <c r="P724" s="553"/>
      <c r="Q724" s="561"/>
      <c r="R724" s="166"/>
      <c r="S724" s="166"/>
    </row>
    <row r="725" spans="3:19" hidden="1" x14ac:dyDescent="0.25">
      <c r="C725" s="17" t="s">
        <v>192</v>
      </c>
      <c r="D725" s="17" t="s">
        <v>193</v>
      </c>
      <c r="E725" s="553">
        <f>[8]Sales_NP!IK198</f>
        <v>53.957384556631354</v>
      </c>
      <c r="F725" s="553">
        <f>[8]Sales_NP!IL198</f>
        <v>50.550149677335263</v>
      </c>
      <c r="G725" s="553">
        <f>[8]Sales_NP!IM198</f>
        <v>56.888001208210525</v>
      </c>
      <c r="H725" s="553">
        <f>[8]Sales_NP!IN198</f>
        <v>55.961825591843613</v>
      </c>
      <c r="I725" s="553">
        <f>[8]Sales_NP!IO198</f>
        <v>59.639092370354064</v>
      </c>
      <c r="J725" s="553">
        <f>[8]Sales_NP!IP198</f>
        <v>66.504111457497032</v>
      </c>
      <c r="K725" s="553">
        <f>[8]Sales_NP!IQ198</f>
        <v>62.338782363007681</v>
      </c>
      <c r="L725" s="553">
        <f>[8]Sales_NP!IR198</f>
        <v>63.675929916479184</v>
      </c>
      <c r="M725" s="553">
        <f>[8]Sales_NP!IS198</f>
        <v>56.110991451343182</v>
      </c>
      <c r="N725" s="553">
        <f>[8]Sales_NP!IT198</f>
        <v>60.113670581205689</v>
      </c>
      <c r="O725" s="553">
        <f>[8]Sales_NP!IU198</f>
        <v>56.502051969120409</v>
      </c>
      <c r="P725" s="553">
        <f>[8]Sales_NP!IV198</f>
        <v>57.115780562518999</v>
      </c>
      <c r="Q725" s="561">
        <f t="shared" ref="Q725:Q744" si="138">SUM(E725:P725)</f>
        <v>699.35777170554718</v>
      </c>
      <c r="R725" s="166"/>
      <c r="S725" s="166"/>
    </row>
    <row r="726" spans="3:19" hidden="1" x14ac:dyDescent="0.25">
      <c r="C726" s="17" t="s">
        <v>194</v>
      </c>
      <c r="D726" s="17" t="s">
        <v>195</v>
      </c>
      <c r="E726" s="553">
        <f>[8]Sales_NP!IK208</f>
        <v>0</v>
      </c>
      <c r="F726" s="553">
        <f>[8]Sales_NP!IL208</f>
        <v>0</v>
      </c>
      <c r="G726" s="553">
        <f>[8]Sales_NP!IM208</f>
        <v>0</v>
      </c>
      <c r="H726" s="553">
        <f>[8]Sales_NP!IN208</f>
        <v>0</v>
      </c>
      <c r="I726" s="553">
        <f>[8]Sales_NP!IO208</f>
        <v>0</v>
      </c>
      <c r="J726" s="553">
        <f>[8]Sales_NP!IP208</f>
        <v>0</v>
      </c>
      <c r="K726" s="553">
        <f>[8]Sales_NP!IQ208</f>
        <v>0</v>
      </c>
      <c r="L726" s="553">
        <f>[8]Sales_NP!IR208</f>
        <v>0</v>
      </c>
      <c r="M726" s="553">
        <f>[8]Sales_NP!IS208</f>
        <v>0</v>
      </c>
      <c r="N726" s="553">
        <f>[8]Sales_NP!IT208</f>
        <v>0</v>
      </c>
      <c r="O726" s="553">
        <f>[8]Sales_NP!IU208</f>
        <v>0</v>
      </c>
      <c r="P726" s="553">
        <f>[8]Sales_NP!IV208</f>
        <v>0</v>
      </c>
      <c r="Q726" s="561">
        <f t="shared" si="138"/>
        <v>0</v>
      </c>
      <c r="R726" s="166"/>
      <c r="S726" s="166"/>
    </row>
    <row r="727" spans="3:19" hidden="1" x14ac:dyDescent="0.25">
      <c r="C727" s="17" t="s">
        <v>233</v>
      </c>
      <c r="D727" s="17" t="s">
        <v>197</v>
      </c>
      <c r="E727" s="553">
        <f>[8]Sales_NP!IK214</f>
        <v>1.3896176535796867</v>
      </c>
      <c r="F727" s="553">
        <f>[8]Sales_NP!IL214</f>
        <v>0.82245537969033133</v>
      </c>
      <c r="G727" s="553">
        <f>[8]Sales_NP!IM214</f>
        <v>0.77787391265158612</v>
      </c>
      <c r="H727" s="553">
        <f>[8]Sales_NP!IN214</f>
        <v>0.79907433855316334</v>
      </c>
      <c r="I727" s="553">
        <f>[8]Sales_NP!IO214</f>
        <v>0.17142058657561032</v>
      </c>
      <c r="J727" s="553">
        <f>[8]Sales_NP!IP214</f>
        <v>0.35653059101909634</v>
      </c>
      <c r="K727" s="553">
        <f>[8]Sales_NP!IQ214</f>
        <v>0.30298437245625542</v>
      </c>
      <c r="L727" s="553">
        <f>[8]Sales_NP!IR214</f>
        <v>0.40741161318288177</v>
      </c>
      <c r="M727" s="553">
        <f>[8]Sales_NP!IS214</f>
        <v>0.44508779864225612</v>
      </c>
      <c r="N727" s="553">
        <f>[8]Sales_NP!IT214</f>
        <v>0.75279683744229176</v>
      </c>
      <c r="O727" s="553">
        <f>[8]Sales_NP!IU214</f>
        <v>0.32248876428570655</v>
      </c>
      <c r="P727" s="553">
        <f>[8]Sales_NP!IV214</f>
        <v>0.27887645957389051</v>
      </c>
      <c r="Q727" s="561">
        <f t="shared" si="138"/>
        <v>6.8266183076527565</v>
      </c>
      <c r="R727" s="166"/>
      <c r="S727" s="166"/>
    </row>
    <row r="728" spans="3:19" hidden="1" x14ac:dyDescent="0.25">
      <c r="C728" s="17" t="s">
        <v>198</v>
      </c>
      <c r="D728" s="17" t="s">
        <v>199</v>
      </c>
      <c r="E728" s="553">
        <f>[8]Sales_NP!IK219</f>
        <v>0</v>
      </c>
      <c r="F728" s="553">
        <f>[8]Sales_NP!IL219</f>
        <v>0</v>
      </c>
      <c r="G728" s="553">
        <f>[8]Sales_NP!IM219</f>
        <v>0</v>
      </c>
      <c r="H728" s="553">
        <f>[8]Sales_NP!IN219</f>
        <v>0</v>
      </c>
      <c r="I728" s="553">
        <f>[8]Sales_NP!IO219</f>
        <v>0</v>
      </c>
      <c r="J728" s="553">
        <f>[8]Sales_NP!IP219</f>
        <v>0</v>
      </c>
      <c r="K728" s="553">
        <f>[8]Sales_NP!IQ219</f>
        <v>0</v>
      </c>
      <c r="L728" s="553">
        <f>[8]Sales_NP!IR219</f>
        <v>0</v>
      </c>
      <c r="M728" s="553">
        <f>[8]Sales_NP!IS219</f>
        <v>0</v>
      </c>
      <c r="N728" s="553">
        <f>[8]Sales_NP!IT219</f>
        <v>0</v>
      </c>
      <c r="O728" s="553">
        <f>[8]Sales_NP!IU219</f>
        <v>0</v>
      </c>
      <c r="P728" s="553">
        <f>[8]Sales_NP!IV219</f>
        <v>0</v>
      </c>
      <c r="Q728" s="561">
        <f t="shared" si="138"/>
        <v>0</v>
      </c>
      <c r="R728" s="166"/>
      <c r="S728" s="166"/>
    </row>
    <row r="729" spans="3:19" hidden="1" x14ac:dyDescent="0.25">
      <c r="C729" s="17" t="s">
        <v>200</v>
      </c>
      <c r="D729" s="17" t="s">
        <v>201</v>
      </c>
      <c r="E729" s="553">
        <f>[8]Sales_NP!IK224</f>
        <v>0</v>
      </c>
      <c r="F729" s="553">
        <f>[8]Sales_NP!IL224</f>
        <v>0</v>
      </c>
      <c r="G729" s="553">
        <f>[8]Sales_NP!IM224</f>
        <v>0</v>
      </c>
      <c r="H729" s="553">
        <f>[8]Sales_NP!IN224</f>
        <v>0</v>
      </c>
      <c r="I729" s="553">
        <f>[8]Sales_NP!IO224</f>
        <v>0</v>
      </c>
      <c r="J729" s="553">
        <f>[8]Sales_NP!IP224</f>
        <v>0</v>
      </c>
      <c r="K729" s="553">
        <f>[8]Sales_NP!IQ224</f>
        <v>0</v>
      </c>
      <c r="L729" s="553">
        <f>[8]Sales_NP!IR224</f>
        <v>0</v>
      </c>
      <c r="M729" s="553">
        <f>[8]Sales_NP!IS224</f>
        <v>0</v>
      </c>
      <c r="N729" s="553">
        <f>[8]Sales_NP!IT224</f>
        <v>0</v>
      </c>
      <c r="O729" s="553">
        <f>[8]Sales_NP!IU224</f>
        <v>0</v>
      </c>
      <c r="P729" s="553">
        <f>[8]Sales_NP!IV224</f>
        <v>0</v>
      </c>
      <c r="Q729" s="561">
        <f t="shared" si="138"/>
        <v>0</v>
      </c>
      <c r="R729" s="166"/>
      <c r="S729" s="166"/>
    </row>
    <row r="730" spans="3:19" hidden="1" x14ac:dyDescent="0.25">
      <c r="C730" s="17" t="s">
        <v>202</v>
      </c>
      <c r="D730" s="17" t="s">
        <v>234</v>
      </c>
      <c r="E730" s="553">
        <f>[8]Sales_NP!IK230+[8]Sales_NP!IK231</f>
        <v>260.66329003872005</v>
      </c>
      <c r="F730" s="553">
        <f>[8]Sales_NP!IL230+[8]Sales_NP!IL231</f>
        <v>64.830456373895998</v>
      </c>
      <c r="G730" s="553">
        <f>[8]Sales_NP!IM230+[8]Sales_NP!IM231</f>
        <v>15.823077150312001</v>
      </c>
      <c r="H730" s="553">
        <f>[8]Sales_NP!IN230+[8]Sales_NP!IN231</f>
        <v>284.83007518761121</v>
      </c>
      <c r="I730" s="553">
        <f>[8]Sales_NP!IO230+[8]Sales_NP!IO231</f>
        <v>11.649246332760001</v>
      </c>
      <c r="J730" s="553">
        <f>[8]Sales_NP!IP230+[8]Sales_NP!IP231</f>
        <v>59.716060404159606</v>
      </c>
      <c r="K730" s="553">
        <f>[8]Sales_NP!IQ230+[8]Sales_NP!IQ231</f>
        <v>78.938156587104004</v>
      </c>
      <c r="L730" s="553">
        <f>[8]Sales_NP!IR230+[8]Sales_NP!IR231</f>
        <v>147.11579330934239</v>
      </c>
      <c r="M730" s="553">
        <f>[8]Sales_NP!IS230+[8]Sales_NP!IS231</f>
        <v>26.133816526632</v>
      </c>
      <c r="N730" s="553">
        <f>[8]Sales_NP!IT230+[8]Sales_NP!IT231</f>
        <v>122.82240137673601</v>
      </c>
      <c r="O730" s="553">
        <f>[8]Sales_NP!IU230+[8]Sales_NP!IU231</f>
        <v>144.131893112016</v>
      </c>
      <c r="P730" s="553">
        <f>[8]Sales_NP!IV230+[8]Sales_NP!IV231</f>
        <v>154.24232098867205</v>
      </c>
      <c r="Q730" s="561">
        <f t="shared" si="138"/>
        <v>1370.8965873879613</v>
      </c>
      <c r="R730" s="166"/>
      <c r="S730" s="166"/>
    </row>
    <row r="731" spans="3:19" hidden="1" x14ac:dyDescent="0.25">
      <c r="C731" s="17" t="s">
        <v>204</v>
      </c>
      <c r="D731" s="17" t="s">
        <v>216</v>
      </c>
      <c r="E731" s="553">
        <f>[8]Sales_NP!IK232+[8]Sales_NP!IK233</f>
        <v>2.6707168648497586</v>
      </c>
      <c r="F731" s="553">
        <f>[8]Sales_NP!IL232+[8]Sales_NP!IL233</f>
        <v>2.7349764828385696</v>
      </c>
      <c r="G731" s="553">
        <f>[8]Sales_NP!IM232+[8]Sales_NP!IM233</f>
        <v>2.6803817480288008</v>
      </c>
      <c r="H731" s="553">
        <f>[8]Sales_NP!IN232+[8]Sales_NP!IN233</f>
        <v>2.6125186333968444</v>
      </c>
      <c r="I731" s="553">
        <f>[8]Sales_NP!IO232+[8]Sales_NP!IO233</f>
        <v>2.7277084531270521</v>
      </c>
      <c r="J731" s="553">
        <f>[8]Sales_NP!IP232+[8]Sales_NP!IP233</f>
        <v>2.7588511153211694</v>
      </c>
      <c r="K731" s="553">
        <f>[8]Sales_NP!IQ232+[8]Sales_NP!IQ233</f>
        <v>2.6823677794034597</v>
      </c>
      <c r="L731" s="553">
        <f>[8]Sales_NP!IR232+[8]Sales_NP!IR233</f>
        <v>2.6006447011355873</v>
      </c>
      <c r="M731" s="553">
        <f>[8]Sales_NP!IS232+[8]Sales_NP!IS233</f>
        <v>2.7988675347212078</v>
      </c>
      <c r="N731" s="553">
        <f>[8]Sales_NP!IT232+[8]Sales_NP!IT233</f>
        <v>2.8546031811717376</v>
      </c>
      <c r="O731" s="553">
        <f>[8]Sales_NP!IU232+[8]Sales_NP!IU233</f>
        <v>2.6537182204243401</v>
      </c>
      <c r="P731" s="553">
        <f>[8]Sales_NP!IV232+[8]Sales_NP!IV233</f>
        <v>3.0446283533385552</v>
      </c>
      <c r="Q731" s="561">
        <f t="shared" si="138"/>
        <v>32.819983067757079</v>
      </c>
      <c r="R731" s="166"/>
      <c r="S731" s="166"/>
    </row>
    <row r="732" spans="3:19" hidden="1" x14ac:dyDescent="0.25">
      <c r="C732" s="17" t="s">
        <v>217</v>
      </c>
      <c r="D732" s="17" t="s">
        <v>218</v>
      </c>
      <c r="E732" s="553">
        <f>[8]Sales_NP!IK235</f>
        <v>80.11331726127321</v>
      </c>
      <c r="F732" s="553">
        <f>[8]Sales_NP!IL235</f>
        <v>77.927883385421538</v>
      </c>
      <c r="G732" s="553">
        <f>[8]Sales_NP!IM235</f>
        <v>76.350794379318586</v>
      </c>
      <c r="H732" s="553">
        <f>[8]Sales_NP!IN235</f>
        <v>76.970421857550022</v>
      </c>
      <c r="I732" s="553">
        <f>[8]Sales_NP!IO235</f>
        <v>77.917588190627043</v>
      </c>
      <c r="J732" s="553">
        <f>[8]Sales_NP!IP235</f>
        <v>73.991634272325371</v>
      </c>
      <c r="K732" s="553">
        <f>[8]Sales_NP!IQ235</f>
        <v>78.125042644133657</v>
      </c>
      <c r="L732" s="553">
        <f>[8]Sales_NP!IR235</f>
        <v>79.298678485580751</v>
      </c>
      <c r="M732" s="553">
        <f>[8]Sales_NP!IS235</f>
        <v>77.92199056293201</v>
      </c>
      <c r="N732" s="553">
        <f>[8]Sales_NP!IT235</f>
        <v>80.757140963218944</v>
      </c>
      <c r="O732" s="553">
        <f>[8]Sales_NP!IU235</f>
        <v>76.567616568418188</v>
      </c>
      <c r="P732" s="553">
        <f>[8]Sales_NP!IV235</f>
        <v>82.639311586456074</v>
      </c>
      <c r="Q732" s="561">
        <f t="shared" si="138"/>
        <v>938.58142015725548</v>
      </c>
      <c r="R732" s="166"/>
      <c r="S732" s="166"/>
    </row>
    <row r="733" spans="3:19" hidden="1" x14ac:dyDescent="0.25">
      <c r="C733" s="17" t="s">
        <v>252</v>
      </c>
      <c r="D733" s="17" t="s">
        <v>236</v>
      </c>
      <c r="E733" s="553">
        <v>0</v>
      </c>
      <c r="F733" s="553">
        <v>0</v>
      </c>
      <c r="G733" s="553">
        <v>0</v>
      </c>
      <c r="H733" s="553">
        <v>0</v>
      </c>
      <c r="I733" s="553">
        <v>0</v>
      </c>
      <c r="J733" s="553">
        <v>0</v>
      </c>
      <c r="K733" s="553">
        <v>0</v>
      </c>
      <c r="L733" s="553">
        <v>0</v>
      </c>
      <c r="M733" s="553">
        <v>0</v>
      </c>
      <c r="N733" s="553">
        <v>0</v>
      </c>
      <c r="O733" s="553">
        <v>0</v>
      </c>
      <c r="P733" s="553">
        <v>0</v>
      </c>
      <c r="Q733" s="561">
        <f t="shared" si="138"/>
        <v>0</v>
      </c>
      <c r="R733" s="166"/>
      <c r="S733" s="166"/>
    </row>
    <row r="734" spans="3:19" hidden="1" x14ac:dyDescent="0.25">
      <c r="C734" s="17" t="s">
        <v>206</v>
      </c>
      <c r="D734" s="17" t="s">
        <v>207</v>
      </c>
      <c r="E734" s="553">
        <f>[8]Sales_NP!IK239</f>
        <v>6.5271341180260807</v>
      </c>
      <c r="F734" s="553">
        <f>[8]Sales_NP!IL239</f>
        <v>8.0333276443444799</v>
      </c>
      <c r="G734" s="553">
        <f>[8]Sales_NP!IM239</f>
        <v>7.4767983965769611</v>
      </c>
      <c r="H734" s="553">
        <f>[8]Sales_NP!IN239</f>
        <v>7.2085154208566413</v>
      </c>
      <c r="I734" s="553">
        <f>[8]Sales_NP!IO239</f>
        <v>7.0926973446009614</v>
      </c>
      <c r="J734" s="553">
        <f>[8]Sales_NP!IP239</f>
        <v>6.5867804597707194</v>
      </c>
      <c r="K734" s="553">
        <f>[8]Sales_NP!IQ239</f>
        <v>5.7678187821076801</v>
      </c>
      <c r="L734" s="553">
        <f>[8]Sales_NP!IR239</f>
        <v>5.0816704480444796</v>
      </c>
      <c r="M734" s="553">
        <f>[8]Sales_NP!IS239</f>
        <v>3.2122408320662408</v>
      </c>
      <c r="N734" s="553">
        <f>[8]Sales_NP!IT239</f>
        <v>3.4825609451116799</v>
      </c>
      <c r="O734" s="553">
        <f>[8]Sales_NP!IU239</f>
        <v>4.1865466787395196</v>
      </c>
      <c r="P734" s="553">
        <f>[8]Sales_NP!IV239</f>
        <v>6.1851679322859807</v>
      </c>
      <c r="Q734" s="561">
        <f t="shared" si="138"/>
        <v>70.84125900253143</v>
      </c>
      <c r="R734" s="166"/>
      <c r="S734" s="166"/>
    </row>
    <row r="735" spans="3:19" hidden="1" x14ac:dyDescent="0.25">
      <c r="C735" s="17" t="s">
        <v>208</v>
      </c>
      <c r="D735" s="17" t="s">
        <v>187</v>
      </c>
      <c r="E735" s="553">
        <f>[8]Sales_NP!IK240</f>
        <v>0.13092016975199999</v>
      </c>
      <c r="F735" s="553">
        <f>[8]Sales_NP!IL240</f>
        <v>0.12729402201600001</v>
      </c>
      <c r="G735" s="553">
        <f>[8]Sales_NP!IM240</f>
        <v>0.12989185920000001</v>
      </c>
      <c r="H735" s="553">
        <f>[8]Sales_NP!IN240</f>
        <v>9.4063354704000013E-2</v>
      </c>
      <c r="I735" s="553">
        <f>[8]Sales_NP!IO240</f>
        <v>0.121015915488</v>
      </c>
      <c r="J735" s="553">
        <f>[8]Sales_NP!IP240</f>
        <v>0.126861049152</v>
      </c>
      <c r="K735" s="553">
        <f>[8]Sales_NP!IQ240</f>
        <v>0.12664456272000002</v>
      </c>
      <c r="L735" s="553">
        <f>[8]Sales_NP!IR240</f>
        <v>8.3130789888000003E-2</v>
      </c>
      <c r="M735" s="553">
        <f>[8]Sales_NP!IS240</f>
        <v>5.011660900800001E-2</v>
      </c>
      <c r="N735" s="553">
        <f>[8]Sales_NP!IT240</f>
        <v>9.3089165760000016E-3</v>
      </c>
      <c r="O735" s="553">
        <f>[8]Sales_NP!IU240</f>
        <v>0.11939226724800001</v>
      </c>
      <c r="P735" s="553">
        <f>[8]Sales_NP!IV240</f>
        <v>0.114413079312</v>
      </c>
      <c r="Q735" s="561">
        <f t="shared" si="138"/>
        <v>1.2330525950640001</v>
      </c>
      <c r="R735" s="166"/>
      <c r="S735" s="166"/>
    </row>
    <row r="736" spans="3:19" hidden="1" x14ac:dyDescent="0.25">
      <c r="C736" s="17" t="s">
        <v>209</v>
      </c>
      <c r="D736" s="17" t="s">
        <v>210</v>
      </c>
      <c r="E736" s="553">
        <v>0</v>
      </c>
      <c r="F736" s="553">
        <v>0</v>
      </c>
      <c r="G736" s="553">
        <v>0</v>
      </c>
      <c r="H736" s="553">
        <v>0</v>
      </c>
      <c r="I736" s="553">
        <v>0</v>
      </c>
      <c r="J736" s="553">
        <v>0</v>
      </c>
      <c r="K736" s="553">
        <v>0</v>
      </c>
      <c r="L736" s="553">
        <v>0</v>
      </c>
      <c r="M736" s="553">
        <v>0</v>
      </c>
      <c r="N736" s="553">
        <v>0</v>
      </c>
      <c r="O736" s="553">
        <v>0</v>
      </c>
      <c r="P736" s="553">
        <v>0</v>
      </c>
      <c r="Q736" s="561">
        <f t="shared" si="138"/>
        <v>0</v>
      </c>
      <c r="R736" s="166"/>
      <c r="S736" s="166"/>
    </row>
    <row r="737" spans="3:19" hidden="1" x14ac:dyDescent="0.25">
      <c r="C737" s="17" t="s">
        <v>211</v>
      </c>
      <c r="D737" s="17" t="s">
        <v>189</v>
      </c>
      <c r="E737" s="553">
        <v>0</v>
      </c>
      <c r="F737" s="553">
        <v>0</v>
      </c>
      <c r="G737" s="553">
        <v>0</v>
      </c>
      <c r="H737" s="553">
        <v>0</v>
      </c>
      <c r="I737" s="553">
        <v>0</v>
      </c>
      <c r="J737" s="553">
        <v>0</v>
      </c>
      <c r="K737" s="553">
        <v>0</v>
      </c>
      <c r="L737" s="553">
        <v>0</v>
      </c>
      <c r="M737" s="553">
        <v>0</v>
      </c>
      <c r="N737" s="553">
        <v>0</v>
      </c>
      <c r="O737" s="553">
        <v>0</v>
      </c>
      <c r="P737" s="553">
        <v>0</v>
      </c>
      <c r="Q737" s="561">
        <f t="shared" si="138"/>
        <v>0</v>
      </c>
      <c r="R737" s="166"/>
      <c r="S737" s="166"/>
    </row>
    <row r="738" spans="3:19" hidden="1" x14ac:dyDescent="0.25">
      <c r="C738" s="17"/>
      <c r="D738" s="17"/>
      <c r="E738" s="553"/>
      <c r="F738" s="553"/>
      <c r="G738" s="553"/>
      <c r="H738" s="553"/>
      <c r="I738" s="553"/>
      <c r="J738" s="553"/>
      <c r="K738" s="553"/>
      <c r="L738" s="553"/>
      <c r="M738" s="553"/>
      <c r="N738" s="553"/>
      <c r="O738" s="553"/>
      <c r="P738" s="553"/>
      <c r="Q738" s="561">
        <f t="shared" si="138"/>
        <v>0</v>
      </c>
      <c r="R738" s="166"/>
      <c r="S738" s="166"/>
    </row>
    <row r="739" spans="3:19" hidden="1" x14ac:dyDescent="0.25">
      <c r="C739" s="17"/>
      <c r="D739" s="17"/>
      <c r="E739" s="553"/>
      <c r="F739" s="553"/>
      <c r="G739" s="553"/>
      <c r="H739" s="553"/>
      <c r="I739" s="553"/>
      <c r="J739" s="553"/>
      <c r="K739" s="553"/>
      <c r="L739" s="553"/>
      <c r="M739" s="553"/>
      <c r="N739" s="553"/>
      <c r="O739" s="553"/>
      <c r="P739" s="553"/>
      <c r="Q739" s="561">
        <f t="shared" si="138"/>
        <v>0</v>
      </c>
      <c r="R739" s="166"/>
      <c r="S739" s="166"/>
    </row>
    <row r="740" spans="3:19" hidden="1" x14ac:dyDescent="0.25">
      <c r="C740" s="17"/>
      <c r="D740" s="17"/>
      <c r="E740" s="553"/>
      <c r="F740" s="553"/>
      <c r="G740" s="553"/>
      <c r="H740" s="553"/>
      <c r="I740" s="553"/>
      <c r="J740" s="553"/>
      <c r="K740" s="553"/>
      <c r="L740" s="553"/>
      <c r="M740" s="553"/>
      <c r="N740" s="553"/>
      <c r="O740" s="553"/>
      <c r="P740" s="553"/>
      <c r="Q740" s="561">
        <f t="shared" si="138"/>
        <v>0</v>
      </c>
      <c r="R740" s="166"/>
      <c r="S740" s="166"/>
    </row>
    <row r="741" spans="3:19" hidden="1" x14ac:dyDescent="0.25">
      <c r="C741" s="17" t="s">
        <v>226</v>
      </c>
      <c r="D741" s="17" t="s">
        <v>226</v>
      </c>
      <c r="E741" s="553"/>
      <c r="F741" s="553"/>
      <c r="G741" s="553"/>
      <c r="H741" s="553"/>
      <c r="I741" s="553"/>
      <c r="J741" s="553"/>
      <c r="K741" s="553"/>
      <c r="L741" s="553"/>
      <c r="M741" s="553"/>
      <c r="N741" s="553"/>
      <c r="O741" s="553"/>
      <c r="P741" s="553"/>
      <c r="Q741" s="561">
        <f t="shared" si="138"/>
        <v>0</v>
      </c>
      <c r="R741" s="166"/>
      <c r="S741" s="166"/>
    </row>
    <row r="742" spans="3:19" hidden="1" x14ac:dyDescent="0.25">
      <c r="C742" s="751" t="s">
        <v>212</v>
      </c>
      <c r="D742" s="752"/>
      <c r="E742" s="561">
        <f t="shared" ref="E742:P742" si="139">SUM(E725:E741)</f>
        <v>405.45238066283213</v>
      </c>
      <c r="F742" s="561">
        <f t="shared" si="139"/>
        <v>205.02654296554218</v>
      </c>
      <c r="G742" s="561">
        <f t="shared" si="139"/>
        <v>160.12681865429846</v>
      </c>
      <c r="H742" s="561">
        <f t="shared" si="139"/>
        <v>428.47649438451555</v>
      </c>
      <c r="I742" s="561">
        <f t="shared" si="139"/>
        <v>159.31876919353272</v>
      </c>
      <c r="J742" s="561">
        <f t="shared" si="139"/>
        <v>210.040829349245</v>
      </c>
      <c r="K742" s="561">
        <f t="shared" si="139"/>
        <v>228.28179709093271</v>
      </c>
      <c r="L742" s="561">
        <f t="shared" si="139"/>
        <v>298.26325926365325</v>
      </c>
      <c r="M742" s="561">
        <f t="shared" si="139"/>
        <v>166.6731113153449</v>
      </c>
      <c r="N742" s="561">
        <f t="shared" si="139"/>
        <v>270.79248280146237</v>
      </c>
      <c r="O742" s="561">
        <f t="shared" si="139"/>
        <v>284.48370758025214</v>
      </c>
      <c r="P742" s="561">
        <f t="shared" si="139"/>
        <v>303.62049896215757</v>
      </c>
      <c r="Q742" s="561">
        <f t="shared" si="138"/>
        <v>3120.556692223769</v>
      </c>
      <c r="R742" s="166"/>
      <c r="S742" s="166"/>
    </row>
    <row r="743" spans="3:19" hidden="1" x14ac:dyDescent="0.25">
      <c r="C743" s="751" t="s">
        <v>219</v>
      </c>
      <c r="D743" s="752"/>
      <c r="E743" s="561">
        <f t="shared" ref="E743:P743" si="140">E742+E723+E706</f>
        <v>755.45836274952171</v>
      </c>
      <c r="F743" s="561">
        <f t="shared" si="140"/>
        <v>492.24441605394071</v>
      </c>
      <c r="G743" s="561">
        <f t="shared" si="140"/>
        <v>489.08484905298405</v>
      </c>
      <c r="H743" s="561">
        <f t="shared" si="140"/>
        <v>782.53571984665348</v>
      </c>
      <c r="I743" s="561">
        <f t="shared" si="140"/>
        <v>534.17942850448651</v>
      </c>
      <c r="J743" s="561">
        <f t="shared" si="140"/>
        <v>564.15694458259622</v>
      </c>
      <c r="K743" s="561">
        <f t="shared" si="140"/>
        <v>593.24470722479055</v>
      </c>
      <c r="L743" s="561">
        <f t="shared" si="140"/>
        <v>612.00232198647063</v>
      </c>
      <c r="M743" s="561">
        <f t="shared" si="140"/>
        <v>560.43518801106075</v>
      </c>
      <c r="N743" s="561">
        <f t="shared" si="140"/>
        <v>698.56987537088548</v>
      </c>
      <c r="O743" s="561">
        <f t="shared" si="140"/>
        <v>705.6938530435317</v>
      </c>
      <c r="P743" s="561">
        <f t="shared" si="140"/>
        <v>738.85080677268979</v>
      </c>
      <c r="Q743" s="561">
        <f t="shared" si="138"/>
        <v>7526.4564731996124</v>
      </c>
      <c r="R743" s="166"/>
      <c r="S743" s="166"/>
    </row>
    <row r="744" spans="3:19" hidden="1" x14ac:dyDescent="0.25">
      <c r="C744" s="751" t="s">
        <v>220</v>
      </c>
      <c r="D744" s="752"/>
      <c r="E744" s="561">
        <f t="shared" ref="E744:P744" si="141">E743+E689</f>
        <v>1331.2402001643377</v>
      </c>
      <c r="F744" s="561">
        <f t="shared" si="141"/>
        <v>1103.2391606052552</v>
      </c>
      <c r="G744" s="561">
        <f t="shared" si="141"/>
        <v>1234.5209244561602</v>
      </c>
      <c r="H744" s="561">
        <f t="shared" si="141"/>
        <v>1448.4130160703066</v>
      </c>
      <c r="I744" s="561">
        <f t="shared" si="141"/>
        <v>1092.4416820373303</v>
      </c>
      <c r="J744" s="561">
        <f t="shared" si="141"/>
        <v>1186.2992484156471</v>
      </c>
      <c r="K744" s="561">
        <f t="shared" si="141"/>
        <v>1166.8451387846703</v>
      </c>
      <c r="L744" s="561">
        <f t="shared" si="141"/>
        <v>1190.7080936774332</v>
      </c>
      <c r="M744" s="561">
        <f t="shared" si="141"/>
        <v>1072.4322663678231</v>
      </c>
      <c r="N744" s="561">
        <f t="shared" si="141"/>
        <v>1141.2780571161047</v>
      </c>
      <c r="O744" s="561">
        <f t="shared" si="141"/>
        <v>1212.3661668943319</v>
      </c>
      <c r="P744" s="561">
        <f t="shared" si="141"/>
        <v>1253.8065679638071</v>
      </c>
      <c r="Q744" s="561">
        <f t="shared" si="138"/>
        <v>14433.590522553206</v>
      </c>
      <c r="R744" s="166"/>
      <c r="S744" s="166"/>
    </row>
    <row r="745" spans="3:19" hidden="1" x14ac:dyDescent="0.25">
      <c r="E745" s="562"/>
      <c r="F745" s="562"/>
      <c r="G745" s="562"/>
      <c r="H745" s="562"/>
      <c r="I745" s="562"/>
      <c r="J745" s="562"/>
      <c r="K745" s="562"/>
      <c r="L745" s="562"/>
      <c r="M745" s="562"/>
      <c r="N745" s="562"/>
      <c r="O745" s="562"/>
      <c r="P745" s="562"/>
      <c r="Q745" s="562"/>
      <c r="R745" s="166"/>
      <c r="S745" s="166"/>
    </row>
    <row r="746" spans="3:19" hidden="1" x14ac:dyDescent="0.25">
      <c r="C746" s="14"/>
      <c r="E746" s="562"/>
      <c r="F746" s="562"/>
      <c r="G746" s="562"/>
      <c r="H746" s="562"/>
      <c r="I746" s="562"/>
      <c r="J746" s="562"/>
      <c r="K746" s="562"/>
      <c r="L746" s="562"/>
      <c r="M746" s="562"/>
      <c r="N746" s="562"/>
      <c r="O746" s="562"/>
      <c r="P746" s="562"/>
      <c r="Q746" s="564" t="s">
        <v>229</v>
      </c>
      <c r="R746" s="166"/>
      <c r="S746" s="166"/>
    </row>
    <row r="747" spans="3:19" hidden="1" x14ac:dyDescent="0.25">
      <c r="C747" s="760" t="s">
        <v>163</v>
      </c>
      <c r="D747" s="760"/>
      <c r="E747" s="769" t="s">
        <v>268</v>
      </c>
      <c r="F747" s="769"/>
      <c r="G747" s="769"/>
      <c r="H747" s="769"/>
      <c r="I747" s="769"/>
      <c r="J747" s="769"/>
      <c r="K747" s="769"/>
      <c r="L747" s="769"/>
      <c r="M747" s="769"/>
      <c r="N747" s="769"/>
      <c r="O747" s="769"/>
      <c r="P747" s="769"/>
      <c r="Q747" s="769"/>
      <c r="R747" s="166"/>
      <c r="S747" s="166"/>
    </row>
    <row r="748" spans="3:19" hidden="1" x14ac:dyDescent="0.25">
      <c r="C748" s="760"/>
      <c r="D748" s="760"/>
      <c r="E748" s="560" t="s">
        <v>239</v>
      </c>
      <c r="F748" s="560" t="s">
        <v>240</v>
      </c>
      <c r="G748" s="560" t="s">
        <v>241</v>
      </c>
      <c r="H748" s="560" t="s">
        <v>242</v>
      </c>
      <c r="I748" s="560" t="s">
        <v>243</v>
      </c>
      <c r="J748" s="560" t="s">
        <v>244</v>
      </c>
      <c r="K748" s="560" t="s">
        <v>245</v>
      </c>
      <c r="L748" s="560" t="s">
        <v>246</v>
      </c>
      <c r="M748" s="560" t="s">
        <v>247</v>
      </c>
      <c r="N748" s="560" t="s">
        <v>248</v>
      </c>
      <c r="O748" s="560" t="s">
        <v>249</v>
      </c>
      <c r="P748" s="560" t="s">
        <v>250</v>
      </c>
      <c r="Q748" s="560" t="s">
        <v>251</v>
      </c>
      <c r="R748" s="166"/>
      <c r="S748" s="166"/>
    </row>
    <row r="749" spans="3:19" hidden="1" x14ac:dyDescent="0.25">
      <c r="C749" s="753" t="s">
        <v>171</v>
      </c>
      <c r="D749" s="754"/>
      <c r="E749" s="553"/>
      <c r="F749" s="553"/>
      <c r="G749" s="553"/>
      <c r="H749" s="553"/>
      <c r="I749" s="553"/>
      <c r="J749" s="553"/>
      <c r="K749" s="553"/>
      <c r="L749" s="553"/>
      <c r="M749" s="553"/>
      <c r="N749" s="553"/>
      <c r="O749" s="553"/>
      <c r="P749" s="553"/>
      <c r="Q749" s="561"/>
      <c r="R749" s="166"/>
      <c r="S749" s="166"/>
    </row>
    <row r="750" spans="3:19" hidden="1" x14ac:dyDescent="0.25">
      <c r="C750" s="59" t="s">
        <v>172</v>
      </c>
      <c r="D750" s="59" t="s">
        <v>173</v>
      </c>
      <c r="E750" s="553">
        <f>[8]Sales_NP!JF10</f>
        <v>410.26992394479822</v>
      </c>
      <c r="F750" s="553">
        <f>[8]Sales_NP!JG10</f>
        <v>448.95478049600268</v>
      </c>
      <c r="G750" s="553">
        <f>[8]Sales_NP!JH10</f>
        <v>562.95752269545767</v>
      </c>
      <c r="H750" s="553">
        <f>[8]Sales_NP!JI10</f>
        <v>497.48474349764581</v>
      </c>
      <c r="I750" s="553">
        <f>[8]Sales_NP!JJ10</f>
        <v>407.96165831284509</v>
      </c>
      <c r="J750" s="553">
        <f>[8]Sales_NP!JK10</f>
        <v>456.76972554893007</v>
      </c>
      <c r="K750" s="553">
        <f>[8]Sales_NP!JL10</f>
        <v>418.04071418431585</v>
      </c>
      <c r="L750" s="553">
        <f>[8]Sales_NP!JM10</f>
        <v>414.94127352803594</v>
      </c>
      <c r="M750" s="553">
        <f>[8]Sales_NP!JN10</f>
        <v>353.68230720416045</v>
      </c>
      <c r="N750" s="553">
        <f>[8]Sales_NP!JO10</f>
        <v>286.88256132943349</v>
      </c>
      <c r="O750" s="553">
        <f>[8]Sales_NP!JP10</f>
        <v>345.63656621143946</v>
      </c>
      <c r="P750" s="553">
        <f>[8]Sales_NP!JQ10</f>
        <v>354.49878906732744</v>
      </c>
      <c r="Q750" s="561">
        <f t="shared" ref="Q750:Q763" si="142">SUM(E750:P750)</f>
        <v>4958.0805660203923</v>
      </c>
      <c r="R750" s="166"/>
      <c r="S750" s="166"/>
    </row>
    <row r="751" spans="3:19" hidden="1" x14ac:dyDescent="0.25">
      <c r="C751" s="17" t="s">
        <v>174</v>
      </c>
      <c r="D751" s="17" t="s">
        <v>175</v>
      </c>
      <c r="E751" s="553">
        <f>[8]Sales_NP!JF23</f>
        <v>119.32994026314435</v>
      </c>
      <c r="F751" s="553">
        <f>[8]Sales_NP!JG23</f>
        <v>123.17598401186132</v>
      </c>
      <c r="G751" s="553">
        <f>[8]Sales_NP!JH23</f>
        <v>147.11301919849896</v>
      </c>
      <c r="H751" s="553">
        <f>[8]Sales_NP!JI23</f>
        <v>133.37314536307778</v>
      </c>
      <c r="I751" s="553">
        <f>[8]Sales_NP!JJ23</f>
        <v>114.15790426528285</v>
      </c>
      <c r="J751" s="553">
        <f>[8]Sales_NP!JK23</f>
        <v>127.26303210874248</v>
      </c>
      <c r="K751" s="553">
        <f>[8]Sales_NP!JL23</f>
        <v>118.28190928836217</v>
      </c>
      <c r="L751" s="553">
        <f>[8]Sales_NP!JM23</f>
        <v>122.38173589633432</v>
      </c>
      <c r="M751" s="553">
        <f>[8]Sales_NP!JN23</f>
        <v>111.66443544742272</v>
      </c>
      <c r="N751" s="553">
        <f>[8]Sales_NP!JO23</f>
        <v>100.96786840425432</v>
      </c>
      <c r="O751" s="553">
        <f>[8]Sales_NP!JP23</f>
        <v>109.84841927438401</v>
      </c>
      <c r="P751" s="553">
        <f>[8]Sales_NP!JQ23</f>
        <v>114.48845774039113</v>
      </c>
      <c r="Q751" s="561">
        <f t="shared" si="142"/>
        <v>1442.0458512617563</v>
      </c>
      <c r="R751" s="166"/>
      <c r="S751" s="166"/>
    </row>
    <row r="752" spans="3:19" hidden="1" x14ac:dyDescent="0.25">
      <c r="C752" s="17" t="s">
        <v>176</v>
      </c>
      <c r="D752" s="17" t="s">
        <v>177</v>
      </c>
      <c r="E752" s="553">
        <f>[8]Sales_NP!JF36</f>
        <v>23.113276537276786</v>
      </c>
      <c r="F752" s="553">
        <f>[8]Sales_NP!JG36</f>
        <v>22.518929823473471</v>
      </c>
      <c r="G752" s="553">
        <f>[8]Sales_NP!JH36</f>
        <v>24.824537768457578</v>
      </c>
      <c r="H752" s="553">
        <f>[8]Sales_NP!JI36</f>
        <v>20.918210198887422</v>
      </c>
      <c r="I752" s="553">
        <f>[8]Sales_NP!JJ36</f>
        <v>18.036483641555733</v>
      </c>
      <c r="J752" s="553">
        <f>[8]Sales_NP!JK36</f>
        <v>19.788518892842088</v>
      </c>
      <c r="K752" s="553">
        <f>[8]Sales_NP!JL36</f>
        <v>17.476129725428621</v>
      </c>
      <c r="L752" s="553">
        <f>[8]Sales_NP!JM36</f>
        <v>20.197648256939058</v>
      </c>
      <c r="M752" s="553">
        <f>[8]Sales_NP!JN36</f>
        <v>21.575509260909914</v>
      </c>
      <c r="N752" s="553">
        <f>[8]Sales_NP!JO36</f>
        <v>27.720414915505931</v>
      </c>
      <c r="O752" s="553">
        <f>[8]Sales_NP!JP36</f>
        <v>26.025672215466162</v>
      </c>
      <c r="P752" s="553">
        <f>[8]Sales_NP!JQ36</f>
        <v>21.446659451041096</v>
      </c>
      <c r="Q752" s="561">
        <f t="shared" si="142"/>
        <v>263.64199068778385</v>
      </c>
      <c r="R752" s="166"/>
      <c r="S752" s="166"/>
    </row>
    <row r="753" spans="3:19" hidden="1" x14ac:dyDescent="0.25">
      <c r="C753" s="17" t="s">
        <v>178</v>
      </c>
      <c r="D753" s="17" t="s">
        <v>179</v>
      </c>
      <c r="E753" s="553">
        <f>[8]Sales_NP!JF43</f>
        <v>0.79419151278806732</v>
      </c>
      <c r="F753" s="553">
        <f>[8]Sales_NP!JG43</f>
        <v>0.78936953611852279</v>
      </c>
      <c r="G753" s="553">
        <f>[8]Sales_NP!JH43</f>
        <v>0.91370366370709699</v>
      </c>
      <c r="H753" s="553">
        <f>[8]Sales_NP!JI43</f>
        <v>0.84565401609623292</v>
      </c>
      <c r="I753" s="553">
        <f>[8]Sales_NP!JJ43</f>
        <v>0.81255259797651558</v>
      </c>
      <c r="J753" s="553">
        <f>[8]Sales_NP!JK43</f>
        <v>0.87294856738839988</v>
      </c>
      <c r="K753" s="553">
        <f>[8]Sales_NP!JL43</f>
        <v>0.7749138535219372</v>
      </c>
      <c r="L753" s="553">
        <f>[8]Sales_NP!JM43</f>
        <v>0.75866828962085975</v>
      </c>
      <c r="M753" s="553">
        <f>[8]Sales_NP!JN43</f>
        <v>0.73440811089642333</v>
      </c>
      <c r="N753" s="553">
        <f>[8]Sales_NP!JO43</f>
        <v>0.70041402932713714</v>
      </c>
      <c r="O753" s="553">
        <f>[8]Sales_NP!JP43</f>
        <v>0.73572547264534005</v>
      </c>
      <c r="P753" s="553">
        <f>[8]Sales_NP!JQ43</f>
        <v>0.74762385663512576</v>
      </c>
      <c r="Q753" s="561">
        <f t="shared" si="142"/>
        <v>9.480173506721659</v>
      </c>
      <c r="R753" s="166"/>
      <c r="S753" s="166"/>
    </row>
    <row r="754" spans="3:19" hidden="1" x14ac:dyDescent="0.25">
      <c r="C754" s="17" t="s">
        <v>180</v>
      </c>
      <c r="D754" s="17" t="s">
        <v>181</v>
      </c>
      <c r="E754" s="553"/>
      <c r="F754" s="553"/>
      <c r="G754" s="553"/>
      <c r="H754" s="553"/>
      <c r="I754" s="553"/>
      <c r="J754" s="553"/>
      <c r="K754" s="553"/>
      <c r="L754" s="553"/>
      <c r="M754" s="553"/>
      <c r="N754" s="553"/>
      <c r="O754" s="553"/>
      <c r="P754" s="553"/>
      <c r="Q754" s="561">
        <f t="shared" si="142"/>
        <v>0</v>
      </c>
      <c r="R754" s="166"/>
      <c r="S754" s="166"/>
    </row>
    <row r="755" spans="3:19" hidden="1" x14ac:dyDescent="0.25">
      <c r="C755" s="17" t="s">
        <v>182</v>
      </c>
      <c r="D755" s="17" t="s">
        <v>183</v>
      </c>
      <c r="E755" s="553">
        <f>[8]Sales_NP!JF54</f>
        <v>38.746273987173105</v>
      </c>
      <c r="F755" s="553">
        <f>[8]Sales_NP!JG54</f>
        <v>35.93050958453788</v>
      </c>
      <c r="G755" s="553">
        <f>[8]Sales_NP!JH54</f>
        <v>38.310808032919567</v>
      </c>
      <c r="H755" s="553">
        <f>[8]Sales_NP!JI54</f>
        <v>36.055721028832622</v>
      </c>
      <c r="I755" s="553">
        <f>[8]Sales_NP!JJ54</f>
        <v>33.726641037019007</v>
      </c>
      <c r="J755" s="553">
        <f>[8]Sales_NP!JK54</f>
        <v>35.516333550934831</v>
      </c>
      <c r="K755" s="553">
        <f>[8]Sales_NP!JL54</f>
        <v>34.928290841958571</v>
      </c>
      <c r="L755" s="553">
        <f>[8]Sales_NP!JM54</f>
        <v>39.145379709209642</v>
      </c>
      <c r="M755" s="553">
        <f>[8]Sales_NP!JN54</f>
        <v>38.348295357195823</v>
      </c>
      <c r="N755" s="553">
        <f>[8]Sales_NP!JO54</f>
        <v>38.280610449220113</v>
      </c>
      <c r="O755" s="553">
        <f>[8]Sales_NP!JP54</f>
        <v>39.33752587870088</v>
      </c>
      <c r="P755" s="553">
        <f>[8]Sales_NP!JQ54</f>
        <v>37.410061509627781</v>
      </c>
      <c r="Q755" s="561">
        <f t="shared" si="142"/>
        <v>445.7364509673298</v>
      </c>
      <c r="R755" s="166"/>
      <c r="S755" s="166"/>
    </row>
    <row r="756" spans="3:19" hidden="1" x14ac:dyDescent="0.25">
      <c r="C756" s="17" t="s">
        <v>184</v>
      </c>
      <c r="D756" s="17" t="s">
        <v>185</v>
      </c>
      <c r="E756" s="553">
        <f>[8]Sales_NP!JF64</f>
        <v>10.106489205864683</v>
      </c>
      <c r="F756" s="553">
        <f>[8]Sales_NP!JG64</f>
        <v>7.6459217461966986</v>
      </c>
      <c r="G756" s="553">
        <f>[8]Sales_NP!JH64</f>
        <v>5.3856956902058615</v>
      </c>
      <c r="H756" s="553">
        <f>[8]Sales_NP!JI64</f>
        <v>7.6658913683185599</v>
      </c>
      <c r="I756" s="553">
        <f>[8]Sales_NP!JJ64</f>
        <v>9.0416359752074662</v>
      </c>
      <c r="J756" s="553">
        <f>[8]Sales_NP!JK64</f>
        <v>10.432958063380205</v>
      </c>
      <c r="K756" s="553">
        <f>[8]Sales_NP!JL64</f>
        <v>10.244607253192065</v>
      </c>
      <c r="L756" s="553">
        <f>[8]Sales_NP!JM64</f>
        <v>7.5376258288137796</v>
      </c>
      <c r="M756" s="553">
        <f>[8]Sales_NP!JN64</f>
        <v>9.3415069816979273</v>
      </c>
      <c r="N756" s="553">
        <f>[8]Sales_NP!JO64</f>
        <v>7.9322912888838495</v>
      </c>
      <c r="O756" s="553">
        <f>[8]Sales_NP!JP64</f>
        <v>7.7634707233964342</v>
      </c>
      <c r="P756" s="553">
        <f>[8]Sales_NP!JQ64</f>
        <v>9.6601797483916201</v>
      </c>
      <c r="Q756" s="561">
        <f t="shared" si="142"/>
        <v>102.75827387354914</v>
      </c>
      <c r="R756" s="166"/>
      <c r="S756" s="166"/>
    </row>
    <row r="757" spans="3:19" hidden="1" x14ac:dyDescent="0.25">
      <c r="C757" s="17" t="s">
        <v>186</v>
      </c>
      <c r="D757" s="17" t="s">
        <v>187</v>
      </c>
      <c r="E757" s="553">
        <f>[8]Sales_NP!JF69</f>
        <v>1.4292068956003132</v>
      </c>
      <c r="F757" s="553">
        <f>[8]Sales_NP!JG69</f>
        <v>1.4205460489171875</v>
      </c>
      <c r="G757" s="553">
        <f>[8]Sales_NP!JH69</f>
        <v>1.7198391804496878</v>
      </c>
      <c r="H757" s="553">
        <f>[8]Sales_NP!JI69</f>
        <v>1.6061059015706249</v>
      </c>
      <c r="I757" s="553">
        <f>[8]Sales_NP!JJ69</f>
        <v>1.4496848332706251</v>
      </c>
      <c r="J757" s="553">
        <f>[8]Sales_NP!JK69</f>
        <v>1.6185675147468754</v>
      </c>
      <c r="K757" s="553">
        <f>[8]Sales_NP!JL69</f>
        <v>1.5668500332712505</v>
      </c>
      <c r="L757" s="553">
        <f>[8]Sales_NP!JM69</f>
        <v>1.612814037463125</v>
      </c>
      <c r="M757" s="553">
        <f>[8]Sales_NP!JN69</f>
        <v>1.313601311669063</v>
      </c>
      <c r="N757" s="553">
        <f>[8]Sales_NP!JO69</f>
        <v>1.3393068986193755</v>
      </c>
      <c r="O757" s="553">
        <f>[8]Sales_NP!JP69</f>
        <v>1.496870238917813</v>
      </c>
      <c r="P757" s="553">
        <f>[8]Sales_NP!JQ69</f>
        <v>1.4932251787753128</v>
      </c>
      <c r="Q757" s="561">
        <f t="shared" si="142"/>
        <v>18.06661807327125</v>
      </c>
      <c r="R757" s="166"/>
      <c r="S757" s="166"/>
    </row>
    <row r="758" spans="3:19" hidden="1" x14ac:dyDescent="0.25">
      <c r="C758" s="17" t="s">
        <v>188</v>
      </c>
      <c r="D758" s="17" t="s">
        <v>189</v>
      </c>
      <c r="E758" s="553">
        <f>[8]Sales_NP!JF70</f>
        <v>0.66800937986606246</v>
      </c>
      <c r="F758" s="553">
        <f>[8]Sales_NP!JG70</f>
        <v>0.73795886435564995</v>
      </c>
      <c r="G758" s="553">
        <f>[8]Sales_NP!JH70</f>
        <v>0.76146017447981251</v>
      </c>
      <c r="H758" s="553">
        <f>[8]Sales_NP!JI70</f>
        <v>0.83048329734615001</v>
      </c>
      <c r="I758" s="553">
        <f>[8]Sales_NP!JJ70</f>
        <v>0.87617118713827502</v>
      </c>
      <c r="J758" s="553">
        <f>[8]Sales_NP!JK70</f>
        <v>0.89327672216606269</v>
      </c>
      <c r="K758" s="553">
        <f>[8]Sales_NP!JL70</f>
        <v>0.96576527766127507</v>
      </c>
      <c r="L758" s="553">
        <f>[8]Sales_NP!JM70</f>
        <v>0.98627188426199996</v>
      </c>
      <c r="M758" s="553">
        <f>[8]Sales_NP!JN70</f>
        <v>1.0607644206014626</v>
      </c>
      <c r="N758" s="553">
        <f>[8]Sales_NP!JO70</f>
        <v>1.1069998351839003</v>
      </c>
      <c r="O758" s="553">
        <f>[8]Sales_NP!JP70</f>
        <v>1.0816704376939126</v>
      </c>
      <c r="P758" s="553">
        <f>[8]Sales_NP!JQ70</f>
        <v>1.1986525678672129</v>
      </c>
      <c r="Q758" s="561">
        <f t="shared" si="142"/>
        <v>11.167484048621777</v>
      </c>
      <c r="R758" s="166"/>
      <c r="S758" s="166"/>
    </row>
    <row r="759" spans="3:19" hidden="1" x14ac:dyDescent="0.25">
      <c r="C759" s="17"/>
      <c r="D759" s="17"/>
      <c r="E759" s="553"/>
      <c r="F759" s="553"/>
      <c r="G759" s="553"/>
      <c r="H759" s="553"/>
      <c r="I759" s="553"/>
      <c r="J759" s="553"/>
      <c r="K759" s="553"/>
      <c r="L759" s="553"/>
      <c r="M759" s="553"/>
      <c r="N759" s="553"/>
      <c r="O759" s="553"/>
      <c r="P759" s="553"/>
      <c r="Q759" s="561">
        <f t="shared" si="142"/>
        <v>0</v>
      </c>
      <c r="R759" s="166"/>
      <c r="S759" s="166"/>
    </row>
    <row r="760" spans="3:19" hidden="1" x14ac:dyDescent="0.25">
      <c r="C760" s="17"/>
      <c r="D760" s="17"/>
      <c r="E760" s="553"/>
      <c r="F760" s="553"/>
      <c r="G760" s="553"/>
      <c r="H760" s="553"/>
      <c r="I760" s="553"/>
      <c r="J760" s="553"/>
      <c r="K760" s="553"/>
      <c r="L760" s="553"/>
      <c r="M760" s="553"/>
      <c r="N760" s="553"/>
      <c r="O760" s="553"/>
      <c r="P760" s="553"/>
      <c r="Q760" s="561">
        <f t="shared" si="142"/>
        <v>0</v>
      </c>
      <c r="R760" s="166"/>
      <c r="S760" s="166"/>
    </row>
    <row r="761" spans="3:19" hidden="1" x14ac:dyDescent="0.25">
      <c r="C761" s="17"/>
      <c r="D761" s="17"/>
      <c r="E761" s="553"/>
      <c r="F761" s="553"/>
      <c r="G761" s="553"/>
      <c r="H761" s="553"/>
      <c r="I761" s="553"/>
      <c r="J761" s="553"/>
      <c r="K761" s="553"/>
      <c r="L761" s="553"/>
      <c r="M761" s="553"/>
      <c r="N761" s="553"/>
      <c r="O761" s="553"/>
      <c r="P761" s="553"/>
      <c r="Q761" s="561">
        <f t="shared" si="142"/>
        <v>0</v>
      </c>
      <c r="R761" s="166"/>
      <c r="S761" s="166"/>
    </row>
    <row r="762" spans="3:19" hidden="1" x14ac:dyDescent="0.25">
      <c r="C762" s="17" t="s">
        <v>226</v>
      </c>
      <c r="D762" s="17" t="s">
        <v>226</v>
      </c>
      <c r="E762" s="553"/>
      <c r="F762" s="553"/>
      <c r="G762" s="553"/>
      <c r="H762" s="553"/>
      <c r="I762" s="553"/>
      <c r="J762" s="553"/>
      <c r="K762" s="553"/>
      <c r="L762" s="553"/>
      <c r="M762" s="553"/>
      <c r="N762" s="553"/>
      <c r="O762" s="553"/>
      <c r="P762" s="553"/>
      <c r="Q762" s="561">
        <f t="shared" si="142"/>
        <v>0</v>
      </c>
      <c r="R762" s="166"/>
      <c r="S762" s="166"/>
    </row>
    <row r="763" spans="3:19" hidden="1" x14ac:dyDescent="0.25">
      <c r="C763" s="751" t="s">
        <v>190</v>
      </c>
      <c r="D763" s="752"/>
      <c r="E763" s="561">
        <f t="shared" ref="E763:P763" si="143">SUM(E750:E762)</f>
        <v>604.45731172651153</v>
      </c>
      <c r="F763" s="561">
        <f t="shared" si="143"/>
        <v>641.17400011146344</v>
      </c>
      <c r="G763" s="561">
        <f t="shared" si="143"/>
        <v>781.98658640417614</v>
      </c>
      <c r="H763" s="561">
        <f t="shared" si="143"/>
        <v>698.77995467177516</v>
      </c>
      <c r="I763" s="561">
        <f t="shared" si="143"/>
        <v>586.06273185029556</v>
      </c>
      <c r="J763" s="561">
        <f t="shared" si="143"/>
        <v>653.15536096913104</v>
      </c>
      <c r="K763" s="561">
        <f t="shared" si="143"/>
        <v>602.27918045771173</v>
      </c>
      <c r="L763" s="561">
        <f t="shared" si="143"/>
        <v>607.56141743067894</v>
      </c>
      <c r="M763" s="561">
        <f t="shared" si="143"/>
        <v>537.72082809455378</v>
      </c>
      <c r="N763" s="561">
        <f t="shared" si="143"/>
        <v>464.93046715042811</v>
      </c>
      <c r="O763" s="561">
        <f t="shared" si="143"/>
        <v>531.92592045264394</v>
      </c>
      <c r="P763" s="561">
        <f t="shared" si="143"/>
        <v>540.94364912005676</v>
      </c>
      <c r="Q763" s="561">
        <f t="shared" si="142"/>
        <v>7250.9774084394267</v>
      </c>
      <c r="R763" s="166"/>
      <c r="S763" s="166"/>
    </row>
    <row r="764" spans="3:19" hidden="1" x14ac:dyDescent="0.25">
      <c r="C764" s="753" t="s">
        <v>191</v>
      </c>
      <c r="D764" s="754"/>
      <c r="E764" s="553"/>
      <c r="F764" s="553"/>
      <c r="G764" s="553"/>
      <c r="H764" s="553"/>
      <c r="I764" s="553"/>
      <c r="J764" s="553"/>
      <c r="K764" s="553"/>
      <c r="L764" s="553"/>
      <c r="M764" s="553"/>
      <c r="N764" s="553"/>
      <c r="O764" s="553"/>
      <c r="P764" s="553"/>
      <c r="Q764" s="561"/>
      <c r="R764" s="166"/>
      <c r="S764" s="166"/>
    </row>
    <row r="765" spans="3:19" hidden="1" x14ac:dyDescent="0.25">
      <c r="C765" s="17" t="s">
        <v>192</v>
      </c>
      <c r="D765" s="17" t="s">
        <v>193</v>
      </c>
      <c r="E765" s="553">
        <f>[8]Sales_NP!JF89</f>
        <v>138.91407200362946</v>
      </c>
      <c r="F765" s="553">
        <f>[8]Sales_NP!JG89</f>
        <v>124.53591577383864</v>
      </c>
      <c r="G765" s="553">
        <f>[8]Sales_NP!JH89</f>
        <v>134.70765866060736</v>
      </c>
      <c r="H765" s="553">
        <f>[8]Sales_NP!JI89</f>
        <v>133.75437502947241</v>
      </c>
      <c r="I765" s="553">
        <f>[8]Sales_NP!JJ89</f>
        <v>139.33786773965252</v>
      </c>
      <c r="J765" s="553">
        <f>[8]Sales_NP!JK89</f>
        <v>133.23363217660744</v>
      </c>
      <c r="K765" s="553">
        <f>[8]Sales_NP!JL89</f>
        <v>139.38394145670964</v>
      </c>
      <c r="L765" s="553">
        <f>[8]Sales_NP!JM89</f>
        <v>146.15714716893146</v>
      </c>
      <c r="M765" s="553">
        <f>[8]Sales_NP!JN89</f>
        <v>164.39941080236579</v>
      </c>
      <c r="N765" s="553">
        <f>[8]Sales_NP!JO89</f>
        <v>173.56015959366539</v>
      </c>
      <c r="O765" s="553">
        <f>[8]Sales_NP!JP89</f>
        <v>156.83704930935139</v>
      </c>
      <c r="P765" s="553">
        <f>[8]Sales_NP!JQ89</f>
        <v>135.79038478184151</v>
      </c>
      <c r="Q765" s="561">
        <f t="shared" ref="Q765:Q780" si="144">SUM(E765:P765)</f>
        <v>1720.6116144966729</v>
      </c>
      <c r="R765" s="166"/>
      <c r="S765" s="166"/>
    </row>
    <row r="766" spans="3:19" hidden="1" x14ac:dyDescent="0.25">
      <c r="C766" s="17" t="s">
        <v>194</v>
      </c>
      <c r="D766" s="17" t="s">
        <v>195</v>
      </c>
      <c r="E766" s="553">
        <f>[8]Sales_NP!JF104</f>
        <v>0</v>
      </c>
      <c r="F766" s="553">
        <f>[8]Sales_NP!JG104</f>
        <v>0</v>
      </c>
      <c r="G766" s="553">
        <f>[8]Sales_NP!JH104</f>
        <v>0</v>
      </c>
      <c r="H766" s="553">
        <f>[8]Sales_NP!JI104</f>
        <v>0</v>
      </c>
      <c r="I766" s="553">
        <f>[8]Sales_NP!JJ104</f>
        <v>0</v>
      </c>
      <c r="J766" s="553">
        <f>[8]Sales_NP!JK104</f>
        <v>0</v>
      </c>
      <c r="K766" s="553">
        <f>[8]Sales_NP!JL104</f>
        <v>0</v>
      </c>
      <c r="L766" s="553">
        <f>[8]Sales_NP!JM104</f>
        <v>0</v>
      </c>
      <c r="M766" s="553">
        <f>[8]Sales_NP!JN104</f>
        <v>0</v>
      </c>
      <c r="N766" s="553">
        <f>[8]Sales_NP!JO104</f>
        <v>0</v>
      </c>
      <c r="O766" s="553">
        <f>[8]Sales_NP!JP104</f>
        <v>0</v>
      </c>
      <c r="P766" s="553">
        <f>[8]Sales_NP!JQ104</f>
        <v>0</v>
      </c>
      <c r="Q766" s="561">
        <f t="shared" si="144"/>
        <v>0</v>
      </c>
      <c r="R766" s="166"/>
      <c r="S766" s="166"/>
    </row>
    <row r="767" spans="3:19" hidden="1" x14ac:dyDescent="0.25">
      <c r="C767" s="17" t="s">
        <v>233</v>
      </c>
      <c r="D767" s="17" t="s">
        <v>197</v>
      </c>
      <c r="E767" s="553">
        <f>[8]Sales_NP!JF105</f>
        <v>31.360270845058878</v>
      </c>
      <c r="F767" s="553">
        <f>[8]Sales_NP!JG105</f>
        <v>33.864577707534139</v>
      </c>
      <c r="G767" s="553">
        <f>[8]Sales_NP!JH105</f>
        <v>37.422742511796699</v>
      </c>
      <c r="H767" s="553">
        <f>[8]Sales_NP!JI105</f>
        <v>30.139965006237265</v>
      </c>
      <c r="I767" s="553">
        <f>[8]Sales_NP!JJ105</f>
        <v>32.576297740783517</v>
      </c>
      <c r="J767" s="553">
        <f>[8]Sales_NP!JK105</f>
        <v>31.860909670936703</v>
      </c>
      <c r="K767" s="553">
        <f>[8]Sales_NP!JL105</f>
        <v>33.404475472403021</v>
      </c>
      <c r="L767" s="553">
        <f>[8]Sales_NP!JM105</f>
        <v>29.86776925641032</v>
      </c>
      <c r="M767" s="553">
        <f>[8]Sales_NP!JN105</f>
        <v>25.595839012271412</v>
      </c>
      <c r="N767" s="553">
        <f>[8]Sales_NP!JO105</f>
        <v>26.721698397217871</v>
      </c>
      <c r="O767" s="553">
        <f>[8]Sales_NP!JP105</f>
        <v>28.989782912584655</v>
      </c>
      <c r="P767" s="553">
        <f>[8]Sales_NP!JQ105</f>
        <v>33.998980930025134</v>
      </c>
      <c r="Q767" s="561">
        <f t="shared" si="144"/>
        <v>375.80330946325961</v>
      </c>
      <c r="R767" s="166"/>
      <c r="S767" s="166"/>
    </row>
    <row r="768" spans="3:19" hidden="1" x14ac:dyDescent="0.25">
      <c r="C768" s="17" t="s">
        <v>198</v>
      </c>
      <c r="D768" s="17" t="s">
        <v>199</v>
      </c>
      <c r="E768" s="553">
        <f>[8]Sales_NP!JF110</f>
        <v>6.7558704347808023E-3</v>
      </c>
      <c r="F768" s="553">
        <f>[8]Sales_NP!JG110</f>
        <v>3.1026878731526399E-2</v>
      </c>
      <c r="G768" s="553">
        <f>[8]Sales_NP!JH110</f>
        <v>2.4936769021075202E-2</v>
      </c>
      <c r="H768" s="553">
        <f>[8]Sales_NP!JI110</f>
        <v>2.40314227624512E-2</v>
      </c>
      <c r="I768" s="553">
        <f>[8]Sales_NP!JJ110</f>
        <v>2.6872222669084799E-2</v>
      </c>
      <c r="J768" s="553">
        <f>[8]Sales_NP!JK110</f>
        <v>2.4326212336905607E-2</v>
      </c>
      <c r="K768" s="553">
        <f>[8]Sales_NP!JL110</f>
        <v>2.3668180178198404E-2</v>
      </c>
      <c r="L768" s="553">
        <f>[8]Sales_NP!JM110</f>
        <v>1.9822666740652802E-2</v>
      </c>
      <c r="M768" s="553">
        <f>[8]Sales_NP!JN110</f>
        <v>2.2049597720707203E-2</v>
      </c>
      <c r="N768" s="553">
        <f>[8]Sales_NP!JO110</f>
        <v>2.88474232260096E-2</v>
      </c>
      <c r="O768" s="553">
        <f>[8]Sales_NP!JP110</f>
        <v>2.8509574500230402E-2</v>
      </c>
      <c r="P768" s="553">
        <f>[8]Sales_NP!JQ110</f>
        <v>3.4356786433977604E-2</v>
      </c>
      <c r="Q768" s="561">
        <f t="shared" si="144"/>
        <v>0.29520360475560004</v>
      </c>
      <c r="R768" s="166"/>
      <c r="S768" s="166"/>
    </row>
    <row r="769" spans="3:19" hidden="1" x14ac:dyDescent="0.25">
      <c r="C769" s="17" t="s">
        <v>200</v>
      </c>
      <c r="D769" s="17" t="s">
        <v>201</v>
      </c>
      <c r="E769" s="553">
        <f>[8]Sales_NP!JF115</f>
        <v>0.88852520539151048</v>
      </c>
      <c r="F769" s="553">
        <f>[8]Sales_NP!JG115</f>
        <v>0.96520645901008595</v>
      </c>
      <c r="G769" s="553">
        <f>[8]Sales_NP!JH115</f>
        <v>1.0571575221495713</v>
      </c>
      <c r="H769" s="553">
        <f>[8]Sales_NP!JI115</f>
        <v>0.89156418425180628</v>
      </c>
      <c r="I769" s="553">
        <f>[8]Sales_NP!JJ115</f>
        <v>0.8487955767269002</v>
      </c>
      <c r="J769" s="553">
        <f>[8]Sales_NP!JK115</f>
        <v>0.88336096772428663</v>
      </c>
      <c r="K769" s="553">
        <f>[8]Sales_NP!JL115</f>
        <v>0.88468610742534115</v>
      </c>
      <c r="L769" s="553">
        <f>[8]Sales_NP!JM115</f>
        <v>0.77459389405960311</v>
      </c>
      <c r="M769" s="553">
        <f>[8]Sales_NP!JN115</f>
        <v>0.70269002082759102</v>
      </c>
      <c r="N769" s="553">
        <f>[8]Sales_NP!JO115</f>
        <v>0.73909513311522734</v>
      </c>
      <c r="O769" s="553">
        <f>[8]Sales_NP!JP115</f>
        <v>0.7600087605195438</v>
      </c>
      <c r="P769" s="553">
        <f>[8]Sales_NP!JQ115</f>
        <v>0.8317615751943459</v>
      </c>
      <c r="Q769" s="561">
        <f t="shared" si="144"/>
        <v>10.227445406395812</v>
      </c>
      <c r="R769" s="166"/>
      <c r="S769" s="166"/>
    </row>
    <row r="770" spans="3:19" hidden="1" x14ac:dyDescent="0.25">
      <c r="C770" s="17" t="s">
        <v>202</v>
      </c>
      <c r="D770" s="17" t="s">
        <v>203</v>
      </c>
      <c r="E770" s="553">
        <f>[8]Sales_NP!JF121</f>
        <v>3.0952319490066489</v>
      </c>
      <c r="F770" s="553">
        <f>[8]Sales_NP!JG121</f>
        <v>0.3249474923144357</v>
      </c>
      <c r="G770" s="553">
        <f>[8]Sales_NP!JH121</f>
        <v>0.44577766334928876</v>
      </c>
      <c r="H770" s="553">
        <f>[8]Sales_NP!JI121</f>
        <v>1.0402744447964574</v>
      </c>
      <c r="I770" s="553">
        <f>[8]Sales_NP!JJ121</f>
        <v>2.1090472837683221</v>
      </c>
      <c r="J770" s="553">
        <f>[8]Sales_NP!JK121</f>
        <v>1.4495111694218206</v>
      </c>
      <c r="K770" s="553">
        <f>[8]Sales_NP!JL121</f>
        <v>3.0119022992641709</v>
      </c>
      <c r="L770" s="553">
        <f>[8]Sales_NP!JM121</f>
        <v>1.289803665954339</v>
      </c>
      <c r="M770" s="553">
        <f>[8]Sales_NP!JN121</f>
        <v>1.5768594042902744</v>
      </c>
      <c r="N770" s="553">
        <f>[8]Sales_NP!JO121</f>
        <v>4.0466671264312133</v>
      </c>
      <c r="O770" s="553">
        <f>[8]Sales_NP!JP121</f>
        <v>4.4066607401096851</v>
      </c>
      <c r="P770" s="553">
        <f>[8]Sales_NP!JQ121</f>
        <v>4.8852320514423475</v>
      </c>
      <c r="Q770" s="561">
        <f t="shared" si="144"/>
        <v>27.681915290149004</v>
      </c>
      <c r="R770" s="166"/>
      <c r="S770" s="166"/>
    </row>
    <row r="771" spans="3:19" hidden="1" x14ac:dyDescent="0.25">
      <c r="C771" s="17" t="s">
        <v>204</v>
      </c>
      <c r="D771" s="17" t="s">
        <v>205</v>
      </c>
      <c r="E771" s="553">
        <f>[8]Sales_NP!JF122</f>
        <v>16.450991494671932</v>
      </c>
      <c r="F771" s="553">
        <f>[8]Sales_NP!JG122</f>
        <v>16.281792327609438</v>
      </c>
      <c r="G771" s="553">
        <f>[8]Sales_NP!JH122</f>
        <v>16.15214405602558</v>
      </c>
      <c r="H771" s="553">
        <f>[8]Sales_NP!JI122</f>
        <v>14.89561498165609</v>
      </c>
      <c r="I771" s="553">
        <f>[8]Sales_NP!JJ122</f>
        <v>15.306469178287035</v>
      </c>
      <c r="J771" s="553">
        <f>[8]Sales_NP!JK122</f>
        <v>15.612333071695888</v>
      </c>
      <c r="K771" s="553">
        <f>[8]Sales_NP!JL122</f>
        <v>16.139175635133743</v>
      </c>
      <c r="L771" s="553">
        <f>[8]Sales_NP!JM122</f>
        <v>15.77763985366318</v>
      </c>
      <c r="M771" s="553">
        <f>[8]Sales_NP!JN122</f>
        <v>15.921439999741523</v>
      </c>
      <c r="N771" s="553">
        <f>[8]Sales_NP!JO122</f>
        <v>16.865786405916928</v>
      </c>
      <c r="O771" s="553">
        <f>[8]Sales_NP!JP122</f>
        <v>15.664809015421239</v>
      </c>
      <c r="P771" s="553">
        <f>[8]Sales_NP!JQ122</f>
        <v>16.789293169759208</v>
      </c>
      <c r="Q771" s="561">
        <f t="shared" si="144"/>
        <v>191.8574891895818</v>
      </c>
      <c r="R771" s="166"/>
      <c r="S771" s="166"/>
    </row>
    <row r="772" spans="3:19" hidden="1" x14ac:dyDescent="0.25">
      <c r="C772" s="17" t="s">
        <v>206</v>
      </c>
      <c r="D772" s="17" t="s">
        <v>207</v>
      </c>
      <c r="E772" s="553">
        <f>[8]Sales_NP!JF126</f>
        <v>0.85774491887483517</v>
      </c>
      <c r="F772" s="553">
        <f>[8]Sales_NP!JG126</f>
        <v>0.92636795711692821</v>
      </c>
      <c r="G772" s="553">
        <f>[8]Sales_NP!JH126</f>
        <v>1.0313262945923329</v>
      </c>
      <c r="H772" s="553">
        <f>[8]Sales_NP!JI126</f>
        <v>0.78643675611936004</v>
      </c>
      <c r="I772" s="553">
        <f>[8]Sales_NP!JJ126</f>
        <v>0.84414374746021448</v>
      </c>
      <c r="J772" s="553">
        <f>[8]Sales_NP!JK126</f>
        <v>0.79366406905710718</v>
      </c>
      <c r="K772" s="553">
        <f>[8]Sales_NP!JL126</f>
        <v>0.80639853704121611</v>
      </c>
      <c r="L772" s="553">
        <f>[8]Sales_NP!JM126</f>
        <v>0.73266029243789765</v>
      </c>
      <c r="M772" s="553">
        <f>[8]Sales_NP!JN126</f>
        <v>0.60987546631402578</v>
      </c>
      <c r="N772" s="553">
        <f>[8]Sales_NP!JO126</f>
        <v>0.68947969222474559</v>
      </c>
      <c r="O772" s="553">
        <f>[8]Sales_NP!JP126</f>
        <v>0.70392990177702719</v>
      </c>
      <c r="P772" s="553">
        <f>[8]Sales_NP!JQ126</f>
        <v>0.82646299747776963</v>
      </c>
      <c r="Q772" s="561">
        <f t="shared" si="144"/>
        <v>9.6084906304934599</v>
      </c>
      <c r="R772" s="166"/>
      <c r="S772" s="166"/>
    </row>
    <row r="773" spans="3:19" hidden="1" x14ac:dyDescent="0.25">
      <c r="C773" s="17" t="s">
        <v>208</v>
      </c>
      <c r="D773" s="17" t="s">
        <v>187</v>
      </c>
      <c r="E773" s="553">
        <f>[8]Sales_NP!JF127</f>
        <v>1.7235805418755203</v>
      </c>
      <c r="F773" s="553">
        <f>[8]Sales_NP!JG127</f>
        <v>1.6150990825571041</v>
      </c>
      <c r="G773" s="553">
        <f>[8]Sales_NP!JH127</f>
        <v>1.5400911450301058</v>
      </c>
      <c r="H773" s="553">
        <f>[8]Sales_NP!JI127</f>
        <v>1.4943899283432482</v>
      </c>
      <c r="I773" s="553">
        <f>[8]Sales_NP!JJ127</f>
        <v>1.6451102069496866</v>
      </c>
      <c r="J773" s="553">
        <f>[8]Sales_NP!JK127</f>
        <v>1.6272770938164003</v>
      </c>
      <c r="K773" s="553">
        <f>[8]Sales_NP!JL127</f>
        <v>1.578830028171984</v>
      </c>
      <c r="L773" s="553">
        <f>[8]Sales_NP!JM127</f>
        <v>1.5029377219216227</v>
      </c>
      <c r="M773" s="553">
        <f>[8]Sales_NP!JN127</f>
        <v>1.5065602110369221</v>
      </c>
      <c r="N773" s="553">
        <f>[8]Sales_NP!JO127</f>
        <v>1.5171516581820192</v>
      </c>
      <c r="O773" s="553">
        <f>[8]Sales_NP!JP127</f>
        <v>1.3789317824294116</v>
      </c>
      <c r="P773" s="553">
        <f>[8]Sales_NP!JQ127</f>
        <v>1.2686628162906146</v>
      </c>
      <c r="Q773" s="561">
        <f t="shared" si="144"/>
        <v>18.39862221660464</v>
      </c>
      <c r="R773" s="166"/>
      <c r="S773" s="166"/>
    </row>
    <row r="774" spans="3:19" hidden="1" x14ac:dyDescent="0.25">
      <c r="C774" s="17" t="s">
        <v>209</v>
      </c>
      <c r="D774" s="17" t="s">
        <v>210</v>
      </c>
      <c r="E774" s="553">
        <f>[8]Sales_NP!JF128</f>
        <v>106.54759388785189</v>
      </c>
      <c r="F774" s="553">
        <f>[8]Sales_NP!JG128</f>
        <v>53.219834754598807</v>
      </c>
      <c r="G774" s="553">
        <f>[8]Sales_NP!JH128</f>
        <v>90.277025178497524</v>
      </c>
      <c r="H774" s="553">
        <f>[8]Sales_NP!JI128</f>
        <v>127.10291674158277</v>
      </c>
      <c r="I774" s="553">
        <f>[8]Sales_NP!JJ128</f>
        <v>138.22075343897208</v>
      </c>
      <c r="J774" s="553">
        <f>[8]Sales_NP!JK128</f>
        <v>122.90608332582099</v>
      </c>
      <c r="K774" s="553">
        <f>[8]Sales_NP!JL128</f>
        <v>125.44189347582621</v>
      </c>
      <c r="L774" s="553">
        <f>[8]Sales_NP!JM128</f>
        <v>70.528879082082724</v>
      </c>
      <c r="M774" s="553">
        <f>[8]Sales_NP!JN128</f>
        <v>143.0831270915705</v>
      </c>
      <c r="N774" s="553">
        <f>[8]Sales_NP!JO128</f>
        <v>153.17815194484621</v>
      </c>
      <c r="O774" s="553">
        <f>[8]Sales_NP!JP128</f>
        <v>166.8160563031162</v>
      </c>
      <c r="P774" s="553">
        <f>[8]Sales_NP!JQ128</f>
        <v>182.49584969584498</v>
      </c>
      <c r="Q774" s="561">
        <f t="shared" si="144"/>
        <v>1479.818164920611</v>
      </c>
      <c r="R774" s="166"/>
      <c r="S774" s="166"/>
    </row>
    <row r="775" spans="3:19" hidden="1" x14ac:dyDescent="0.25">
      <c r="C775" s="17" t="s">
        <v>211</v>
      </c>
      <c r="D775" s="17" t="s">
        <v>189</v>
      </c>
      <c r="E775" s="553">
        <v>0</v>
      </c>
      <c r="F775" s="553">
        <v>0</v>
      </c>
      <c r="G775" s="553">
        <v>0</v>
      </c>
      <c r="H775" s="553">
        <v>0</v>
      </c>
      <c r="I775" s="553">
        <v>0</v>
      </c>
      <c r="J775" s="553">
        <v>0</v>
      </c>
      <c r="K775" s="553">
        <v>0</v>
      </c>
      <c r="L775" s="553">
        <v>0</v>
      </c>
      <c r="M775" s="553">
        <v>0</v>
      </c>
      <c r="N775" s="553">
        <v>0</v>
      </c>
      <c r="O775" s="553">
        <v>0</v>
      </c>
      <c r="P775" s="553">
        <v>0</v>
      </c>
      <c r="Q775" s="561">
        <f t="shared" si="144"/>
        <v>0</v>
      </c>
      <c r="R775" s="166"/>
      <c r="S775" s="166"/>
    </row>
    <row r="776" spans="3:19" hidden="1" x14ac:dyDescent="0.25">
      <c r="C776" s="17"/>
      <c r="D776" s="17"/>
      <c r="E776" s="553"/>
      <c r="F776" s="553"/>
      <c r="G776" s="553"/>
      <c r="H776" s="553"/>
      <c r="I776" s="553"/>
      <c r="J776" s="553"/>
      <c r="K776" s="553"/>
      <c r="L776" s="553"/>
      <c r="M776" s="553"/>
      <c r="N776" s="553"/>
      <c r="O776" s="553"/>
      <c r="P776" s="553"/>
      <c r="Q776" s="561">
        <f t="shared" si="144"/>
        <v>0</v>
      </c>
      <c r="R776" s="166"/>
      <c r="S776" s="166"/>
    </row>
    <row r="777" spans="3:19" hidden="1" x14ac:dyDescent="0.25">
      <c r="C777" s="17"/>
      <c r="D777" s="17"/>
      <c r="E777" s="553"/>
      <c r="F777" s="553"/>
      <c r="G777" s="553"/>
      <c r="H777" s="553"/>
      <c r="I777" s="553"/>
      <c r="J777" s="553"/>
      <c r="K777" s="553"/>
      <c r="L777" s="553"/>
      <c r="M777" s="553"/>
      <c r="N777" s="553"/>
      <c r="O777" s="553"/>
      <c r="P777" s="553"/>
      <c r="Q777" s="561">
        <f t="shared" si="144"/>
        <v>0</v>
      </c>
      <c r="R777" s="166"/>
      <c r="S777" s="166"/>
    </row>
    <row r="778" spans="3:19" hidden="1" x14ac:dyDescent="0.25">
      <c r="C778" s="17"/>
      <c r="D778" s="17"/>
      <c r="E778" s="553"/>
      <c r="F778" s="553"/>
      <c r="G778" s="553"/>
      <c r="H778" s="553"/>
      <c r="I778" s="553"/>
      <c r="J778" s="553"/>
      <c r="K778" s="553"/>
      <c r="L778" s="553"/>
      <c r="M778" s="553"/>
      <c r="N778" s="553"/>
      <c r="O778" s="553"/>
      <c r="P778" s="553"/>
      <c r="Q778" s="561">
        <f t="shared" si="144"/>
        <v>0</v>
      </c>
      <c r="R778" s="166"/>
      <c r="S778" s="166"/>
    </row>
    <row r="779" spans="3:19" hidden="1" x14ac:dyDescent="0.25">
      <c r="C779" s="17" t="s">
        <v>226</v>
      </c>
      <c r="D779" s="17" t="s">
        <v>226</v>
      </c>
      <c r="E779" s="553"/>
      <c r="F779" s="553"/>
      <c r="G779" s="553"/>
      <c r="H779" s="553"/>
      <c r="I779" s="553"/>
      <c r="J779" s="553"/>
      <c r="K779" s="553"/>
      <c r="L779" s="553"/>
      <c r="M779" s="553"/>
      <c r="N779" s="553"/>
      <c r="O779" s="553"/>
      <c r="P779" s="553"/>
      <c r="Q779" s="561">
        <f t="shared" si="144"/>
        <v>0</v>
      </c>
      <c r="R779" s="166"/>
      <c r="S779" s="166"/>
    </row>
    <row r="780" spans="3:19" hidden="1" x14ac:dyDescent="0.25">
      <c r="C780" s="751" t="s">
        <v>212</v>
      </c>
      <c r="D780" s="752"/>
      <c r="E780" s="561">
        <f t="shared" ref="E780:P780" si="145">SUM(E765:E779)</f>
        <v>299.84476671679545</v>
      </c>
      <c r="F780" s="561">
        <f t="shared" si="145"/>
        <v>231.76476843331108</v>
      </c>
      <c r="G780" s="561">
        <f t="shared" si="145"/>
        <v>282.65885980106953</v>
      </c>
      <c r="H780" s="561">
        <f t="shared" si="145"/>
        <v>310.12956849522192</v>
      </c>
      <c r="I780" s="561">
        <f t="shared" si="145"/>
        <v>330.91535713526935</v>
      </c>
      <c r="J780" s="561">
        <f t="shared" si="145"/>
        <v>308.39109775741758</v>
      </c>
      <c r="K780" s="561">
        <f t="shared" si="145"/>
        <v>320.67497119215352</v>
      </c>
      <c r="L780" s="561">
        <f t="shared" si="145"/>
        <v>266.65125360220179</v>
      </c>
      <c r="M780" s="561">
        <f t="shared" si="145"/>
        <v>353.4178516061387</v>
      </c>
      <c r="N780" s="561">
        <f t="shared" si="145"/>
        <v>377.34703737482562</v>
      </c>
      <c r="O780" s="561">
        <f t="shared" si="145"/>
        <v>375.58573829980935</v>
      </c>
      <c r="P780" s="561">
        <f t="shared" si="145"/>
        <v>376.92098480430991</v>
      </c>
      <c r="Q780" s="561">
        <f t="shared" si="144"/>
        <v>3834.3022552185239</v>
      </c>
      <c r="R780" s="166"/>
      <c r="S780" s="166"/>
    </row>
    <row r="781" spans="3:19" hidden="1" x14ac:dyDescent="0.25">
      <c r="C781" s="753" t="s">
        <v>213</v>
      </c>
      <c r="D781" s="754"/>
      <c r="E781" s="553"/>
      <c r="F781" s="553"/>
      <c r="G781" s="553"/>
      <c r="H781" s="553"/>
      <c r="I781" s="553"/>
      <c r="J781" s="553"/>
      <c r="K781" s="553"/>
      <c r="L781" s="553"/>
      <c r="M781" s="553"/>
      <c r="N781" s="553"/>
      <c r="O781" s="553"/>
      <c r="P781" s="553"/>
      <c r="Q781" s="561"/>
      <c r="R781" s="166"/>
      <c r="S781" s="166"/>
    </row>
    <row r="782" spans="3:19" hidden="1" x14ac:dyDescent="0.25">
      <c r="C782" s="17" t="s">
        <v>192</v>
      </c>
      <c r="D782" s="17" t="s">
        <v>193</v>
      </c>
      <c r="E782" s="553">
        <f>[8]Sales_NP!JF143</f>
        <v>20.989211470061697</v>
      </c>
      <c r="F782" s="553">
        <f>[8]Sales_NP!JG143</f>
        <v>20.617593475206341</v>
      </c>
      <c r="G782" s="553">
        <f>[8]Sales_NP!JH143</f>
        <v>17.946446109593481</v>
      </c>
      <c r="H782" s="553">
        <f>[8]Sales_NP!JI143</f>
        <v>18.356329669989268</v>
      </c>
      <c r="I782" s="553">
        <f>[8]Sales_NP!JJ143</f>
        <v>18.438161798529674</v>
      </c>
      <c r="J782" s="553">
        <f>[8]Sales_NP!JK143</f>
        <v>18.935533959354274</v>
      </c>
      <c r="K782" s="553">
        <f>[8]Sales_NP!JL143</f>
        <v>17.019700335848597</v>
      </c>
      <c r="L782" s="553">
        <f>[8]Sales_NP!JM143</f>
        <v>19.121113155130963</v>
      </c>
      <c r="M782" s="553">
        <f>[8]Sales_NP!JN143</f>
        <v>19.564197069676638</v>
      </c>
      <c r="N782" s="553">
        <f>[8]Sales_NP!JO143</f>
        <v>20.820771647421264</v>
      </c>
      <c r="O782" s="553">
        <f>[8]Sales_NP!JP143</f>
        <v>21.049615791530993</v>
      </c>
      <c r="P782" s="553">
        <f>[8]Sales_NP!JQ143</f>
        <v>21.876651214972057</v>
      </c>
      <c r="Q782" s="561">
        <f t="shared" ref="Q782:Q797" si="146">SUM(E782:P782)</f>
        <v>234.7353256973152</v>
      </c>
      <c r="R782" s="166"/>
      <c r="S782" s="166"/>
    </row>
    <row r="783" spans="3:19" hidden="1" x14ac:dyDescent="0.25">
      <c r="C783" s="17" t="s">
        <v>194</v>
      </c>
      <c r="D783" s="17" t="s">
        <v>195</v>
      </c>
      <c r="E783" s="553">
        <f>[8]Sales_NP!JF159</f>
        <v>4.7224605723750002E-3</v>
      </c>
      <c r="F783" s="553">
        <f>[8]Sales_NP!JG159</f>
        <v>3.0995409375000008E-3</v>
      </c>
      <c r="G783" s="553">
        <f>[8]Sales_NP!JH159</f>
        <v>2.6036143875000002E-3</v>
      </c>
      <c r="H783" s="553">
        <f>[8]Sales_NP!JI159</f>
        <v>3.0995409375000008E-3</v>
      </c>
      <c r="I783" s="553">
        <f>[8]Sales_NP!JJ159</f>
        <v>2.7275960250000013E-3</v>
      </c>
      <c r="J783" s="553">
        <f>[8]Sales_NP!JK159</f>
        <v>3.2235225750000002E-3</v>
      </c>
      <c r="K783" s="553">
        <f>[8]Sales_NP!JL159</f>
        <v>2.9755592999999997E-3</v>
      </c>
      <c r="L783" s="553">
        <f>[8]Sales_NP!JM159</f>
        <v>3.0995409375000008E-3</v>
      </c>
      <c r="M783" s="553">
        <f>[8]Sales_NP!JN159</f>
        <v>2.2316694750000006E-3</v>
      </c>
      <c r="N783" s="553">
        <f>[8]Sales_NP!JO159</f>
        <v>2.6036143875000002E-3</v>
      </c>
      <c r="O783" s="553">
        <f>[8]Sales_NP!JP159</f>
        <v>2.4796327500000006E-4</v>
      </c>
      <c r="P783" s="553">
        <f>[8]Sales_NP!JQ159</f>
        <v>9.9185310000000026E-4</v>
      </c>
      <c r="Q783" s="561">
        <f t="shared" si="146"/>
        <v>3.1626475909875003E-2</v>
      </c>
      <c r="R783" s="166"/>
      <c r="S783" s="166"/>
    </row>
    <row r="784" spans="3:19" hidden="1" x14ac:dyDescent="0.25">
      <c r="C784" s="17" t="s">
        <v>233</v>
      </c>
      <c r="D784" s="17" t="s">
        <v>197</v>
      </c>
      <c r="E784" s="553">
        <f>[8]Sales_NP!JF160</f>
        <v>2.779923382981242</v>
      </c>
      <c r="F784" s="553">
        <f>[8]Sales_NP!JG160</f>
        <v>2.4981674238034386</v>
      </c>
      <c r="G784" s="553">
        <f>[8]Sales_NP!JH160</f>
        <v>2.7354556413982047</v>
      </c>
      <c r="H784" s="553">
        <f>[8]Sales_NP!JI160</f>
        <v>2.914055249672606</v>
      </c>
      <c r="I784" s="553">
        <f>[8]Sales_NP!JJ160</f>
        <v>3.6341510864316549</v>
      </c>
      <c r="J784" s="553">
        <f>[8]Sales_NP!JK160</f>
        <v>3.2722095223265057</v>
      </c>
      <c r="K784" s="553">
        <f>[8]Sales_NP!JL160</f>
        <v>3.4338918760151369</v>
      </c>
      <c r="L784" s="553">
        <f>[8]Sales_NP!JM160</f>
        <v>2.9194953645126338</v>
      </c>
      <c r="M784" s="553">
        <f>[8]Sales_NP!JN160</f>
        <v>2.3103111812276471</v>
      </c>
      <c r="N784" s="553">
        <f>[8]Sales_NP!JO160</f>
        <v>2.1505002435104705</v>
      </c>
      <c r="O784" s="553">
        <f>[8]Sales_NP!JP160</f>
        <v>2.4127290102980554</v>
      </c>
      <c r="P784" s="553">
        <f>[8]Sales_NP!JQ160</f>
        <v>2.6685811309356566</v>
      </c>
      <c r="Q784" s="561">
        <f t="shared" si="146"/>
        <v>33.729471113113249</v>
      </c>
      <c r="R784" s="166"/>
      <c r="S784" s="166"/>
    </row>
    <row r="785" spans="3:19" hidden="1" x14ac:dyDescent="0.25">
      <c r="C785" s="17" t="s">
        <v>198</v>
      </c>
      <c r="D785" s="17" t="s">
        <v>199</v>
      </c>
      <c r="E785" s="553">
        <f>[8]Sales_NP!JF166</f>
        <v>0</v>
      </c>
      <c r="F785" s="553">
        <f>[8]Sales_NP!JG166</f>
        <v>0</v>
      </c>
      <c r="G785" s="553">
        <f>[8]Sales_NP!JH166</f>
        <v>0</v>
      </c>
      <c r="H785" s="553">
        <f>[8]Sales_NP!JI166</f>
        <v>0</v>
      </c>
      <c r="I785" s="553">
        <f>[8]Sales_NP!JJ166</f>
        <v>0</v>
      </c>
      <c r="J785" s="553">
        <f>[8]Sales_NP!JK166</f>
        <v>0</v>
      </c>
      <c r="K785" s="553">
        <f>[8]Sales_NP!JL166</f>
        <v>0</v>
      </c>
      <c r="L785" s="553">
        <f>[8]Sales_NP!JM166</f>
        <v>0</v>
      </c>
      <c r="M785" s="553">
        <f>[8]Sales_NP!JN166</f>
        <v>0</v>
      </c>
      <c r="N785" s="553">
        <f>[8]Sales_NP!JO166</f>
        <v>0</v>
      </c>
      <c r="O785" s="553">
        <f>[8]Sales_NP!JP166</f>
        <v>0</v>
      </c>
      <c r="P785" s="553">
        <f>[8]Sales_NP!JQ166</f>
        <v>0</v>
      </c>
      <c r="Q785" s="561">
        <f t="shared" si="146"/>
        <v>0</v>
      </c>
      <c r="R785" s="166"/>
      <c r="S785" s="166"/>
    </row>
    <row r="786" spans="3:19" hidden="1" x14ac:dyDescent="0.25">
      <c r="C786" s="17" t="s">
        <v>200</v>
      </c>
      <c r="D786" s="17" t="s">
        <v>201</v>
      </c>
      <c r="E786" s="553">
        <f>[8]Sales_NP!JF171</f>
        <v>0</v>
      </c>
      <c r="F786" s="553">
        <f>[8]Sales_NP!JG171</f>
        <v>0</v>
      </c>
      <c r="G786" s="553">
        <f>[8]Sales_NP!JH171</f>
        <v>0</v>
      </c>
      <c r="H786" s="553">
        <f>[8]Sales_NP!JI171</f>
        <v>0</v>
      </c>
      <c r="I786" s="553">
        <f>[8]Sales_NP!JJ171</f>
        <v>0</v>
      </c>
      <c r="J786" s="553">
        <f>[8]Sales_NP!JK171</f>
        <v>0</v>
      </c>
      <c r="K786" s="553">
        <f>[8]Sales_NP!JL171</f>
        <v>0</v>
      </c>
      <c r="L786" s="553">
        <f>[8]Sales_NP!JM171</f>
        <v>0</v>
      </c>
      <c r="M786" s="553">
        <f>[8]Sales_NP!JN171</f>
        <v>0</v>
      </c>
      <c r="N786" s="553">
        <f>[8]Sales_NP!JO171</f>
        <v>0</v>
      </c>
      <c r="O786" s="553">
        <f>[8]Sales_NP!JP171</f>
        <v>0</v>
      </c>
      <c r="P786" s="553">
        <f>[8]Sales_NP!JQ171</f>
        <v>0</v>
      </c>
      <c r="Q786" s="561">
        <f t="shared" si="146"/>
        <v>0</v>
      </c>
      <c r="R786" s="166"/>
      <c r="S786" s="166"/>
    </row>
    <row r="787" spans="3:19" hidden="1" x14ac:dyDescent="0.25">
      <c r="C787" s="17" t="s">
        <v>202</v>
      </c>
      <c r="D787" s="17" t="s">
        <v>203</v>
      </c>
      <c r="E787" s="553">
        <f>[8]Sales_NP!JF177</f>
        <v>4.4165750665522658</v>
      </c>
      <c r="F787" s="553">
        <f>[8]Sales_NP!JG177</f>
        <v>4.3787424288875352</v>
      </c>
      <c r="G787" s="553">
        <f>[8]Sales_NP!JH177</f>
        <v>0.16120675027029213</v>
      </c>
      <c r="H787" s="553">
        <f>[8]Sales_NP!JI177</f>
        <v>0.59925408792736667</v>
      </c>
      <c r="I787" s="553">
        <f>[8]Sales_NP!JJ177</f>
        <v>0.52829176479379891</v>
      </c>
      <c r="J787" s="553">
        <f>[8]Sales_NP!JK177</f>
        <v>4.3727004416914239</v>
      </c>
      <c r="K787" s="553">
        <f>[8]Sales_NP!JL177</f>
        <v>2.6980314197587427</v>
      </c>
      <c r="L787" s="553">
        <f>[8]Sales_NP!JM177</f>
        <v>1.4271500351116746</v>
      </c>
      <c r="M787" s="553">
        <f>[8]Sales_NP!JN177</f>
        <v>0.60317974663532659</v>
      </c>
      <c r="N787" s="553">
        <f>[8]Sales_NP!JO177</f>
        <v>9.7151300305415944</v>
      </c>
      <c r="O787" s="553">
        <f>[8]Sales_NP!JP177</f>
        <v>7.9267606073951784</v>
      </c>
      <c r="P787" s="553">
        <f>[8]Sales_NP!JQ177</f>
        <v>5.7508287320389764</v>
      </c>
      <c r="Q787" s="561">
        <f t="shared" si="146"/>
        <v>42.577851111604176</v>
      </c>
      <c r="R787" s="166"/>
      <c r="S787" s="166"/>
    </row>
    <row r="788" spans="3:19" hidden="1" x14ac:dyDescent="0.25">
      <c r="C788" s="17" t="s">
        <v>204</v>
      </c>
      <c r="D788" s="17" t="s">
        <v>205</v>
      </c>
      <c r="E788" s="553">
        <f>[8]Sales_NP!JF178+[8]Sales_NP!JF179</f>
        <v>37.882023104219023</v>
      </c>
      <c r="F788" s="553">
        <f>[8]Sales_NP!JG178+[8]Sales_NP!JG179</f>
        <v>38.818425551314967</v>
      </c>
      <c r="G788" s="553">
        <f>[8]Sales_NP!JH178+[8]Sales_NP!JH179</f>
        <v>38.886781554696832</v>
      </c>
      <c r="H788" s="553">
        <f>[8]Sales_NP!JI178+[8]Sales_NP!JI179</f>
        <v>37.448603525317559</v>
      </c>
      <c r="I788" s="553">
        <f>[8]Sales_NP!JJ178+[8]Sales_NP!JJ179</f>
        <v>38.372458072541406</v>
      </c>
      <c r="J788" s="553">
        <f>[8]Sales_NP!JK178+[8]Sales_NP!JK179</f>
        <v>34.983298793288334</v>
      </c>
      <c r="K788" s="553">
        <f>[8]Sales_NP!JL178+[8]Sales_NP!JL179</f>
        <v>39.089890349771466</v>
      </c>
      <c r="L788" s="553">
        <f>[8]Sales_NP!JM178+[8]Sales_NP!JM179</f>
        <v>39.114646272286322</v>
      </c>
      <c r="M788" s="553">
        <f>[8]Sales_NP!JN178+[8]Sales_NP!JN179</f>
        <v>38.729016843723919</v>
      </c>
      <c r="N788" s="553">
        <f>[8]Sales_NP!JO178+[8]Sales_NP!JO179</f>
        <v>40.381102315746062</v>
      </c>
      <c r="O788" s="553">
        <f>[8]Sales_NP!JP178+[8]Sales_NP!JP179</f>
        <v>36.345287239669915</v>
      </c>
      <c r="P788" s="553">
        <f>[8]Sales_NP!JQ178+[8]Sales_NP!JQ179</f>
        <v>48.451641973776439</v>
      </c>
      <c r="Q788" s="561">
        <f t="shared" si="146"/>
        <v>468.50317559635221</v>
      </c>
      <c r="R788" s="166"/>
      <c r="S788" s="166"/>
    </row>
    <row r="789" spans="3:19" hidden="1" x14ac:dyDescent="0.25">
      <c r="C789" s="17" t="s">
        <v>206</v>
      </c>
      <c r="D789" s="17" t="s">
        <v>207</v>
      </c>
      <c r="E789" s="553">
        <f>[8]Sales_NP!JF182</f>
        <v>3.4494464882793676</v>
      </c>
      <c r="F789" s="553">
        <f>[8]Sales_NP!JG182</f>
        <v>4.2840005885585901</v>
      </c>
      <c r="G789" s="553">
        <f>[8]Sales_NP!JH182</f>
        <v>4.5753967749872357</v>
      </c>
      <c r="H789" s="553">
        <f>[8]Sales_NP!JI182</f>
        <v>3.6771057313326283</v>
      </c>
      <c r="I789" s="553">
        <f>[8]Sales_NP!JJ182</f>
        <v>3.640077100962142</v>
      </c>
      <c r="J789" s="553">
        <f>[8]Sales_NP!JK182</f>
        <v>3.7336637713109897</v>
      </c>
      <c r="K789" s="553">
        <f>[8]Sales_NP!JL182</f>
        <v>1.9954444634440474</v>
      </c>
      <c r="L789" s="553">
        <f>[8]Sales_NP!JM182</f>
        <v>1.468927460528604</v>
      </c>
      <c r="M789" s="553">
        <f>[8]Sales_NP!JN182</f>
        <v>0.7283216651388722</v>
      </c>
      <c r="N789" s="553">
        <f>[8]Sales_NP!JO182</f>
        <v>2.0204682003608814</v>
      </c>
      <c r="O789" s="553">
        <f>[8]Sales_NP!JP182</f>
        <v>2.5431365420099148</v>
      </c>
      <c r="P789" s="553">
        <f>[8]Sales_NP!JQ182</f>
        <v>3.6863410266887255</v>
      </c>
      <c r="Q789" s="561">
        <f t="shared" si="146"/>
        <v>35.802329813602</v>
      </c>
      <c r="R789" s="166"/>
      <c r="S789" s="166"/>
    </row>
    <row r="790" spans="3:19" hidden="1" x14ac:dyDescent="0.25">
      <c r="C790" s="17" t="s">
        <v>214</v>
      </c>
      <c r="D790" s="17" t="s">
        <v>187</v>
      </c>
      <c r="E790" s="553">
        <f>[8]Sales_NP!JF183</f>
        <v>0.65505785067725042</v>
      </c>
      <c r="F790" s="553">
        <f>[8]Sales_NP!JG183</f>
        <v>0.52404979043615296</v>
      </c>
      <c r="G790" s="553">
        <f>[8]Sales_NP!JH183</f>
        <v>0.61122303081550433</v>
      </c>
      <c r="H790" s="553">
        <f>[8]Sales_NP!JI183</f>
        <v>0.52052360014557864</v>
      </c>
      <c r="I790" s="553">
        <f>[8]Sales_NP!JJ183</f>
        <v>0.5593505528865127</v>
      </c>
      <c r="J790" s="553">
        <f>[8]Sales_NP!JK183</f>
        <v>0.75069745764833296</v>
      </c>
      <c r="K790" s="553">
        <f>[8]Sales_NP!JL183</f>
        <v>0.80549317615948568</v>
      </c>
      <c r="L790" s="553">
        <f>[8]Sales_NP!JM183</f>
        <v>0.81840331970823255</v>
      </c>
      <c r="M790" s="553">
        <f>[8]Sales_NP!JN183</f>
        <v>0.96700221832388711</v>
      </c>
      <c r="N790" s="553">
        <f>[8]Sales_NP!JO183</f>
        <v>0.90386674012443313</v>
      </c>
      <c r="O790" s="553">
        <f>[8]Sales_NP!JP183</f>
        <v>0.85171221711354317</v>
      </c>
      <c r="P790" s="553">
        <f>[8]Sales_NP!JQ183</f>
        <v>0.83531098221774758</v>
      </c>
      <c r="Q790" s="561">
        <f t="shared" si="146"/>
        <v>8.8026909362566617</v>
      </c>
      <c r="R790" s="166"/>
      <c r="S790" s="166"/>
    </row>
    <row r="791" spans="3:19" hidden="1" x14ac:dyDescent="0.25">
      <c r="C791" s="17" t="s">
        <v>209</v>
      </c>
      <c r="D791" s="17" t="s">
        <v>210</v>
      </c>
      <c r="E791" s="553">
        <f>[8]Sales_NP!JF184</f>
        <v>0</v>
      </c>
      <c r="F791" s="553">
        <f>[8]Sales_NP!JG184</f>
        <v>0</v>
      </c>
      <c r="G791" s="553">
        <f>[8]Sales_NP!JH184</f>
        <v>0</v>
      </c>
      <c r="H791" s="553">
        <f>[8]Sales_NP!JI184</f>
        <v>0</v>
      </c>
      <c r="I791" s="553">
        <f>[8]Sales_NP!JJ184</f>
        <v>0</v>
      </c>
      <c r="J791" s="553">
        <f>[8]Sales_NP!JK184</f>
        <v>0</v>
      </c>
      <c r="K791" s="553">
        <f>[8]Sales_NP!JL184</f>
        <v>0</v>
      </c>
      <c r="L791" s="553">
        <f>[8]Sales_NP!JM184</f>
        <v>0</v>
      </c>
      <c r="M791" s="553">
        <f>[8]Sales_NP!JN184</f>
        <v>0</v>
      </c>
      <c r="N791" s="553">
        <f>[8]Sales_NP!JO184</f>
        <v>0</v>
      </c>
      <c r="O791" s="553">
        <f>[8]Sales_NP!JP184</f>
        <v>0</v>
      </c>
      <c r="P791" s="553">
        <f>[8]Sales_NP!JQ184</f>
        <v>0</v>
      </c>
      <c r="Q791" s="561">
        <f t="shared" si="146"/>
        <v>0</v>
      </c>
      <c r="R791" s="166"/>
      <c r="S791" s="166"/>
    </row>
    <row r="792" spans="3:19" hidden="1" x14ac:dyDescent="0.25">
      <c r="C792" s="17" t="s">
        <v>211</v>
      </c>
      <c r="D792" s="17" t="s">
        <v>189</v>
      </c>
      <c r="E792" s="553">
        <f>[8]Sales_NP!JF188</f>
        <v>6.9551999999999996</v>
      </c>
      <c r="F792" s="553">
        <f>[8]Sales_NP!JG188</f>
        <v>7.1870399999999997</v>
      </c>
      <c r="G792" s="553">
        <f>[8]Sales_NP!JH188</f>
        <v>6.9551999999999996</v>
      </c>
      <c r="H792" s="553">
        <f>[8]Sales_NP!JI188</f>
        <v>7.1870399999999997</v>
      </c>
      <c r="I792" s="553">
        <f>[8]Sales_NP!JJ188</f>
        <v>7.1870399999999997</v>
      </c>
      <c r="J792" s="553">
        <f>[8]Sales_NP!JK188</f>
        <v>6.9551999999999996</v>
      </c>
      <c r="K792" s="553">
        <f>[8]Sales_NP!JL188</f>
        <v>7.1870399999999997</v>
      </c>
      <c r="L792" s="553">
        <f>[8]Sales_NP!JM188</f>
        <v>6.9551999999999996</v>
      </c>
      <c r="M792" s="553">
        <f>[8]Sales_NP!JN188</f>
        <v>7.1870399999999997</v>
      </c>
      <c r="N792" s="553">
        <f>[8]Sales_NP!JO188</f>
        <v>7.1870399999999997</v>
      </c>
      <c r="O792" s="553">
        <f>[8]Sales_NP!JP188</f>
        <v>6.4915200000000004</v>
      </c>
      <c r="P792" s="553">
        <f>[8]Sales_NP!JQ188</f>
        <v>7.1870399999999997</v>
      </c>
      <c r="Q792" s="561">
        <f t="shared" si="146"/>
        <v>84.621599999999987</v>
      </c>
      <c r="R792" s="166"/>
      <c r="S792" s="166"/>
    </row>
    <row r="793" spans="3:19" hidden="1" x14ac:dyDescent="0.25">
      <c r="C793" s="17"/>
      <c r="D793" s="17"/>
      <c r="E793" s="553"/>
      <c r="F793" s="553"/>
      <c r="G793" s="553"/>
      <c r="H793" s="553"/>
      <c r="I793" s="553"/>
      <c r="J793" s="553"/>
      <c r="K793" s="553"/>
      <c r="L793" s="553"/>
      <c r="M793" s="553"/>
      <c r="N793" s="553"/>
      <c r="O793" s="553"/>
      <c r="P793" s="553"/>
      <c r="Q793" s="561">
        <f t="shared" si="146"/>
        <v>0</v>
      </c>
      <c r="R793" s="166"/>
      <c r="S793" s="166"/>
    </row>
    <row r="794" spans="3:19" hidden="1" x14ac:dyDescent="0.25">
      <c r="C794" s="17"/>
      <c r="D794" s="17"/>
      <c r="E794" s="553"/>
      <c r="F794" s="553"/>
      <c r="G794" s="553"/>
      <c r="H794" s="553"/>
      <c r="I794" s="553"/>
      <c r="J794" s="553"/>
      <c r="K794" s="553"/>
      <c r="L794" s="553"/>
      <c r="M794" s="553"/>
      <c r="N794" s="553"/>
      <c r="O794" s="553"/>
      <c r="P794" s="553"/>
      <c r="Q794" s="561">
        <f t="shared" si="146"/>
        <v>0</v>
      </c>
      <c r="R794" s="166"/>
      <c r="S794" s="166"/>
    </row>
    <row r="795" spans="3:19" hidden="1" x14ac:dyDescent="0.25">
      <c r="C795" s="17"/>
      <c r="D795" s="17"/>
      <c r="E795" s="553"/>
      <c r="F795" s="553"/>
      <c r="G795" s="553"/>
      <c r="H795" s="553"/>
      <c r="I795" s="553"/>
      <c r="J795" s="553"/>
      <c r="K795" s="553"/>
      <c r="L795" s="553"/>
      <c r="M795" s="553"/>
      <c r="N795" s="553"/>
      <c r="O795" s="553"/>
      <c r="P795" s="553"/>
      <c r="Q795" s="561">
        <f t="shared" si="146"/>
        <v>0</v>
      </c>
      <c r="R795" s="166"/>
      <c r="S795" s="166"/>
    </row>
    <row r="796" spans="3:19" hidden="1" x14ac:dyDescent="0.25">
      <c r="C796" s="17" t="s">
        <v>226</v>
      </c>
      <c r="D796" s="17" t="s">
        <v>226</v>
      </c>
      <c r="E796" s="553"/>
      <c r="F796" s="553"/>
      <c r="G796" s="553"/>
      <c r="H796" s="553"/>
      <c r="I796" s="553"/>
      <c r="J796" s="553"/>
      <c r="K796" s="553"/>
      <c r="L796" s="553"/>
      <c r="M796" s="553"/>
      <c r="N796" s="553"/>
      <c r="O796" s="553"/>
      <c r="P796" s="553"/>
      <c r="Q796" s="561">
        <f t="shared" si="146"/>
        <v>0</v>
      </c>
      <c r="R796" s="166"/>
      <c r="S796" s="166"/>
    </row>
    <row r="797" spans="3:19" hidden="1" x14ac:dyDescent="0.25">
      <c r="C797" s="751" t="s">
        <v>212</v>
      </c>
      <c r="D797" s="752"/>
      <c r="E797" s="561">
        <f t="shared" ref="E797:P797" si="147">SUM(E782:E796)</f>
        <v>77.13215982334323</v>
      </c>
      <c r="F797" s="561">
        <f t="shared" si="147"/>
        <v>78.311118799144509</v>
      </c>
      <c r="G797" s="561">
        <f t="shared" si="147"/>
        <v>71.874313476149055</v>
      </c>
      <c r="H797" s="561">
        <f t="shared" si="147"/>
        <v>70.706011405322513</v>
      </c>
      <c r="I797" s="561">
        <f t="shared" si="147"/>
        <v>72.362257972170184</v>
      </c>
      <c r="J797" s="561">
        <f t="shared" si="147"/>
        <v>73.006527468194861</v>
      </c>
      <c r="K797" s="561">
        <f t="shared" si="147"/>
        <v>72.232467180297476</v>
      </c>
      <c r="L797" s="561">
        <f t="shared" si="147"/>
        <v>71.828035148215946</v>
      </c>
      <c r="M797" s="561">
        <f t="shared" si="147"/>
        <v>70.091300394201284</v>
      </c>
      <c r="N797" s="561">
        <f t="shared" si="147"/>
        <v>83.181482792092197</v>
      </c>
      <c r="O797" s="561">
        <f t="shared" si="147"/>
        <v>77.621009371292601</v>
      </c>
      <c r="P797" s="561">
        <f t="shared" si="147"/>
        <v>90.457386913729593</v>
      </c>
      <c r="Q797" s="561">
        <f t="shared" si="146"/>
        <v>908.80407074415348</v>
      </c>
      <c r="R797" s="166"/>
      <c r="S797" s="166"/>
    </row>
    <row r="798" spans="3:19" hidden="1" x14ac:dyDescent="0.25">
      <c r="C798" s="753" t="s">
        <v>215</v>
      </c>
      <c r="D798" s="754"/>
      <c r="E798" s="553"/>
      <c r="F798" s="553"/>
      <c r="G798" s="553"/>
      <c r="H798" s="553"/>
      <c r="I798" s="553"/>
      <c r="J798" s="553"/>
      <c r="K798" s="553"/>
      <c r="L798" s="553"/>
      <c r="M798" s="553"/>
      <c r="N798" s="553"/>
      <c r="O798" s="553"/>
      <c r="P798" s="553"/>
      <c r="Q798" s="561"/>
      <c r="R798" s="166"/>
      <c r="S798" s="166"/>
    </row>
    <row r="799" spans="3:19" hidden="1" x14ac:dyDescent="0.25">
      <c r="C799" s="17" t="s">
        <v>192</v>
      </c>
      <c r="D799" s="17" t="s">
        <v>193</v>
      </c>
      <c r="E799" s="553">
        <f>[8]Sales_NP!JF198</f>
        <v>54.790710119047361</v>
      </c>
      <c r="F799" s="553">
        <f>[8]Sales_NP!JG198</f>
        <v>51.353608541789825</v>
      </c>
      <c r="G799" s="553">
        <f>[8]Sales_NP!JH198</f>
        <v>57.787605230407195</v>
      </c>
      <c r="H799" s="553">
        <f>[8]Sales_NP!JI198</f>
        <v>56.847030549868862</v>
      </c>
      <c r="I799" s="553">
        <f>[8]Sales_NP!JJ198</f>
        <v>60.595030290043027</v>
      </c>
      <c r="J799" s="553">
        <f>[8]Sales_NP!JK198</f>
        <v>67.599585098722514</v>
      </c>
      <c r="K799" s="553">
        <f>[8]Sales_NP!JL198</f>
        <v>63.346928012692302</v>
      </c>
      <c r="L799" s="553">
        <f>[8]Sales_NP!JM198</f>
        <v>64.718350235314688</v>
      </c>
      <c r="M799" s="553">
        <f>[8]Sales_NP!JN198</f>
        <v>56.988122577422786</v>
      </c>
      <c r="N799" s="553">
        <f>[8]Sales_NP!JO198</f>
        <v>61.0832025354308</v>
      </c>
      <c r="O799" s="553">
        <f>[8]Sales_NP!JP198</f>
        <v>57.396121508033055</v>
      </c>
      <c r="P799" s="553">
        <f>[8]Sales_NP!JQ198</f>
        <v>58.009275961006594</v>
      </c>
      <c r="Q799" s="561">
        <f t="shared" ref="Q799:Q818" si="148">SUM(E799:P799)</f>
        <v>710.51557065977897</v>
      </c>
      <c r="R799" s="166"/>
      <c r="S799" s="166"/>
    </row>
    <row r="800" spans="3:19" hidden="1" x14ac:dyDescent="0.25">
      <c r="C800" s="17" t="s">
        <v>194</v>
      </c>
      <c r="D800" s="17" t="s">
        <v>195</v>
      </c>
      <c r="E800" s="553">
        <f>[8]Sales_NP!JF208</f>
        <v>0</v>
      </c>
      <c r="F800" s="553">
        <f>[8]Sales_NP!JG208</f>
        <v>0</v>
      </c>
      <c r="G800" s="553">
        <f>[8]Sales_NP!JH208</f>
        <v>0</v>
      </c>
      <c r="H800" s="553">
        <f>[8]Sales_NP!JI208</f>
        <v>0</v>
      </c>
      <c r="I800" s="553">
        <f>[8]Sales_NP!JJ208</f>
        <v>0</v>
      </c>
      <c r="J800" s="553">
        <f>[8]Sales_NP!JK208</f>
        <v>0</v>
      </c>
      <c r="K800" s="553">
        <f>[8]Sales_NP!JL208</f>
        <v>0</v>
      </c>
      <c r="L800" s="553">
        <f>[8]Sales_NP!JM208</f>
        <v>0</v>
      </c>
      <c r="M800" s="553">
        <f>[8]Sales_NP!JN208</f>
        <v>0</v>
      </c>
      <c r="N800" s="553">
        <f>[8]Sales_NP!JO208</f>
        <v>0</v>
      </c>
      <c r="O800" s="553">
        <f>[8]Sales_NP!JP208</f>
        <v>0</v>
      </c>
      <c r="P800" s="553">
        <f>[8]Sales_NP!JQ208</f>
        <v>0</v>
      </c>
      <c r="Q800" s="561">
        <f t="shared" si="148"/>
        <v>0</v>
      </c>
      <c r="R800" s="166"/>
      <c r="S800" s="166"/>
    </row>
    <row r="801" spans="3:19" hidden="1" x14ac:dyDescent="0.25">
      <c r="C801" s="17" t="s">
        <v>233</v>
      </c>
      <c r="D801" s="17" t="s">
        <v>197</v>
      </c>
      <c r="E801" s="553">
        <f>[8]Sales_NP!JF214</f>
        <v>1.4174100066512807</v>
      </c>
      <c r="F801" s="553">
        <f>[8]Sales_NP!JG214</f>
        <v>0.83890448728413791</v>
      </c>
      <c r="G801" s="553">
        <f>[8]Sales_NP!JH214</f>
        <v>0.79343139090461778</v>
      </c>
      <c r="H801" s="553">
        <f>[8]Sales_NP!JI214</f>
        <v>0.8150558253242266</v>
      </c>
      <c r="I801" s="553">
        <f>[8]Sales_NP!JJ214</f>
        <v>0.17484899830712253</v>
      </c>
      <c r="J801" s="553">
        <f>[8]Sales_NP!JK214</f>
        <v>0.36366120283947823</v>
      </c>
      <c r="K801" s="553">
        <f>[8]Sales_NP!JL214</f>
        <v>0.30904405990538053</v>
      </c>
      <c r="L801" s="553">
        <f>[8]Sales_NP!JM214</f>
        <v>0.41555984544653934</v>
      </c>
      <c r="M801" s="553">
        <f>[8]Sales_NP!JN214</f>
        <v>0.45398955461510127</v>
      </c>
      <c r="N801" s="553">
        <f>[8]Sales_NP!JO214</f>
        <v>0.76785277419113762</v>
      </c>
      <c r="O801" s="553">
        <f>[8]Sales_NP!JP214</f>
        <v>0.32893853957142066</v>
      </c>
      <c r="P801" s="553">
        <f>[8]Sales_NP!JQ214</f>
        <v>0.28445398876536832</v>
      </c>
      <c r="Q801" s="561">
        <f t="shared" si="148"/>
        <v>6.9631506738058109</v>
      </c>
      <c r="R801" s="166"/>
      <c r="S801" s="166"/>
    </row>
    <row r="802" spans="3:19" hidden="1" x14ac:dyDescent="0.25">
      <c r="C802" s="17" t="s">
        <v>198</v>
      </c>
      <c r="D802" s="17" t="s">
        <v>199</v>
      </c>
      <c r="E802" s="553">
        <f>[8]Sales_NP!JF219</f>
        <v>0</v>
      </c>
      <c r="F802" s="553">
        <f>[8]Sales_NP!JG219</f>
        <v>0</v>
      </c>
      <c r="G802" s="553">
        <f>[8]Sales_NP!JH219</f>
        <v>0</v>
      </c>
      <c r="H802" s="553">
        <f>[8]Sales_NP!JI219</f>
        <v>0</v>
      </c>
      <c r="I802" s="553">
        <f>[8]Sales_NP!JJ219</f>
        <v>0</v>
      </c>
      <c r="J802" s="553">
        <f>[8]Sales_NP!JK219</f>
        <v>0</v>
      </c>
      <c r="K802" s="553">
        <f>[8]Sales_NP!JL219</f>
        <v>0</v>
      </c>
      <c r="L802" s="553">
        <f>[8]Sales_NP!JM219</f>
        <v>0</v>
      </c>
      <c r="M802" s="553">
        <f>[8]Sales_NP!JN219</f>
        <v>0</v>
      </c>
      <c r="N802" s="553">
        <f>[8]Sales_NP!JO219</f>
        <v>0</v>
      </c>
      <c r="O802" s="553">
        <f>[8]Sales_NP!JP219</f>
        <v>0</v>
      </c>
      <c r="P802" s="553">
        <f>[8]Sales_NP!JQ219</f>
        <v>0</v>
      </c>
      <c r="Q802" s="561">
        <f t="shared" si="148"/>
        <v>0</v>
      </c>
      <c r="R802" s="166"/>
      <c r="S802" s="166"/>
    </row>
    <row r="803" spans="3:19" hidden="1" x14ac:dyDescent="0.25">
      <c r="C803" s="17" t="s">
        <v>200</v>
      </c>
      <c r="D803" s="17" t="s">
        <v>201</v>
      </c>
      <c r="E803" s="553">
        <f>[8]Sales_NP!JF224</f>
        <v>0</v>
      </c>
      <c r="F803" s="553">
        <f>[8]Sales_NP!JG224</f>
        <v>0</v>
      </c>
      <c r="G803" s="553">
        <f>[8]Sales_NP!JH224</f>
        <v>0</v>
      </c>
      <c r="H803" s="553">
        <f>[8]Sales_NP!JI224</f>
        <v>0</v>
      </c>
      <c r="I803" s="553">
        <f>[8]Sales_NP!JJ224</f>
        <v>0</v>
      </c>
      <c r="J803" s="553">
        <f>[8]Sales_NP!JK224</f>
        <v>0</v>
      </c>
      <c r="K803" s="553">
        <f>[8]Sales_NP!JL224</f>
        <v>0</v>
      </c>
      <c r="L803" s="553">
        <f>[8]Sales_NP!JM224</f>
        <v>0</v>
      </c>
      <c r="M803" s="553">
        <f>[8]Sales_NP!JN224</f>
        <v>0</v>
      </c>
      <c r="N803" s="553">
        <f>[8]Sales_NP!JO224</f>
        <v>0</v>
      </c>
      <c r="O803" s="553">
        <f>[8]Sales_NP!JP224</f>
        <v>0</v>
      </c>
      <c r="P803" s="553">
        <f>[8]Sales_NP!JQ224</f>
        <v>0</v>
      </c>
      <c r="Q803" s="561">
        <f t="shared" si="148"/>
        <v>0</v>
      </c>
      <c r="R803" s="166"/>
      <c r="S803" s="166"/>
    </row>
    <row r="804" spans="3:19" hidden="1" x14ac:dyDescent="0.25">
      <c r="C804" s="17" t="s">
        <v>202</v>
      </c>
      <c r="D804" s="17" t="s">
        <v>234</v>
      </c>
      <c r="E804" s="553">
        <f>[8]Sales_NP!JF230+[8]Sales_NP!JF231</f>
        <v>265.87655583949447</v>
      </c>
      <c r="F804" s="553">
        <f>[8]Sales_NP!JG230+[8]Sales_NP!JG231</f>
        <v>66.12706550137392</v>
      </c>
      <c r="G804" s="553">
        <f>[8]Sales_NP!JH230+[8]Sales_NP!JH231</f>
        <v>16.13953869331824</v>
      </c>
      <c r="H804" s="553">
        <f>[8]Sales_NP!JI230+[8]Sales_NP!JI231</f>
        <v>290.52667669136343</v>
      </c>
      <c r="I804" s="553">
        <f>[8]Sales_NP!JJ230+[8]Sales_NP!JJ231</f>
        <v>11.882231259415201</v>
      </c>
      <c r="J804" s="553">
        <f>[8]Sales_NP!JK230+[8]Sales_NP!JK231</f>
        <v>60.910381612242801</v>
      </c>
      <c r="K804" s="553">
        <f>[8]Sales_NP!JL230+[8]Sales_NP!JL231</f>
        <v>80.516919718846083</v>
      </c>
      <c r="L804" s="553">
        <f>[8]Sales_NP!JM230+[8]Sales_NP!JM231</f>
        <v>150.05810917552924</v>
      </c>
      <c r="M804" s="553">
        <f>[8]Sales_NP!JN230+[8]Sales_NP!JN231</f>
        <v>26.65649285716464</v>
      </c>
      <c r="N804" s="553">
        <f>[8]Sales_NP!JO230+[8]Sales_NP!JO231</f>
        <v>125.27884940427073</v>
      </c>
      <c r="O804" s="553">
        <f>[8]Sales_NP!JP230+[8]Sales_NP!JP231</f>
        <v>147.01453097425633</v>
      </c>
      <c r="P804" s="553">
        <f>[8]Sales_NP!JQ230+[8]Sales_NP!JQ231</f>
        <v>157.32716740844549</v>
      </c>
      <c r="Q804" s="561">
        <f t="shared" si="148"/>
        <v>1398.3145191357207</v>
      </c>
      <c r="R804" s="166"/>
      <c r="S804" s="166"/>
    </row>
    <row r="805" spans="3:19" hidden="1" x14ac:dyDescent="0.25">
      <c r="C805" s="17" t="s">
        <v>204</v>
      </c>
      <c r="D805" s="17" t="s">
        <v>216</v>
      </c>
      <c r="E805" s="553">
        <f>[8]Sales_NP!JF232+[8]Sales_NP!JF233</f>
        <v>2.7730891851888999</v>
      </c>
      <c r="F805" s="553">
        <f>[8]Sales_NP!JG232+[8]Sales_NP!JG233</f>
        <v>2.8398119643926649</v>
      </c>
      <c r="G805" s="553">
        <f>[8]Sales_NP!JH232+[8]Sales_NP!JH233</f>
        <v>2.783124536885166</v>
      </c>
      <c r="H805" s="553">
        <f>[8]Sales_NP!JI232+[8]Sales_NP!JI233</f>
        <v>2.7126601339617582</v>
      </c>
      <c r="I805" s="553">
        <f>[8]Sales_NP!JJ232+[8]Sales_NP!JJ233</f>
        <v>2.8322653409164342</v>
      </c>
      <c r="J805" s="553">
        <f>[8]Sales_NP!JK232+[8]Sales_NP!JK233</f>
        <v>2.8646017449977244</v>
      </c>
      <c r="K805" s="553">
        <f>[8]Sales_NP!JL232+[8]Sales_NP!JL233</f>
        <v>2.785186695625764</v>
      </c>
      <c r="L805" s="553">
        <f>[8]Sales_NP!JM232+[8]Sales_NP!JM233</f>
        <v>2.700331057236057</v>
      </c>
      <c r="M805" s="553">
        <f>[8]Sales_NP!JN232+[8]Sales_NP!JN233</f>
        <v>2.9061520498348759</v>
      </c>
      <c r="N805" s="553">
        <f>[8]Sales_NP!JO232+[8]Sales_NP!JO233</f>
        <v>2.964024121725271</v>
      </c>
      <c r="O805" s="553">
        <f>[8]Sales_NP!JP232+[8]Sales_NP!JP233</f>
        <v>2.7554389588996928</v>
      </c>
      <c r="P805" s="553">
        <f>[8]Sales_NP!JQ232+[8]Sales_NP!JQ233</f>
        <v>3.1613332250543897</v>
      </c>
      <c r="Q805" s="561">
        <f t="shared" si="148"/>
        <v>34.078019014718699</v>
      </c>
      <c r="R805" s="166"/>
      <c r="S805" s="166"/>
    </row>
    <row r="806" spans="3:19" hidden="1" x14ac:dyDescent="0.25">
      <c r="C806" s="17" t="s">
        <v>217</v>
      </c>
      <c r="D806" s="17" t="s">
        <v>218</v>
      </c>
      <c r="E806" s="553">
        <f>[8]Sales_NP!JF235</f>
        <v>88.495990278751634</v>
      </c>
      <c r="F806" s="553">
        <f>[8]Sales_NP!JG235</f>
        <v>86.081883091035493</v>
      </c>
      <c r="G806" s="553">
        <f>[8]Sales_NP!JH235</f>
        <v>84.339775060511087</v>
      </c>
      <c r="H806" s="553">
        <f>[8]Sales_NP!JI235</f>
        <v>85.024237384186748</v>
      </c>
      <c r="I806" s="553">
        <f>[8]Sales_NP!JJ235</f>
        <v>86.070510656469082</v>
      </c>
      <c r="J806" s="553">
        <f>[8]Sales_NP!JK235</f>
        <v>81.73376376261902</v>
      </c>
      <c r="K806" s="553">
        <f>[8]Sales_NP!JL235</f>
        <v>86.299672148321079</v>
      </c>
      <c r="L806" s="553">
        <f>[8]Sales_NP!JM235</f>
        <v>87.596111611397745</v>
      </c>
      <c r="M806" s="553">
        <f>[8]Sales_NP!JN235</f>
        <v>86.075373671883028</v>
      </c>
      <c r="N806" s="553">
        <f>[8]Sales_NP!JO235</f>
        <v>89.207180602862238</v>
      </c>
      <c r="O806" s="553">
        <f>[8]Sales_NP!JP235</f>
        <v>84.579284482848436</v>
      </c>
      <c r="P806" s="553">
        <f>[8]Sales_NP!JQ235</f>
        <v>91.286292526710412</v>
      </c>
      <c r="Q806" s="561">
        <f t="shared" si="148"/>
        <v>1036.7900752775961</v>
      </c>
      <c r="R806" s="166"/>
      <c r="S806" s="166"/>
    </row>
    <row r="807" spans="3:19" hidden="1" x14ac:dyDescent="0.25">
      <c r="C807" s="17" t="s">
        <v>252</v>
      </c>
      <c r="D807" s="17" t="s">
        <v>236</v>
      </c>
      <c r="E807" s="553">
        <v>0</v>
      </c>
      <c r="F807" s="553">
        <v>0</v>
      </c>
      <c r="G807" s="553">
        <v>0</v>
      </c>
      <c r="H807" s="553">
        <v>0</v>
      </c>
      <c r="I807" s="553">
        <v>0</v>
      </c>
      <c r="J807" s="553">
        <v>0</v>
      </c>
      <c r="K807" s="553">
        <v>0</v>
      </c>
      <c r="L807" s="553">
        <v>0</v>
      </c>
      <c r="M807" s="553">
        <v>0</v>
      </c>
      <c r="N807" s="553">
        <v>0</v>
      </c>
      <c r="O807" s="553">
        <v>0</v>
      </c>
      <c r="P807" s="553">
        <v>0</v>
      </c>
      <c r="Q807" s="561">
        <f t="shared" si="148"/>
        <v>0</v>
      </c>
      <c r="R807" s="166"/>
      <c r="S807" s="166"/>
    </row>
    <row r="808" spans="3:19" hidden="1" x14ac:dyDescent="0.25">
      <c r="C808" s="17" t="s">
        <v>206</v>
      </c>
      <c r="D808" s="17" t="s">
        <v>207</v>
      </c>
      <c r="E808" s="553">
        <f>[8]Sales_NP!JF239</f>
        <v>6.6576768003866027</v>
      </c>
      <c r="F808" s="553">
        <f>[8]Sales_NP!JG239</f>
        <v>8.193994197231369</v>
      </c>
      <c r="G808" s="553">
        <f>[8]Sales_NP!JH239</f>
        <v>7.6263343645085007</v>
      </c>
      <c r="H808" s="553">
        <f>[8]Sales_NP!JI239</f>
        <v>7.352685729273774</v>
      </c>
      <c r="I808" s="553">
        <f>[8]Sales_NP!JJ239</f>
        <v>7.2345512914929806</v>
      </c>
      <c r="J808" s="553">
        <f>[8]Sales_NP!JK239</f>
        <v>6.7185160689661343</v>
      </c>
      <c r="K808" s="553">
        <f>[8]Sales_NP!JL239</f>
        <v>5.8831751577498341</v>
      </c>
      <c r="L808" s="553">
        <f>[8]Sales_NP!JM239</f>
        <v>5.1833038570053693</v>
      </c>
      <c r="M808" s="553">
        <f>[8]Sales_NP!JN239</f>
        <v>3.2764856487075655</v>
      </c>
      <c r="N808" s="553">
        <f>[8]Sales_NP!JO239</f>
        <v>3.5522121640139135</v>
      </c>
      <c r="O808" s="553">
        <f>[8]Sales_NP!JP239</f>
        <v>4.2702776123143105</v>
      </c>
      <c r="P808" s="553">
        <f>[8]Sales_NP!JQ239</f>
        <v>6.3088712909317008</v>
      </c>
      <c r="Q808" s="561">
        <f t="shared" si="148"/>
        <v>72.258084182582067</v>
      </c>
      <c r="R808" s="166"/>
      <c r="S808" s="166"/>
    </row>
    <row r="809" spans="3:19" hidden="1" x14ac:dyDescent="0.25">
      <c r="C809" s="17" t="s">
        <v>208</v>
      </c>
      <c r="D809" s="17" t="s">
        <v>187</v>
      </c>
      <c r="E809" s="553">
        <f>[8]Sales_NP!JF240</f>
        <v>0.13758540933593064</v>
      </c>
      <c r="F809" s="553">
        <f>[8]Sales_NP!JG240</f>
        <v>0.1337746518222856</v>
      </c>
      <c r="G809" s="553">
        <f>[8]Sales_NP!JH240</f>
        <v>0.13650474675743429</v>
      </c>
      <c r="H809" s="553">
        <f>[8]Sales_NP!JI240</f>
        <v>9.8852187443508668E-2</v>
      </c>
      <c r="I809" s="553">
        <f>[8]Sales_NP!JJ240</f>
        <v>0.12717692239567627</v>
      </c>
      <c r="J809" s="553">
        <f>[8]Sales_NP!JK240</f>
        <v>0.13331963599976082</v>
      </c>
      <c r="K809" s="553">
        <f>[8]Sales_NP!JL240</f>
        <v>0.13309212808849843</v>
      </c>
      <c r="L809" s="553">
        <f>[8]Sales_NP!JM240</f>
        <v>8.7363037924757941E-2</v>
      </c>
      <c r="M809" s="553">
        <f>[8]Sales_NP!JN240</f>
        <v>5.2668081457243401E-2</v>
      </c>
      <c r="N809" s="553">
        <f>[8]Sales_NP!JO240</f>
        <v>9.7828401842827914E-3</v>
      </c>
      <c r="O809" s="553">
        <f>[8]Sales_NP!JP240</f>
        <v>0.12547061306120835</v>
      </c>
      <c r="P809" s="553">
        <f>[8]Sales_NP!JQ240</f>
        <v>0.12023793110217336</v>
      </c>
      <c r="Q809" s="561">
        <f t="shared" si="148"/>
        <v>1.2958281855727605</v>
      </c>
      <c r="R809" s="166"/>
      <c r="S809" s="166"/>
    </row>
    <row r="810" spans="3:19" hidden="1" x14ac:dyDescent="0.25">
      <c r="C810" s="17" t="s">
        <v>209</v>
      </c>
      <c r="D810" s="17" t="s">
        <v>210</v>
      </c>
      <c r="E810" s="553">
        <v>0</v>
      </c>
      <c r="F810" s="553">
        <v>0</v>
      </c>
      <c r="G810" s="553">
        <v>0</v>
      </c>
      <c r="H810" s="553">
        <v>0</v>
      </c>
      <c r="I810" s="553">
        <v>0</v>
      </c>
      <c r="J810" s="553">
        <v>0</v>
      </c>
      <c r="K810" s="553">
        <v>0</v>
      </c>
      <c r="L810" s="553">
        <v>0</v>
      </c>
      <c r="M810" s="553">
        <v>0</v>
      </c>
      <c r="N810" s="553">
        <v>0</v>
      </c>
      <c r="O810" s="553">
        <v>0</v>
      </c>
      <c r="P810" s="553">
        <v>0</v>
      </c>
      <c r="Q810" s="561">
        <f t="shared" si="148"/>
        <v>0</v>
      </c>
      <c r="R810" s="166"/>
      <c r="S810" s="166"/>
    </row>
    <row r="811" spans="3:19" hidden="1" x14ac:dyDescent="0.25">
      <c r="C811" s="17" t="s">
        <v>211</v>
      </c>
      <c r="D811" s="17" t="s">
        <v>189</v>
      </c>
      <c r="E811" s="553">
        <v>0</v>
      </c>
      <c r="F811" s="553">
        <v>0</v>
      </c>
      <c r="G811" s="553">
        <v>0</v>
      </c>
      <c r="H811" s="553">
        <v>0</v>
      </c>
      <c r="I811" s="553">
        <v>0</v>
      </c>
      <c r="J811" s="553">
        <v>0</v>
      </c>
      <c r="K811" s="553">
        <v>0</v>
      </c>
      <c r="L811" s="553">
        <v>0</v>
      </c>
      <c r="M811" s="553">
        <v>0</v>
      </c>
      <c r="N811" s="553">
        <v>0</v>
      </c>
      <c r="O811" s="553">
        <v>0</v>
      </c>
      <c r="P811" s="553">
        <v>0</v>
      </c>
      <c r="Q811" s="561">
        <f t="shared" si="148"/>
        <v>0</v>
      </c>
      <c r="R811" s="166"/>
      <c r="S811" s="166"/>
    </row>
    <row r="812" spans="3:19" hidden="1" x14ac:dyDescent="0.25">
      <c r="C812" s="17"/>
      <c r="D812" s="17"/>
      <c r="E812" s="553"/>
      <c r="F812" s="553"/>
      <c r="G812" s="553"/>
      <c r="H812" s="553"/>
      <c r="I812" s="553"/>
      <c r="J812" s="553"/>
      <c r="K812" s="553"/>
      <c r="L812" s="553"/>
      <c r="M812" s="553"/>
      <c r="N812" s="553"/>
      <c r="O812" s="553"/>
      <c r="P812" s="553"/>
      <c r="Q812" s="561">
        <f t="shared" si="148"/>
        <v>0</v>
      </c>
      <c r="R812" s="166"/>
      <c r="S812" s="166"/>
    </row>
    <row r="813" spans="3:19" hidden="1" x14ac:dyDescent="0.25">
      <c r="C813" s="17"/>
      <c r="D813" s="17"/>
      <c r="E813" s="553"/>
      <c r="F813" s="553"/>
      <c r="G813" s="553"/>
      <c r="H813" s="553"/>
      <c r="I813" s="553"/>
      <c r="J813" s="553"/>
      <c r="K813" s="553"/>
      <c r="L813" s="553"/>
      <c r="M813" s="553"/>
      <c r="N813" s="553"/>
      <c r="O813" s="553"/>
      <c r="P813" s="553"/>
      <c r="Q813" s="561">
        <f t="shared" si="148"/>
        <v>0</v>
      </c>
      <c r="R813" s="166"/>
      <c r="S813" s="166"/>
    </row>
    <row r="814" spans="3:19" hidden="1" x14ac:dyDescent="0.25">
      <c r="C814" s="17"/>
      <c r="D814" s="17"/>
      <c r="E814" s="553"/>
      <c r="F814" s="553"/>
      <c r="G814" s="553"/>
      <c r="H814" s="553"/>
      <c r="I814" s="553"/>
      <c r="J814" s="553"/>
      <c r="K814" s="553"/>
      <c r="L814" s="553"/>
      <c r="M814" s="553"/>
      <c r="N814" s="553"/>
      <c r="O814" s="553"/>
      <c r="P814" s="553"/>
      <c r="Q814" s="561">
        <f t="shared" si="148"/>
        <v>0</v>
      </c>
      <c r="R814" s="166"/>
      <c r="S814" s="166"/>
    </row>
    <row r="815" spans="3:19" hidden="1" x14ac:dyDescent="0.25">
      <c r="C815" s="17" t="s">
        <v>226</v>
      </c>
      <c r="D815" s="17" t="s">
        <v>226</v>
      </c>
      <c r="E815" s="553"/>
      <c r="F815" s="553"/>
      <c r="G815" s="553"/>
      <c r="H815" s="553"/>
      <c r="I815" s="553"/>
      <c r="J815" s="553"/>
      <c r="K815" s="553"/>
      <c r="L815" s="553"/>
      <c r="M815" s="553"/>
      <c r="N815" s="553"/>
      <c r="O815" s="553"/>
      <c r="P815" s="553"/>
      <c r="Q815" s="561">
        <f t="shared" si="148"/>
        <v>0</v>
      </c>
      <c r="R815" s="166"/>
      <c r="S815" s="166"/>
    </row>
    <row r="816" spans="3:19" hidden="1" x14ac:dyDescent="0.25">
      <c r="C816" s="751" t="s">
        <v>212</v>
      </c>
      <c r="D816" s="752"/>
      <c r="E816" s="561">
        <f t="shared" ref="E816:P816" si="149">SUM(E799:E815)</f>
        <v>420.14901763885621</v>
      </c>
      <c r="F816" s="561">
        <f t="shared" si="149"/>
        <v>215.56904243492971</v>
      </c>
      <c r="G816" s="561">
        <f t="shared" si="149"/>
        <v>169.60631402329221</v>
      </c>
      <c r="H816" s="561">
        <f t="shared" si="149"/>
        <v>443.37719850142236</v>
      </c>
      <c r="I816" s="561">
        <f t="shared" si="149"/>
        <v>168.9166147590395</v>
      </c>
      <c r="J816" s="561">
        <f t="shared" si="149"/>
        <v>220.32382912638741</v>
      </c>
      <c r="K816" s="561">
        <f t="shared" si="149"/>
        <v>239.27401792122893</v>
      </c>
      <c r="L816" s="561">
        <f t="shared" si="149"/>
        <v>310.75912881985437</v>
      </c>
      <c r="M816" s="561">
        <f t="shared" si="149"/>
        <v>176.40928444108525</v>
      </c>
      <c r="N816" s="561">
        <f t="shared" si="149"/>
        <v>282.86310444267838</v>
      </c>
      <c r="O816" s="561">
        <f t="shared" si="149"/>
        <v>296.47006268898451</v>
      </c>
      <c r="P816" s="561">
        <f t="shared" si="149"/>
        <v>316.49763233201611</v>
      </c>
      <c r="Q816" s="561">
        <f t="shared" si="148"/>
        <v>3260.215247129775</v>
      </c>
      <c r="R816" s="166"/>
      <c r="S816" s="166"/>
    </row>
    <row r="817" spans="3:19" hidden="1" x14ac:dyDescent="0.25">
      <c r="C817" s="751" t="s">
        <v>219</v>
      </c>
      <c r="D817" s="752"/>
      <c r="E817" s="561">
        <f t="shared" ref="E817:P817" si="150">E816+E797+E780</f>
        <v>797.12594417899481</v>
      </c>
      <c r="F817" s="561">
        <f t="shared" si="150"/>
        <v>525.64492966738521</v>
      </c>
      <c r="G817" s="561">
        <f t="shared" si="150"/>
        <v>524.13948730051084</v>
      </c>
      <c r="H817" s="561">
        <f t="shared" si="150"/>
        <v>824.21277840196672</v>
      </c>
      <c r="I817" s="561">
        <f t="shared" si="150"/>
        <v>572.19422986647896</v>
      </c>
      <c r="J817" s="561">
        <f t="shared" si="150"/>
        <v>601.72145435199991</v>
      </c>
      <c r="K817" s="561">
        <f t="shared" si="150"/>
        <v>632.18145629367996</v>
      </c>
      <c r="L817" s="561">
        <f t="shared" si="150"/>
        <v>649.23841757027208</v>
      </c>
      <c r="M817" s="561">
        <f t="shared" si="150"/>
        <v>599.91843644142523</v>
      </c>
      <c r="N817" s="561">
        <f t="shared" si="150"/>
        <v>743.39162460959619</v>
      </c>
      <c r="O817" s="561">
        <f t="shared" si="150"/>
        <v>749.67681036008639</v>
      </c>
      <c r="P817" s="561">
        <f t="shared" si="150"/>
        <v>783.8760040500556</v>
      </c>
      <c r="Q817" s="561">
        <f t="shared" si="148"/>
        <v>8003.3215730924512</v>
      </c>
      <c r="R817" s="166"/>
      <c r="S817" s="166"/>
    </row>
    <row r="818" spans="3:19" hidden="1" x14ac:dyDescent="0.25">
      <c r="C818" s="751" t="s">
        <v>220</v>
      </c>
      <c r="D818" s="752"/>
      <c r="E818" s="561">
        <f t="shared" ref="E818:P818" si="151">E817+E763</f>
        <v>1401.5832559055063</v>
      </c>
      <c r="F818" s="561">
        <f t="shared" si="151"/>
        <v>1166.8189297788485</v>
      </c>
      <c r="G818" s="561">
        <f t="shared" si="151"/>
        <v>1306.1260737046869</v>
      </c>
      <c r="H818" s="561">
        <f t="shared" si="151"/>
        <v>1522.9927330737419</v>
      </c>
      <c r="I818" s="561">
        <f t="shared" si="151"/>
        <v>1158.2569617167746</v>
      </c>
      <c r="J818" s="561">
        <f t="shared" si="151"/>
        <v>1254.8768153211308</v>
      </c>
      <c r="K818" s="561">
        <f t="shared" si="151"/>
        <v>1234.4606367513916</v>
      </c>
      <c r="L818" s="561">
        <f t="shared" si="151"/>
        <v>1256.7998350009511</v>
      </c>
      <c r="M818" s="561">
        <f t="shared" si="151"/>
        <v>1137.639264535979</v>
      </c>
      <c r="N818" s="561">
        <f t="shared" si="151"/>
        <v>1208.3220917600243</v>
      </c>
      <c r="O818" s="561">
        <f t="shared" si="151"/>
        <v>1281.6027308127304</v>
      </c>
      <c r="P818" s="561">
        <f t="shared" si="151"/>
        <v>1324.8196531701124</v>
      </c>
      <c r="Q818" s="561">
        <f t="shared" si="148"/>
        <v>15254.298981531878</v>
      </c>
      <c r="R818" s="166"/>
      <c r="S818" s="166"/>
    </row>
    <row r="820" spans="3:19" x14ac:dyDescent="0.25">
      <c r="D820" s="22"/>
      <c r="E820" s="569"/>
    </row>
    <row r="821" spans="3:19" x14ac:dyDescent="0.25">
      <c r="D821" s="24"/>
      <c r="E821" s="570"/>
    </row>
    <row r="822" spans="3:19" x14ac:dyDescent="0.25">
      <c r="E822" s="570"/>
    </row>
    <row r="823" spans="3:19" x14ac:dyDescent="0.25">
      <c r="E823" s="570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:D7"/>
    <mergeCell ref="E5:E6"/>
    <mergeCell ref="F5:F6"/>
    <mergeCell ref="G5:G6"/>
    <mergeCell ref="C56:D56"/>
    <mergeCell ref="C57:D57"/>
    <mergeCell ref="C75:D75"/>
    <mergeCell ref="C76:D76"/>
    <mergeCell ref="C77:D77"/>
    <mergeCell ref="C82:D83"/>
    <mergeCell ref="E82:Q82"/>
    <mergeCell ref="C84:D84"/>
    <mergeCell ref="C98:D98"/>
    <mergeCell ref="C99:D99"/>
    <mergeCell ref="C115:D115"/>
    <mergeCell ref="C116:D116"/>
    <mergeCell ref="C132:D132"/>
    <mergeCell ref="C133:D133"/>
    <mergeCell ref="C151:D151"/>
    <mergeCell ref="C152:D152"/>
    <mergeCell ref="C153:D153"/>
    <mergeCell ref="C156:D157"/>
    <mergeCell ref="E156:Q156"/>
    <mergeCell ref="C158:D158"/>
    <mergeCell ref="C172:D172"/>
    <mergeCell ref="C173:D173"/>
    <mergeCell ref="C189:D189"/>
    <mergeCell ref="C190:D190"/>
    <mergeCell ref="C206:D206"/>
    <mergeCell ref="C207:D207"/>
    <mergeCell ref="C224:D224"/>
    <mergeCell ref="C225:D225"/>
    <mergeCell ref="C226:D226"/>
    <mergeCell ref="C229:D230"/>
    <mergeCell ref="E229:Q229"/>
    <mergeCell ref="C231:D231"/>
    <mergeCell ref="C245:D245"/>
    <mergeCell ref="C246:D246"/>
    <mergeCell ref="C262:D262"/>
    <mergeCell ref="C263:D263"/>
    <mergeCell ref="C279:D279"/>
    <mergeCell ref="C280:D280"/>
    <mergeCell ref="C298:D298"/>
    <mergeCell ref="C299:D299"/>
    <mergeCell ref="C300:D300"/>
    <mergeCell ref="C302:D303"/>
    <mergeCell ref="E302:Q302"/>
    <mergeCell ref="C304:D304"/>
    <mergeCell ref="C318:D318"/>
    <mergeCell ref="C319:D319"/>
    <mergeCell ref="C335:D335"/>
    <mergeCell ref="C336:D336"/>
    <mergeCell ref="C352:D352"/>
    <mergeCell ref="C353:D353"/>
    <mergeCell ref="C371:D371"/>
    <mergeCell ref="C372:D372"/>
    <mergeCell ref="C373:D373"/>
    <mergeCell ref="C376:D378"/>
    <mergeCell ref="E376:Q376"/>
    <mergeCell ref="C379:D379"/>
    <mergeCell ref="C393:D393"/>
    <mergeCell ref="C394:D394"/>
    <mergeCell ref="C410:D410"/>
    <mergeCell ref="C411:D411"/>
    <mergeCell ref="C427:D427"/>
    <mergeCell ref="C428:D428"/>
    <mergeCell ref="C446:D446"/>
    <mergeCell ref="C447:D447"/>
    <mergeCell ref="C448:D448"/>
    <mergeCell ref="C451:D452"/>
    <mergeCell ref="E451:Q451"/>
    <mergeCell ref="C453:D453"/>
    <mergeCell ref="C467:D467"/>
    <mergeCell ref="C468:D468"/>
    <mergeCell ref="C484:D484"/>
    <mergeCell ref="C485:D485"/>
    <mergeCell ref="C501:D501"/>
    <mergeCell ref="C502:D502"/>
    <mergeCell ref="C520:D520"/>
    <mergeCell ref="C521:D521"/>
    <mergeCell ref="C522:D522"/>
    <mergeCell ref="C525:D526"/>
    <mergeCell ref="E525:Q525"/>
    <mergeCell ref="C527:D527"/>
    <mergeCell ref="C541:D541"/>
    <mergeCell ref="C542:D542"/>
    <mergeCell ref="C558:D558"/>
    <mergeCell ref="C559:D559"/>
    <mergeCell ref="C575:D575"/>
    <mergeCell ref="C576:D576"/>
    <mergeCell ref="C594:D594"/>
    <mergeCell ref="C595:D595"/>
    <mergeCell ref="C596:D596"/>
    <mergeCell ref="C599:D600"/>
    <mergeCell ref="E673:Q673"/>
    <mergeCell ref="C675:D675"/>
    <mergeCell ref="C689:D689"/>
    <mergeCell ref="C690:D690"/>
    <mergeCell ref="C706:D706"/>
    <mergeCell ref="C707:D707"/>
    <mergeCell ref="E599:Q599"/>
    <mergeCell ref="C601:D601"/>
    <mergeCell ref="C615:D615"/>
    <mergeCell ref="C616:D616"/>
    <mergeCell ref="C632:D632"/>
    <mergeCell ref="C633:D633"/>
    <mergeCell ref="C649:D649"/>
    <mergeCell ref="C650:D650"/>
    <mergeCell ref="C668:D668"/>
    <mergeCell ref="C723:D723"/>
    <mergeCell ref="C724:D724"/>
    <mergeCell ref="C742:D742"/>
    <mergeCell ref="C743:D743"/>
    <mergeCell ref="C744:D744"/>
    <mergeCell ref="C747:D748"/>
    <mergeCell ref="C797:D797"/>
    <mergeCell ref="C798:D798"/>
    <mergeCell ref="C669:D669"/>
    <mergeCell ref="C670:D670"/>
    <mergeCell ref="C673:D674"/>
    <mergeCell ref="C816:D816"/>
    <mergeCell ref="C817:D817"/>
    <mergeCell ref="C818:D818"/>
    <mergeCell ref="E747:Q747"/>
    <mergeCell ref="C749:D749"/>
    <mergeCell ref="C763:D763"/>
    <mergeCell ref="C764:D764"/>
    <mergeCell ref="C780:D780"/>
    <mergeCell ref="C781:D781"/>
  </mergeCells>
  <pageMargins left="0.75" right="0.75" top="1" bottom="1" header="0.5" footer="0.5"/>
  <pageSetup paperSize="9" scale="60" orientation="landscape" r:id="rId1"/>
  <headerFooter alignWithMargins="0"/>
  <rowBreaks count="3" manualBreakCount="3">
    <brk id="427" max="16" man="1"/>
    <brk id="484" max="16" man="1"/>
    <brk id="541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2:S823"/>
  <sheetViews>
    <sheetView showGridLines="0" topLeftCell="C1" zoomScale="85" zoomScaleNormal="85" zoomScaleSheetLayoutView="70" workbookViewId="0">
      <selection activeCell="K17" sqref="K17"/>
    </sheetView>
  </sheetViews>
  <sheetFormatPr defaultColWidth="9.109375" defaultRowHeight="13.8" x14ac:dyDescent="0.25"/>
  <cols>
    <col min="1" max="1" width="3.109375" style="571" customWidth="1"/>
    <col min="2" max="2" width="8.33203125" style="571" customWidth="1"/>
    <col min="3" max="3" width="21.6640625" style="571" bestFit="1" customWidth="1"/>
    <col min="4" max="4" width="24.5546875" style="571" customWidth="1"/>
    <col min="5" max="17" width="9.6640625" style="571" customWidth="1"/>
    <col min="18" max="18" width="12.44140625" style="571" customWidth="1"/>
    <col min="19" max="19" width="12.6640625" style="571" customWidth="1"/>
    <col min="20" max="16384" width="9.109375" style="571"/>
  </cols>
  <sheetData>
    <row r="2" spans="2:19" x14ac:dyDescent="0.25">
      <c r="J2" s="572" t="s">
        <v>160</v>
      </c>
    </row>
    <row r="3" spans="2:19" x14ac:dyDescent="0.25">
      <c r="J3" s="573" t="s">
        <v>269</v>
      </c>
    </row>
    <row r="4" spans="2:19" x14ac:dyDescent="0.25">
      <c r="B4" s="574"/>
      <c r="C4" s="574" t="s">
        <v>228</v>
      </c>
      <c r="D4" s="575"/>
      <c r="E4" s="575"/>
      <c r="F4" s="575"/>
      <c r="G4" s="575"/>
      <c r="P4" s="573" t="s">
        <v>229</v>
      </c>
    </row>
    <row r="5" spans="2:19" ht="13.95" hidden="1" customHeight="1" x14ac:dyDescent="0.25">
      <c r="C5" s="777" t="s">
        <v>163</v>
      </c>
      <c r="D5" s="778"/>
      <c r="E5" s="787" t="s">
        <v>164</v>
      </c>
      <c r="F5" s="787" t="s">
        <v>165</v>
      </c>
      <c r="G5" s="787" t="s">
        <v>166</v>
      </c>
      <c r="H5" s="783" t="s">
        <v>230</v>
      </c>
      <c r="I5" s="784"/>
      <c r="J5" s="785"/>
      <c r="K5" s="783" t="s">
        <v>131</v>
      </c>
      <c r="L5" s="784"/>
      <c r="M5" s="784"/>
      <c r="N5" s="784"/>
      <c r="O5" s="786" t="s">
        <v>231</v>
      </c>
      <c r="P5" s="786"/>
      <c r="Q5" s="786"/>
      <c r="R5" s="786"/>
      <c r="S5" s="786"/>
    </row>
    <row r="6" spans="2:19" ht="41.4" hidden="1" x14ac:dyDescent="0.25">
      <c r="C6" s="779"/>
      <c r="D6" s="780"/>
      <c r="E6" s="788"/>
      <c r="F6" s="788"/>
      <c r="G6" s="788"/>
      <c r="H6" s="576" t="s">
        <v>10</v>
      </c>
      <c r="I6" s="576" t="s">
        <v>11</v>
      </c>
      <c r="J6" s="576" t="s">
        <v>12</v>
      </c>
      <c r="K6" s="576" t="s">
        <v>10</v>
      </c>
      <c r="L6" s="576" t="s">
        <v>13</v>
      </c>
      <c r="M6" s="576" t="s">
        <v>14</v>
      </c>
      <c r="N6" s="576" t="s">
        <v>15</v>
      </c>
      <c r="O6" s="576" t="s">
        <v>169</v>
      </c>
      <c r="P6" s="576" t="s">
        <v>136</v>
      </c>
      <c r="Q6" s="576" t="s">
        <v>137</v>
      </c>
      <c r="R6" s="576" t="s">
        <v>138</v>
      </c>
      <c r="S6" s="576" t="s">
        <v>232</v>
      </c>
    </row>
    <row r="7" spans="2:19" ht="27.6" hidden="1" x14ac:dyDescent="0.25">
      <c r="C7" s="781"/>
      <c r="D7" s="782"/>
      <c r="E7" s="576" t="s">
        <v>22</v>
      </c>
      <c r="F7" s="576" t="s">
        <v>22</v>
      </c>
      <c r="G7" s="576" t="s">
        <v>22</v>
      </c>
      <c r="H7" s="576" t="s">
        <v>21</v>
      </c>
      <c r="I7" s="576" t="s">
        <v>22</v>
      </c>
      <c r="J7" s="576" t="s">
        <v>23</v>
      </c>
      <c r="K7" s="576" t="s">
        <v>21</v>
      </c>
      <c r="L7" s="576" t="s">
        <v>24</v>
      </c>
      <c r="M7" s="576" t="s">
        <v>25</v>
      </c>
      <c r="N7" s="576" t="s">
        <v>25</v>
      </c>
      <c r="O7" s="576" t="s">
        <v>26</v>
      </c>
      <c r="P7" s="576" t="s">
        <v>26</v>
      </c>
      <c r="Q7" s="576" t="s">
        <v>26</v>
      </c>
      <c r="R7" s="576" t="s">
        <v>26</v>
      </c>
      <c r="S7" s="576" t="s">
        <v>26</v>
      </c>
    </row>
    <row r="8" spans="2:19" hidden="1" x14ac:dyDescent="0.25">
      <c r="C8" s="773" t="s">
        <v>171</v>
      </c>
      <c r="D8" s="774"/>
      <c r="E8" s="577"/>
      <c r="F8" s="578"/>
      <c r="G8" s="578"/>
      <c r="H8" s="579"/>
      <c r="I8" s="579"/>
      <c r="J8" s="580"/>
      <c r="K8" s="579"/>
      <c r="L8" s="581"/>
      <c r="M8" s="579"/>
      <c r="N8" s="579"/>
      <c r="O8" s="579"/>
      <c r="P8" s="579"/>
      <c r="Q8" s="579"/>
      <c r="R8" s="579"/>
      <c r="S8" s="579"/>
    </row>
    <row r="9" spans="2:19" hidden="1" x14ac:dyDescent="0.25">
      <c r="C9" s="579" t="s">
        <v>172</v>
      </c>
      <c r="D9" s="579" t="s">
        <v>173</v>
      </c>
      <c r="E9" s="582">
        <f t="shared" ref="E9:E22" si="0">Q85</f>
        <v>0</v>
      </c>
      <c r="F9" s="583">
        <f t="shared" ref="F9:F22" si="1">Q159</f>
        <v>0</v>
      </c>
      <c r="G9" s="583">
        <f t="shared" ref="G9:G22" si="2">Q232</f>
        <v>0</v>
      </c>
      <c r="H9" s="583"/>
      <c r="I9" s="583">
        <f t="shared" ref="I9:I22" si="3">Q305</f>
        <v>0</v>
      </c>
      <c r="J9" s="584">
        <f t="shared" ref="J9:J22" si="4">I9-H9</f>
        <v>0</v>
      </c>
      <c r="K9" s="583"/>
      <c r="L9" s="583">
        <f t="shared" ref="L9:L21" si="5">E380+F380+G380+H380+I380+J380</f>
        <v>0</v>
      </c>
      <c r="M9" s="583">
        <f t="shared" ref="M9:M21" si="6">K380+L380+M380+N380+O380+P380</f>
        <v>0</v>
      </c>
      <c r="N9" s="583">
        <f t="shared" ref="N9:N22" si="7">L9+M9</f>
        <v>0</v>
      </c>
      <c r="O9" s="583">
        <f t="shared" ref="O9:O22" si="8">Q454</f>
        <v>0</v>
      </c>
      <c r="P9" s="583">
        <f t="shared" ref="P9:P22" si="9">Q528</f>
        <v>0</v>
      </c>
      <c r="Q9" s="583">
        <f t="shared" ref="Q9:Q22" si="10">Q602</f>
        <v>0</v>
      </c>
      <c r="R9" s="583">
        <f t="shared" ref="R9:R22" si="11">Q676</f>
        <v>0</v>
      </c>
      <c r="S9" s="583">
        <f t="shared" ref="S9:S22" si="12">Q750</f>
        <v>0</v>
      </c>
    </row>
    <row r="10" spans="2:19" hidden="1" x14ac:dyDescent="0.25">
      <c r="C10" s="579" t="s">
        <v>174</v>
      </c>
      <c r="D10" s="579" t="s">
        <v>175</v>
      </c>
      <c r="E10" s="582">
        <f t="shared" si="0"/>
        <v>0</v>
      </c>
      <c r="F10" s="583">
        <f t="shared" si="1"/>
        <v>0</v>
      </c>
      <c r="G10" s="583">
        <f t="shared" si="2"/>
        <v>0</v>
      </c>
      <c r="H10" s="583"/>
      <c r="I10" s="583">
        <f t="shared" si="3"/>
        <v>0</v>
      </c>
      <c r="J10" s="584">
        <f t="shared" si="4"/>
        <v>0</v>
      </c>
      <c r="K10" s="583"/>
      <c r="L10" s="583">
        <f t="shared" si="5"/>
        <v>0</v>
      </c>
      <c r="M10" s="583">
        <f t="shared" si="6"/>
        <v>0</v>
      </c>
      <c r="N10" s="583">
        <f t="shared" si="7"/>
        <v>0</v>
      </c>
      <c r="O10" s="583">
        <f t="shared" si="8"/>
        <v>0</v>
      </c>
      <c r="P10" s="583">
        <f t="shared" si="9"/>
        <v>0</v>
      </c>
      <c r="Q10" s="583">
        <f t="shared" si="10"/>
        <v>0</v>
      </c>
      <c r="R10" s="583">
        <f t="shared" si="11"/>
        <v>0</v>
      </c>
      <c r="S10" s="583">
        <f t="shared" si="12"/>
        <v>0</v>
      </c>
    </row>
    <row r="11" spans="2:19" hidden="1" x14ac:dyDescent="0.25">
      <c r="C11" s="579" t="s">
        <v>176</v>
      </c>
      <c r="D11" s="579" t="s">
        <v>177</v>
      </c>
      <c r="E11" s="582">
        <f t="shared" si="0"/>
        <v>0</v>
      </c>
      <c r="F11" s="583">
        <f t="shared" si="1"/>
        <v>0</v>
      </c>
      <c r="G11" s="583">
        <f t="shared" si="2"/>
        <v>0</v>
      </c>
      <c r="H11" s="583"/>
      <c r="I11" s="583">
        <f t="shared" si="3"/>
        <v>0</v>
      </c>
      <c r="J11" s="584">
        <f t="shared" si="4"/>
        <v>0</v>
      </c>
      <c r="K11" s="583"/>
      <c r="L11" s="583">
        <f t="shared" si="5"/>
        <v>0</v>
      </c>
      <c r="M11" s="583">
        <f t="shared" si="6"/>
        <v>0</v>
      </c>
      <c r="N11" s="583">
        <f t="shared" si="7"/>
        <v>0</v>
      </c>
      <c r="O11" s="583">
        <f t="shared" si="8"/>
        <v>0</v>
      </c>
      <c r="P11" s="583">
        <f t="shared" si="9"/>
        <v>0</v>
      </c>
      <c r="Q11" s="583">
        <f t="shared" si="10"/>
        <v>0</v>
      </c>
      <c r="R11" s="583">
        <f t="shared" si="11"/>
        <v>0</v>
      </c>
      <c r="S11" s="583">
        <f t="shared" si="12"/>
        <v>0</v>
      </c>
    </row>
    <row r="12" spans="2:19" hidden="1" x14ac:dyDescent="0.25">
      <c r="C12" s="579" t="s">
        <v>178</v>
      </c>
      <c r="D12" s="579" t="s">
        <v>179</v>
      </c>
      <c r="E12" s="582">
        <f t="shared" si="0"/>
        <v>0</v>
      </c>
      <c r="F12" s="583">
        <f t="shared" si="1"/>
        <v>0</v>
      </c>
      <c r="G12" s="583">
        <f t="shared" si="2"/>
        <v>0</v>
      </c>
      <c r="H12" s="583"/>
      <c r="I12" s="583">
        <f t="shared" si="3"/>
        <v>0</v>
      </c>
      <c r="J12" s="584">
        <f t="shared" si="4"/>
        <v>0</v>
      </c>
      <c r="K12" s="583"/>
      <c r="L12" s="583">
        <f t="shared" si="5"/>
        <v>0</v>
      </c>
      <c r="M12" s="583">
        <f t="shared" si="6"/>
        <v>0</v>
      </c>
      <c r="N12" s="583">
        <f t="shared" si="7"/>
        <v>0</v>
      </c>
      <c r="O12" s="583">
        <f t="shared" si="8"/>
        <v>0</v>
      </c>
      <c r="P12" s="583">
        <f t="shared" si="9"/>
        <v>0</v>
      </c>
      <c r="Q12" s="583">
        <f t="shared" si="10"/>
        <v>0</v>
      </c>
      <c r="R12" s="583">
        <f t="shared" si="11"/>
        <v>0</v>
      </c>
      <c r="S12" s="583">
        <f t="shared" si="12"/>
        <v>0</v>
      </c>
    </row>
    <row r="13" spans="2:19" hidden="1" x14ac:dyDescent="0.25">
      <c r="C13" s="579" t="s">
        <v>180</v>
      </c>
      <c r="D13" s="579" t="s">
        <v>181</v>
      </c>
      <c r="E13" s="582">
        <f t="shared" si="0"/>
        <v>7140.2743269198318</v>
      </c>
      <c r="F13" s="583">
        <f t="shared" si="1"/>
        <v>7904.0194382406644</v>
      </c>
      <c r="G13" s="583">
        <f t="shared" si="2"/>
        <v>7419.5086742702579</v>
      </c>
      <c r="H13" s="583">
        <f>[14]Sales_NP!N9</f>
        <v>7238.09</v>
      </c>
      <c r="I13" s="583">
        <f t="shared" si="3"/>
        <v>7868.0185999999994</v>
      </c>
      <c r="J13" s="584">
        <f t="shared" si="4"/>
        <v>629.92859999999928</v>
      </c>
      <c r="K13" s="583">
        <f>'[15]Sales_NP (2)'!N9</f>
        <v>8399.9699999999993</v>
      </c>
      <c r="L13" s="583">
        <f t="shared" si="5"/>
        <v>3323.0565474984228</v>
      </c>
      <c r="M13" s="583">
        <f t="shared" si="6"/>
        <v>6123.9746346352877</v>
      </c>
      <c r="N13" s="583">
        <f t="shared" si="7"/>
        <v>9447.0311821337109</v>
      </c>
      <c r="O13" s="583">
        <f t="shared" si="8"/>
        <v>9812.4646639356743</v>
      </c>
      <c r="P13" s="583">
        <f t="shared" si="9"/>
        <v>10456.606075527796</v>
      </c>
      <c r="Q13" s="583">
        <f t="shared" si="10"/>
        <v>8661.881929798481</v>
      </c>
      <c r="R13" s="583">
        <f t="shared" si="11"/>
        <v>8934.2825297445561</v>
      </c>
      <c r="S13" s="583">
        <f t="shared" si="12"/>
        <v>9164.2840732210952</v>
      </c>
    </row>
    <row r="14" spans="2:19" hidden="1" x14ac:dyDescent="0.25">
      <c r="C14" s="579" t="s">
        <v>182</v>
      </c>
      <c r="D14" s="579" t="s">
        <v>183</v>
      </c>
      <c r="E14" s="582">
        <f t="shared" si="0"/>
        <v>0</v>
      </c>
      <c r="F14" s="583">
        <f t="shared" si="1"/>
        <v>0</v>
      </c>
      <c r="G14" s="583">
        <f t="shared" si="2"/>
        <v>0</v>
      </c>
      <c r="H14" s="583"/>
      <c r="I14" s="583">
        <f t="shared" si="3"/>
        <v>0</v>
      </c>
      <c r="J14" s="584">
        <f t="shared" si="4"/>
        <v>0</v>
      </c>
      <c r="K14" s="583"/>
      <c r="L14" s="583">
        <f t="shared" si="5"/>
        <v>0</v>
      </c>
      <c r="M14" s="583">
        <f t="shared" si="6"/>
        <v>0</v>
      </c>
      <c r="N14" s="583">
        <f t="shared" si="7"/>
        <v>0</v>
      </c>
      <c r="O14" s="583">
        <f t="shared" si="8"/>
        <v>0</v>
      </c>
      <c r="P14" s="583">
        <f t="shared" si="9"/>
        <v>0</v>
      </c>
      <c r="Q14" s="583">
        <f t="shared" si="10"/>
        <v>0</v>
      </c>
      <c r="R14" s="583">
        <f t="shared" si="11"/>
        <v>0</v>
      </c>
      <c r="S14" s="583">
        <f t="shared" si="12"/>
        <v>0</v>
      </c>
    </row>
    <row r="15" spans="2:19" hidden="1" x14ac:dyDescent="0.25">
      <c r="C15" s="579" t="s">
        <v>184</v>
      </c>
      <c r="D15" s="579" t="s">
        <v>185</v>
      </c>
      <c r="E15" s="582">
        <f t="shared" si="0"/>
        <v>0</v>
      </c>
      <c r="F15" s="583">
        <f t="shared" si="1"/>
        <v>0</v>
      </c>
      <c r="G15" s="583">
        <f t="shared" si="2"/>
        <v>0</v>
      </c>
      <c r="H15" s="583"/>
      <c r="I15" s="583">
        <f t="shared" si="3"/>
        <v>0</v>
      </c>
      <c r="J15" s="584">
        <f t="shared" si="4"/>
        <v>0</v>
      </c>
      <c r="K15" s="583"/>
      <c r="L15" s="583">
        <f t="shared" si="5"/>
        <v>0</v>
      </c>
      <c r="M15" s="583">
        <f t="shared" si="6"/>
        <v>0</v>
      </c>
      <c r="N15" s="583">
        <f t="shared" si="7"/>
        <v>0</v>
      </c>
      <c r="O15" s="583">
        <f t="shared" si="8"/>
        <v>0</v>
      </c>
      <c r="P15" s="583">
        <f t="shared" si="9"/>
        <v>0</v>
      </c>
      <c r="Q15" s="583">
        <f t="shared" si="10"/>
        <v>0</v>
      </c>
      <c r="R15" s="583">
        <f t="shared" si="11"/>
        <v>0</v>
      </c>
      <c r="S15" s="583">
        <f t="shared" si="12"/>
        <v>0</v>
      </c>
    </row>
    <row r="16" spans="2:19" hidden="1" x14ac:dyDescent="0.25">
      <c r="C16" s="579" t="s">
        <v>186</v>
      </c>
      <c r="D16" s="579" t="s">
        <v>187</v>
      </c>
      <c r="E16" s="582">
        <f t="shared" si="0"/>
        <v>0</v>
      </c>
      <c r="F16" s="583">
        <f t="shared" si="1"/>
        <v>0</v>
      </c>
      <c r="G16" s="583">
        <f t="shared" si="2"/>
        <v>0</v>
      </c>
      <c r="H16" s="583"/>
      <c r="I16" s="583">
        <f t="shared" si="3"/>
        <v>0</v>
      </c>
      <c r="J16" s="584">
        <f t="shared" si="4"/>
        <v>0</v>
      </c>
      <c r="K16" s="583"/>
      <c r="L16" s="583">
        <f t="shared" si="5"/>
        <v>0</v>
      </c>
      <c r="M16" s="583">
        <f t="shared" si="6"/>
        <v>0</v>
      </c>
      <c r="N16" s="583">
        <f t="shared" si="7"/>
        <v>0</v>
      </c>
      <c r="O16" s="583">
        <f t="shared" si="8"/>
        <v>0</v>
      </c>
      <c r="P16" s="583">
        <f t="shared" si="9"/>
        <v>0</v>
      </c>
      <c r="Q16" s="583">
        <f t="shared" si="10"/>
        <v>0</v>
      </c>
      <c r="R16" s="583">
        <f t="shared" si="11"/>
        <v>0</v>
      </c>
      <c r="S16" s="583">
        <f t="shared" si="12"/>
        <v>0</v>
      </c>
    </row>
    <row r="17" spans="3:19" hidden="1" x14ac:dyDescent="0.25">
      <c r="C17" s="579" t="s">
        <v>188</v>
      </c>
      <c r="D17" s="579" t="s">
        <v>189</v>
      </c>
      <c r="E17" s="582">
        <f t="shared" si="0"/>
        <v>0</v>
      </c>
      <c r="F17" s="583">
        <f t="shared" si="1"/>
        <v>0</v>
      </c>
      <c r="G17" s="583">
        <f t="shared" si="2"/>
        <v>0</v>
      </c>
      <c r="H17" s="583"/>
      <c r="I17" s="583">
        <f t="shared" si="3"/>
        <v>0</v>
      </c>
      <c r="J17" s="584">
        <f t="shared" si="4"/>
        <v>0</v>
      </c>
      <c r="K17" s="583"/>
      <c r="L17" s="583">
        <f t="shared" si="5"/>
        <v>0</v>
      </c>
      <c r="M17" s="583">
        <f t="shared" si="6"/>
        <v>0</v>
      </c>
      <c r="N17" s="583">
        <f t="shared" si="7"/>
        <v>0</v>
      </c>
      <c r="O17" s="583">
        <f t="shared" si="8"/>
        <v>0</v>
      </c>
      <c r="P17" s="583">
        <f t="shared" si="9"/>
        <v>0</v>
      </c>
      <c r="Q17" s="583">
        <f t="shared" si="10"/>
        <v>0</v>
      </c>
      <c r="R17" s="583">
        <f t="shared" si="11"/>
        <v>0</v>
      </c>
      <c r="S17" s="583">
        <f t="shared" si="12"/>
        <v>0</v>
      </c>
    </row>
    <row r="18" spans="3:19" hidden="1" x14ac:dyDescent="0.25">
      <c r="C18" s="579"/>
      <c r="D18" s="579"/>
      <c r="E18" s="582">
        <f t="shared" si="0"/>
        <v>0</v>
      </c>
      <c r="F18" s="583">
        <f t="shared" si="1"/>
        <v>0</v>
      </c>
      <c r="G18" s="583">
        <f t="shared" si="2"/>
        <v>0</v>
      </c>
      <c r="H18" s="583"/>
      <c r="I18" s="583">
        <f t="shared" si="3"/>
        <v>0</v>
      </c>
      <c r="J18" s="584">
        <f t="shared" si="4"/>
        <v>0</v>
      </c>
      <c r="K18" s="583"/>
      <c r="L18" s="583">
        <f t="shared" si="5"/>
        <v>0</v>
      </c>
      <c r="M18" s="583">
        <f t="shared" si="6"/>
        <v>0</v>
      </c>
      <c r="N18" s="583">
        <f t="shared" si="7"/>
        <v>0</v>
      </c>
      <c r="O18" s="583">
        <f t="shared" si="8"/>
        <v>0</v>
      </c>
      <c r="P18" s="583">
        <f t="shared" si="9"/>
        <v>0</v>
      </c>
      <c r="Q18" s="583">
        <f t="shared" si="10"/>
        <v>0</v>
      </c>
      <c r="R18" s="583">
        <f t="shared" si="11"/>
        <v>0</v>
      </c>
      <c r="S18" s="583">
        <f t="shared" si="12"/>
        <v>0</v>
      </c>
    </row>
    <row r="19" spans="3:19" hidden="1" x14ac:dyDescent="0.25">
      <c r="C19" s="579"/>
      <c r="D19" s="579"/>
      <c r="E19" s="582">
        <f t="shared" si="0"/>
        <v>0</v>
      </c>
      <c r="F19" s="583">
        <f t="shared" si="1"/>
        <v>0</v>
      </c>
      <c r="G19" s="583">
        <f t="shared" si="2"/>
        <v>0</v>
      </c>
      <c r="H19" s="583"/>
      <c r="I19" s="583">
        <f t="shared" si="3"/>
        <v>0</v>
      </c>
      <c r="J19" s="584">
        <f t="shared" si="4"/>
        <v>0</v>
      </c>
      <c r="K19" s="583"/>
      <c r="L19" s="583">
        <f t="shared" si="5"/>
        <v>0</v>
      </c>
      <c r="M19" s="583">
        <f t="shared" si="6"/>
        <v>0</v>
      </c>
      <c r="N19" s="583">
        <f t="shared" si="7"/>
        <v>0</v>
      </c>
      <c r="O19" s="583">
        <f t="shared" si="8"/>
        <v>0</v>
      </c>
      <c r="P19" s="583">
        <f t="shared" si="9"/>
        <v>0</v>
      </c>
      <c r="Q19" s="583">
        <f t="shared" si="10"/>
        <v>0</v>
      </c>
      <c r="R19" s="583">
        <f t="shared" si="11"/>
        <v>0</v>
      </c>
      <c r="S19" s="583">
        <f t="shared" si="12"/>
        <v>0</v>
      </c>
    </row>
    <row r="20" spans="3:19" hidden="1" x14ac:dyDescent="0.25">
      <c r="C20" s="579"/>
      <c r="D20" s="579"/>
      <c r="E20" s="582">
        <f t="shared" si="0"/>
        <v>0</v>
      </c>
      <c r="F20" s="583">
        <f t="shared" si="1"/>
        <v>0</v>
      </c>
      <c r="G20" s="583">
        <f t="shared" si="2"/>
        <v>0</v>
      </c>
      <c r="H20" s="583"/>
      <c r="I20" s="583">
        <f t="shared" si="3"/>
        <v>0</v>
      </c>
      <c r="J20" s="584">
        <f t="shared" si="4"/>
        <v>0</v>
      </c>
      <c r="K20" s="583"/>
      <c r="L20" s="583">
        <f t="shared" si="5"/>
        <v>0</v>
      </c>
      <c r="M20" s="583">
        <f t="shared" si="6"/>
        <v>0</v>
      </c>
      <c r="N20" s="583">
        <f t="shared" si="7"/>
        <v>0</v>
      </c>
      <c r="O20" s="583">
        <f t="shared" si="8"/>
        <v>0</v>
      </c>
      <c r="P20" s="583">
        <f t="shared" si="9"/>
        <v>0</v>
      </c>
      <c r="Q20" s="583">
        <f t="shared" si="10"/>
        <v>0</v>
      </c>
      <c r="R20" s="583">
        <f t="shared" si="11"/>
        <v>0</v>
      </c>
      <c r="S20" s="583">
        <f t="shared" si="12"/>
        <v>0</v>
      </c>
    </row>
    <row r="21" spans="3:19" hidden="1" x14ac:dyDescent="0.25">
      <c r="C21" s="579" t="s">
        <v>226</v>
      </c>
      <c r="D21" s="579" t="s">
        <v>226</v>
      </c>
      <c r="E21" s="582">
        <f t="shared" si="0"/>
        <v>0</v>
      </c>
      <c r="F21" s="583">
        <f t="shared" si="1"/>
        <v>0</v>
      </c>
      <c r="G21" s="583">
        <f t="shared" si="2"/>
        <v>0</v>
      </c>
      <c r="H21" s="583"/>
      <c r="I21" s="583">
        <f t="shared" si="3"/>
        <v>0</v>
      </c>
      <c r="J21" s="584">
        <f t="shared" si="4"/>
        <v>0</v>
      </c>
      <c r="K21" s="583"/>
      <c r="L21" s="583">
        <f t="shared" si="5"/>
        <v>0</v>
      </c>
      <c r="M21" s="583">
        <f t="shared" si="6"/>
        <v>0</v>
      </c>
      <c r="N21" s="583">
        <f t="shared" si="7"/>
        <v>0</v>
      </c>
      <c r="O21" s="583">
        <f t="shared" si="8"/>
        <v>0</v>
      </c>
      <c r="P21" s="583">
        <f t="shared" si="9"/>
        <v>0</v>
      </c>
      <c r="Q21" s="583">
        <f t="shared" si="10"/>
        <v>0</v>
      </c>
      <c r="R21" s="583">
        <f t="shared" si="11"/>
        <v>0</v>
      </c>
      <c r="S21" s="583">
        <f t="shared" si="12"/>
        <v>0</v>
      </c>
    </row>
    <row r="22" spans="3:19" hidden="1" x14ac:dyDescent="0.25">
      <c r="C22" s="773" t="s">
        <v>190</v>
      </c>
      <c r="D22" s="774"/>
      <c r="E22" s="582">
        <f t="shared" si="0"/>
        <v>7140.2743269198318</v>
      </c>
      <c r="F22" s="582">
        <f t="shared" si="1"/>
        <v>7904.0194382406644</v>
      </c>
      <c r="G22" s="582">
        <f t="shared" si="2"/>
        <v>7419.5086742702579</v>
      </c>
      <c r="H22" s="582">
        <f>SUM(H9:H21)</f>
        <v>7238.09</v>
      </c>
      <c r="I22" s="582">
        <f t="shared" si="3"/>
        <v>7868.0185999999994</v>
      </c>
      <c r="J22" s="582">
        <f t="shared" si="4"/>
        <v>629.92859999999928</v>
      </c>
      <c r="K22" s="582">
        <f>SUM(K9:K21)</f>
        <v>8399.9699999999993</v>
      </c>
      <c r="L22" s="582">
        <f>SUM(E393:J393)</f>
        <v>3323.0565474984228</v>
      </c>
      <c r="M22" s="582">
        <f>SUM(K393:P393)</f>
        <v>6123.9746346352877</v>
      </c>
      <c r="N22" s="582">
        <f t="shared" si="7"/>
        <v>9447.0311821337109</v>
      </c>
      <c r="O22" s="582">
        <f t="shared" si="8"/>
        <v>9812.4646639356743</v>
      </c>
      <c r="P22" s="582">
        <f t="shared" si="9"/>
        <v>10456.606075527796</v>
      </c>
      <c r="Q22" s="582">
        <f t="shared" si="10"/>
        <v>8661.881929798481</v>
      </c>
      <c r="R22" s="582">
        <f t="shared" si="11"/>
        <v>8934.2825297445561</v>
      </c>
      <c r="S22" s="582">
        <f t="shared" si="12"/>
        <v>9164.2840732210952</v>
      </c>
    </row>
    <row r="23" spans="3:19" hidden="1" x14ac:dyDescent="0.25">
      <c r="C23" s="773" t="s">
        <v>191</v>
      </c>
      <c r="D23" s="774"/>
      <c r="E23" s="582"/>
      <c r="F23" s="582"/>
      <c r="G23" s="582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</row>
    <row r="24" spans="3:19" hidden="1" x14ac:dyDescent="0.25">
      <c r="C24" s="579" t="s">
        <v>192</v>
      </c>
      <c r="D24" s="579" t="s">
        <v>193</v>
      </c>
      <c r="E24" s="582">
        <f t="shared" ref="E24:E39" si="13">Q100</f>
        <v>0</v>
      </c>
      <c r="F24" s="583">
        <f t="shared" ref="F24:F39" si="14">Q174</f>
        <v>0</v>
      </c>
      <c r="G24" s="583">
        <f t="shared" ref="G24:G39" si="15">Q247</f>
        <v>0</v>
      </c>
      <c r="H24" s="583"/>
      <c r="I24" s="583">
        <f t="shared" ref="I24:I39" si="16">Q320</f>
        <v>0</v>
      </c>
      <c r="J24" s="583"/>
      <c r="K24" s="583"/>
      <c r="L24" s="583">
        <f t="shared" ref="L24:L38" si="17">E395+F395+G395+H395+I395+J395</f>
        <v>0</v>
      </c>
      <c r="M24" s="583">
        <f t="shared" ref="M24:M38" si="18">K395+L395+M395+N395+O395+P395</f>
        <v>0</v>
      </c>
      <c r="N24" s="583">
        <f t="shared" ref="N24:N39" si="19">L24+M24</f>
        <v>0</v>
      </c>
      <c r="O24" s="583">
        <f t="shared" ref="O24:O39" si="20">Q469</f>
        <v>0</v>
      </c>
      <c r="P24" s="583">
        <f t="shared" ref="P24:P39" si="21">Q543</f>
        <v>0</v>
      </c>
      <c r="Q24" s="583">
        <f t="shared" ref="Q24:Q39" si="22">Q617</f>
        <v>0</v>
      </c>
      <c r="R24" s="583">
        <f t="shared" ref="R24:R39" si="23">Q691</f>
        <v>0</v>
      </c>
      <c r="S24" s="583">
        <f t="shared" ref="S24:S39" si="24">Q765</f>
        <v>0</v>
      </c>
    </row>
    <row r="25" spans="3:19" hidden="1" x14ac:dyDescent="0.25">
      <c r="C25" s="579" t="s">
        <v>194</v>
      </c>
      <c r="D25" s="579" t="s">
        <v>195</v>
      </c>
      <c r="E25" s="582">
        <f t="shared" si="13"/>
        <v>0</v>
      </c>
      <c r="F25" s="583">
        <f t="shared" si="14"/>
        <v>0</v>
      </c>
      <c r="G25" s="583">
        <f t="shared" si="15"/>
        <v>0</v>
      </c>
      <c r="H25" s="583"/>
      <c r="I25" s="583">
        <f t="shared" si="16"/>
        <v>0</v>
      </c>
      <c r="J25" s="583"/>
      <c r="K25" s="583"/>
      <c r="L25" s="583">
        <f t="shared" si="17"/>
        <v>0</v>
      </c>
      <c r="M25" s="583">
        <f t="shared" si="18"/>
        <v>0</v>
      </c>
      <c r="N25" s="583">
        <f t="shared" si="19"/>
        <v>0</v>
      </c>
      <c r="O25" s="583">
        <f t="shared" si="20"/>
        <v>0</v>
      </c>
      <c r="P25" s="583">
        <f t="shared" si="21"/>
        <v>0</v>
      </c>
      <c r="Q25" s="583">
        <f t="shared" si="22"/>
        <v>0</v>
      </c>
      <c r="R25" s="583">
        <f t="shared" si="23"/>
        <v>0</v>
      </c>
      <c r="S25" s="583">
        <f t="shared" si="24"/>
        <v>0</v>
      </c>
    </row>
    <row r="26" spans="3:19" hidden="1" x14ac:dyDescent="0.25">
      <c r="C26" s="579" t="s">
        <v>233</v>
      </c>
      <c r="D26" s="579" t="s">
        <v>197</v>
      </c>
      <c r="E26" s="582">
        <f t="shared" si="13"/>
        <v>0</v>
      </c>
      <c r="F26" s="583">
        <f t="shared" si="14"/>
        <v>0</v>
      </c>
      <c r="G26" s="583">
        <f t="shared" si="15"/>
        <v>0</v>
      </c>
      <c r="H26" s="583"/>
      <c r="I26" s="583">
        <f t="shared" si="16"/>
        <v>0</v>
      </c>
      <c r="J26" s="583"/>
      <c r="K26" s="583"/>
      <c r="L26" s="583">
        <f t="shared" si="17"/>
        <v>0</v>
      </c>
      <c r="M26" s="583">
        <f t="shared" si="18"/>
        <v>0</v>
      </c>
      <c r="N26" s="583">
        <f t="shared" si="19"/>
        <v>0</v>
      </c>
      <c r="O26" s="583">
        <f t="shared" si="20"/>
        <v>0</v>
      </c>
      <c r="P26" s="583">
        <f t="shared" si="21"/>
        <v>0</v>
      </c>
      <c r="Q26" s="583">
        <f t="shared" si="22"/>
        <v>0</v>
      </c>
      <c r="R26" s="583">
        <f t="shared" si="23"/>
        <v>0</v>
      </c>
      <c r="S26" s="583">
        <f t="shared" si="24"/>
        <v>0</v>
      </c>
    </row>
    <row r="27" spans="3:19" hidden="1" x14ac:dyDescent="0.25">
      <c r="C27" s="579" t="s">
        <v>198</v>
      </c>
      <c r="D27" s="579" t="s">
        <v>199</v>
      </c>
      <c r="E27" s="582">
        <f t="shared" si="13"/>
        <v>0</v>
      </c>
      <c r="F27" s="583">
        <f t="shared" si="14"/>
        <v>0</v>
      </c>
      <c r="G27" s="583">
        <f t="shared" si="15"/>
        <v>0</v>
      </c>
      <c r="H27" s="583"/>
      <c r="I27" s="583">
        <f t="shared" si="16"/>
        <v>0</v>
      </c>
      <c r="J27" s="583"/>
      <c r="K27" s="583"/>
      <c r="L27" s="583">
        <f t="shared" si="17"/>
        <v>0</v>
      </c>
      <c r="M27" s="583">
        <f t="shared" si="18"/>
        <v>0</v>
      </c>
      <c r="N27" s="583">
        <f t="shared" si="19"/>
        <v>0</v>
      </c>
      <c r="O27" s="583">
        <f t="shared" si="20"/>
        <v>0</v>
      </c>
      <c r="P27" s="583">
        <f t="shared" si="21"/>
        <v>0</v>
      </c>
      <c r="Q27" s="583">
        <f t="shared" si="22"/>
        <v>0</v>
      </c>
      <c r="R27" s="583">
        <f t="shared" si="23"/>
        <v>0</v>
      </c>
      <c r="S27" s="583">
        <f t="shared" si="24"/>
        <v>0</v>
      </c>
    </row>
    <row r="28" spans="3:19" hidden="1" x14ac:dyDescent="0.25">
      <c r="C28" s="579" t="s">
        <v>200</v>
      </c>
      <c r="D28" s="579" t="s">
        <v>201</v>
      </c>
      <c r="E28" s="582">
        <f t="shared" si="13"/>
        <v>0</v>
      </c>
      <c r="F28" s="583">
        <f t="shared" si="14"/>
        <v>0</v>
      </c>
      <c r="G28" s="583">
        <f t="shared" si="15"/>
        <v>0</v>
      </c>
      <c r="H28" s="583"/>
      <c r="I28" s="583">
        <f t="shared" si="16"/>
        <v>0</v>
      </c>
      <c r="J28" s="583"/>
      <c r="K28" s="583"/>
      <c r="L28" s="583">
        <f t="shared" si="17"/>
        <v>0</v>
      </c>
      <c r="M28" s="583">
        <f t="shared" si="18"/>
        <v>0</v>
      </c>
      <c r="N28" s="583">
        <f t="shared" si="19"/>
        <v>0</v>
      </c>
      <c r="O28" s="583">
        <f t="shared" si="20"/>
        <v>0</v>
      </c>
      <c r="P28" s="583">
        <f t="shared" si="21"/>
        <v>0</v>
      </c>
      <c r="Q28" s="583">
        <f t="shared" si="22"/>
        <v>0</v>
      </c>
      <c r="R28" s="583">
        <f t="shared" si="23"/>
        <v>0</v>
      </c>
      <c r="S28" s="583">
        <f t="shared" si="24"/>
        <v>0</v>
      </c>
    </row>
    <row r="29" spans="3:19" hidden="1" x14ac:dyDescent="0.25">
      <c r="C29" s="579" t="s">
        <v>202</v>
      </c>
      <c r="D29" s="579" t="s">
        <v>203</v>
      </c>
      <c r="E29" s="582">
        <f t="shared" si="13"/>
        <v>0</v>
      </c>
      <c r="F29" s="583">
        <f t="shared" si="14"/>
        <v>0</v>
      </c>
      <c r="G29" s="583">
        <f t="shared" si="15"/>
        <v>0</v>
      </c>
      <c r="H29" s="583"/>
      <c r="I29" s="583">
        <f t="shared" si="16"/>
        <v>0</v>
      </c>
      <c r="J29" s="583"/>
      <c r="K29" s="583"/>
      <c r="L29" s="583">
        <f t="shared" si="17"/>
        <v>0</v>
      </c>
      <c r="M29" s="583">
        <f t="shared" si="18"/>
        <v>0</v>
      </c>
      <c r="N29" s="583">
        <f t="shared" si="19"/>
        <v>0</v>
      </c>
      <c r="O29" s="583">
        <f t="shared" si="20"/>
        <v>0</v>
      </c>
      <c r="P29" s="583">
        <f t="shared" si="21"/>
        <v>0</v>
      </c>
      <c r="Q29" s="583">
        <f t="shared" si="22"/>
        <v>0</v>
      </c>
      <c r="R29" s="583">
        <f t="shared" si="23"/>
        <v>0</v>
      </c>
      <c r="S29" s="583">
        <f t="shared" si="24"/>
        <v>0</v>
      </c>
    </row>
    <row r="30" spans="3:19" hidden="1" x14ac:dyDescent="0.25">
      <c r="C30" s="579" t="s">
        <v>204</v>
      </c>
      <c r="D30" s="579" t="s">
        <v>205</v>
      </c>
      <c r="E30" s="582">
        <f t="shared" si="13"/>
        <v>0</v>
      </c>
      <c r="F30" s="583">
        <f t="shared" si="14"/>
        <v>0</v>
      </c>
      <c r="G30" s="583">
        <f t="shared" si="15"/>
        <v>0</v>
      </c>
      <c r="H30" s="583"/>
      <c r="I30" s="583">
        <f t="shared" si="16"/>
        <v>0</v>
      </c>
      <c r="J30" s="583"/>
      <c r="K30" s="583"/>
      <c r="L30" s="583">
        <f t="shared" si="17"/>
        <v>0</v>
      </c>
      <c r="M30" s="583">
        <f t="shared" si="18"/>
        <v>0</v>
      </c>
      <c r="N30" s="583">
        <f t="shared" si="19"/>
        <v>0</v>
      </c>
      <c r="O30" s="583">
        <f t="shared" si="20"/>
        <v>0</v>
      </c>
      <c r="P30" s="583">
        <f t="shared" si="21"/>
        <v>0</v>
      </c>
      <c r="Q30" s="583">
        <f t="shared" si="22"/>
        <v>0</v>
      </c>
      <c r="R30" s="583">
        <f t="shared" si="23"/>
        <v>0</v>
      </c>
      <c r="S30" s="583">
        <f t="shared" si="24"/>
        <v>0</v>
      </c>
    </row>
    <row r="31" spans="3:19" hidden="1" x14ac:dyDescent="0.25">
      <c r="C31" s="579" t="s">
        <v>206</v>
      </c>
      <c r="D31" s="579" t="s">
        <v>207</v>
      </c>
      <c r="E31" s="582">
        <f t="shared" si="13"/>
        <v>0</v>
      </c>
      <c r="F31" s="583">
        <f t="shared" si="14"/>
        <v>0</v>
      </c>
      <c r="G31" s="583">
        <f t="shared" si="15"/>
        <v>0</v>
      </c>
      <c r="H31" s="583"/>
      <c r="I31" s="583">
        <f t="shared" si="16"/>
        <v>0</v>
      </c>
      <c r="J31" s="583"/>
      <c r="K31" s="583"/>
      <c r="L31" s="583">
        <f t="shared" si="17"/>
        <v>0</v>
      </c>
      <c r="M31" s="583">
        <f t="shared" si="18"/>
        <v>0</v>
      </c>
      <c r="N31" s="583">
        <f t="shared" si="19"/>
        <v>0</v>
      </c>
      <c r="O31" s="583">
        <f t="shared" si="20"/>
        <v>0</v>
      </c>
      <c r="P31" s="583">
        <f t="shared" si="21"/>
        <v>0</v>
      </c>
      <c r="Q31" s="583">
        <f t="shared" si="22"/>
        <v>0</v>
      </c>
      <c r="R31" s="583">
        <f t="shared" si="23"/>
        <v>0</v>
      </c>
      <c r="S31" s="583">
        <f t="shared" si="24"/>
        <v>0</v>
      </c>
    </row>
    <row r="32" spans="3:19" hidden="1" x14ac:dyDescent="0.25">
      <c r="C32" s="579" t="s">
        <v>208</v>
      </c>
      <c r="D32" s="579" t="s">
        <v>187</v>
      </c>
      <c r="E32" s="582">
        <f t="shared" si="13"/>
        <v>0</v>
      </c>
      <c r="F32" s="583">
        <f t="shared" si="14"/>
        <v>0</v>
      </c>
      <c r="G32" s="583">
        <f t="shared" si="15"/>
        <v>0</v>
      </c>
      <c r="H32" s="583"/>
      <c r="I32" s="583">
        <f t="shared" si="16"/>
        <v>0</v>
      </c>
      <c r="J32" s="583"/>
      <c r="K32" s="583"/>
      <c r="L32" s="583">
        <f t="shared" si="17"/>
        <v>0</v>
      </c>
      <c r="M32" s="583">
        <f t="shared" si="18"/>
        <v>0</v>
      </c>
      <c r="N32" s="583">
        <f t="shared" si="19"/>
        <v>0</v>
      </c>
      <c r="O32" s="583">
        <f t="shared" si="20"/>
        <v>0</v>
      </c>
      <c r="P32" s="583">
        <f t="shared" si="21"/>
        <v>0</v>
      </c>
      <c r="Q32" s="583">
        <f t="shared" si="22"/>
        <v>0</v>
      </c>
      <c r="R32" s="583">
        <f t="shared" si="23"/>
        <v>0</v>
      </c>
      <c r="S32" s="583">
        <f t="shared" si="24"/>
        <v>0</v>
      </c>
    </row>
    <row r="33" spans="3:19" hidden="1" x14ac:dyDescent="0.25">
      <c r="C33" s="579" t="s">
        <v>209</v>
      </c>
      <c r="D33" s="579" t="s">
        <v>210</v>
      </c>
      <c r="E33" s="582">
        <f t="shared" si="13"/>
        <v>0</v>
      </c>
      <c r="F33" s="583">
        <f t="shared" si="14"/>
        <v>0</v>
      </c>
      <c r="G33" s="583">
        <f t="shared" si="15"/>
        <v>0</v>
      </c>
      <c r="H33" s="583"/>
      <c r="I33" s="583">
        <f t="shared" si="16"/>
        <v>0</v>
      </c>
      <c r="J33" s="583"/>
      <c r="K33" s="583"/>
      <c r="L33" s="583">
        <f t="shared" si="17"/>
        <v>0</v>
      </c>
      <c r="M33" s="583">
        <f t="shared" si="18"/>
        <v>0</v>
      </c>
      <c r="N33" s="583">
        <f t="shared" si="19"/>
        <v>0</v>
      </c>
      <c r="O33" s="583">
        <f t="shared" si="20"/>
        <v>0</v>
      </c>
      <c r="P33" s="583">
        <f t="shared" si="21"/>
        <v>0</v>
      </c>
      <c r="Q33" s="583">
        <f t="shared" si="22"/>
        <v>0</v>
      </c>
      <c r="R33" s="583">
        <f t="shared" si="23"/>
        <v>0</v>
      </c>
      <c r="S33" s="583">
        <f t="shared" si="24"/>
        <v>0</v>
      </c>
    </row>
    <row r="34" spans="3:19" hidden="1" x14ac:dyDescent="0.25">
      <c r="C34" s="579" t="s">
        <v>211</v>
      </c>
      <c r="D34" s="579" t="s">
        <v>189</v>
      </c>
      <c r="E34" s="582">
        <f t="shared" si="13"/>
        <v>0</v>
      </c>
      <c r="F34" s="583">
        <f t="shared" si="14"/>
        <v>0</v>
      </c>
      <c r="G34" s="583">
        <f t="shared" si="15"/>
        <v>0</v>
      </c>
      <c r="H34" s="583"/>
      <c r="I34" s="583">
        <f t="shared" si="16"/>
        <v>0</v>
      </c>
      <c r="J34" s="583"/>
      <c r="K34" s="583"/>
      <c r="L34" s="583">
        <f t="shared" si="17"/>
        <v>0</v>
      </c>
      <c r="M34" s="583">
        <f t="shared" si="18"/>
        <v>0</v>
      </c>
      <c r="N34" s="583">
        <f t="shared" si="19"/>
        <v>0</v>
      </c>
      <c r="O34" s="583">
        <f t="shared" si="20"/>
        <v>0</v>
      </c>
      <c r="P34" s="583">
        <f t="shared" si="21"/>
        <v>0</v>
      </c>
      <c r="Q34" s="583">
        <f t="shared" si="22"/>
        <v>0</v>
      </c>
      <c r="R34" s="583">
        <f t="shared" si="23"/>
        <v>0</v>
      </c>
      <c r="S34" s="583">
        <f t="shared" si="24"/>
        <v>0</v>
      </c>
    </row>
    <row r="35" spans="3:19" hidden="1" x14ac:dyDescent="0.25">
      <c r="C35" s="579"/>
      <c r="D35" s="579"/>
      <c r="E35" s="582">
        <f t="shared" si="13"/>
        <v>0</v>
      </c>
      <c r="F35" s="583">
        <f t="shared" si="14"/>
        <v>0</v>
      </c>
      <c r="G35" s="583">
        <f t="shared" si="15"/>
        <v>0</v>
      </c>
      <c r="H35" s="583"/>
      <c r="I35" s="583">
        <f t="shared" si="16"/>
        <v>0</v>
      </c>
      <c r="J35" s="583"/>
      <c r="K35" s="583"/>
      <c r="L35" s="583">
        <f t="shared" si="17"/>
        <v>0</v>
      </c>
      <c r="M35" s="583">
        <f t="shared" si="18"/>
        <v>0</v>
      </c>
      <c r="N35" s="583">
        <f t="shared" si="19"/>
        <v>0</v>
      </c>
      <c r="O35" s="583">
        <f t="shared" si="20"/>
        <v>0</v>
      </c>
      <c r="P35" s="583">
        <f t="shared" si="21"/>
        <v>0</v>
      </c>
      <c r="Q35" s="583">
        <f t="shared" si="22"/>
        <v>0</v>
      </c>
      <c r="R35" s="583">
        <f t="shared" si="23"/>
        <v>0</v>
      </c>
      <c r="S35" s="583">
        <f t="shared" si="24"/>
        <v>0</v>
      </c>
    </row>
    <row r="36" spans="3:19" hidden="1" x14ac:dyDescent="0.25">
      <c r="C36" s="579"/>
      <c r="D36" s="579"/>
      <c r="E36" s="582">
        <f t="shared" si="13"/>
        <v>0</v>
      </c>
      <c r="F36" s="583">
        <f t="shared" si="14"/>
        <v>0</v>
      </c>
      <c r="G36" s="583">
        <f t="shared" si="15"/>
        <v>0</v>
      </c>
      <c r="H36" s="583"/>
      <c r="I36" s="583">
        <f t="shared" si="16"/>
        <v>0</v>
      </c>
      <c r="J36" s="583"/>
      <c r="K36" s="583"/>
      <c r="L36" s="583">
        <f t="shared" si="17"/>
        <v>0</v>
      </c>
      <c r="M36" s="583">
        <f t="shared" si="18"/>
        <v>0</v>
      </c>
      <c r="N36" s="583">
        <f t="shared" si="19"/>
        <v>0</v>
      </c>
      <c r="O36" s="583">
        <f t="shared" si="20"/>
        <v>0</v>
      </c>
      <c r="P36" s="583">
        <f t="shared" si="21"/>
        <v>0</v>
      </c>
      <c r="Q36" s="583">
        <f t="shared" si="22"/>
        <v>0</v>
      </c>
      <c r="R36" s="583">
        <f t="shared" si="23"/>
        <v>0</v>
      </c>
      <c r="S36" s="583">
        <f t="shared" si="24"/>
        <v>0</v>
      </c>
    </row>
    <row r="37" spans="3:19" hidden="1" x14ac:dyDescent="0.25">
      <c r="C37" s="579"/>
      <c r="D37" s="579"/>
      <c r="E37" s="582">
        <f t="shared" si="13"/>
        <v>0</v>
      </c>
      <c r="F37" s="583">
        <f t="shared" si="14"/>
        <v>0</v>
      </c>
      <c r="G37" s="583">
        <f t="shared" si="15"/>
        <v>0</v>
      </c>
      <c r="H37" s="583"/>
      <c r="I37" s="583">
        <f t="shared" si="16"/>
        <v>0</v>
      </c>
      <c r="J37" s="583"/>
      <c r="K37" s="583"/>
      <c r="L37" s="583">
        <f t="shared" si="17"/>
        <v>0</v>
      </c>
      <c r="M37" s="583">
        <f t="shared" si="18"/>
        <v>0</v>
      </c>
      <c r="N37" s="583">
        <f t="shared" si="19"/>
        <v>0</v>
      </c>
      <c r="O37" s="583">
        <f t="shared" si="20"/>
        <v>0</v>
      </c>
      <c r="P37" s="583">
        <f t="shared" si="21"/>
        <v>0</v>
      </c>
      <c r="Q37" s="583">
        <f t="shared" si="22"/>
        <v>0</v>
      </c>
      <c r="R37" s="583">
        <f t="shared" si="23"/>
        <v>0</v>
      </c>
      <c r="S37" s="583">
        <f t="shared" si="24"/>
        <v>0</v>
      </c>
    </row>
    <row r="38" spans="3:19" hidden="1" x14ac:dyDescent="0.25">
      <c r="C38" s="579" t="s">
        <v>226</v>
      </c>
      <c r="D38" s="579" t="s">
        <v>226</v>
      </c>
      <c r="E38" s="582">
        <f t="shared" si="13"/>
        <v>0</v>
      </c>
      <c r="F38" s="583">
        <f t="shared" si="14"/>
        <v>0</v>
      </c>
      <c r="G38" s="583">
        <f t="shared" si="15"/>
        <v>0</v>
      </c>
      <c r="H38" s="583"/>
      <c r="I38" s="583">
        <f t="shared" si="16"/>
        <v>0</v>
      </c>
      <c r="J38" s="583"/>
      <c r="K38" s="583"/>
      <c r="L38" s="583">
        <f t="shared" si="17"/>
        <v>0</v>
      </c>
      <c r="M38" s="583">
        <f t="shared" si="18"/>
        <v>0</v>
      </c>
      <c r="N38" s="583">
        <f t="shared" si="19"/>
        <v>0</v>
      </c>
      <c r="O38" s="583">
        <f t="shared" si="20"/>
        <v>0</v>
      </c>
      <c r="P38" s="583">
        <f t="shared" si="21"/>
        <v>0</v>
      </c>
      <c r="Q38" s="583">
        <f t="shared" si="22"/>
        <v>0</v>
      </c>
      <c r="R38" s="583">
        <f t="shared" si="23"/>
        <v>0</v>
      </c>
      <c r="S38" s="583">
        <f t="shared" si="24"/>
        <v>0</v>
      </c>
    </row>
    <row r="39" spans="3:19" hidden="1" x14ac:dyDescent="0.25">
      <c r="C39" s="773" t="s">
        <v>212</v>
      </c>
      <c r="D39" s="774"/>
      <c r="E39" s="582">
        <f t="shared" si="13"/>
        <v>0</v>
      </c>
      <c r="F39" s="582">
        <f t="shared" si="14"/>
        <v>0</v>
      </c>
      <c r="G39" s="582">
        <f t="shared" si="15"/>
        <v>0</v>
      </c>
      <c r="H39" s="582">
        <f>SUM(H24:H38)</f>
        <v>0</v>
      </c>
      <c r="I39" s="582">
        <f t="shared" si="16"/>
        <v>0</v>
      </c>
      <c r="J39" s="582">
        <f>I39-H39</f>
        <v>0</v>
      </c>
      <c r="K39" s="582">
        <f>SUM(K24:K38)</f>
        <v>0</v>
      </c>
      <c r="L39" s="582">
        <f>SUM(E410:J410)</f>
        <v>0</v>
      </c>
      <c r="M39" s="582">
        <f>SUM(K410:P410)</f>
        <v>0</v>
      </c>
      <c r="N39" s="582">
        <f t="shared" si="19"/>
        <v>0</v>
      </c>
      <c r="O39" s="582">
        <f t="shared" si="20"/>
        <v>0</v>
      </c>
      <c r="P39" s="582">
        <f t="shared" si="21"/>
        <v>0</v>
      </c>
      <c r="Q39" s="582">
        <f t="shared" si="22"/>
        <v>0</v>
      </c>
      <c r="R39" s="582">
        <f t="shared" si="23"/>
        <v>0</v>
      </c>
      <c r="S39" s="582">
        <f t="shared" si="24"/>
        <v>0</v>
      </c>
    </row>
    <row r="40" spans="3:19" hidden="1" x14ac:dyDescent="0.25">
      <c r="C40" s="773" t="s">
        <v>213</v>
      </c>
      <c r="D40" s="774"/>
      <c r="E40" s="582"/>
      <c r="F40" s="582"/>
      <c r="G40" s="582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</row>
    <row r="41" spans="3:19" hidden="1" x14ac:dyDescent="0.25">
      <c r="C41" s="579" t="s">
        <v>192</v>
      </c>
      <c r="D41" s="579" t="s">
        <v>193</v>
      </c>
      <c r="E41" s="582">
        <f t="shared" ref="E41:E56" si="25">Q117</f>
        <v>0</v>
      </c>
      <c r="F41" s="583">
        <f t="shared" ref="F41:F56" si="26">Q191</f>
        <v>0</v>
      </c>
      <c r="G41" s="583">
        <f t="shared" ref="G41:G56" si="27">Q264</f>
        <v>0</v>
      </c>
      <c r="H41" s="583"/>
      <c r="I41" s="583">
        <f t="shared" ref="I41:I56" si="28">Q337</f>
        <v>0</v>
      </c>
      <c r="J41" s="583"/>
      <c r="K41" s="583"/>
      <c r="L41" s="583">
        <f t="shared" ref="L41:L55" si="29">E412+F412+G412+H412+I412+J412</f>
        <v>0</v>
      </c>
      <c r="M41" s="583">
        <f t="shared" ref="M41:M55" si="30">K412+L412+M412+N412+O412+P412</f>
        <v>0</v>
      </c>
      <c r="N41" s="583">
        <f t="shared" ref="N41:N56" si="31">L41+M41</f>
        <v>0</v>
      </c>
      <c r="O41" s="583">
        <f t="shared" ref="O41:O56" si="32">Q486</f>
        <v>0</v>
      </c>
      <c r="P41" s="583">
        <f t="shared" ref="P41:P56" si="33">Q560</f>
        <v>0</v>
      </c>
      <c r="Q41" s="583">
        <f t="shared" ref="Q41:Q56" si="34">Q634</f>
        <v>0</v>
      </c>
      <c r="R41" s="583">
        <f t="shared" ref="R41:R56" si="35">Q708</f>
        <v>0</v>
      </c>
      <c r="S41" s="583">
        <f t="shared" ref="S41:S56" si="36">Q782</f>
        <v>0</v>
      </c>
    </row>
    <row r="42" spans="3:19" hidden="1" x14ac:dyDescent="0.25">
      <c r="C42" s="579" t="s">
        <v>194</v>
      </c>
      <c r="D42" s="579" t="s">
        <v>195</v>
      </c>
      <c r="E42" s="582">
        <f t="shared" si="25"/>
        <v>0</v>
      </c>
      <c r="F42" s="583">
        <f t="shared" si="26"/>
        <v>0</v>
      </c>
      <c r="G42" s="583">
        <f t="shared" si="27"/>
        <v>0</v>
      </c>
      <c r="H42" s="583"/>
      <c r="I42" s="583">
        <f t="shared" si="28"/>
        <v>0</v>
      </c>
      <c r="J42" s="583"/>
      <c r="K42" s="583"/>
      <c r="L42" s="583">
        <f t="shared" si="29"/>
        <v>0</v>
      </c>
      <c r="M42" s="583">
        <f t="shared" si="30"/>
        <v>0</v>
      </c>
      <c r="N42" s="583">
        <f t="shared" si="31"/>
        <v>0</v>
      </c>
      <c r="O42" s="583">
        <f t="shared" si="32"/>
        <v>0</v>
      </c>
      <c r="P42" s="583">
        <f t="shared" si="33"/>
        <v>0</v>
      </c>
      <c r="Q42" s="583">
        <f t="shared" si="34"/>
        <v>0</v>
      </c>
      <c r="R42" s="583">
        <f t="shared" si="35"/>
        <v>0</v>
      </c>
      <c r="S42" s="583">
        <f t="shared" si="36"/>
        <v>0</v>
      </c>
    </row>
    <row r="43" spans="3:19" hidden="1" x14ac:dyDescent="0.25">
      <c r="C43" s="579" t="s">
        <v>233</v>
      </c>
      <c r="D43" s="579" t="s">
        <v>197</v>
      </c>
      <c r="E43" s="582">
        <f t="shared" si="25"/>
        <v>0</v>
      </c>
      <c r="F43" s="583">
        <f t="shared" si="26"/>
        <v>0</v>
      </c>
      <c r="G43" s="583">
        <f t="shared" si="27"/>
        <v>0</v>
      </c>
      <c r="H43" s="583"/>
      <c r="I43" s="583">
        <f t="shared" si="28"/>
        <v>0</v>
      </c>
      <c r="J43" s="583"/>
      <c r="K43" s="583"/>
      <c r="L43" s="583">
        <f t="shared" si="29"/>
        <v>0</v>
      </c>
      <c r="M43" s="583">
        <f t="shared" si="30"/>
        <v>0</v>
      </c>
      <c r="N43" s="583">
        <f t="shared" si="31"/>
        <v>0</v>
      </c>
      <c r="O43" s="583">
        <f t="shared" si="32"/>
        <v>0</v>
      </c>
      <c r="P43" s="583">
        <f t="shared" si="33"/>
        <v>0</v>
      </c>
      <c r="Q43" s="583">
        <f t="shared" si="34"/>
        <v>0</v>
      </c>
      <c r="R43" s="583">
        <f t="shared" si="35"/>
        <v>0</v>
      </c>
      <c r="S43" s="583">
        <f t="shared" si="36"/>
        <v>0</v>
      </c>
    </row>
    <row r="44" spans="3:19" hidden="1" x14ac:dyDescent="0.25">
      <c r="C44" s="579" t="s">
        <v>198</v>
      </c>
      <c r="D44" s="579" t="s">
        <v>199</v>
      </c>
      <c r="E44" s="582">
        <f t="shared" si="25"/>
        <v>0</v>
      </c>
      <c r="F44" s="583">
        <f t="shared" si="26"/>
        <v>0</v>
      </c>
      <c r="G44" s="583">
        <f t="shared" si="27"/>
        <v>0</v>
      </c>
      <c r="H44" s="583"/>
      <c r="I44" s="583">
        <f t="shared" si="28"/>
        <v>0</v>
      </c>
      <c r="J44" s="583"/>
      <c r="K44" s="583"/>
      <c r="L44" s="583">
        <f t="shared" si="29"/>
        <v>0</v>
      </c>
      <c r="M44" s="583">
        <f t="shared" si="30"/>
        <v>0</v>
      </c>
      <c r="N44" s="583">
        <f t="shared" si="31"/>
        <v>0</v>
      </c>
      <c r="O44" s="583">
        <f t="shared" si="32"/>
        <v>0</v>
      </c>
      <c r="P44" s="583">
        <f t="shared" si="33"/>
        <v>0</v>
      </c>
      <c r="Q44" s="583">
        <f t="shared" si="34"/>
        <v>0</v>
      </c>
      <c r="R44" s="583">
        <f t="shared" si="35"/>
        <v>0</v>
      </c>
      <c r="S44" s="583">
        <f t="shared" si="36"/>
        <v>0</v>
      </c>
    </row>
    <row r="45" spans="3:19" hidden="1" x14ac:dyDescent="0.25">
      <c r="C45" s="579" t="s">
        <v>200</v>
      </c>
      <c r="D45" s="579" t="s">
        <v>201</v>
      </c>
      <c r="E45" s="582">
        <f t="shared" si="25"/>
        <v>0</v>
      </c>
      <c r="F45" s="583">
        <f t="shared" si="26"/>
        <v>0</v>
      </c>
      <c r="G45" s="583">
        <f t="shared" si="27"/>
        <v>0</v>
      </c>
      <c r="H45" s="583"/>
      <c r="I45" s="583">
        <f t="shared" si="28"/>
        <v>0</v>
      </c>
      <c r="J45" s="583"/>
      <c r="K45" s="583"/>
      <c r="L45" s="583">
        <f t="shared" si="29"/>
        <v>0</v>
      </c>
      <c r="M45" s="583">
        <f t="shared" si="30"/>
        <v>0</v>
      </c>
      <c r="N45" s="583">
        <f t="shared" si="31"/>
        <v>0</v>
      </c>
      <c r="O45" s="583">
        <f t="shared" si="32"/>
        <v>0</v>
      </c>
      <c r="P45" s="583">
        <f t="shared" si="33"/>
        <v>0</v>
      </c>
      <c r="Q45" s="583">
        <f t="shared" si="34"/>
        <v>0</v>
      </c>
      <c r="R45" s="583">
        <f t="shared" si="35"/>
        <v>0</v>
      </c>
      <c r="S45" s="583">
        <f t="shared" si="36"/>
        <v>0</v>
      </c>
    </row>
    <row r="46" spans="3:19" hidden="1" x14ac:dyDescent="0.25">
      <c r="C46" s="579" t="s">
        <v>202</v>
      </c>
      <c r="D46" s="579" t="s">
        <v>203</v>
      </c>
      <c r="E46" s="582">
        <f t="shared" si="25"/>
        <v>0</v>
      </c>
      <c r="F46" s="583">
        <f t="shared" si="26"/>
        <v>0</v>
      </c>
      <c r="G46" s="583">
        <f t="shared" si="27"/>
        <v>0</v>
      </c>
      <c r="H46" s="583"/>
      <c r="I46" s="583">
        <f t="shared" si="28"/>
        <v>0</v>
      </c>
      <c r="J46" s="583"/>
      <c r="K46" s="583"/>
      <c r="L46" s="583">
        <f t="shared" si="29"/>
        <v>0</v>
      </c>
      <c r="M46" s="583">
        <f t="shared" si="30"/>
        <v>0</v>
      </c>
      <c r="N46" s="583">
        <f t="shared" si="31"/>
        <v>0</v>
      </c>
      <c r="O46" s="583">
        <f t="shared" si="32"/>
        <v>0</v>
      </c>
      <c r="P46" s="583">
        <f t="shared" si="33"/>
        <v>0</v>
      </c>
      <c r="Q46" s="583">
        <f t="shared" si="34"/>
        <v>0</v>
      </c>
      <c r="R46" s="583">
        <f t="shared" si="35"/>
        <v>0</v>
      </c>
      <c r="S46" s="583">
        <f t="shared" si="36"/>
        <v>0</v>
      </c>
    </row>
    <row r="47" spans="3:19" hidden="1" x14ac:dyDescent="0.25">
      <c r="C47" s="579" t="s">
        <v>204</v>
      </c>
      <c r="D47" s="579" t="s">
        <v>205</v>
      </c>
      <c r="E47" s="582">
        <f t="shared" si="25"/>
        <v>0</v>
      </c>
      <c r="F47" s="583">
        <f t="shared" si="26"/>
        <v>0</v>
      </c>
      <c r="G47" s="583">
        <f t="shared" si="27"/>
        <v>0</v>
      </c>
      <c r="H47" s="583"/>
      <c r="I47" s="583">
        <f t="shared" si="28"/>
        <v>0</v>
      </c>
      <c r="J47" s="583"/>
      <c r="K47" s="583"/>
      <c r="L47" s="583">
        <f t="shared" si="29"/>
        <v>0</v>
      </c>
      <c r="M47" s="583">
        <f t="shared" si="30"/>
        <v>0</v>
      </c>
      <c r="N47" s="583">
        <f t="shared" si="31"/>
        <v>0</v>
      </c>
      <c r="O47" s="583">
        <f t="shared" si="32"/>
        <v>0</v>
      </c>
      <c r="P47" s="583">
        <f t="shared" si="33"/>
        <v>0</v>
      </c>
      <c r="Q47" s="583">
        <f t="shared" si="34"/>
        <v>0</v>
      </c>
      <c r="R47" s="583">
        <f t="shared" si="35"/>
        <v>0</v>
      </c>
      <c r="S47" s="583">
        <f t="shared" si="36"/>
        <v>0</v>
      </c>
    </row>
    <row r="48" spans="3:19" hidden="1" x14ac:dyDescent="0.25">
      <c r="C48" s="579" t="s">
        <v>206</v>
      </c>
      <c r="D48" s="579" t="s">
        <v>207</v>
      </c>
      <c r="E48" s="582">
        <f t="shared" si="25"/>
        <v>0</v>
      </c>
      <c r="F48" s="583">
        <f t="shared" si="26"/>
        <v>0</v>
      </c>
      <c r="G48" s="583">
        <f t="shared" si="27"/>
        <v>0</v>
      </c>
      <c r="H48" s="583"/>
      <c r="I48" s="583">
        <f t="shared" si="28"/>
        <v>0</v>
      </c>
      <c r="J48" s="583"/>
      <c r="K48" s="583"/>
      <c r="L48" s="583">
        <f t="shared" si="29"/>
        <v>0</v>
      </c>
      <c r="M48" s="583">
        <f t="shared" si="30"/>
        <v>0</v>
      </c>
      <c r="N48" s="583">
        <f t="shared" si="31"/>
        <v>0</v>
      </c>
      <c r="O48" s="583">
        <f t="shared" si="32"/>
        <v>0</v>
      </c>
      <c r="P48" s="583">
        <f t="shared" si="33"/>
        <v>0</v>
      </c>
      <c r="Q48" s="583">
        <f t="shared" si="34"/>
        <v>0</v>
      </c>
      <c r="R48" s="583">
        <f t="shared" si="35"/>
        <v>0</v>
      </c>
      <c r="S48" s="583">
        <f t="shared" si="36"/>
        <v>0</v>
      </c>
    </row>
    <row r="49" spans="3:19" hidden="1" x14ac:dyDescent="0.25">
      <c r="C49" s="579" t="s">
        <v>214</v>
      </c>
      <c r="D49" s="579" t="s">
        <v>187</v>
      </c>
      <c r="E49" s="582">
        <f t="shared" si="25"/>
        <v>0</v>
      </c>
      <c r="F49" s="583">
        <f t="shared" si="26"/>
        <v>0</v>
      </c>
      <c r="G49" s="583">
        <f t="shared" si="27"/>
        <v>0</v>
      </c>
      <c r="H49" s="583"/>
      <c r="I49" s="583">
        <f t="shared" si="28"/>
        <v>0</v>
      </c>
      <c r="J49" s="583"/>
      <c r="K49" s="583"/>
      <c r="L49" s="583">
        <f t="shared" si="29"/>
        <v>0</v>
      </c>
      <c r="M49" s="583">
        <f t="shared" si="30"/>
        <v>0</v>
      </c>
      <c r="N49" s="583">
        <f t="shared" si="31"/>
        <v>0</v>
      </c>
      <c r="O49" s="583">
        <f t="shared" si="32"/>
        <v>0</v>
      </c>
      <c r="P49" s="583">
        <f t="shared" si="33"/>
        <v>0</v>
      </c>
      <c r="Q49" s="583">
        <f t="shared" si="34"/>
        <v>0</v>
      </c>
      <c r="R49" s="583">
        <f t="shared" si="35"/>
        <v>0</v>
      </c>
      <c r="S49" s="583">
        <f t="shared" si="36"/>
        <v>0</v>
      </c>
    </row>
    <row r="50" spans="3:19" hidden="1" x14ac:dyDescent="0.25">
      <c r="C50" s="579" t="s">
        <v>209</v>
      </c>
      <c r="D50" s="579" t="s">
        <v>210</v>
      </c>
      <c r="E50" s="582">
        <f t="shared" si="25"/>
        <v>0</v>
      </c>
      <c r="F50" s="583">
        <f t="shared" si="26"/>
        <v>0</v>
      </c>
      <c r="G50" s="583">
        <f t="shared" si="27"/>
        <v>0</v>
      </c>
      <c r="H50" s="583"/>
      <c r="I50" s="583">
        <f t="shared" si="28"/>
        <v>0</v>
      </c>
      <c r="J50" s="583"/>
      <c r="K50" s="583"/>
      <c r="L50" s="583">
        <f t="shared" si="29"/>
        <v>0</v>
      </c>
      <c r="M50" s="583">
        <f t="shared" si="30"/>
        <v>0</v>
      </c>
      <c r="N50" s="583">
        <f t="shared" si="31"/>
        <v>0</v>
      </c>
      <c r="O50" s="583">
        <f t="shared" si="32"/>
        <v>0</v>
      </c>
      <c r="P50" s="583">
        <f t="shared" si="33"/>
        <v>0</v>
      </c>
      <c r="Q50" s="583">
        <f t="shared" si="34"/>
        <v>0</v>
      </c>
      <c r="R50" s="583">
        <f t="shared" si="35"/>
        <v>0</v>
      </c>
      <c r="S50" s="583">
        <f t="shared" si="36"/>
        <v>0</v>
      </c>
    </row>
    <row r="51" spans="3:19" hidden="1" x14ac:dyDescent="0.25">
      <c r="C51" s="579" t="s">
        <v>211</v>
      </c>
      <c r="D51" s="579" t="s">
        <v>189</v>
      </c>
      <c r="E51" s="582">
        <f t="shared" si="25"/>
        <v>0</v>
      </c>
      <c r="F51" s="583">
        <f t="shared" si="26"/>
        <v>0</v>
      </c>
      <c r="G51" s="583">
        <f t="shared" si="27"/>
        <v>0</v>
      </c>
      <c r="H51" s="583"/>
      <c r="I51" s="583">
        <f t="shared" si="28"/>
        <v>0</v>
      </c>
      <c r="J51" s="583"/>
      <c r="K51" s="583"/>
      <c r="L51" s="583">
        <f t="shared" si="29"/>
        <v>0</v>
      </c>
      <c r="M51" s="583">
        <f t="shared" si="30"/>
        <v>0</v>
      </c>
      <c r="N51" s="583">
        <f t="shared" si="31"/>
        <v>0</v>
      </c>
      <c r="O51" s="583">
        <f t="shared" si="32"/>
        <v>0</v>
      </c>
      <c r="P51" s="583">
        <f t="shared" si="33"/>
        <v>0</v>
      </c>
      <c r="Q51" s="583">
        <f t="shared" si="34"/>
        <v>0</v>
      </c>
      <c r="R51" s="583">
        <f t="shared" si="35"/>
        <v>0</v>
      </c>
      <c r="S51" s="583">
        <f t="shared" si="36"/>
        <v>0</v>
      </c>
    </row>
    <row r="52" spans="3:19" hidden="1" x14ac:dyDescent="0.25">
      <c r="C52" s="579"/>
      <c r="D52" s="579"/>
      <c r="E52" s="582">
        <f t="shared" si="25"/>
        <v>0</v>
      </c>
      <c r="F52" s="583">
        <f t="shared" si="26"/>
        <v>0</v>
      </c>
      <c r="G52" s="583">
        <f t="shared" si="27"/>
        <v>0</v>
      </c>
      <c r="H52" s="583"/>
      <c r="I52" s="583">
        <f t="shared" si="28"/>
        <v>0</v>
      </c>
      <c r="J52" s="583"/>
      <c r="K52" s="583"/>
      <c r="L52" s="583">
        <f t="shared" si="29"/>
        <v>0</v>
      </c>
      <c r="M52" s="583">
        <f t="shared" si="30"/>
        <v>0</v>
      </c>
      <c r="N52" s="583">
        <f t="shared" si="31"/>
        <v>0</v>
      </c>
      <c r="O52" s="583">
        <f t="shared" si="32"/>
        <v>0</v>
      </c>
      <c r="P52" s="583">
        <f t="shared" si="33"/>
        <v>0</v>
      </c>
      <c r="Q52" s="583">
        <f t="shared" si="34"/>
        <v>0</v>
      </c>
      <c r="R52" s="583">
        <f t="shared" si="35"/>
        <v>0</v>
      </c>
      <c r="S52" s="583">
        <f t="shared" si="36"/>
        <v>0</v>
      </c>
    </row>
    <row r="53" spans="3:19" hidden="1" x14ac:dyDescent="0.25">
      <c r="C53" s="579"/>
      <c r="D53" s="579"/>
      <c r="E53" s="582">
        <f t="shared" si="25"/>
        <v>0</v>
      </c>
      <c r="F53" s="583">
        <f t="shared" si="26"/>
        <v>0</v>
      </c>
      <c r="G53" s="583">
        <f t="shared" si="27"/>
        <v>0</v>
      </c>
      <c r="H53" s="583"/>
      <c r="I53" s="583">
        <f t="shared" si="28"/>
        <v>0</v>
      </c>
      <c r="J53" s="583"/>
      <c r="K53" s="583"/>
      <c r="L53" s="583">
        <f t="shared" si="29"/>
        <v>0</v>
      </c>
      <c r="M53" s="583">
        <f t="shared" si="30"/>
        <v>0</v>
      </c>
      <c r="N53" s="583">
        <f t="shared" si="31"/>
        <v>0</v>
      </c>
      <c r="O53" s="583">
        <f t="shared" si="32"/>
        <v>0</v>
      </c>
      <c r="P53" s="583">
        <f t="shared" si="33"/>
        <v>0</v>
      </c>
      <c r="Q53" s="583">
        <f t="shared" si="34"/>
        <v>0</v>
      </c>
      <c r="R53" s="583">
        <f t="shared" si="35"/>
        <v>0</v>
      </c>
      <c r="S53" s="583">
        <f t="shared" si="36"/>
        <v>0</v>
      </c>
    </row>
    <row r="54" spans="3:19" hidden="1" x14ac:dyDescent="0.25">
      <c r="C54" s="579"/>
      <c r="D54" s="579"/>
      <c r="E54" s="582">
        <f t="shared" si="25"/>
        <v>0</v>
      </c>
      <c r="F54" s="583">
        <f t="shared" si="26"/>
        <v>0</v>
      </c>
      <c r="G54" s="583">
        <f t="shared" si="27"/>
        <v>0</v>
      </c>
      <c r="H54" s="583"/>
      <c r="I54" s="583">
        <f t="shared" si="28"/>
        <v>0</v>
      </c>
      <c r="J54" s="583"/>
      <c r="K54" s="583"/>
      <c r="L54" s="583">
        <f t="shared" si="29"/>
        <v>0</v>
      </c>
      <c r="M54" s="583">
        <f t="shared" si="30"/>
        <v>0</v>
      </c>
      <c r="N54" s="583">
        <f t="shared" si="31"/>
        <v>0</v>
      </c>
      <c r="O54" s="583">
        <f t="shared" si="32"/>
        <v>0</v>
      </c>
      <c r="P54" s="583">
        <f t="shared" si="33"/>
        <v>0</v>
      </c>
      <c r="Q54" s="583">
        <f t="shared" si="34"/>
        <v>0</v>
      </c>
      <c r="R54" s="583">
        <f t="shared" si="35"/>
        <v>0</v>
      </c>
      <c r="S54" s="583">
        <f t="shared" si="36"/>
        <v>0</v>
      </c>
    </row>
    <row r="55" spans="3:19" hidden="1" x14ac:dyDescent="0.25">
      <c r="C55" s="579" t="s">
        <v>226</v>
      </c>
      <c r="D55" s="579" t="s">
        <v>226</v>
      </c>
      <c r="E55" s="582">
        <f t="shared" si="25"/>
        <v>0</v>
      </c>
      <c r="F55" s="583">
        <f t="shared" si="26"/>
        <v>0</v>
      </c>
      <c r="G55" s="583">
        <f t="shared" si="27"/>
        <v>0</v>
      </c>
      <c r="H55" s="583"/>
      <c r="I55" s="583">
        <f t="shared" si="28"/>
        <v>0</v>
      </c>
      <c r="J55" s="583"/>
      <c r="K55" s="583"/>
      <c r="L55" s="583">
        <f t="shared" si="29"/>
        <v>0</v>
      </c>
      <c r="M55" s="583">
        <f t="shared" si="30"/>
        <v>0</v>
      </c>
      <c r="N55" s="583">
        <f t="shared" si="31"/>
        <v>0</v>
      </c>
      <c r="O55" s="583">
        <f t="shared" si="32"/>
        <v>0</v>
      </c>
      <c r="P55" s="583">
        <f t="shared" si="33"/>
        <v>0</v>
      </c>
      <c r="Q55" s="583">
        <f t="shared" si="34"/>
        <v>0</v>
      </c>
      <c r="R55" s="583">
        <f t="shared" si="35"/>
        <v>0</v>
      </c>
      <c r="S55" s="583">
        <f t="shared" si="36"/>
        <v>0</v>
      </c>
    </row>
    <row r="56" spans="3:19" hidden="1" x14ac:dyDescent="0.25">
      <c r="C56" s="773" t="s">
        <v>212</v>
      </c>
      <c r="D56" s="774"/>
      <c r="E56" s="582">
        <f t="shared" si="25"/>
        <v>0</v>
      </c>
      <c r="F56" s="582">
        <f t="shared" si="26"/>
        <v>0</v>
      </c>
      <c r="G56" s="582">
        <f t="shared" si="27"/>
        <v>0</v>
      </c>
      <c r="H56" s="582">
        <f>SUM(H41:H55)</f>
        <v>0</v>
      </c>
      <c r="I56" s="582">
        <f t="shared" si="28"/>
        <v>0</v>
      </c>
      <c r="J56" s="582">
        <f>I56-H56</f>
        <v>0</v>
      </c>
      <c r="K56" s="582">
        <f>SUM(K41:K55)</f>
        <v>0</v>
      </c>
      <c r="L56" s="582">
        <f>SUM(E427:J427)</f>
        <v>0</v>
      </c>
      <c r="M56" s="582">
        <f>SUM(K427:P427)</f>
        <v>0</v>
      </c>
      <c r="N56" s="582">
        <f t="shared" si="31"/>
        <v>0</v>
      </c>
      <c r="O56" s="582">
        <f t="shared" si="32"/>
        <v>0</v>
      </c>
      <c r="P56" s="582">
        <f t="shared" si="33"/>
        <v>0</v>
      </c>
      <c r="Q56" s="582">
        <f t="shared" si="34"/>
        <v>0</v>
      </c>
      <c r="R56" s="582">
        <f t="shared" si="35"/>
        <v>0</v>
      </c>
      <c r="S56" s="582">
        <f t="shared" si="36"/>
        <v>0</v>
      </c>
    </row>
    <row r="57" spans="3:19" hidden="1" x14ac:dyDescent="0.25">
      <c r="C57" s="773" t="s">
        <v>215</v>
      </c>
      <c r="D57" s="774"/>
      <c r="E57" s="582"/>
      <c r="F57" s="582"/>
      <c r="G57" s="582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</row>
    <row r="58" spans="3:19" hidden="1" x14ac:dyDescent="0.25">
      <c r="C58" s="579" t="s">
        <v>192</v>
      </c>
      <c r="D58" s="579" t="s">
        <v>193</v>
      </c>
      <c r="E58" s="582">
        <f t="shared" ref="E58:E77" si="37">Q134</f>
        <v>0</v>
      </c>
      <c r="F58" s="583">
        <f t="shared" ref="F58:F74" si="38">Q208</f>
        <v>0</v>
      </c>
      <c r="G58" s="583">
        <f>Q281</f>
        <v>0</v>
      </c>
      <c r="H58" s="583"/>
      <c r="I58" s="583">
        <f t="shared" ref="I58:I77" si="39">Q354</f>
        <v>0</v>
      </c>
      <c r="J58" s="583"/>
      <c r="K58" s="583"/>
      <c r="L58" s="583">
        <f t="shared" ref="L58:L74" si="40">E429+F429+G429+H429+I429+J429</f>
        <v>0</v>
      </c>
      <c r="M58" s="583">
        <f t="shared" ref="M58:M74" si="41">K429+L429+M429+N429+O429+P429</f>
        <v>0</v>
      </c>
      <c r="N58" s="583">
        <f t="shared" ref="N58:N77" si="42">L58+M58</f>
        <v>0</v>
      </c>
      <c r="O58" s="583">
        <f t="shared" ref="O58:O77" si="43">Q503</f>
        <v>0</v>
      </c>
      <c r="P58" s="583">
        <f t="shared" ref="P58:P77" si="44">Q577</f>
        <v>0</v>
      </c>
      <c r="Q58" s="583">
        <f t="shared" ref="Q58:Q77" si="45">Q651</f>
        <v>0</v>
      </c>
      <c r="R58" s="583">
        <f t="shared" ref="R58:R77" si="46">Q725</f>
        <v>0</v>
      </c>
      <c r="S58" s="583">
        <f t="shared" ref="S58:S77" si="47">Q799</f>
        <v>0</v>
      </c>
    </row>
    <row r="59" spans="3:19" hidden="1" x14ac:dyDescent="0.25">
      <c r="C59" s="579" t="s">
        <v>194</v>
      </c>
      <c r="D59" s="579" t="s">
        <v>195</v>
      </c>
      <c r="E59" s="582">
        <f t="shared" si="37"/>
        <v>0</v>
      </c>
      <c r="F59" s="583">
        <f t="shared" si="38"/>
        <v>0</v>
      </c>
      <c r="G59" s="583">
        <f>Q282</f>
        <v>0</v>
      </c>
      <c r="H59" s="583"/>
      <c r="I59" s="583">
        <f t="shared" si="39"/>
        <v>0</v>
      </c>
      <c r="J59" s="583"/>
      <c r="K59" s="583"/>
      <c r="L59" s="583">
        <f t="shared" si="40"/>
        <v>0</v>
      </c>
      <c r="M59" s="583">
        <f t="shared" si="41"/>
        <v>0</v>
      </c>
      <c r="N59" s="583">
        <f t="shared" si="42"/>
        <v>0</v>
      </c>
      <c r="O59" s="583">
        <f t="shared" si="43"/>
        <v>0</v>
      </c>
      <c r="P59" s="583">
        <f t="shared" si="44"/>
        <v>0</v>
      </c>
      <c r="Q59" s="583">
        <f t="shared" si="45"/>
        <v>0</v>
      </c>
      <c r="R59" s="583">
        <f t="shared" si="46"/>
        <v>0</v>
      </c>
      <c r="S59" s="583">
        <f t="shared" si="47"/>
        <v>0</v>
      </c>
    </row>
    <row r="60" spans="3:19" hidden="1" x14ac:dyDescent="0.25">
      <c r="C60" s="579" t="s">
        <v>233</v>
      </c>
      <c r="D60" s="579" t="s">
        <v>197</v>
      </c>
      <c r="E60" s="582">
        <f t="shared" si="37"/>
        <v>0</v>
      </c>
      <c r="F60" s="583">
        <f t="shared" si="38"/>
        <v>0</v>
      </c>
      <c r="G60" s="583">
        <f>Q283</f>
        <v>0</v>
      </c>
      <c r="H60" s="583"/>
      <c r="I60" s="583">
        <f t="shared" si="39"/>
        <v>0</v>
      </c>
      <c r="J60" s="583"/>
      <c r="K60" s="583"/>
      <c r="L60" s="583">
        <f t="shared" si="40"/>
        <v>0</v>
      </c>
      <c r="M60" s="583">
        <f t="shared" si="41"/>
        <v>0</v>
      </c>
      <c r="N60" s="583">
        <f t="shared" si="42"/>
        <v>0</v>
      </c>
      <c r="O60" s="583">
        <f t="shared" si="43"/>
        <v>0</v>
      </c>
      <c r="P60" s="583">
        <f t="shared" si="44"/>
        <v>0</v>
      </c>
      <c r="Q60" s="583">
        <f t="shared" si="45"/>
        <v>0</v>
      </c>
      <c r="R60" s="583">
        <f t="shared" si="46"/>
        <v>0</v>
      </c>
      <c r="S60" s="583">
        <f t="shared" si="47"/>
        <v>0</v>
      </c>
    </row>
    <row r="61" spans="3:19" hidden="1" x14ac:dyDescent="0.25">
      <c r="C61" s="579" t="s">
        <v>198</v>
      </c>
      <c r="D61" s="579" t="s">
        <v>199</v>
      </c>
      <c r="E61" s="582">
        <f t="shared" si="37"/>
        <v>0</v>
      </c>
      <c r="F61" s="583">
        <f t="shared" si="38"/>
        <v>0</v>
      </c>
      <c r="G61" s="583">
        <f>Q284</f>
        <v>0</v>
      </c>
      <c r="H61" s="583"/>
      <c r="I61" s="583">
        <f t="shared" si="39"/>
        <v>0</v>
      </c>
      <c r="J61" s="583"/>
      <c r="K61" s="583"/>
      <c r="L61" s="583">
        <f t="shared" si="40"/>
        <v>0</v>
      </c>
      <c r="M61" s="583">
        <f t="shared" si="41"/>
        <v>0</v>
      </c>
      <c r="N61" s="583">
        <f t="shared" si="42"/>
        <v>0</v>
      </c>
      <c r="O61" s="583">
        <f t="shared" si="43"/>
        <v>0</v>
      </c>
      <c r="P61" s="583">
        <f t="shared" si="44"/>
        <v>0</v>
      </c>
      <c r="Q61" s="583">
        <f t="shared" si="45"/>
        <v>0</v>
      </c>
      <c r="R61" s="583">
        <f t="shared" si="46"/>
        <v>0</v>
      </c>
      <c r="S61" s="583">
        <f t="shared" si="47"/>
        <v>0</v>
      </c>
    </row>
    <row r="62" spans="3:19" hidden="1" x14ac:dyDescent="0.25">
      <c r="C62" s="579" t="s">
        <v>200</v>
      </c>
      <c r="D62" s="579" t="s">
        <v>201</v>
      </c>
      <c r="E62" s="582">
        <f t="shared" si="37"/>
        <v>0</v>
      </c>
      <c r="F62" s="583">
        <f t="shared" si="38"/>
        <v>0</v>
      </c>
      <c r="G62" s="583">
        <f>Q284</f>
        <v>0</v>
      </c>
      <c r="H62" s="583"/>
      <c r="I62" s="583">
        <f t="shared" si="39"/>
        <v>0</v>
      </c>
      <c r="J62" s="583"/>
      <c r="K62" s="583"/>
      <c r="L62" s="583">
        <f t="shared" si="40"/>
        <v>0</v>
      </c>
      <c r="M62" s="583">
        <f t="shared" si="41"/>
        <v>0</v>
      </c>
      <c r="N62" s="583">
        <f t="shared" si="42"/>
        <v>0</v>
      </c>
      <c r="O62" s="583">
        <f t="shared" si="43"/>
        <v>0</v>
      </c>
      <c r="P62" s="583">
        <f t="shared" si="44"/>
        <v>0</v>
      </c>
      <c r="Q62" s="583">
        <f t="shared" si="45"/>
        <v>0</v>
      </c>
      <c r="R62" s="583">
        <f t="shared" si="46"/>
        <v>0</v>
      </c>
      <c r="S62" s="583">
        <f t="shared" si="47"/>
        <v>0</v>
      </c>
    </row>
    <row r="63" spans="3:19" hidden="1" x14ac:dyDescent="0.25">
      <c r="C63" s="579" t="s">
        <v>202</v>
      </c>
      <c r="D63" s="579" t="s">
        <v>234</v>
      </c>
      <c r="E63" s="582">
        <f t="shared" si="37"/>
        <v>0</v>
      </c>
      <c r="F63" s="583">
        <f t="shared" si="38"/>
        <v>0</v>
      </c>
      <c r="G63" s="583">
        <f t="shared" ref="G63:G77" si="48">Q286</f>
        <v>0</v>
      </c>
      <c r="H63" s="583"/>
      <c r="I63" s="583">
        <f t="shared" si="39"/>
        <v>0</v>
      </c>
      <c r="J63" s="583"/>
      <c r="K63" s="583"/>
      <c r="L63" s="583">
        <f t="shared" si="40"/>
        <v>0</v>
      </c>
      <c r="M63" s="583">
        <f t="shared" si="41"/>
        <v>0</v>
      </c>
      <c r="N63" s="583">
        <f t="shared" si="42"/>
        <v>0</v>
      </c>
      <c r="O63" s="583">
        <f t="shared" si="43"/>
        <v>0</v>
      </c>
      <c r="P63" s="583">
        <f t="shared" si="44"/>
        <v>0</v>
      </c>
      <c r="Q63" s="583">
        <f t="shared" si="45"/>
        <v>0</v>
      </c>
      <c r="R63" s="583">
        <f t="shared" si="46"/>
        <v>0</v>
      </c>
      <c r="S63" s="583">
        <f t="shared" si="47"/>
        <v>0</v>
      </c>
    </row>
    <row r="64" spans="3:19" hidden="1" x14ac:dyDescent="0.25">
      <c r="C64" s="579" t="s">
        <v>204</v>
      </c>
      <c r="D64" s="579" t="s">
        <v>216</v>
      </c>
      <c r="E64" s="582">
        <f t="shared" si="37"/>
        <v>0</v>
      </c>
      <c r="F64" s="583">
        <f t="shared" si="38"/>
        <v>0</v>
      </c>
      <c r="G64" s="583">
        <f t="shared" si="48"/>
        <v>0</v>
      </c>
      <c r="H64" s="583"/>
      <c r="I64" s="583">
        <f t="shared" si="39"/>
        <v>0</v>
      </c>
      <c r="J64" s="583"/>
      <c r="K64" s="583"/>
      <c r="L64" s="583">
        <f t="shared" si="40"/>
        <v>0</v>
      </c>
      <c r="M64" s="583">
        <f t="shared" si="41"/>
        <v>0</v>
      </c>
      <c r="N64" s="583">
        <f t="shared" si="42"/>
        <v>0</v>
      </c>
      <c r="O64" s="583">
        <f t="shared" si="43"/>
        <v>0</v>
      </c>
      <c r="P64" s="583">
        <f t="shared" si="44"/>
        <v>0</v>
      </c>
      <c r="Q64" s="583">
        <f t="shared" si="45"/>
        <v>0</v>
      </c>
      <c r="R64" s="583">
        <f t="shared" si="46"/>
        <v>0</v>
      </c>
      <c r="S64" s="583">
        <f t="shared" si="47"/>
        <v>0</v>
      </c>
    </row>
    <row r="65" spans="3:19" hidden="1" x14ac:dyDescent="0.25">
      <c r="C65" s="579" t="s">
        <v>217</v>
      </c>
      <c r="D65" s="579" t="s">
        <v>218</v>
      </c>
      <c r="E65" s="582">
        <f t="shared" si="37"/>
        <v>0</v>
      </c>
      <c r="F65" s="583">
        <f t="shared" si="38"/>
        <v>0</v>
      </c>
      <c r="G65" s="583">
        <f t="shared" si="48"/>
        <v>0</v>
      </c>
      <c r="H65" s="583"/>
      <c r="I65" s="583">
        <f t="shared" si="39"/>
        <v>0</v>
      </c>
      <c r="J65" s="583"/>
      <c r="K65" s="583"/>
      <c r="L65" s="583">
        <f t="shared" si="40"/>
        <v>0</v>
      </c>
      <c r="M65" s="583">
        <f t="shared" si="41"/>
        <v>0</v>
      </c>
      <c r="N65" s="583">
        <f t="shared" si="42"/>
        <v>0</v>
      </c>
      <c r="O65" s="583">
        <f t="shared" si="43"/>
        <v>0</v>
      </c>
      <c r="P65" s="583">
        <f t="shared" si="44"/>
        <v>0</v>
      </c>
      <c r="Q65" s="583">
        <f t="shared" si="45"/>
        <v>0</v>
      </c>
      <c r="R65" s="583">
        <f t="shared" si="46"/>
        <v>0</v>
      </c>
      <c r="S65" s="583">
        <f t="shared" si="47"/>
        <v>0</v>
      </c>
    </row>
    <row r="66" spans="3:19" hidden="1" x14ac:dyDescent="0.25">
      <c r="C66" s="579" t="s">
        <v>235</v>
      </c>
      <c r="D66" s="579" t="s">
        <v>236</v>
      </c>
      <c r="E66" s="582">
        <f t="shared" si="37"/>
        <v>0</v>
      </c>
      <c r="F66" s="583">
        <f t="shared" si="38"/>
        <v>0</v>
      </c>
      <c r="G66" s="583">
        <f t="shared" si="48"/>
        <v>0</v>
      </c>
      <c r="H66" s="583"/>
      <c r="I66" s="583">
        <f t="shared" si="39"/>
        <v>0</v>
      </c>
      <c r="J66" s="583"/>
      <c r="K66" s="583"/>
      <c r="L66" s="583">
        <f t="shared" si="40"/>
        <v>0</v>
      </c>
      <c r="M66" s="583">
        <f t="shared" si="41"/>
        <v>0</v>
      </c>
      <c r="N66" s="583">
        <f t="shared" si="42"/>
        <v>0</v>
      </c>
      <c r="O66" s="583">
        <f t="shared" si="43"/>
        <v>0</v>
      </c>
      <c r="P66" s="583">
        <f t="shared" si="44"/>
        <v>0</v>
      </c>
      <c r="Q66" s="583">
        <f t="shared" si="45"/>
        <v>0</v>
      </c>
      <c r="R66" s="583">
        <f t="shared" si="46"/>
        <v>0</v>
      </c>
      <c r="S66" s="583">
        <f t="shared" si="47"/>
        <v>0</v>
      </c>
    </row>
    <row r="67" spans="3:19" hidden="1" x14ac:dyDescent="0.25">
      <c r="C67" s="579" t="s">
        <v>206</v>
      </c>
      <c r="D67" s="579" t="s">
        <v>207</v>
      </c>
      <c r="E67" s="582">
        <f t="shared" si="37"/>
        <v>0</v>
      </c>
      <c r="F67" s="583">
        <f t="shared" si="38"/>
        <v>0</v>
      </c>
      <c r="G67" s="583">
        <f t="shared" si="48"/>
        <v>0</v>
      </c>
      <c r="H67" s="583"/>
      <c r="I67" s="583">
        <f t="shared" si="39"/>
        <v>0</v>
      </c>
      <c r="J67" s="583"/>
      <c r="K67" s="583"/>
      <c r="L67" s="583">
        <f t="shared" si="40"/>
        <v>0</v>
      </c>
      <c r="M67" s="583">
        <f t="shared" si="41"/>
        <v>0</v>
      </c>
      <c r="N67" s="583">
        <f t="shared" si="42"/>
        <v>0</v>
      </c>
      <c r="O67" s="583">
        <f t="shared" si="43"/>
        <v>0</v>
      </c>
      <c r="P67" s="583">
        <f t="shared" si="44"/>
        <v>0</v>
      </c>
      <c r="Q67" s="583">
        <f t="shared" si="45"/>
        <v>0</v>
      </c>
      <c r="R67" s="583">
        <f t="shared" si="46"/>
        <v>0</v>
      </c>
      <c r="S67" s="583">
        <f t="shared" si="47"/>
        <v>0</v>
      </c>
    </row>
    <row r="68" spans="3:19" hidden="1" x14ac:dyDescent="0.25">
      <c r="C68" s="579" t="s">
        <v>208</v>
      </c>
      <c r="D68" s="579" t="s">
        <v>187</v>
      </c>
      <c r="E68" s="582">
        <f t="shared" si="37"/>
        <v>0</v>
      </c>
      <c r="F68" s="583">
        <f t="shared" si="38"/>
        <v>0</v>
      </c>
      <c r="G68" s="583">
        <f t="shared" si="48"/>
        <v>0</v>
      </c>
      <c r="H68" s="583"/>
      <c r="I68" s="583">
        <f t="shared" si="39"/>
        <v>0</v>
      </c>
      <c r="J68" s="583"/>
      <c r="K68" s="583"/>
      <c r="L68" s="583">
        <f t="shared" si="40"/>
        <v>0</v>
      </c>
      <c r="M68" s="583">
        <f t="shared" si="41"/>
        <v>0</v>
      </c>
      <c r="N68" s="583">
        <f t="shared" si="42"/>
        <v>0</v>
      </c>
      <c r="O68" s="583">
        <f t="shared" si="43"/>
        <v>0</v>
      </c>
      <c r="P68" s="583">
        <f t="shared" si="44"/>
        <v>0</v>
      </c>
      <c r="Q68" s="583">
        <f t="shared" si="45"/>
        <v>0</v>
      </c>
      <c r="R68" s="583">
        <f t="shared" si="46"/>
        <v>0</v>
      </c>
      <c r="S68" s="583">
        <f t="shared" si="47"/>
        <v>0</v>
      </c>
    </row>
    <row r="69" spans="3:19" hidden="1" x14ac:dyDescent="0.25">
      <c r="C69" s="579" t="s">
        <v>209</v>
      </c>
      <c r="D69" s="579" t="s">
        <v>210</v>
      </c>
      <c r="E69" s="582">
        <f t="shared" si="37"/>
        <v>0</v>
      </c>
      <c r="F69" s="583">
        <f t="shared" si="38"/>
        <v>0</v>
      </c>
      <c r="G69" s="583">
        <f t="shared" si="48"/>
        <v>0</v>
      </c>
      <c r="H69" s="583"/>
      <c r="I69" s="583">
        <f t="shared" si="39"/>
        <v>0</v>
      </c>
      <c r="J69" s="583"/>
      <c r="K69" s="583"/>
      <c r="L69" s="583">
        <f t="shared" si="40"/>
        <v>0</v>
      </c>
      <c r="M69" s="583">
        <f t="shared" si="41"/>
        <v>0</v>
      </c>
      <c r="N69" s="583">
        <f t="shared" si="42"/>
        <v>0</v>
      </c>
      <c r="O69" s="583">
        <f t="shared" si="43"/>
        <v>0</v>
      </c>
      <c r="P69" s="583">
        <f t="shared" si="44"/>
        <v>0</v>
      </c>
      <c r="Q69" s="583">
        <f t="shared" si="45"/>
        <v>0</v>
      </c>
      <c r="R69" s="583">
        <f t="shared" si="46"/>
        <v>0</v>
      </c>
      <c r="S69" s="583">
        <f t="shared" si="47"/>
        <v>0</v>
      </c>
    </row>
    <row r="70" spans="3:19" hidden="1" x14ac:dyDescent="0.25">
      <c r="C70" s="579" t="s">
        <v>211</v>
      </c>
      <c r="D70" s="579" t="s">
        <v>189</v>
      </c>
      <c r="E70" s="582">
        <f t="shared" si="37"/>
        <v>0</v>
      </c>
      <c r="F70" s="583">
        <f t="shared" si="38"/>
        <v>0</v>
      </c>
      <c r="G70" s="583">
        <f t="shared" si="48"/>
        <v>0</v>
      </c>
      <c r="H70" s="583"/>
      <c r="I70" s="583">
        <f t="shared" si="39"/>
        <v>0</v>
      </c>
      <c r="J70" s="583"/>
      <c r="K70" s="583"/>
      <c r="L70" s="583">
        <f t="shared" si="40"/>
        <v>0</v>
      </c>
      <c r="M70" s="583">
        <f t="shared" si="41"/>
        <v>0</v>
      </c>
      <c r="N70" s="583">
        <f t="shared" si="42"/>
        <v>0</v>
      </c>
      <c r="O70" s="583">
        <f t="shared" si="43"/>
        <v>0</v>
      </c>
      <c r="P70" s="583">
        <f t="shared" si="44"/>
        <v>0</v>
      </c>
      <c r="Q70" s="583">
        <f t="shared" si="45"/>
        <v>0</v>
      </c>
      <c r="R70" s="583">
        <f t="shared" si="46"/>
        <v>0</v>
      </c>
      <c r="S70" s="583">
        <f t="shared" si="47"/>
        <v>0</v>
      </c>
    </row>
    <row r="71" spans="3:19" hidden="1" x14ac:dyDescent="0.25">
      <c r="C71" s="579"/>
      <c r="D71" s="579"/>
      <c r="E71" s="582">
        <f t="shared" si="37"/>
        <v>0</v>
      </c>
      <c r="F71" s="583">
        <f t="shared" si="38"/>
        <v>0</v>
      </c>
      <c r="G71" s="583">
        <f t="shared" si="48"/>
        <v>0</v>
      </c>
      <c r="H71" s="583"/>
      <c r="I71" s="583">
        <f t="shared" si="39"/>
        <v>0</v>
      </c>
      <c r="J71" s="583"/>
      <c r="K71" s="583"/>
      <c r="L71" s="583">
        <f t="shared" si="40"/>
        <v>0</v>
      </c>
      <c r="M71" s="583">
        <f t="shared" si="41"/>
        <v>0</v>
      </c>
      <c r="N71" s="583">
        <f t="shared" si="42"/>
        <v>0</v>
      </c>
      <c r="O71" s="583">
        <f t="shared" si="43"/>
        <v>0</v>
      </c>
      <c r="P71" s="583">
        <f t="shared" si="44"/>
        <v>0</v>
      </c>
      <c r="Q71" s="583">
        <f t="shared" si="45"/>
        <v>0</v>
      </c>
      <c r="R71" s="583">
        <f t="shared" si="46"/>
        <v>0</v>
      </c>
      <c r="S71" s="583">
        <f t="shared" si="47"/>
        <v>0</v>
      </c>
    </row>
    <row r="72" spans="3:19" hidden="1" x14ac:dyDescent="0.25">
      <c r="C72" s="579"/>
      <c r="D72" s="579"/>
      <c r="E72" s="582">
        <f t="shared" si="37"/>
        <v>0</v>
      </c>
      <c r="F72" s="583">
        <f t="shared" si="38"/>
        <v>0</v>
      </c>
      <c r="G72" s="583">
        <f t="shared" si="48"/>
        <v>0</v>
      </c>
      <c r="H72" s="583"/>
      <c r="I72" s="583">
        <f t="shared" si="39"/>
        <v>0</v>
      </c>
      <c r="J72" s="583"/>
      <c r="K72" s="583"/>
      <c r="L72" s="583">
        <f t="shared" si="40"/>
        <v>0</v>
      </c>
      <c r="M72" s="583">
        <f t="shared" si="41"/>
        <v>0</v>
      </c>
      <c r="N72" s="583">
        <f t="shared" si="42"/>
        <v>0</v>
      </c>
      <c r="O72" s="583">
        <f t="shared" si="43"/>
        <v>0</v>
      </c>
      <c r="P72" s="583">
        <f t="shared" si="44"/>
        <v>0</v>
      </c>
      <c r="Q72" s="583">
        <f t="shared" si="45"/>
        <v>0</v>
      </c>
      <c r="R72" s="583">
        <f t="shared" si="46"/>
        <v>0</v>
      </c>
      <c r="S72" s="583">
        <f t="shared" si="47"/>
        <v>0</v>
      </c>
    </row>
    <row r="73" spans="3:19" hidden="1" x14ac:dyDescent="0.25">
      <c r="C73" s="579"/>
      <c r="D73" s="579"/>
      <c r="E73" s="582">
        <f t="shared" si="37"/>
        <v>0</v>
      </c>
      <c r="F73" s="583">
        <f t="shared" si="38"/>
        <v>0</v>
      </c>
      <c r="G73" s="583">
        <f t="shared" si="48"/>
        <v>0</v>
      </c>
      <c r="H73" s="583"/>
      <c r="I73" s="583">
        <f t="shared" si="39"/>
        <v>0</v>
      </c>
      <c r="J73" s="583"/>
      <c r="K73" s="583"/>
      <c r="L73" s="583">
        <f t="shared" si="40"/>
        <v>0</v>
      </c>
      <c r="M73" s="583">
        <f t="shared" si="41"/>
        <v>0</v>
      </c>
      <c r="N73" s="583">
        <f t="shared" si="42"/>
        <v>0</v>
      </c>
      <c r="O73" s="583">
        <f t="shared" si="43"/>
        <v>0</v>
      </c>
      <c r="P73" s="583">
        <f t="shared" si="44"/>
        <v>0</v>
      </c>
      <c r="Q73" s="583">
        <f t="shared" si="45"/>
        <v>0</v>
      </c>
      <c r="R73" s="583">
        <f t="shared" si="46"/>
        <v>0</v>
      </c>
      <c r="S73" s="583">
        <f t="shared" si="47"/>
        <v>0</v>
      </c>
    </row>
    <row r="74" spans="3:19" hidden="1" x14ac:dyDescent="0.25">
      <c r="C74" s="579" t="s">
        <v>226</v>
      </c>
      <c r="D74" s="579" t="s">
        <v>226</v>
      </c>
      <c r="E74" s="582">
        <f t="shared" si="37"/>
        <v>0</v>
      </c>
      <c r="F74" s="583">
        <f t="shared" si="38"/>
        <v>0</v>
      </c>
      <c r="G74" s="583">
        <f t="shared" si="48"/>
        <v>0</v>
      </c>
      <c r="H74" s="583"/>
      <c r="I74" s="583">
        <f t="shared" si="39"/>
        <v>0</v>
      </c>
      <c r="J74" s="583"/>
      <c r="K74" s="583"/>
      <c r="L74" s="583">
        <f t="shared" si="40"/>
        <v>0</v>
      </c>
      <c r="M74" s="583">
        <f t="shared" si="41"/>
        <v>0</v>
      </c>
      <c r="N74" s="583">
        <f t="shared" si="42"/>
        <v>0</v>
      </c>
      <c r="O74" s="583">
        <f t="shared" si="43"/>
        <v>0</v>
      </c>
      <c r="P74" s="583">
        <f t="shared" si="44"/>
        <v>0</v>
      </c>
      <c r="Q74" s="583">
        <f t="shared" si="45"/>
        <v>0</v>
      </c>
      <c r="R74" s="583">
        <f t="shared" si="46"/>
        <v>0</v>
      </c>
      <c r="S74" s="583">
        <f t="shared" si="47"/>
        <v>0</v>
      </c>
    </row>
    <row r="75" spans="3:19" hidden="1" x14ac:dyDescent="0.25">
      <c r="C75" s="773" t="s">
        <v>212</v>
      </c>
      <c r="D75" s="774"/>
      <c r="E75" s="582">
        <f t="shared" si="37"/>
        <v>0</v>
      </c>
      <c r="F75" s="582">
        <f>Q224</f>
        <v>0</v>
      </c>
      <c r="G75" s="582">
        <f t="shared" si="48"/>
        <v>0</v>
      </c>
      <c r="H75" s="582">
        <f>SUM(H58:H74)</f>
        <v>0</v>
      </c>
      <c r="I75" s="582">
        <f t="shared" si="39"/>
        <v>0</v>
      </c>
      <c r="J75" s="582">
        <f>I75-H75</f>
        <v>0</v>
      </c>
      <c r="K75" s="582">
        <f>SUM(K58:K74)</f>
        <v>0</v>
      </c>
      <c r="L75" s="582">
        <f>SUM(E446:J446)</f>
        <v>0</v>
      </c>
      <c r="M75" s="582">
        <f>SUM(K446:P446)</f>
        <v>0</v>
      </c>
      <c r="N75" s="582">
        <f t="shared" si="42"/>
        <v>0</v>
      </c>
      <c r="O75" s="582">
        <f t="shared" si="43"/>
        <v>0</v>
      </c>
      <c r="P75" s="582">
        <f t="shared" si="44"/>
        <v>0</v>
      </c>
      <c r="Q75" s="582">
        <f t="shared" si="45"/>
        <v>0</v>
      </c>
      <c r="R75" s="582">
        <f t="shared" si="46"/>
        <v>0</v>
      </c>
      <c r="S75" s="582">
        <f t="shared" si="47"/>
        <v>0</v>
      </c>
    </row>
    <row r="76" spans="3:19" hidden="1" x14ac:dyDescent="0.25">
      <c r="C76" s="773" t="s">
        <v>219</v>
      </c>
      <c r="D76" s="774"/>
      <c r="E76" s="582">
        <f t="shared" si="37"/>
        <v>0</v>
      </c>
      <c r="F76" s="582">
        <f>Q225</f>
        <v>0</v>
      </c>
      <c r="G76" s="582">
        <f t="shared" si="48"/>
        <v>0</v>
      </c>
      <c r="H76" s="582">
        <f>SUM(H59:H75)</f>
        <v>0</v>
      </c>
      <c r="I76" s="582">
        <f t="shared" si="39"/>
        <v>0</v>
      </c>
      <c r="J76" s="582">
        <f>I76-H76</f>
        <v>0</v>
      </c>
      <c r="K76" s="582">
        <f>SUM(K59:K75)</f>
        <v>0</v>
      </c>
      <c r="L76" s="582">
        <f>SUM(E447:J447)</f>
        <v>0</v>
      </c>
      <c r="M76" s="582">
        <f>SUM(K447:P447)</f>
        <v>0</v>
      </c>
      <c r="N76" s="582">
        <f t="shared" si="42"/>
        <v>0</v>
      </c>
      <c r="O76" s="582">
        <f t="shared" si="43"/>
        <v>0</v>
      </c>
      <c r="P76" s="582">
        <f t="shared" si="44"/>
        <v>0</v>
      </c>
      <c r="Q76" s="582">
        <f t="shared" si="45"/>
        <v>0</v>
      </c>
      <c r="R76" s="582">
        <f t="shared" si="46"/>
        <v>0</v>
      </c>
      <c r="S76" s="582">
        <f t="shared" si="47"/>
        <v>0</v>
      </c>
    </row>
    <row r="77" spans="3:19" hidden="1" x14ac:dyDescent="0.25">
      <c r="C77" s="773" t="s">
        <v>220</v>
      </c>
      <c r="D77" s="774"/>
      <c r="E77" s="582">
        <f t="shared" si="37"/>
        <v>7140.2743269198318</v>
      </c>
      <c r="F77" s="582">
        <f>Q226</f>
        <v>7904.0194382406644</v>
      </c>
      <c r="G77" s="582">
        <f t="shared" si="48"/>
        <v>7419.5086742702579</v>
      </c>
      <c r="H77" s="582">
        <f>SUM(H74:H76)</f>
        <v>0</v>
      </c>
      <c r="I77" s="582">
        <f t="shared" si="39"/>
        <v>7868.0185999999994</v>
      </c>
      <c r="J77" s="582">
        <f>I77-H77</f>
        <v>7868.0185999999994</v>
      </c>
      <c r="K77" s="582">
        <f>SUM(K74:K76)</f>
        <v>0</v>
      </c>
      <c r="L77" s="582">
        <f>SUM(E448:J448)</f>
        <v>3323.0565474984228</v>
      </c>
      <c r="M77" s="582">
        <f>SUM(K448:P448)</f>
        <v>6123.9746346352877</v>
      </c>
      <c r="N77" s="582">
        <f t="shared" si="42"/>
        <v>9447.0311821337109</v>
      </c>
      <c r="O77" s="582">
        <f t="shared" si="43"/>
        <v>9812.4646639356743</v>
      </c>
      <c r="P77" s="582">
        <f t="shared" si="44"/>
        <v>10456.606075527796</v>
      </c>
      <c r="Q77" s="582">
        <f t="shared" si="45"/>
        <v>8661.881929798481</v>
      </c>
      <c r="R77" s="582">
        <f t="shared" si="46"/>
        <v>8934.2825297445561</v>
      </c>
      <c r="S77" s="582">
        <f t="shared" si="47"/>
        <v>9164.2840732210952</v>
      </c>
    </row>
    <row r="78" spans="3:19" hidden="1" x14ac:dyDescent="0.25"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5"/>
    </row>
    <row r="79" spans="3:19" hidden="1" x14ac:dyDescent="0.25">
      <c r="E79" s="585"/>
      <c r="F79" s="585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/>
      <c r="S79" s="585"/>
    </row>
    <row r="80" spans="3:19" hidden="1" x14ac:dyDescent="0.25">
      <c r="C80" s="574" t="s">
        <v>237</v>
      </c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5"/>
    </row>
    <row r="81" spans="3:19" hidden="1" x14ac:dyDescent="0.25">
      <c r="C81" s="574"/>
      <c r="E81" s="585"/>
      <c r="F81" s="585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6" t="s">
        <v>229</v>
      </c>
      <c r="R81" s="585"/>
      <c r="S81" s="585"/>
    </row>
    <row r="82" spans="3:19" hidden="1" x14ac:dyDescent="0.25">
      <c r="C82" s="776" t="s">
        <v>163</v>
      </c>
      <c r="D82" s="776"/>
      <c r="E82" s="775" t="s">
        <v>262</v>
      </c>
      <c r="F82" s="775"/>
      <c r="G82" s="775"/>
      <c r="H82" s="775"/>
      <c r="I82" s="775"/>
      <c r="J82" s="775"/>
      <c r="K82" s="775"/>
      <c r="L82" s="775"/>
      <c r="M82" s="775"/>
      <c r="N82" s="775"/>
      <c r="O82" s="775"/>
      <c r="P82" s="775"/>
      <c r="Q82" s="775"/>
      <c r="R82" s="585"/>
      <c r="S82" s="585"/>
    </row>
    <row r="83" spans="3:19" hidden="1" x14ac:dyDescent="0.25">
      <c r="C83" s="776"/>
      <c r="D83" s="776"/>
      <c r="E83" s="587" t="s">
        <v>239</v>
      </c>
      <c r="F83" s="587" t="s">
        <v>240</v>
      </c>
      <c r="G83" s="587" t="s">
        <v>241</v>
      </c>
      <c r="H83" s="587" t="s">
        <v>242</v>
      </c>
      <c r="I83" s="587" t="s">
        <v>243</v>
      </c>
      <c r="J83" s="587" t="s">
        <v>244</v>
      </c>
      <c r="K83" s="587" t="s">
        <v>245</v>
      </c>
      <c r="L83" s="587" t="s">
        <v>246</v>
      </c>
      <c r="M83" s="587" t="s">
        <v>247</v>
      </c>
      <c r="N83" s="587" t="s">
        <v>248</v>
      </c>
      <c r="O83" s="587" t="s">
        <v>249</v>
      </c>
      <c r="P83" s="587" t="s">
        <v>250</v>
      </c>
      <c r="Q83" s="587" t="s">
        <v>251</v>
      </c>
      <c r="R83" s="585"/>
      <c r="S83" s="585"/>
    </row>
    <row r="84" spans="3:19" hidden="1" x14ac:dyDescent="0.25">
      <c r="C84" s="773" t="s">
        <v>171</v>
      </c>
      <c r="D84" s="774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8"/>
      <c r="R84" s="585"/>
      <c r="S84" s="585"/>
    </row>
    <row r="85" spans="3:19" hidden="1" x14ac:dyDescent="0.25">
      <c r="C85" s="579" t="s">
        <v>172</v>
      </c>
      <c r="D85" s="579" t="s">
        <v>173</v>
      </c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8">
        <f t="shared" ref="Q85:Q98" si="49">SUM(E85:P85)</f>
        <v>0</v>
      </c>
      <c r="R85" s="585"/>
      <c r="S85" s="585"/>
    </row>
    <row r="86" spans="3:19" hidden="1" x14ac:dyDescent="0.25">
      <c r="C86" s="579" t="s">
        <v>174</v>
      </c>
      <c r="D86" s="579" t="s">
        <v>175</v>
      </c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8">
        <f t="shared" si="49"/>
        <v>0</v>
      </c>
      <c r="R86" s="585"/>
      <c r="S86" s="585"/>
    </row>
    <row r="87" spans="3:19" hidden="1" x14ac:dyDescent="0.25">
      <c r="C87" s="579" t="s">
        <v>176</v>
      </c>
      <c r="D87" s="579" t="s">
        <v>177</v>
      </c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8">
        <f t="shared" si="49"/>
        <v>0</v>
      </c>
      <c r="R87" s="585"/>
      <c r="S87" s="585"/>
    </row>
    <row r="88" spans="3:19" hidden="1" x14ac:dyDescent="0.25">
      <c r="C88" s="579" t="s">
        <v>178</v>
      </c>
      <c r="D88" s="579" t="s">
        <v>179</v>
      </c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8">
        <f t="shared" si="49"/>
        <v>0</v>
      </c>
      <c r="R88" s="585"/>
      <c r="S88" s="585"/>
    </row>
    <row r="89" spans="3:19" hidden="1" x14ac:dyDescent="0.25">
      <c r="C89" s="579" t="s">
        <v>180</v>
      </c>
      <c r="D89" s="579" t="s">
        <v>181</v>
      </c>
      <c r="E89" s="583">
        <v>621.37214400000005</v>
      </c>
      <c r="F89" s="583">
        <v>303.34294889999995</v>
      </c>
      <c r="G89" s="583">
        <v>211.24235759999999</v>
      </c>
      <c r="H89" s="583">
        <v>503.73642443615006</v>
      </c>
      <c r="I89" s="583">
        <v>643.72328574570565</v>
      </c>
      <c r="J89" s="583">
        <v>461.58572973539293</v>
      </c>
      <c r="K89" s="583">
        <v>405.121735</v>
      </c>
      <c r="L89" s="583">
        <v>311.55408999999997</v>
      </c>
      <c r="M89" s="583">
        <v>602.59135599999991</v>
      </c>
      <c r="N89" s="583">
        <v>840.88445690000003</v>
      </c>
      <c r="O89" s="583">
        <v>969.73800000000006</v>
      </c>
      <c r="P89" s="583">
        <v>1265.3817986025822</v>
      </c>
      <c r="Q89" s="588">
        <f t="shared" si="49"/>
        <v>7140.2743269198318</v>
      </c>
      <c r="R89" s="585"/>
      <c r="S89" s="585"/>
    </row>
    <row r="90" spans="3:19" hidden="1" x14ac:dyDescent="0.25">
      <c r="C90" s="579" t="s">
        <v>182</v>
      </c>
      <c r="D90" s="579" t="s">
        <v>183</v>
      </c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8">
        <f t="shared" si="49"/>
        <v>0</v>
      </c>
      <c r="R90" s="585"/>
      <c r="S90" s="585"/>
    </row>
    <row r="91" spans="3:19" hidden="1" x14ac:dyDescent="0.25">
      <c r="C91" s="579" t="s">
        <v>184</v>
      </c>
      <c r="D91" s="579" t="s">
        <v>185</v>
      </c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8">
        <f t="shared" si="49"/>
        <v>0</v>
      </c>
      <c r="R91" s="585"/>
      <c r="S91" s="585"/>
    </row>
    <row r="92" spans="3:19" hidden="1" x14ac:dyDescent="0.25">
      <c r="C92" s="579" t="s">
        <v>186</v>
      </c>
      <c r="D92" s="579" t="s">
        <v>187</v>
      </c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8">
        <f t="shared" si="49"/>
        <v>0</v>
      </c>
      <c r="R92" s="585"/>
      <c r="S92" s="585"/>
    </row>
    <row r="93" spans="3:19" hidden="1" x14ac:dyDescent="0.25">
      <c r="C93" s="579" t="s">
        <v>188</v>
      </c>
      <c r="D93" s="579" t="s">
        <v>189</v>
      </c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8">
        <f t="shared" si="49"/>
        <v>0</v>
      </c>
      <c r="R93" s="585"/>
      <c r="S93" s="585"/>
    </row>
    <row r="94" spans="3:19" hidden="1" x14ac:dyDescent="0.25">
      <c r="C94" s="579"/>
      <c r="D94" s="579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8">
        <f t="shared" si="49"/>
        <v>0</v>
      </c>
      <c r="R94" s="585"/>
      <c r="S94" s="585"/>
    </row>
    <row r="95" spans="3:19" hidden="1" x14ac:dyDescent="0.25">
      <c r="C95" s="579"/>
      <c r="D95" s="579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8">
        <f t="shared" si="49"/>
        <v>0</v>
      </c>
      <c r="R95" s="585"/>
      <c r="S95" s="585"/>
    </row>
    <row r="96" spans="3:19" hidden="1" x14ac:dyDescent="0.25">
      <c r="C96" s="579"/>
      <c r="D96" s="579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8">
        <f t="shared" si="49"/>
        <v>0</v>
      </c>
      <c r="R96" s="585"/>
      <c r="S96" s="585"/>
    </row>
    <row r="97" spans="3:19" hidden="1" x14ac:dyDescent="0.25">
      <c r="C97" s="579" t="s">
        <v>226</v>
      </c>
      <c r="D97" s="579" t="s">
        <v>226</v>
      </c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8">
        <f t="shared" si="49"/>
        <v>0</v>
      </c>
      <c r="R97" s="585"/>
      <c r="S97" s="585"/>
    </row>
    <row r="98" spans="3:19" hidden="1" x14ac:dyDescent="0.25">
      <c r="C98" s="773" t="s">
        <v>190</v>
      </c>
      <c r="D98" s="774"/>
      <c r="E98" s="588">
        <f t="shared" ref="E98:P98" si="50">SUM(E85:E97)</f>
        <v>621.37214400000005</v>
      </c>
      <c r="F98" s="588">
        <f t="shared" si="50"/>
        <v>303.34294889999995</v>
      </c>
      <c r="G98" s="588">
        <f t="shared" si="50"/>
        <v>211.24235759999999</v>
      </c>
      <c r="H98" s="588">
        <f t="shared" si="50"/>
        <v>503.73642443615006</v>
      </c>
      <c r="I98" s="588">
        <f t="shared" si="50"/>
        <v>643.72328574570565</v>
      </c>
      <c r="J98" s="588">
        <f t="shared" si="50"/>
        <v>461.58572973539293</v>
      </c>
      <c r="K98" s="588">
        <f t="shared" si="50"/>
        <v>405.121735</v>
      </c>
      <c r="L98" s="588">
        <f t="shared" si="50"/>
        <v>311.55408999999997</v>
      </c>
      <c r="M98" s="588">
        <f t="shared" si="50"/>
        <v>602.59135599999991</v>
      </c>
      <c r="N98" s="588">
        <f t="shared" si="50"/>
        <v>840.88445690000003</v>
      </c>
      <c r="O98" s="588">
        <f t="shared" si="50"/>
        <v>969.73800000000006</v>
      </c>
      <c r="P98" s="588">
        <f t="shared" si="50"/>
        <v>1265.3817986025822</v>
      </c>
      <c r="Q98" s="588">
        <f t="shared" si="49"/>
        <v>7140.2743269198318</v>
      </c>
      <c r="R98" s="585"/>
      <c r="S98" s="585"/>
    </row>
    <row r="99" spans="3:19" hidden="1" x14ac:dyDescent="0.25">
      <c r="C99" s="773" t="s">
        <v>191</v>
      </c>
      <c r="D99" s="774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8"/>
      <c r="R99" s="585"/>
      <c r="S99" s="585"/>
    </row>
    <row r="100" spans="3:19" hidden="1" x14ac:dyDescent="0.25">
      <c r="C100" s="579" t="s">
        <v>192</v>
      </c>
      <c r="D100" s="579" t="s">
        <v>193</v>
      </c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8">
        <f t="shared" ref="Q100:Q115" si="51">SUM(E100:P100)</f>
        <v>0</v>
      </c>
      <c r="R100" s="585"/>
      <c r="S100" s="585"/>
    </row>
    <row r="101" spans="3:19" hidden="1" x14ac:dyDescent="0.25">
      <c r="C101" s="579" t="s">
        <v>194</v>
      </c>
      <c r="D101" s="579" t="s">
        <v>195</v>
      </c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8">
        <f t="shared" si="51"/>
        <v>0</v>
      </c>
      <c r="R101" s="585"/>
      <c r="S101" s="585"/>
    </row>
    <row r="102" spans="3:19" hidden="1" x14ac:dyDescent="0.25">
      <c r="C102" s="579" t="s">
        <v>233</v>
      </c>
      <c r="D102" s="579" t="s">
        <v>197</v>
      </c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8">
        <f t="shared" si="51"/>
        <v>0</v>
      </c>
      <c r="R102" s="585"/>
      <c r="S102" s="585"/>
    </row>
    <row r="103" spans="3:19" hidden="1" x14ac:dyDescent="0.25">
      <c r="C103" s="579" t="s">
        <v>198</v>
      </c>
      <c r="D103" s="579" t="s">
        <v>199</v>
      </c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8">
        <f t="shared" si="51"/>
        <v>0</v>
      </c>
      <c r="R103" s="585"/>
      <c r="S103" s="585"/>
    </row>
    <row r="104" spans="3:19" hidden="1" x14ac:dyDescent="0.25">
      <c r="C104" s="579" t="s">
        <v>200</v>
      </c>
      <c r="D104" s="579" t="s">
        <v>201</v>
      </c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8">
        <f t="shared" si="51"/>
        <v>0</v>
      </c>
      <c r="R104" s="585"/>
      <c r="S104" s="585"/>
    </row>
    <row r="105" spans="3:19" hidden="1" x14ac:dyDescent="0.25">
      <c r="C105" s="579" t="s">
        <v>202</v>
      </c>
      <c r="D105" s="579" t="s">
        <v>203</v>
      </c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8">
        <f t="shared" si="51"/>
        <v>0</v>
      </c>
      <c r="R105" s="585"/>
      <c r="S105" s="585"/>
    </row>
    <row r="106" spans="3:19" hidden="1" x14ac:dyDescent="0.25">
      <c r="C106" s="579" t="s">
        <v>204</v>
      </c>
      <c r="D106" s="579" t="s">
        <v>205</v>
      </c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8">
        <f t="shared" si="51"/>
        <v>0</v>
      </c>
      <c r="R106" s="585"/>
      <c r="S106" s="585"/>
    </row>
    <row r="107" spans="3:19" hidden="1" x14ac:dyDescent="0.25">
      <c r="C107" s="579" t="s">
        <v>206</v>
      </c>
      <c r="D107" s="579" t="s">
        <v>207</v>
      </c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8">
        <f t="shared" si="51"/>
        <v>0</v>
      </c>
      <c r="R107" s="585"/>
      <c r="S107" s="585"/>
    </row>
    <row r="108" spans="3:19" hidden="1" x14ac:dyDescent="0.25">
      <c r="C108" s="579" t="s">
        <v>208</v>
      </c>
      <c r="D108" s="579" t="s">
        <v>187</v>
      </c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8">
        <f t="shared" si="51"/>
        <v>0</v>
      </c>
      <c r="R108" s="585"/>
      <c r="S108" s="585"/>
    </row>
    <row r="109" spans="3:19" hidden="1" x14ac:dyDescent="0.25">
      <c r="C109" s="579" t="s">
        <v>209</v>
      </c>
      <c r="D109" s="579" t="s">
        <v>210</v>
      </c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8">
        <f t="shared" si="51"/>
        <v>0</v>
      </c>
      <c r="R109" s="585"/>
      <c r="S109" s="585"/>
    </row>
    <row r="110" spans="3:19" hidden="1" x14ac:dyDescent="0.25">
      <c r="C110" s="579" t="s">
        <v>211</v>
      </c>
      <c r="D110" s="579" t="s">
        <v>189</v>
      </c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8">
        <f t="shared" si="51"/>
        <v>0</v>
      </c>
      <c r="R110" s="585"/>
      <c r="S110" s="585"/>
    </row>
    <row r="111" spans="3:19" hidden="1" x14ac:dyDescent="0.25">
      <c r="C111" s="579"/>
      <c r="D111" s="579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8">
        <f t="shared" si="51"/>
        <v>0</v>
      </c>
      <c r="R111" s="585"/>
      <c r="S111" s="585"/>
    </row>
    <row r="112" spans="3:19" hidden="1" x14ac:dyDescent="0.25">
      <c r="C112" s="579"/>
      <c r="D112" s="579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8">
        <f t="shared" si="51"/>
        <v>0</v>
      </c>
      <c r="R112" s="585"/>
      <c r="S112" s="585"/>
    </row>
    <row r="113" spans="3:19" hidden="1" x14ac:dyDescent="0.25">
      <c r="C113" s="579"/>
      <c r="D113" s="579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8">
        <f t="shared" si="51"/>
        <v>0</v>
      </c>
      <c r="R113" s="585"/>
      <c r="S113" s="585"/>
    </row>
    <row r="114" spans="3:19" hidden="1" x14ac:dyDescent="0.25">
      <c r="C114" s="579" t="s">
        <v>226</v>
      </c>
      <c r="D114" s="579" t="s">
        <v>226</v>
      </c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8">
        <f t="shared" si="51"/>
        <v>0</v>
      </c>
      <c r="R114" s="585"/>
      <c r="S114" s="585"/>
    </row>
    <row r="115" spans="3:19" hidden="1" x14ac:dyDescent="0.25">
      <c r="C115" s="773" t="s">
        <v>212</v>
      </c>
      <c r="D115" s="774"/>
      <c r="E115" s="588">
        <f t="shared" ref="E115:P115" si="52">SUM(E100:E114)</f>
        <v>0</v>
      </c>
      <c r="F115" s="588">
        <f t="shared" si="52"/>
        <v>0</v>
      </c>
      <c r="G115" s="588">
        <f t="shared" si="52"/>
        <v>0</v>
      </c>
      <c r="H115" s="588">
        <f t="shared" si="52"/>
        <v>0</v>
      </c>
      <c r="I115" s="588">
        <f t="shared" si="52"/>
        <v>0</v>
      </c>
      <c r="J115" s="588">
        <f t="shared" si="52"/>
        <v>0</v>
      </c>
      <c r="K115" s="588">
        <f t="shared" si="52"/>
        <v>0</v>
      </c>
      <c r="L115" s="588">
        <f t="shared" si="52"/>
        <v>0</v>
      </c>
      <c r="M115" s="588">
        <f t="shared" si="52"/>
        <v>0</v>
      </c>
      <c r="N115" s="588">
        <f t="shared" si="52"/>
        <v>0</v>
      </c>
      <c r="O115" s="588">
        <f t="shared" si="52"/>
        <v>0</v>
      </c>
      <c r="P115" s="588">
        <f t="shared" si="52"/>
        <v>0</v>
      </c>
      <c r="Q115" s="588">
        <f t="shared" si="51"/>
        <v>0</v>
      </c>
      <c r="R115" s="585"/>
      <c r="S115" s="585"/>
    </row>
    <row r="116" spans="3:19" hidden="1" x14ac:dyDescent="0.25">
      <c r="C116" s="773" t="s">
        <v>213</v>
      </c>
      <c r="D116" s="774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8"/>
      <c r="R116" s="585"/>
      <c r="S116" s="585"/>
    </row>
    <row r="117" spans="3:19" hidden="1" x14ac:dyDescent="0.25">
      <c r="C117" s="579" t="s">
        <v>192</v>
      </c>
      <c r="D117" s="579" t="s">
        <v>193</v>
      </c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8">
        <f t="shared" ref="Q117:Q132" si="53">SUM(E117:P117)</f>
        <v>0</v>
      </c>
      <c r="R117" s="585"/>
      <c r="S117" s="585"/>
    </row>
    <row r="118" spans="3:19" hidden="1" x14ac:dyDescent="0.25">
      <c r="C118" s="579" t="s">
        <v>194</v>
      </c>
      <c r="D118" s="579" t="s">
        <v>195</v>
      </c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8">
        <f t="shared" si="53"/>
        <v>0</v>
      </c>
      <c r="R118" s="585"/>
      <c r="S118" s="585"/>
    </row>
    <row r="119" spans="3:19" hidden="1" x14ac:dyDescent="0.25">
      <c r="C119" s="579" t="s">
        <v>233</v>
      </c>
      <c r="D119" s="579" t="s">
        <v>197</v>
      </c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8">
        <f t="shared" si="53"/>
        <v>0</v>
      </c>
      <c r="R119" s="585"/>
      <c r="S119" s="585"/>
    </row>
    <row r="120" spans="3:19" hidden="1" x14ac:dyDescent="0.25">
      <c r="C120" s="579" t="s">
        <v>198</v>
      </c>
      <c r="D120" s="579" t="s">
        <v>199</v>
      </c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8">
        <f t="shared" si="53"/>
        <v>0</v>
      </c>
      <c r="R120" s="585"/>
      <c r="S120" s="585"/>
    </row>
    <row r="121" spans="3:19" hidden="1" x14ac:dyDescent="0.25">
      <c r="C121" s="579" t="s">
        <v>200</v>
      </c>
      <c r="D121" s="579" t="s">
        <v>201</v>
      </c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8">
        <f t="shared" si="53"/>
        <v>0</v>
      </c>
      <c r="R121" s="585"/>
      <c r="S121" s="585"/>
    </row>
    <row r="122" spans="3:19" hidden="1" x14ac:dyDescent="0.25">
      <c r="C122" s="579" t="s">
        <v>202</v>
      </c>
      <c r="D122" s="579" t="s">
        <v>203</v>
      </c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8">
        <f t="shared" si="53"/>
        <v>0</v>
      </c>
      <c r="R122" s="585"/>
      <c r="S122" s="585"/>
    </row>
    <row r="123" spans="3:19" hidden="1" x14ac:dyDescent="0.25">
      <c r="C123" s="579" t="s">
        <v>204</v>
      </c>
      <c r="D123" s="579" t="s">
        <v>205</v>
      </c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8">
        <f t="shared" si="53"/>
        <v>0</v>
      </c>
      <c r="R123" s="585"/>
      <c r="S123" s="585"/>
    </row>
    <row r="124" spans="3:19" hidden="1" x14ac:dyDescent="0.25">
      <c r="C124" s="579" t="s">
        <v>206</v>
      </c>
      <c r="D124" s="579" t="s">
        <v>207</v>
      </c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8">
        <f t="shared" si="53"/>
        <v>0</v>
      </c>
      <c r="R124" s="585"/>
      <c r="S124" s="585"/>
    </row>
    <row r="125" spans="3:19" hidden="1" x14ac:dyDescent="0.25">
      <c r="C125" s="579" t="s">
        <v>214</v>
      </c>
      <c r="D125" s="579" t="s">
        <v>187</v>
      </c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8">
        <f t="shared" si="53"/>
        <v>0</v>
      </c>
      <c r="R125" s="585"/>
      <c r="S125" s="585"/>
    </row>
    <row r="126" spans="3:19" hidden="1" x14ac:dyDescent="0.25">
      <c r="C126" s="579" t="s">
        <v>209</v>
      </c>
      <c r="D126" s="579" t="s">
        <v>210</v>
      </c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8">
        <f t="shared" si="53"/>
        <v>0</v>
      </c>
      <c r="R126" s="585"/>
      <c r="S126" s="585"/>
    </row>
    <row r="127" spans="3:19" hidden="1" x14ac:dyDescent="0.25">
      <c r="C127" s="579" t="s">
        <v>211</v>
      </c>
      <c r="D127" s="579" t="s">
        <v>189</v>
      </c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8">
        <f t="shared" si="53"/>
        <v>0</v>
      </c>
      <c r="R127" s="585"/>
      <c r="S127" s="585"/>
    </row>
    <row r="128" spans="3:19" hidden="1" x14ac:dyDescent="0.25">
      <c r="C128" s="579"/>
      <c r="D128" s="579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8">
        <f t="shared" si="53"/>
        <v>0</v>
      </c>
      <c r="R128" s="585"/>
      <c r="S128" s="585"/>
    </row>
    <row r="129" spans="3:19" hidden="1" x14ac:dyDescent="0.25">
      <c r="C129" s="579"/>
      <c r="D129" s="579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8">
        <f t="shared" si="53"/>
        <v>0</v>
      </c>
      <c r="R129" s="585"/>
      <c r="S129" s="585"/>
    </row>
    <row r="130" spans="3:19" hidden="1" x14ac:dyDescent="0.25">
      <c r="C130" s="579"/>
      <c r="D130" s="579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8">
        <f t="shared" si="53"/>
        <v>0</v>
      </c>
      <c r="R130" s="585"/>
      <c r="S130" s="585"/>
    </row>
    <row r="131" spans="3:19" hidden="1" x14ac:dyDescent="0.25">
      <c r="C131" s="579" t="s">
        <v>226</v>
      </c>
      <c r="D131" s="579" t="s">
        <v>226</v>
      </c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8">
        <f t="shared" si="53"/>
        <v>0</v>
      </c>
      <c r="R131" s="585"/>
      <c r="S131" s="585"/>
    </row>
    <row r="132" spans="3:19" hidden="1" x14ac:dyDescent="0.25">
      <c r="C132" s="773" t="s">
        <v>212</v>
      </c>
      <c r="D132" s="774"/>
      <c r="E132" s="588">
        <f t="shared" ref="E132:P132" si="54">SUM(E117:E131)</f>
        <v>0</v>
      </c>
      <c r="F132" s="588">
        <f t="shared" si="54"/>
        <v>0</v>
      </c>
      <c r="G132" s="588">
        <f t="shared" si="54"/>
        <v>0</v>
      </c>
      <c r="H132" s="588">
        <f t="shared" si="54"/>
        <v>0</v>
      </c>
      <c r="I132" s="588">
        <f t="shared" si="54"/>
        <v>0</v>
      </c>
      <c r="J132" s="588">
        <f t="shared" si="54"/>
        <v>0</v>
      </c>
      <c r="K132" s="588">
        <f t="shared" si="54"/>
        <v>0</v>
      </c>
      <c r="L132" s="588">
        <f t="shared" si="54"/>
        <v>0</v>
      </c>
      <c r="M132" s="588">
        <f t="shared" si="54"/>
        <v>0</v>
      </c>
      <c r="N132" s="588">
        <f t="shared" si="54"/>
        <v>0</v>
      </c>
      <c r="O132" s="588">
        <f t="shared" si="54"/>
        <v>0</v>
      </c>
      <c r="P132" s="588">
        <f t="shared" si="54"/>
        <v>0</v>
      </c>
      <c r="Q132" s="588">
        <f t="shared" si="53"/>
        <v>0</v>
      </c>
      <c r="R132" s="585"/>
      <c r="S132" s="585"/>
    </row>
    <row r="133" spans="3:19" hidden="1" x14ac:dyDescent="0.25">
      <c r="C133" s="773" t="s">
        <v>215</v>
      </c>
      <c r="D133" s="774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8"/>
      <c r="R133" s="585"/>
      <c r="S133" s="585"/>
    </row>
    <row r="134" spans="3:19" hidden="1" x14ac:dyDescent="0.25">
      <c r="C134" s="579" t="s">
        <v>192</v>
      </c>
      <c r="D134" s="579" t="s">
        <v>193</v>
      </c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8">
        <f t="shared" ref="Q134:Q153" si="55">SUM(E134:P134)</f>
        <v>0</v>
      </c>
      <c r="R134" s="585"/>
      <c r="S134" s="585"/>
    </row>
    <row r="135" spans="3:19" hidden="1" x14ac:dyDescent="0.25">
      <c r="C135" s="579" t="s">
        <v>194</v>
      </c>
      <c r="D135" s="579" t="s">
        <v>195</v>
      </c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8">
        <f t="shared" si="55"/>
        <v>0</v>
      </c>
      <c r="R135" s="585"/>
      <c r="S135" s="585"/>
    </row>
    <row r="136" spans="3:19" hidden="1" x14ac:dyDescent="0.25">
      <c r="C136" s="579" t="s">
        <v>233</v>
      </c>
      <c r="D136" s="579" t="s">
        <v>197</v>
      </c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8">
        <f t="shared" si="55"/>
        <v>0</v>
      </c>
      <c r="R136" s="585"/>
      <c r="S136" s="585"/>
    </row>
    <row r="137" spans="3:19" hidden="1" x14ac:dyDescent="0.25">
      <c r="C137" s="579" t="s">
        <v>198</v>
      </c>
      <c r="D137" s="579" t="s">
        <v>199</v>
      </c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8">
        <f t="shared" si="55"/>
        <v>0</v>
      </c>
      <c r="R137" s="585"/>
      <c r="S137" s="585"/>
    </row>
    <row r="138" spans="3:19" hidden="1" x14ac:dyDescent="0.25">
      <c r="C138" s="579" t="s">
        <v>200</v>
      </c>
      <c r="D138" s="579" t="s">
        <v>201</v>
      </c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8">
        <f t="shared" si="55"/>
        <v>0</v>
      </c>
      <c r="R138" s="585"/>
      <c r="S138" s="585"/>
    </row>
    <row r="139" spans="3:19" hidden="1" x14ac:dyDescent="0.25">
      <c r="C139" s="579" t="s">
        <v>202</v>
      </c>
      <c r="D139" s="579" t="s">
        <v>234</v>
      </c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8">
        <f t="shared" si="55"/>
        <v>0</v>
      </c>
      <c r="R139" s="585"/>
      <c r="S139" s="585"/>
    </row>
    <row r="140" spans="3:19" hidden="1" x14ac:dyDescent="0.25">
      <c r="C140" s="579" t="s">
        <v>204</v>
      </c>
      <c r="D140" s="579" t="s">
        <v>216</v>
      </c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8">
        <f t="shared" si="55"/>
        <v>0</v>
      </c>
      <c r="R140" s="585"/>
      <c r="S140" s="585"/>
    </row>
    <row r="141" spans="3:19" hidden="1" x14ac:dyDescent="0.25">
      <c r="C141" s="579" t="s">
        <v>217</v>
      </c>
      <c r="D141" s="579" t="s">
        <v>218</v>
      </c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8">
        <f t="shared" si="55"/>
        <v>0</v>
      </c>
      <c r="R141" s="585"/>
      <c r="S141" s="585"/>
    </row>
    <row r="142" spans="3:19" hidden="1" x14ac:dyDescent="0.25">
      <c r="C142" s="579" t="s">
        <v>252</v>
      </c>
      <c r="D142" s="579" t="s">
        <v>236</v>
      </c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8">
        <f t="shared" si="55"/>
        <v>0</v>
      </c>
      <c r="R142" s="585"/>
      <c r="S142" s="585"/>
    </row>
    <row r="143" spans="3:19" hidden="1" x14ac:dyDescent="0.25">
      <c r="C143" s="579" t="s">
        <v>206</v>
      </c>
      <c r="D143" s="579" t="s">
        <v>207</v>
      </c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8">
        <f t="shared" si="55"/>
        <v>0</v>
      </c>
      <c r="R143" s="585"/>
      <c r="S143" s="585"/>
    </row>
    <row r="144" spans="3:19" hidden="1" x14ac:dyDescent="0.25">
      <c r="C144" s="579" t="s">
        <v>208</v>
      </c>
      <c r="D144" s="579" t="s">
        <v>187</v>
      </c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8">
        <f t="shared" si="55"/>
        <v>0</v>
      </c>
      <c r="R144" s="585"/>
      <c r="S144" s="585"/>
    </row>
    <row r="145" spans="3:19" hidden="1" x14ac:dyDescent="0.25">
      <c r="C145" s="579" t="s">
        <v>209</v>
      </c>
      <c r="D145" s="579" t="s">
        <v>210</v>
      </c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8">
        <f t="shared" si="55"/>
        <v>0</v>
      </c>
      <c r="R145" s="585"/>
      <c r="S145" s="585"/>
    </row>
    <row r="146" spans="3:19" hidden="1" x14ac:dyDescent="0.25">
      <c r="C146" s="579" t="s">
        <v>211</v>
      </c>
      <c r="D146" s="579" t="s">
        <v>189</v>
      </c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8">
        <f t="shared" si="55"/>
        <v>0</v>
      </c>
      <c r="R146" s="585"/>
      <c r="S146" s="585"/>
    </row>
    <row r="147" spans="3:19" hidden="1" x14ac:dyDescent="0.25">
      <c r="C147" s="579"/>
      <c r="D147" s="579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8">
        <f t="shared" si="55"/>
        <v>0</v>
      </c>
      <c r="R147" s="585"/>
      <c r="S147" s="585"/>
    </row>
    <row r="148" spans="3:19" hidden="1" x14ac:dyDescent="0.25">
      <c r="C148" s="579"/>
      <c r="D148" s="579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8">
        <f t="shared" si="55"/>
        <v>0</v>
      </c>
      <c r="R148" s="585"/>
      <c r="S148" s="585"/>
    </row>
    <row r="149" spans="3:19" hidden="1" x14ac:dyDescent="0.25">
      <c r="C149" s="579"/>
      <c r="D149" s="579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8">
        <f t="shared" si="55"/>
        <v>0</v>
      </c>
      <c r="R149" s="585"/>
      <c r="S149" s="585"/>
    </row>
    <row r="150" spans="3:19" hidden="1" x14ac:dyDescent="0.25">
      <c r="C150" s="579" t="s">
        <v>226</v>
      </c>
      <c r="D150" s="579" t="s">
        <v>226</v>
      </c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8">
        <f t="shared" si="55"/>
        <v>0</v>
      </c>
      <c r="R150" s="585"/>
      <c r="S150" s="585"/>
    </row>
    <row r="151" spans="3:19" hidden="1" x14ac:dyDescent="0.25">
      <c r="C151" s="773" t="s">
        <v>212</v>
      </c>
      <c r="D151" s="774"/>
      <c r="E151" s="588">
        <f t="shared" ref="E151:P151" si="56">SUM(E134:E150)</f>
        <v>0</v>
      </c>
      <c r="F151" s="588">
        <f t="shared" si="56"/>
        <v>0</v>
      </c>
      <c r="G151" s="588">
        <f t="shared" si="56"/>
        <v>0</v>
      </c>
      <c r="H151" s="588">
        <f t="shared" si="56"/>
        <v>0</v>
      </c>
      <c r="I151" s="588">
        <f t="shared" si="56"/>
        <v>0</v>
      </c>
      <c r="J151" s="588">
        <f t="shared" si="56"/>
        <v>0</v>
      </c>
      <c r="K151" s="588">
        <f t="shared" si="56"/>
        <v>0</v>
      </c>
      <c r="L151" s="588">
        <f t="shared" si="56"/>
        <v>0</v>
      </c>
      <c r="M151" s="588">
        <f t="shared" si="56"/>
        <v>0</v>
      </c>
      <c r="N151" s="588">
        <f t="shared" si="56"/>
        <v>0</v>
      </c>
      <c r="O151" s="588">
        <f t="shared" si="56"/>
        <v>0</v>
      </c>
      <c r="P151" s="588">
        <f t="shared" si="56"/>
        <v>0</v>
      </c>
      <c r="Q151" s="588">
        <f t="shared" si="55"/>
        <v>0</v>
      </c>
      <c r="R151" s="585"/>
      <c r="S151" s="585"/>
    </row>
    <row r="152" spans="3:19" hidden="1" x14ac:dyDescent="0.25">
      <c r="C152" s="773" t="s">
        <v>219</v>
      </c>
      <c r="D152" s="774"/>
      <c r="E152" s="588">
        <f t="shared" ref="E152:P152" si="57">E115+E132+E151</f>
        <v>0</v>
      </c>
      <c r="F152" s="588">
        <f t="shared" si="57"/>
        <v>0</v>
      </c>
      <c r="G152" s="588">
        <f t="shared" si="57"/>
        <v>0</v>
      </c>
      <c r="H152" s="588">
        <f t="shared" si="57"/>
        <v>0</v>
      </c>
      <c r="I152" s="588">
        <f t="shared" si="57"/>
        <v>0</v>
      </c>
      <c r="J152" s="588">
        <f t="shared" si="57"/>
        <v>0</v>
      </c>
      <c r="K152" s="588">
        <f t="shared" si="57"/>
        <v>0</v>
      </c>
      <c r="L152" s="588">
        <f t="shared" si="57"/>
        <v>0</v>
      </c>
      <c r="M152" s="588">
        <f t="shared" si="57"/>
        <v>0</v>
      </c>
      <c r="N152" s="588">
        <f t="shared" si="57"/>
        <v>0</v>
      </c>
      <c r="O152" s="588">
        <f t="shared" si="57"/>
        <v>0</v>
      </c>
      <c r="P152" s="588">
        <f t="shared" si="57"/>
        <v>0</v>
      </c>
      <c r="Q152" s="588">
        <f t="shared" si="55"/>
        <v>0</v>
      </c>
      <c r="R152" s="585"/>
      <c r="S152" s="585"/>
    </row>
    <row r="153" spans="3:19" hidden="1" x14ac:dyDescent="0.25">
      <c r="C153" s="773" t="s">
        <v>220</v>
      </c>
      <c r="D153" s="774"/>
      <c r="E153" s="588">
        <f t="shared" ref="E153:P153" si="58">E152+E98</f>
        <v>621.37214400000005</v>
      </c>
      <c r="F153" s="588">
        <f t="shared" si="58"/>
        <v>303.34294889999995</v>
      </c>
      <c r="G153" s="588">
        <f t="shared" si="58"/>
        <v>211.24235759999999</v>
      </c>
      <c r="H153" s="588">
        <f t="shared" si="58"/>
        <v>503.73642443615006</v>
      </c>
      <c r="I153" s="588">
        <f t="shared" si="58"/>
        <v>643.72328574570565</v>
      </c>
      <c r="J153" s="588">
        <f t="shared" si="58"/>
        <v>461.58572973539293</v>
      </c>
      <c r="K153" s="588">
        <f t="shared" si="58"/>
        <v>405.121735</v>
      </c>
      <c r="L153" s="588">
        <f t="shared" si="58"/>
        <v>311.55408999999997</v>
      </c>
      <c r="M153" s="588">
        <f t="shared" si="58"/>
        <v>602.59135599999991</v>
      </c>
      <c r="N153" s="588">
        <f t="shared" si="58"/>
        <v>840.88445690000003</v>
      </c>
      <c r="O153" s="588">
        <f t="shared" si="58"/>
        <v>969.73800000000006</v>
      </c>
      <c r="P153" s="588">
        <f t="shared" si="58"/>
        <v>1265.3817986025822</v>
      </c>
      <c r="Q153" s="588">
        <f t="shared" si="55"/>
        <v>7140.2743269198318</v>
      </c>
      <c r="R153" s="585"/>
      <c r="S153" s="585"/>
    </row>
    <row r="154" spans="3:19" hidden="1" x14ac:dyDescent="0.25">
      <c r="C154" s="573"/>
      <c r="D154" s="573"/>
      <c r="E154" s="585"/>
      <c r="F154" s="585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5"/>
    </row>
    <row r="155" spans="3:19" hidden="1" x14ac:dyDescent="0.25">
      <c r="C155" s="574"/>
      <c r="E155" s="585"/>
      <c r="F155" s="585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6" t="s">
        <v>229</v>
      </c>
      <c r="R155" s="585"/>
      <c r="S155" s="585"/>
    </row>
    <row r="156" spans="3:19" hidden="1" x14ac:dyDescent="0.25">
      <c r="C156" s="776" t="s">
        <v>163</v>
      </c>
      <c r="D156" s="776"/>
      <c r="E156" s="775" t="s">
        <v>263</v>
      </c>
      <c r="F156" s="775"/>
      <c r="G156" s="775"/>
      <c r="H156" s="775"/>
      <c r="I156" s="775"/>
      <c r="J156" s="775"/>
      <c r="K156" s="775"/>
      <c r="L156" s="775"/>
      <c r="M156" s="775"/>
      <c r="N156" s="775"/>
      <c r="O156" s="775"/>
      <c r="P156" s="775"/>
      <c r="Q156" s="775"/>
      <c r="R156" s="585"/>
      <c r="S156" s="585"/>
    </row>
    <row r="157" spans="3:19" hidden="1" x14ac:dyDescent="0.25">
      <c r="C157" s="776"/>
      <c r="D157" s="776"/>
      <c r="E157" s="587" t="s">
        <v>239</v>
      </c>
      <c r="F157" s="587" t="s">
        <v>240</v>
      </c>
      <c r="G157" s="587" t="s">
        <v>241</v>
      </c>
      <c r="H157" s="587" t="s">
        <v>242</v>
      </c>
      <c r="I157" s="587" t="s">
        <v>243</v>
      </c>
      <c r="J157" s="587" t="s">
        <v>244</v>
      </c>
      <c r="K157" s="587" t="s">
        <v>245</v>
      </c>
      <c r="L157" s="587" t="s">
        <v>246</v>
      </c>
      <c r="M157" s="587" t="s">
        <v>247</v>
      </c>
      <c r="N157" s="587" t="s">
        <v>248</v>
      </c>
      <c r="O157" s="587" t="s">
        <v>249</v>
      </c>
      <c r="P157" s="587" t="s">
        <v>250</v>
      </c>
      <c r="Q157" s="587" t="s">
        <v>251</v>
      </c>
      <c r="R157" s="585"/>
      <c r="S157" s="585"/>
    </row>
    <row r="158" spans="3:19" hidden="1" x14ac:dyDescent="0.25">
      <c r="C158" s="773" t="s">
        <v>171</v>
      </c>
      <c r="D158" s="774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8"/>
      <c r="R158" s="585"/>
      <c r="S158" s="585"/>
    </row>
    <row r="159" spans="3:19" hidden="1" x14ac:dyDescent="0.25">
      <c r="C159" s="579" t="s">
        <v>172</v>
      </c>
      <c r="D159" s="579" t="s">
        <v>173</v>
      </c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8">
        <f t="shared" ref="Q159:Q172" si="59">SUM(E159:P159)</f>
        <v>0</v>
      </c>
      <c r="R159" s="585"/>
      <c r="S159" s="585"/>
    </row>
    <row r="160" spans="3:19" hidden="1" x14ac:dyDescent="0.25">
      <c r="C160" s="579" t="s">
        <v>174</v>
      </c>
      <c r="D160" s="579" t="s">
        <v>175</v>
      </c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8">
        <f t="shared" si="59"/>
        <v>0</v>
      </c>
      <c r="R160" s="585"/>
      <c r="S160" s="585"/>
    </row>
    <row r="161" spans="3:19" hidden="1" x14ac:dyDescent="0.25">
      <c r="C161" s="579" t="s">
        <v>176</v>
      </c>
      <c r="D161" s="579" t="s">
        <v>177</v>
      </c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8">
        <f t="shared" si="59"/>
        <v>0</v>
      </c>
      <c r="R161" s="585"/>
      <c r="S161" s="585"/>
    </row>
    <row r="162" spans="3:19" hidden="1" x14ac:dyDescent="0.25">
      <c r="C162" s="579" t="s">
        <v>178</v>
      </c>
      <c r="D162" s="579" t="s">
        <v>179</v>
      </c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8">
        <f t="shared" si="59"/>
        <v>0</v>
      </c>
      <c r="R162" s="585"/>
      <c r="S162" s="585"/>
    </row>
    <row r="163" spans="3:19" hidden="1" x14ac:dyDescent="0.25">
      <c r="C163" s="579" t="s">
        <v>180</v>
      </c>
      <c r="D163" s="579" t="s">
        <v>181</v>
      </c>
      <c r="E163" s="583">
        <v>624.1913486553259</v>
      </c>
      <c r="F163" s="583">
        <v>314.57673899999998</v>
      </c>
      <c r="G163" s="583">
        <v>280.79460809699998</v>
      </c>
      <c r="H163" s="583">
        <v>692.3452537154966</v>
      </c>
      <c r="I163" s="583">
        <v>463.42997005184077</v>
      </c>
      <c r="J163" s="583">
        <v>603.20720335099998</v>
      </c>
      <c r="K163" s="583">
        <v>378.06094000000007</v>
      </c>
      <c r="L163" s="583">
        <v>283.10512799999998</v>
      </c>
      <c r="M163" s="583">
        <v>749.01518999999985</v>
      </c>
      <c r="N163" s="583">
        <v>1057.9919984700002</v>
      </c>
      <c r="O163" s="583">
        <v>946.61866032589</v>
      </c>
      <c r="P163" s="583">
        <v>1510.68239857411</v>
      </c>
      <c r="Q163" s="588">
        <f t="shared" si="59"/>
        <v>7904.0194382406644</v>
      </c>
      <c r="R163" s="585"/>
      <c r="S163" s="585"/>
    </row>
    <row r="164" spans="3:19" hidden="1" x14ac:dyDescent="0.25">
      <c r="C164" s="579" t="s">
        <v>182</v>
      </c>
      <c r="D164" s="579" t="s">
        <v>183</v>
      </c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8">
        <f t="shared" si="59"/>
        <v>0</v>
      </c>
      <c r="R164" s="585"/>
      <c r="S164" s="585"/>
    </row>
    <row r="165" spans="3:19" hidden="1" x14ac:dyDescent="0.25">
      <c r="C165" s="579" t="s">
        <v>184</v>
      </c>
      <c r="D165" s="579" t="s">
        <v>185</v>
      </c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8">
        <f t="shared" si="59"/>
        <v>0</v>
      </c>
      <c r="R165" s="585"/>
      <c r="S165" s="585"/>
    </row>
    <row r="166" spans="3:19" hidden="1" x14ac:dyDescent="0.25">
      <c r="C166" s="579" t="s">
        <v>186</v>
      </c>
      <c r="D166" s="579" t="s">
        <v>187</v>
      </c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8">
        <f t="shared" si="59"/>
        <v>0</v>
      </c>
      <c r="R166" s="585"/>
      <c r="S166" s="585"/>
    </row>
    <row r="167" spans="3:19" hidden="1" x14ac:dyDescent="0.25">
      <c r="C167" s="579" t="s">
        <v>188</v>
      </c>
      <c r="D167" s="579" t="s">
        <v>189</v>
      </c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8">
        <f t="shared" si="59"/>
        <v>0</v>
      </c>
      <c r="R167" s="585"/>
      <c r="S167" s="585"/>
    </row>
    <row r="168" spans="3:19" hidden="1" x14ac:dyDescent="0.25">
      <c r="C168" s="579"/>
      <c r="D168" s="579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8">
        <f t="shared" si="59"/>
        <v>0</v>
      </c>
      <c r="R168" s="585"/>
      <c r="S168" s="585"/>
    </row>
    <row r="169" spans="3:19" hidden="1" x14ac:dyDescent="0.25">
      <c r="C169" s="579"/>
      <c r="D169" s="579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8">
        <f t="shared" si="59"/>
        <v>0</v>
      </c>
      <c r="R169" s="585"/>
      <c r="S169" s="585"/>
    </row>
    <row r="170" spans="3:19" hidden="1" x14ac:dyDescent="0.25">
      <c r="C170" s="579"/>
      <c r="D170" s="579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8">
        <f t="shared" si="59"/>
        <v>0</v>
      </c>
      <c r="R170" s="585"/>
      <c r="S170" s="585"/>
    </row>
    <row r="171" spans="3:19" hidden="1" x14ac:dyDescent="0.25">
      <c r="C171" s="579" t="s">
        <v>226</v>
      </c>
      <c r="D171" s="579" t="s">
        <v>226</v>
      </c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8">
        <f t="shared" si="59"/>
        <v>0</v>
      </c>
      <c r="R171" s="585"/>
      <c r="S171" s="585"/>
    </row>
    <row r="172" spans="3:19" hidden="1" x14ac:dyDescent="0.25">
      <c r="C172" s="773" t="s">
        <v>190</v>
      </c>
      <c r="D172" s="774"/>
      <c r="E172" s="588">
        <f t="shared" ref="E172:P172" si="60">SUM(E159:E171)</f>
        <v>624.1913486553259</v>
      </c>
      <c r="F172" s="588">
        <f t="shared" si="60"/>
        <v>314.57673899999998</v>
      </c>
      <c r="G172" s="588">
        <f t="shared" si="60"/>
        <v>280.79460809699998</v>
      </c>
      <c r="H172" s="588">
        <f t="shared" si="60"/>
        <v>692.3452537154966</v>
      </c>
      <c r="I172" s="588">
        <f t="shared" si="60"/>
        <v>463.42997005184077</v>
      </c>
      <c r="J172" s="588">
        <f t="shared" si="60"/>
        <v>603.20720335099998</v>
      </c>
      <c r="K172" s="588">
        <f t="shared" si="60"/>
        <v>378.06094000000007</v>
      </c>
      <c r="L172" s="588">
        <f t="shared" si="60"/>
        <v>283.10512799999998</v>
      </c>
      <c r="M172" s="588">
        <f t="shared" si="60"/>
        <v>749.01518999999985</v>
      </c>
      <c r="N172" s="588">
        <f t="shared" si="60"/>
        <v>1057.9919984700002</v>
      </c>
      <c r="O172" s="588">
        <f t="shared" si="60"/>
        <v>946.61866032589</v>
      </c>
      <c r="P172" s="588">
        <f t="shared" si="60"/>
        <v>1510.68239857411</v>
      </c>
      <c r="Q172" s="588">
        <f t="shared" si="59"/>
        <v>7904.0194382406644</v>
      </c>
      <c r="R172" s="585"/>
      <c r="S172" s="585"/>
    </row>
    <row r="173" spans="3:19" hidden="1" x14ac:dyDescent="0.25">
      <c r="C173" s="773" t="s">
        <v>191</v>
      </c>
      <c r="D173" s="774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8"/>
      <c r="R173" s="585"/>
      <c r="S173" s="585"/>
    </row>
    <row r="174" spans="3:19" hidden="1" x14ac:dyDescent="0.25">
      <c r="C174" s="579" t="s">
        <v>192</v>
      </c>
      <c r="D174" s="579" t="s">
        <v>193</v>
      </c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8">
        <f t="shared" ref="Q174:Q189" si="61">SUM(E174:P174)</f>
        <v>0</v>
      </c>
      <c r="R174" s="585"/>
      <c r="S174" s="585"/>
    </row>
    <row r="175" spans="3:19" hidden="1" x14ac:dyDescent="0.25">
      <c r="C175" s="579" t="s">
        <v>194</v>
      </c>
      <c r="D175" s="579" t="s">
        <v>195</v>
      </c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8">
        <f t="shared" si="61"/>
        <v>0</v>
      </c>
      <c r="R175" s="585"/>
      <c r="S175" s="585"/>
    </row>
    <row r="176" spans="3:19" hidden="1" x14ac:dyDescent="0.25">
      <c r="C176" s="579" t="s">
        <v>233</v>
      </c>
      <c r="D176" s="579" t="s">
        <v>197</v>
      </c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8">
        <f t="shared" si="61"/>
        <v>0</v>
      </c>
      <c r="R176" s="585"/>
      <c r="S176" s="585"/>
    </row>
    <row r="177" spans="3:19" hidden="1" x14ac:dyDescent="0.25">
      <c r="C177" s="579" t="s">
        <v>198</v>
      </c>
      <c r="D177" s="579" t="s">
        <v>199</v>
      </c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8">
        <f t="shared" si="61"/>
        <v>0</v>
      </c>
      <c r="R177" s="585"/>
      <c r="S177" s="585"/>
    </row>
    <row r="178" spans="3:19" hidden="1" x14ac:dyDescent="0.25">
      <c r="C178" s="579" t="s">
        <v>200</v>
      </c>
      <c r="D178" s="579" t="s">
        <v>201</v>
      </c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8">
        <f t="shared" si="61"/>
        <v>0</v>
      </c>
      <c r="R178" s="585"/>
      <c r="S178" s="585"/>
    </row>
    <row r="179" spans="3:19" hidden="1" x14ac:dyDescent="0.25">
      <c r="C179" s="579" t="s">
        <v>202</v>
      </c>
      <c r="D179" s="579" t="s">
        <v>203</v>
      </c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8">
        <f t="shared" si="61"/>
        <v>0</v>
      </c>
      <c r="R179" s="585"/>
      <c r="S179" s="585"/>
    </row>
    <row r="180" spans="3:19" hidden="1" x14ac:dyDescent="0.25">
      <c r="C180" s="579" t="s">
        <v>204</v>
      </c>
      <c r="D180" s="579" t="s">
        <v>205</v>
      </c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8">
        <f t="shared" si="61"/>
        <v>0</v>
      </c>
      <c r="R180" s="585"/>
      <c r="S180" s="585"/>
    </row>
    <row r="181" spans="3:19" hidden="1" x14ac:dyDescent="0.25">
      <c r="C181" s="579" t="s">
        <v>206</v>
      </c>
      <c r="D181" s="579" t="s">
        <v>207</v>
      </c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8">
        <f t="shared" si="61"/>
        <v>0</v>
      </c>
      <c r="R181" s="585"/>
      <c r="S181" s="585"/>
    </row>
    <row r="182" spans="3:19" hidden="1" x14ac:dyDescent="0.25">
      <c r="C182" s="579" t="s">
        <v>208</v>
      </c>
      <c r="D182" s="579" t="s">
        <v>187</v>
      </c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8">
        <f t="shared" si="61"/>
        <v>0</v>
      </c>
      <c r="R182" s="585"/>
      <c r="S182" s="585"/>
    </row>
    <row r="183" spans="3:19" hidden="1" x14ac:dyDescent="0.25">
      <c r="C183" s="579" t="s">
        <v>209</v>
      </c>
      <c r="D183" s="579" t="s">
        <v>210</v>
      </c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8">
        <f t="shared" si="61"/>
        <v>0</v>
      </c>
      <c r="R183" s="585"/>
      <c r="S183" s="585"/>
    </row>
    <row r="184" spans="3:19" hidden="1" x14ac:dyDescent="0.25">
      <c r="C184" s="579" t="s">
        <v>211</v>
      </c>
      <c r="D184" s="579" t="s">
        <v>189</v>
      </c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8">
        <f t="shared" si="61"/>
        <v>0</v>
      </c>
      <c r="R184" s="585"/>
      <c r="S184" s="585"/>
    </row>
    <row r="185" spans="3:19" hidden="1" x14ac:dyDescent="0.25">
      <c r="C185" s="579"/>
      <c r="D185" s="579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8">
        <f t="shared" si="61"/>
        <v>0</v>
      </c>
      <c r="R185" s="585"/>
      <c r="S185" s="585"/>
    </row>
    <row r="186" spans="3:19" hidden="1" x14ac:dyDescent="0.25">
      <c r="C186" s="579"/>
      <c r="D186" s="579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8">
        <f t="shared" si="61"/>
        <v>0</v>
      </c>
      <c r="R186" s="585"/>
      <c r="S186" s="585"/>
    </row>
    <row r="187" spans="3:19" hidden="1" x14ac:dyDescent="0.25">
      <c r="C187" s="579"/>
      <c r="D187" s="579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8">
        <f t="shared" si="61"/>
        <v>0</v>
      </c>
      <c r="R187" s="585"/>
      <c r="S187" s="585"/>
    </row>
    <row r="188" spans="3:19" hidden="1" x14ac:dyDescent="0.25">
      <c r="C188" s="579" t="s">
        <v>226</v>
      </c>
      <c r="D188" s="579" t="s">
        <v>226</v>
      </c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8">
        <f t="shared" si="61"/>
        <v>0</v>
      </c>
      <c r="R188" s="585"/>
      <c r="S188" s="585"/>
    </row>
    <row r="189" spans="3:19" hidden="1" x14ac:dyDescent="0.25">
      <c r="C189" s="773" t="s">
        <v>212</v>
      </c>
      <c r="D189" s="774"/>
      <c r="E189" s="588">
        <f t="shared" ref="E189:P189" si="62">SUM(E174:E188)</f>
        <v>0</v>
      </c>
      <c r="F189" s="588">
        <f t="shared" si="62"/>
        <v>0</v>
      </c>
      <c r="G189" s="588">
        <f t="shared" si="62"/>
        <v>0</v>
      </c>
      <c r="H189" s="588">
        <f t="shared" si="62"/>
        <v>0</v>
      </c>
      <c r="I189" s="588">
        <f t="shared" si="62"/>
        <v>0</v>
      </c>
      <c r="J189" s="588">
        <f t="shared" si="62"/>
        <v>0</v>
      </c>
      <c r="K189" s="588">
        <f t="shared" si="62"/>
        <v>0</v>
      </c>
      <c r="L189" s="588">
        <f t="shared" si="62"/>
        <v>0</v>
      </c>
      <c r="M189" s="588">
        <f t="shared" si="62"/>
        <v>0</v>
      </c>
      <c r="N189" s="588">
        <f t="shared" si="62"/>
        <v>0</v>
      </c>
      <c r="O189" s="588">
        <f t="shared" si="62"/>
        <v>0</v>
      </c>
      <c r="P189" s="588">
        <f t="shared" si="62"/>
        <v>0</v>
      </c>
      <c r="Q189" s="588">
        <f t="shared" si="61"/>
        <v>0</v>
      </c>
      <c r="R189" s="585"/>
      <c r="S189" s="585"/>
    </row>
    <row r="190" spans="3:19" hidden="1" x14ac:dyDescent="0.25">
      <c r="C190" s="773" t="s">
        <v>213</v>
      </c>
      <c r="D190" s="774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8"/>
      <c r="R190" s="585"/>
      <c r="S190" s="585"/>
    </row>
    <row r="191" spans="3:19" hidden="1" x14ac:dyDescent="0.25">
      <c r="C191" s="579" t="s">
        <v>192</v>
      </c>
      <c r="D191" s="579" t="s">
        <v>193</v>
      </c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8">
        <f t="shared" ref="Q191:Q206" si="63">SUM(E191:P191)</f>
        <v>0</v>
      </c>
      <c r="R191" s="585"/>
      <c r="S191" s="585"/>
    </row>
    <row r="192" spans="3:19" hidden="1" x14ac:dyDescent="0.25">
      <c r="C192" s="579" t="s">
        <v>194</v>
      </c>
      <c r="D192" s="579" t="s">
        <v>195</v>
      </c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8">
        <f t="shared" si="63"/>
        <v>0</v>
      </c>
      <c r="R192" s="585"/>
      <c r="S192" s="585"/>
    </row>
    <row r="193" spans="3:19" hidden="1" x14ac:dyDescent="0.25">
      <c r="C193" s="579" t="s">
        <v>233</v>
      </c>
      <c r="D193" s="579" t="s">
        <v>197</v>
      </c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8">
        <f t="shared" si="63"/>
        <v>0</v>
      </c>
      <c r="R193" s="585"/>
      <c r="S193" s="585"/>
    </row>
    <row r="194" spans="3:19" hidden="1" x14ac:dyDescent="0.25">
      <c r="C194" s="579" t="s">
        <v>198</v>
      </c>
      <c r="D194" s="579" t="s">
        <v>199</v>
      </c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8">
        <f t="shared" si="63"/>
        <v>0</v>
      </c>
      <c r="R194" s="585"/>
      <c r="S194" s="585"/>
    </row>
    <row r="195" spans="3:19" hidden="1" x14ac:dyDescent="0.25">
      <c r="C195" s="579" t="s">
        <v>200</v>
      </c>
      <c r="D195" s="579" t="s">
        <v>201</v>
      </c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8">
        <f t="shared" si="63"/>
        <v>0</v>
      </c>
      <c r="R195" s="585"/>
      <c r="S195" s="585"/>
    </row>
    <row r="196" spans="3:19" hidden="1" x14ac:dyDescent="0.25">
      <c r="C196" s="579" t="s">
        <v>202</v>
      </c>
      <c r="D196" s="579" t="s">
        <v>203</v>
      </c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8">
        <f t="shared" si="63"/>
        <v>0</v>
      </c>
      <c r="R196" s="585"/>
      <c r="S196" s="585"/>
    </row>
    <row r="197" spans="3:19" hidden="1" x14ac:dyDescent="0.25">
      <c r="C197" s="579" t="s">
        <v>204</v>
      </c>
      <c r="D197" s="579" t="s">
        <v>205</v>
      </c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8">
        <f t="shared" si="63"/>
        <v>0</v>
      </c>
      <c r="R197" s="585"/>
      <c r="S197" s="585"/>
    </row>
    <row r="198" spans="3:19" hidden="1" x14ac:dyDescent="0.25">
      <c r="C198" s="579" t="s">
        <v>206</v>
      </c>
      <c r="D198" s="579" t="s">
        <v>207</v>
      </c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8">
        <f t="shared" si="63"/>
        <v>0</v>
      </c>
      <c r="R198" s="585"/>
      <c r="S198" s="585"/>
    </row>
    <row r="199" spans="3:19" hidden="1" x14ac:dyDescent="0.25">
      <c r="C199" s="579" t="s">
        <v>214</v>
      </c>
      <c r="D199" s="579" t="s">
        <v>187</v>
      </c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8">
        <f t="shared" si="63"/>
        <v>0</v>
      </c>
      <c r="R199" s="585"/>
      <c r="S199" s="585"/>
    </row>
    <row r="200" spans="3:19" hidden="1" x14ac:dyDescent="0.25">
      <c r="C200" s="579" t="s">
        <v>209</v>
      </c>
      <c r="D200" s="579" t="s">
        <v>210</v>
      </c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8">
        <f t="shared" si="63"/>
        <v>0</v>
      </c>
      <c r="R200" s="585"/>
      <c r="S200" s="585"/>
    </row>
    <row r="201" spans="3:19" hidden="1" x14ac:dyDescent="0.25">
      <c r="C201" s="579" t="s">
        <v>211</v>
      </c>
      <c r="D201" s="579" t="s">
        <v>189</v>
      </c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8">
        <f t="shared" si="63"/>
        <v>0</v>
      </c>
      <c r="R201" s="585"/>
      <c r="S201" s="585"/>
    </row>
    <row r="202" spans="3:19" hidden="1" x14ac:dyDescent="0.25">
      <c r="C202" s="579"/>
      <c r="D202" s="579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8">
        <f t="shared" si="63"/>
        <v>0</v>
      </c>
      <c r="R202" s="585"/>
      <c r="S202" s="585"/>
    </row>
    <row r="203" spans="3:19" hidden="1" x14ac:dyDescent="0.25">
      <c r="C203" s="579"/>
      <c r="D203" s="579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8">
        <f t="shared" si="63"/>
        <v>0</v>
      </c>
      <c r="R203" s="585"/>
      <c r="S203" s="585"/>
    </row>
    <row r="204" spans="3:19" hidden="1" x14ac:dyDescent="0.25">
      <c r="C204" s="579"/>
      <c r="D204" s="579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8">
        <f t="shared" si="63"/>
        <v>0</v>
      </c>
      <c r="R204" s="585"/>
      <c r="S204" s="585"/>
    </row>
    <row r="205" spans="3:19" hidden="1" x14ac:dyDescent="0.25">
      <c r="C205" s="579" t="s">
        <v>226</v>
      </c>
      <c r="D205" s="579" t="s">
        <v>226</v>
      </c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8">
        <f t="shared" si="63"/>
        <v>0</v>
      </c>
      <c r="R205" s="585"/>
      <c r="S205" s="585"/>
    </row>
    <row r="206" spans="3:19" hidden="1" x14ac:dyDescent="0.25">
      <c r="C206" s="773" t="s">
        <v>212</v>
      </c>
      <c r="D206" s="774"/>
      <c r="E206" s="588">
        <f t="shared" ref="E206:P206" si="64">SUM(E191:E205)</f>
        <v>0</v>
      </c>
      <c r="F206" s="588">
        <f t="shared" si="64"/>
        <v>0</v>
      </c>
      <c r="G206" s="588">
        <f t="shared" si="64"/>
        <v>0</v>
      </c>
      <c r="H206" s="588">
        <f t="shared" si="64"/>
        <v>0</v>
      </c>
      <c r="I206" s="588">
        <f t="shared" si="64"/>
        <v>0</v>
      </c>
      <c r="J206" s="588">
        <f t="shared" si="64"/>
        <v>0</v>
      </c>
      <c r="K206" s="588">
        <f t="shared" si="64"/>
        <v>0</v>
      </c>
      <c r="L206" s="588">
        <f t="shared" si="64"/>
        <v>0</v>
      </c>
      <c r="M206" s="588">
        <f t="shared" si="64"/>
        <v>0</v>
      </c>
      <c r="N206" s="588">
        <f t="shared" si="64"/>
        <v>0</v>
      </c>
      <c r="O206" s="588">
        <f t="shared" si="64"/>
        <v>0</v>
      </c>
      <c r="P206" s="588">
        <f t="shared" si="64"/>
        <v>0</v>
      </c>
      <c r="Q206" s="588">
        <f t="shared" si="63"/>
        <v>0</v>
      </c>
      <c r="R206" s="585"/>
      <c r="S206" s="585"/>
    </row>
    <row r="207" spans="3:19" hidden="1" x14ac:dyDescent="0.25">
      <c r="C207" s="773" t="s">
        <v>215</v>
      </c>
      <c r="D207" s="774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8"/>
      <c r="R207" s="585"/>
      <c r="S207" s="585"/>
    </row>
    <row r="208" spans="3:19" hidden="1" x14ac:dyDescent="0.25">
      <c r="C208" s="579" t="s">
        <v>192</v>
      </c>
      <c r="D208" s="579" t="s">
        <v>193</v>
      </c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8">
        <f t="shared" ref="Q208:Q226" si="65">SUM(E208:P208)</f>
        <v>0</v>
      </c>
      <c r="R208" s="585"/>
      <c r="S208" s="585"/>
    </row>
    <row r="209" spans="3:19" hidden="1" x14ac:dyDescent="0.25">
      <c r="C209" s="579" t="s">
        <v>194</v>
      </c>
      <c r="D209" s="579" t="s">
        <v>195</v>
      </c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8">
        <f t="shared" si="65"/>
        <v>0</v>
      </c>
      <c r="R209" s="585"/>
      <c r="S209" s="585"/>
    </row>
    <row r="210" spans="3:19" hidden="1" x14ac:dyDescent="0.25">
      <c r="C210" s="579" t="s">
        <v>233</v>
      </c>
      <c r="D210" s="579" t="s">
        <v>197</v>
      </c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8">
        <f t="shared" si="65"/>
        <v>0</v>
      </c>
      <c r="R210" s="585"/>
      <c r="S210" s="585"/>
    </row>
    <row r="211" spans="3:19" hidden="1" x14ac:dyDescent="0.25">
      <c r="C211" s="579" t="s">
        <v>198</v>
      </c>
      <c r="D211" s="579" t="s">
        <v>199</v>
      </c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8">
        <f t="shared" si="65"/>
        <v>0</v>
      </c>
      <c r="R211" s="585"/>
      <c r="S211" s="585"/>
    </row>
    <row r="212" spans="3:19" hidden="1" x14ac:dyDescent="0.25">
      <c r="C212" s="579" t="s">
        <v>200</v>
      </c>
      <c r="D212" s="579" t="s">
        <v>201</v>
      </c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8">
        <f t="shared" si="65"/>
        <v>0</v>
      </c>
      <c r="R212" s="585"/>
      <c r="S212" s="585"/>
    </row>
    <row r="213" spans="3:19" hidden="1" x14ac:dyDescent="0.25">
      <c r="C213" s="579" t="s">
        <v>202</v>
      </c>
      <c r="D213" s="579" t="s">
        <v>234</v>
      </c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8">
        <f t="shared" si="65"/>
        <v>0</v>
      </c>
      <c r="R213" s="585"/>
      <c r="S213" s="585"/>
    </row>
    <row r="214" spans="3:19" hidden="1" x14ac:dyDescent="0.25">
      <c r="C214" s="579" t="s">
        <v>204</v>
      </c>
      <c r="D214" s="579" t="s">
        <v>216</v>
      </c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8">
        <f t="shared" si="65"/>
        <v>0</v>
      </c>
      <c r="R214" s="585"/>
      <c r="S214" s="585"/>
    </row>
    <row r="215" spans="3:19" hidden="1" x14ac:dyDescent="0.25">
      <c r="C215" s="579" t="s">
        <v>217</v>
      </c>
      <c r="D215" s="579" t="s">
        <v>218</v>
      </c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8">
        <f t="shared" si="65"/>
        <v>0</v>
      </c>
      <c r="R215" s="585"/>
      <c r="S215" s="585"/>
    </row>
    <row r="216" spans="3:19" hidden="1" x14ac:dyDescent="0.25">
      <c r="C216" s="579" t="s">
        <v>252</v>
      </c>
      <c r="D216" s="579" t="s">
        <v>236</v>
      </c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8">
        <f t="shared" si="65"/>
        <v>0</v>
      </c>
      <c r="R216" s="585"/>
      <c r="S216" s="585"/>
    </row>
    <row r="217" spans="3:19" hidden="1" x14ac:dyDescent="0.25">
      <c r="C217" s="579" t="s">
        <v>206</v>
      </c>
      <c r="D217" s="579" t="s">
        <v>207</v>
      </c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8">
        <f t="shared" si="65"/>
        <v>0</v>
      </c>
      <c r="R217" s="585"/>
      <c r="S217" s="585"/>
    </row>
    <row r="218" spans="3:19" hidden="1" x14ac:dyDescent="0.25">
      <c r="C218" s="579" t="s">
        <v>208</v>
      </c>
      <c r="D218" s="579" t="s">
        <v>187</v>
      </c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8">
        <f t="shared" si="65"/>
        <v>0</v>
      </c>
      <c r="R218" s="585"/>
      <c r="S218" s="585"/>
    </row>
    <row r="219" spans="3:19" hidden="1" x14ac:dyDescent="0.25">
      <c r="C219" s="579" t="s">
        <v>209</v>
      </c>
      <c r="D219" s="579" t="s">
        <v>210</v>
      </c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8">
        <f t="shared" si="65"/>
        <v>0</v>
      </c>
      <c r="R219" s="585"/>
      <c r="S219" s="585"/>
    </row>
    <row r="220" spans="3:19" hidden="1" x14ac:dyDescent="0.25">
      <c r="C220" s="579" t="s">
        <v>211</v>
      </c>
      <c r="D220" s="579" t="s">
        <v>189</v>
      </c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8">
        <f t="shared" si="65"/>
        <v>0</v>
      </c>
      <c r="R220" s="585"/>
      <c r="S220" s="585"/>
    </row>
    <row r="221" spans="3:19" hidden="1" x14ac:dyDescent="0.25">
      <c r="C221" s="579"/>
      <c r="D221" s="579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8">
        <f t="shared" si="65"/>
        <v>0</v>
      </c>
      <c r="R221" s="585"/>
      <c r="S221" s="585"/>
    </row>
    <row r="222" spans="3:19" hidden="1" x14ac:dyDescent="0.25">
      <c r="C222" s="579"/>
      <c r="D222" s="579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8">
        <f t="shared" si="65"/>
        <v>0</v>
      </c>
      <c r="R222" s="585"/>
      <c r="S222" s="585"/>
    </row>
    <row r="223" spans="3:19" hidden="1" x14ac:dyDescent="0.25">
      <c r="C223" s="579" t="s">
        <v>226</v>
      </c>
      <c r="D223" s="579" t="s">
        <v>226</v>
      </c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8">
        <f t="shared" si="65"/>
        <v>0</v>
      </c>
      <c r="R223" s="585"/>
      <c r="S223" s="585"/>
    </row>
    <row r="224" spans="3:19" hidden="1" x14ac:dyDescent="0.25">
      <c r="C224" s="773" t="s">
        <v>212</v>
      </c>
      <c r="D224" s="774"/>
      <c r="E224" s="588">
        <f t="shared" ref="E224:P224" si="66">SUM(E208:E223)</f>
        <v>0</v>
      </c>
      <c r="F224" s="588">
        <f t="shared" si="66"/>
        <v>0</v>
      </c>
      <c r="G224" s="588">
        <f t="shared" si="66"/>
        <v>0</v>
      </c>
      <c r="H224" s="588">
        <f t="shared" si="66"/>
        <v>0</v>
      </c>
      <c r="I224" s="588">
        <f t="shared" si="66"/>
        <v>0</v>
      </c>
      <c r="J224" s="588">
        <f t="shared" si="66"/>
        <v>0</v>
      </c>
      <c r="K224" s="588">
        <f t="shared" si="66"/>
        <v>0</v>
      </c>
      <c r="L224" s="588">
        <f t="shared" si="66"/>
        <v>0</v>
      </c>
      <c r="M224" s="588">
        <f t="shared" si="66"/>
        <v>0</v>
      </c>
      <c r="N224" s="588">
        <f t="shared" si="66"/>
        <v>0</v>
      </c>
      <c r="O224" s="588">
        <f t="shared" si="66"/>
        <v>0</v>
      </c>
      <c r="P224" s="588">
        <f t="shared" si="66"/>
        <v>0</v>
      </c>
      <c r="Q224" s="588">
        <f t="shared" si="65"/>
        <v>0</v>
      </c>
      <c r="R224" s="585"/>
      <c r="S224" s="585"/>
    </row>
    <row r="225" spans="3:19" hidden="1" x14ac:dyDescent="0.25">
      <c r="C225" s="773" t="s">
        <v>219</v>
      </c>
      <c r="D225" s="774"/>
      <c r="E225" s="588">
        <f t="shared" ref="E225:P225" si="67">E224+E206+E189</f>
        <v>0</v>
      </c>
      <c r="F225" s="588">
        <f t="shared" si="67"/>
        <v>0</v>
      </c>
      <c r="G225" s="588">
        <f t="shared" si="67"/>
        <v>0</v>
      </c>
      <c r="H225" s="588">
        <f t="shared" si="67"/>
        <v>0</v>
      </c>
      <c r="I225" s="588">
        <f t="shared" si="67"/>
        <v>0</v>
      </c>
      <c r="J225" s="588">
        <f t="shared" si="67"/>
        <v>0</v>
      </c>
      <c r="K225" s="588">
        <f t="shared" si="67"/>
        <v>0</v>
      </c>
      <c r="L225" s="588">
        <f t="shared" si="67"/>
        <v>0</v>
      </c>
      <c r="M225" s="588">
        <f t="shared" si="67"/>
        <v>0</v>
      </c>
      <c r="N225" s="588">
        <f t="shared" si="67"/>
        <v>0</v>
      </c>
      <c r="O225" s="588">
        <f t="shared" si="67"/>
        <v>0</v>
      </c>
      <c r="P225" s="588">
        <f t="shared" si="67"/>
        <v>0</v>
      </c>
      <c r="Q225" s="588">
        <f t="shared" si="65"/>
        <v>0</v>
      </c>
      <c r="R225" s="585"/>
      <c r="S225" s="585"/>
    </row>
    <row r="226" spans="3:19" hidden="1" x14ac:dyDescent="0.25">
      <c r="C226" s="773" t="s">
        <v>220</v>
      </c>
      <c r="D226" s="774"/>
      <c r="E226" s="588">
        <f t="shared" ref="E226:P226" si="68">E225+E172</f>
        <v>624.1913486553259</v>
      </c>
      <c r="F226" s="588">
        <f t="shared" si="68"/>
        <v>314.57673899999998</v>
      </c>
      <c r="G226" s="588">
        <f t="shared" si="68"/>
        <v>280.79460809699998</v>
      </c>
      <c r="H226" s="588">
        <f t="shared" si="68"/>
        <v>692.3452537154966</v>
      </c>
      <c r="I226" s="588">
        <f t="shared" si="68"/>
        <v>463.42997005184077</v>
      </c>
      <c r="J226" s="588">
        <f t="shared" si="68"/>
        <v>603.20720335099998</v>
      </c>
      <c r="K226" s="588">
        <f t="shared" si="68"/>
        <v>378.06094000000007</v>
      </c>
      <c r="L226" s="588">
        <f t="shared" si="68"/>
        <v>283.10512799999998</v>
      </c>
      <c r="M226" s="588">
        <f t="shared" si="68"/>
        <v>749.01518999999985</v>
      </c>
      <c r="N226" s="588">
        <f t="shared" si="68"/>
        <v>1057.9919984700002</v>
      </c>
      <c r="O226" s="588">
        <f t="shared" si="68"/>
        <v>946.61866032589</v>
      </c>
      <c r="P226" s="588">
        <f t="shared" si="68"/>
        <v>1510.68239857411</v>
      </c>
      <c r="Q226" s="588">
        <f t="shared" si="65"/>
        <v>7904.0194382406644</v>
      </c>
      <c r="R226" s="585"/>
      <c r="S226" s="585"/>
    </row>
    <row r="227" spans="3:19" hidden="1" x14ac:dyDescent="0.25">
      <c r="C227" s="573"/>
      <c r="D227" s="573"/>
      <c r="E227" s="585"/>
      <c r="F227" s="585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5"/>
    </row>
    <row r="228" spans="3:19" hidden="1" x14ac:dyDescent="0.25">
      <c r="C228" s="574"/>
      <c r="E228" s="585"/>
      <c r="F228" s="585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6" t="s">
        <v>229</v>
      </c>
      <c r="R228" s="585"/>
      <c r="S228" s="585"/>
    </row>
    <row r="229" spans="3:19" hidden="1" x14ac:dyDescent="0.25">
      <c r="C229" s="776" t="s">
        <v>163</v>
      </c>
      <c r="D229" s="776"/>
      <c r="E229" s="775" t="s">
        <v>264</v>
      </c>
      <c r="F229" s="775"/>
      <c r="G229" s="775"/>
      <c r="H229" s="775"/>
      <c r="I229" s="775"/>
      <c r="J229" s="775"/>
      <c r="K229" s="775"/>
      <c r="L229" s="775"/>
      <c r="M229" s="775"/>
      <c r="N229" s="775"/>
      <c r="O229" s="775"/>
      <c r="P229" s="775"/>
      <c r="Q229" s="775"/>
      <c r="R229" s="585"/>
      <c r="S229" s="585"/>
    </row>
    <row r="230" spans="3:19" hidden="1" x14ac:dyDescent="0.25">
      <c r="C230" s="776"/>
      <c r="D230" s="776"/>
      <c r="E230" s="587" t="s">
        <v>239</v>
      </c>
      <c r="F230" s="587" t="s">
        <v>240</v>
      </c>
      <c r="G230" s="587" t="s">
        <v>241</v>
      </c>
      <c r="H230" s="587" t="s">
        <v>242</v>
      </c>
      <c r="I230" s="587" t="s">
        <v>243</v>
      </c>
      <c r="J230" s="587" t="s">
        <v>244</v>
      </c>
      <c r="K230" s="587" t="s">
        <v>245</v>
      </c>
      <c r="L230" s="587" t="s">
        <v>246</v>
      </c>
      <c r="M230" s="587" t="s">
        <v>247</v>
      </c>
      <c r="N230" s="587" t="s">
        <v>248</v>
      </c>
      <c r="O230" s="587" t="s">
        <v>249</v>
      </c>
      <c r="P230" s="587" t="s">
        <v>250</v>
      </c>
      <c r="Q230" s="587" t="s">
        <v>251</v>
      </c>
      <c r="R230" s="585"/>
      <c r="S230" s="585"/>
    </row>
    <row r="231" spans="3:19" hidden="1" x14ac:dyDescent="0.25">
      <c r="C231" s="773" t="s">
        <v>171</v>
      </c>
      <c r="D231" s="774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8"/>
      <c r="R231" s="585"/>
      <c r="S231" s="585"/>
    </row>
    <row r="232" spans="3:19" hidden="1" x14ac:dyDescent="0.25">
      <c r="C232" s="579" t="s">
        <v>172</v>
      </c>
      <c r="D232" s="579" t="s">
        <v>173</v>
      </c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8">
        <f t="shared" ref="Q232:Q245" si="69">SUM(E232:P232)</f>
        <v>0</v>
      </c>
      <c r="R232" s="585"/>
      <c r="S232" s="585"/>
    </row>
    <row r="233" spans="3:19" hidden="1" x14ac:dyDescent="0.25">
      <c r="C233" s="579" t="s">
        <v>174</v>
      </c>
      <c r="D233" s="579" t="s">
        <v>175</v>
      </c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8">
        <f t="shared" si="69"/>
        <v>0</v>
      </c>
      <c r="R233" s="585"/>
      <c r="S233" s="585"/>
    </row>
    <row r="234" spans="3:19" hidden="1" x14ac:dyDescent="0.25">
      <c r="C234" s="579" t="s">
        <v>176</v>
      </c>
      <c r="D234" s="579" t="s">
        <v>177</v>
      </c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8">
        <f t="shared" si="69"/>
        <v>0</v>
      </c>
      <c r="R234" s="585"/>
      <c r="S234" s="585"/>
    </row>
    <row r="235" spans="3:19" hidden="1" x14ac:dyDescent="0.25">
      <c r="C235" s="579" t="s">
        <v>178</v>
      </c>
      <c r="D235" s="579" t="s">
        <v>179</v>
      </c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8">
        <f t="shared" si="69"/>
        <v>0</v>
      </c>
      <c r="R235" s="585"/>
      <c r="S235" s="585"/>
    </row>
    <row r="236" spans="3:19" hidden="1" x14ac:dyDescent="0.25">
      <c r="C236" s="579" t="s">
        <v>180</v>
      </c>
      <c r="D236" s="579" t="s">
        <v>181</v>
      </c>
      <c r="E236" s="583">
        <v>712.65321404124018</v>
      </c>
      <c r="F236" s="583">
        <v>246.541964529018</v>
      </c>
      <c r="G236" s="583">
        <v>202.74297569999996</v>
      </c>
      <c r="H236" s="583">
        <v>553.61921999999993</v>
      </c>
      <c r="I236" s="583">
        <v>777.05700000000013</v>
      </c>
      <c r="J236" s="583">
        <v>445.22429999999991</v>
      </c>
      <c r="K236" s="583">
        <v>644.33299999999986</v>
      </c>
      <c r="L236" s="583">
        <v>246.53799999999998</v>
      </c>
      <c r="M236" s="583">
        <v>598.60400000000004</v>
      </c>
      <c r="N236" s="583">
        <v>763.60999999999979</v>
      </c>
      <c r="O236" s="583">
        <v>868.09800000000007</v>
      </c>
      <c r="P236" s="583">
        <v>1360.4870000000001</v>
      </c>
      <c r="Q236" s="588">
        <f t="shared" si="69"/>
        <v>7419.5086742702579</v>
      </c>
      <c r="R236" s="585"/>
      <c r="S236" s="585"/>
    </row>
    <row r="237" spans="3:19" hidden="1" x14ac:dyDescent="0.25">
      <c r="C237" s="579" t="s">
        <v>182</v>
      </c>
      <c r="D237" s="579" t="s">
        <v>183</v>
      </c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8">
        <f t="shared" si="69"/>
        <v>0</v>
      </c>
      <c r="R237" s="585"/>
      <c r="S237" s="585"/>
    </row>
    <row r="238" spans="3:19" hidden="1" x14ac:dyDescent="0.25">
      <c r="C238" s="579" t="s">
        <v>184</v>
      </c>
      <c r="D238" s="579" t="s">
        <v>185</v>
      </c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8">
        <f t="shared" si="69"/>
        <v>0</v>
      </c>
      <c r="R238" s="585"/>
      <c r="S238" s="585"/>
    </row>
    <row r="239" spans="3:19" hidden="1" x14ac:dyDescent="0.25">
      <c r="C239" s="579" t="s">
        <v>186</v>
      </c>
      <c r="D239" s="579" t="s">
        <v>187</v>
      </c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8">
        <f t="shared" si="69"/>
        <v>0</v>
      </c>
      <c r="R239" s="585"/>
      <c r="S239" s="585"/>
    </row>
    <row r="240" spans="3:19" hidden="1" x14ac:dyDescent="0.25">
      <c r="C240" s="579" t="s">
        <v>188</v>
      </c>
      <c r="D240" s="579" t="s">
        <v>189</v>
      </c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8">
        <f t="shared" si="69"/>
        <v>0</v>
      </c>
      <c r="R240" s="585"/>
      <c r="S240" s="585"/>
    </row>
    <row r="241" spans="3:19" hidden="1" x14ac:dyDescent="0.25">
      <c r="C241" s="579"/>
      <c r="D241" s="579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8">
        <f t="shared" si="69"/>
        <v>0</v>
      </c>
      <c r="R241" s="585"/>
      <c r="S241" s="585"/>
    </row>
    <row r="242" spans="3:19" hidden="1" x14ac:dyDescent="0.25">
      <c r="C242" s="579"/>
      <c r="D242" s="579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8">
        <f t="shared" si="69"/>
        <v>0</v>
      </c>
      <c r="R242" s="585"/>
      <c r="S242" s="585"/>
    </row>
    <row r="243" spans="3:19" hidden="1" x14ac:dyDescent="0.25">
      <c r="C243" s="579"/>
      <c r="D243" s="579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8">
        <f t="shared" si="69"/>
        <v>0</v>
      </c>
      <c r="R243" s="585"/>
      <c r="S243" s="585"/>
    </row>
    <row r="244" spans="3:19" hidden="1" x14ac:dyDescent="0.25">
      <c r="C244" s="579" t="s">
        <v>226</v>
      </c>
      <c r="D244" s="579" t="s">
        <v>226</v>
      </c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8">
        <f t="shared" si="69"/>
        <v>0</v>
      </c>
      <c r="R244" s="585"/>
      <c r="S244" s="585"/>
    </row>
    <row r="245" spans="3:19" hidden="1" x14ac:dyDescent="0.25">
      <c r="C245" s="773" t="s">
        <v>190</v>
      </c>
      <c r="D245" s="774"/>
      <c r="E245" s="588">
        <f t="shared" ref="E245:P245" si="70">SUM(E232:E244)</f>
        <v>712.65321404124018</v>
      </c>
      <c r="F245" s="588">
        <f t="shared" si="70"/>
        <v>246.541964529018</v>
      </c>
      <c r="G245" s="588">
        <f t="shared" si="70"/>
        <v>202.74297569999996</v>
      </c>
      <c r="H245" s="588">
        <f t="shared" si="70"/>
        <v>553.61921999999993</v>
      </c>
      <c r="I245" s="588">
        <f t="shared" si="70"/>
        <v>777.05700000000013</v>
      </c>
      <c r="J245" s="588">
        <f t="shared" si="70"/>
        <v>445.22429999999991</v>
      </c>
      <c r="K245" s="588">
        <f t="shared" si="70"/>
        <v>644.33299999999986</v>
      </c>
      <c r="L245" s="588">
        <f t="shared" si="70"/>
        <v>246.53799999999998</v>
      </c>
      <c r="M245" s="588">
        <f t="shared" si="70"/>
        <v>598.60400000000004</v>
      </c>
      <c r="N245" s="588">
        <f t="shared" si="70"/>
        <v>763.60999999999979</v>
      </c>
      <c r="O245" s="588">
        <f t="shared" si="70"/>
        <v>868.09800000000007</v>
      </c>
      <c r="P245" s="588">
        <f t="shared" si="70"/>
        <v>1360.4870000000001</v>
      </c>
      <c r="Q245" s="588">
        <f t="shared" si="69"/>
        <v>7419.5086742702579</v>
      </c>
      <c r="R245" s="585"/>
      <c r="S245" s="585"/>
    </row>
    <row r="246" spans="3:19" hidden="1" x14ac:dyDescent="0.25">
      <c r="C246" s="773" t="s">
        <v>191</v>
      </c>
      <c r="D246" s="774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8"/>
      <c r="R246" s="585"/>
      <c r="S246" s="585"/>
    </row>
    <row r="247" spans="3:19" hidden="1" x14ac:dyDescent="0.25">
      <c r="C247" s="579" t="s">
        <v>192</v>
      </c>
      <c r="D247" s="579" t="s">
        <v>193</v>
      </c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8">
        <f t="shared" ref="Q247:Q262" si="71">SUM(E247:P247)</f>
        <v>0</v>
      </c>
      <c r="R247" s="585"/>
      <c r="S247" s="585"/>
    </row>
    <row r="248" spans="3:19" hidden="1" x14ac:dyDescent="0.25">
      <c r="C248" s="579" t="s">
        <v>194</v>
      </c>
      <c r="D248" s="579" t="s">
        <v>195</v>
      </c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8">
        <f t="shared" si="71"/>
        <v>0</v>
      </c>
      <c r="R248" s="585"/>
      <c r="S248" s="585"/>
    </row>
    <row r="249" spans="3:19" hidden="1" x14ac:dyDescent="0.25">
      <c r="C249" s="579" t="s">
        <v>233</v>
      </c>
      <c r="D249" s="579" t="s">
        <v>197</v>
      </c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8">
        <f t="shared" si="71"/>
        <v>0</v>
      </c>
      <c r="R249" s="585"/>
      <c r="S249" s="585"/>
    </row>
    <row r="250" spans="3:19" hidden="1" x14ac:dyDescent="0.25">
      <c r="C250" s="579" t="s">
        <v>198</v>
      </c>
      <c r="D250" s="579" t="s">
        <v>199</v>
      </c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8">
        <f t="shared" si="71"/>
        <v>0</v>
      </c>
      <c r="R250" s="585"/>
      <c r="S250" s="585"/>
    </row>
    <row r="251" spans="3:19" hidden="1" x14ac:dyDescent="0.25">
      <c r="C251" s="579" t="s">
        <v>200</v>
      </c>
      <c r="D251" s="579" t="s">
        <v>201</v>
      </c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8">
        <f t="shared" si="71"/>
        <v>0</v>
      </c>
      <c r="R251" s="585"/>
      <c r="S251" s="585"/>
    </row>
    <row r="252" spans="3:19" hidden="1" x14ac:dyDescent="0.25">
      <c r="C252" s="579" t="s">
        <v>202</v>
      </c>
      <c r="D252" s="579" t="s">
        <v>203</v>
      </c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8">
        <f t="shared" si="71"/>
        <v>0</v>
      </c>
      <c r="R252" s="585"/>
      <c r="S252" s="585"/>
    </row>
    <row r="253" spans="3:19" hidden="1" x14ac:dyDescent="0.25">
      <c r="C253" s="579" t="s">
        <v>204</v>
      </c>
      <c r="D253" s="579" t="s">
        <v>205</v>
      </c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8">
        <f t="shared" si="71"/>
        <v>0</v>
      </c>
      <c r="R253" s="585"/>
      <c r="S253" s="585"/>
    </row>
    <row r="254" spans="3:19" hidden="1" x14ac:dyDescent="0.25">
      <c r="C254" s="579" t="s">
        <v>206</v>
      </c>
      <c r="D254" s="579" t="s">
        <v>207</v>
      </c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8">
        <f t="shared" si="71"/>
        <v>0</v>
      </c>
      <c r="R254" s="585"/>
      <c r="S254" s="585"/>
    </row>
    <row r="255" spans="3:19" hidden="1" x14ac:dyDescent="0.25">
      <c r="C255" s="579" t="s">
        <v>208</v>
      </c>
      <c r="D255" s="579" t="s">
        <v>187</v>
      </c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8">
        <f t="shared" si="71"/>
        <v>0</v>
      </c>
      <c r="R255" s="585"/>
      <c r="S255" s="585"/>
    </row>
    <row r="256" spans="3:19" hidden="1" x14ac:dyDescent="0.25">
      <c r="C256" s="579" t="s">
        <v>209</v>
      </c>
      <c r="D256" s="579" t="s">
        <v>210</v>
      </c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8">
        <f t="shared" si="71"/>
        <v>0</v>
      </c>
      <c r="R256" s="585"/>
      <c r="S256" s="585"/>
    </row>
    <row r="257" spans="3:19" hidden="1" x14ac:dyDescent="0.25">
      <c r="C257" s="579" t="s">
        <v>211</v>
      </c>
      <c r="D257" s="579" t="s">
        <v>189</v>
      </c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8">
        <f t="shared" si="71"/>
        <v>0</v>
      </c>
      <c r="R257" s="585"/>
      <c r="S257" s="585"/>
    </row>
    <row r="258" spans="3:19" hidden="1" x14ac:dyDescent="0.25">
      <c r="C258" s="579"/>
      <c r="D258" s="579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8">
        <f t="shared" si="71"/>
        <v>0</v>
      </c>
      <c r="R258" s="585"/>
      <c r="S258" s="585"/>
    </row>
    <row r="259" spans="3:19" hidden="1" x14ac:dyDescent="0.25">
      <c r="C259" s="579"/>
      <c r="D259" s="579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8">
        <f t="shared" si="71"/>
        <v>0</v>
      </c>
      <c r="R259" s="585"/>
      <c r="S259" s="585"/>
    </row>
    <row r="260" spans="3:19" hidden="1" x14ac:dyDescent="0.25">
      <c r="C260" s="579"/>
      <c r="D260" s="579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8">
        <f t="shared" si="71"/>
        <v>0</v>
      </c>
      <c r="R260" s="585"/>
      <c r="S260" s="585"/>
    </row>
    <row r="261" spans="3:19" hidden="1" x14ac:dyDescent="0.25">
      <c r="C261" s="579" t="s">
        <v>226</v>
      </c>
      <c r="D261" s="579" t="s">
        <v>226</v>
      </c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8">
        <f t="shared" si="71"/>
        <v>0</v>
      </c>
      <c r="R261" s="585"/>
      <c r="S261" s="585"/>
    </row>
    <row r="262" spans="3:19" hidden="1" x14ac:dyDescent="0.25">
      <c r="C262" s="773" t="s">
        <v>212</v>
      </c>
      <c r="D262" s="774"/>
      <c r="E262" s="588">
        <f t="shared" ref="E262:P262" si="72">SUM(E247:E261)</f>
        <v>0</v>
      </c>
      <c r="F262" s="588">
        <f t="shared" si="72"/>
        <v>0</v>
      </c>
      <c r="G262" s="588">
        <f t="shared" si="72"/>
        <v>0</v>
      </c>
      <c r="H262" s="588">
        <f t="shared" si="72"/>
        <v>0</v>
      </c>
      <c r="I262" s="588">
        <f t="shared" si="72"/>
        <v>0</v>
      </c>
      <c r="J262" s="588">
        <f t="shared" si="72"/>
        <v>0</v>
      </c>
      <c r="K262" s="588">
        <f t="shared" si="72"/>
        <v>0</v>
      </c>
      <c r="L262" s="588">
        <f t="shared" si="72"/>
        <v>0</v>
      </c>
      <c r="M262" s="588">
        <f t="shared" si="72"/>
        <v>0</v>
      </c>
      <c r="N262" s="588">
        <f t="shared" si="72"/>
        <v>0</v>
      </c>
      <c r="O262" s="588">
        <f t="shared" si="72"/>
        <v>0</v>
      </c>
      <c r="P262" s="588">
        <f t="shared" si="72"/>
        <v>0</v>
      </c>
      <c r="Q262" s="588">
        <f t="shared" si="71"/>
        <v>0</v>
      </c>
      <c r="R262" s="585"/>
      <c r="S262" s="585"/>
    </row>
    <row r="263" spans="3:19" hidden="1" x14ac:dyDescent="0.25">
      <c r="C263" s="773" t="s">
        <v>213</v>
      </c>
      <c r="D263" s="774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8"/>
      <c r="R263" s="585"/>
      <c r="S263" s="585"/>
    </row>
    <row r="264" spans="3:19" hidden="1" x14ac:dyDescent="0.25">
      <c r="C264" s="579" t="s">
        <v>192</v>
      </c>
      <c r="D264" s="579" t="s">
        <v>193</v>
      </c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8">
        <f t="shared" ref="Q264:Q279" si="73">SUM(E264:P264)</f>
        <v>0</v>
      </c>
      <c r="R264" s="585"/>
      <c r="S264" s="585"/>
    </row>
    <row r="265" spans="3:19" hidden="1" x14ac:dyDescent="0.25">
      <c r="C265" s="579" t="s">
        <v>194</v>
      </c>
      <c r="D265" s="579" t="s">
        <v>195</v>
      </c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8">
        <f t="shared" si="73"/>
        <v>0</v>
      </c>
      <c r="R265" s="585"/>
      <c r="S265" s="585"/>
    </row>
    <row r="266" spans="3:19" hidden="1" x14ac:dyDescent="0.25">
      <c r="C266" s="579" t="s">
        <v>233</v>
      </c>
      <c r="D266" s="579" t="s">
        <v>197</v>
      </c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8">
        <f t="shared" si="73"/>
        <v>0</v>
      </c>
      <c r="R266" s="585"/>
      <c r="S266" s="585"/>
    </row>
    <row r="267" spans="3:19" hidden="1" x14ac:dyDescent="0.25">
      <c r="C267" s="579" t="s">
        <v>198</v>
      </c>
      <c r="D267" s="579" t="s">
        <v>199</v>
      </c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8">
        <f t="shared" si="73"/>
        <v>0</v>
      </c>
      <c r="R267" s="585"/>
      <c r="S267" s="585"/>
    </row>
    <row r="268" spans="3:19" hidden="1" x14ac:dyDescent="0.25">
      <c r="C268" s="579" t="s">
        <v>200</v>
      </c>
      <c r="D268" s="579" t="s">
        <v>201</v>
      </c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8">
        <f t="shared" si="73"/>
        <v>0</v>
      </c>
      <c r="R268" s="585"/>
      <c r="S268" s="585"/>
    </row>
    <row r="269" spans="3:19" hidden="1" x14ac:dyDescent="0.25">
      <c r="C269" s="579" t="s">
        <v>202</v>
      </c>
      <c r="D269" s="579" t="s">
        <v>203</v>
      </c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8">
        <f t="shared" si="73"/>
        <v>0</v>
      </c>
      <c r="R269" s="585"/>
      <c r="S269" s="585"/>
    </row>
    <row r="270" spans="3:19" hidden="1" x14ac:dyDescent="0.25">
      <c r="C270" s="579" t="s">
        <v>204</v>
      </c>
      <c r="D270" s="579" t="s">
        <v>205</v>
      </c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8">
        <f t="shared" si="73"/>
        <v>0</v>
      </c>
      <c r="R270" s="585"/>
      <c r="S270" s="585"/>
    </row>
    <row r="271" spans="3:19" hidden="1" x14ac:dyDescent="0.25">
      <c r="C271" s="579" t="s">
        <v>206</v>
      </c>
      <c r="D271" s="579" t="s">
        <v>207</v>
      </c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8">
        <f t="shared" si="73"/>
        <v>0</v>
      </c>
      <c r="R271" s="585"/>
      <c r="S271" s="585"/>
    </row>
    <row r="272" spans="3:19" hidden="1" x14ac:dyDescent="0.25">
      <c r="C272" s="579" t="s">
        <v>214</v>
      </c>
      <c r="D272" s="579" t="s">
        <v>187</v>
      </c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8">
        <f t="shared" si="73"/>
        <v>0</v>
      </c>
      <c r="R272" s="585"/>
      <c r="S272" s="585"/>
    </row>
    <row r="273" spans="3:19" hidden="1" x14ac:dyDescent="0.25">
      <c r="C273" s="579" t="s">
        <v>209</v>
      </c>
      <c r="D273" s="579" t="s">
        <v>210</v>
      </c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8">
        <f t="shared" si="73"/>
        <v>0</v>
      </c>
      <c r="R273" s="585"/>
      <c r="S273" s="585"/>
    </row>
    <row r="274" spans="3:19" hidden="1" x14ac:dyDescent="0.25">
      <c r="C274" s="579" t="s">
        <v>211</v>
      </c>
      <c r="D274" s="579" t="s">
        <v>189</v>
      </c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8">
        <f t="shared" si="73"/>
        <v>0</v>
      </c>
      <c r="R274" s="585"/>
      <c r="S274" s="585"/>
    </row>
    <row r="275" spans="3:19" hidden="1" x14ac:dyDescent="0.25">
      <c r="C275" s="579"/>
      <c r="D275" s="579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8">
        <f t="shared" si="73"/>
        <v>0</v>
      </c>
      <c r="R275" s="585"/>
      <c r="S275" s="585"/>
    </row>
    <row r="276" spans="3:19" hidden="1" x14ac:dyDescent="0.25">
      <c r="C276" s="579"/>
      <c r="D276" s="579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8">
        <f t="shared" si="73"/>
        <v>0</v>
      </c>
      <c r="R276" s="585"/>
      <c r="S276" s="585"/>
    </row>
    <row r="277" spans="3:19" hidden="1" x14ac:dyDescent="0.25">
      <c r="C277" s="579"/>
      <c r="D277" s="579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8">
        <f t="shared" si="73"/>
        <v>0</v>
      </c>
      <c r="R277" s="585"/>
      <c r="S277" s="585"/>
    </row>
    <row r="278" spans="3:19" hidden="1" x14ac:dyDescent="0.25">
      <c r="C278" s="579" t="s">
        <v>226</v>
      </c>
      <c r="D278" s="579" t="s">
        <v>226</v>
      </c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8">
        <f t="shared" si="73"/>
        <v>0</v>
      </c>
      <c r="R278" s="585"/>
      <c r="S278" s="585"/>
    </row>
    <row r="279" spans="3:19" hidden="1" x14ac:dyDescent="0.25">
      <c r="C279" s="773" t="s">
        <v>212</v>
      </c>
      <c r="D279" s="774"/>
      <c r="E279" s="588">
        <f t="shared" ref="E279:P279" si="74">SUM(E264:E278)</f>
        <v>0</v>
      </c>
      <c r="F279" s="588">
        <f t="shared" si="74"/>
        <v>0</v>
      </c>
      <c r="G279" s="588">
        <f t="shared" si="74"/>
        <v>0</v>
      </c>
      <c r="H279" s="588">
        <f t="shared" si="74"/>
        <v>0</v>
      </c>
      <c r="I279" s="588">
        <f t="shared" si="74"/>
        <v>0</v>
      </c>
      <c r="J279" s="588">
        <f t="shared" si="74"/>
        <v>0</v>
      </c>
      <c r="K279" s="588">
        <f t="shared" si="74"/>
        <v>0</v>
      </c>
      <c r="L279" s="588">
        <f t="shared" si="74"/>
        <v>0</v>
      </c>
      <c r="M279" s="588">
        <f t="shared" si="74"/>
        <v>0</v>
      </c>
      <c r="N279" s="588">
        <f t="shared" si="74"/>
        <v>0</v>
      </c>
      <c r="O279" s="588">
        <f t="shared" si="74"/>
        <v>0</v>
      </c>
      <c r="P279" s="588">
        <f t="shared" si="74"/>
        <v>0</v>
      </c>
      <c r="Q279" s="588">
        <f t="shared" si="73"/>
        <v>0</v>
      </c>
      <c r="R279" s="585"/>
      <c r="S279" s="585"/>
    </row>
    <row r="280" spans="3:19" hidden="1" x14ac:dyDescent="0.25">
      <c r="C280" s="773" t="s">
        <v>215</v>
      </c>
      <c r="D280" s="774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8"/>
      <c r="R280" s="585"/>
      <c r="S280" s="585"/>
    </row>
    <row r="281" spans="3:19" hidden="1" x14ac:dyDescent="0.25">
      <c r="C281" s="579" t="s">
        <v>192</v>
      </c>
      <c r="D281" s="579" t="s">
        <v>193</v>
      </c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8">
        <f t="shared" ref="Q281:Q300" si="75">SUM(E281:P281)</f>
        <v>0</v>
      </c>
      <c r="R281" s="585"/>
      <c r="S281" s="585"/>
    </row>
    <row r="282" spans="3:19" hidden="1" x14ac:dyDescent="0.25">
      <c r="C282" s="579" t="s">
        <v>194</v>
      </c>
      <c r="D282" s="579" t="s">
        <v>195</v>
      </c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8">
        <f t="shared" si="75"/>
        <v>0</v>
      </c>
      <c r="R282" s="585"/>
      <c r="S282" s="585"/>
    </row>
    <row r="283" spans="3:19" hidden="1" x14ac:dyDescent="0.25">
      <c r="C283" s="579" t="s">
        <v>233</v>
      </c>
      <c r="D283" s="579" t="s">
        <v>197</v>
      </c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8">
        <f t="shared" si="75"/>
        <v>0</v>
      </c>
      <c r="R283" s="585"/>
      <c r="S283" s="585"/>
    </row>
    <row r="284" spans="3:19" hidden="1" x14ac:dyDescent="0.25">
      <c r="C284" s="579" t="s">
        <v>198</v>
      </c>
      <c r="D284" s="579" t="s">
        <v>199</v>
      </c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8">
        <f t="shared" si="75"/>
        <v>0</v>
      </c>
      <c r="R284" s="585"/>
      <c r="S284" s="585"/>
    </row>
    <row r="285" spans="3:19" hidden="1" x14ac:dyDescent="0.25">
      <c r="C285" s="579" t="s">
        <v>200</v>
      </c>
      <c r="D285" s="579" t="s">
        <v>201</v>
      </c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8">
        <f t="shared" si="75"/>
        <v>0</v>
      </c>
      <c r="R285" s="585"/>
      <c r="S285" s="585"/>
    </row>
    <row r="286" spans="3:19" hidden="1" x14ac:dyDescent="0.25">
      <c r="C286" s="579" t="s">
        <v>202</v>
      </c>
      <c r="D286" s="579" t="s">
        <v>234</v>
      </c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8">
        <f t="shared" si="75"/>
        <v>0</v>
      </c>
      <c r="R286" s="585"/>
      <c r="S286" s="585"/>
    </row>
    <row r="287" spans="3:19" hidden="1" x14ac:dyDescent="0.25">
      <c r="C287" s="579" t="s">
        <v>204</v>
      </c>
      <c r="D287" s="579" t="s">
        <v>216</v>
      </c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8">
        <f t="shared" si="75"/>
        <v>0</v>
      </c>
      <c r="R287" s="585"/>
      <c r="S287" s="585"/>
    </row>
    <row r="288" spans="3:19" hidden="1" x14ac:dyDescent="0.25">
      <c r="C288" s="579" t="s">
        <v>217</v>
      </c>
      <c r="D288" s="579" t="s">
        <v>218</v>
      </c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8">
        <f t="shared" si="75"/>
        <v>0</v>
      </c>
      <c r="R288" s="585"/>
      <c r="S288" s="585"/>
    </row>
    <row r="289" spans="3:19" hidden="1" x14ac:dyDescent="0.25">
      <c r="C289" s="579" t="s">
        <v>252</v>
      </c>
      <c r="D289" s="579" t="s">
        <v>236</v>
      </c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8">
        <f t="shared" si="75"/>
        <v>0</v>
      </c>
      <c r="R289" s="585"/>
      <c r="S289" s="585"/>
    </row>
    <row r="290" spans="3:19" hidden="1" x14ac:dyDescent="0.25">
      <c r="C290" s="579" t="s">
        <v>206</v>
      </c>
      <c r="D290" s="579" t="s">
        <v>207</v>
      </c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8">
        <f t="shared" si="75"/>
        <v>0</v>
      </c>
      <c r="R290" s="585"/>
      <c r="S290" s="585"/>
    </row>
    <row r="291" spans="3:19" hidden="1" x14ac:dyDescent="0.25">
      <c r="C291" s="579" t="s">
        <v>208</v>
      </c>
      <c r="D291" s="579" t="s">
        <v>187</v>
      </c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8">
        <f t="shared" si="75"/>
        <v>0</v>
      </c>
      <c r="R291" s="585"/>
      <c r="S291" s="585"/>
    </row>
    <row r="292" spans="3:19" hidden="1" x14ac:dyDescent="0.25">
      <c r="C292" s="579" t="s">
        <v>209</v>
      </c>
      <c r="D292" s="579" t="s">
        <v>210</v>
      </c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8">
        <f t="shared" si="75"/>
        <v>0</v>
      </c>
      <c r="R292" s="585"/>
      <c r="S292" s="585"/>
    </row>
    <row r="293" spans="3:19" hidden="1" x14ac:dyDescent="0.25">
      <c r="C293" s="579" t="s">
        <v>211</v>
      </c>
      <c r="D293" s="579" t="s">
        <v>189</v>
      </c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8">
        <f t="shared" si="75"/>
        <v>0</v>
      </c>
      <c r="R293" s="585"/>
      <c r="S293" s="585"/>
    </row>
    <row r="294" spans="3:19" hidden="1" x14ac:dyDescent="0.25">
      <c r="C294" s="579"/>
      <c r="D294" s="579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8">
        <f t="shared" si="75"/>
        <v>0</v>
      </c>
      <c r="R294" s="585"/>
      <c r="S294" s="585"/>
    </row>
    <row r="295" spans="3:19" hidden="1" x14ac:dyDescent="0.25">
      <c r="C295" s="579"/>
      <c r="D295" s="579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8">
        <f t="shared" si="75"/>
        <v>0</v>
      </c>
      <c r="R295" s="585"/>
      <c r="S295" s="585"/>
    </row>
    <row r="296" spans="3:19" hidden="1" x14ac:dyDescent="0.25">
      <c r="C296" s="579"/>
      <c r="D296" s="579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8">
        <f t="shared" si="75"/>
        <v>0</v>
      </c>
      <c r="R296" s="585"/>
      <c r="S296" s="585"/>
    </row>
    <row r="297" spans="3:19" hidden="1" x14ac:dyDescent="0.25">
      <c r="C297" s="579" t="s">
        <v>226</v>
      </c>
      <c r="D297" s="579" t="s">
        <v>226</v>
      </c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8">
        <f t="shared" si="75"/>
        <v>0</v>
      </c>
      <c r="R297" s="585"/>
      <c r="S297" s="585"/>
    </row>
    <row r="298" spans="3:19" hidden="1" x14ac:dyDescent="0.25">
      <c r="C298" s="773" t="s">
        <v>212</v>
      </c>
      <c r="D298" s="774"/>
      <c r="E298" s="588">
        <f t="shared" ref="E298:P298" si="76">SUM(E281:E297)</f>
        <v>0</v>
      </c>
      <c r="F298" s="588">
        <f t="shared" si="76"/>
        <v>0</v>
      </c>
      <c r="G298" s="588">
        <f t="shared" si="76"/>
        <v>0</v>
      </c>
      <c r="H298" s="588">
        <f t="shared" si="76"/>
        <v>0</v>
      </c>
      <c r="I298" s="588">
        <f t="shared" si="76"/>
        <v>0</v>
      </c>
      <c r="J298" s="588">
        <f t="shared" si="76"/>
        <v>0</v>
      </c>
      <c r="K298" s="588">
        <f t="shared" si="76"/>
        <v>0</v>
      </c>
      <c r="L298" s="588">
        <f t="shared" si="76"/>
        <v>0</v>
      </c>
      <c r="M298" s="588">
        <f t="shared" si="76"/>
        <v>0</v>
      </c>
      <c r="N298" s="588">
        <f t="shared" si="76"/>
        <v>0</v>
      </c>
      <c r="O298" s="588">
        <f t="shared" si="76"/>
        <v>0</v>
      </c>
      <c r="P298" s="588">
        <f t="shared" si="76"/>
        <v>0</v>
      </c>
      <c r="Q298" s="588">
        <f t="shared" si="75"/>
        <v>0</v>
      </c>
      <c r="R298" s="585"/>
      <c r="S298" s="585"/>
    </row>
    <row r="299" spans="3:19" hidden="1" x14ac:dyDescent="0.25">
      <c r="C299" s="773" t="s">
        <v>219</v>
      </c>
      <c r="D299" s="774"/>
      <c r="E299" s="588">
        <f t="shared" ref="E299:P299" si="77">E298+E279+E262</f>
        <v>0</v>
      </c>
      <c r="F299" s="588">
        <f t="shared" si="77"/>
        <v>0</v>
      </c>
      <c r="G299" s="588">
        <f t="shared" si="77"/>
        <v>0</v>
      </c>
      <c r="H299" s="588">
        <f t="shared" si="77"/>
        <v>0</v>
      </c>
      <c r="I299" s="588">
        <f t="shared" si="77"/>
        <v>0</v>
      </c>
      <c r="J299" s="588">
        <f t="shared" si="77"/>
        <v>0</v>
      </c>
      <c r="K299" s="588">
        <f t="shared" si="77"/>
        <v>0</v>
      </c>
      <c r="L299" s="588">
        <f t="shared" si="77"/>
        <v>0</v>
      </c>
      <c r="M299" s="588">
        <f t="shared" si="77"/>
        <v>0</v>
      </c>
      <c r="N299" s="588">
        <f t="shared" si="77"/>
        <v>0</v>
      </c>
      <c r="O299" s="588">
        <f t="shared" si="77"/>
        <v>0</v>
      </c>
      <c r="P299" s="588">
        <f t="shared" si="77"/>
        <v>0</v>
      </c>
      <c r="Q299" s="588">
        <f t="shared" si="75"/>
        <v>0</v>
      </c>
      <c r="R299" s="585"/>
      <c r="S299" s="585"/>
    </row>
    <row r="300" spans="3:19" hidden="1" x14ac:dyDescent="0.25">
      <c r="C300" s="773" t="s">
        <v>220</v>
      </c>
      <c r="D300" s="774"/>
      <c r="E300" s="588">
        <f t="shared" ref="E300:P300" si="78">E299+E245</f>
        <v>712.65321404124018</v>
      </c>
      <c r="F300" s="588">
        <f t="shared" si="78"/>
        <v>246.541964529018</v>
      </c>
      <c r="G300" s="588">
        <f t="shared" si="78"/>
        <v>202.74297569999996</v>
      </c>
      <c r="H300" s="588">
        <f t="shared" si="78"/>
        <v>553.61921999999993</v>
      </c>
      <c r="I300" s="588">
        <f t="shared" si="78"/>
        <v>777.05700000000013</v>
      </c>
      <c r="J300" s="588">
        <f t="shared" si="78"/>
        <v>445.22429999999991</v>
      </c>
      <c r="K300" s="588">
        <f t="shared" si="78"/>
        <v>644.33299999999986</v>
      </c>
      <c r="L300" s="588">
        <f t="shared" si="78"/>
        <v>246.53799999999998</v>
      </c>
      <c r="M300" s="588">
        <f t="shared" si="78"/>
        <v>598.60400000000004</v>
      </c>
      <c r="N300" s="588">
        <f t="shared" si="78"/>
        <v>763.60999999999979</v>
      </c>
      <c r="O300" s="588">
        <f t="shared" si="78"/>
        <v>868.09800000000007</v>
      </c>
      <c r="P300" s="588">
        <f t="shared" si="78"/>
        <v>1360.4870000000001</v>
      </c>
      <c r="Q300" s="588">
        <f t="shared" si="75"/>
        <v>7419.5086742702579</v>
      </c>
      <c r="R300" s="585"/>
      <c r="S300" s="585"/>
    </row>
    <row r="301" spans="3:19" hidden="1" x14ac:dyDescent="0.25">
      <c r="C301" s="574"/>
      <c r="E301" s="585"/>
      <c r="F301" s="585"/>
      <c r="G301" s="585"/>
      <c r="H301" s="585"/>
      <c r="I301" s="585"/>
      <c r="J301" s="585"/>
      <c r="K301" s="585"/>
      <c r="L301" s="585"/>
      <c r="M301" s="585"/>
      <c r="N301" s="585"/>
      <c r="O301" s="585"/>
      <c r="P301" s="585"/>
      <c r="Q301" s="586" t="s">
        <v>229</v>
      </c>
      <c r="R301" s="585"/>
      <c r="S301" s="585"/>
    </row>
    <row r="302" spans="3:19" hidden="1" x14ac:dyDescent="0.25">
      <c r="C302" s="776" t="s">
        <v>163</v>
      </c>
      <c r="D302" s="776"/>
      <c r="E302" s="775" t="s">
        <v>265</v>
      </c>
      <c r="F302" s="775"/>
      <c r="G302" s="775"/>
      <c r="H302" s="775"/>
      <c r="I302" s="775"/>
      <c r="J302" s="775"/>
      <c r="K302" s="775"/>
      <c r="L302" s="775"/>
      <c r="M302" s="775"/>
      <c r="N302" s="775"/>
      <c r="O302" s="775"/>
      <c r="P302" s="775"/>
      <c r="Q302" s="775"/>
      <c r="R302" s="585"/>
      <c r="S302" s="585"/>
    </row>
    <row r="303" spans="3:19" hidden="1" x14ac:dyDescent="0.25">
      <c r="C303" s="776"/>
      <c r="D303" s="776"/>
      <c r="E303" s="587" t="s">
        <v>239</v>
      </c>
      <c r="F303" s="587" t="s">
        <v>240</v>
      </c>
      <c r="G303" s="587" t="s">
        <v>241</v>
      </c>
      <c r="H303" s="587" t="s">
        <v>242</v>
      </c>
      <c r="I303" s="587" t="s">
        <v>243</v>
      </c>
      <c r="J303" s="587" t="s">
        <v>244</v>
      </c>
      <c r="K303" s="587" t="s">
        <v>245</v>
      </c>
      <c r="L303" s="587" t="s">
        <v>246</v>
      </c>
      <c r="M303" s="587" t="s">
        <v>247</v>
      </c>
      <c r="N303" s="587" t="s">
        <v>248</v>
      </c>
      <c r="O303" s="587" t="s">
        <v>249</v>
      </c>
      <c r="P303" s="587" t="s">
        <v>250</v>
      </c>
      <c r="Q303" s="587" t="s">
        <v>251</v>
      </c>
      <c r="R303" s="585"/>
      <c r="S303" s="585"/>
    </row>
    <row r="304" spans="3:19" hidden="1" x14ac:dyDescent="0.25">
      <c r="C304" s="773" t="s">
        <v>171</v>
      </c>
      <c r="D304" s="774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8"/>
      <c r="R304" s="585"/>
      <c r="S304" s="585"/>
    </row>
    <row r="305" spans="3:19" hidden="1" x14ac:dyDescent="0.25">
      <c r="C305" s="579" t="s">
        <v>172</v>
      </c>
      <c r="D305" s="579" t="s">
        <v>173</v>
      </c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8">
        <f t="shared" ref="Q305:Q318" si="79">SUM(E305:P305)</f>
        <v>0</v>
      </c>
      <c r="R305" s="585"/>
      <c r="S305" s="585"/>
    </row>
    <row r="306" spans="3:19" hidden="1" x14ac:dyDescent="0.25">
      <c r="C306" s="579" t="s">
        <v>174</v>
      </c>
      <c r="D306" s="579" t="s">
        <v>175</v>
      </c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8">
        <f t="shared" si="79"/>
        <v>0</v>
      </c>
      <c r="R306" s="585"/>
      <c r="S306" s="585"/>
    </row>
    <row r="307" spans="3:19" hidden="1" x14ac:dyDescent="0.25">
      <c r="C307" s="579" t="s">
        <v>176</v>
      </c>
      <c r="D307" s="579" t="s">
        <v>177</v>
      </c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8">
        <f t="shared" si="79"/>
        <v>0</v>
      </c>
      <c r="R307" s="585"/>
      <c r="S307" s="585"/>
    </row>
    <row r="308" spans="3:19" hidden="1" x14ac:dyDescent="0.25">
      <c r="C308" s="579" t="s">
        <v>178</v>
      </c>
      <c r="D308" s="579" t="s">
        <v>179</v>
      </c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8">
        <f t="shared" si="79"/>
        <v>0</v>
      </c>
      <c r="R308" s="585"/>
      <c r="S308" s="585"/>
    </row>
    <row r="309" spans="3:19" hidden="1" x14ac:dyDescent="0.25">
      <c r="C309" s="579" t="s">
        <v>180</v>
      </c>
      <c r="D309" s="579" t="s">
        <v>181</v>
      </c>
      <c r="E309" s="583">
        <v>828.53600000000006</v>
      </c>
      <c r="F309" s="583">
        <v>261.16199999999998</v>
      </c>
      <c r="G309" s="583">
        <v>165.48500000000001</v>
      </c>
      <c r="H309" s="583">
        <v>248.60799999999998</v>
      </c>
      <c r="I309" s="583">
        <v>708.66100000000006</v>
      </c>
      <c r="J309" s="583">
        <v>596.26299999999981</v>
      </c>
      <c r="K309" s="583">
        <v>473.45</v>
      </c>
      <c r="L309" s="583">
        <v>362.08399999999995</v>
      </c>
      <c r="M309" s="583">
        <v>798.97</v>
      </c>
      <c r="N309" s="583">
        <v>972.32460000000003</v>
      </c>
      <c r="O309" s="583">
        <v>1123.4839999999997</v>
      </c>
      <c r="P309" s="583">
        <v>1328.9909999999998</v>
      </c>
      <c r="Q309" s="588">
        <f t="shared" si="79"/>
        <v>7868.0185999999994</v>
      </c>
      <c r="R309" s="585"/>
      <c r="S309" s="585"/>
    </row>
    <row r="310" spans="3:19" hidden="1" x14ac:dyDescent="0.25">
      <c r="C310" s="579" t="s">
        <v>182</v>
      </c>
      <c r="D310" s="579" t="s">
        <v>183</v>
      </c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8">
        <f t="shared" si="79"/>
        <v>0</v>
      </c>
      <c r="R310" s="585"/>
      <c r="S310" s="585"/>
    </row>
    <row r="311" spans="3:19" hidden="1" x14ac:dyDescent="0.25">
      <c r="C311" s="579" t="s">
        <v>184</v>
      </c>
      <c r="D311" s="579" t="s">
        <v>185</v>
      </c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8">
        <f t="shared" si="79"/>
        <v>0</v>
      </c>
      <c r="R311" s="585"/>
      <c r="S311" s="585"/>
    </row>
    <row r="312" spans="3:19" hidden="1" x14ac:dyDescent="0.25">
      <c r="C312" s="579" t="s">
        <v>186</v>
      </c>
      <c r="D312" s="579" t="s">
        <v>187</v>
      </c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8">
        <f t="shared" si="79"/>
        <v>0</v>
      </c>
      <c r="R312" s="585"/>
      <c r="S312" s="585"/>
    </row>
    <row r="313" spans="3:19" hidden="1" x14ac:dyDescent="0.25">
      <c r="C313" s="579" t="s">
        <v>188</v>
      </c>
      <c r="D313" s="579" t="s">
        <v>189</v>
      </c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8">
        <f t="shared" si="79"/>
        <v>0</v>
      </c>
      <c r="R313" s="585"/>
      <c r="S313" s="585"/>
    </row>
    <row r="314" spans="3:19" hidden="1" x14ac:dyDescent="0.25">
      <c r="C314" s="579"/>
      <c r="D314" s="579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8">
        <f t="shared" si="79"/>
        <v>0</v>
      </c>
      <c r="R314" s="585"/>
      <c r="S314" s="585"/>
    </row>
    <row r="315" spans="3:19" hidden="1" x14ac:dyDescent="0.25">
      <c r="C315" s="579"/>
      <c r="D315" s="579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8">
        <f t="shared" si="79"/>
        <v>0</v>
      </c>
      <c r="R315" s="585"/>
      <c r="S315" s="585"/>
    </row>
    <row r="316" spans="3:19" hidden="1" x14ac:dyDescent="0.25">
      <c r="C316" s="579"/>
      <c r="D316" s="579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8">
        <f t="shared" si="79"/>
        <v>0</v>
      </c>
      <c r="R316" s="585"/>
      <c r="S316" s="585"/>
    </row>
    <row r="317" spans="3:19" hidden="1" x14ac:dyDescent="0.25">
      <c r="C317" s="579" t="s">
        <v>226</v>
      </c>
      <c r="D317" s="579" t="s">
        <v>226</v>
      </c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8">
        <f t="shared" si="79"/>
        <v>0</v>
      </c>
      <c r="R317" s="585"/>
      <c r="S317" s="585"/>
    </row>
    <row r="318" spans="3:19" hidden="1" x14ac:dyDescent="0.25">
      <c r="C318" s="773" t="s">
        <v>190</v>
      </c>
      <c r="D318" s="774"/>
      <c r="E318" s="588">
        <f t="shared" ref="E318:P318" si="80">SUM(E305:E317)</f>
        <v>828.53600000000006</v>
      </c>
      <c r="F318" s="588">
        <f t="shared" si="80"/>
        <v>261.16199999999998</v>
      </c>
      <c r="G318" s="588">
        <f t="shared" si="80"/>
        <v>165.48500000000001</v>
      </c>
      <c r="H318" s="588">
        <f t="shared" si="80"/>
        <v>248.60799999999998</v>
      </c>
      <c r="I318" s="588">
        <f t="shared" si="80"/>
        <v>708.66100000000006</v>
      </c>
      <c r="J318" s="588">
        <f t="shared" si="80"/>
        <v>596.26299999999981</v>
      </c>
      <c r="K318" s="588">
        <f t="shared" si="80"/>
        <v>473.45</v>
      </c>
      <c r="L318" s="588">
        <f t="shared" si="80"/>
        <v>362.08399999999995</v>
      </c>
      <c r="M318" s="588">
        <f t="shared" si="80"/>
        <v>798.97</v>
      </c>
      <c r="N318" s="588">
        <f t="shared" si="80"/>
        <v>972.32460000000003</v>
      </c>
      <c r="O318" s="588">
        <f t="shared" si="80"/>
        <v>1123.4839999999997</v>
      </c>
      <c r="P318" s="588">
        <f t="shared" si="80"/>
        <v>1328.9909999999998</v>
      </c>
      <c r="Q318" s="588">
        <f t="shared" si="79"/>
        <v>7868.0185999999994</v>
      </c>
      <c r="R318" s="585"/>
      <c r="S318" s="585"/>
    </row>
    <row r="319" spans="3:19" hidden="1" x14ac:dyDescent="0.25">
      <c r="C319" s="773" t="s">
        <v>191</v>
      </c>
      <c r="D319" s="774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8"/>
      <c r="R319" s="585"/>
      <c r="S319" s="585"/>
    </row>
    <row r="320" spans="3:19" hidden="1" x14ac:dyDescent="0.25">
      <c r="C320" s="579" t="s">
        <v>192</v>
      </c>
      <c r="D320" s="579" t="s">
        <v>193</v>
      </c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8">
        <f t="shared" ref="Q320:Q335" si="81">SUM(E320:P320)</f>
        <v>0</v>
      </c>
      <c r="R320" s="585"/>
      <c r="S320" s="585"/>
    </row>
    <row r="321" spans="3:19" hidden="1" x14ac:dyDescent="0.25">
      <c r="C321" s="579" t="s">
        <v>194</v>
      </c>
      <c r="D321" s="579" t="s">
        <v>195</v>
      </c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8">
        <f t="shared" si="81"/>
        <v>0</v>
      </c>
      <c r="R321" s="585"/>
      <c r="S321" s="585"/>
    </row>
    <row r="322" spans="3:19" hidden="1" x14ac:dyDescent="0.25">
      <c r="C322" s="579" t="s">
        <v>233</v>
      </c>
      <c r="D322" s="579" t="s">
        <v>197</v>
      </c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8">
        <f t="shared" si="81"/>
        <v>0</v>
      </c>
      <c r="R322" s="585"/>
      <c r="S322" s="585"/>
    </row>
    <row r="323" spans="3:19" hidden="1" x14ac:dyDescent="0.25">
      <c r="C323" s="579" t="s">
        <v>198</v>
      </c>
      <c r="D323" s="579" t="s">
        <v>199</v>
      </c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8">
        <f t="shared" si="81"/>
        <v>0</v>
      </c>
      <c r="R323" s="585"/>
      <c r="S323" s="585"/>
    </row>
    <row r="324" spans="3:19" hidden="1" x14ac:dyDescent="0.25">
      <c r="C324" s="579" t="s">
        <v>200</v>
      </c>
      <c r="D324" s="579" t="s">
        <v>201</v>
      </c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8">
        <f t="shared" si="81"/>
        <v>0</v>
      </c>
      <c r="R324" s="585"/>
      <c r="S324" s="585"/>
    </row>
    <row r="325" spans="3:19" hidden="1" x14ac:dyDescent="0.25">
      <c r="C325" s="579" t="s">
        <v>202</v>
      </c>
      <c r="D325" s="579" t="s">
        <v>203</v>
      </c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8">
        <f t="shared" si="81"/>
        <v>0</v>
      </c>
      <c r="R325" s="585"/>
      <c r="S325" s="585"/>
    </row>
    <row r="326" spans="3:19" hidden="1" x14ac:dyDescent="0.25">
      <c r="C326" s="579" t="s">
        <v>204</v>
      </c>
      <c r="D326" s="579" t="s">
        <v>205</v>
      </c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8">
        <f t="shared" si="81"/>
        <v>0</v>
      </c>
      <c r="R326" s="585"/>
      <c r="S326" s="585"/>
    </row>
    <row r="327" spans="3:19" hidden="1" x14ac:dyDescent="0.25">
      <c r="C327" s="579" t="s">
        <v>206</v>
      </c>
      <c r="D327" s="579" t="s">
        <v>207</v>
      </c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8">
        <f t="shared" si="81"/>
        <v>0</v>
      </c>
      <c r="R327" s="585"/>
      <c r="S327" s="585"/>
    </row>
    <row r="328" spans="3:19" hidden="1" x14ac:dyDescent="0.25">
      <c r="C328" s="579" t="s">
        <v>208</v>
      </c>
      <c r="D328" s="579" t="s">
        <v>187</v>
      </c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8">
        <f t="shared" si="81"/>
        <v>0</v>
      </c>
      <c r="R328" s="585"/>
      <c r="S328" s="585"/>
    </row>
    <row r="329" spans="3:19" hidden="1" x14ac:dyDescent="0.25">
      <c r="C329" s="579" t="s">
        <v>209</v>
      </c>
      <c r="D329" s="579" t="s">
        <v>210</v>
      </c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8">
        <f t="shared" si="81"/>
        <v>0</v>
      </c>
      <c r="R329" s="585"/>
      <c r="S329" s="585"/>
    </row>
    <row r="330" spans="3:19" hidden="1" x14ac:dyDescent="0.25">
      <c r="C330" s="579" t="s">
        <v>211</v>
      </c>
      <c r="D330" s="579" t="s">
        <v>189</v>
      </c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8">
        <f t="shared" si="81"/>
        <v>0</v>
      </c>
      <c r="R330" s="585"/>
      <c r="S330" s="585"/>
    </row>
    <row r="331" spans="3:19" hidden="1" x14ac:dyDescent="0.25">
      <c r="C331" s="579"/>
      <c r="D331" s="579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8">
        <f t="shared" si="81"/>
        <v>0</v>
      </c>
      <c r="R331" s="585"/>
      <c r="S331" s="585"/>
    </row>
    <row r="332" spans="3:19" hidden="1" x14ac:dyDescent="0.25">
      <c r="C332" s="579"/>
      <c r="D332" s="579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8">
        <f t="shared" si="81"/>
        <v>0</v>
      </c>
      <c r="R332" s="585"/>
      <c r="S332" s="585"/>
    </row>
    <row r="333" spans="3:19" hidden="1" x14ac:dyDescent="0.25">
      <c r="C333" s="579"/>
      <c r="D333" s="579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8">
        <f t="shared" si="81"/>
        <v>0</v>
      </c>
      <c r="R333" s="585"/>
      <c r="S333" s="585"/>
    </row>
    <row r="334" spans="3:19" hidden="1" x14ac:dyDescent="0.25">
      <c r="C334" s="579" t="s">
        <v>226</v>
      </c>
      <c r="D334" s="579" t="s">
        <v>226</v>
      </c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8">
        <f t="shared" si="81"/>
        <v>0</v>
      </c>
      <c r="R334" s="585"/>
      <c r="S334" s="585"/>
    </row>
    <row r="335" spans="3:19" hidden="1" x14ac:dyDescent="0.25">
      <c r="C335" s="773" t="s">
        <v>212</v>
      </c>
      <c r="D335" s="774"/>
      <c r="E335" s="588">
        <f t="shared" ref="E335:P335" si="82">SUM(E320:E334)</f>
        <v>0</v>
      </c>
      <c r="F335" s="588">
        <f t="shared" si="82"/>
        <v>0</v>
      </c>
      <c r="G335" s="588">
        <f t="shared" si="82"/>
        <v>0</v>
      </c>
      <c r="H335" s="588">
        <f t="shared" si="82"/>
        <v>0</v>
      </c>
      <c r="I335" s="588">
        <f t="shared" si="82"/>
        <v>0</v>
      </c>
      <c r="J335" s="588">
        <f t="shared" si="82"/>
        <v>0</v>
      </c>
      <c r="K335" s="588">
        <f t="shared" si="82"/>
        <v>0</v>
      </c>
      <c r="L335" s="588">
        <f t="shared" si="82"/>
        <v>0</v>
      </c>
      <c r="M335" s="588">
        <f t="shared" si="82"/>
        <v>0</v>
      </c>
      <c r="N335" s="588">
        <f t="shared" si="82"/>
        <v>0</v>
      </c>
      <c r="O335" s="588">
        <f t="shared" si="82"/>
        <v>0</v>
      </c>
      <c r="P335" s="588">
        <f t="shared" si="82"/>
        <v>0</v>
      </c>
      <c r="Q335" s="588">
        <f t="shared" si="81"/>
        <v>0</v>
      </c>
      <c r="R335" s="585"/>
      <c r="S335" s="585"/>
    </row>
    <row r="336" spans="3:19" hidden="1" x14ac:dyDescent="0.25">
      <c r="C336" s="773" t="s">
        <v>213</v>
      </c>
      <c r="D336" s="774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8"/>
      <c r="R336" s="585"/>
      <c r="S336" s="585"/>
    </row>
    <row r="337" spans="3:19" hidden="1" x14ac:dyDescent="0.25">
      <c r="C337" s="579" t="s">
        <v>192</v>
      </c>
      <c r="D337" s="579" t="s">
        <v>193</v>
      </c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8">
        <f t="shared" ref="Q337:Q352" si="83">SUM(E337:P337)</f>
        <v>0</v>
      </c>
      <c r="R337" s="585"/>
      <c r="S337" s="585"/>
    </row>
    <row r="338" spans="3:19" hidden="1" x14ac:dyDescent="0.25">
      <c r="C338" s="579" t="s">
        <v>194</v>
      </c>
      <c r="D338" s="579" t="s">
        <v>195</v>
      </c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8">
        <f t="shared" si="83"/>
        <v>0</v>
      </c>
      <c r="R338" s="585"/>
      <c r="S338" s="585"/>
    </row>
    <row r="339" spans="3:19" hidden="1" x14ac:dyDescent="0.25">
      <c r="C339" s="579" t="s">
        <v>233</v>
      </c>
      <c r="D339" s="579" t="s">
        <v>197</v>
      </c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8">
        <f t="shared" si="83"/>
        <v>0</v>
      </c>
      <c r="R339" s="585"/>
      <c r="S339" s="585"/>
    </row>
    <row r="340" spans="3:19" hidden="1" x14ac:dyDescent="0.25">
      <c r="C340" s="579" t="s">
        <v>198</v>
      </c>
      <c r="D340" s="579" t="s">
        <v>199</v>
      </c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8">
        <f t="shared" si="83"/>
        <v>0</v>
      </c>
      <c r="R340" s="585"/>
      <c r="S340" s="585"/>
    </row>
    <row r="341" spans="3:19" hidden="1" x14ac:dyDescent="0.25">
      <c r="C341" s="579" t="s">
        <v>200</v>
      </c>
      <c r="D341" s="579" t="s">
        <v>201</v>
      </c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8">
        <f t="shared" si="83"/>
        <v>0</v>
      </c>
      <c r="R341" s="585"/>
      <c r="S341" s="585"/>
    </row>
    <row r="342" spans="3:19" hidden="1" x14ac:dyDescent="0.25">
      <c r="C342" s="579" t="s">
        <v>202</v>
      </c>
      <c r="D342" s="579" t="s">
        <v>203</v>
      </c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8">
        <f t="shared" si="83"/>
        <v>0</v>
      </c>
      <c r="R342" s="585"/>
      <c r="S342" s="585"/>
    </row>
    <row r="343" spans="3:19" hidden="1" x14ac:dyDescent="0.25">
      <c r="C343" s="579" t="s">
        <v>204</v>
      </c>
      <c r="D343" s="579" t="s">
        <v>205</v>
      </c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8">
        <f t="shared" si="83"/>
        <v>0</v>
      </c>
      <c r="R343" s="585"/>
      <c r="S343" s="585"/>
    </row>
    <row r="344" spans="3:19" hidden="1" x14ac:dyDescent="0.25">
      <c r="C344" s="579" t="s">
        <v>206</v>
      </c>
      <c r="D344" s="579" t="s">
        <v>207</v>
      </c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8">
        <f t="shared" si="83"/>
        <v>0</v>
      </c>
      <c r="R344" s="585"/>
      <c r="S344" s="585"/>
    </row>
    <row r="345" spans="3:19" hidden="1" x14ac:dyDescent="0.25">
      <c r="C345" s="579" t="s">
        <v>214</v>
      </c>
      <c r="D345" s="579" t="s">
        <v>187</v>
      </c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8">
        <f t="shared" si="83"/>
        <v>0</v>
      </c>
      <c r="R345" s="585"/>
      <c r="S345" s="585"/>
    </row>
    <row r="346" spans="3:19" hidden="1" x14ac:dyDescent="0.25">
      <c r="C346" s="579" t="s">
        <v>209</v>
      </c>
      <c r="D346" s="579" t="s">
        <v>210</v>
      </c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8">
        <f t="shared" si="83"/>
        <v>0</v>
      </c>
      <c r="R346" s="585"/>
      <c r="S346" s="585"/>
    </row>
    <row r="347" spans="3:19" hidden="1" x14ac:dyDescent="0.25">
      <c r="C347" s="579" t="s">
        <v>211</v>
      </c>
      <c r="D347" s="579" t="s">
        <v>189</v>
      </c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8">
        <f t="shared" si="83"/>
        <v>0</v>
      </c>
      <c r="R347" s="585"/>
      <c r="S347" s="585"/>
    </row>
    <row r="348" spans="3:19" hidden="1" x14ac:dyDescent="0.25">
      <c r="C348" s="579"/>
      <c r="D348" s="579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8">
        <f t="shared" si="83"/>
        <v>0</v>
      </c>
      <c r="R348" s="585"/>
      <c r="S348" s="585"/>
    </row>
    <row r="349" spans="3:19" hidden="1" x14ac:dyDescent="0.25">
      <c r="C349" s="579"/>
      <c r="D349" s="579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8">
        <f t="shared" si="83"/>
        <v>0</v>
      </c>
      <c r="R349" s="585"/>
      <c r="S349" s="585"/>
    </row>
    <row r="350" spans="3:19" hidden="1" x14ac:dyDescent="0.25">
      <c r="C350" s="579"/>
      <c r="D350" s="579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8">
        <f t="shared" si="83"/>
        <v>0</v>
      </c>
      <c r="R350" s="585"/>
      <c r="S350" s="585"/>
    </row>
    <row r="351" spans="3:19" hidden="1" x14ac:dyDescent="0.25">
      <c r="C351" s="579" t="s">
        <v>226</v>
      </c>
      <c r="D351" s="579" t="s">
        <v>226</v>
      </c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8">
        <f t="shared" si="83"/>
        <v>0</v>
      </c>
      <c r="R351" s="585"/>
      <c r="S351" s="585"/>
    </row>
    <row r="352" spans="3:19" hidden="1" x14ac:dyDescent="0.25">
      <c r="C352" s="773" t="s">
        <v>212</v>
      </c>
      <c r="D352" s="774"/>
      <c r="E352" s="588">
        <f t="shared" ref="E352:P352" si="84">SUM(E337:E351)</f>
        <v>0</v>
      </c>
      <c r="F352" s="588">
        <f t="shared" si="84"/>
        <v>0</v>
      </c>
      <c r="G352" s="588">
        <f t="shared" si="84"/>
        <v>0</v>
      </c>
      <c r="H352" s="588">
        <f t="shared" si="84"/>
        <v>0</v>
      </c>
      <c r="I352" s="588">
        <f t="shared" si="84"/>
        <v>0</v>
      </c>
      <c r="J352" s="588">
        <f t="shared" si="84"/>
        <v>0</v>
      </c>
      <c r="K352" s="588">
        <f t="shared" si="84"/>
        <v>0</v>
      </c>
      <c r="L352" s="588">
        <f t="shared" si="84"/>
        <v>0</v>
      </c>
      <c r="M352" s="588">
        <f t="shared" si="84"/>
        <v>0</v>
      </c>
      <c r="N352" s="588">
        <f t="shared" si="84"/>
        <v>0</v>
      </c>
      <c r="O352" s="588">
        <f t="shared" si="84"/>
        <v>0</v>
      </c>
      <c r="P352" s="588">
        <f t="shared" si="84"/>
        <v>0</v>
      </c>
      <c r="Q352" s="588">
        <f t="shared" si="83"/>
        <v>0</v>
      </c>
      <c r="R352" s="585"/>
      <c r="S352" s="585"/>
    </row>
    <row r="353" spans="3:19" hidden="1" x14ac:dyDescent="0.25">
      <c r="C353" s="773" t="s">
        <v>215</v>
      </c>
      <c r="D353" s="774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8"/>
      <c r="R353" s="585"/>
      <c r="S353" s="585"/>
    </row>
    <row r="354" spans="3:19" hidden="1" x14ac:dyDescent="0.25">
      <c r="C354" s="579" t="s">
        <v>192</v>
      </c>
      <c r="D354" s="579" t="s">
        <v>193</v>
      </c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8">
        <f t="shared" ref="Q354:Q373" si="85">SUM(E354:P354)</f>
        <v>0</v>
      </c>
      <c r="R354" s="585"/>
      <c r="S354" s="585"/>
    </row>
    <row r="355" spans="3:19" hidden="1" x14ac:dyDescent="0.25">
      <c r="C355" s="579" t="s">
        <v>194</v>
      </c>
      <c r="D355" s="579" t="s">
        <v>195</v>
      </c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8">
        <f t="shared" si="85"/>
        <v>0</v>
      </c>
      <c r="R355" s="585"/>
      <c r="S355" s="585"/>
    </row>
    <row r="356" spans="3:19" hidden="1" x14ac:dyDescent="0.25">
      <c r="C356" s="579" t="s">
        <v>233</v>
      </c>
      <c r="D356" s="579" t="s">
        <v>197</v>
      </c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8">
        <f t="shared" si="85"/>
        <v>0</v>
      </c>
      <c r="R356" s="585"/>
      <c r="S356" s="585"/>
    </row>
    <row r="357" spans="3:19" hidden="1" x14ac:dyDescent="0.25">
      <c r="C357" s="579" t="s">
        <v>198</v>
      </c>
      <c r="D357" s="579" t="s">
        <v>199</v>
      </c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8">
        <f t="shared" si="85"/>
        <v>0</v>
      </c>
      <c r="R357" s="585"/>
      <c r="S357" s="585"/>
    </row>
    <row r="358" spans="3:19" hidden="1" x14ac:dyDescent="0.25">
      <c r="C358" s="579" t="s">
        <v>200</v>
      </c>
      <c r="D358" s="579" t="s">
        <v>201</v>
      </c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8">
        <f t="shared" si="85"/>
        <v>0</v>
      </c>
      <c r="R358" s="585"/>
      <c r="S358" s="585"/>
    </row>
    <row r="359" spans="3:19" hidden="1" x14ac:dyDescent="0.25">
      <c r="C359" s="579" t="s">
        <v>202</v>
      </c>
      <c r="D359" s="579" t="s">
        <v>234</v>
      </c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8">
        <f t="shared" si="85"/>
        <v>0</v>
      </c>
      <c r="R359" s="585"/>
      <c r="S359" s="585"/>
    </row>
    <row r="360" spans="3:19" hidden="1" x14ac:dyDescent="0.25">
      <c r="C360" s="579" t="s">
        <v>204</v>
      </c>
      <c r="D360" s="579" t="s">
        <v>216</v>
      </c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8">
        <f t="shared" si="85"/>
        <v>0</v>
      </c>
      <c r="R360" s="585"/>
      <c r="S360" s="585"/>
    </row>
    <row r="361" spans="3:19" hidden="1" x14ac:dyDescent="0.25">
      <c r="C361" s="579" t="s">
        <v>217</v>
      </c>
      <c r="D361" s="579" t="s">
        <v>218</v>
      </c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8">
        <f t="shared" si="85"/>
        <v>0</v>
      </c>
      <c r="R361" s="585"/>
      <c r="S361" s="585"/>
    </row>
    <row r="362" spans="3:19" hidden="1" x14ac:dyDescent="0.25">
      <c r="C362" s="579" t="s">
        <v>252</v>
      </c>
      <c r="D362" s="579" t="s">
        <v>236</v>
      </c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8">
        <f t="shared" si="85"/>
        <v>0</v>
      </c>
      <c r="R362" s="585"/>
      <c r="S362" s="585"/>
    </row>
    <row r="363" spans="3:19" hidden="1" x14ac:dyDescent="0.25">
      <c r="C363" s="579" t="s">
        <v>206</v>
      </c>
      <c r="D363" s="579" t="s">
        <v>207</v>
      </c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8">
        <f t="shared" si="85"/>
        <v>0</v>
      </c>
      <c r="R363" s="585"/>
      <c r="S363" s="585"/>
    </row>
    <row r="364" spans="3:19" hidden="1" x14ac:dyDescent="0.25">
      <c r="C364" s="579" t="s">
        <v>208</v>
      </c>
      <c r="D364" s="579" t="s">
        <v>187</v>
      </c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8">
        <f t="shared" si="85"/>
        <v>0</v>
      </c>
      <c r="R364" s="585"/>
      <c r="S364" s="585"/>
    </row>
    <row r="365" spans="3:19" hidden="1" x14ac:dyDescent="0.25">
      <c r="C365" s="579" t="s">
        <v>209</v>
      </c>
      <c r="D365" s="579" t="s">
        <v>210</v>
      </c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8">
        <f t="shared" si="85"/>
        <v>0</v>
      </c>
      <c r="R365" s="585"/>
      <c r="S365" s="585"/>
    </row>
    <row r="366" spans="3:19" hidden="1" x14ac:dyDescent="0.25">
      <c r="C366" s="579" t="s">
        <v>211</v>
      </c>
      <c r="D366" s="579" t="s">
        <v>189</v>
      </c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8">
        <f t="shared" si="85"/>
        <v>0</v>
      </c>
      <c r="R366" s="585"/>
      <c r="S366" s="585"/>
    </row>
    <row r="367" spans="3:19" hidden="1" x14ac:dyDescent="0.25">
      <c r="C367" s="579"/>
      <c r="D367" s="579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8">
        <f t="shared" si="85"/>
        <v>0</v>
      </c>
      <c r="R367" s="585"/>
      <c r="S367" s="585"/>
    </row>
    <row r="368" spans="3:19" hidden="1" x14ac:dyDescent="0.25">
      <c r="C368" s="579"/>
      <c r="D368" s="579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8">
        <f t="shared" si="85"/>
        <v>0</v>
      </c>
      <c r="R368" s="585"/>
      <c r="S368" s="585"/>
    </row>
    <row r="369" spans="3:19" hidden="1" x14ac:dyDescent="0.25">
      <c r="C369" s="579"/>
      <c r="D369" s="579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8">
        <f t="shared" si="85"/>
        <v>0</v>
      </c>
      <c r="R369" s="585"/>
      <c r="S369" s="585"/>
    </row>
    <row r="370" spans="3:19" hidden="1" x14ac:dyDescent="0.25">
      <c r="C370" s="579" t="s">
        <v>226</v>
      </c>
      <c r="D370" s="579" t="s">
        <v>226</v>
      </c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8">
        <f t="shared" si="85"/>
        <v>0</v>
      </c>
      <c r="R370" s="585"/>
      <c r="S370" s="585"/>
    </row>
    <row r="371" spans="3:19" hidden="1" x14ac:dyDescent="0.25">
      <c r="C371" s="773" t="s">
        <v>212</v>
      </c>
      <c r="D371" s="774"/>
      <c r="E371" s="588">
        <f t="shared" ref="E371:P371" si="86">SUM(E354:E370)</f>
        <v>0</v>
      </c>
      <c r="F371" s="588">
        <f t="shared" si="86"/>
        <v>0</v>
      </c>
      <c r="G371" s="588">
        <f t="shared" si="86"/>
        <v>0</v>
      </c>
      <c r="H371" s="588">
        <f t="shared" si="86"/>
        <v>0</v>
      </c>
      <c r="I371" s="588">
        <f t="shared" si="86"/>
        <v>0</v>
      </c>
      <c r="J371" s="588">
        <f t="shared" si="86"/>
        <v>0</v>
      </c>
      <c r="K371" s="588">
        <f t="shared" si="86"/>
        <v>0</v>
      </c>
      <c r="L371" s="588">
        <f t="shared" si="86"/>
        <v>0</v>
      </c>
      <c r="M371" s="588">
        <f t="shared" si="86"/>
        <v>0</v>
      </c>
      <c r="N371" s="588">
        <f t="shared" si="86"/>
        <v>0</v>
      </c>
      <c r="O371" s="588">
        <f t="shared" si="86"/>
        <v>0</v>
      </c>
      <c r="P371" s="588">
        <f t="shared" si="86"/>
        <v>0</v>
      </c>
      <c r="Q371" s="588">
        <f t="shared" si="85"/>
        <v>0</v>
      </c>
      <c r="R371" s="585"/>
      <c r="S371" s="585"/>
    </row>
    <row r="372" spans="3:19" hidden="1" x14ac:dyDescent="0.25">
      <c r="C372" s="773" t="s">
        <v>219</v>
      </c>
      <c r="D372" s="774"/>
      <c r="E372" s="588">
        <f t="shared" ref="E372:P372" si="87">E371+E352+E335</f>
        <v>0</v>
      </c>
      <c r="F372" s="588">
        <f t="shared" si="87"/>
        <v>0</v>
      </c>
      <c r="G372" s="588">
        <f t="shared" si="87"/>
        <v>0</v>
      </c>
      <c r="H372" s="588">
        <f t="shared" si="87"/>
        <v>0</v>
      </c>
      <c r="I372" s="588">
        <f t="shared" si="87"/>
        <v>0</v>
      </c>
      <c r="J372" s="588">
        <f t="shared" si="87"/>
        <v>0</v>
      </c>
      <c r="K372" s="588">
        <f t="shared" si="87"/>
        <v>0</v>
      </c>
      <c r="L372" s="588">
        <f t="shared" si="87"/>
        <v>0</v>
      </c>
      <c r="M372" s="588">
        <f t="shared" si="87"/>
        <v>0</v>
      </c>
      <c r="N372" s="588">
        <f t="shared" si="87"/>
        <v>0</v>
      </c>
      <c r="O372" s="588">
        <f t="shared" si="87"/>
        <v>0</v>
      </c>
      <c r="P372" s="588">
        <f t="shared" si="87"/>
        <v>0</v>
      </c>
      <c r="Q372" s="588">
        <f t="shared" si="85"/>
        <v>0</v>
      </c>
      <c r="R372" s="585"/>
      <c r="S372" s="585"/>
    </row>
    <row r="373" spans="3:19" hidden="1" x14ac:dyDescent="0.25">
      <c r="C373" s="773" t="s">
        <v>220</v>
      </c>
      <c r="D373" s="774"/>
      <c r="E373" s="588">
        <f t="shared" ref="E373:P373" si="88">E372+E318</f>
        <v>828.53600000000006</v>
      </c>
      <c r="F373" s="588">
        <f t="shared" si="88"/>
        <v>261.16199999999998</v>
      </c>
      <c r="G373" s="588">
        <f t="shared" si="88"/>
        <v>165.48500000000001</v>
      </c>
      <c r="H373" s="588">
        <f t="shared" si="88"/>
        <v>248.60799999999998</v>
      </c>
      <c r="I373" s="588">
        <f t="shared" si="88"/>
        <v>708.66100000000006</v>
      </c>
      <c r="J373" s="588">
        <f t="shared" si="88"/>
        <v>596.26299999999981</v>
      </c>
      <c r="K373" s="588">
        <f t="shared" si="88"/>
        <v>473.45</v>
      </c>
      <c r="L373" s="588">
        <f t="shared" si="88"/>
        <v>362.08399999999995</v>
      </c>
      <c r="M373" s="588">
        <f t="shared" si="88"/>
        <v>798.97</v>
      </c>
      <c r="N373" s="588">
        <f t="shared" si="88"/>
        <v>972.32460000000003</v>
      </c>
      <c r="O373" s="588">
        <f t="shared" si="88"/>
        <v>1123.4839999999997</v>
      </c>
      <c r="P373" s="588">
        <f t="shared" si="88"/>
        <v>1328.9909999999998</v>
      </c>
      <c r="Q373" s="588">
        <f t="shared" si="85"/>
        <v>7868.0185999999994</v>
      </c>
      <c r="R373" s="585"/>
      <c r="S373" s="585"/>
    </row>
    <row r="374" spans="3:19" hidden="1" x14ac:dyDescent="0.25">
      <c r="C374" s="573"/>
      <c r="D374" s="573"/>
      <c r="E374" s="585"/>
      <c r="F374" s="585"/>
      <c r="G374" s="585"/>
      <c r="H374" s="585"/>
      <c r="I374" s="585"/>
      <c r="J374" s="585"/>
      <c r="K374" s="585"/>
      <c r="L374" s="585"/>
      <c r="M374" s="585"/>
      <c r="N374" s="585"/>
      <c r="O374" s="585"/>
      <c r="P374" s="585"/>
      <c r="Q374" s="585"/>
      <c r="R374" s="585"/>
      <c r="S374" s="585"/>
    </row>
    <row r="375" spans="3:19" hidden="1" x14ac:dyDescent="0.25">
      <c r="C375" s="574"/>
      <c r="E375" s="585"/>
      <c r="F375" s="585"/>
      <c r="G375" s="585"/>
      <c r="H375" s="585"/>
      <c r="I375" s="585"/>
      <c r="J375" s="585"/>
      <c r="K375" s="585"/>
      <c r="L375" s="585"/>
      <c r="M375" s="585"/>
      <c r="N375" s="585"/>
      <c r="O375" s="585"/>
      <c r="P375" s="585"/>
      <c r="Q375" s="586" t="s">
        <v>229</v>
      </c>
      <c r="R375" s="585"/>
      <c r="S375" s="585"/>
    </row>
    <row r="376" spans="3:19" x14ac:dyDescent="0.25">
      <c r="C376" s="777" t="s">
        <v>163</v>
      </c>
      <c r="D376" s="778"/>
      <c r="E376" s="775" t="s">
        <v>1218</v>
      </c>
      <c r="F376" s="775"/>
      <c r="G376" s="775"/>
      <c r="H376" s="775"/>
      <c r="I376" s="775"/>
      <c r="J376" s="775"/>
      <c r="K376" s="775"/>
      <c r="L376" s="775"/>
      <c r="M376" s="775"/>
      <c r="N376" s="775"/>
      <c r="O376" s="775"/>
      <c r="P376" s="775"/>
      <c r="Q376" s="775"/>
      <c r="R376" s="585"/>
      <c r="S376" s="585"/>
    </row>
    <row r="377" spans="3:19" x14ac:dyDescent="0.25">
      <c r="C377" s="779"/>
      <c r="D377" s="780"/>
      <c r="E377" s="587" t="s">
        <v>239</v>
      </c>
      <c r="F377" s="587" t="s">
        <v>240</v>
      </c>
      <c r="G377" s="587" t="s">
        <v>241</v>
      </c>
      <c r="H377" s="587" t="s">
        <v>242</v>
      </c>
      <c r="I377" s="587" t="s">
        <v>243</v>
      </c>
      <c r="J377" s="587" t="s">
        <v>244</v>
      </c>
      <c r="K377" s="587" t="s">
        <v>245</v>
      </c>
      <c r="L377" s="587" t="s">
        <v>246</v>
      </c>
      <c r="M377" s="587" t="s">
        <v>247</v>
      </c>
      <c r="N377" s="587" t="s">
        <v>248</v>
      </c>
      <c r="O377" s="587" t="s">
        <v>249</v>
      </c>
      <c r="P377" s="587" t="s">
        <v>250</v>
      </c>
      <c r="Q377" s="587" t="s">
        <v>251</v>
      </c>
      <c r="R377" s="585"/>
      <c r="S377" s="585"/>
    </row>
    <row r="378" spans="3:19" x14ac:dyDescent="0.25">
      <c r="C378" s="781"/>
      <c r="D378" s="782"/>
      <c r="E378" s="587" t="s">
        <v>24</v>
      </c>
      <c r="F378" s="587" t="s">
        <v>24</v>
      </c>
      <c r="G378" s="587" t="s">
        <v>24</v>
      </c>
      <c r="H378" s="587" t="s">
        <v>24</v>
      </c>
      <c r="I378" s="587" t="s">
        <v>24</v>
      </c>
      <c r="J378" s="587" t="s">
        <v>24</v>
      </c>
      <c r="K378" s="587" t="s">
        <v>24</v>
      </c>
      <c r="L378" s="587" t="s">
        <v>24</v>
      </c>
      <c r="M378" s="587" t="s">
        <v>24</v>
      </c>
      <c r="N378" s="587" t="s">
        <v>24</v>
      </c>
      <c r="O378" s="587" t="s">
        <v>24</v>
      </c>
      <c r="P378" s="587" t="s">
        <v>24</v>
      </c>
      <c r="Q378" s="587" t="s">
        <v>24</v>
      </c>
      <c r="R378" s="585"/>
      <c r="S378" s="585"/>
    </row>
    <row r="379" spans="3:19" x14ac:dyDescent="0.25">
      <c r="C379" s="773" t="s">
        <v>171</v>
      </c>
      <c r="D379" s="774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8"/>
      <c r="R379" s="585"/>
      <c r="S379" s="585"/>
    </row>
    <row r="380" spans="3:19" hidden="1" x14ac:dyDescent="0.25">
      <c r="C380" s="579" t="s">
        <v>172</v>
      </c>
      <c r="D380" s="579" t="s">
        <v>173</v>
      </c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8">
        <f t="shared" ref="Q380:Q393" si="89">SUM(E380:P380)</f>
        <v>0</v>
      </c>
      <c r="R380" s="585"/>
      <c r="S380" s="585"/>
    </row>
    <row r="381" spans="3:19" hidden="1" x14ac:dyDescent="0.25">
      <c r="C381" s="579" t="s">
        <v>174</v>
      </c>
      <c r="D381" s="579" t="s">
        <v>175</v>
      </c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8">
        <f t="shared" si="89"/>
        <v>0</v>
      </c>
      <c r="R381" s="585"/>
      <c r="S381" s="585"/>
    </row>
    <row r="382" spans="3:19" hidden="1" x14ac:dyDescent="0.25">
      <c r="C382" s="579" t="s">
        <v>176</v>
      </c>
      <c r="D382" s="579" t="s">
        <v>177</v>
      </c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8">
        <f t="shared" si="89"/>
        <v>0</v>
      </c>
      <c r="R382" s="585"/>
      <c r="S382" s="585"/>
    </row>
    <row r="383" spans="3:19" hidden="1" x14ac:dyDescent="0.25">
      <c r="C383" s="579" t="s">
        <v>178</v>
      </c>
      <c r="D383" s="579" t="s">
        <v>179</v>
      </c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8">
        <f t="shared" si="89"/>
        <v>0</v>
      </c>
      <c r="R383" s="585"/>
      <c r="S383" s="585"/>
    </row>
    <row r="384" spans="3:19" x14ac:dyDescent="0.25">
      <c r="C384" s="579" t="s">
        <v>180</v>
      </c>
      <c r="D384" s="579" t="s">
        <v>181</v>
      </c>
      <c r="E384" s="583">
        <f>[8]Sales_NP!FE46</f>
        <v>727.85154749842286</v>
      </c>
      <c r="F384" s="583">
        <f>[8]Sales_NP!FF46</f>
        <v>259.20800000000003</v>
      </c>
      <c r="G384" s="583">
        <f>[8]Sales_NP!FG46</f>
        <v>305.685</v>
      </c>
      <c r="H384" s="583">
        <f>[8]Sales_NP!FH46</f>
        <v>410.39100000000002</v>
      </c>
      <c r="I384" s="583">
        <f>[8]Sales_NP!FI46</f>
        <v>996.88799999999992</v>
      </c>
      <c r="J384" s="583">
        <f>[8]Sales_NP!FJ46</f>
        <v>623.03300000000002</v>
      </c>
      <c r="K384" s="583">
        <f>[8]Sales_NP!FK46</f>
        <v>1124.2699999999998</v>
      </c>
      <c r="L384" s="583">
        <f>[8]Sales_NP!FL46</f>
        <v>478.21299999999991</v>
      </c>
      <c r="M384" s="583">
        <f>[8]Sales_NP!FM46</f>
        <v>688.51599999999996</v>
      </c>
      <c r="N384" s="583">
        <f>[8]Sales_NP!FN46</f>
        <v>1125.3499999999999</v>
      </c>
      <c r="O384" s="583">
        <f>[8]Sales_NP!FO46</f>
        <v>1226.6969999999997</v>
      </c>
      <c r="P384" s="583">
        <f>[8]Sales_NP!FP46</f>
        <v>1480.9286346352885</v>
      </c>
      <c r="Q384" s="588">
        <f t="shared" si="89"/>
        <v>9447.0311821337109</v>
      </c>
      <c r="R384" s="585"/>
      <c r="S384" s="585"/>
    </row>
    <row r="385" spans="3:19" hidden="1" x14ac:dyDescent="0.25">
      <c r="C385" s="579" t="s">
        <v>182</v>
      </c>
      <c r="D385" s="579" t="s">
        <v>183</v>
      </c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8">
        <f t="shared" si="89"/>
        <v>0</v>
      </c>
      <c r="R385" s="585"/>
      <c r="S385" s="585"/>
    </row>
    <row r="386" spans="3:19" hidden="1" x14ac:dyDescent="0.25">
      <c r="C386" s="579" t="s">
        <v>184</v>
      </c>
      <c r="D386" s="579" t="s">
        <v>185</v>
      </c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8">
        <f t="shared" si="89"/>
        <v>0</v>
      </c>
      <c r="R386" s="585"/>
      <c r="S386" s="585"/>
    </row>
    <row r="387" spans="3:19" hidden="1" x14ac:dyDescent="0.25">
      <c r="C387" s="579" t="s">
        <v>186</v>
      </c>
      <c r="D387" s="579" t="s">
        <v>187</v>
      </c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8">
        <f t="shared" si="89"/>
        <v>0</v>
      </c>
      <c r="R387" s="585"/>
      <c r="S387" s="585"/>
    </row>
    <row r="388" spans="3:19" hidden="1" x14ac:dyDescent="0.25">
      <c r="C388" s="579" t="s">
        <v>188</v>
      </c>
      <c r="D388" s="579" t="s">
        <v>189</v>
      </c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8">
        <f t="shared" si="89"/>
        <v>0</v>
      </c>
      <c r="R388" s="585"/>
      <c r="S388" s="585"/>
    </row>
    <row r="389" spans="3:19" hidden="1" x14ac:dyDescent="0.25">
      <c r="C389" s="579"/>
      <c r="D389" s="579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8">
        <f t="shared" si="89"/>
        <v>0</v>
      </c>
      <c r="R389" s="585"/>
      <c r="S389" s="585"/>
    </row>
    <row r="390" spans="3:19" hidden="1" x14ac:dyDescent="0.25">
      <c r="C390" s="579"/>
      <c r="D390" s="579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8">
        <f t="shared" si="89"/>
        <v>0</v>
      </c>
      <c r="R390" s="585"/>
      <c r="S390" s="585"/>
    </row>
    <row r="391" spans="3:19" hidden="1" x14ac:dyDescent="0.25">
      <c r="C391" s="579"/>
      <c r="D391" s="579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8">
        <f t="shared" si="89"/>
        <v>0</v>
      </c>
      <c r="R391" s="585"/>
      <c r="S391" s="585"/>
    </row>
    <row r="392" spans="3:19" hidden="1" x14ac:dyDescent="0.25">
      <c r="C392" s="579" t="s">
        <v>226</v>
      </c>
      <c r="D392" s="579" t="s">
        <v>226</v>
      </c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8">
        <f t="shared" si="89"/>
        <v>0</v>
      </c>
      <c r="R392" s="585"/>
      <c r="S392" s="585"/>
    </row>
    <row r="393" spans="3:19" hidden="1" x14ac:dyDescent="0.25">
      <c r="C393" s="773" t="s">
        <v>190</v>
      </c>
      <c r="D393" s="774"/>
      <c r="E393" s="588">
        <f t="shared" ref="E393:P393" si="90">SUM(E380:E392)</f>
        <v>727.85154749842286</v>
      </c>
      <c r="F393" s="588">
        <f t="shared" si="90"/>
        <v>259.20800000000003</v>
      </c>
      <c r="G393" s="588">
        <f t="shared" si="90"/>
        <v>305.685</v>
      </c>
      <c r="H393" s="588">
        <f t="shared" si="90"/>
        <v>410.39100000000002</v>
      </c>
      <c r="I393" s="588">
        <f t="shared" si="90"/>
        <v>996.88799999999992</v>
      </c>
      <c r="J393" s="588">
        <f t="shared" si="90"/>
        <v>623.03300000000002</v>
      </c>
      <c r="K393" s="588">
        <f t="shared" si="90"/>
        <v>1124.2699999999998</v>
      </c>
      <c r="L393" s="588">
        <f t="shared" si="90"/>
        <v>478.21299999999991</v>
      </c>
      <c r="M393" s="588">
        <f t="shared" si="90"/>
        <v>688.51599999999996</v>
      </c>
      <c r="N393" s="588">
        <f t="shared" si="90"/>
        <v>1125.3499999999999</v>
      </c>
      <c r="O393" s="588">
        <f t="shared" si="90"/>
        <v>1226.6969999999997</v>
      </c>
      <c r="P393" s="588">
        <f t="shared" si="90"/>
        <v>1480.9286346352885</v>
      </c>
      <c r="Q393" s="588">
        <f t="shared" si="89"/>
        <v>9447.0311821337109</v>
      </c>
      <c r="R393" s="585"/>
      <c r="S393" s="585"/>
    </row>
    <row r="394" spans="3:19" hidden="1" x14ac:dyDescent="0.25">
      <c r="C394" s="773" t="s">
        <v>191</v>
      </c>
      <c r="D394" s="774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8"/>
      <c r="R394" s="585"/>
      <c r="S394" s="585"/>
    </row>
    <row r="395" spans="3:19" hidden="1" x14ac:dyDescent="0.25">
      <c r="C395" s="579" t="s">
        <v>192</v>
      </c>
      <c r="D395" s="579" t="s">
        <v>193</v>
      </c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8">
        <f t="shared" ref="Q395:Q410" si="91">SUM(E395:P395)</f>
        <v>0</v>
      </c>
      <c r="R395" s="585"/>
      <c r="S395" s="585"/>
    </row>
    <row r="396" spans="3:19" hidden="1" x14ac:dyDescent="0.25">
      <c r="C396" s="579" t="s">
        <v>194</v>
      </c>
      <c r="D396" s="579" t="s">
        <v>195</v>
      </c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8">
        <f t="shared" si="91"/>
        <v>0</v>
      </c>
      <c r="R396" s="585"/>
      <c r="S396" s="585"/>
    </row>
    <row r="397" spans="3:19" hidden="1" x14ac:dyDescent="0.25">
      <c r="C397" s="579" t="s">
        <v>233</v>
      </c>
      <c r="D397" s="579" t="s">
        <v>197</v>
      </c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8">
        <f t="shared" si="91"/>
        <v>0</v>
      </c>
      <c r="R397" s="585"/>
      <c r="S397" s="585"/>
    </row>
    <row r="398" spans="3:19" hidden="1" x14ac:dyDescent="0.25">
      <c r="C398" s="579" t="s">
        <v>198</v>
      </c>
      <c r="D398" s="579" t="s">
        <v>199</v>
      </c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8">
        <f t="shared" si="91"/>
        <v>0</v>
      </c>
      <c r="R398" s="585"/>
      <c r="S398" s="585"/>
    </row>
    <row r="399" spans="3:19" hidden="1" x14ac:dyDescent="0.25">
      <c r="C399" s="579" t="s">
        <v>200</v>
      </c>
      <c r="D399" s="579" t="s">
        <v>201</v>
      </c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8">
        <f t="shared" si="91"/>
        <v>0</v>
      </c>
      <c r="R399" s="585"/>
      <c r="S399" s="585"/>
    </row>
    <row r="400" spans="3:19" hidden="1" x14ac:dyDescent="0.25">
      <c r="C400" s="579" t="s">
        <v>202</v>
      </c>
      <c r="D400" s="579" t="s">
        <v>203</v>
      </c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8">
        <f t="shared" si="91"/>
        <v>0</v>
      </c>
      <c r="R400" s="585"/>
      <c r="S400" s="585"/>
    </row>
    <row r="401" spans="3:19" hidden="1" x14ac:dyDescent="0.25">
      <c r="C401" s="579" t="s">
        <v>204</v>
      </c>
      <c r="D401" s="579" t="s">
        <v>205</v>
      </c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8">
        <f t="shared" si="91"/>
        <v>0</v>
      </c>
      <c r="R401" s="585"/>
      <c r="S401" s="585"/>
    </row>
    <row r="402" spans="3:19" hidden="1" x14ac:dyDescent="0.25">
      <c r="C402" s="579" t="s">
        <v>206</v>
      </c>
      <c r="D402" s="579" t="s">
        <v>207</v>
      </c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8">
        <f t="shared" si="91"/>
        <v>0</v>
      </c>
      <c r="R402" s="585"/>
      <c r="S402" s="585"/>
    </row>
    <row r="403" spans="3:19" hidden="1" x14ac:dyDescent="0.25">
      <c r="C403" s="579" t="s">
        <v>208</v>
      </c>
      <c r="D403" s="579" t="s">
        <v>187</v>
      </c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8">
        <f t="shared" si="91"/>
        <v>0</v>
      </c>
      <c r="R403" s="585"/>
      <c r="S403" s="585"/>
    </row>
    <row r="404" spans="3:19" hidden="1" x14ac:dyDescent="0.25">
      <c r="C404" s="579" t="s">
        <v>209</v>
      </c>
      <c r="D404" s="579" t="s">
        <v>210</v>
      </c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8">
        <f t="shared" si="91"/>
        <v>0</v>
      </c>
      <c r="R404" s="585"/>
      <c r="S404" s="585"/>
    </row>
    <row r="405" spans="3:19" hidden="1" x14ac:dyDescent="0.25">
      <c r="C405" s="579" t="s">
        <v>211</v>
      </c>
      <c r="D405" s="579" t="s">
        <v>189</v>
      </c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8">
        <f t="shared" si="91"/>
        <v>0</v>
      </c>
      <c r="R405" s="585"/>
      <c r="S405" s="585"/>
    </row>
    <row r="406" spans="3:19" hidden="1" x14ac:dyDescent="0.25">
      <c r="C406" s="579"/>
      <c r="D406" s="579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8">
        <f t="shared" si="91"/>
        <v>0</v>
      </c>
      <c r="R406" s="585"/>
      <c r="S406" s="585"/>
    </row>
    <row r="407" spans="3:19" hidden="1" x14ac:dyDescent="0.25">
      <c r="C407" s="579"/>
      <c r="D407" s="579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8">
        <f t="shared" si="91"/>
        <v>0</v>
      </c>
      <c r="R407" s="585"/>
      <c r="S407" s="585"/>
    </row>
    <row r="408" spans="3:19" hidden="1" x14ac:dyDescent="0.25">
      <c r="C408" s="579"/>
      <c r="D408" s="579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8">
        <f t="shared" si="91"/>
        <v>0</v>
      </c>
      <c r="R408" s="585"/>
      <c r="S408" s="585"/>
    </row>
    <row r="409" spans="3:19" hidden="1" x14ac:dyDescent="0.25">
      <c r="C409" s="579" t="s">
        <v>226</v>
      </c>
      <c r="D409" s="579" t="s">
        <v>226</v>
      </c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8">
        <f t="shared" si="91"/>
        <v>0</v>
      </c>
      <c r="R409" s="585"/>
      <c r="S409" s="585"/>
    </row>
    <row r="410" spans="3:19" hidden="1" x14ac:dyDescent="0.25">
      <c r="C410" s="773" t="s">
        <v>212</v>
      </c>
      <c r="D410" s="774"/>
      <c r="E410" s="588">
        <f t="shared" ref="E410:P410" si="92">SUM(E395:E409)</f>
        <v>0</v>
      </c>
      <c r="F410" s="588">
        <f t="shared" si="92"/>
        <v>0</v>
      </c>
      <c r="G410" s="588">
        <f t="shared" si="92"/>
        <v>0</v>
      </c>
      <c r="H410" s="588">
        <f t="shared" si="92"/>
        <v>0</v>
      </c>
      <c r="I410" s="588">
        <f t="shared" si="92"/>
        <v>0</v>
      </c>
      <c r="J410" s="588">
        <f t="shared" si="92"/>
        <v>0</v>
      </c>
      <c r="K410" s="588">
        <f t="shared" si="92"/>
        <v>0</v>
      </c>
      <c r="L410" s="588">
        <f t="shared" si="92"/>
        <v>0</v>
      </c>
      <c r="M410" s="588">
        <f t="shared" si="92"/>
        <v>0</v>
      </c>
      <c r="N410" s="588">
        <f t="shared" si="92"/>
        <v>0</v>
      </c>
      <c r="O410" s="588">
        <f t="shared" si="92"/>
        <v>0</v>
      </c>
      <c r="P410" s="588">
        <f t="shared" si="92"/>
        <v>0</v>
      </c>
      <c r="Q410" s="588">
        <f t="shared" si="91"/>
        <v>0</v>
      </c>
      <c r="R410" s="585"/>
      <c r="S410" s="585"/>
    </row>
    <row r="411" spans="3:19" hidden="1" x14ac:dyDescent="0.25">
      <c r="C411" s="773" t="s">
        <v>213</v>
      </c>
      <c r="D411" s="774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8"/>
      <c r="R411" s="585"/>
      <c r="S411" s="585"/>
    </row>
    <row r="412" spans="3:19" hidden="1" x14ac:dyDescent="0.25">
      <c r="C412" s="579" t="s">
        <v>192</v>
      </c>
      <c r="D412" s="579" t="s">
        <v>193</v>
      </c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8">
        <f t="shared" ref="Q412:Q427" si="93">SUM(E412:P412)</f>
        <v>0</v>
      </c>
      <c r="R412" s="585"/>
      <c r="S412" s="585"/>
    </row>
    <row r="413" spans="3:19" hidden="1" x14ac:dyDescent="0.25">
      <c r="C413" s="579" t="s">
        <v>194</v>
      </c>
      <c r="D413" s="579" t="s">
        <v>195</v>
      </c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8">
        <f t="shared" si="93"/>
        <v>0</v>
      </c>
      <c r="R413" s="585"/>
      <c r="S413" s="585"/>
    </row>
    <row r="414" spans="3:19" hidden="1" x14ac:dyDescent="0.25">
      <c r="C414" s="579" t="s">
        <v>233</v>
      </c>
      <c r="D414" s="579" t="s">
        <v>197</v>
      </c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8">
        <f t="shared" si="93"/>
        <v>0</v>
      </c>
      <c r="R414" s="585"/>
      <c r="S414" s="585"/>
    </row>
    <row r="415" spans="3:19" hidden="1" x14ac:dyDescent="0.25">
      <c r="C415" s="579" t="s">
        <v>198</v>
      </c>
      <c r="D415" s="579" t="s">
        <v>199</v>
      </c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8">
        <f t="shared" si="93"/>
        <v>0</v>
      </c>
      <c r="R415" s="585"/>
      <c r="S415" s="585"/>
    </row>
    <row r="416" spans="3:19" hidden="1" x14ac:dyDescent="0.25">
      <c r="C416" s="579" t="s">
        <v>200</v>
      </c>
      <c r="D416" s="579" t="s">
        <v>201</v>
      </c>
      <c r="E416" s="583"/>
      <c r="F416" s="583"/>
      <c r="G416" s="583"/>
      <c r="H416" s="583"/>
      <c r="I416" s="583"/>
      <c r="J416" s="583"/>
      <c r="K416" s="583"/>
      <c r="L416" s="583"/>
      <c r="M416" s="583"/>
      <c r="N416" s="583"/>
      <c r="O416" s="583"/>
      <c r="P416" s="583"/>
      <c r="Q416" s="588">
        <f t="shared" si="93"/>
        <v>0</v>
      </c>
      <c r="R416" s="585"/>
      <c r="S416" s="585"/>
    </row>
    <row r="417" spans="3:19" hidden="1" x14ac:dyDescent="0.25">
      <c r="C417" s="579" t="s">
        <v>202</v>
      </c>
      <c r="D417" s="579" t="s">
        <v>203</v>
      </c>
      <c r="E417" s="583"/>
      <c r="F417" s="583"/>
      <c r="G417" s="583"/>
      <c r="H417" s="583"/>
      <c r="I417" s="583"/>
      <c r="J417" s="583"/>
      <c r="K417" s="583"/>
      <c r="L417" s="583"/>
      <c r="M417" s="583"/>
      <c r="N417" s="583"/>
      <c r="O417" s="583"/>
      <c r="P417" s="583"/>
      <c r="Q417" s="588">
        <f t="shared" si="93"/>
        <v>0</v>
      </c>
      <c r="R417" s="585"/>
      <c r="S417" s="585"/>
    </row>
    <row r="418" spans="3:19" hidden="1" x14ac:dyDescent="0.25">
      <c r="C418" s="579" t="s">
        <v>204</v>
      </c>
      <c r="D418" s="579" t="s">
        <v>205</v>
      </c>
      <c r="E418" s="583"/>
      <c r="F418" s="583"/>
      <c r="G418" s="583"/>
      <c r="H418" s="583"/>
      <c r="I418" s="583"/>
      <c r="J418" s="583"/>
      <c r="K418" s="583"/>
      <c r="L418" s="583"/>
      <c r="M418" s="583"/>
      <c r="N418" s="583"/>
      <c r="O418" s="583"/>
      <c r="P418" s="583"/>
      <c r="Q418" s="588">
        <f t="shared" si="93"/>
        <v>0</v>
      </c>
      <c r="R418" s="585"/>
      <c r="S418" s="585"/>
    </row>
    <row r="419" spans="3:19" hidden="1" x14ac:dyDescent="0.25">
      <c r="C419" s="579" t="s">
        <v>206</v>
      </c>
      <c r="D419" s="579" t="s">
        <v>207</v>
      </c>
      <c r="E419" s="583"/>
      <c r="F419" s="583"/>
      <c r="G419" s="583"/>
      <c r="H419" s="583"/>
      <c r="I419" s="583"/>
      <c r="J419" s="583"/>
      <c r="K419" s="583"/>
      <c r="L419" s="583"/>
      <c r="M419" s="583"/>
      <c r="N419" s="583"/>
      <c r="O419" s="583"/>
      <c r="P419" s="583"/>
      <c r="Q419" s="588">
        <f t="shared" si="93"/>
        <v>0</v>
      </c>
      <c r="R419" s="585"/>
      <c r="S419" s="585"/>
    </row>
    <row r="420" spans="3:19" hidden="1" x14ac:dyDescent="0.25">
      <c r="C420" s="579" t="s">
        <v>214</v>
      </c>
      <c r="D420" s="579" t="s">
        <v>187</v>
      </c>
      <c r="E420" s="583"/>
      <c r="F420" s="583"/>
      <c r="G420" s="583"/>
      <c r="H420" s="583"/>
      <c r="I420" s="583"/>
      <c r="J420" s="583"/>
      <c r="K420" s="583"/>
      <c r="L420" s="583"/>
      <c r="M420" s="583"/>
      <c r="N420" s="583"/>
      <c r="O420" s="583"/>
      <c r="P420" s="583"/>
      <c r="Q420" s="588">
        <f t="shared" si="93"/>
        <v>0</v>
      </c>
      <c r="R420" s="585"/>
      <c r="S420" s="585"/>
    </row>
    <row r="421" spans="3:19" hidden="1" x14ac:dyDescent="0.25">
      <c r="C421" s="579" t="s">
        <v>209</v>
      </c>
      <c r="D421" s="579" t="s">
        <v>210</v>
      </c>
      <c r="E421" s="583"/>
      <c r="F421" s="583"/>
      <c r="G421" s="583"/>
      <c r="H421" s="583"/>
      <c r="I421" s="583"/>
      <c r="J421" s="583"/>
      <c r="K421" s="583"/>
      <c r="L421" s="583"/>
      <c r="M421" s="583"/>
      <c r="N421" s="583"/>
      <c r="O421" s="583"/>
      <c r="P421" s="583"/>
      <c r="Q421" s="588">
        <f t="shared" si="93"/>
        <v>0</v>
      </c>
      <c r="R421" s="585"/>
      <c r="S421" s="585"/>
    </row>
    <row r="422" spans="3:19" hidden="1" x14ac:dyDescent="0.25">
      <c r="C422" s="579" t="s">
        <v>211</v>
      </c>
      <c r="D422" s="579" t="s">
        <v>189</v>
      </c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8">
        <f t="shared" si="93"/>
        <v>0</v>
      </c>
      <c r="R422" s="585"/>
      <c r="S422" s="585"/>
    </row>
    <row r="423" spans="3:19" hidden="1" x14ac:dyDescent="0.25">
      <c r="C423" s="579"/>
      <c r="D423" s="579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8">
        <f t="shared" si="93"/>
        <v>0</v>
      </c>
      <c r="R423" s="585"/>
      <c r="S423" s="585"/>
    </row>
    <row r="424" spans="3:19" hidden="1" x14ac:dyDescent="0.25">
      <c r="C424" s="579"/>
      <c r="D424" s="579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8">
        <f t="shared" si="93"/>
        <v>0</v>
      </c>
      <c r="R424" s="585"/>
      <c r="S424" s="585"/>
    </row>
    <row r="425" spans="3:19" hidden="1" x14ac:dyDescent="0.25">
      <c r="C425" s="579"/>
      <c r="D425" s="579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8">
        <f t="shared" si="93"/>
        <v>0</v>
      </c>
      <c r="R425" s="585"/>
      <c r="S425" s="585"/>
    </row>
    <row r="426" spans="3:19" hidden="1" x14ac:dyDescent="0.25">
      <c r="C426" s="579" t="s">
        <v>226</v>
      </c>
      <c r="D426" s="579" t="s">
        <v>226</v>
      </c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8">
        <f t="shared" si="93"/>
        <v>0</v>
      </c>
      <c r="R426" s="585"/>
      <c r="S426" s="585"/>
    </row>
    <row r="427" spans="3:19" hidden="1" x14ac:dyDescent="0.25">
      <c r="C427" s="773" t="s">
        <v>212</v>
      </c>
      <c r="D427" s="774"/>
      <c r="E427" s="588">
        <f t="shared" ref="E427:P427" si="94">SUM(E412:E426)</f>
        <v>0</v>
      </c>
      <c r="F427" s="588">
        <f t="shared" si="94"/>
        <v>0</v>
      </c>
      <c r="G427" s="588">
        <f t="shared" si="94"/>
        <v>0</v>
      </c>
      <c r="H427" s="588">
        <f t="shared" si="94"/>
        <v>0</v>
      </c>
      <c r="I427" s="588">
        <f t="shared" si="94"/>
        <v>0</v>
      </c>
      <c r="J427" s="588">
        <f t="shared" si="94"/>
        <v>0</v>
      </c>
      <c r="K427" s="588">
        <f t="shared" si="94"/>
        <v>0</v>
      </c>
      <c r="L427" s="588">
        <f t="shared" si="94"/>
        <v>0</v>
      </c>
      <c r="M427" s="588">
        <f t="shared" si="94"/>
        <v>0</v>
      </c>
      <c r="N427" s="588">
        <f t="shared" si="94"/>
        <v>0</v>
      </c>
      <c r="O427" s="588">
        <f t="shared" si="94"/>
        <v>0</v>
      </c>
      <c r="P427" s="588">
        <f t="shared" si="94"/>
        <v>0</v>
      </c>
      <c r="Q427" s="588">
        <f t="shared" si="93"/>
        <v>0</v>
      </c>
      <c r="R427" s="585"/>
      <c r="S427" s="585"/>
    </row>
    <row r="428" spans="3:19" hidden="1" x14ac:dyDescent="0.25">
      <c r="C428" s="773" t="s">
        <v>215</v>
      </c>
      <c r="D428" s="774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8"/>
      <c r="R428" s="585"/>
      <c r="S428" s="585"/>
    </row>
    <row r="429" spans="3:19" hidden="1" x14ac:dyDescent="0.25">
      <c r="C429" s="579" t="s">
        <v>192</v>
      </c>
      <c r="D429" s="579" t="s">
        <v>193</v>
      </c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8">
        <f t="shared" ref="Q429:Q448" si="95">SUM(E429:P429)</f>
        <v>0</v>
      </c>
      <c r="R429" s="585"/>
      <c r="S429" s="585"/>
    </row>
    <row r="430" spans="3:19" hidden="1" x14ac:dyDescent="0.25">
      <c r="C430" s="579" t="s">
        <v>194</v>
      </c>
      <c r="D430" s="579" t="s">
        <v>195</v>
      </c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8">
        <f t="shared" si="95"/>
        <v>0</v>
      </c>
      <c r="R430" s="585"/>
      <c r="S430" s="585"/>
    </row>
    <row r="431" spans="3:19" hidden="1" x14ac:dyDescent="0.25">
      <c r="C431" s="579" t="s">
        <v>233</v>
      </c>
      <c r="D431" s="579" t="s">
        <v>197</v>
      </c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8">
        <f t="shared" si="95"/>
        <v>0</v>
      </c>
      <c r="R431" s="585"/>
      <c r="S431" s="585"/>
    </row>
    <row r="432" spans="3:19" hidden="1" x14ac:dyDescent="0.25">
      <c r="C432" s="579" t="s">
        <v>198</v>
      </c>
      <c r="D432" s="579" t="s">
        <v>199</v>
      </c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8">
        <f t="shared" si="95"/>
        <v>0</v>
      </c>
      <c r="R432" s="585"/>
      <c r="S432" s="585"/>
    </row>
    <row r="433" spans="3:19" hidden="1" x14ac:dyDescent="0.25">
      <c r="C433" s="579" t="s">
        <v>200</v>
      </c>
      <c r="D433" s="579" t="s">
        <v>201</v>
      </c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8">
        <f t="shared" si="95"/>
        <v>0</v>
      </c>
      <c r="R433" s="585"/>
      <c r="S433" s="585"/>
    </row>
    <row r="434" spans="3:19" hidden="1" x14ac:dyDescent="0.25">
      <c r="C434" s="579" t="s">
        <v>202</v>
      </c>
      <c r="D434" s="579" t="s">
        <v>234</v>
      </c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8">
        <f t="shared" si="95"/>
        <v>0</v>
      </c>
      <c r="R434" s="585"/>
      <c r="S434" s="585"/>
    </row>
    <row r="435" spans="3:19" hidden="1" x14ac:dyDescent="0.25">
      <c r="C435" s="579" t="s">
        <v>204</v>
      </c>
      <c r="D435" s="579" t="s">
        <v>216</v>
      </c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8">
        <f t="shared" si="95"/>
        <v>0</v>
      </c>
      <c r="R435" s="585"/>
      <c r="S435" s="585"/>
    </row>
    <row r="436" spans="3:19" hidden="1" x14ac:dyDescent="0.25">
      <c r="C436" s="579" t="s">
        <v>217</v>
      </c>
      <c r="D436" s="579" t="s">
        <v>218</v>
      </c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8">
        <f t="shared" si="95"/>
        <v>0</v>
      </c>
      <c r="R436" s="585"/>
      <c r="S436" s="585"/>
    </row>
    <row r="437" spans="3:19" hidden="1" x14ac:dyDescent="0.25">
      <c r="C437" s="579" t="s">
        <v>252</v>
      </c>
      <c r="D437" s="579" t="s">
        <v>236</v>
      </c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8">
        <f t="shared" si="95"/>
        <v>0</v>
      </c>
      <c r="R437" s="585"/>
      <c r="S437" s="585"/>
    </row>
    <row r="438" spans="3:19" hidden="1" x14ac:dyDescent="0.25">
      <c r="C438" s="579" t="s">
        <v>206</v>
      </c>
      <c r="D438" s="579" t="s">
        <v>207</v>
      </c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8">
        <f t="shared" si="95"/>
        <v>0</v>
      </c>
      <c r="R438" s="585"/>
      <c r="S438" s="585"/>
    </row>
    <row r="439" spans="3:19" hidden="1" x14ac:dyDescent="0.25">
      <c r="C439" s="579" t="s">
        <v>208</v>
      </c>
      <c r="D439" s="579" t="s">
        <v>187</v>
      </c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8">
        <f t="shared" si="95"/>
        <v>0</v>
      </c>
      <c r="R439" s="585"/>
      <c r="S439" s="585"/>
    </row>
    <row r="440" spans="3:19" hidden="1" x14ac:dyDescent="0.25">
      <c r="C440" s="579" t="s">
        <v>209</v>
      </c>
      <c r="D440" s="579" t="s">
        <v>210</v>
      </c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8">
        <f t="shared" si="95"/>
        <v>0</v>
      </c>
      <c r="R440" s="585"/>
      <c r="S440" s="585"/>
    </row>
    <row r="441" spans="3:19" hidden="1" x14ac:dyDescent="0.25">
      <c r="C441" s="579" t="s">
        <v>211</v>
      </c>
      <c r="D441" s="579" t="s">
        <v>189</v>
      </c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8">
        <f t="shared" si="95"/>
        <v>0</v>
      </c>
      <c r="R441" s="585"/>
      <c r="S441" s="585"/>
    </row>
    <row r="442" spans="3:19" hidden="1" x14ac:dyDescent="0.25">
      <c r="C442" s="579"/>
      <c r="D442" s="579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8">
        <f t="shared" si="95"/>
        <v>0</v>
      </c>
      <c r="R442" s="585"/>
      <c r="S442" s="585"/>
    </row>
    <row r="443" spans="3:19" hidden="1" x14ac:dyDescent="0.25">
      <c r="C443" s="579"/>
      <c r="D443" s="579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8">
        <f t="shared" si="95"/>
        <v>0</v>
      </c>
      <c r="R443" s="585"/>
      <c r="S443" s="585"/>
    </row>
    <row r="444" spans="3:19" hidden="1" x14ac:dyDescent="0.25">
      <c r="C444" s="579"/>
      <c r="D444" s="579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8">
        <f t="shared" si="95"/>
        <v>0</v>
      </c>
      <c r="R444" s="585"/>
      <c r="S444" s="585"/>
    </row>
    <row r="445" spans="3:19" hidden="1" x14ac:dyDescent="0.25">
      <c r="C445" s="579" t="s">
        <v>226</v>
      </c>
      <c r="D445" s="579" t="s">
        <v>226</v>
      </c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8">
        <f t="shared" si="95"/>
        <v>0</v>
      </c>
      <c r="R445" s="585"/>
      <c r="S445" s="585"/>
    </row>
    <row r="446" spans="3:19" hidden="1" x14ac:dyDescent="0.25">
      <c r="C446" s="773" t="s">
        <v>212</v>
      </c>
      <c r="D446" s="774"/>
      <c r="E446" s="588">
        <f t="shared" ref="E446:P446" si="96">SUM(E429:E445)</f>
        <v>0</v>
      </c>
      <c r="F446" s="588">
        <f t="shared" si="96"/>
        <v>0</v>
      </c>
      <c r="G446" s="588">
        <f t="shared" si="96"/>
        <v>0</v>
      </c>
      <c r="H446" s="588">
        <f t="shared" si="96"/>
        <v>0</v>
      </c>
      <c r="I446" s="588">
        <f t="shared" si="96"/>
        <v>0</v>
      </c>
      <c r="J446" s="588">
        <f t="shared" si="96"/>
        <v>0</v>
      </c>
      <c r="K446" s="588">
        <f t="shared" si="96"/>
        <v>0</v>
      </c>
      <c r="L446" s="588">
        <f t="shared" si="96"/>
        <v>0</v>
      </c>
      <c r="M446" s="588">
        <f t="shared" si="96"/>
        <v>0</v>
      </c>
      <c r="N446" s="588">
        <f t="shared" si="96"/>
        <v>0</v>
      </c>
      <c r="O446" s="588">
        <f t="shared" si="96"/>
        <v>0</v>
      </c>
      <c r="P446" s="588">
        <f t="shared" si="96"/>
        <v>0</v>
      </c>
      <c r="Q446" s="588">
        <f t="shared" si="95"/>
        <v>0</v>
      </c>
      <c r="R446" s="585"/>
      <c r="S446" s="585"/>
    </row>
    <row r="447" spans="3:19" hidden="1" x14ac:dyDescent="0.25">
      <c r="C447" s="773" t="s">
        <v>219</v>
      </c>
      <c r="D447" s="774"/>
      <c r="E447" s="588">
        <f t="shared" ref="E447:P447" si="97">E446+E427+E410</f>
        <v>0</v>
      </c>
      <c r="F447" s="588">
        <f t="shared" si="97"/>
        <v>0</v>
      </c>
      <c r="G447" s="588">
        <f t="shared" si="97"/>
        <v>0</v>
      </c>
      <c r="H447" s="588">
        <f t="shared" si="97"/>
        <v>0</v>
      </c>
      <c r="I447" s="588">
        <f t="shared" si="97"/>
        <v>0</v>
      </c>
      <c r="J447" s="588">
        <f t="shared" si="97"/>
        <v>0</v>
      </c>
      <c r="K447" s="588">
        <f t="shared" si="97"/>
        <v>0</v>
      </c>
      <c r="L447" s="588">
        <f t="shared" si="97"/>
        <v>0</v>
      </c>
      <c r="M447" s="588">
        <f t="shared" si="97"/>
        <v>0</v>
      </c>
      <c r="N447" s="588">
        <f t="shared" si="97"/>
        <v>0</v>
      </c>
      <c r="O447" s="588">
        <f t="shared" si="97"/>
        <v>0</v>
      </c>
      <c r="P447" s="588">
        <f t="shared" si="97"/>
        <v>0</v>
      </c>
      <c r="Q447" s="588">
        <f t="shared" si="95"/>
        <v>0</v>
      </c>
      <c r="R447" s="585"/>
      <c r="S447" s="585"/>
    </row>
    <row r="448" spans="3:19" x14ac:dyDescent="0.25">
      <c r="C448" s="773" t="s">
        <v>220</v>
      </c>
      <c r="D448" s="774"/>
      <c r="E448" s="588">
        <f t="shared" ref="E448:P448" si="98">E447+E393</f>
        <v>727.85154749842286</v>
      </c>
      <c r="F448" s="588">
        <f t="shared" si="98"/>
        <v>259.20800000000003</v>
      </c>
      <c r="G448" s="588">
        <f t="shared" si="98"/>
        <v>305.685</v>
      </c>
      <c r="H448" s="588">
        <f t="shared" si="98"/>
        <v>410.39100000000002</v>
      </c>
      <c r="I448" s="588">
        <f t="shared" si="98"/>
        <v>996.88799999999992</v>
      </c>
      <c r="J448" s="588">
        <f t="shared" si="98"/>
        <v>623.03300000000002</v>
      </c>
      <c r="K448" s="588">
        <f t="shared" si="98"/>
        <v>1124.2699999999998</v>
      </c>
      <c r="L448" s="588">
        <f t="shared" si="98"/>
        <v>478.21299999999991</v>
      </c>
      <c r="M448" s="588">
        <f t="shared" si="98"/>
        <v>688.51599999999996</v>
      </c>
      <c r="N448" s="588">
        <f t="shared" si="98"/>
        <v>1125.3499999999999</v>
      </c>
      <c r="O448" s="588">
        <f t="shared" si="98"/>
        <v>1226.6969999999997</v>
      </c>
      <c r="P448" s="588">
        <f t="shared" si="98"/>
        <v>1480.9286346352885</v>
      </c>
      <c r="Q448" s="588">
        <f t="shared" si="95"/>
        <v>9447.0311821337109</v>
      </c>
      <c r="R448" s="585"/>
      <c r="S448" s="585"/>
    </row>
    <row r="449" spans="3:19" x14ac:dyDescent="0.25">
      <c r="E449" s="585"/>
      <c r="F449" s="585"/>
      <c r="G449" s="585"/>
      <c r="H449" s="585"/>
      <c r="I449" s="585"/>
      <c r="J449" s="585"/>
      <c r="K449" s="585"/>
      <c r="L449" s="585"/>
      <c r="M449" s="585"/>
      <c r="N449" s="585"/>
      <c r="O449" s="585"/>
      <c r="P449" s="585"/>
      <c r="Q449" s="585"/>
      <c r="R449" s="585"/>
      <c r="S449" s="585"/>
    </row>
    <row r="450" spans="3:19" x14ac:dyDescent="0.25">
      <c r="C450" s="574"/>
      <c r="E450" s="585"/>
      <c r="F450" s="585"/>
      <c r="G450" s="585"/>
      <c r="H450" s="585"/>
      <c r="I450" s="585"/>
      <c r="J450" s="585"/>
      <c r="K450" s="585"/>
      <c r="L450" s="585"/>
      <c r="M450" s="585"/>
      <c r="N450" s="585"/>
      <c r="O450" s="585"/>
      <c r="P450" s="585"/>
      <c r="Q450" s="586" t="s">
        <v>229</v>
      </c>
      <c r="R450" s="585"/>
      <c r="S450" s="585"/>
    </row>
    <row r="451" spans="3:19" x14ac:dyDescent="0.25">
      <c r="C451" s="776" t="s">
        <v>163</v>
      </c>
      <c r="D451" s="776"/>
      <c r="E451" s="775" t="s">
        <v>1219</v>
      </c>
      <c r="F451" s="775"/>
      <c r="G451" s="775"/>
      <c r="H451" s="775"/>
      <c r="I451" s="775"/>
      <c r="J451" s="775"/>
      <c r="K451" s="775"/>
      <c r="L451" s="775"/>
      <c r="M451" s="775"/>
      <c r="N451" s="775"/>
      <c r="O451" s="775"/>
      <c r="P451" s="775"/>
      <c r="Q451" s="775"/>
      <c r="R451" s="585"/>
      <c r="S451" s="585"/>
    </row>
    <row r="452" spans="3:19" x14ac:dyDescent="0.25">
      <c r="C452" s="776"/>
      <c r="D452" s="776"/>
      <c r="E452" s="587" t="s">
        <v>239</v>
      </c>
      <c r="F452" s="587" t="s">
        <v>240</v>
      </c>
      <c r="G452" s="587" t="s">
        <v>241</v>
      </c>
      <c r="H452" s="587" t="s">
        <v>242</v>
      </c>
      <c r="I452" s="587" t="s">
        <v>243</v>
      </c>
      <c r="J452" s="587" t="s">
        <v>244</v>
      </c>
      <c r="K452" s="587" t="s">
        <v>245</v>
      </c>
      <c r="L452" s="587" t="s">
        <v>246</v>
      </c>
      <c r="M452" s="587" t="s">
        <v>247</v>
      </c>
      <c r="N452" s="587" t="s">
        <v>248</v>
      </c>
      <c r="O452" s="587" t="s">
        <v>249</v>
      </c>
      <c r="P452" s="587" t="s">
        <v>250</v>
      </c>
      <c r="Q452" s="587" t="s">
        <v>251</v>
      </c>
      <c r="R452" s="585"/>
      <c r="S452" s="585"/>
    </row>
    <row r="453" spans="3:19" x14ac:dyDescent="0.25">
      <c r="C453" s="773" t="s">
        <v>171</v>
      </c>
      <c r="D453" s="774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8"/>
      <c r="R453" s="585"/>
      <c r="S453" s="585"/>
    </row>
    <row r="454" spans="3:19" hidden="1" x14ac:dyDescent="0.25">
      <c r="C454" s="579" t="s">
        <v>172</v>
      </c>
      <c r="D454" s="579" t="s">
        <v>173</v>
      </c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8">
        <f t="shared" ref="Q454:Q467" si="99">SUM(E454:P454)</f>
        <v>0</v>
      </c>
      <c r="R454" s="585"/>
      <c r="S454" s="585"/>
    </row>
    <row r="455" spans="3:19" hidden="1" x14ac:dyDescent="0.25">
      <c r="C455" s="579" t="s">
        <v>174</v>
      </c>
      <c r="D455" s="579" t="s">
        <v>175</v>
      </c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8">
        <f t="shared" si="99"/>
        <v>0</v>
      </c>
      <c r="R455" s="585"/>
      <c r="S455" s="585"/>
    </row>
    <row r="456" spans="3:19" hidden="1" x14ac:dyDescent="0.25">
      <c r="C456" s="579" t="s">
        <v>176</v>
      </c>
      <c r="D456" s="579" t="s">
        <v>177</v>
      </c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8">
        <f t="shared" si="99"/>
        <v>0</v>
      </c>
      <c r="R456" s="585"/>
      <c r="S456" s="585"/>
    </row>
    <row r="457" spans="3:19" hidden="1" x14ac:dyDescent="0.25">
      <c r="C457" s="579" t="s">
        <v>178</v>
      </c>
      <c r="D457" s="579" t="s">
        <v>179</v>
      </c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8">
        <f t="shared" si="99"/>
        <v>0</v>
      </c>
      <c r="R457" s="585"/>
      <c r="S457" s="585"/>
    </row>
    <row r="458" spans="3:19" x14ac:dyDescent="0.25">
      <c r="C458" s="579" t="s">
        <v>180</v>
      </c>
      <c r="D458" s="579" t="s">
        <v>181</v>
      </c>
      <c r="E458" s="593">
        <f>[9]Sales_NP!FZ46</f>
        <v>714.06399999999996</v>
      </c>
      <c r="F458" s="593">
        <f>[9]Sales_NP!GA46</f>
        <v>264.87499999999994</v>
      </c>
      <c r="G458" s="593">
        <f>[9]Sales_NP!GB46</f>
        <v>299.49699999999996</v>
      </c>
      <c r="H458" s="593">
        <f>[9]Sales_NP!GC46</f>
        <v>528.07299999999998</v>
      </c>
      <c r="I458" s="593">
        <f>[9]Sales_NP!GD46</f>
        <v>765.63200000000018</v>
      </c>
      <c r="J458" s="593">
        <f>[9]Sales_NP!GE46</f>
        <v>655.23199999999997</v>
      </c>
      <c r="K458" s="593">
        <f>[9]Sales_NP!GF46</f>
        <v>1208.9241786113096</v>
      </c>
      <c r="L458" s="593">
        <f>[9]Sales_NP!GG46</f>
        <v>514.22101294729043</v>
      </c>
      <c r="M458" s="593">
        <f>[9]Sales_NP!GH46</f>
        <v>740.35920175824708</v>
      </c>
      <c r="N458" s="593">
        <f>[9]Sales_NP!GI46</f>
        <v>1210.0854993909265</v>
      </c>
      <c r="O458" s="593">
        <f>[9]Sales_NP!GJ46</f>
        <v>1319.0636262907999</v>
      </c>
      <c r="P458" s="593">
        <f>[9]Sales_NP!GK46</f>
        <v>1592.438144937101</v>
      </c>
      <c r="Q458" s="588">
        <f t="shared" si="99"/>
        <v>9812.4646639356743</v>
      </c>
      <c r="R458" s="585"/>
      <c r="S458" s="585"/>
    </row>
    <row r="459" spans="3:19" hidden="1" x14ac:dyDescent="0.25">
      <c r="C459" s="579" t="s">
        <v>182</v>
      </c>
      <c r="D459" s="579" t="s">
        <v>183</v>
      </c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8">
        <f t="shared" si="99"/>
        <v>0</v>
      </c>
      <c r="R459" s="585"/>
      <c r="S459" s="585"/>
    </row>
    <row r="460" spans="3:19" hidden="1" x14ac:dyDescent="0.25">
      <c r="C460" s="579" t="s">
        <v>184</v>
      </c>
      <c r="D460" s="579" t="s">
        <v>185</v>
      </c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8">
        <f t="shared" si="99"/>
        <v>0</v>
      </c>
      <c r="R460" s="585"/>
      <c r="S460" s="585"/>
    </row>
    <row r="461" spans="3:19" hidden="1" x14ac:dyDescent="0.25">
      <c r="C461" s="579" t="s">
        <v>186</v>
      </c>
      <c r="D461" s="579" t="s">
        <v>187</v>
      </c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8">
        <f t="shared" si="99"/>
        <v>0</v>
      </c>
      <c r="R461" s="585"/>
      <c r="S461" s="585"/>
    </row>
    <row r="462" spans="3:19" hidden="1" x14ac:dyDescent="0.25">
      <c r="C462" s="579" t="s">
        <v>188</v>
      </c>
      <c r="D462" s="579" t="s">
        <v>189</v>
      </c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8">
        <f t="shared" si="99"/>
        <v>0</v>
      </c>
      <c r="R462" s="585"/>
      <c r="S462" s="585"/>
    </row>
    <row r="463" spans="3:19" hidden="1" x14ac:dyDescent="0.25">
      <c r="C463" s="579"/>
      <c r="D463" s="579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8">
        <f t="shared" si="99"/>
        <v>0</v>
      </c>
      <c r="R463" s="585"/>
      <c r="S463" s="585"/>
    </row>
    <row r="464" spans="3:19" hidden="1" x14ac:dyDescent="0.25">
      <c r="C464" s="579"/>
      <c r="D464" s="579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8">
        <f t="shared" si="99"/>
        <v>0</v>
      </c>
      <c r="R464" s="585"/>
      <c r="S464" s="585"/>
    </row>
    <row r="465" spans="3:19" hidden="1" x14ac:dyDescent="0.25">
      <c r="C465" s="579"/>
      <c r="D465" s="579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8">
        <f t="shared" si="99"/>
        <v>0</v>
      </c>
      <c r="R465" s="585"/>
      <c r="S465" s="585"/>
    </row>
    <row r="466" spans="3:19" hidden="1" x14ac:dyDescent="0.25">
      <c r="C466" s="579" t="s">
        <v>226</v>
      </c>
      <c r="D466" s="579" t="s">
        <v>226</v>
      </c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8">
        <f t="shared" si="99"/>
        <v>0</v>
      </c>
      <c r="R466" s="585"/>
      <c r="S466" s="585"/>
    </row>
    <row r="467" spans="3:19" hidden="1" x14ac:dyDescent="0.25">
      <c r="C467" s="773" t="s">
        <v>190</v>
      </c>
      <c r="D467" s="774"/>
      <c r="E467" s="588">
        <f t="shared" ref="E467:P467" si="100">SUM(E454:E466)</f>
        <v>714.06399999999996</v>
      </c>
      <c r="F467" s="588">
        <f t="shared" si="100"/>
        <v>264.87499999999994</v>
      </c>
      <c r="G467" s="588">
        <f t="shared" si="100"/>
        <v>299.49699999999996</v>
      </c>
      <c r="H467" s="588">
        <f t="shared" si="100"/>
        <v>528.07299999999998</v>
      </c>
      <c r="I467" s="588">
        <f t="shared" si="100"/>
        <v>765.63200000000018</v>
      </c>
      <c r="J467" s="588">
        <f t="shared" si="100"/>
        <v>655.23199999999997</v>
      </c>
      <c r="K467" s="588">
        <f t="shared" si="100"/>
        <v>1208.9241786113096</v>
      </c>
      <c r="L467" s="588">
        <f t="shared" si="100"/>
        <v>514.22101294729043</v>
      </c>
      <c r="M467" s="588">
        <f t="shared" si="100"/>
        <v>740.35920175824708</v>
      </c>
      <c r="N467" s="588">
        <f t="shared" si="100"/>
        <v>1210.0854993909265</v>
      </c>
      <c r="O467" s="588">
        <f t="shared" si="100"/>
        <v>1319.0636262907999</v>
      </c>
      <c r="P467" s="588">
        <f t="shared" si="100"/>
        <v>1592.438144937101</v>
      </c>
      <c r="Q467" s="588">
        <f t="shared" si="99"/>
        <v>9812.4646639356743</v>
      </c>
      <c r="R467" s="585"/>
      <c r="S467" s="585"/>
    </row>
    <row r="468" spans="3:19" hidden="1" x14ac:dyDescent="0.25">
      <c r="C468" s="773" t="s">
        <v>191</v>
      </c>
      <c r="D468" s="774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8"/>
      <c r="R468" s="585"/>
      <c r="S468" s="585"/>
    </row>
    <row r="469" spans="3:19" hidden="1" x14ac:dyDescent="0.25">
      <c r="C469" s="579" t="s">
        <v>192</v>
      </c>
      <c r="D469" s="579" t="s">
        <v>193</v>
      </c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8">
        <f t="shared" ref="Q469:Q484" si="101">SUM(E469:P469)</f>
        <v>0</v>
      </c>
      <c r="R469" s="585"/>
      <c r="S469" s="585"/>
    </row>
    <row r="470" spans="3:19" hidden="1" x14ac:dyDescent="0.25">
      <c r="C470" s="579" t="s">
        <v>194</v>
      </c>
      <c r="D470" s="579" t="s">
        <v>195</v>
      </c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8">
        <f t="shared" si="101"/>
        <v>0</v>
      </c>
      <c r="R470" s="585"/>
      <c r="S470" s="585"/>
    </row>
    <row r="471" spans="3:19" hidden="1" x14ac:dyDescent="0.25">
      <c r="C471" s="579" t="s">
        <v>233</v>
      </c>
      <c r="D471" s="579" t="s">
        <v>197</v>
      </c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8">
        <f t="shared" si="101"/>
        <v>0</v>
      </c>
      <c r="R471" s="585"/>
      <c r="S471" s="585"/>
    </row>
    <row r="472" spans="3:19" hidden="1" x14ac:dyDescent="0.25">
      <c r="C472" s="579" t="s">
        <v>198</v>
      </c>
      <c r="D472" s="579" t="s">
        <v>199</v>
      </c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8">
        <f t="shared" si="101"/>
        <v>0</v>
      </c>
      <c r="R472" s="585"/>
      <c r="S472" s="585"/>
    </row>
    <row r="473" spans="3:19" hidden="1" x14ac:dyDescent="0.25">
      <c r="C473" s="579" t="s">
        <v>200</v>
      </c>
      <c r="D473" s="579" t="s">
        <v>201</v>
      </c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8">
        <f t="shared" si="101"/>
        <v>0</v>
      </c>
      <c r="R473" s="585"/>
      <c r="S473" s="585"/>
    </row>
    <row r="474" spans="3:19" hidden="1" x14ac:dyDescent="0.25">
      <c r="C474" s="579" t="s">
        <v>202</v>
      </c>
      <c r="D474" s="579" t="s">
        <v>203</v>
      </c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8">
        <f t="shared" si="101"/>
        <v>0</v>
      </c>
      <c r="R474" s="585"/>
      <c r="S474" s="585"/>
    </row>
    <row r="475" spans="3:19" hidden="1" x14ac:dyDescent="0.25">
      <c r="C475" s="579" t="s">
        <v>204</v>
      </c>
      <c r="D475" s="579" t="s">
        <v>205</v>
      </c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8">
        <f t="shared" si="101"/>
        <v>0</v>
      </c>
      <c r="R475" s="585"/>
      <c r="S475" s="585"/>
    </row>
    <row r="476" spans="3:19" hidden="1" x14ac:dyDescent="0.25">
      <c r="C476" s="579" t="s">
        <v>206</v>
      </c>
      <c r="D476" s="579" t="s">
        <v>207</v>
      </c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8">
        <f t="shared" si="101"/>
        <v>0</v>
      </c>
      <c r="R476" s="585"/>
      <c r="S476" s="585"/>
    </row>
    <row r="477" spans="3:19" hidden="1" x14ac:dyDescent="0.25">
      <c r="C477" s="579" t="s">
        <v>208</v>
      </c>
      <c r="D477" s="579" t="s">
        <v>187</v>
      </c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8">
        <f t="shared" si="101"/>
        <v>0</v>
      </c>
      <c r="R477" s="585"/>
      <c r="S477" s="585"/>
    </row>
    <row r="478" spans="3:19" hidden="1" x14ac:dyDescent="0.25">
      <c r="C478" s="579" t="s">
        <v>209</v>
      </c>
      <c r="D478" s="579" t="s">
        <v>210</v>
      </c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8">
        <f t="shared" si="101"/>
        <v>0</v>
      </c>
      <c r="R478" s="585"/>
      <c r="S478" s="585"/>
    </row>
    <row r="479" spans="3:19" hidden="1" x14ac:dyDescent="0.25">
      <c r="C479" s="579" t="s">
        <v>211</v>
      </c>
      <c r="D479" s="579" t="s">
        <v>189</v>
      </c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8">
        <f t="shared" si="101"/>
        <v>0</v>
      </c>
      <c r="R479" s="585"/>
      <c r="S479" s="585"/>
    </row>
    <row r="480" spans="3:19" hidden="1" x14ac:dyDescent="0.25">
      <c r="C480" s="579"/>
      <c r="D480" s="579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8">
        <f t="shared" si="101"/>
        <v>0</v>
      </c>
      <c r="R480" s="585"/>
      <c r="S480" s="585"/>
    </row>
    <row r="481" spans="3:19" hidden="1" x14ac:dyDescent="0.25">
      <c r="C481" s="579"/>
      <c r="D481" s="579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8">
        <f t="shared" si="101"/>
        <v>0</v>
      </c>
      <c r="R481" s="585"/>
      <c r="S481" s="585"/>
    </row>
    <row r="482" spans="3:19" hidden="1" x14ac:dyDescent="0.25">
      <c r="C482" s="579"/>
      <c r="D482" s="579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8">
        <f t="shared" si="101"/>
        <v>0</v>
      </c>
      <c r="R482" s="585"/>
      <c r="S482" s="585"/>
    </row>
    <row r="483" spans="3:19" hidden="1" x14ac:dyDescent="0.25">
      <c r="C483" s="579" t="s">
        <v>226</v>
      </c>
      <c r="D483" s="579" t="s">
        <v>226</v>
      </c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8">
        <f t="shared" si="101"/>
        <v>0</v>
      </c>
      <c r="R483" s="585"/>
      <c r="S483" s="585"/>
    </row>
    <row r="484" spans="3:19" hidden="1" x14ac:dyDescent="0.25">
      <c r="C484" s="773" t="s">
        <v>212</v>
      </c>
      <c r="D484" s="774"/>
      <c r="E484" s="588">
        <f t="shared" ref="E484:P484" si="102">SUM(E469:E483)</f>
        <v>0</v>
      </c>
      <c r="F484" s="588">
        <f t="shared" si="102"/>
        <v>0</v>
      </c>
      <c r="G484" s="588">
        <f t="shared" si="102"/>
        <v>0</v>
      </c>
      <c r="H484" s="588">
        <f t="shared" si="102"/>
        <v>0</v>
      </c>
      <c r="I484" s="588">
        <f t="shared" si="102"/>
        <v>0</v>
      </c>
      <c r="J484" s="588">
        <f t="shared" si="102"/>
        <v>0</v>
      </c>
      <c r="K484" s="588">
        <f t="shared" si="102"/>
        <v>0</v>
      </c>
      <c r="L484" s="588">
        <f t="shared" si="102"/>
        <v>0</v>
      </c>
      <c r="M484" s="588">
        <f t="shared" si="102"/>
        <v>0</v>
      </c>
      <c r="N484" s="588">
        <f t="shared" si="102"/>
        <v>0</v>
      </c>
      <c r="O484" s="588">
        <f t="shared" si="102"/>
        <v>0</v>
      </c>
      <c r="P484" s="588">
        <f t="shared" si="102"/>
        <v>0</v>
      </c>
      <c r="Q484" s="588">
        <f t="shared" si="101"/>
        <v>0</v>
      </c>
      <c r="R484" s="585"/>
      <c r="S484" s="585"/>
    </row>
    <row r="485" spans="3:19" hidden="1" x14ac:dyDescent="0.25">
      <c r="C485" s="773" t="s">
        <v>213</v>
      </c>
      <c r="D485" s="774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8"/>
      <c r="R485" s="585"/>
      <c r="S485" s="585"/>
    </row>
    <row r="486" spans="3:19" hidden="1" x14ac:dyDescent="0.25">
      <c r="C486" s="579" t="s">
        <v>192</v>
      </c>
      <c r="D486" s="579" t="s">
        <v>193</v>
      </c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8">
        <f t="shared" ref="Q486:Q501" si="103">SUM(E486:P486)</f>
        <v>0</v>
      </c>
      <c r="R486" s="585"/>
      <c r="S486" s="585"/>
    </row>
    <row r="487" spans="3:19" hidden="1" x14ac:dyDescent="0.25">
      <c r="C487" s="579" t="s">
        <v>194</v>
      </c>
      <c r="D487" s="579" t="s">
        <v>195</v>
      </c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8">
        <f t="shared" si="103"/>
        <v>0</v>
      </c>
      <c r="R487" s="585"/>
      <c r="S487" s="585"/>
    </row>
    <row r="488" spans="3:19" hidden="1" x14ac:dyDescent="0.25">
      <c r="C488" s="579" t="s">
        <v>233</v>
      </c>
      <c r="D488" s="579" t="s">
        <v>197</v>
      </c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8">
        <f t="shared" si="103"/>
        <v>0</v>
      </c>
      <c r="R488" s="585"/>
      <c r="S488" s="585"/>
    </row>
    <row r="489" spans="3:19" hidden="1" x14ac:dyDescent="0.25">
      <c r="C489" s="579" t="s">
        <v>198</v>
      </c>
      <c r="D489" s="579" t="s">
        <v>199</v>
      </c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8">
        <f t="shared" si="103"/>
        <v>0</v>
      </c>
      <c r="R489" s="585"/>
      <c r="S489" s="585"/>
    </row>
    <row r="490" spans="3:19" hidden="1" x14ac:dyDescent="0.25">
      <c r="C490" s="579" t="s">
        <v>200</v>
      </c>
      <c r="D490" s="579" t="s">
        <v>201</v>
      </c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8">
        <f t="shared" si="103"/>
        <v>0</v>
      </c>
      <c r="R490" s="585"/>
      <c r="S490" s="585"/>
    </row>
    <row r="491" spans="3:19" hidden="1" x14ac:dyDescent="0.25">
      <c r="C491" s="579" t="s">
        <v>202</v>
      </c>
      <c r="D491" s="579" t="s">
        <v>203</v>
      </c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8">
        <f t="shared" si="103"/>
        <v>0</v>
      </c>
      <c r="R491" s="585"/>
      <c r="S491" s="585"/>
    </row>
    <row r="492" spans="3:19" hidden="1" x14ac:dyDescent="0.25">
      <c r="C492" s="579" t="s">
        <v>204</v>
      </c>
      <c r="D492" s="579" t="s">
        <v>205</v>
      </c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8">
        <f t="shared" si="103"/>
        <v>0</v>
      </c>
      <c r="R492" s="585"/>
      <c r="S492" s="585"/>
    </row>
    <row r="493" spans="3:19" hidden="1" x14ac:dyDescent="0.25">
      <c r="C493" s="579" t="s">
        <v>206</v>
      </c>
      <c r="D493" s="579" t="s">
        <v>207</v>
      </c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8">
        <f t="shared" si="103"/>
        <v>0</v>
      </c>
      <c r="R493" s="585"/>
      <c r="S493" s="585"/>
    </row>
    <row r="494" spans="3:19" hidden="1" x14ac:dyDescent="0.25">
      <c r="C494" s="579" t="s">
        <v>214</v>
      </c>
      <c r="D494" s="579" t="s">
        <v>187</v>
      </c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8">
        <f t="shared" si="103"/>
        <v>0</v>
      </c>
      <c r="R494" s="585"/>
      <c r="S494" s="585"/>
    </row>
    <row r="495" spans="3:19" hidden="1" x14ac:dyDescent="0.25">
      <c r="C495" s="579" t="s">
        <v>209</v>
      </c>
      <c r="D495" s="579" t="s">
        <v>210</v>
      </c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8">
        <f t="shared" si="103"/>
        <v>0</v>
      </c>
      <c r="R495" s="585"/>
      <c r="S495" s="585"/>
    </row>
    <row r="496" spans="3:19" hidden="1" x14ac:dyDescent="0.25">
      <c r="C496" s="579" t="s">
        <v>211</v>
      </c>
      <c r="D496" s="579" t="s">
        <v>189</v>
      </c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8">
        <f t="shared" si="103"/>
        <v>0</v>
      </c>
      <c r="R496" s="585"/>
      <c r="S496" s="585"/>
    </row>
    <row r="497" spans="3:19" hidden="1" x14ac:dyDescent="0.25">
      <c r="C497" s="579"/>
      <c r="D497" s="579"/>
      <c r="E497" s="583"/>
      <c r="F497" s="583"/>
      <c r="G497" s="583"/>
      <c r="H497" s="583"/>
      <c r="I497" s="583"/>
      <c r="J497" s="583"/>
      <c r="K497" s="583"/>
      <c r="L497" s="583"/>
      <c r="M497" s="583"/>
      <c r="N497" s="583"/>
      <c r="O497" s="583"/>
      <c r="P497" s="583"/>
      <c r="Q497" s="588">
        <f t="shared" si="103"/>
        <v>0</v>
      </c>
      <c r="R497" s="585"/>
      <c r="S497" s="585"/>
    </row>
    <row r="498" spans="3:19" hidden="1" x14ac:dyDescent="0.25">
      <c r="C498" s="579"/>
      <c r="D498" s="579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8">
        <f t="shared" si="103"/>
        <v>0</v>
      </c>
      <c r="R498" s="585"/>
      <c r="S498" s="585"/>
    </row>
    <row r="499" spans="3:19" hidden="1" x14ac:dyDescent="0.25">
      <c r="C499" s="579"/>
      <c r="D499" s="579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8">
        <f t="shared" si="103"/>
        <v>0</v>
      </c>
      <c r="R499" s="585"/>
      <c r="S499" s="585"/>
    </row>
    <row r="500" spans="3:19" hidden="1" x14ac:dyDescent="0.25">
      <c r="C500" s="579" t="s">
        <v>226</v>
      </c>
      <c r="D500" s="579" t="s">
        <v>226</v>
      </c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8">
        <f t="shared" si="103"/>
        <v>0</v>
      </c>
      <c r="R500" s="585"/>
      <c r="S500" s="585"/>
    </row>
    <row r="501" spans="3:19" hidden="1" x14ac:dyDescent="0.25">
      <c r="C501" s="773" t="s">
        <v>212</v>
      </c>
      <c r="D501" s="774"/>
      <c r="E501" s="588">
        <f t="shared" ref="E501:P501" si="104">SUM(E486:E500)</f>
        <v>0</v>
      </c>
      <c r="F501" s="588">
        <f t="shared" si="104"/>
        <v>0</v>
      </c>
      <c r="G501" s="588">
        <f t="shared" si="104"/>
        <v>0</v>
      </c>
      <c r="H501" s="588">
        <f t="shared" si="104"/>
        <v>0</v>
      </c>
      <c r="I501" s="588">
        <f t="shared" si="104"/>
        <v>0</v>
      </c>
      <c r="J501" s="588">
        <f t="shared" si="104"/>
        <v>0</v>
      </c>
      <c r="K501" s="588">
        <f t="shared" si="104"/>
        <v>0</v>
      </c>
      <c r="L501" s="588">
        <f t="shared" si="104"/>
        <v>0</v>
      </c>
      <c r="M501" s="588">
        <f t="shared" si="104"/>
        <v>0</v>
      </c>
      <c r="N501" s="588">
        <f t="shared" si="104"/>
        <v>0</v>
      </c>
      <c r="O501" s="588">
        <f t="shared" si="104"/>
        <v>0</v>
      </c>
      <c r="P501" s="588">
        <f t="shared" si="104"/>
        <v>0</v>
      </c>
      <c r="Q501" s="588">
        <f t="shared" si="103"/>
        <v>0</v>
      </c>
      <c r="R501" s="585"/>
      <c r="S501" s="585"/>
    </row>
    <row r="502" spans="3:19" hidden="1" x14ac:dyDescent="0.25">
      <c r="C502" s="773" t="s">
        <v>215</v>
      </c>
      <c r="D502" s="774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8"/>
      <c r="R502" s="585"/>
      <c r="S502" s="585"/>
    </row>
    <row r="503" spans="3:19" hidden="1" x14ac:dyDescent="0.25">
      <c r="C503" s="579" t="s">
        <v>192</v>
      </c>
      <c r="D503" s="579" t="s">
        <v>193</v>
      </c>
      <c r="E503" s="583"/>
      <c r="F503" s="583"/>
      <c r="G503" s="583"/>
      <c r="H503" s="583"/>
      <c r="I503" s="583"/>
      <c r="J503" s="583"/>
      <c r="K503" s="583"/>
      <c r="L503" s="583"/>
      <c r="M503" s="583"/>
      <c r="N503" s="583"/>
      <c r="O503" s="583"/>
      <c r="P503" s="583"/>
      <c r="Q503" s="588">
        <f t="shared" ref="Q503:Q522" si="105">SUM(E503:P503)</f>
        <v>0</v>
      </c>
      <c r="R503" s="585"/>
      <c r="S503" s="585"/>
    </row>
    <row r="504" spans="3:19" hidden="1" x14ac:dyDescent="0.25">
      <c r="C504" s="579" t="s">
        <v>194</v>
      </c>
      <c r="D504" s="579" t="s">
        <v>195</v>
      </c>
      <c r="E504" s="583"/>
      <c r="F504" s="583"/>
      <c r="G504" s="583"/>
      <c r="H504" s="583"/>
      <c r="I504" s="583"/>
      <c r="J504" s="583"/>
      <c r="K504" s="583"/>
      <c r="L504" s="583"/>
      <c r="M504" s="583"/>
      <c r="N504" s="583"/>
      <c r="O504" s="583"/>
      <c r="P504" s="583"/>
      <c r="Q504" s="588">
        <f t="shared" si="105"/>
        <v>0</v>
      </c>
      <c r="R504" s="585"/>
      <c r="S504" s="585"/>
    </row>
    <row r="505" spans="3:19" hidden="1" x14ac:dyDescent="0.25">
      <c r="C505" s="579" t="s">
        <v>233</v>
      </c>
      <c r="D505" s="579" t="s">
        <v>197</v>
      </c>
      <c r="E505" s="583"/>
      <c r="F505" s="583"/>
      <c r="G505" s="583"/>
      <c r="H505" s="583"/>
      <c r="I505" s="583"/>
      <c r="J505" s="583"/>
      <c r="K505" s="583"/>
      <c r="L505" s="583"/>
      <c r="M505" s="583"/>
      <c r="N505" s="583"/>
      <c r="O505" s="583"/>
      <c r="P505" s="583"/>
      <c r="Q505" s="588">
        <f t="shared" si="105"/>
        <v>0</v>
      </c>
      <c r="R505" s="585"/>
      <c r="S505" s="585"/>
    </row>
    <row r="506" spans="3:19" hidden="1" x14ac:dyDescent="0.25">
      <c r="C506" s="579" t="s">
        <v>198</v>
      </c>
      <c r="D506" s="579" t="s">
        <v>199</v>
      </c>
      <c r="E506" s="583"/>
      <c r="F506" s="583"/>
      <c r="G506" s="583"/>
      <c r="H506" s="583"/>
      <c r="I506" s="583"/>
      <c r="J506" s="583"/>
      <c r="K506" s="583"/>
      <c r="L506" s="583"/>
      <c r="M506" s="583"/>
      <c r="N506" s="583"/>
      <c r="O506" s="583"/>
      <c r="P506" s="583"/>
      <c r="Q506" s="588">
        <f t="shared" si="105"/>
        <v>0</v>
      </c>
      <c r="R506" s="585"/>
      <c r="S506" s="585"/>
    </row>
    <row r="507" spans="3:19" hidden="1" x14ac:dyDescent="0.25">
      <c r="C507" s="579" t="s">
        <v>200</v>
      </c>
      <c r="D507" s="579" t="s">
        <v>201</v>
      </c>
      <c r="E507" s="583"/>
      <c r="F507" s="583"/>
      <c r="G507" s="583"/>
      <c r="H507" s="583"/>
      <c r="I507" s="583"/>
      <c r="J507" s="583"/>
      <c r="K507" s="583"/>
      <c r="L507" s="583"/>
      <c r="M507" s="583"/>
      <c r="N507" s="583"/>
      <c r="O507" s="583"/>
      <c r="P507" s="583"/>
      <c r="Q507" s="588">
        <f t="shared" si="105"/>
        <v>0</v>
      </c>
      <c r="R507" s="585"/>
      <c r="S507" s="585"/>
    </row>
    <row r="508" spans="3:19" hidden="1" x14ac:dyDescent="0.25">
      <c r="C508" s="579" t="s">
        <v>202</v>
      </c>
      <c r="D508" s="579" t="s">
        <v>234</v>
      </c>
      <c r="E508" s="583"/>
      <c r="F508" s="583"/>
      <c r="G508" s="583"/>
      <c r="H508" s="583"/>
      <c r="I508" s="583"/>
      <c r="J508" s="583"/>
      <c r="K508" s="583"/>
      <c r="L508" s="583"/>
      <c r="M508" s="583"/>
      <c r="N508" s="583"/>
      <c r="O508" s="583"/>
      <c r="P508" s="583"/>
      <c r="Q508" s="588">
        <f t="shared" si="105"/>
        <v>0</v>
      </c>
      <c r="R508" s="585"/>
      <c r="S508" s="585"/>
    </row>
    <row r="509" spans="3:19" hidden="1" x14ac:dyDescent="0.25">
      <c r="C509" s="579" t="s">
        <v>204</v>
      </c>
      <c r="D509" s="579" t="s">
        <v>216</v>
      </c>
      <c r="E509" s="583"/>
      <c r="F509" s="583"/>
      <c r="G509" s="583"/>
      <c r="H509" s="583"/>
      <c r="I509" s="583"/>
      <c r="J509" s="583"/>
      <c r="K509" s="583"/>
      <c r="L509" s="583"/>
      <c r="M509" s="583"/>
      <c r="N509" s="583"/>
      <c r="O509" s="583"/>
      <c r="P509" s="583"/>
      <c r="Q509" s="588">
        <f t="shared" si="105"/>
        <v>0</v>
      </c>
      <c r="R509" s="585"/>
      <c r="S509" s="585"/>
    </row>
    <row r="510" spans="3:19" hidden="1" x14ac:dyDescent="0.25">
      <c r="C510" s="579" t="s">
        <v>217</v>
      </c>
      <c r="D510" s="579" t="s">
        <v>218</v>
      </c>
      <c r="E510" s="583"/>
      <c r="F510" s="583"/>
      <c r="G510" s="583"/>
      <c r="H510" s="583"/>
      <c r="I510" s="583"/>
      <c r="J510" s="583"/>
      <c r="K510" s="583"/>
      <c r="L510" s="583"/>
      <c r="M510" s="583"/>
      <c r="N510" s="583"/>
      <c r="O510" s="583"/>
      <c r="P510" s="583"/>
      <c r="Q510" s="588">
        <f t="shared" si="105"/>
        <v>0</v>
      </c>
      <c r="R510" s="585"/>
      <c r="S510" s="585"/>
    </row>
    <row r="511" spans="3:19" hidden="1" x14ac:dyDescent="0.25">
      <c r="C511" s="579" t="s">
        <v>252</v>
      </c>
      <c r="D511" s="579" t="s">
        <v>236</v>
      </c>
      <c r="E511" s="583"/>
      <c r="F511" s="583"/>
      <c r="G511" s="583"/>
      <c r="H511" s="583"/>
      <c r="I511" s="583"/>
      <c r="J511" s="583"/>
      <c r="K511" s="583"/>
      <c r="L511" s="583"/>
      <c r="M511" s="583"/>
      <c r="N511" s="583"/>
      <c r="O511" s="583"/>
      <c r="P511" s="583"/>
      <c r="Q511" s="588">
        <f t="shared" si="105"/>
        <v>0</v>
      </c>
      <c r="R511" s="585"/>
      <c r="S511" s="585"/>
    </row>
    <row r="512" spans="3:19" hidden="1" x14ac:dyDescent="0.25">
      <c r="C512" s="579" t="s">
        <v>206</v>
      </c>
      <c r="D512" s="579" t="s">
        <v>207</v>
      </c>
      <c r="E512" s="583"/>
      <c r="F512" s="583"/>
      <c r="G512" s="583"/>
      <c r="H512" s="583"/>
      <c r="I512" s="583"/>
      <c r="J512" s="583"/>
      <c r="K512" s="583"/>
      <c r="L512" s="583"/>
      <c r="M512" s="583"/>
      <c r="N512" s="583"/>
      <c r="O512" s="583"/>
      <c r="P512" s="583"/>
      <c r="Q512" s="588">
        <f t="shared" si="105"/>
        <v>0</v>
      </c>
      <c r="R512" s="585"/>
      <c r="S512" s="585"/>
    </row>
    <row r="513" spans="3:19" hidden="1" x14ac:dyDescent="0.25">
      <c r="C513" s="579" t="s">
        <v>208</v>
      </c>
      <c r="D513" s="579" t="s">
        <v>187</v>
      </c>
      <c r="E513" s="583"/>
      <c r="F513" s="583"/>
      <c r="G513" s="583"/>
      <c r="H513" s="583"/>
      <c r="I513" s="583"/>
      <c r="J513" s="583"/>
      <c r="K513" s="583"/>
      <c r="L513" s="583"/>
      <c r="M513" s="583"/>
      <c r="N513" s="583"/>
      <c r="O513" s="583"/>
      <c r="P513" s="583"/>
      <c r="Q513" s="588">
        <f t="shared" si="105"/>
        <v>0</v>
      </c>
      <c r="R513" s="585"/>
      <c r="S513" s="585"/>
    </row>
    <row r="514" spans="3:19" hidden="1" x14ac:dyDescent="0.25">
      <c r="C514" s="579" t="s">
        <v>209</v>
      </c>
      <c r="D514" s="579" t="s">
        <v>210</v>
      </c>
      <c r="E514" s="583"/>
      <c r="F514" s="583"/>
      <c r="G514" s="583"/>
      <c r="H514" s="583"/>
      <c r="I514" s="583"/>
      <c r="J514" s="583"/>
      <c r="K514" s="583"/>
      <c r="L514" s="583"/>
      <c r="M514" s="583"/>
      <c r="N514" s="583"/>
      <c r="O514" s="583"/>
      <c r="P514" s="583"/>
      <c r="Q514" s="588">
        <f t="shared" si="105"/>
        <v>0</v>
      </c>
      <c r="R514" s="585"/>
      <c r="S514" s="585"/>
    </row>
    <row r="515" spans="3:19" hidden="1" x14ac:dyDescent="0.25">
      <c r="C515" s="579" t="s">
        <v>211</v>
      </c>
      <c r="D515" s="579" t="s">
        <v>189</v>
      </c>
      <c r="E515" s="583"/>
      <c r="F515" s="583"/>
      <c r="G515" s="583"/>
      <c r="H515" s="583"/>
      <c r="I515" s="583"/>
      <c r="J515" s="583"/>
      <c r="K515" s="583"/>
      <c r="L515" s="583"/>
      <c r="M515" s="583"/>
      <c r="N515" s="583"/>
      <c r="O515" s="583"/>
      <c r="P515" s="583"/>
      <c r="Q515" s="588">
        <f t="shared" si="105"/>
        <v>0</v>
      </c>
      <c r="R515" s="585"/>
      <c r="S515" s="585"/>
    </row>
    <row r="516" spans="3:19" hidden="1" x14ac:dyDescent="0.25">
      <c r="C516" s="579"/>
      <c r="D516" s="579"/>
      <c r="E516" s="583"/>
      <c r="F516" s="583"/>
      <c r="G516" s="583"/>
      <c r="H516" s="583"/>
      <c r="I516" s="583"/>
      <c r="J516" s="583"/>
      <c r="K516" s="583"/>
      <c r="L516" s="583"/>
      <c r="M516" s="583"/>
      <c r="N516" s="583"/>
      <c r="O516" s="583"/>
      <c r="P516" s="583"/>
      <c r="Q516" s="588">
        <f t="shared" si="105"/>
        <v>0</v>
      </c>
      <c r="R516" s="585"/>
      <c r="S516" s="585"/>
    </row>
    <row r="517" spans="3:19" hidden="1" x14ac:dyDescent="0.25">
      <c r="C517" s="579"/>
      <c r="D517" s="579"/>
      <c r="E517" s="583"/>
      <c r="F517" s="583"/>
      <c r="G517" s="583"/>
      <c r="H517" s="583"/>
      <c r="I517" s="583"/>
      <c r="J517" s="583"/>
      <c r="K517" s="583"/>
      <c r="L517" s="583"/>
      <c r="M517" s="583"/>
      <c r="N517" s="583"/>
      <c r="O517" s="583"/>
      <c r="P517" s="583"/>
      <c r="Q517" s="588">
        <f t="shared" si="105"/>
        <v>0</v>
      </c>
      <c r="R517" s="585"/>
      <c r="S517" s="585"/>
    </row>
    <row r="518" spans="3:19" hidden="1" x14ac:dyDescent="0.25">
      <c r="C518" s="579"/>
      <c r="D518" s="579"/>
      <c r="E518" s="583"/>
      <c r="F518" s="583"/>
      <c r="G518" s="583"/>
      <c r="H518" s="583"/>
      <c r="I518" s="583"/>
      <c r="J518" s="583"/>
      <c r="K518" s="583"/>
      <c r="L518" s="583"/>
      <c r="M518" s="583"/>
      <c r="N518" s="583"/>
      <c r="O518" s="583"/>
      <c r="P518" s="583"/>
      <c r="Q518" s="588">
        <f t="shared" si="105"/>
        <v>0</v>
      </c>
      <c r="R518" s="585"/>
      <c r="S518" s="585"/>
    </row>
    <row r="519" spans="3:19" hidden="1" x14ac:dyDescent="0.25">
      <c r="C519" s="579" t="s">
        <v>226</v>
      </c>
      <c r="D519" s="579" t="s">
        <v>226</v>
      </c>
      <c r="E519" s="583"/>
      <c r="F519" s="583"/>
      <c r="G519" s="583"/>
      <c r="H519" s="583"/>
      <c r="I519" s="583"/>
      <c r="J519" s="583"/>
      <c r="K519" s="583"/>
      <c r="L519" s="583"/>
      <c r="M519" s="583"/>
      <c r="N519" s="583"/>
      <c r="O519" s="583"/>
      <c r="P519" s="583"/>
      <c r="Q519" s="588">
        <f t="shared" si="105"/>
        <v>0</v>
      </c>
      <c r="R519" s="585"/>
      <c r="S519" s="585"/>
    </row>
    <row r="520" spans="3:19" hidden="1" x14ac:dyDescent="0.25">
      <c r="C520" s="773" t="s">
        <v>212</v>
      </c>
      <c r="D520" s="774"/>
      <c r="E520" s="588">
        <f t="shared" ref="E520:P520" si="106">SUM(E503:E519)</f>
        <v>0</v>
      </c>
      <c r="F520" s="588">
        <f t="shared" si="106"/>
        <v>0</v>
      </c>
      <c r="G520" s="588">
        <f t="shared" si="106"/>
        <v>0</v>
      </c>
      <c r="H520" s="588">
        <f t="shared" si="106"/>
        <v>0</v>
      </c>
      <c r="I520" s="588">
        <f t="shared" si="106"/>
        <v>0</v>
      </c>
      <c r="J520" s="588">
        <f t="shared" si="106"/>
        <v>0</v>
      </c>
      <c r="K520" s="588">
        <f t="shared" si="106"/>
        <v>0</v>
      </c>
      <c r="L520" s="588">
        <f t="shared" si="106"/>
        <v>0</v>
      </c>
      <c r="M520" s="588">
        <f t="shared" si="106"/>
        <v>0</v>
      </c>
      <c r="N520" s="588">
        <f t="shared" si="106"/>
        <v>0</v>
      </c>
      <c r="O520" s="588">
        <f t="shared" si="106"/>
        <v>0</v>
      </c>
      <c r="P520" s="588">
        <f t="shared" si="106"/>
        <v>0</v>
      </c>
      <c r="Q520" s="588">
        <f t="shared" si="105"/>
        <v>0</v>
      </c>
      <c r="R520" s="585"/>
      <c r="S520" s="585"/>
    </row>
    <row r="521" spans="3:19" hidden="1" x14ac:dyDescent="0.25">
      <c r="C521" s="773" t="s">
        <v>219</v>
      </c>
      <c r="D521" s="774"/>
      <c r="E521" s="588">
        <f t="shared" ref="E521:P521" si="107">E520+E501+E484</f>
        <v>0</v>
      </c>
      <c r="F521" s="588">
        <f t="shared" si="107"/>
        <v>0</v>
      </c>
      <c r="G521" s="588">
        <f t="shared" si="107"/>
        <v>0</v>
      </c>
      <c r="H521" s="588">
        <f t="shared" si="107"/>
        <v>0</v>
      </c>
      <c r="I521" s="588">
        <f t="shared" si="107"/>
        <v>0</v>
      </c>
      <c r="J521" s="588">
        <f t="shared" si="107"/>
        <v>0</v>
      </c>
      <c r="K521" s="588">
        <f t="shared" si="107"/>
        <v>0</v>
      </c>
      <c r="L521" s="588">
        <f t="shared" si="107"/>
        <v>0</v>
      </c>
      <c r="M521" s="588">
        <f t="shared" si="107"/>
        <v>0</v>
      </c>
      <c r="N521" s="588">
        <f t="shared" si="107"/>
        <v>0</v>
      </c>
      <c r="O521" s="588">
        <f t="shared" si="107"/>
        <v>0</v>
      </c>
      <c r="P521" s="588">
        <f t="shared" si="107"/>
        <v>0</v>
      </c>
      <c r="Q521" s="588">
        <f t="shared" si="105"/>
        <v>0</v>
      </c>
      <c r="R521" s="585"/>
      <c r="S521" s="585"/>
    </row>
    <row r="522" spans="3:19" x14ac:dyDescent="0.25">
      <c r="C522" s="773" t="s">
        <v>220</v>
      </c>
      <c r="D522" s="774"/>
      <c r="E522" s="588">
        <f t="shared" ref="E522:P522" si="108">E521+E467</f>
        <v>714.06399999999996</v>
      </c>
      <c r="F522" s="588">
        <f t="shared" si="108"/>
        <v>264.87499999999994</v>
      </c>
      <c r="G522" s="588">
        <f t="shared" si="108"/>
        <v>299.49699999999996</v>
      </c>
      <c r="H522" s="588">
        <f t="shared" si="108"/>
        <v>528.07299999999998</v>
      </c>
      <c r="I522" s="588">
        <f t="shared" si="108"/>
        <v>765.63200000000018</v>
      </c>
      <c r="J522" s="588">
        <f t="shared" si="108"/>
        <v>655.23199999999997</v>
      </c>
      <c r="K522" s="588">
        <f t="shared" si="108"/>
        <v>1208.9241786113096</v>
      </c>
      <c r="L522" s="588">
        <f t="shared" si="108"/>
        <v>514.22101294729043</v>
      </c>
      <c r="M522" s="588">
        <f t="shared" si="108"/>
        <v>740.35920175824708</v>
      </c>
      <c r="N522" s="588">
        <f t="shared" si="108"/>
        <v>1210.0854993909265</v>
      </c>
      <c r="O522" s="588">
        <f t="shared" si="108"/>
        <v>1319.0636262907999</v>
      </c>
      <c r="P522" s="588">
        <f t="shared" si="108"/>
        <v>1592.438144937101</v>
      </c>
      <c r="Q522" s="588">
        <f t="shared" si="105"/>
        <v>9812.4646639356743</v>
      </c>
      <c r="R522" s="585"/>
      <c r="S522" s="585"/>
    </row>
    <row r="523" spans="3:19" x14ac:dyDescent="0.25">
      <c r="E523" s="585"/>
      <c r="F523" s="585"/>
      <c r="G523" s="585"/>
      <c r="H523" s="585"/>
      <c r="I523" s="585"/>
      <c r="J523" s="585"/>
      <c r="K523" s="585"/>
      <c r="L523" s="585"/>
      <c r="M523" s="585"/>
      <c r="N523" s="585"/>
      <c r="O523" s="585"/>
      <c r="P523" s="585"/>
      <c r="Q523" s="585"/>
      <c r="R523" s="585"/>
      <c r="S523" s="585"/>
    </row>
    <row r="524" spans="3:19" x14ac:dyDescent="0.25">
      <c r="C524" s="574"/>
      <c r="E524" s="585"/>
      <c r="F524" s="585"/>
      <c r="G524" s="585"/>
      <c r="H524" s="585"/>
      <c r="I524" s="585"/>
      <c r="J524" s="585"/>
      <c r="K524" s="585"/>
      <c r="L524" s="585"/>
      <c r="M524" s="585"/>
      <c r="N524" s="585"/>
      <c r="O524" s="585"/>
      <c r="P524" s="585"/>
      <c r="Q524" s="586" t="s">
        <v>229</v>
      </c>
      <c r="R524" s="585"/>
      <c r="S524" s="585"/>
    </row>
    <row r="525" spans="3:19" x14ac:dyDescent="0.25">
      <c r="C525" s="776" t="s">
        <v>163</v>
      </c>
      <c r="D525" s="776"/>
      <c r="E525" s="775" t="s">
        <v>1220</v>
      </c>
      <c r="F525" s="775"/>
      <c r="G525" s="775"/>
      <c r="H525" s="775"/>
      <c r="I525" s="775"/>
      <c r="J525" s="775"/>
      <c r="K525" s="775"/>
      <c r="L525" s="775"/>
      <c r="M525" s="775"/>
      <c r="N525" s="775"/>
      <c r="O525" s="775"/>
      <c r="P525" s="775"/>
      <c r="Q525" s="775"/>
      <c r="R525" s="585"/>
      <c r="S525" s="585"/>
    </row>
    <row r="526" spans="3:19" x14ac:dyDescent="0.25">
      <c r="C526" s="776"/>
      <c r="D526" s="776"/>
      <c r="E526" s="587" t="s">
        <v>239</v>
      </c>
      <c r="F526" s="587" t="s">
        <v>240</v>
      </c>
      <c r="G526" s="587" t="s">
        <v>241</v>
      </c>
      <c r="H526" s="587" t="s">
        <v>242</v>
      </c>
      <c r="I526" s="587" t="s">
        <v>243</v>
      </c>
      <c r="J526" s="587" t="s">
        <v>244</v>
      </c>
      <c r="K526" s="587" t="s">
        <v>245</v>
      </c>
      <c r="L526" s="587" t="s">
        <v>246</v>
      </c>
      <c r="M526" s="587" t="s">
        <v>247</v>
      </c>
      <c r="N526" s="587" t="s">
        <v>248</v>
      </c>
      <c r="O526" s="587" t="s">
        <v>249</v>
      </c>
      <c r="P526" s="587" t="s">
        <v>250</v>
      </c>
      <c r="Q526" s="587" t="s">
        <v>251</v>
      </c>
      <c r="R526" s="585"/>
      <c r="S526" s="585"/>
    </row>
    <row r="527" spans="3:19" x14ac:dyDescent="0.25">
      <c r="C527" s="773" t="s">
        <v>171</v>
      </c>
      <c r="D527" s="774"/>
      <c r="E527" s="583"/>
      <c r="F527" s="583"/>
      <c r="G527" s="583"/>
      <c r="H527" s="583"/>
      <c r="I527" s="583"/>
      <c r="J527" s="583"/>
      <c r="K527" s="583"/>
      <c r="L527" s="583"/>
      <c r="M527" s="583"/>
      <c r="N527" s="583"/>
      <c r="O527" s="583"/>
      <c r="P527" s="583"/>
      <c r="Q527" s="588"/>
      <c r="R527" s="585"/>
      <c r="S527" s="585"/>
    </row>
    <row r="528" spans="3:19" hidden="1" x14ac:dyDescent="0.25">
      <c r="C528" s="579" t="s">
        <v>172</v>
      </c>
      <c r="D528" s="579" t="s">
        <v>173</v>
      </c>
      <c r="E528" s="583"/>
      <c r="F528" s="583"/>
      <c r="G528" s="583"/>
      <c r="H528" s="583"/>
      <c r="I528" s="583"/>
      <c r="J528" s="583"/>
      <c r="K528" s="583"/>
      <c r="L528" s="583"/>
      <c r="M528" s="583"/>
      <c r="N528" s="583"/>
      <c r="O528" s="583"/>
      <c r="P528" s="583"/>
      <c r="Q528" s="588">
        <f t="shared" ref="Q528:Q541" si="109">SUM(E528:P528)</f>
        <v>0</v>
      </c>
      <c r="R528" s="585"/>
      <c r="S528" s="585"/>
    </row>
    <row r="529" spans="3:19" hidden="1" x14ac:dyDescent="0.25">
      <c r="C529" s="579" t="s">
        <v>174</v>
      </c>
      <c r="D529" s="579" t="s">
        <v>175</v>
      </c>
      <c r="E529" s="583"/>
      <c r="F529" s="583"/>
      <c r="G529" s="583"/>
      <c r="H529" s="583"/>
      <c r="I529" s="583"/>
      <c r="J529" s="583"/>
      <c r="K529" s="583"/>
      <c r="L529" s="583"/>
      <c r="M529" s="583"/>
      <c r="N529" s="583"/>
      <c r="O529" s="583"/>
      <c r="P529" s="583"/>
      <c r="Q529" s="588">
        <f t="shared" si="109"/>
        <v>0</v>
      </c>
      <c r="R529" s="585"/>
      <c r="S529" s="585"/>
    </row>
    <row r="530" spans="3:19" hidden="1" x14ac:dyDescent="0.25">
      <c r="C530" s="579" t="s">
        <v>176</v>
      </c>
      <c r="D530" s="579" t="s">
        <v>177</v>
      </c>
      <c r="E530" s="583"/>
      <c r="F530" s="583"/>
      <c r="G530" s="583"/>
      <c r="H530" s="583"/>
      <c r="I530" s="583"/>
      <c r="J530" s="583"/>
      <c r="K530" s="583"/>
      <c r="L530" s="583"/>
      <c r="M530" s="583"/>
      <c r="N530" s="583"/>
      <c r="O530" s="583"/>
      <c r="P530" s="583"/>
      <c r="Q530" s="588">
        <f t="shared" si="109"/>
        <v>0</v>
      </c>
      <c r="R530" s="585"/>
      <c r="S530" s="585"/>
    </row>
    <row r="531" spans="3:19" hidden="1" x14ac:dyDescent="0.25">
      <c r="C531" s="579" t="s">
        <v>178</v>
      </c>
      <c r="D531" s="579" t="s">
        <v>179</v>
      </c>
      <c r="E531" s="583"/>
      <c r="F531" s="583"/>
      <c r="G531" s="583"/>
      <c r="H531" s="583"/>
      <c r="I531" s="583"/>
      <c r="J531" s="583"/>
      <c r="K531" s="583"/>
      <c r="L531" s="583"/>
      <c r="M531" s="583"/>
      <c r="N531" s="583"/>
      <c r="O531" s="583"/>
      <c r="P531" s="583"/>
      <c r="Q531" s="588">
        <f t="shared" si="109"/>
        <v>0</v>
      </c>
      <c r="R531" s="585"/>
      <c r="S531" s="585"/>
    </row>
    <row r="532" spans="3:19" x14ac:dyDescent="0.25">
      <c r="C532" s="579" t="s">
        <v>180</v>
      </c>
      <c r="D532" s="579" t="s">
        <v>181</v>
      </c>
      <c r="E532" s="593">
        <f>[9]Sales_NP!GU46</f>
        <v>760.93888910076055</v>
      </c>
      <c r="F532" s="593">
        <f>[9]Sales_NP!GV46</f>
        <v>282.26277791705496</v>
      </c>
      <c r="G532" s="593">
        <f>[9]Sales_NP!GW46</f>
        <v>319.15754675912871</v>
      </c>
      <c r="H532" s="593">
        <f>[9]Sales_NP!GX46</f>
        <v>562.73846879846337</v>
      </c>
      <c r="I532" s="593">
        <f>[9]Sales_NP!GY46</f>
        <v>815.89208185819996</v>
      </c>
      <c r="J532" s="593">
        <f>[9]Sales_NP!GZ46</f>
        <v>698.24484945784911</v>
      </c>
      <c r="K532" s="593">
        <f>[9]Sales_NP!HA46</f>
        <v>1288.2842735098527</v>
      </c>
      <c r="L532" s="593">
        <f>[9]Sales_NP!HB46</f>
        <v>547.97716499414491</v>
      </c>
      <c r="M532" s="593">
        <f>[9]Sales_NP!HC46</f>
        <v>788.96024519013201</v>
      </c>
      <c r="N532" s="593">
        <f>[9]Sales_NP!HD46</f>
        <v>1289.5218294487202</v>
      </c>
      <c r="O532" s="593">
        <f>[9]Sales_NP!HE46</f>
        <v>1405.6538495750272</v>
      </c>
      <c r="P532" s="593">
        <f>[9]Sales_NP!HF46</f>
        <v>1696.9740989184634</v>
      </c>
      <c r="Q532" s="588">
        <f t="shared" si="109"/>
        <v>10456.606075527796</v>
      </c>
      <c r="R532" s="585"/>
      <c r="S532" s="585"/>
    </row>
    <row r="533" spans="3:19" hidden="1" x14ac:dyDescent="0.25">
      <c r="C533" s="579" t="s">
        <v>182</v>
      </c>
      <c r="D533" s="579" t="s">
        <v>183</v>
      </c>
      <c r="E533" s="583"/>
      <c r="F533" s="583"/>
      <c r="G533" s="583"/>
      <c r="H533" s="583"/>
      <c r="I533" s="583"/>
      <c r="J533" s="583"/>
      <c r="K533" s="583"/>
      <c r="L533" s="583"/>
      <c r="M533" s="583"/>
      <c r="N533" s="583"/>
      <c r="O533" s="583"/>
      <c r="P533" s="583"/>
      <c r="Q533" s="588">
        <f t="shared" si="109"/>
        <v>0</v>
      </c>
      <c r="R533" s="585"/>
      <c r="S533" s="585"/>
    </row>
    <row r="534" spans="3:19" hidden="1" x14ac:dyDescent="0.25">
      <c r="C534" s="579" t="s">
        <v>184</v>
      </c>
      <c r="D534" s="579" t="s">
        <v>185</v>
      </c>
      <c r="E534" s="583"/>
      <c r="F534" s="583"/>
      <c r="G534" s="583"/>
      <c r="H534" s="583"/>
      <c r="I534" s="583"/>
      <c r="J534" s="583"/>
      <c r="K534" s="583"/>
      <c r="L534" s="583"/>
      <c r="M534" s="583"/>
      <c r="N534" s="583"/>
      <c r="O534" s="583"/>
      <c r="P534" s="583"/>
      <c r="Q534" s="588">
        <f t="shared" si="109"/>
        <v>0</v>
      </c>
      <c r="R534" s="585"/>
      <c r="S534" s="585"/>
    </row>
    <row r="535" spans="3:19" hidden="1" x14ac:dyDescent="0.25">
      <c r="C535" s="579" t="s">
        <v>186</v>
      </c>
      <c r="D535" s="579" t="s">
        <v>187</v>
      </c>
      <c r="E535" s="583"/>
      <c r="F535" s="583"/>
      <c r="G535" s="583"/>
      <c r="H535" s="583"/>
      <c r="I535" s="583"/>
      <c r="J535" s="583"/>
      <c r="K535" s="583"/>
      <c r="L535" s="583"/>
      <c r="M535" s="583"/>
      <c r="N535" s="583"/>
      <c r="O535" s="583"/>
      <c r="P535" s="583"/>
      <c r="Q535" s="588">
        <f t="shared" si="109"/>
        <v>0</v>
      </c>
      <c r="R535" s="585"/>
      <c r="S535" s="585"/>
    </row>
    <row r="536" spans="3:19" hidden="1" x14ac:dyDescent="0.25">
      <c r="C536" s="579" t="s">
        <v>188</v>
      </c>
      <c r="D536" s="579" t="s">
        <v>189</v>
      </c>
      <c r="E536" s="583"/>
      <c r="F536" s="583"/>
      <c r="G536" s="583"/>
      <c r="H536" s="583"/>
      <c r="I536" s="583"/>
      <c r="J536" s="583"/>
      <c r="K536" s="583"/>
      <c r="L536" s="583"/>
      <c r="M536" s="583"/>
      <c r="N536" s="583"/>
      <c r="O536" s="583"/>
      <c r="P536" s="583"/>
      <c r="Q536" s="588">
        <f t="shared" si="109"/>
        <v>0</v>
      </c>
      <c r="R536" s="585"/>
      <c r="S536" s="585"/>
    </row>
    <row r="537" spans="3:19" hidden="1" x14ac:dyDescent="0.25">
      <c r="C537" s="579"/>
      <c r="D537" s="579"/>
      <c r="E537" s="583"/>
      <c r="F537" s="583"/>
      <c r="G537" s="583"/>
      <c r="H537" s="583"/>
      <c r="I537" s="583"/>
      <c r="J537" s="583"/>
      <c r="K537" s="583"/>
      <c r="L537" s="583"/>
      <c r="M537" s="583"/>
      <c r="N537" s="583"/>
      <c r="O537" s="583"/>
      <c r="P537" s="583"/>
      <c r="Q537" s="588">
        <f t="shared" si="109"/>
        <v>0</v>
      </c>
      <c r="R537" s="585"/>
      <c r="S537" s="585"/>
    </row>
    <row r="538" spans="3:19" hidden="1" x14ac:dyDescent="0.25">
      <c r="C538" s="579"/>
      <c r="D538" s="579"/>
      <c r="E538" s="583"/>
      <c r="F538" s="583"/>
      <c r="G538" s="583"/>
      <c r="H538" s="583"/>
      <c r="I538" s="583"/>
      <c r="J538" s="583"/>
      <c r="K538" s="583"/>
      <c r="L538" s="583"/>
      <c r="M538" s="583"/>
      <c r="N538" s="583"/>
      <c r="O538" s="583"/>
      <c r="P538" s="583"/>
      <c r="Q538" s="588">
        <f t="shared" si="109"/>
        <v>0</v>
      </c>
      <c r="R538" s="585"/>
      <c r="S538" s="585"/>
    </row>
    <row r="539" spans="3:19" hidden="1" x14ac:dyDescent="0.25">
      <c r="C539" s="579"/>
      <c r="D539" s="579"/>
      <c r="E539" s="583"/>
      <c r="F539" s="583"/>
      <c r="G539" s="583"/>
      <c r="H539" s="583"/>
      <c r="I539" s="583"/>
      <c r="J539" s="583"/>
      <c r="K539" s="583"/>
      <c r="L539" s="583"/>
      <c r="M539" s="583"/>
      <c r="N539" s="583"/>
      <c r="O539" s="583"/>
      <c r="P539" s="583"/>
      <c r="Q539" s="588">
        <f t="shared" si="109"/>
        <v>0</v>
      </c>
      <c r="R539" s="585"/>
      <c r="S539" s="585"/>
    </row>
    <row r="540" spans="3:19" hidden="1" x14ac:dyDescent="0.25">
      <c r="C540" s="579" t="s">
        <v>226</v>
      </c>
      <c r="D540" s="579" t="s">
        <v>226</v>
      </c>
      <c r="E540" s="583"/>
      <c r="F540" s="583"/>
      <c r="G540" s="583"/>
      <c r="H540" s="583"/>
      <c r="I540" s="583"/>
      <c r="J540" s="583"/>
      <c r="K540" s="583"/>
      <c r="L540" s="583"/>
      <c r="M540" s="583"/>
      <c r="N540" s="583"/>
      <c r="O540" s="583"/>
      <c r="P540" s="583"/>
      <c r="Q540" s="588">
        <f t="shared" si="109"/>
        <v>0</v>
      </c>
      <c r="R540" s="585"/>
      <c r="S540" s="585"/>
    </row>
    <row r="541" spans="3:19" hidden="1" x14ac:dyDescent="0.25">
      <c r="C541" s="773" t="s">
        <v>190</v>
      </c>
      <c r="D541" s="774"/>
      <c r="E541" s="588">
        <f t="shared" ref="E541:P541" si="110">SUM(E528:E540)</f>
        <v>760.93888910076055</v>
      </c>
      <c r="F541" s="588">
        <f t="shared" si="110"/>
        <v>282.26277791705496</v>
      </c>
      <c r="G541" s="588">
        <f t="shared" si="110"/>
        <v>319.15754675912871</v>
      </c>
      <c r="H541" s="588">
        <f t="shared" si="110"/>
        <v>562.73846879846337</v>
      </c>
      <c r="I541" s="588">
        <f t="shared" si="110"/>
        <v>815.89208185819996</v>
      </c>
      <c r="J541" s="588">
        <f t="shared" si="110"/>
        <v>698.24484945784911</v>
      </c>
      <c r="K541" s="588">
        <f t="shared" si="110"/>
        <v>1288.2842735098527</v>
      </c>
      <c r="L541" s="588">
        <f t="shared" si="110"/>
        <v>547.97716499414491</v>
      </c>
      <c r="M541" s="588">
        <f t="shared" si="110"/>
        <v>788.96024519013201</v>
      </c>
      <c r="N541" s="588">
        <f t="shared" si="110"/>
        <v>1289.5218294487202</v>
      </c>
      <c r="O541" s="588">
        <f t="shared" si="110"/>
        <v>1405.6538495750272</v>
      </c>
      <c r="P541" s="588">
        <f t="shared" si="110"/>
        <v>1696.9740989184634</v>
      </c>
      <c r="Q541" s="588">
        <f t="shared" si="109"/>
        <v>10456.606075527796</v>
      </c>
      <c r="R541" s="585"/>
      <c r="S541" s="585"/>
    </row>
    <row r="542" spans="3:19" hidden="1" x14ac:dyDescent="0.25">
      <c r="C542" s="773" t="s">
        <v>191</v>
      </c>
      <c r="D542" s="774"/>
      <c r="E542" s="583"/>
      <c r="F542" s="583"/>
      <c r="G542" s="583"/>
      <c r="H542" s="583"/>
      <c r="I542" s="583"/>
      <c r="J542" s="583"/>
      <c r="K542" s="583"/>
      <c r="L542" s="583"/>
      <c r="M542" s="583"/>
      <c r="N542" s="583"/>
      <c r="O542" s="583"/>
      <c r="P542" s="583"/>
      <c r="Q542" s="588"/>
      <c r="R542" s="585"/>
      <c r="S542" s="585"/>
    </row>
    <row r="543" spans="3:19" hidden="1" x14ac:dyDescent="0.25">
      <c r="C543" s="579" t="s">
        <v>192</v>
      </c>
      <c r="D543" s="579" t="s">
        <v>193</v>
      </c>
      <c r="E543" s="583"/>
      <c r="F543" s="583"/>
      <c r="G543" s="583"/>
      <c r="H543" s="583"/>
      <c r="I543" s="583"/>
      <c r="J543" s="583"/>
      <c r="K543" s="583"/>
      <c r="L543" s="583"/>
      <c r="M543" s="583"/>
      <c r="N543" s="583"/>
      <c r="O543" s="583"/>
      <c r="P543" s="583"/>
      <c r="Q543" s="588">
        <f t="shared" ref="Q543:Q558" si="111">SUM(E543:P543)</f>
        <v>0</v>
      </c>
      <c r="R543" s="585"/>
      <c r="S543" s="585"/>
    </row>
    <row r="544" spans="3:19" hidden="1" x14ac:dyDescent="0.25">
      <c r="C544" s="579" t="s">
        <v>194</v>
      </c>
      <c r="D544" s="579" t="s">
        <v>195</v>
      </c>
      <c r="E544" s="583"/>
      <c r="F544" s="583"/>
      <c r="G544" s="583"/>
      <c r="H544" s="583"/>
      <c r="I544" s="583"/>
      <c r="J544" s="583"/>
      <c r="K544" s="583"/>
      <c r="L544" s="583"/>
      <c r="M544" s="583"/>
      <c r="N544" s="583"/>
      <c r="O544" s="583"/>
      <c r="P544" s="583"/>
      <c r="Q544" s="588">
        <f t="shared" si="111"/>
        <v>0</v>
      </c>
      <c r="R544" s="585"/>
      <c r="S544" s="585"/>
    </row>
    <row r="545" spans="3:19" hidden="1" x14ac:dyDescent="0.25">
      <c r="C545" s="579" t="s">
        <v>233</v>
      </c>
      <c r="D545" s="579" t="s">
        <v>197</v>
      </c>
      <c r="E545" s="583"/>
      <c r="F545" s="583"/>
      <c r="G545" s="583"/>
      <c r="H545" s="583"/>
      <c r="I545" s="583"/>
      <c r="J545" s="583"/>
      <c r="K545" s="583"/>
      <c r="L545" s="583"/>
      <c r="M545" s="583"/>
      <c r="N545" s="583"/>
      <c r="O545" s="583"/>
      <c r="P545" s="583"/>
      <c r="Q545" s="588">
        <f t="shared" si="111"/>
        <v>0</v>
      </c>
      <c r="R545" s="585"/>
      <c r="S545" s="585"/>
    </row>
    <row r="546" spans="3:19" hidden="1" x14ac:dyDescent="0.25">
      <c r="C546" s="579" t="s">
        <v>198</v>
      </c>
      <c r="D546" s="579" t="s">
        <v>199</v>
      </c>
      <c r="E546" s="583"/>
      <c r="F546" s="583"/>
      <c r="G546" s="583"/>
      <c r="H546" s="583"/>
      <c r="I546" s="583"/>
      <c r="J546" s="583"/>
      <c r="K546" s="583"/>
      <c r="L546" s="583"/>
      <c r="M546" s="583"/>
      <c r="N546" s="583"/>
      <c r="O546" s="583"/>
      <c r="P546" s="583"/>
      <c r="Q546" s="588">
        <f t="shared" si="111"/>
        <v>0</v>
      </c>
      <c r="R546" s="585"/>
      <c r="S546" s="585"/>
    </row>
    <row r="547" spans="3:19" hidden="1" x14ac:dyDescent="0.25">
      <c r="C547" s="579" t="s">
        <v>200</v>
      </c>
      <c r="D547" s="579" t="s">
        <v>201</v>
      </c>
      <c r="E547" s="583"/>
      <c r="F547" s="583"/>
      <c r="G547" s="583"/>
      <c r="H547" s="583"/>
      <c r="I547" s="583"/>
      <c r="J547" s="583"/>
      <c r="K547" s="583"/>
      <c r="L547" s="583"/>
      <c r="M547" s="583"/>
      <c r="N547" s="583"/>
      <c r="O547" s="583"/>
      <c r="P547" s="583"/>
      <c r="Q547" s="588">
        <f t="shared" si="111"/>
        <v>0</v>
      </c>
      <c r="R547" s="585"/>
      <c r="S547" s="585"/>
    </row>
    <row r="548" spans="3:19" hidden="1" x14ac:dyDescent="0.25">
      <c r="C548" s="579" t="s">
        <v>202</v>
      </c>
      <c r="D548" s="579" t="s">
        <v>203</v>
      </c>
      <c r="E548" s="583"/>
      <c r="F548" s="583"/>
      <c r="G548" s="583"/>
      <c r="H548" s="583"/>
      <c r="I548" s="583"/>
      <c r="J548" s="583"/>
      <c r="K548" s="583"/>
      <c r="L548" s="583"/>
      <c r="M548" s="583"/>
      <c r="N548" s="583"/>
      <c r="O548" s="583"/>
      <c r="P548" s="583"/>
      <c r="Q548" s="588">
        <f t="shared" si="111"/>
        <v>0</v>
      </c>
      <c r="R548" s="585"/>
      <c r="S548" s="585"/>
    </row>
    <row r="549" spans="3:19" hidden="1" x14ac:dyDescent="0.25">
      <c r="C549" s="579" t="s">
        <v>204</v>
      </c>
      <c r="D549" s="579" t="s">
        <v>205</v>
      </c>
      <c r="E549" s="583"/>
      <c r="F549" s="583"/>
      <c r="G549" s="583"/>
      <c r="H549" s="583"/>
      <c r="I549" s="583"/>
      <c r="J549" s="583"/>
      <c r="K549" s="583"/>
      <c r="L549" s="583"/>
      <c r="M549" s="583"/>
      <c r="N549" s="583"/>
      <c r="O549" s="583"/>
      <c r="P549" s="583"/>
      <c r="Q549" s="588">
        <f t="shared" si="111"/>
        <v>0</v>
      </c>
      <c r="R549" s="585"/>
      <c r="S549" s="585"/>
    </row>
    <row r="550" spans="3:19" hidden="1" x14ac:dyDescent="0.25">
      <c r="C550" s="579" t="s">
        <v>206</v>
      </c>
      <c r="D550" s="579" t="s">
        <v>207</v>
      </c>
      <c r="E550" s="583"/>
      <c r="F550" s="583"/>
      <c r="G550" s="583"/>
      <c r="H550" s="583"/>
      <c r="I550" s="583"/>
      <c r="J550" s="583"/>
      <c r="K550" s="583"/>
      <c r="L550" s="583"/>
      <c r="M550" s="583"/>
      <c r="N550" s="583"/>
      <c r="O550" s="583"/>
      <c r="P550" s="583"/>
      <c r="Q550" s="588">
        <f t="shared" si="111"/>
        <v>0</v>
      </c>
      <c r="R550" s="585"/>
      <c r="S550" s="585"/>
    </row>
    <row r="551" spans="3:19" hidden="1" x14ac:dyDescent="0.25">
      <c r="C551" s="579" t="s">
        <v>208</v>
      </c>
      <c r="D551" s="579" t="s">
        <v>187</v>
      </c>
      <c r="E551" s="583"/>
      <c r="F551" s="583"/>
      <c r="G551" s="583"/>
      <c r="H551" s="583"/>
      <c r="I551" s="583"/>
      <c r="J551" s="583"/>
      <c r="K551" s="583"/>
      <c r="L551" s="583"/>
      <c r="M551" s="583"/>
      <c r="N551" s="583"/>
      <c r="O551" s="583"/>
      <c r="P551" s="583"/>
      <c r="Q551" s="588">
        <f t="shared" si="111"/>
        <v>0</v>
      </c>
      <c r="R551" s="585"/>
      <c r="S551" s="585"/>
    </row>
    <row r="552" spans="3:19" hidden="1" x14ac:dyDescent="0.25">
      <c r="C552" s="579" t="s">
        <v>209</v>
      </c>
      <c r="D552" s="579" t="s">
        <v>210</v>
      </c>
      <c r="E552" s="583"/>
      <c r="F552" s="583"/>
      <c r="G552" s="583"/>
      <c r="H552" s="583"/>
      <c r="I552" s="583"/>
      <c r="J552" s="583"/>
      <c r="K552" s="583"/>
      <c r="L552" s="583"/>
      <c r="M552" s="583"/>
      <c r="N552" s="583"/>
      <c r="O552" s="583"/>
      <c r="P552" s="583"/>
      <c r="Q552" s="588">
        <f t="shared" si="111"/>
        <v>0</v>
      </c>
      <c r="R552" s="585"/>
      <c r="S552" s="585"/>
    </row>
    <row r="553" spans="3:19" hidden="1" x14ac:dyDescent="0.25">
      <c r="C553" s="579" t="s">
        <v>211</v>
      </c>
      <c r="D553" s="579" t="s">
        <v>189</v>
      </c>
      <c r="E553" s="583"/>
      <c r="F553" s="583"/>
      <c r="G553" s="583"/>
      <c r="H553" s="583"/>
      <c r="I553" s="583"/>
      <c r="J553" s="583"/>
      <c r="K553" s="583"/>
      <c r="L553" s="583"/>
      <c r="M553" s="583"/>
      <c r="N553" s="583"/>
      <c r="O553" s="583"/>
      <c r="P553" s="583"/>
      <c r="Q553" s="588">
        <f t="shared" si="111"/>
        <v>0</v>
      </c>
      <c r="R553" s="585"/>
      <c r="S553" s="585"/>
    </row>
    <row r="554" spans="3:19" hidden="1" x14ac:dyDescent="0.25">
      <c r="C554" s="579"/>
      <c r="D554" s="579"/>
      <c r="E554" s="583"/>
      <c r="F554" s="583"/>
      <c r="G554" s="583"/>
      <c r="H554" s="583"/>
      <c r="I554" s="583"/>
      <c r="J554" s="583"/>
      <c r="K554" s="583"/>
      <c r="L554" s="583"/>
      <c r="M554" s="583"/>
      <c r="N554" s="583"/>
      <c r="O554" s="583"/>
      <c r="P554" s="583"/>
      <c r="Q554" s="588">
        <f t="shared" si="111"/>
        <v>0</v>
      </c>
      <c r="R554" s="585"/>
      <c r="S554" s="585"/>
    </row>
    <row r="555" spans="3:19" hidden="1" x14ac:dyDescent="0.25">
      <c r="C555" s="579"/>
      <c r="D555" s="579"/>
      <c r="E555" s="583"/>
      <c r="F555" s="583"/>
      <c r="G555" s="583"/>
      <c r="H555" s="583"/>
      <c r="I555" s="583"/>
      <c r="J555" s="583"/>
      <c r="K555" s="583"/>
      <c r="L555" s="583"/>
      <c r="M555" s="583"/>
      <c r="N555" s="583"/>
      <c r="O555" s="583"/>
      <c r="P555" s="583"/>
      <c r="Q555" s="588">
        <f t="shared" si="111"/>
        <v>0</v>
      </c>
      <c r="R555" s="585"/>
      <c r="S555" s="585"/>
    </row>
    <row r="556" spans="3:19" hidden="1" x14ac:dyDescent="0.25">
      <c r="C556" s="579"/>
      <c r="D556" s="579"/>
      <c r="E556" s="583"/>
      <c r="F556" s="583"/>
      <c r="G556" s="583"/>
      <c r="H556" s="583"/>
      <c r="I556" s="583"/>
      <c r="J556" s="583"/>
      <c r="K556" s="583"/>
      <c r="L556" s="583"/>
      <c r="M556" s="583"/>
      <c r="N556" s="583"/>
      <c r="O556" s="583"/>
      <c r="P556" s="583"/>
      <c r="Q556" s="588">
        <f t="shared" si="111"/>
        <v>0</v>
      </c>
      <c r="R556" s="585"/>
      <c r="S556" s="585"/>
    </row>
    <row r="557" spans="3:19" hidden="1" x14ac:dyDescent="0.25">
      <c r="C557" s="579" t="s">
        <v>226</v>
      </c>
      <c r="D557" s="579" t="s">
        <v>226</v>
      </c>
      <c r="E557" s="583"/>
      <c r="F557" s="583"/>
      <c r="G557" s="583"/>
      <c r="H557" s="583"/>
      <c r="I557" s="583"/>
      <c r="J557" s="583"/>
      <c r="K557" s="583"/>
      <c r="L557" s="583"/>
      <c r="M557" s="583"/>
      <c r="N557" s="583"/>
      <c r="O557" s="583"/>
      <c r="P557" s="583"/>
      <c r="Q557" s="588">
        <f t="shared" si="111"/>
        <v>0</v>
      </c>
      <c r="R557" s="585"/>
      <c r="S557" s="585"/>
    </row>
    <row r="558" spans="3:19" hidden="1" x14ac:dyDescent="0.25">
      <c r="C558" s="773" t="s">
        <v>212</v>
      </c>
      <c r="D558" s="774"/>
      <c r="E558" s="588">
        <f t="shared" ref="E558:P558" si="112">SUM(E543:E557)</f>
        <v>0</v>
      </c>
      <c r="F558" s="588">
        <f t="shared" si="112"/>
        <v>0</v>
      </c>
      <c r="G558" s="588">
        <f t="shared" si="112"/>
        <v>0</v>
      </c>
      <c r="H558" s="588">
        <f t="shared" si="112"/>
        <v>0</v>
      </c>
      <c r="I558" s="588">
        <f t="shared" si="112"/>
        <v>0</v>
      </c>
      <c r="J558" s="588">
        <f t="shared" si="112"/>
        <v>0</v>
      </c>
      <c r="K558" s="588">
        <f t="shared" si="112"/>
        <v>0</v>
      </c>
      <c r="L558" s="588">
        <f t="shared" si="112"/>
        <v>0</v>
      </c>
      <c r="M558" s="588">
        <f t="shared" si="112"/>
        <v>0</v>
      </c>
      <c r="N558" s="588">
        <f t="shared" si="112"/>
        <v>0</v>
      </c>
      <c r="O558" s="588">
        <f t="shared" si="112"/>
        <v>0</v>
      </c>
      <c r="P558" s="588">
        <f t="shared" si="112"/>
        <v>0</v>
      </c>
      <c r="Q558" s="588">
        <f t="shared" si="111"/>
        <v>0</v>
      </c>
      <c r="R558" s="585"/>
      <c r="S558" s="585"/>
    </row>
    <row r="559" spans="3:19" hidden="1" x14ac:dyDescent="0.25">
      <c r="C559" s="773" t="s">
        <v>213</v>
      </c>
      <c r="D559" s="774"/>
      <c r="E559" s="583"/>
      <c r="F559" s="583"/>
      <c r="G559" s="583"/>
      <c r="H559" s="583"/>
      <c r="I559" s="583"/>
      <c r="J559" s="583"/>
      <c r="K559" s="583"/>
      <c r="L559" s="583"/>
      <c r="M559" s="583"/>
      <c r="N559" s="583"/>
      <c r="O559" s="583"/>
      <c r="P559" s="583"/>
      <c r="Q559" s="588"/>
      <c r="R559" s="585"/>
      <c r="S559" s="585"/>
    </row>
    <row r="560" spans="3:19" hidden="1" x14ac:dyDescent="0.25">
      <c r="C560" s="579" t="s">
        <v>192</v>
      </c>
      <c r="D560" s="579" t="s">
        <v>193</v>
      </c>
      <c r="E560" s="583"/>
      <c r="F560" s="583"/>
      <c r="G560" s="583"/>
      <c r="H560" s="583"/>
      <c r="I560" s="583"/>
      <c r="J560" s="583"/>
      <c r="K560" s="583"/>
      <c r="L560" s="583"/>
      <c r="M560" s="583"/>
      <c r="N560" s="583"/>
      <c r="O560" s="583"/>
      <c r="P560" s="583"/>
      <c r="Q560" s="588">
        <f t="shared" ref="Q560:Q575" si="113">SUM(E560:P560)</f>
        <v>0</v>
      </c>
      <c r="R560" s="585"/>
      <c r="S560" s="585"/>
    </row>
    <row r="561" spans="3:19" hidden="1" x14ac:dyDescent="0.25">
      <c r="C561" s="579" t="s">
        <v>194</v>
      </c>
      <c r="D561" s="579" t="s">
        <v>195</v>
      </c>
      <c r="E561" s="583"/>
      <c r="F561" s="583"/>
      <c r="G561" s="583"/>
      <c r="H561" s="583"/>
      <c r="I561" s="583"/>
      <c r="J561" s="583"/>
      <c r="K561" s="583"/>
      <c r="L561" s="583"/>
      <c r="M561" s="583"/>
      <c r="N561" s="583"/>
      <c r="O561" s="583"/>
      <c r="P561" s="583"/>
      <c r="Q561" s="588">
        <f t="shared" si="113"/>
        <v>0</v>
      </c>
      <c r="R561" s="585"/>
      <c r="S561" s="585"/>
    </row>
    <row r="562" spans="3:19" hidden="1" x14ac:dyDescent="0.25">
      <c r="C562" s="579" t="s">
        <v>233</v>
      </c>
      <c r="D562" s="579" t="s">
        <v>197</v>
      </c>
      <c r="E562" s="583"/>
      <c r="F562" s="583"/>
      <c r="G562" s="583"/>
      <c r="H562" s="583"/>
      <c r="I562" s="583"/>
      <c r="J562" s="583"/>
      <c r="K562" s="583"/>
      <c r="L562" s="583"/>
      <c r="M562" s="583"/>
      <c r="N562" s="583"/>
      <c r="O562" s="583"/>
      <c r="P562" s="583"/>
      <c r="Q562" s="588">
        <f t="shared" si="113"/>
        <v>0</v>
      </c>
      <c r="R562" s="585"/>
      <c r="S562" s="585"/>
    </row>
    <row r="563" spans="3:19" hidden="1" x14ac:dyDescent="0.25">
      <c r="C563" s="579" t="s">
        <v>198</v>
      </c>
      <c r="D563" s="579" t="s">
        <v>199</v>
      </c>
      <c r="E563" s="583"/>
      <c r="F563" s="583"/>
      <c r="G563" s="583"/>
      <c r="H563" s="583"/>
      <c r="I563" s="583"/>
      <c r="J563" s="583"/>
      <c r="K563" s="583"/>
      <c r="L563" s="583"/>
      <c r="M563" s="583"/>
      <c r="N563" s="583"/>
      <c r="O563" s="583"/>
      <c r="P563" s="583"/>
      <c r="Q563" s="588">
        <f t="shared" si="113"/>
        <v>0</v>
      </c>
      <c r="R563" s="585"/>
      <c r="S563" s="585"/>
    </row>
    <row r="564" spans="3:19" hidden="1" x14ac:dyDescent="0.25">
      <c r="C564" s="579" t="s">
        <v>200</v>
      </c>
      <c r="D564" s="579" t="s">
        <v>201</v>
      </c>
      <c r="E564" s="583"/>
      <c r="F564" s="583"/>
      <c r="G564" s="583"/>
      <c r="H564" s="583"/>
      <c r="I564" s="583"/>
      <c r="J564" s="583"/>
      <c r="K564" s="583"/>
      <c r="L564" s="583"/>
      <c r="M564" s="583"/>
      <c r="N564" s="583"/>
      <c r="O564" s="583"/>
      <c r="P564" s="583"/>
      <c r="Q564" s="588">
        <f t="shared" si="113"/>
        <v>0</v>
      </c>
      <c r="R564" s="585"/>
      <c r="S564" s="585"/>
    </row>
    <row r="565" spans="3:19" hidden="1" x14ac:dyDescent="0.25">
      <c r="C565" s="579" t="s">
        <v>202</v>
      </c>
      <c r="D565" s="579" t="s">
        <v>203</v>
      </c>
      <c r="E565" s="583"/>
      <c r="F565" s="583"/>
      <c r="G565" s="583"/>
      <c r="H565" s="583"/>
      <c r="I565" s="583"/>
      <c r="J565" s="583"/>
      <c r="K565" s="583"/>
      <c r="L565" s="583"/>
      <c r="M565" s="583"/>
      <c r="N565" s="583"/>
      <c r="O565" s="583"/>
      <c r="P565" s="583"/>
      <c r="Q565" s="588">
        <f t="shared" si="113"/>
        <v>0</v>
      </c>
      <c r="R565" s="585"/>
      <c r="S565" s="585"/>
    </row>
    <row r="566" spans="3:19" hidden="1" x14ac:dyDescent="0.25">
      <c r="C566" s="579" t="s">
        <v>204</v>
      </c>
      <c r="D566" s="579" t="s">
        <v>205</v>
      </c>
      <c r="E566" s="583"/>
      <c r="F566" s="583"/>
      <c r="G566" s="583"/>
      <c r="H566" s="583"/>
      <c r="I566" s="583"/>
      <c r="J566" s="583"/>
      <c r="K566" s="583"/>
      <c r="L566" s="583"/>
      <c r="M566" s="583"/>
      <c r="N566" s="583"/>
      <c r="O566" s="583"/>
      <c r="P566" s="583"/>
      <c r="Q566" s="588">
        <f t="shared" si="113"/>
        <v>0</v>
      </c>
      <c r="R566" s="585"/>
      <c r="S566" s="585"/>
    </row>
    <row r="567" spans="3:19" hidden="1" x14ac:dyDescent="0.25">
      <c r="C567" s="579" t="s">
        <v>206</v>
      </c>
      <c r="D567" s="579" t="s">
        <v>207</v>
      </c>
      <c r="E567" s="583"/>
      <c r="F567" s="583"/>
      <c r="G567" s="583"/>
      <c r="H567" s="583"/>
      <c r="I567" s="583"/>
      <c r="J567" s="583"/>
      <c r="K567" s="583"/>
      <c r="L567" s="583"/>
      <c r="M567" s="583"/>
      <c r="N567" s="583"/>
      <c r="O567" s="583"/>
      <c r="P567" s="583"/>
      <c r="Q567" s="588">
        <f t="shared" si="113"/>
        <v>0</v>
      </c>
      <c r="R567" s="585"/>
      <c r="S567" s="585"/>
    </row>
    <row r="568" spans="3:19" hidden="1" x14ac:dyDescent="0.25">
      <c r="C568" s="579" t="s">
        <v>214</v>
      </c>
      <c r="D568" s="579" t="s">
        <v>187</v>
      </c>
      <c r="E568" s="583"/>
      <c r="F568" s="583"/>
      <c r="G568" s="583"/>
      <c r="H568" s="583"/>
      <c r="I568" s="583"/>
      <c r="J568" s="583"/>
      <c r="K568" s="583"/>
      <c r="L568" s="583"/>
      <c r="M568" s="583"/>
      <c r="N568" s="583"/>
      <c r="O568" s="583"/>
      <c r="P568" s="583"/>
      <c r="Q568" s="588">
        <f t="shared" si="113"/>
        <v>0</v>
      </c>
      <c r="R568" s="585"/>
      <c r="S568" s="585"/>
    </row>
    <row r="569" spans="3:19" hidden="1" x14ac:dyDescent="0.25">
      <c r="C569" s="579" t="s">
        <v>209</v>
      </c>
      <c r="D569" s="579" t="s">
        <v>210</v>
      </c>
      <c r="E569" s="583"/>
      <c r="F569" s="583"/>
      <c r="G569" s="583"/>
      <c r="H569" s="583"/>
      <c r="I569" s="583"/>
      <c r="J569" s="583"/>
      <c r="K569" s="583"/>
      <c r="L569" s="583"/>
      <c r="M569" s="583"/>
      <c r="N569" s="583"/>
      <c r="O569" s="583"/>
      <c r="P569" s="583"/>
      <c r="Q569" s="588">
        <f t="shared" si="113"/>
        <v>0</v>
      </c>
      <c r="R569" s="585"/>
      <c r="S569" s="585"/>
    </row>
    <row r="570" spans="3:19" hidden="1" x14ac:dyDescent="0.25">
      <c r="C570" s="579" t="s">
        <v>211</v>
      </c>
      <c r="D570" s="579" t="s">
        <v>189</v>
      </c>
      <c r="E570" s="583"/>
      <c r="F570" s="583"/>
      <c r="G570" s="583"/>
      <c r="H570" s="583"/>
      <c r="I570" s="583"/>
      <c r="J570" s="583"/>
      <c r="K570" s="583"/>
      <c r="L570" s="583"/>
      <c r="M570" s="583"/>
      <c r="N570" s="583"/>
      <c r="O570" s="583"/>
      <c r="P570" s="583"/>
      <c r="Q570" s="588">
        <f t="shared" si="113"/>
        <v>0</v>
      </c>
      <c r="R570" s="585"/>
      <c r="S570" s="585"/>
    </row>
    <row r="571" spans="3:19" hidden="1" x14ac:dyDescent="0.25">
      <c r="C571" s="579"/>
      <c r="D571" s="579"/>
      <c r="E571" s="583"/>
      <c r="F571" s="583"/>
      <c r="G571" s="583"/>
      <c r="H571" s="583"/>
      <c r="I571" s="583"/>
      <c r="J571" s="583"/>
      <c r="K571" s="583"/>
      <c r="L571" s="583"/>
      <c r="M571" s="583"/>
      <c r="N571" s="583"/>
      <c r="O571" s="583"/>
      <c r="P571" s="583"/>
      <c r="Q571" s="588">
        <f t="shared" si="113"/>
        <v>0</v>
      </c>
      <c r="R571" s="585"/>
      <c r="S571" s="585"/>
    </row>
    <row r="572" spans="3:19" hidden="1" x14ac:dyDescent="0.25">
      <c r="C572" s="579"/>
      <c r="D572" s="579"/>
      <c r="E572" s="583"/>
      <c r="F572" s="583"/>
      <c r="G572" s="583"/>
      <c r="H572" s="583"/>
      <c r="I572" s="583"/>
      <c r="J572" s="583"/>
      <c r="K572" s="583"/>
      <c r="L572" s="583"/>
      <c r="M572" s="583"/>
      <c r="N572" s="583"/>
      <c r="O572" s="583"/>
      <c r="P572" s="583"/>
      <c r="Q572" s="588">
        <f t="shared" si="113"/>
        <v>0</v>
      </c>
      <c r="R572" s="585"/>
      <c r="S572" s="585"/>
    </row>
    <row r="573" spans="3:19" hidden="1" x14ac:dyDescent="0.25">
      <c r="C573" s="579"/>
      <c r="D573" s="579"/>
      <c r="E573" s="583"/>
      <c r="F573" s="583"/>
      <c r="G573" s="583"/>
      <c r="H573" s="583"/>
      <c r="I573" s="583"/>
      <c r="J573" s="583"/>
      <c r="K573" s="583"/>
      <c r="L573" s="583"/>
      <c r="M573" s="583"/>
      <c r="N573" s="583"/>
      <c r="O573" s="583"/>
      <c r="P573" s="583"/>
      <c r="Q573" s="588">
        <f t="shared" si="113"/>
        <v>0</v>
      </c>
      <c r="R573" s="585"/>
      <c r="S573" s="585"/>
    </row>
    <row r="574" spans="3:19" hidden="1" x14ac:dyDescent="0.25">
      <c r="C574" s="579" t="s">
        <v>226</v>
      </c>
      <c r="D574" s="579" t="s">
        <v>226</v>
      </c>
      <c r="E574" s="583"/>
      <c r="F574" s="583"/>
      <c r="G574" s="583"/>
      <c r="H574" s="583"/>
      <c r="I574" s="583"/>
      <c r="J574" s="583"/>
      <c r="K574" s="583"/>
      <c r="L574" s="583"/>
      <c r="M574" s="583"/>
      <c r="N574" s="583"/>
      <c r="O574" s="583"/>
      <c r="P574" s="583"/>
      <c r="Q574" s="588">
        <f t="shared" si="113"/>
        <v>0</v>
      </c>
      <c r="R574" s="585"/>
      <c r="S574" s="585"/>
    </row>
    <row r="575" spans="3:19" hidden="1" x14ac:dyDescent="0.25">
      <c r="C575" s="773" t="s">
        <v>212</v>
      </c>
      <c r="D575" s="774"/>
      <c r="E575" s="588">
        <f t="shared" ref="E575:P575" si="114">SUM(E560:E574)</f>
        <v>0</v>
      </c>
      <c r="F575" s="588">
        <f t="shared" si="114"/>
        <v>0</v>
      </c>
      <c r="G575" s="588">
        <f t="shared" si="114"/>
        <v>0</v>
      </c>
      <c r="H575" s="588">
        <f t="shared" si="114"/>
        <v>0</v>
      </c>
      <c r="I575" s="588">
        <f t="shared" si="114"/>
        <v>0</v>
      </c>
      <c r="J575" s="588">
        <f t="shared" si="114"/>
        <v>0</v>
      </c>
      <c r="K575" s="588">
        <f t="shared" si="114"/>
        <v>0</v>
      </c>
      <c r="L575" s="588">
        <f t="shared" si="114"/>
        <v>0</v>
      </c>
      <c r="M575" s="588">
        <f t="shared" si="114"/>
        <v>0</v>
      </c>
      <c r="N575" s="588">
        <f t="shared" si="114"/>
        <v>0</v>
      </c>
      <c r="O575" s="588">
        <f t="shared" si="114"/>
        <v>0</v>
      </c>
      <c r="P575" s="588">
        <f t="shared" si="114"/>
        <v>0</v>
      </c>
      <c r="Q575" s="588">
        <f t="shared" si="113"/>
        <v>0</v>
      </c>
      <c r="R575" s="585"/>
      <c r="S575" s="585"/>
    </row>
    <row r="576" spans="3:19" hidden="1" x14ac:dyDescent="0.25">
      <c r="C576" s="773" t="s">
        <v>215</v>
      </c>
      <c r="D576" s="774"/>
      <c r="E576" s="583"/>
      <c r="F576" s="583"/>
      <c r="G576" s="583"/>
      <c r="H576" s="583"/>
      <c r="I576" s="583"/>
      <c r="J576" s="583"/>
      <c r="K576" s="583"/>
      <c r="L576" s="583"/>
      <c r="M576" s="583"/>
      <c r="N576" s="583"/>
      <c r="O576" s="583"/>
      <c r="P576" s="583"/>
      <c r="Q576" s="588"/>
      <c r="R576" s="585"/>
      <c r="S576" s="585"/>
    </row>
    <row r="577" spans="3:19" hidden="1" x14ac:dyDescent="0.25">
      <c r="C577" s="579" t="s">
        <v>192</v>
      </c>
      <c r="D577" s="579" t="s">
        <v>193</v>
      </c>
      <c r="E577" s="583"/>
      <c r="F577" s="583"/>
      <c r="G577" s="583"/>
      <c r="H577" s="583"/>
      <c r="I577" s="583"/>
      <c r="J577" s="583"/>
      <c r="K577" s="583"/>
      <c r="L577" s="583"/>
      <c r="M577" s="583"/>
      <c r="N577" s="583"/>
      <c r="O577" s="583"/>
      <c r="P577" s="583"/>
      <c r="Q577" s="588">
        <f t="shared" ref="Q577:Q596" si="115">SUM(E577:P577)</f>
        <v>0</v>
      </c>
      <c r="R577" s="585"/>
      <c r="S577" s="585"/>
    </row>
    <row r="578" spans="3:19" hidden="1" x14ac:dyDescent="0.25">
      <c r="C578" s="579" t="s">
        <v>194</v>
      </c>
      <c r="D578" s="579" t="s">
        <v>195</v>
      </c>
      <c r="E578" s="583"/>
      <c r="F578" s="583"/>
      <c r="G578" s="583"/>
      <c r="H578" s="583"/>
      <c r="I578" s="583"/>
      <c r="J578" s="583"/>
      <c r="K578" s="583"/>
      <c r="L578" s="583"/>
      <c r="M578" s="583"/>
      <c r="N578" s="583"/>
      <c r="O578" s="583"/>
      <c r="P578" s="583"/>
      <c r="Q578" s="588">
        <f t="shared" si="115"/>
        <v>0</v>
      </c>
      <c r="R578" s="585"/>
      <c r="S578" s="585"/>
    </row>
    <row r="579" spans="3:19" hidden="1" x14ac:dyDescent="0.25">
      <c r="C579" s="579" t="s">
        <v>233</v>
      </c>
      <c r="D579" s="579" t="s">
        <v>197</v>
      </c>
      <c r="E579" s="583"/>
      <c r="F579" s="583"/>
      <c r="G579" s="583"/>
      <c r="H579" s="583"/>
      <c r="I579" s="583"/>
      <c r="J579" s="583"/>
      <c r="K579" s="583"/>
      <c r="L579" s="583"/>
      <c r="M579" s="583"/>
      <c r="N579" s="583"/>
      <c r="O579" s="583"/>
      <c r="P579" s="583"/>
      <c r="Q579" s="588">
        <f t="shared" si="115"/>
        <v>0</v>
      </c>
      <c r="R579" s="585"/>
      <c r="S579" s="585"/>
    </row>
    <row r="580" spans="3:19" hidden="1" x14ac:dyDescent="0.25">
      <c r="C580" s="579" t="s">
        <v>198</v>
      </c>
      <c r="D580" s="579" t="s">
        <v>199</v>
      </c>
      <c r="E580" s="583"/>
      <c r="F580" s="583"/>
      <c r="G580" s="583"/>
      <c r="H580" s="583"/>
      <c r="I580" s="583"/>
      <c r="J580" s="583"/>
      <c r="K580" s="583"/>
      <c r="L580" s="583"/>
      <c r="M580" s="583"/>
      <c r="N580" s="583"/>
      <c r="O580" s="583"/>
      <c r="P580" s="583"/>
      <c r="Q580" s="588">
        <f t="shared" si="115"/>
        <v>0</v>
      </c>
      <c r="R580" s="585"/>
      <c r="S580" s="585"/>
    </row>
    <row r="581" spans="3:19" hidden="1" x14ac:dyDescent="0.25">
      <c r="C581" s="579" t="s">
        <v>200</v>
      </c>
      <c r="D581" s="579" t="s">
        <v>201</v>
      </c>
      <c r="E581" s="583"/>
      <c r="F581" s="583"/>
      <c r="G581" s="583"/>
      <c r="H581" s="583"/>
      <c r="I581" s="583"/>
      <c r="J581" s="583"/>
      <c r="K581" s="583"/>
      <c r="L581" s="583"/>
      <c r="M581" s="583"/>
      <c r="N581" s="583"/>
      <c r="O581" s="583"/>
      <c r="P581" s="583"/>
      <c r="Q581" s="588">
        <f t="shared" si="115"/>
        <v>0</v>
      </c>
      <c r="R581" s="585"/>
      <c r="S581" s="585"/>
    </row>
    <row r="582" spans="3:19" hidden="1" x14ac:dyDescent="0.25">
      <c r="C582" s="579" t="s">
        <v>202</v>
      </c>
      <c r="D582" s="579" t="s">
        <v>234</v>
      </c>
      <c r="E582" s="583"/>
      <c r="F582" s="583"/>
      <c r="G582" s="583"/>
      <c r="H582" s="583"/>
      <c r="I582" s="583"/>
      <c r="J582" s="583"/>
      <c r="K582" s="583"/>
      <c r="L582" s="583"/>
      <c r="M582" s="583"/>
      <c r="N582" s="583"/>
      <c r="O582" s="583"/>
      <c r="P582" s="583"/>
      <c r="Q582" s="588">
        <f t="shared" si="115"/>
        <v>0</v>
      </c>
      <c r="R582" s="585"/>
      <c r="S582" s="585"/>
    </row>
    <row r="583" spans="3:19" hidden="1" x14ac:dyDescent="0.25">
      <c r="C583" s="579" t="s">
        <v>204</v>
      </c>
      <c r="D583" s="579" t="s">
        <v>216</v>
      </c>
      <c r="E583" s="583"/>
      <c r="F583" s="583"/>
      <c r="G583" s="583"/>
      <c r="H583" s="583"/>
      <c r="I583" s="583"/>
      <c r="J583" s="583"/>
      <c r="K583" s="583"/>
      <c r="L583" s="583"/>
      <c r="M583" s="583"/>
      <c r="N583" s="583"/>
      <c r="O583" s="583"/>
      <c r="P583" s="583"/>
      <c r="Q583" s="588">
        <f t="shared" si="115"/>
        <v>0</v>
      </c>
      <c r="R583" s="585"/>
      <c r="S583" s="585"/>
    </row>
    <row r="584" spans="3:19" hidden="1" x14ac:dyDescent="0.25">
      <c r="C584" s="579" t="s">
        <v>217</v>
      </c>
      <c r="D584" s="579" t="s">
        <v>218</v>
      </c>
      <c r="E584" s="583"/>
      <c r="F584" s="583"/>
      <c r="G584" s="583"/>
      <c r="H584" s="583"/>
      <c r="I584" s="583"/>
      <c r="J584" s="583"/>
      <c r="K584" s="583"/>
      <c r="L584" s="583"/>
      <c r="M584" s="583"/>
      <c r="N584" s="583"/>
      <c r="O584" s="583"/>
      <c r="P584" s="583"/>
      <c r="Q584" s="588">
        <f t="shared" si="115"/>
        <v>0</v>
      </c>
      <c r="R584" s="585"/>
      <c r="S584" s="585"/>
    </row>
    <row r="585" spans="3:19" hidden="1" x14ac:dyDescent="0.25">
      <c r="C585" s="579" t="s">
        <v>252</v>
      </c>
      <c r="D585" s="579" t="s">
        <v>236</v>
      </c>
      <c r="E585" s="583"/>
      <c r="F585" s="583"/>
      <c r="G585" s="583"/>
      <c r="H585" s="583"/>
      <c r="I585" s="583"/>
      <c r="J585" s="583"/>
      <c r="K585" s="583"/>
      <c r="L585" s="583"/>
      <c r="M585" s="583"/>
      <c r="N585" s="583"/>
      <c r="O585" s="583"/>
      <c r="P585" s="583"/>
      <c r="Q585" s="588">
        <f t="shared" si="115"/>
        <v>0</v>
      </c>
      <c r="R585" s="585"/>
      <c r="S585" s="585"/>
    </row>
    <row r="586" spans="3:19" hidden="1" x14ac:dyDescent="0.25">
      <c r="C586" s="579" t="s">
        <v>206</v>
      </c>
      <c r="D586" s="579" t="s">
        <v>207</v>
      </c>
      <c r="E586" s="583"/>
      <c r="F586" s="583"/>
      <c r="G586" s="583"/>
      <c r="H586" s="583"/>
      <c r="I586" s="583"/>
      <c r="J586" s="583"/>
      <c r="K586" s="583"/>
      <c r="L586" s="583"/>
      <c r="M586" s="583"/>
      <c r="N586" s="583"/>
      <c r="O586" s="583"/>
      <c r="P586" s="583"/>
      <c r="Q586" s="588">
        <f t="shared" si="115"/>
        <v>0</v>
      </c>
      <c r="R586" s="585"/>
      <c r="S586" s="585"/>
    </row>
    <row r="587" spans="3:19" hidden="1" x14ac:dyDescent="0.25">
      <c r="C587" s="579" t="s">
        <v>208</v>
      </c>
      <c r="D587" s="579" t="s">
        <v>187</v>
      </c>
      <c r="E587" s="583"/>
      <c r="F587" s="583"/>
      <c r="G587" s="583"/>
      <c r="H587" s="583"/>
      <c r="I587" s="583"/>
      <c r="J587" s="583"/>
      <c r="K587" s="583"/>
      <c r="L587" s="583"/>
      <c r="M587" s="583"/>
      <c r="N587" s="583"/>
      <c r="O587" s="583"/>
      <c r="P587" s="583"/>
      <c r="Q587" s="588">
        <f t="shared" si="115"/>
        <v>0</v>
      </c>
      <c r="R587" s="585"/>
      <c r="S587" s="585"/>
    </row>
    <row r="588" spans="3:19" hidden="1" x14ac:dyDescent="0.25">
      <c r="C588" s="579" t="s">
        <v>209</v>
      </c>
      <c r="D588" s="579" t="s">
        <v>210</v>
      </c>
      <c r="E588" s="583"/>
      <c r="F588" s="583"/>
      <c r="G588" s="583"/>
      <c r="H588" s="583"/>
      <c r="I588" s="583"/>
      <c r="J588" s="583"/>
      <c r="K588" s="583"/>
      <c r="L588" s="583"/>
      <c r="M588" s="583"/>
      <c r="N588" s="583"/>
      <c r="O588" s="583"/>
      <c r="P588" s="583"/>
      <c r="Q588" s="588">
        <f t="shared" si="115"/>
        <v>0</v>
      </c>
      <c r="R588" s="585"/>
      <c r="S588" s="585"/>
    </row>
    <row r="589" spans="3:19" hidden="1" x14ac:dyDescent="0.25">
      <c r="C589" s="579" t="s">
        <v>211</v>
      </c>
      <c r="D589" s="579" t="s">
        <v>189</v>
      </c>
      <c r="E589" s="583"/>
      <c r="F589" s="583"/>
      <c r="G589" s="583"/>
      <c r="H589" s="583"/>
      <c r="I589" s="583"/>
      <c r="J589" s="583"/>
      <c r="K589" s="583"/>
      <c r="L589" s="583"/>
      <c r="M589" s="583"/>
      <c r="N589" s="583"/>
      <c r="O589" s="583"/>
      <c r="P589" s="583"/>
      <c r="Q589" s="588">
        <f t="shared" si="115"/>
        <v>0</v>
      </c>
      <c r="R589" s="585"/>
      <c r="S589" s="585"/>
    </row>
    <row r="590" spans="3:19" hidden="1" x14ac:dyDescent="0.25">
      <c r="C590" s="579"/>
      <c r="D590" s="579"/>
      <c r="E590" s="583"/>
      <c r="F590" s="583"/>
      <c r="G590" s="583"/>
      <c r="H590" s="583"/>
      <c r="I590" s="583"/>
      <c r="J590" s="583"/>
      <c r="K590" s="583"/>
      <c r="L590" s="583"/>
      <c r="M590" s="583"/>
      <c r="N590" s="583"/>
      <c r="O590" s="583"/>
      <c r="P590" s="583"/>
      <c r="Q590" s="588">
        <f t="shared" si="115"/>
        <v>0</v>
      </c>
      <c r="R590" s="585"/>
      <c r="S590" s="585"/>
    </row>
    <row r="591" spans="3:19" hidden="1" x14ac:dyDescent="0.25">
      <c r="C591" s="579"/>
      <c r="D591" s="579"/>
      <c r="E591" s="583"/>
      <c r="F591" s="583"/>
      <c r="G591" s="583"/>
      <c r="H591" s="583"/>
      <c r="I591" s="583"/>
      <c r="J591" s="583"/>
      <c r="K591" s="583"/>
      <c r="L591" s="583"/>
      <c r="M591" s="583"/>
      <c r="N591" s="583"/>
      <c r="O591" s="583"/>
      <c r="P591" s="583"/>
      <c r="Q591" s="588">
        <f t="shared" si="115"/>
        <v>0</v>
      </c>
      <c r="R591" s="585"/>
      <c r="S591" s="585"/>
    </row>
    <row r="592" spans="3:19" hidden="1" x14ac:dyDescent="0.25">
      <c r="C592" s="579"/>
      <c r="D592" s="579"/>
      <c r="E592" s="583"/>
      <c r="F592" s="583"/>
      <c r="G592" s="583"/>
      <c r="H592" s="583"/>
      <c r="I592" s="583"/>
      <c r="J592" s="583"/>
      <c r="K592" s="583"/>
      <c r="L592" s="583"/>
      <c r="M592" s="583"/>
      <c r="N592" s="583"/>
      <c r="O592" s="583"/>
      <c r="P592" s="583"/>
      <c r="Q592" s="588">
        <f t="shared" si="115"/>
        <v>0</v>
      </c>
      <c r="R592" s="585"/>
      <c r="S592" s="585"/>
    </row>
    <row r="593" spans="3:19" hidden="1" x14ac:dyDescent="0.25">
      <c r="C593" s="579" t="s">
        <v>226</v>
      </c>
      <c r="D593" s="579" t="s">
        <v>226</v>
      </c>
      <c r="E593" s="583"/>
      <c r="F593" s="583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8">
        <f t="shared" si="115"/>
        <v>0</v>
      </c>
      <c r="R593" s="585"/>
      <c r="S593" s="585"/>
    </row>
    <row r="594" spans="3:19" hidden="1" x14ac:dyDescent="0.25">
      <c r="C594" s="773" t="s">
        <v>212</v>
      </c>
      <c r="D594" s="774"/>
      <c r="E594" s="588">
        <f t="shared" ref="E594:P594" si="116">SUM(E577:E593)</f>
        <v>0</v>
      </c>
      <c r="F594" s="588">
        <f t="shared" si="116"/>
        <v>0</v>
      </c>
      <c r="G594" s="588">
        <f t="shared" si="116"/>
        <v>0</v>
      </c>
      <c r="H594" s="588">
        <f t="shared" si="116"/>
        <v>0</v>
      </c>
      <c r="I594" s="588">
        <f t="shared" si="116"/>
        <v>0</v>
      </c>
      <c r="J594" s="588">
        <f t="shared" si="116"/>
        <v>0</v>
      </c>
      <c r="K594" s="588">
        <f t="shared" si="116"/>
        <v>0</v>
      </c>
      <c r="L594" s="588">
        <f t="shared" si="116"/>
        <v>0</v>
      </c>
      <c r="M594" s="588">
        <f t="shared" si="116"/>
        <v>0</v>
      </c>
      <c r="N594" s="588">
        <f t="shared" si="116"/>
        <v>0</v>
      </c>
      <c r="O594" s="588">
        <f t="shared" si="116"/>
        <v>0</v>
      </c>
      <c r="P594" s="588">
        <f t="shared" si="116"/>
        <v>0</v>
      </c>
      <c r="Q594" s="588">
        <f t="shared" si="115"/>
        <v>0</v>
      </c>
      <c r="R594" s="585"/>
      <c r="S594" s="585"/>
    </row>
    <row r="595" spans="3:19" hidden="1" x14ac:dyDescent="0.25">
      <c r="C595" s="773" t="s">
        <v>219</v>
      </c>
      <c r="D595" s="774"/>
      <c r="E595" s="588">
        <f t="shared" ref="E595:P595" si="117">E594+E575+E558</f>
        <v>0</v>
      </c>
      <c r="F595" s="588">
        <f t="shared" si="117"/>
        <v>0</v>
      </c>
      <c r="G595" s="588">
        <f t="shared" si="117"/>
        <v>0</v>
      </c>
      <c r="H595" s="588">
        <f t="shared" si="117"/>
        <v>0</v>
      </c>
      <c r="I595" s="588">
        <f t="shared" si="117"/>
        <v>0</v>
      </c>
      <c r="J595" s="588">
        <f t="shared" si="117"/>
        <v>0</v>
      </c>
      <c r="K595" s="588">
        <f t="shared" si="117"/>
        <v>0</v>
      </c>
      <c r="L595" s="588">
        <f t="shared" si="117"/>
        <v>0</v>
      </c>
      <c r="M595" s="588">
        <f t="shared" si="117"/>
        <v>0</v>
      </c>
      <c r="N595" s="588">
        <f t="shared" si="117"/>
        <v>0</v>
      </c>
      <c r="O595" s="588">
        <f t="shared" si="117"/>
        <v>0</v>
      </c>
      <c r="P595" s="588">
        <f t="shared" si="117"/>
        <v>0</v>
      </c>
      <c r="Q595" s="588">
        <f t="shared" si="115"/>
        <v>0</v>
      </c>
      <c r="R595" s="585"/>
      <c r="S595" s="585"/>
    </row>
    <row r="596" spans="3:19" x14ac:dyDescent="0.25">
      <c r="C596" s="773" t="s">
        <v>220</v>
      </c>
      <c r="D596" s="774"/>
      <c r="E596" s="588">
        <f t="shared" ref="E596:P596" si="118">E595+E541</f>
        <v>760.93888910076055</v>
      </c>
      <c r="F596" s="588">
        <f t="shared" si="118"/>
        <v>282.26277791705496</v>
      </c>
      <c r="G596" s="588">
        <f t="shared" si="118"/>
        <v>319.15754675912871</v>
      </c>
      <c r="H596" s="588">
        <f t="shared" si="118"/>
        <v>562.73846879846337</v>
      </c>
      <c r="I596" s="588">
        <f t="shared" si="118"/>
        <v>815.89208185819996</v>
      </c>
      <c r="J596" s="588">
        <f t="shared" si="118"/>
        <v>698.24484945784911</v>
      </c>
      <c r="K596" s="588">
        <f t="shared" si="118"/>
        <v>1288.2842735098527</v>
      </c>
      <c r="L596" s="588">
        <f t="shared" si="118"/>
        <v>547.97716499414491</v>
      </c>
      <c r="M596" s="588">
        <f t="shared" si="118"/>
        <v>788.96024519013201</v>
      </c>
      <c r="N596" s="588">
        <f t="shared" si="118"/>
        <v>1289.5218294487202</v>
      </c>
      <c r="O596" s="588">
        <f t="shared" si="118"/>
        <v>1405.6538495750272</v>
      </c>
      <c r="P596" s="588">
        <f t="shared" si="118"/>
        <v>1696.9740989184634</v>
      </c>
      <c r="Q596" s="588">
        <f t="shared" si="115"/>
        <v>10456.606075527796</v>
      </c>
      <c r="R596" s="585"/>
      <c r="S596" s="585"/>
    </row>
    <row r="597" spans="3:19" hidden="1" x14ac:dyDescent="0.25">
      <c r="E597" s="585"/>
      <c r="F597" s="585"/>
      <c r="G597" s="585"/>
      <c r="H597" s="585"/>
      <c r="I597" s="585"/>
      <c r="J597" s="585"/>
      <c r="K597" s="585"/>
      <c r="L597" s="585"/>
      <c r="M597" s="585"/>
      <c r="N597" s="585"/>
      <c r="O597" s="585"/>
      <c r="P597" s="585"/>
      <c r="Q597" s="585"/>
      <c r="R597" s="585"/>
      <c r="S597" s="585"/>
    </row>
    <row r="598" spans="3:19" hidden="1" x14ac:dyDescent="0.25">
      <c r="C598" s="574"/>
      <c r="E598" s="585"/>
      <c r="F598" s="585"/>
      <c r="G598" s="585"/>
      <c r="H598" s="585"/>
      <c r="I598" s="585"/>
      <c r="J598" s="585"/>
      <c r="K598" s="585"/>
      <c r="L598" s="585"/>
      <c r="M598" s="585"/>
      <c r="N598" s="585"/>
      <c r="O598" s="585"/>
      <c r="P598" s="585"/>
      <c r="Q598" s="586" t="s">
        <v>229</v>
      </c>
      <c r="R598" s="585"/>
      <c r="S598" s="585"/>
    </row>
    <row r="599" spans="3:19" hidden="1" x14ac:dyDescent="0.25">
      <c r="C599" s="776" t="s">
        <v>163</v>
      </c>
      <c r="D599" s="776"/>
      <c r="E599" s="775" t="s">
        <v>266</v>
      </c>
      <c r="F599" s="775"/>
      <c r="G599" s="775"/>
      <c r="H599" s="775"/>
      <c r="I599" s="775"/>
      <c r="J599" s="775"/>
      <c r="K599" s="775"/>
      <c r="L599" s="775"/>
      <c r="M599" s="775"/>
      <c r="N599" s="775"/>
      <c r="O599" s="775"/>
      <c r="P599" s="775"/>
      <c r="Q599" s="775"/>
      <c r="R599" s="585"/>
      <c r="S599" s="585"/>
    </row>
    <row r="600" spans="3:19" hidden="1" x14ac:dyDescent="0.25">
      <c r="C600" s="776"/>
      <c r="D600" s="776"/>
      <c r="E600" s="587" t="s">
        <v>239</v>
      </c>
      <c r="F600" s="587" t="s">
        <v>240</v>
      </c>
      <c r="G600" s="587" t="s">
        <v>241</v>
      </c>
      <c r="H600" s="587" t="s">
        <v>242</v>
      </c>
      <c r="I600" s="587" t="s">
        <v>243</v>
      </c>
      <c r="J600" s="587" t="s">
        <v>244</v>
      </c>
      <c r="K600" s="587" t="s">
        <v>245</v>
      </c>
      <c r="L600" s="587" t="s">
        <v>246</v>
      </c>
      <c r="M600" s="587" t="s">
        <v>247</v>
      </c>
      <c r="N600" s="587" t="s">
        <v>248</v>
      </c>
      <c r="O600" s="587" t="s">
        <v>249</v>
      </c>
      <c r="P600" s="587" t="s">
        <v>250</v>
      </c>
      <c r="Q600" s="587" t="s">
        <v>251</v>
      </c>
      <c r="R600" s="585"/>
      <c r="S600" s="585"/>
    </row>
    <row r="601" spans="3:19" hidden="1" x14ac:dyDescent="0.25">
      <c r="C601" s="773" t="s">
        <v>171</v>
      </c>
      <c r="D601" s="774"/>
      <c r="E601" s="583"/>
      <c r="F601" s="583"/>
      <c r="G601" s="583"/>
      <c r="H601" s="583"/>
      <c r="I601" s="583"/>
      <c r="J601" s="583"/>
      <c r="K601" s="583"/>
      <c r="L601" s="583"/>
      <c r="M601" s="583"/>
      <c r="N601" s="583"/>
      <c r="O601" s="583"/>
      <c r="P601" s="583"/>
      <c r="Q601" s="588"/>
      <c r="R601" s="585"/>
      <c r="S601" s="585"/>
    </row>
    <row r="602" spans="3:19" hidden="1" x14ac:dyDescent="0.25">
      <c r="C602" s="579" t="s">
        <v>172</v>
      </c>
      <c r="D602" s="579" t="s">
        <v>173</v>
      </c>
      <c r="E602" s="583"/>
      <c r="F602" s="583"/>
      <c r="G602" s="583"/>
      <c r="H602" s="583"/>
      <c r="I602" s="583"/>
      <c r="J602" s="583"/>
      <c r="K602" s="583"/>
      <c r="L602" s="583"/>
      <c r="M602" s="583"/>
      <c r="N602" s="583"/>
      <c r="O602" s="583"/>
      <c r="P602" s="583"/>
      <c r="Q602" s="588">
        <f t="shared" ref="Q602:Q615" si="119">SUM(E602:P602)</f>
        <v>0</v>
      </c>
      <c r="R602" s="585"/>
      <c r="S602" s="585"/>
    </row>
    <row r="603" spans="3:19" hidden="1" x14ac:dyDescent="0.25">
      <c r="C603" s="579" t="s">
        <v>174</v>
      </c>
      <c r="D603" s="579" t="s">
        <v>175</v>
      </c>
      <c r="E603" s="583"/>
      <c r="F603" s="583"/>
      <c r="G603" s="583"/>
      <c r="H603" s="583"/>
      <c r="I603" s="583"/>
      <c r="J603" s="583"/>
      <c r="K603" s="583"/>
      <c r="L603" s="583"/>
      <c r="M603" s="583"/>
      <c r="N603" s="583"/>
      <c r="O603" s="583"/>
      <c r="P603" s="583"/>
      <c r="Q603" s="588">
        <f t="shared" si="119"/>
        <v>0</v>
      </c>
      <c r="R603" s="585"/>
      <c r="S603" s="585"/>
    </row>
    <row r="604" spans="3:19" hidden="1" x14ac:dyDescent="0.25">
      <c r="C604" s="579" t="s">
        <v>176</v>
      </c>
      <c r="D604" s="579" t="s">
        <v>177</v>
      </c>
      <c r="E604" s="583"/>
      <c r="F604" s="583"/>
      <c r="G604" s="583"/>
      <c r="H604" s="583"/>
      <c r="I604" s="583"/>
      <c r="J604" s="583"/>
      <c r="K604" s="583"/>
      <c r="L604" s="583"/>
      <c r="M604" s="583"/>
      <c r="N604" s="583"/>
      <c r="O604" s="583"/>
      <c r="P604" s="583"/>
      <c r="Q604" s="588">
        <f t="shared" si="119"/>
        <v>0</v>
      </c>
      <c r="R604" s="585"/>
      <c r="S604" s="585"/>
    </row>
    <row r="605" spans="3:19" hidden="1" x14ac:dyDescent="0.25">
      <c r="C605" s="579" t="s">
        <v>178</v>
      </c>
      <c r="D605" s="579" t="s">
        <v>179</v>
      </c>
      <c r="E605" s="583"/>
      <c r="F605" s="583"/>
      <c r="G605" s="583"/>
      <c r="H605" s="583"/>
      <c r="I605" s="583"/>
      <c r="J605" s="583"/>
      <c r="K605" s="583"/>
      <c r="L605" s="583"/>
      <c r="M605" s="583"/>
      <c r="N605" s="583"/>
      <c r="O605" s="583"/>
      <c r="P605" s="583"/>
      <c r="Q605" s="588">
        <f t="shared" si="119"/>
        <v>0</v>
      </c>
      <c r="R605" s="585"/>
      <c r="S605" s="585"/>
    </row>
    <row r="606" spans="3:19" hidden="1" x14ac:dyDescent="0.25">
      <c r="C606" s="579" t="s">
        <v>180</v>
      </c>
      <c r="D606" s="579" t="s">
        <v>181</v>
      </c>
      <c r="E606" s="584">
        <f>[8]Sales_NP!HP46</f>
        <v>912.13320296262577</v>
      </c>
      <c r="F606" s="584">
        <f>[8]Sales_NP!HQ46</f>
        <v>287.51259034263484</v>
      </c>
      <c r="G606" s="584">
        <f>[8]Sales_NP!HR46</f>
        <v>182.18202117019672</v>
      </c>
      <c r="H606" s="584">
        <f>[8]Sales_NP!HS46</f>
        <v>273.69192325032645</v>
      </c>
      <c r="I606" s="584">
        <f>[8]Sales_NP!HT46</f>
        <v>780.16311632167753</v>
      </c>
      <c r="J606" s="584">
        <f>[8]Sales_NP!HU46</f>
        <v>656.42444021515541</v>
      </c>
      <c r="K606" s="584">
        <f>[8]Sales_NP!HV46</f>
        <v>521.21991674792059</v>
      </c>
      <c r="L606" s="584">
        <f>[8]Sales_NP!HW46</f>
        <v>398.61736685131291</v>
      </c>
      <c r="M606" s="584">
        <f>[8]Sales_NP!HX46</f>
        <v>879.58406776657762</v>
      </c>
      <c r="N606" s="584">
        <f>[8]Sales_NP!HY46</f>
        <v>1070.4297118258639</v>
      </c>
      <c r="O606" s="584">
        <f>[8]Sales_NP!HZ46</f>
        <v>1236.8407159100661</v>
      </c>
      <c r="P606" s="584">
        <f>[8]Sales_NP!IA46</f>
        <v>1463.0828564341236</v>
      </c>
      <c r="Q606" s="588">
        <f t="shared" si="119"/>
        <v>8661.881929798481</v>
      </c>
      <c r="R606" s="585"/>
      <c r="S606" s="585"/>
    </row>
    <row r="607" spans="3:19" hidden="1" x14ac:dyDescent="0.25">
      <c r="C607" s="579" t="s">
        <v>182</v>
      </c>
      <c r="D607" s="579" t="s">
        <v>183</v>
      </c>
      <c r="E607" s="583"/>
      <c r="F607" s="583"/>
      <c r="G607" s="583"/>
      <c r="H607" s="583"/>
      <c r="I607" s="583"/>
      <c r="J607" s="583"/>
      <c r="K607" s="583"/>
      <c r="L607" s="583"/>
      <c r="M607" s="583"/>
      <c r="N607" s="583"/>
      <c r="O607" s="583"/>
      <c r="P607" s="583"/>
      <c r="Q607" s="588">
        <f t="shared" si="119"/>
        <v>0</v>
      </c>
      <c r="R607" s="585"/>
      <c r="S607" s="585"/>
    </row>
    <row r="608" spans="3:19" hidden="1" x14ac:dyDescent="0.25">
      <c r="C608" s="579" t="s">
        <v>184</v>
      </c>
      <c r="D608" s="579" t="s">
        <v>185</v>
      </c>
      <c r="E608" s="583"/>
      <c r="F608" s="583"/>
      <c r="G608" s="583"/>
      <c r="H608" s="583"/>
      <c r="I608" s="583"/>
      <c r="J608" s="583"/>
      <c r="K608" s="583"/>
      <c r="L608" s="583"/>
      <c r="M608" s="583"/>
      <c r="N608" s="583"/>
      <c r="O608" s="583"/>
      <c r="P608" s="583"/>
      <c r="Q608" s="588">
        <f t="shared" si="119"/>
        <v>0</v>
      </c>
      <c r="R608" s="585"/>
      <c r="S608" s="585"/>
    </row>
    <row r="609" spans="3:19" hidden="1" x14ac:dyDescent="0.25">
      <c r="C609" s="579" t="s">
        <v>186</v>
      </c>
      <c r="D609" s="579" t="s">
        <v>187</v>
      </c>
      <c r="E609" s="583"/>
      <c r="F609" s="583"/>
      <c r="G609" s="583"/>
      <c r="H609" s="583"/>
      <c r="I609" s="583"/>
      <c r="J609" s="583"/>
      <c r="K609" s="583"/>
      <c r="L609" s="583"/>
      <c r="M609" s="583"/>
      <c r="N609" s="583"/>
      <c r="O609" s="583"/>
      <c r="P609" s="583"/>
      <c r="Q609" s="588">
        <f t="shared" si="119"/>
        <v>0</v>
      </c>
      <c r="R609" s="585"/>
      <c r="S609" s="585"/>
    </row>
    <row r="610" spans="3:19" hidden="1" x14ac:dyDescent="0.25">
      <c r="C610" s="579" t="s">
        <v>188</v>
      </c>
      <c r="D610" s="579" t="s">
        <v>189</v>
      </c>
      <c r="E610" s="583"/>
      <c r="F610" s="583"/>
      <c r="G610" s="583"/>
      <c r="H610" s="583"/>
      <c r="I610" s="583"/>
      <c r="J610" s="583"/>
      <c r="K610" s="583"/>
      <c r="L610" s="583"/>
      <c r="M610" s="583"/>
      <c r="N610" s="583"/>
      <c r="O610" s="583"/>
      <c r="P610" s="583"/>
      <c r="Q610" s="588">
        <f t="shared" si="119"/>
        <v>0</v>
      </c>
      <c r="R610" s="585"/>
      <c r="S610" s="585"/>
    </row>
    <row r="611" spans="3:19" hidden="1" x14ac:dyDescent="0.25">
      <c r="C611" s="579"/>
      <c r="D611" s="579"/>
      <c r="E611" s="583"/>
      <c r="F611" s="583"/>
      <c r="G611" s="583"/>
      <c r="H611" s="583"/>
      <c r="I611" s="583"/>
      <c r="J611" s="583"/>
      <c r="K611" s="583"/>
      <c r="L611" s="583"/>
      <c r="M611" s="583"/>
      <c r="N611" s="583"/>
      <c r="O611" s="583"/>
      <c r="P611" s="583"/>
      <c r="Q611" s="588">
        <f t="shared" si="119"/>
        <v>0</v>
      </c>
      <c r="R611" s="585"/>
      <c r="S611" s="585"/>
    </row>
    <row r="612" spans="3:19" hidden="1" x14ac:dyDescent="0.25">
      <c r="C612" s="579"/>
      <c r="D612" s="579"/>
      <c r="E612" s="583"/>
      <c r="F612" s="583"/>
      <c r="G612" s="583"/>
      <c r="H612" s="583"/>
      <c r="I612" s="583"/>
      <c r="J612" s="583"/>
      <c r="K612" s="583"/>
      <c r="L612" s="583"/>
      <c r="M612" s="583"/>
      <c r="N612" s="583"/>
      <c r="O612" s="583"/>
      <c r="P612" s="583"/>
      <c r="Q612" s="588">
        <f t="shared" si="119"/>
        <v>0</v>
      </c>
      <c r="R612" s="585"/>
      <c r="S612" s="585"/>
    </row>
    <row r="613" spans="3:19" hidden="1" x14ac:dyDescent="0.25">
      <c r="C613" s="579"/>
      <c r="D613" s="579"/>
      <c r="E613" s="583"/>
      <c r="F613" s="583"/>
      <c r="G613" s="583"/>
      <c r="H613" s="583"/>
      <c r="I613" s="583"/>
      <c r="J613" s="583"/>
      <c r="K613" s="583"/>
      <c r="L613" s="583"/>
      <c r="M613" s="583"/>
      <c r="N613" s="583"/>
      <c r="O613" s="583"/>
      <c r="P613" s="583"/>
      <c r="Q613" s="588">
        <f t="shared" si="119"/>
        <v>0</v>
      </c>
      <c r="R613" s="585"/>
      <c r="S613" s="585"/>
    </row>
    <row r="614" spans="3:19" hidden="1" x14ac:dyDescent="0.25">
      <c r="C614" s="579" t="s">
        <v>226</v>
      </c>
      <c r="D614" s="579" t="s">
        <v>226</v>
      </c>
      <c r="E614" s="583"/>
      <c r="F614" s="583"/>
      <c r="G614" s="583"/>
      <c r="H614" s="583"/>
      <c r="I614" s="583"/>
      <c r="J614" s="583"/>
      <c r="K614" s="583"/>
      <c r="L614" s="583"/>
      <c r="M614" s="583"/>
      <c r="N614" s="583"/>
      <c r="O614" s="583"/>
      <c r="P614" s="583"/>
      <c r="Q614" s="588">
        <f t="shared" si="119"/>
        <v>0</v>
      </c>
      <c r="R614" s="585"/>
      <c r="S614" s="585"/>
    </row>
    <row r="615" spans="3:19" hidden="1" x14ac:dyDescent="0.25">
      <c r="C615" s="773" t="s">
        <v>190</v>
      </c>
      <c r="D615" s="774"/>
      <c r="E615" s="588">
        <f t="shared" ref="E615:P615" si="120">SUM(E602:E614)</f>
        <v>912.13320296262577</v>
      </c>
      <c r="F615" s="588">
        <f t="shared" si="120"/>
        <v>287.51259034263484</v>
      </c>
      <c r="G615" s="588">
        <f t="shared" si="120"/>
        <v>182.18202117019672</v>
      </c>
      <c r="H615" s="588">
        <f t="shared" si="120"/>
        <v>273.69192325032645</v>
      </c>
      <c r="I615" s="588">
        <f t="shared" si="120"/>
        <v>780.16311632167753</v>
      </c>
      <c r="J615" s="588">
        <f t="shared" si="120"/>
        <v>656.42444021515541</v>
      </c>
      <c r="K615" s="588">
        <f t="shared" si="120"/>
        <v>521.21991674792059</v>
      </c>
      <c r="L615" s="588">
        <f t="shared" si="120"/>
        <v>398.61736685131291</v>
      </c>
      <c r="M615" s="588">
        <f t="shared" si="120"/>
        <v>879.58406776657762</v>
      </c>
      <c r="N615" s="588">
        <f t="shared" si="120"/>
        <v>1070.4297118258639</v>
      </c>
      <c r="O615" s="588">
        <f t="shared" si="120"/>
        <v>1236.8407159100661</v>
      </c>
      <c r="P615" s="588">
        <f t="shared" si="120"/>
        <v>1463.0828564341236</v>
      </c>
      <c r="Q615" s="588">
        <f t="shared" si="119"/>
        <v>8661.881929798481</v>
      </c>
      <c r="R615" s="585"/>
      <c r="S615" s="585"/>
    </row>
    <row r="616" spans="3:19" hidden="1" x14ac:dyDescent="0.25">
      <c r="C616" s="773" t="s">
        <v>191</v>
      </c>
      <c r="D616" s="774"/>
      <c r="E616" s="583"/>
      <c r="F616" s="583"/>
      <c r="G616" s="583"/>
      <c r="H616" s="583"/>
      <c r="I616" s="583"/>
      <c r="J616" s="583"/>
      <c r="K616" s="583"/>
      <c r="L616" s="583"/>
      <c r="M616" s="583"/>
      <c r="N616" s="583"/>
      <c r="O616" s="583"/>
      <c r="P616" s="583"/>
      <c r="Q616" s="588"/>
      <c r="R616" s="585"/>
      <c r="S616" s="585"/>
    </row>
    <row r="617" spans="3:19" hidden="1" x14ac:dyDescent="0.25">
      <c r="C617" s="579" t="s">
        <v>192</v>
      </c>
      <c r="D617" s="579" t="s">
        <v>193</v>
      </c>
      <c r="E617" s="583"/>
      <c r="F617" s="583"/>
      <c r="G617" s="583"/>
      <c r="H617" s="583"/>
      <c r="I617" s="583"/>
      <c r="J617" s="583"/>
      <c r="K617" s="583"/>
      <c r="L617" s="583"/>
      <c r="M617" s="583"/>
      <c r="N617" s="583"/>
      <c r="O617" s="583"/>
      <c r="P617" s="583"/>
      <c r="Q617" s="588">
        <f t="shared" ref="Q617:Q632" si="121">SUM(E617:P617)</f>
        <v>0</v>
      </c>
      <c r="R617" s="585"/>
      <c r="S617" s="585"/>
    </row>
    <row r="618" spans="3:19" hidden="1" x14ac:dyDescent="0.25">
      <c r="C618" s="579" t="s">
        <v>194</v>
      </c>
      <c r="D618" s="579" t="s">
        <v>195</v>
      </c>
      <c r="E618" s="583"/>
      <c r="F618" s="583"/>
      <c r="G618" s="583"/>
      <c r="H618" s="583"/>
      <c r="I618" s="583"/>
      <c r="J618" s="583"/>
      <c r="K618" s="583"/>
      <c r="L618" s="583"/>
      <c r="M618" s="583"/>
      <c r="N618" s="583"/>
      <c r="O618" s="583"/>
      <c r="P618" s="583"/>
      <c r="Q618" s="588">
        <f t="shared" si="121"/>
        <v>0</v>
      </c>
      <c r="R618" s="585"/>
      <c r="S618" s="585"/>
    </row>
    <row r="619" spans="3:19" hidden="1" x14ac:dyDescent="0.25">
      <c r="C619" s="579" t="s">
        <v>233</v>
      </c>
      <c r="D619" s="579" t="s">
        <v>197</v>
      </c>
      <c r="E619" s="583"/>
      <c r="F619" s="583"/>
      <c r="G619" s="583"/>
      <c r="H619" s="583"/>
      <c r="I619" s="583"/>
      <c r="J619" s="583"/>
      <c r="K619" s="583"/>
      <c r="L619" s="583"/>
      <c r="M619" s="583"/>
      <c r="N619" s="583"/>
      <c r="O619" s="583"/>
      <c r="P619" s="583"/>
      <c r="Q619" s="588">
        <f t="shared" si="121"/>
        <v>0</v>
      </c>
      <c r="R619" s="585"/>
      <c r="S619" s="585"/>
    </row>
    <row r="620" spans="3:19" hidden="1" x14ac:dyDescent="0.25">
      <c r="C620" s="579" t="s">
        <v>198</v>
      </c>
      <c r="D620" s="579" t="s">
        <v>199</v>
      </c>
      <c r="E620" s="583"/>
      <c r="F620" s="583"/>
      <c r="G620" s="583"/>
      <c r="H620" s="583"/>
      <c r="I620" s="583"/>
      <c r="J620" s="583"/>
      <c r="K620" s="583"/>
      <c r="L620" s="583"/>
      <c r="M620" s="583"/>
      <c r="N620" s="583"/>
      <c r="O620" s="583"/>
      <c r="P620" s="583"/>
      <c r="Q620" s="588">
        <f t="shared" si="121"/>
        <v>0</v>
      </c>
      <c r="R620" s="585"/>
      <c r="S620" s="585"/>
    </row>
    <row r="621" spans="3:19" hidden="1" x14ac:dyDescent="0.25">
      <c r="C621" s="579" t="s">
        <v>200</v>
      </c>
      <c r="D621" s="579" t="s">
        <v>201</v>
      </c>
      <c r="E621" s="583"/>
      <c r="F621" s="583"/>
      <c r="G621" s="583"/>
      <c r="H621" s="583"/>
      <c r="I621" s="583"/>
      <c r="J621" s="583"/>
      <c r="K621" s="583"/>
      <c r="L621" s="583"/>
      <c r="M621" s="583"/>
      <c r="N621" s="583"/>
      <c r="O621" s="583"/>
      <c r="P621" s="583"/>
      <c r="Q621" s="588">
        <f t="shared" si="121"/>
        <v>0</v>
      </c>
      <c r="R621" s="585"/>
      <c r="S621" s="585"/>
    </row>
    <row r="622" spans="3:19" hidden="1" x14ac:dyDescent="0.25">
      <c r="C622" s="579" t="s">
        <v>202</v>
      </c>
      <c r="D622" s="579" t="s">
        <v>203</v>
      </c>
      <c r="E622" s="583"/>
      <c r="F622" s="583"/>
      <c r="G622" s="583"/>
      <c r="H622" s="583"/>
      <c r="I622" s="583"/>
      <c r="J622" s="583"/>
      <c r="K622" s="583"/>
      <c r="L622" s="583"/>
      <c r="M622" s="583"/>
      <c r="N622" s="583"/>
      <c r="O622" s="583"/>
      <c r="P622" s="583"/>
      <c r="Q622" s="588">
        <f t="shared" si="121"/>
        <v>0</v>
      </c>
      <c r="R622" s="585"/>
      <c r="S622" s="585"/>
    </row>
    <row r="623" spans="3:19" hidden="1" x14ac:dyDescent="0.25">
      <c r="C623" s="579" t="s">
        <v>204</v>
      </c>
      <c r="D623" s="579" t="s">
        <v>205</v>
      </c>
      <c r="E623" s="583"/>
      <c r="F623" s="583"/>
      <c r="G623" s="583"/>
      <c r="H623" s="583"/>
      <c r="I623" s="583"/>
      <c r="J623" s="583"/>
      <c r="K623" s="583"/>
      <c r="L623" s="583"/>
      <c r="M623" s="583"/>
      <c r="N623" s="583"/>
      <c r="O623" s="583"/>
      <c r="P623" s="583"/>
      <c r="Q623" s="588">
        <f t="shared" si="121"/>
        <v>0</v>
      </c>
      <c r="R623" s="585"/>
      <c r="S623" s="585"/>
    </row>
    <row r="624" spans="3:19" hidden="1" x14ac:dyDescent="0.25">
      <c r="C624" s="579" t="s">
        <v>206</v>
      </c>
      <c r="D624" s="579" t="s">
        <v>207</v>
      </c>
      <c r="E624" s="583"/>
      <c r="F624" s="583"/>
      <c r="G624" s="583"/>
      <c r="H624" s="583"/>
      <c r="I624" s="583"/>
      <c r="J624" s="583"/>
      <c r="K624" s="583"/>
      <c r="L624" s="583"/>
      <c r="M624" s="583"/>
      <c r="N624" s="583"/>
      <c r="O624" s="583"/>
      <c r="P624" s="583"/>
      <c r="Q624" s="588">
        <f t="shared" si="121"/>
        <v>0</v>
      </c>
      <c r="R624" s="585"/>
      <c r="S624" s="585"/>
    </row>
    <row r="625" spans="3:19" hidden="1" x14ac:dyDescent="0.25">
      <c r="C625" s="579" t="s">
        <v>208</v>
      </c>
      <c r="D625" s="579" t="s">
        <v>187</v>
      </c>
      <c r="E625" s="583"/>
      <c r="F625" s="583"/>
      <c r="G625" s="583"/>
      <c r="H625" s="583"/>
      <c r="I625" s="583"/>
      <c r="J625" s="583"/>
      <c r="K625" s="583"/>
      <c r="L625" s="583"/>
      <c r="M625" s="583"/>
      <c r="N625" s="583"/>
      <c r="O625" s="583"/>
      <c r="P625" s="583"/>
      <c r="Q625" s="588">
        <f t="shared" si="121"/>
        <v>0</v>
      </c>
      <c r="R625" s="585"/>
      <c r="S625" s="585"/>
    </row>
    <row r="626" spans="3:19" hidden="1" x14ac:dyDescent="0.25">
      <c r="C626" s="579" t="s">
        <v>209</v>
      </c>
      <c r="D626" s="579" t="s">
        <v>210</v>
      </c>
      <c r="E626" s="583"/>
      <c r="F626" s="583"/>
      <c r="G626" s="583"/>
      <c r="H626" s="583"/>
      <c r="I626" s="583"/>
      <c r="J626" s="583"/>
      <c r="K626" s="583"/>
      <c r="L626" s="583"/>
      <c r="M626" s="583"/>
      <c r="N626" s="583"/>
      <c r="O626" s="583"/>
      <c r="P626" s="583"/>
      <c r="Q626" s="588">
        <f t="shared" si="121"/>
        <v>0</v>
      </c>
      <c r="R626" s="585"/>
      <c r="S626" s="585"/>
    </row>
    <row r="627" spans="3:19" hidden="1" x14ac:dyDescent="0.25">
      <c r="C627" s="579" t="s">
        <v>211</v>
      </c>
      <c r="D627" s="579" t="s">
        <v>189</v>
      </c>
      <c r="E627" s="583"/>
      <c r="F627" s="583"/>
      <c r="G627" s="583"/>
      <c r="H627" s="583"/>
      <c r="I627" s="583"/>
      <c r="J627" s="583"/>
      <c r="K627" s="583"/>
      <c r="L627" s="583"/>
      <c r="M627" s="583"/>
      <c r="N627" s="583"/>
      <c r="O627" s="583"/>
      <c r="P627" s="583"/>
      <c r="Q627" s="588">
        <f t="shared" si="121"/>
        <v>0</v>
      </c>
      <c r="R627" s="585"/>
      <c r="S627" s="585"/>
    </row>
    <row r="628" spans="3:19" hidden="1" x14ac:dyDescent="0.25">
      <c r="C628" s="579"/>
      <c r="D628" s="579"/>
      <c r="E628" s="583"/>
      <c r="F628" s="583"/>
      <c r="G628" s="583"/>
      <c r="H628" s="583"/>
      <c r="I628" s="583"/>
      <c r="J628" s="583"/>
      <c r="K628" s="583"/>
      <c r="L628" s="583"/>
      <c r="M628" s="583"/>
      <c r="N628" s="583"/>
      <c r="O628" s="583"/>
      <c r="P628" s="583"/>
      <c r="Q628" s="588">
        <f t="shared" si="121"/>
        <v>0</v>
      </c>
      <c r="R628" s="585"/>
      <c r="S628" s="585"/>
    </row>
    <row r="629" spans="3:19" hidden="1" x14ac:dyDescent="0.25">
      <c r="C629" s="579"/>
      <c r="D629" s="579"/>
      <c r="E629" s="583"/>
      <c r="F629" s="583"/>
      <c r="G629" s="583"/>
      <c r="H629" s="583"/>
      <c r="I629" s="583"/>
      <c r="J629" s="583"/>
      <c r="K629" s="583"/>
      <c r="L629" s="583"/>
      <c r="M629" s="583"/>
      <c r="N629" s="583"/>
      <c r="O629" s="583"/>
      <c r="P629" s="583"/>
      <c r="Q629" s="588">
        <f t="shared" si="121"/>
        <v>0</v>
      </c>
      <c r="R629" s="585"/>
      <c r="S629" s="585"/>
    </row>
    <row r="630" spans="3:19" hidden="1" x14ac:dyDescent="0.25">
      <c r="C630" s="579"/>
      <c r="D630" s="579"/>
      <c r="E630" s="583"/>
      <c r="F630" s="583"/>
      <c r="G630" s="583"/>
      <c r="H630" s="583"/>
      <c r="I630" s="583"/>
      <c r="J630" s="583"/>
      <c r="K630" s="583"/>
      <c r="L630" s="583"/>
      <c r="M630" s="583"/>
      <c r="N630" s="583"/>
      <c r="O630" s="583"/>
      <c r="P630" s="583"/>
      <c r="Q630" s="588">
        <f t="shared" si="121"/>
        <v>0</v>
      </c>
      <c r="R630" s="585"/>
      <c r="S630" s="585"/>
    </row>
    <row r="631" spans="3:19" hidden="1" x14ac:dyDescent="0.25">
      <c r="C631" s="579" t="s">
        <v>226</v>
      </c>
      <c r="D631" s="579" t="s">
        <v>226</v>
      </c>
      <c r="E631" s="583"/>
      <c r="F631" s="583"/>
      <c r="G631" s="583"/>
      <c r="H631" s="583"/>
      <c r="I631" s="583"/>
      <c r="J631" s="583"/>
      <c r="K631" s="583"/>
      <c r="L631" s="583"/>
      <c r="M631" s="583"/>
      <c r="N631" s="583"/>
      <c r="O631" s="583"/>
      <c r="P631" s="583"/>
      <c r="Q631" s="588">
        <f t="shared" si="121"/>
        <v>0</v>
      </c>
      <c r="R631" s="585"/>
      <c r="S631" s="585"/>
    </row>
    <row r="632" spans="3:19" hidden="1" x14ac:dyDescent="0.25">
      <c r="C632" s="773" t="s">
        <v>212</v>
      </c>
      <c r="D632" s="774"/>
      <c r="E632" s="588">
        <f t="shared" ref="E632:P632" si="122">SUM(E617:E631)</f>
        <v>0</v>
      </c>
      <c r="F632" s="588">
        <f t="shared" si="122"/>
        <v>0</v>
      </c>
      <c r="G632" s="588">
        <f t="shared" si="122"/>
        <v>0</v>
      </c>
      <c r="H632" s="588">
        <f t="shared" si="122"/>
        <v>0</v>
      </c>
      <c r="I632" s="588">
        <f t="shared" si="122"/>
        <v>0</v>
      </c>
      <c r="J632" s="588">
        <f t="shared" si="122"/>
        <v>0</v>
      </c>
      <c r="K632" s="588">
        <f t="shared" si="122"/>
        <v>0</v>
      </c>
      <c r="L632" s="588">
        <f t="shared" si="122"/>
        <v>0</v>
      </c>
      <c r="M632" s="588">
        <f t="shared" si="122"/>
        <v>0</v>
      </c>
      <c r="N632" s="588">
        <f t="shared" si="122"/>
        <v>0</v>
      </c>
      <c r="O632" s="588">
        <f t="shared" si="122"/>
        <v>0</v>
      </c>
      <c r="P632" s="588">
        <f t="shared" si="122"/>
        <v>0</v>
      </c>
      <c r="Q632" s="588">
        <f t="shared" si="121"/>
        <v>0</v>
      </c>
      <c r="R632" s="585"/>
      <c r="S632" s="585"/>
    </row>
    <row r="633" spans="3:19" hidden="1" x14ac:dyDescent="0.25">
      <c r="C633" s="773" t="s">
        <v>213</v>
      </c>
      <c r="D633" s="774"/>
      <c r="E633" s="583"/>
      <c r="F633" s="583"/>
      <c r="G633" s="583"/>
      <c r="H633" s="583"/>
      <c r="I633" s="583"/>
      <c r="J633" s="583"/>
      <c r="K633" s="583"/>
      <c r="L633" s="583"/>
      <c r="M633" s="583"/>
      <c r="N633" s="583"/>
      <c r="O633" s="583"/>
      <c r="P633" s="583"/>
      <c r="Q633" s="588"/>
      <c r="R633" s="585"/>
      <c r="S633" s="585"/>
    </row>
    <row r="634" spans="3:19" hidden="1" x14ac:dyDescent="0.25">
      <c r="C634" s="579" t="s">
        <v>192</v>
      </c>
      <c r="D634" s="579" t="s">
        <v>193</v>
      </c>
      <c r="E634" s="583"/>
      <c r="F634" s="583"/>
      <c r="G634" s="583"/>
      <c r="H634" s="583"/>
      <c r="I634" s="583"/>
      <c r="J634" s="583"/>
      <c r="K634" s="583"/>
      <c r="L634" s="583"/>
      <c r="M634" s="583"/>
      <c r="N634" s="583"/>
      <c r="O634" s="583"/>
      <c r="P634" s="583"/>
      <c r="Q634" s="588">
        <f t="shared" ref="Q634:Q649" si="123">SUM(E634:P634)</f>
        <v>0</v>
      </c>
      <c r="R634" s="585"/>
      <c r="S634" s="585"/>
    </row>
    <row r="635" spans="3:19" hidden="1" x14ac:dyDescent="0.25">
      <c r="C635" s="579" t="s">
        <v>194</v>
      </c>
      <c r="D635" s="579" t="s">
        <v>195</v>
      </c>
      <c r="E635" s="583"/>
      <c r="F635" s="583"/>
      <c r="G635" s="583"/>
      <c r="H635" s="583"/>
      <c r="I635" s="583"/>
      <c r="J635" s="583"/>
      <c r="K635" s="583"/>
      <c r="L635" s="583"/>
      <c r="M635" s="583"/>
      <c r="N635" s="583"/>
      <c r="O635" s="583"/>
      <c r="P635" s="583"/>
      <c r="Q635" s="588">
        <f t="shared" si="123"/>
        <v>0</v>
      </c>
      <c r="R635" s="585"/>
      <c r="S635" s="585"/>
    </row>
    <row r="636" spans="3:19" hidden="1" x14ac:dyDescent="0.25">
      <c r="C636" s="579" t="s">
        <v>233</v>
      </c>
      <c r="D636" s="579" t="s">
        <v>197</v>
      </c>
      <c r="E636" s="583"/>
      <c r="F636" s="583"/>
      <c r="G636" s="583"/>
      <c r="H636" s="583"/>
      <c r="I636" s="583"/>
      <c r="J636" s="583"/>
      <c r="K636" s="583"/>
      <c r="L636" s="583"/>
      <c r="M636" s="583"/>
      <c r="N636" s="583"/>
      <c r="O636" s="583"/>
      <c r="P636" s="583"/>
      <c r="Q636" s="588">
        <f t="shared" si="123"/>
        <v>0</v>
      </c>
      <c r="R636" s="585"/>
      <c r="S636" s="585"/>
    </row>
    <row r="637" spans="3:19" hidden="1" x14ac:dyDescent="0.25">
      <c r="C637" s="579" t="s">
        <v>198</v>
      </c>
      <c r="D637" s="579" t="s">
        <v>199</v>
      </c>
      <c r="E637" s="583"/>
      <c r="F637" s="583"/>
      <c r="G637" s="583"/>
      <c r="H637" s="583"/>
      <c r="I637" s="583"/>
      <c r="J637" s="583"/>
      <c r="K637" s="583"/>
      <c r="L637" s="583"/>
      <c r="M637" s="583"/>
      <c r="N637" s="583"/>
      <c r="O637" s="583"/>
      <c r="P637" s="583"/>
      <c r="Q637" s="588">
        <f t="shared" si="123"/>
        <v>0</v>
      </c>
      <c r="R637" s="585"/>
      <c r="S637" s="585"/>
    </row>
    <row r="638" spans="3:19" hidden="1" x14ac:dyDescent="0.25">
      <c r="C638" s="579" t="s">
        <v>200</v>
      </c>
      <c r="D638" s="579" t="s">
        <v>201</v>
      </c>
      <c r="E638" s="583"/>
      <c r="F638" s="583"/>
      <c r="G638" s="583"/>
      <c r="H638" s="583"/>
      <c r="I638" s="583"/>
      <c r="J638" s="583"/>
      <c r="K638" s="583"/>
      <c r="L638" s="583"/>
      <c r="M638" s="583"/>
      <c r="N638" s="583"/>
      <c r="O638" s="583"/>
      <c r="P638" s="583"/>
      <c r="Q638" s="588">
        <f t="shared" si="123"/>
        <v>0</v>
      </c>
      <c r="R638" s="585"/>
      <c r="S638" s="585"/>
    </row>
    <row r="639" spans="3:19" hidden="1" x14ac:dyDescent="0.25">
      <c r="C639" s="579" t="s">
        <v>202</v>
      </c>
      <c r="D639" s="579" t="s">
        <v>203</v>
      </c>
      <c r="E639" s="583"/>
      <c r="F639" s="583"/>
      <c r="G639" s="583"/>
      <c r="H639" s="583"/>
      <c r="I639" s="583"/>
      <c r="J639" s="583"/>
      <c r="K639" s="583"/>
      <c r="L639" s="583"/>
      <c r="M639" s="583"/>
      <c r="N639" s="583"/>
      <c r="O639" s="583"/>
      <c r="P639" s="583"/>
      <c r="Q639" s="588">
        <f t="shared" si="123"/>
        <v>0</v>
      </c>
      <c r="R639" s="585"/>
      <c r="S639" s="585"/>
    </row>
    <row r="640" spans="3:19" hidden="1" x14ac:dyDescent="0.25">
      <c r="C640" s="579" t="s">
        <v>204</v>
      </c>
      <c r="D640" s="579" t="s">
        <v>205</v>
      </c>
      <c r="E640" s="583"/>
      <c r="F640" s="583"/>
      <c r="G640" s="583"/>
      <c r="H640" s="583"/>
      <c r="I640" s="583"/>
      <c r="J640" s="583"/>
      <c r="K640" s="583"/>
      <c r="L640" s="583"/>
      <c r="M640" s="583"/>
      <c r="N640" s="583"/>
      <c r="O640" s="583"/>
      <c r="P640" s="583"/>
      <c r="Q640" s="588">
        <f t="shared" si="123"/>
        <v>0</v>
      </c>
      <c r="R640" s="585"/>
      <c r="S640" s="585"/>
    </row>
    <row r="641" spans="3:19" hidden="1" x14ac:dyDescent="0.25">
      <c r="C641" s="579" t="s">
        <v>206</v>
      </c>
      <c r="D641" s="579" t="s">
        <v>207</v>
      </c>
      <c r="E641" s="583"/>
      <c r="F641" s="583"/>
      <c r="G641" s="583"/>
      <c r="H641" s="583"/>
      <c r="I641" s="583"/>
      <c r="J641" s="583"/>
      <c r="K641" s="583"/>
      <c r="L641" s="583"/>
      <c r="M641" s="583"/>
      <c r="N641" s="583"/>
      <c r="O641" s="583"/>
      <c r="P641" s="583"/>
      <c r="Q641" s="588">
        <f t="shared" si="123"/>
        <v>0</v>
      </c>
      <c r="R641" s="585"/>
      <c r="S641" s="585"/>
    </row>
    <row r="642" spans="3:19" hidden="1" x14ac:dyDescent="0.25">
      <c r="C642" s="579" t="s">
        <v>214</v>
      </c>
      <c r="D642" s="579" t="s">
        <v>187</v>
      </c>
      <c r="E642" s="583"/>
      <c r="F642" s="583"/>
      <c r="G642" s="583"/>
      <c r="H642" s="583"/>
      <c r="I642" s="583"/>
      <c r="J642" s="583"/>
      <c r="K642" s="583"/>
      <c r="L642" s="583"/>
      <c r="M642" s="583"/>
      <c r="N642" s="583"/>
      <c r="O642" s="583"/>
      <c r="P642" s="583"/>
      <c r="Q642" s="588">
        <f t="shared" si="123"/>
        <v>0</v>
      </c>
      <c r="R642" s="585"/>
      <c r="S642" s="585"/>
    </row>
    <row r="643" spans="3:19" hidden="1" x14ac:dyDescent="0.25">
      <c r="C643" s="579" t="s">
        <v>209</v>
      </c>
      <c r="D643" s="579" t="s">
        <v>210</v>
      </c>
      <c r="E643" s="583"/>
      <c r="F643" s="583"/>
      <c r="G643" s="583"/>
      <c r="H643" s="583"/>
      <c r="I643" s="583"/>
      <c r="J643" s="583"/>
      <c r="K643" s="583"/>
      <c r="L643" s="583"/>
      <c r="M643" s="583"/>
      <c r="N643" s="583"/>
      <c r="O643" s="583"/>
      <c r="P643" s="583"/>
      <c r="Q643" s="588">
        <f t="shared" si="123"/>
        <v>0</v>
      </c>
      <c r="R643" s="585"/>
      <c r="S643" s="585"/>
    </row>
    <row r="644" spans="3:19" hidden="1" x14ac:dyDescent="0.25">
      <c r="C644" s="579" t="s">
        <v>211</v>
      </c>
      <c r="D644" s="579" t="s">
        <v>189</v>
      </c>
      <c r="E644" s="583"/>
      <c r="F644" s="583"/>
      <c r="G644" s="583"/>
      <c r="H644" s="583"/>
      <c r="I644" s="583"/>
      <c r="J644" s="583"/>
      <c r="K644" s="583"/>
      <c r="L644" s="583"/>
      <c r="M644" s="583"/>
      <c r="N644" s="583"/>
      <c r="O644" s="583"/>
      <c r="P644" s="583"/>
      <c r="Q644" s="588">
        <f t="shared" si="123"/>
        <v>0</v>
      </c>
      <c r="R644" s="585"/>
      <c r="S644" s="585"/>
    </row>
    <row r="645" spans="3:19" hidden="1" x14ac:dyDescent="0.25">
      <c r="C645" s="579"/>
      <c r="D645" s="579"/>
      <c r="E645" s="583"/>
      <c r="F645" s="583"/>
      <c r="G645" s="583"/>
      <c r="H645" s="583"/>
      <c r="I645" s="583"/>
      <c r="J645" s="583"/>
      <c r="K645" s="583"/>
      <c r="L645" s="583"/>
      <c r="M645" s="583"/>
      <c r="N645" s="583"/>
      <c r="O645" s="583"/>
      <c r="P645" s="583"/>
      <c r="Q645" s="588">
        <f t="shared" si="123"/>
        <v>0</v>
      </c>
      <c r="R645" s="585"/>
      <c r="S645" s="585"/>
    </row>
    <row r="646" spans="3:19" hidden="1" x14ac:dyDescent="0.25">
      <c r="C646" s="579"/>
      <c r="D646" s="579"/>
      <c r="E646" s="583"/>
      <c r="F646" s="583"/>
      <c r="G646" s="583"/>
      <c r="H646" s="583"/>
      <c r="I646" s="583"/>
      <c r="J646" s="583"/>
      <c r="K646" s="583"/>
      <c r="L646" s="583"/>
      <c r="M646" s="583"/>
      <c r="N646" s="583"/>
      <c r="O646" s="583"/>
      <c r="P646" s="583"/>
      <c r="Q646" s="588">
        <f t="shared" si="123"/>
        <v>0</v>
      </c>
      <c r="R646" s="585"/>
      <c r="S646" s="585"/>
    </row>
    <row r="647" spans="3:19" hidden="1" x14ac:dyDescent="0.25">
      <c r="C647" s="579"/>
      <c r="D647" s="579"/>
      <c r="E647" s="583"/>
      <c r="F647" s="583"/>
      <c r="G647" s="583"/>
      <c r="H647" s="583"/>
      <c r="I647" s="583"/>
      <c r="J647" s="583"/>
      <c r="K647" s="583"/>
      <c r="L647" s="583"/>
      <c r="M647" s="583"/>
      <c r="N647" s="583"/>
      <c r="O647" s="583"/>
      <c r="P647" s="583"/>
      <c r="Q647" s="588">
        <f t="shared" si="123"/>
        <v>0</v>
      </c>
      <c r="R647" s="585"/>
      <c r="S647" s="585"/>
    </row>
    <row r="648" spans="3:19" hidden="1" x14ac:dyDescent="0.25">
      <c r="C648" s="579" t="s">
        <v>226</v>
      </c>
      <c r="D648" s="579" t="s">
        <v>226</v>
      </c>
      <c r="E648" s="583"/>
      <c r="F648" s="583"/>
      <c r="G648" s="583"/>
      <c r="H648" s="583"/>
      <c r="I648" s="583"/>
      <c r="J648" s="583"/>
      <c r="K648" s="583"/>
      <c r="L648" s="583"/>
      <c r="M648" s="583"/>
      <c r="N648" s="583"/>
      <c r="O648" s="583"/>
      <c r="P648" s="583"/>
      <c r="Q648" s="588">
        <f t="shared" si="123"/>
        <v>0</v>
      </c>
      <c r="R648" s="585"/>
      <c r="S648" s="585"/>
    </row>
    <row r="649" spans="3:19" hidden="1" x14ac:dyDescent="0.25">
      <c r="C649" s="773" t="s">
        <v>212</v>
      </c>
      <c r="D649" s="774"/>
      <c r="E649" s="588">
        <f t="shared" ref="E649:P649" si="124">SUM(E634:E648)</f>
        <v>0</v>
      </c>
      <c r="F649" s="588">
        <f t="shared" si="124"/>
        <v>0</v>
      </c>
      <c r="G649" s="588">
        <f t="shared" si="124"/>
        <v>0</v>
      </c>
      <c r="H649" s="588">
        <f t="shared" si="124"/>
        <v>0</v>
      </c>
      <c r="I649" s="588">
        <f t="shared" si="124"/>
        <v>0</v>
      </c>
      <c r="J649" s="588">
        <f t="shared" si="124"/>
        <v>0</v>
      </c>
      <c r="K649" s="588">
        <f t="shared" si="124"/>
        <v>0</v>
      </c>
      <c r="L649" s="588">
        <f t="shared" si="124"/>
        <v>0</v>
      </c>
      <c r="M649" s="588">
        <f t="shared" si="124"/>
        <v>0</v>
      </c>
      <c r="N649" s="588">
        <f t="shared" si="124"/>
        <v>0</v>
      </c>
      <c r="O649" s="588">
        <f t="shared" si="124"/>
        <v>0</v>
      </c>
      <c r="P649" s="588">
        <f t="shared" si="124"/>
        <v>0</v>
      </c>
      <c r="Q649" s="588">
        <f t="shared" si="123"/>
        <v>0</v>
      </c>
      <c r="R649" s="585"/>
      <c r="S649" s="585"/>
    </row>
    <row r="650" spans="3:19" hidden="1" x14ac:dyDescent="0.25">
      <c r="C650" s="773" t="s">
        <v>215</v>
      </c>
      <c r="D650" s="774"/>
      <c r="E650" s="583"/>
      <c r="F650" s="583"/>
      <c r="G650" s="583"/>
      <c r="H650" s="583"/>
      <c r="I650" s="583"/>
      <c r="J650" s="583"/>
      <c r="K650" s="583"/>
      <c r="L650" s="583"/>
      <c r="M650" s="583"/>
      <c r="N650" s="583"/>
      <c r="O650" s="583"/>
      <c r="P650" s="583"/>
      <c r="Q650" s="588"/>
      <c r="R650" s="585"/>
      <c r="S650" s="585"/>
    </row>
    <row r="651" spans="3:19" hidden="1" x14ac:dyDescent="0.25">
      <c r="C651" s="579" t="s">
        <v>192</v>
      </c>
      <c r="D651" s="579" t="s">
        <v>193</v>
      </c>
      <c r="E651" s="583"/>
      <c r="F651" s="583"/>
      <c r="G651" s="583"/>
      <c r="H651" s="583"/>
      <c r="I651" s="583"/>
      <c r="J651" s="583"/>
      <c r="K651" s="583"/>
      <c r="L651" s="583"/>
      <c r="M651" s="583"/>
      <c r="N651" s="583"/>
      <c r="O651" s="583"/>
      <c r="P651" s="583"/>
      <c r="Q651" s="588">
        <f t="shared" ref="Q651:Q670" si="125">SUM(E651:P651)</f>
        <v>0</v>
      </c>
      <c r="R651" s="585"/>
      <c r="S651" s="585"/>
    </row>
    <row r="652" spans="3:19" hidden="1" x14ac:dyDescent="0.25">
      <c r="C652" s="579" t="s">
        <v>194</v>
      </c>
      <c r="D652" s="579" t="s">
        <v>195</v>
      </c>
      <c r="E652" s="583"/>
      <c r="F652" s="583"/>
      <c r="G652" s="583"/>
      <c r="H652" s="583"/>
      <c r="I652" s="583"/>
      <c r="J652" s="583"/>
      <c r="K652" s="583"/>
      <c r="L652" s="583"/>
      <c r="M652" s="583"/>
      <c r="N652" s="583"/>
      <c r="O652" s="583"/>
      <c r="P652" s="583"/>
      <c r="Q652" s="588">
        <f t="shared" si="125"/>
        <v>0</v>
      </c>
      <c r="R652" s="585"/>
      <c r="S652" s="585"/>
    </row>
    <row r="653" spans="3:19" hidden="1" x14ac:dyDescent="0.25">
      <c r="C653" s="579" t="s">
        <v>233</v>
      </c>
      <c r="D653" s="579" t="s">
        <v>197</v>
      </c>
      <c r="E653" s="583"/>
      <c r="F653" s="583"/>
      <c r="G653" s="583"/>
      <c r="H653" s="583"/>
      <c r="I653" s="583"/>
      <c r="J653" s="583"/>
      <c r="K653" s="583"/>
      <c r="L653" s="583"/>
      <c r="M653" s="583"/>
      <c r="N653" s="583"/>
      <c r="O653" s="583"/>
      <c r="P653" s="583"/>
      <c r="Q653" s="588">
        <f t="shared" si="125"/>
        <v>0</v>
      </c>
      <c r="R653" s="585"/>
      <c r="S653" s="585"/>
    </row>
    <row r="654" spans="3:19" hidden="1" x14ac:dyDescent="0.25">
      <c r="C654" s="579" t="s">
        <v>198</v>
      </c>
      <c r="D654" s="579" t="s">
        <v>199</v>
      </c>
      <c r="E654" s="583"/>
      <c r="F654" s="583"/>
      <c r="G654" s="583"/>
      <c r="H654" s="583"/>
      <c r="I654" s="583"/>
      <c r="J654" s="583"/>
      <c r="K654" s="583"/>
      <c r="L654" s="583"/>
      <c r="M654" s="583"/>
      <c r="N654" s="583"/>
      <c r="O654" s="583"/>
      <c r="P654" s="583"/>
      <c r="Q654" s="588">
        <f t="shared" si="125"/>
        <v>0</v>
      </c>
      <c r="R654" s="585"/>
      <c r="S654" s="585"/>
    </row>
    <row r="655" spans="3:19" hidden="1" x14ac:dyDescent="0.25">
      <c r="C655" s="579" t="s">
        <v>200</v>
      </c>
      <c r="D655" s="579" t="s">
        <v>201</v>
      </c>
      <c r="E655" s="583"/>
      <c r="F655" s="583"/>
      <c r="G655" s="583"/>
      <c r="H655" s="583"/>
      <c r="I655" s="583"/>
      <c r="J655" s="583"/>
      <c r="K655" s="583"/>
      <c r="L655" s="583"/>
      <c r="M655" s="583"/>
      <c r="N655" s="583"/>
      <c r="O655" s="583"/>
      <c r="P655" s="583"/>
      <c r="Q655" s="588">
        <f t="shared" si="125"/>
        <v>0</v>
      </c>
      <c r="R655" s="585"/>
      <c r="S655" s="585"/>
    </row>
    <row r="656" spans="3:19" hidden="1" x14ac:dyDescent="0.25">
      <c r="C656" s="579" t="s">
        <v>202</v>
      </c>
      <c r="D656" s="579" t="s">
        <v>234</v>
      </c>
      <c r="E656" s="583"/>
      <c r="F656" s="583"/>
      <c r="G656" s="583"/>
      <c r="H656" s="583"/>
      <c r="I656" s="583"/>
      <c r="J656" s="583"/>
      <c r="K656" s="583"/>
      <c r="L656" s="583"/>
      <c r="M656" s="583"/>
      <c r="N656" s="583"/>
      <c r="O656" s="583"/>
      <c r="P656" s="583"/>
      <c r="Q656" s="588">
        <f t="shared" si="125"/>
        <v>0</v>
      </c>
      <c r="R656" s="585"/>
      <c r="S656" s="585"/>
    </row>
    <row r="657" spans="3:19" hidden="1" x14ac:dyDescent="0.25">
      <c r="C657" s="579" t="s">
        <v>204</v>
      </c>
      <c r="D657" s="579" t="s">
        <v>216</v>
      </c>
      <c r="E657" s="583"/>
      <c r="F657" s="583"/>
      <c r="G657" s="583"/>
      <c r="H657" s="583"/>
      <c r="I657" s="583"/>
      <c r="J657" s="583"/>
      <c r="K657" s="583"/>
      <c r="L657" s="583"/>
      <c r="M657" s="583"/>
      <c r="N657" s="583"/>
      <c r="O657" s="583"/>
      <c r="P657" s="583"/>
      <c r="Q657" s="588">
        <f t="shared" si="125"/>
        <v>0</v>
      </c>
      <c r="R657" s="585"/>
      <c r="S657" s="585"/>
    </row>
    <row r="658" spans="3:19" hidden="1" x14ac:dyDescent="0.25">
      <c r="C658" s="579" t="s">
        <v>217</v>
      </c>
      <c r="D658" s="579" t="s">
        <v>218</v>
      </c>
      <c r="E658" s="583"/>
      <c r="F658" s="583"/>
      <c r="G658" s="583"/>
      <c r="H658" s="583"/>
      <c r="I658" s="583"/>
      <c r="J658" s="583"/>
      <c r="K658" s="583"/>
      <c r="L658" s="583"/>
      <c r="M658" s="583"/>
      <c r="N658" s="583"/>
      <c r="O658" s="583"/>
      <c r="P658" s="583"/>
      <c r="Q658" s="588">
        <f t="shared" si="125"/>
        <v>0</v>
      </c>
      <c r="R658" s="585"/>
      <c r="S658" s="585"/>
    </row>
    <row r="659" spans="3:19" hidden="1" x14ac:dyDescent="0.25">
      <c r="C659" s="579" t="s">
        <v>252</v>
      </c>
      <c r="D659" s="579" t="s">
        <v>236</v>
      </c>
      <c r="E659" s="583"/>
      <c r="F659" s="583"/>
      <c r="G659" s="583"/>
      <c r="H659" s="583"/>
      <c r="I659" s="583"/>
      <c r="J659" s="583"/>
      <c r="K659" s="583"/>
      <c r="L659" s="583"/>
      <c r="M659" s="583"/>
      <c r="N659" s="583"/>
      <c r="O659" s="583"/>
      <c r="P659" s="583"/>
      <c r="Q659" s="588">
        <f t="shared" si="125"/>
        <v>0</v>
      </c>
      <c r="R659" s="585"/>
      <c r="S659" s="585"/>
    </row>
    <row r="660" spans="3:19" hidden="1" x14ac:dyDescent="0.25">
      <c r="C660" s="579" t="s">
        <v>206</v>
      </c>
      <c r="D660" s="579" t="s">
        <v>207</v>
      </c>
      <c r="E660" s="583"/>
      <c r="F660" s="583"/>
      <c r="G660" s="583"/>
      <c r="H660" s="583"/>
      <c r="I660" s="583"/>
      <c r="J660" s="583"/>
      <c r="K660" s="583"/>
      <c r="L660" s="583"/>
      <c r="M660" s="583"/>
      <c r="N660" s="583"/>
      <c r="O660" s="583"/>
      <c r="P660" s="583"/>
      <c r="Q660" s="588">
        <f t="shared" si="125"/>
        <v>0</v>
      </c>
      <c r="R660" s="585"/>
      <c r="S660" s="585"/>
    </row>
    <row r="661" spans="3:19" hidden="1" x14ac:dyDescent="0.25">
      <c r="C661" s="579" t="s">
        <v>208</v>
      </c>
      <c r="D661" s="579" t="s">
        <v>187</v>
      </c>
      <c r="E661" s="583"/>
      <c r="F661" s="583"/>
      <c r="G661" s="583"/>
      <c r="H661" s="583"/>
      <c r="I661" s="583"/>
      <c r="J661" s="583"/>
      <c r="K661" s="583"/>
      <c r="L661" s="583"/>
      <c r="M661" s="583"/>
      <c r="N661" s="583"/>
      <c r="O661" s="583"/>
      <c r="P661" s="583"/>
      <c r="Q661" s="588">
        <f t="shared" si="125"/>
        <v>0</v>
      </c>
      <c r="R661" s="585"/>
      <c r="S661" s="585"/>
    </row>
    <row r="662" spans="3:19" hidden="1" x14ac:dyDescent="0.25">
      <c r="C662" s="579" t="s">
        <v>209</v>
      </c>
      <c r="D662" s="579" t="s">
        <v>210</v>
      </c>
      <c r="E662" s="583"/>
      <c r="F662" s="583"/>
      <c r="G662" s="583"/>
      <c r="H662" s="583"/>
      <c r="I662" s="583"/>
      <c r="J662" s="583"/>
      <c r="K662" s="583"/>
      <c r="L662" s="583"/>
      <c r="M662" s="583"/>
      <c r="N662" s="583"/>
      <c r="O662" s="583"/>
      <c r="P662" s="583"/>
      <c r="Q662" s="588">
        <f t="shared" si="125"/>
        <v>0</v>
      </c>
      <c r="R662" s="585"/>
      <c r="S662" s="585"/>
    </row>
    <row r="663" spans="3:19" hidden="1" x14ac:dyDescent="0.25">
      <c r="C663" s="579" t="s">
        <v>211</v>
      </c>
      <c r="D663" s="579" t="s">
        <v>189</v>
      </c>
      <c r="E663" s="583"/>
      <c r="F663" s="583"/>
      <c r="G663" s="583"/>
      <c r="H663" s="583"/>
      <c r="I663" s="583"/>
      <c r="J663" s="583"/>
      <c r="K663" s="583"/>
      <c r="L663" s="583"/>
      <c r="M663" s="583"/>
      <c r="N663" s="583"/>
      <c r="O663" s="583"/>
      <c r="P663" s="583"/>
      <c r="Q663" s="588">
        <f t="shared" si="125"/>
        <v>0</v>
      </c>
      <c r="R663" s="585"/>
      <c r="S663" s="585"/>
    </row>
    <row r="664" spans="3:19" hidden="1" x14ac:dyDescent="0.25">
      <c r="C664" s="579"/>
      <c r="D664" s="579"/>
      <c r="E664" s="583"/>
      <c r="F664" s="583"/>
      <c r="G664" s="583"/>
      <c r="H664" s="583"/>
      <c r="I664" s="583"/>
      <c r="J664" s="583"/>
      <c r="K664" s="583"/>
      <c r="L664" s="583"/>
      <c r="M664" s="583"/>
      <c r="N664" s="583"/>
      <c r="O664" s="583"/>
      <c r="P664" s="583"/>
      <c r="Q664" s="588">
        <f t="shared" si="125"/>
        <v>0</v>
      </c>
      <c r="R664" s="585"/>
      <c r="S664" s="585"/>
    </row>
    <row r="665" spans="3:19" hidden="1" x14ac:dyDescent="0.25">
      <c r="C665" s="579"/>
      <c r="D665" s="579"/>
      <c r="E665" s="583"/>
      <c r="F665" s="583"/>
      <c r="G665" s="583"/>
      <c r="H665" s="583"/>
      <c r="I665" s="583"/>
      <c r="J665" s="583"/>
      <c r="K665" s="583"/>
      <c r="L665" s="583"/>
      <c r="M665" s="583"/>
      <c r="N665" s="583"/>
      <c r="O665" s="583"/>
      <c r="P665" s="583"/>
      <c r="Q665" s="588">
        <f t="shared" si="125"/>
        <v>0</v>
      </c>
      <c r="R665" s="585"/>
      <c r="S665" s="585"/>
    </row>
    <row r="666" spans="3:19" hidden="1" x14ac:dyDescent="0.25">
      <c r="C666" s="579"/>
      <c r="D666" s="579"/>
      <c r="E666" s="583"/>
      <c r="F666" s="583"/>
      <c r="G666" s="583"/>
      <c r="H666" s="583"/>
      <c r="I666" s="583"/>
      <c r="J666" s="583"/>
      <c r="K666" s="583"/>
      <c r="L666" s="583"/>
      <c r="M666" s="583"/>
      <c r="N666" s="583"/>
      <c r="O666" s="583"/>
      <c r="P666" s="583"/>
      <c r="Q666" s="588">
        <f t="shared" si="125"/>
        <v>0</v>
      </c>
      <c r="R666" s="585"/>
      <c r="S666" s="585"/>
    </row>
    <row r="667" spans="3:19" hidden="1" x14ac:dyDescent="0.25">
      <c r="C667" s="579" t="s">
        <v>226</v>
      </c>
      <c r="D667" s="579" t="s">
        <v>226</v>
      </c>
      <c r="E667" s="583"/>
      <c r="F667" s="583"/>
      <c r="G667" s="583"/>
      <c r="H667" s="583"/>
      <c r="I667" s="583"/>
      <c r="J667" s="583"/>
      <c r="K667" s="583"/>
      <c r="L667" s="583"/>
      <c r="M667" s="583"/>
      <c r="N667" s="583"/>
      <c r="O667" s="583"/>
      <c r="P667" s="583"/>
      <c r="Q667" s="588">
        <f t="shared" si="125"/>
        <v>0</v>
      </c>
      <c r="R667" s="585"/>
      <c r="S667" s="585"/>
    </row>
    <row r="668" spans="3:19" hidden="1" x14ac:dyDescent="0.25">
      <c r="C668" s="773" t="s">
        <v>212</v>
      </c>
      <c r="D668" s="774"/>
      <c r="E668" s="588">
        <f t="shared" ref="E668:P668" si="126">SUM(E651:E667)</f>
        <v>0</v>
      </c>
      <c r="F668" s="588">
        <f t="shared" si="126"/>
        <v>0</v>
      </c>
      <c r="G668" s="588">
        <f t="shared" si="126"/>
        <v>0</v>
      </c>
      <c r="H668" s="588">
        <f t="shared" si="126"/>
        <v>0</v>
      </c>
      <c r="I668" s="588">
        <f t="shared" si="126"/>
        <v>0</v>
      </c>
      <c r="J668" s="588">
        <f t="shared" si="126"/>
        <v>0</v>
      </c>
      <c r="K668" s="588">
        <f t="shared" si="126"/>
        <v>0</v>
      </c>
      <c r="L668" s="588">
        <f t="shared" si="126"/>
        <v>0</v>
      </c>
      <c r="M668" s="588">
        <f t="shared" si="126"/>
        <v>0</v>
      </c>
      <c r="N668" s="588">
        <f t="shared" si="126"/>
        <v>0</v>
      </c>
      <c r="O668" s="588">
        <f t="shared" si="126"/>
        <v>0</v>
      </c>
      <c r="P668" s="588">
        <f t="shared" si="126"/>
        <v>0</v>
      </c>
      <c r="Q668" s="588">
        <f t="shared" si="125"/>
        <v>0</v>
      </c>
      <c r="R668" s="585"/>
      <c r="S668" s="585"/>
    </row>
    <row r="669" spans="3:19" hidden="1" x14ac:dyDescent="0.25">
      <c r="C669" s="773" t="s">
        <v>219</v>
      </c>
      <c r="D669" s="774"/>
      <c r="E669" s="588">
        <f t="shared" ref="E669:P669" si="127">E668+E649+E632</f>
        <v>0</v>
      </c>
      <c r="F669" s="588">
        <f t="shared" si="127"/>
        <v>0</v>
      </c>
      <c r="G669" s="588">
        <f t="shared" si="127"/>
        <v>0</v>
      </c>
      <c r="H669" s="588">
        <f t="shared" si="127"/>
        <v>0</v>
      </c>
      <c r="I669" s="588">
        <f t="shared" si="127"/>
        <v>0</v>
      </c>
      <c r="J669" s="588">
        <f t="shared" si="127"/>
        <v>0</v>
      </c>
      <c r="K669" s="588">
        <f t="shared" si="127"/>
        <v>0</v>
      </c>
      <c r="L669" s="588">
        <f t="shared" si="127"/>
        <v>0</v>
      </c>
      <c r="M669" s="588">
        <f t="shared" si="127"/>
        <v>0</v>
      </c>
      <c r="N669" s="588">
        <f t="shared" si="127"/>
        <v>0</v>
      </c>
      <c r="O669" s="588">
        <f t="shared" si="127"/>
        <v>0</v>
      </c>
      <c r="P669" s="588">
        <f t="shared" si="127"/>
        <v>0</v>
      </c>
      <c r="Q669" s="588">
        <f t="shared" si="125"/>
        <v>0</v>
      </c>
      <c r="R669" s="585"/>
      <c r="S669" s="585"/>
    </row>
    <row r="670" spans="3:19" hidden="1" x14ac:dyDescent="0.25">
      <c r="C670" s="773" t="s">
        <v>220</v>
      </c>
      <c r="D670" s="774"/>
      <c r="E670" s="588">
        <f t="shared" ref="E670:P670" si="128">E669+E615</f>
        <v>912.13320296262577</v>
      </c>
      <c r="F670" s="588">
        <f t="shared" si="128"/>
        <v>287.51259034263484</v>
      </c>
      <c r="G670" s="588">
        <f t="shared" si="128"/>
        <v>182.18202117019672</v>
      </c>
      <c r="H670" s="588">
        <f t="shared" si="128"/>
        <v>273.69192325032645</v>
      </c>
      <c r="I670" s="588">
        <f t="shared" si="128"/>
        <v>780.16311632167753</v>
      </c>
      <c r="J670" s="588">
        <f t="shared" si="128"/>
        <v>656.42444021515541</v>
      </c>
      <c r="K670" s="588">
        <f t="shared" si="128"/>
        <v>521.21991674792059</v>
      </c>
      <c r="L670" s="588">
        <f t="shared" si="128"/>
        <v>398.61736685131291</v>
      </c>
      <c r="M670" s="588">
        <f t="shared" si="128"/>
        <v>879.58406776657762</v>
      </c>
      <c r="N670" s="588">
        <f t="shared" si="128"/>
        <v>1070.4297118258639</v>
      </c>
      <c r="O670" s="588">
        <f t="shared" si="128"/>
        <v>1236.8407159100661</v>
      </c>
      <c r="P670" s="588">
        <f t="shared" si="128"/>
        <v>1463.0828564341236</v>
      </c>
      <c r="Q670" s="588">
        <f t="shared" si="125"/>
        <v>8661.881929798481</v>
      </c>
      <c r="R670" s="585"/>
      <c r="S670" s="585"/>
    </row>
    <row r="671" spans="3:19" hidden="1" x14ac:dyDescent="0.25">
      <c r="E671" s="585"/>
      <c r="F671" s="585"/>
      <c r="G671" s="585"/>
      <c r="H671" s="585"/>
      <c r="I671" s="585"/>
      <c r="J671" s="585"/>
      <c r="K671" s="585"/>
      <c r="L671" s="585"/>
      <c r="M671" s="585"/>
      <c r="N671" s="585"/>
      <c r="O671" s="585"/>
      <c r="P671" s="585"/>
      <c r="Q671" s="585"/>
      <c r="R671" s="585"/>
      <c r="S671" s="585"/>
    </row>
    <row r="672" spans="3:19" hidden="1" x14ac:dyDescent="0.25">
      <c r="C672" s="574"/>
      <c r="E672" s="585"/>
      <c r="F672" s="585"/>
      <c r="G672" s="585"/>
      <c r="H672" s="585"/>
      <c r="I672" s="585"/>
      <c r="J672" s="585"/>
      <c r="K672" s="585"/>
      <c r="L672" s="585"/>
      <c r="M672" s="585"/>
      <c r="N672" s="585"/>
      <c r="O672" s="585"/>
      <c r="P672" s="585"/>
      <c r="Q672" s="586" t="s">
        <v>229</v>
      </c>
      <c r="R672" s="585"/>
      <c r="S672" s="585"/>
    </row>
    <row r="673" spans="3:19" hidden="1" x14ac:dyDescent="0.25">
      <c r="C673" s="776" t="s">
        <v>163</v>
      </c>
      <c r="D673" s="776"/>
      <c r="E673" s="775" t="s">
        <v>267</v>
      </c>
      <c r="F673" s="775"/>
      <c r="G673" s="775"/>
      <c r="H673" s="775"/>
      <c r="I673" s="775"/>
      <c r="J673" s="775"/>
      <c r="K673" s="775"/>
      <c r="L673" s="775"/>
      <c r="M673" s="775"/>
      <c r="N673" s="775"/>
      <c r="O673" s="775"/>
      <c r="P673" s="775"/>
      <c r="Q673" s="775"/>
      <c r="R673" s="585"/>
      <c r="S673" s="585"/>
    </row>
    <row r="674" spans="3:19" hidden="1" x14ac:dyDescent="0.25">
      <c r="C674" s="776"/>
      <c r="D674" s="776"/>
      <c r="E674" s="587" t="s">
        <v>239</v>
      </c>
      <c r="F674" s="587" t="s">
        <v>240</v>
      </c>
      <c r="G674" s="587" t="s">
        <v>241</v>
      </c>
      <c r="H674" s="587" t="s">
        <v>242</v>
      </c>
      <c r="I674" s="587" t="s">
        <v>243</v>
      </c>
      <c r="J674" s="587" t="s">
        <v>244</v>
      </c>
      <c r="K674" s="587" t="s">
        <v>245</v>
      </c>
      <c r="L674" s="587" t="s">
        <v>246</v>
      </c>
      <c r="M674" s="587" t="s">
        <v>247</v>
      </c>
      <c r="N674" s="587" t="s">
        <v>248</v>
      </c>
      <c r="O674" s="587" t="s">
        <v>249</v>
      </c>
      <c r="P674" s="587" t="s">
        <v>250</v>
      </c>
      <c r="Q674" s="587" t="s">
        <v>251</v>
      </c>
      <c r="R674" s="585"/>
      <c r="S674" s="585"/>
    </row>
    <row r="675" spans="3:19" hidden="1" x14ac:dyDescent="0.25">
      <c r="C675" s="773" t="s">
        <v>171</v>
      </c>
      <c r="D675" s="774"/>
      <c r="E675" s="583"/>
      <c r="F675" s="583"/>
      <c r="G675" s="583"/>
      <c r="H675" s="583"/>
      <c r="I675" s="583"/>
      <c r="J675" s="583"/>
      <c r="K675" s="583"/>
      <c r="L675" s="583"/>
      <c r="M675" s="583"/>
      <c r="N675" s="583"/>
      <c r="O675" s="583"/>
      <c r="P675" s="583"/>
      <c r="Q675" s="588"/>
      <c r="R675" s="585"/>
      <c r="S675" s="585"/>
    </row>
    <row r="676" spans="3:19" hidden="1" x14ac:dyDescent="0.25">
      <c r="C676" s="579" t="s">
        <v>172</v>
      </c>
      <c r="D676" s="579" t="s">
        <v>173</v>
      </c>
      <c r="E676" s="583"/>
      <c r="F676" s="583"/>
      <c r="G676" s="583"/>
      <c r="H676" s="583"/>
      <c r="I676" s="583"/>
      <c r="J676" s="583"/>
      <c r="K676" s="583"/>
      <c r="L676" s="583"/>
      <c r="M676" s="583"/>
      <c r="N676" s="583"/>
      <c r="O676" s="583"/>
      <c r="P676" s="583"/>
      <c r="Q676" s="588">
        <f t="shared" ref="Q676:Q689" si="129">SUM(E676:P676)</f>
        <v>0</v>
      </c>
      <c r="R676" s="585"/>
      <c r="S676" s="585"/>
    </row>
    <row r="677" spans="3:19" hidden="1" x14ac:dyDescent="0.25">
      <c r="C677" s="579" t="s">
        <v>174</v>
      </c>
      <c r="D677" s="579" t="s">
        <v>175</v>
      </c>
      <c r="E677" s="583"/>
      <c r="F677" s="583"/>
      <c r="G677" s="583"/>
      <c r="H677" s="583"/>
      <c r="I677" s="583"/>
      <c r="J677" s="583"/>
      <c r="K677" s="583"/>
      <c r="L677" s="583"/>
      <c r="M677" s="583"/>
      <c r="N677" s="583"/>
      <c r="O677" s="583"/>
      <c r="P677" s="583"/>
      <c r="Q677" s="588">
        <f t="shared" si="129"/>
        <v>0</v>
      </c>
      <c r="R677" s="585"/>
      <c r="S677" s="585"/>
    </row>
    <row r="678" spans="3:19" hidden="1" x14ac:dyDescent="0.25">
      <c r="C678" s="579" t="s">
        <v>176</v>
      </c>
      <c r="D678" s="579" t="s">
        <v>177</v>
      </c>
      <c r="E678" s="583"/>
      <c r="F678" s="583"/>
      <c r="G678" s="583"/>
      <c r="H678" s="583"/>
      <c r="I678" s="583"/>
      <c r="J678" s="583"/>
      <c r="K678" s="583"/>
      <c r="L678" s="583"/>
      <c r="M678" s="583"/>
      <c r="N678" s="583"/>
      <c r="O678" s="583"/>
      <c r="P678" s="583"/>
      <c r="Q678" s="588">
        <f t="shared" si="129"/>
        <v>0</v>
      </c>
      <c r="R678" s="585"/>
      <c r="S678" s="585"/>
    </row>
    <row r="679" spans="3:19" hidden="1" x14ac:dyDescent="0.25">
      <c r="C679" s="579" t="s">
        <v>178</v>
      </c>
      <c r="D679" s="579" t="s">
        <v>179</v>
      </c>
      <c r="E679" s="583"/>
      <c r="F679" s="583"/>
      <c r="G679" s="583"/>
      <c r="H679" s="583"/>
      <c r="I679" s="583"/>
      <c r="J679" s="583"/>
      <c r="K679" s="583"/>
      <c r="L679" s="583"/>
      <c r="M679" s="583"/>
      <c r="N679" s="583"/>
      <c r="O679" s="583"/>
      <c r="P679" s="583"/>
      <c r="Q679" s="588">
        <f t="shared" si="129"/>
        <v>0</v>
      </c>
      <c r="R679" s="585"/>
      <c r="S679" s="585"/>
    </row>
    <row r="680" spans="3:19" hidden="1" x14ac:dyDescent="0.25">
      <c r="C680" s="579" t="s">
        <v>180</v>
      </c>
      <c r="D680" s="579" t="s">
        <v>181</v>
      </c>
      <c r="E680" s="584">
        <f>[8]Sales_NP!IK46</f>
        <v>940.81815084479297</v>
      </c>
      <c r="F680" s="584">
        <f>[8]Sales_NP!IL46</f>
        <v>296.55434394030897</v>
      </c>
      <c r="G680" s="584">
        <f>[8]Sales_NP!IM46</f>
        <v>187.91131790598183</v>
      </c>
      <c r="H680" s="584">
        <f>[8]Sales_NP!IN46</f>
        <v>282.29904173774264</v>
      </c>
      <c r="I680" s="584">
        <f>[8]Sales_NP!IO46</f>
        <v>804.69784245442793</v>
      </c>
      <c r="J680" s="584">
        <f>[8]Sales_NP!IP46</f>
        <v>677.06780764766847</v>
      </c>
      <c r="K680" s="584">
        <f>[8]Sales_NP!IQ46</f>
        <v>537.61134521308327</v>
      </c>
      <c r="L680" s="584">
        <f>[8]Sales_NP!IR46</f>
        <v>411.15316574112165</v>
      </c>
      <c r="M680" s="584">
        <f>[8]Sales_NP!IS46</f>
        <v>907.24540391783125</v>
      </c>
      <c r="N680" s="584">
        <f>[8]Sales_NP!IT46</f>
        <v>1104.0928000628858</v>
      </c>
      <c r="O680" s="584">
        <f>[8]Sales_NP!IU46</f>
        <v>1275.7371307748983</v>
      </c>
      <c r="P680" s="584">
        <f>[8]Sales_NP!IV46</f>
        <v>1509.0941795038143</v>
      </c>
      <c r="Q680" s="588">
        <f t="shared" si="129"/>
        <v>8934.2825297445561</v>
      </c>
      <c r="R680" s="585"/>
      <c r="S680" s="585"/>
    </row>
    <row r="681" spans="3:19" hidden="1" x14ac:dyDescent="0.25">
      <c r="C681" s="579" t="s">
        <v>182</v>
      </c>
      <c r="D681" s="579" t="s">
        <v>183</v>
      </c>
      <c r="E681" s="583"/>
      <c r="F681" s="583"/>
      <c r="G681" s="583"/>
      <c r="H681" s="583"/>
      <c r="I681" s="583"/>
      <c r="J681" s="583"/>
      <c r="K681" s="583"/>
      <c r="L681" s="583"/>
      <c r="M681" s="583"/>
      <c r="N681" s="583"/>
      <c r="O681" s="583"/>
      <c r="P681" s="583"/>
      <c r="Q681" s="588">
        <f t="shared" si="129"/>
        <v>0</v>
      </c>
      <c r="R681" s="585"/>
      <c r="S681" s="585"/>
    </row>
    <row r="682" spans="3:19" hidden="1" x14ac:dyDescent="0.25">
      <c r="C682" s="579" t="s">
        <v>184</v>
      </c>
      <c r="D682" s="579" t="s">
        <v>185</v>
      </c>
      <c r="E682" s="583"/>
      <c r="F682" s="583"/>
      <c r="G682" s="583"/>
      <c r="H682" s="583"/>
      <c r="I682" s="583"/>
      <c r="J682" s="583"/>
      <c r="K682" s="583"/>
      <c r="L682" s="583"/>
      <c r="M682" s="583"/>
      <c r="N682" s="583"/>
      <c r="O682" s="583"/>
      <c r="P682" s="583"/>
      <c r="Q682" s="588">
        <f t="shared" si="129"/>
        <v>0</v>
      </c>
      <c r="R682" s="585"/>
      <c r="S682" s="585"/>
    </row>
    <row r="683" spans="3:19" hidden="1" x14ac:dyDescent="0.25">
      <c r="C683" s="579" t="s">
        <v>186</v>
      </c>
      <c r="D683" s="579" t="s">
        <v>187</v>
      </c>
      <c r="E683" s="583"/>
      <c r="F683" s="583"/>
      <c r="G683" s="583"/>
      <c r="H683" s="583"/>
      <c r="I683" s="583"/>
      <c r="J683" s="583"/>
      <c r="K683" s="583"/>
      <c r="L683" s="583"/>
      <c r="M683" s="583"/>
      <c r="N683" s="583"/>
      <c r="O683" s="583"/>
      <c r="P683" s="583"/>
      <c r="Q683" s="588">
        <f t="shared" si="129"/>
        <v>0</v>
      </c>
      <c r="R683" s="585"/>
      <c r="S683" s="585"/>
    </row>
    <row r="684" spans="3:19" hidden="1" x14ac:dyDescent="0.25">
      <c r="C684" s="579" t="s">
        <v>188</v>
      </c>
      <c r="D684" s="579" t="s">
        <v>189</v>
      </c>
      <c r="E684" s="583"/>
      <c r="F684" s="583"/>
      <c r="G684" s="583"/>
      <c r="H684" s="583"/>
      <c r="I684" s="583"/>
      <c r="J684" s="583"/>
      <c r="K684" s="583"/>
      <c r="L684" s="583"/>
      <c r="M684" s="583"/>
      <c r="N684" s="583"/>
      <c r="O684" s="583"/>
      <c r="P684" s="583"/>
      <c r="Q684" s="588">
        <f t="shared" si="129"/>
        <v>0</v>
      </c>
      <c r="R684" s="585"/>
      <c r="S684" s="585"/>
    </row>
    <row r="685" spans="3:19" hidden="1" x14ac:dyDescent="0.25">
      <c r="C685" s="579"/>
      <c r="D685" s="579"/>
      <c r="E685" s="583"/>
      <c r="F685" s="583"/>
      <c r="G685" s="583"/>
      <c r="H685" s="583"/>
      <c r="I685" s="583"/>
      <c r="J685" s="583"/>
      <c r="K685" s="583"/>
      <c r="L685" s="583"/>
      <c r="M685" s="583"/>
      <c r="N685" s="583"/>
      <c r="O685" s="583"/>
      <c r="P685" s="583"/>
      <c r="Q685" s="588">
        <f t="shared" si="129"/>
        <v>0</v>
      </c>
      <c r="R685" s="585"/>
      <c r="S685" s="585"/>
    </row>
    <row r="686" spans="3:19" hidden="1" x14ac:dyDescent="0.25">
      <c r="C686" s="579"/>
      <c r="D686" s="579"/>
      <c r="E686" s="583"/>
      <c r="F686" s="583"/>
      <c r="G686" s="583"/>
      <c r="H686" s="583"/>
      <c r="I686" s="583"/>
      <c r="J686" s="583"/>
      <c r="K686" s="583"/>
      <c r="L686" s="583"/>
      <c r="M686" s="583"/>
      <c r="N686" s="583"/>
      <c r="O686" s="583"/>
      <c r="P686" s="583"/>
      <c r="Q686" s="588">
        <f t="shared" si="129"/>
        <v>0</v>
      </c>
      <c r="R686" s="585"/>
      <c r="S686" s="585"/>
    </row>
    <row r="687" spans="3:19" hidden="1" x14ac:dyDescent="0.25">
      <c r="C687" s="579"/>
      <c r="D687" s="579"/>
      <c r="E687" s="583"/>
      <c r="F687" s="583"/>
      <c r="G687" s="583"/>
      <c r="H687" s="583"/>
      <c r="I687" s="583"/>
      <c r="J687" s="583"/>
      <c r="K687" s="583"/>
      <c r="L687" s="583"/>
      <c r="M687" s="583"/>
      <c r="N687" s="583"/>
      <c r="O687" s="583"/>
      <c r="P687" s="583"/>
      <c r="Q687" s="588">
        <f t="shared" si="129"/>
        <v>0</v>
      </c>
      <c r="R687" s="585"/>
      <c r="S687" s="585"/>
    </row>
    <row r="688" spans="3:19" hidden="1" x14ac:dyDescent="0.25">
      <c r="C688" s="579" t="s">
        <v>226</v>
      </c>
      <c r="D688" s="579" t="s">
        <v>226</v>
      </c>
      <c r="E688" s="583"/>
      <c r="F688" s="583"/>
      <c r="G688" s="583"/>
      <c r="H688" s="583"/>
      <c r="I688" s="583"/>
      <c r="J688" s="583"/>
      <c r="K688" s="583"/>
      <c r="L688" s="583"/>
      <c r="M688" s="583"/>
      <c r="N688" s="583"/>
      <c r="O688" s="583"/>
      <c r="P688" s="583"/>
      <c r="Q688" s="588">
        <f t="shared" si="129"/>
        <v>0</v>
      </c>
      <c r="R688" s="585"/>
      <c r="S688" s="585"/>
    </row>
    <row r="689" spans="3:19" hidden="1" x14ac:dyDescent="0.25">
      <c r="C689" s="773" t="s">
        <v>190</v>
      </c>
      <c r="D689" s="774"/>
      <c r="E689" s="588">
        <f t="shared" ref="E689:P689" si="130">SUM(E676:E688)</f>
        <v>940.81815084479297</v>
      </c>
      <c r="F689" s="588">
        <f t="shared" si="130"/>
        <v>296.55434394030897</v>
      </c>
      <c r="G689" s="588">
        <f t="shared" si="130"/>
        <v>187.91131790598183</v>
      </c>
      <c r="H689" s="588">
        <f t="shared" si="130"/>
        <v>282.29904173774264</v>
      </c>
      <c r="I689" s="588">
        <f t="shared" si="130"/>
        <v>804.69784245442793</v>
      </c>
      <c r="J689" s="588">
        <f t="shared" si="130"/>
        <v>677.06780764766847</v>
      </c>
      <c r="K689" s="588">
        <f t="shared" si="130"/>
        <v>537.61134521308327</v>
      </c>
      <c r="L689" s="588">
        <f t="shared" si="130"/>
        <v>411.15316574112165</v>
      </c>
      <c r="M689" s="588">
        <f t="shared" si="130"/>
        <v>907.24540391783125</v>
      </c>
      <c r="N689" s="588">
        <f t="shared" si="130"/>
        <v>1104.0928000628858</v>
      </c>
      <c r="O689" s="588">
        <f t="shared" si="130"/>
        <v>1275.7371307748983</v>
      </c>
      <c r="P689" s="588">
        <f t="shared" si="130"/>
        <v>1509.0941795038143</v>
      </c>
      <c r="Q689" s="588">
        <f t="shared" si="129"/>
        <v>8934.2825297445561</v>
      </c>
      <c r="R689" s="585"/>
      <c r="S689" s="585"/>
    </row>
    <row r="690" spans="3:19" hidden="1" x14ac:dyDescent="0.25">
      <c r="C690" s="773" t="s">
        <v>191</v>
      </c>
      <c r="D690" s="774"/>
      <c r="E690" s="583"/>
      <c r="F690" s="583"/>
      <c r="G690" s="583"/>
      <c r="H690" s="583"/>
      <c r="I690" s="583"/>
      <c r="J690" s="583"/>
      <c r="K690" s="583"/>
      <c r="L690" s="583"/>
      <c r="M690" s="583"/>
      <c r="N690" s="583"/>
      <c r="O690" s="583"/>
      <c r="P690" s="583"/>
      <c r="Q690" s="588"/>
      <c r="R690" s="585"/>
      <c r="S690" s="585"/>
    </row>
    <row r="691" spans="3:19" hidden="1" x14ac:dyDescent="0.25">
      <c r="C691" s="579" t="s">
        <v>192</v>
      </c>
      <c r="D691" s="579" t="s">
        <v>193</v>
      </c>
      <c r="E691" s="583"/>
      <c r="F691" s="583"/>
      <c r="G691" s="583"/>
      <c r="H691" s="583"/>
      <c r="I691" s="583"/>
      <c r="J691" s="583"/>
      <c r="K691" s="583"/>
      <c r="L691" s="583"/>
      <c r="M691" s="583"/>
      <c r="N691" s="583"/>
      <c r="O691" s="583"/>
      <c r="P691" s="583"/>
      <c r="Q691" s="588">
        <f t="shared" ref="Q691:Q706" si="131">SUM(E691:P691)</f>
        <v>0</v>
      </c>
      <c r="R691" s="585"/>
      <c r="S691" s="585"/>
    </row>
    <row r="692" spans="3:19" hidden="1" x14ac:dyDescent="0.25">
      <c r="C692" s="579" t="s">
        <v>194</v>
      </c>
      <c r="D692" s="579" t="s">
        <v>195</v>
      </c>
      <c r="E692" s="583"/>
      <c r="F692" s="583"/>
      <c r="G692" s="583"/>
      <c r="H692" s="583"/>
      <c r="I692" s="583"/>
      <c r="J692" s="583"/>
      <c r="K692" s="583"/>
      <c r="L692" s="583"/>
      <c r="M692" s="583"/>
      <c r="N692" s="583"/>
      <c r="O692" s="583"/>
      <c r="P692" s="583"/>
      <c r="Q692" s="588">
        <f t="shared" si="131"/>
        <v>0</v>
      </c>
      <c r="R692" s="585"/>
      <c r="S692" s="585"/>
    </row>
    <row r="693" spans="3:19" hidden="1" x14ac:dyDescent="0.25">
      <c r="C693" s="579" t="s">
        <v>233</v>
      </c>
      <c r="D693" s="579" t="s">
        <v>197</v>
      </c>
      <c r="E693" s="583"/>
      <c r="F693" s="583"/>
      <c r="G693" s="583"/>
      <c r="H693" s="583"/>
      <c r="I693" s="583"/>
      <c r="J693" s="583"/>
      <c r="K693" s="583"/>
      <c r="L693" s="583"/>
      <c r="M693" s="583"/>
      <c r="N693" s="583"/>
      <c r="O693" s="583"/>
      <c r="P693" s="583"/>
      <c r="Q693" s="588">
        <f t="shared" si="131"/>
        <v>0</v>
      </c>
      <c r="R693" s="585"/>
      <c r="S693" s="585"/>
    </row>
    <row r="694" spans="3:19" hidden="1" x14ac:dyDescent="0.25">
      <c r="C694" s="579" t="s">
        <v>198</v>
      </c>
      <c r="D694" s="579" t="s">
        <v>199</v>
      </c>
      <c r="E694" s="583"/>
      <c r="F694" s="583"/>
      <c r="G694" s="583"/>
      <c r="H694" s="583"/>
      <c r="I694" s="583"/>
      <c r="J694" s="583"/>
      <c r="K694" s="583"/>
      <c r="L694" s="583"/>
      <c r="M694" s="583"/>
      <c r="N694" s="583"/>
      <c r="O694" s="583"/>
      <c r="P694" s="583"/>
      <c r="Q694" s="588">
        <f t="shared" si="131"/>
        <v>0</v>
      </c>
      <c r="R694" s="585"/>
      <c r="S694" s="585"/>
    </row>
    <row r="695" spans="3:19" hidden="1" x14ac:dyDescent="0.25">
      <c r="C695" s="579" t="s">
        <v>200</v>
      </c>
      <c r="D695" s="579" t="s">
        <v>201</v>
      </c>
      <c r="E695" s="583"/>
      <c r="F695" s="583"/>
      <c r="G695" s="583"/>
      <c r="H695" s="583"/>
      <c r="I695" s="583"/>
      <c r="J695" s="583"/>
      <c r="K695" s="583"/>
      <c r="L695" s="583"/>
      <c r="M695" s="583"/>
      <c r="N695" s="583"/>
      <c r="O695" s="583"/>
      <c r="P695" s="583"/>
      <c r="Q695" s="588">
        <f t="shared" si="131"/>
        <v>0</v>
      </c>
      <c r="R695" s="585"/>
      <c r="S695" s="585"/>
    </row>
    <row r="696" spans="3:19" hidden="1" x14ac:dyDescent="0.25">
      <c r="C696" s="579" t="s">
        <v>202</v>
      </c>
      <c r="D696" s="579" t="s">
        <v>203</v>
      </c>
      <c r="E696" s="583"/>
      <c r="F696" s="583"/>
      <c r="G696" s="583"/>
      <c r="H696" s="583"/>
      <c r="I696" s="583"/>
      <c r="J696" s="583"/>
      <c r="K696" s="583"/>
      <c r="L696" s="583"/>
      <c r="M696" s="583"/>
      <c r="N696" s="583"/>
      <c r="O696" s="583"/>
      <c r="P696" s="583"/>
      <c r="Q696" s="588">
        <f t="shared" si="131"/>
        <v>0</v>
      </c>
      <c r="R696" s="585"/>
      <c r="S696" s="585"/>
    </row>
    <row r="697" spans="3:19" hidden="1" x14ac:dyDescent="0.25">
      <c r="C697" s="579" t="s">
        <v>204</v>
      </c>
      <c r="D697" s="579" t="s">
        <v>205</v>
      </c>
      <c r="E697" s="583"/>
      <c r="F697" s="583"/>
      <c r="G697" s="583"/>
      <c r="H697" s="583"/>
      <c r="I697" s="583"/>
      <c r="J697" s="583"/>
      <c r="K697" s="583"/>
      <c r="L697" s="583"/>
      <c r="M697" s="583"/>
      <c r="N697" s="583"/>
      <c r="O697" s="583"/>
      <c r="P697" s="583"/>
      <c r="Q697" s="588">
        <f t="shared" si="131"/>
        <v>0</v>
      </c>
      <c r="R697" s="585"/>
      <c r="S697" s="585"/>
    </row>
    <row r="698" spans="3:19" hidden="1" x14ac:dyDescent="0.25">
      <c r="C698" s="579" t="s">
        <v>206</v>
      </c>
      <c r="D698" s="579" t="s">
        <v>207</v>
      </c>
      <c r="E698" s="583"/>
      <c r="F698" s="583"/>
      <c r="G698" s="583"/>
      <c r="H698" s="583"/>
      <c r="I698" s="583"/>
      <c r="J698" s="583"/>
      <c r="K698" s="583"/>
      <c r="L698" s="583"/>
      <c r="M698" s="583"/>
      <c r="N698" s="583"/>
      <c r="O698" s="583"/>
      <c r="P698" s="583"/>
      <c r="Q698" s="588">
        <f t="shared" si="131"/>
        <v>0</v>
      </c>
      <c r="R698" s="585"/>
      <c r="S698" s="585"/>
    </row>
    <row r="699" spans="3:19" hidden="1" x14ac:dyDescent="0.25">
      <c r="C699" s="579" t="s">
        <v>208</v>
      </c>
      <c r="D699" s="579" t="s">
        <v>187</v>
      </c>
      <c r="E699" s="583"/>
      <c r="F699" s="583"/>
      <c r="G699" s="583"/>
      <c r="H699" s="583"/>
      <c r="I699" s="583"/>
      <c r="J699" s="583"/>
      <c r="K699" s="583"/>
      <c r="L699" s="583"/>
      <c r="M699" s="583"/>
      <c r="N699" s="583"/>
      <c r="O699" s="583"/>
      <c r="P699" s="583"/>
      <c r="Q699" s="588">
        <f t="shared" si="131"/>
        <v>0</v>
      </c>
      <c r="R699" s="585"/>
      <c r="S699" s="585"/>
    </row>
    <row r="700" spans="3:19" hidden="1" x14ac:dyDescent="0.25">
      <c r="C700" s="579" t="s">
        <v>209</v>
      </c>
      <c r="D700" s="579" t="s">
        <v>210</v>
      </c>
      <c r="E700" s="583"/>
      <c r="F700" s="583"/>
      <c r="G700" s="583"/>
      <c r="H700" s="583"/>
      <c r="I700" s="583"/>
      <c r="J700" s="583"/>
      <c r="K700" s="583"/>
      <c r="L700" s="583"/>
      <c r="M700" s="583"/>
      <c r="N700" s="583"/>
      <c r="O700" s="583"/>
      <c r="P700" s="583"/>
      <c r="Q700" s="588">
        <f t="shared" si="131"/>
        <v>0</v>
      </c>
      <c r="R700" s="585"/>
      <c r="S700" s="585"/>
    </row>
    <row r="701" spans="3:19" hidden="1" x14ac:dyDescent="0.25">
      <c r="C701" s="579" t="s">
        <v>211</v>
      </c>
      <c r="D701" s="579" t="s">
        <v>189</v>
      </c>
      <c r="E701" s="583"/>
      <c r="F701" s="583"/>
      <c r="G701" s="583"/>
      <c r="H701" s="583"/>
      <c r="I701" s="583"/>
      <c r="J701" s="583"/>
      <c r="K701" s="583"/>
      <c r="L701" s="583"/>
      <c r="M701" s="583"/>
      <c r="N701" s="583"/>
      <c r="O701" s="583"/>
      <c r="P701" s="583"/>
      <c r="Q701" s="588">
        <f t="shared" si="131"/>
        <v>0</v>
      </c>
      <c r="R701" s="585"/>
      <c r="S701" s="585"/>
    </row>
    <row r="702" spans="3:19" hidden="1" x14ac:dyDescent="0.25">
      <c r="C702" s="579"/>
      <c r="D702" s="579"/>
      <c r="E702" s="583"/>
      <c r="F702" s="583"/>
      <c r="G702" s="583"/>
      <c r="H702" s="583"/>
      <c r="I702" s="583"/>
      <c r="J702" s="583"/>
      <c r="K702" s="583"/>
      <c r="L702" s="583"/>
      <c r="M702" s="583"/>
      <c r="N702" s="583"/>
      <c r="O702" s="583"/>
      <c r="P702" s="583"/>
      <c r="Q702" s="588">
        <f t="shared" si="131"/>
        <v>0</v>
      </c>
      <c r="R702" s="585"/>
      <c r="S702" s="585"/>
    </row>
    <row r="703" spans="3:19" hidden="1" x14ac:dyDescent="0.25">
      <c r="C703" s="579"/>
      <c r="D703" s="579"/>
      <c r="E703" s="583"/>
      <c r="F703" s="583"/>
      <c r="G703" s="583"/>
      <c r="H703" s="583"/>
      <c r="I703" s="583"/>
      <c r="J703" s="583"/>
      <c r="K703" s="583"/>
      <c r="L703" s="583"/>
      <c r="M703" s="583"/>
      <c r="N703" s="583"/>
      <c r="O703" s="583"/>
      <c r="P703" s="583"/>
      <c r="Q703" s="588">
        <f t="shared" si="131"/>
        <v>0</v>
      </c>
      <c r="R703" s="585"/>
      <c r="S703" s="585"/>
    </row>
    <row r="704" spans="3:19" hidden="1" x14ac:dyDescent="0.25">
      <c r="C704" s="579"/>
      <c r="D704" s="579"/>
      <c r="E704" s="583"/>
      <c r="F704" s="583"/>
      <c r="G704" s="583"/>
      <c r="H704" s="583"/>
      <c r="I704" s="583"/>
      <c r="J704" s="583"/>
      <c r="K704" s="583"/>
      <c r="L704" s="583"/>
      <c r="M704" s="583"/>
      <c r="N704" s="583"/>
      <c r="O704" s="583"/>
      <c r="P704" s="583"/>
      <c r="Q704" s="588">
        <f t="shared" si="131"/>
        <v>0</v>
      </c>
      <c r="R704" s="585"/>
      <c r="S704" s="585"/>
    </row>
    <row r="705" spans="3:19" hidden="1" x14ac:dyDescent="0.25">
      <c r="C705" s="579" t="s">
        <v>226</v>
      </c>
      <c r="D705" s="579" t="s">
        <v>226</v>
      </c>
      <c r="E705" s="583"/>
      <c r="F705" s="583"/>
      <c r="G705" s="583"/>
      <c r="H705" s="583"/>
      <c r="I705" s="583"/>
      <c r="J705" s="583"/>
      <c r="K705" s="583"/>
      <c r="L705" s="583"/>
      <c r="M705" s="583"/>
      <c r="N705" s="583"/>
      <c r="O705" s="583"/>
      <c r="P705" s="583"/>
      <c r="Q705" s="588">
        <f t="shared" si="131"/>
        <v>0</v>
      </c>
      <c r="R705" s="585"/>
      <c r="S705" s="585"/>
    </row>
    <row r="706" spans="3:19" hidden="1" x14ac:dyDescent="0.25">
      <c r="C706" s="773" t="s">
        <v>212</v>
      </c>
      <c r="D706" s="774"/>
      <c r="E706" s="588">
        <f t="shared" ref="E706:P706" si="132">SUM(E691:E705)</f>
        <v>0</v>
      </c>
      <c r="F706" s="588">
        <f t="shared" si="132"/>
        <v>0</v>
      </c>
      <c r="G706" s="588">
        <f t="shared" si="132"/>
        <v>0</v>
      </c>
      <c r="H706" s="588">
        <f t="shared" si="132"/>
        <v>0</v>
      </c>
      <c r="I706" s="588">
        <f t="shared" si="132"/>
        <v>0</v>
      </c>
      <c r="J706" s="588">
        <f t="shared" si="132"/>
        <v>0</v>
      </c>
      <c r="K706" s="588">
        <f t="shared" si="132"/>
        <v>0</v>
      </c>
      <c r="L706" s="588">
        <f t="shared" si="132"/>
        <v>0</v>
      </c>
      <c r="M706" s="588">
        <f t="shared" si="132"/>
        <v>0</v>
      </c>
      <c r="N706" s="588">
        <f t="shared" si="132"/>
        <v>0</v>
      </c>
      <c r="O706" s="588">
        <f t="shared" si="132"/>
        <v>0</v>
      </c>
      <c r="P706" s="588">
        <f t="shared" si="132"/>
        <v>0</v>
      </c>
      <c r="Q706" s="588">
        <f t="shared" si="131"/>
        <v>0</v>
      </c>
      <c r="R706" s="585"/>
      <c r="S706" s="585"/>
    </row>
    <row r="707" spans="3:19" hidden="1" x14ac:dyDescent="0.25">
      <c r="C707" s="773" t="s">
        <v>213</v>
      </c>
      <c r="D707" s="774"/>
      <c r="E707" s="583"/>
      <c r="F707" s="583"/>
      <c r="G707" s="583"/>
      <c r="H707" s="583"/>
      <c r="I707" s="583"/>
      <c r="J707" s="583"/>
      <c r="K707" s="583"/>
      <c r="L707" s="583"/>
      <c r="M707" s="583"/>
      <c r="N707" s="583"/>
      <c r="O707" s="583"/>
      <c r="P707" s="583"/>
      <c r="Q707" s="588"/>
      <c r="R707" s="585"/>
      <c r="S707" s="585"/>
    </row>
    <row r="708" spans="3:19" hidden="1" x14ac:dyDescent="0.25">
      <c r="C708" s="579" t="s">
        <v>192</v>
      </c>
      <c r="D708" s="579" t="s">
        <v>193</v>
      </c>
      <c r="E708" s="583"/>
      <c r="F708" s="583"/>
      <c r="G708" s="583"/>
      <c r="H708" s="583"/>
      <c r="I708" s="583"/>
      <c r="J708" s="583"/>
      <c r="K708" s="583"/>
      <c r="L708" s="583"/>
      <c r="M708" s="583"/>
      <c r="N708" s="583"/>
      <c r="O708" s="583"/>
      <c r="P708" s="583"/>
      <c r="Q708" s="588">
        <f t="shared" ref="Q708:Q723" si="133">SUM(E708:P708)</f>
        <v>0</v>
      </c>
      <c r="R708" s="585"/>
      <c r="S708" s="585"/>
    </row>
    <row r="709" spans="3:19" hidden="1" x14ac:dyDescent="0.25">
      <c r="C709" s="579" t="s">
        <v>194</v>
      </c>
      <c r="D709" s="579" t="s">
        <v>195</v>
      </c>
      <c r="E709" s="583"/>
      <c r="F709" s="583"/>
      <c r="G709" s="583"/>
      <c r="H709" s="583"/>
      <c r="I709" s="583"/>
      <c r="J709" s="583"/>
      <c r="K709" s="583"/>
      <c r="L709" s="583"/>
      <c r="M709" s="583"/>
      <c r="N709" s="583"/>
      <c r="O709" s="583"/>
      <c r="P709" s="583"/>
      <c r="Q709" s="588">
        <f t="shared" si="133"/>
        <v>0</v>
      </c>
      <c r="R709" s="585"/>
      <c r="S709" s="585"/>
    </row>
    <row r="710" spans="3:19" hidden="1" x14ac:dyDescent="0.25">
      <c r="C710" s="579" t="s">
        <v>233</v>
      </c>
      <c r="D710" s="579" t="s">
        <v>197</v>
      </c>
      <c r="E710" s="583"/>
      <c r="F710" s="583"/>
      <c r="G710" s="583"/>
      <c r="H710" s="583"/>
      <c r="I710" s="583"/>
      <c r="J710" s="583"/>
      <c r="K710" s="583"/>
      <c r="L710" s="583"/>
      <c r="M710" s="583"/>
      <c r="N710" s="583"/>
      <c r="O710" s="583"/>
      <c r="P710" s="583"/>
      <c r="Q710" s="588">
        <f t="shared" si="133"/>
        <v>0</v>
      </c>
      <c r="R710" s="585"/>
      <c r="S710" s="585"/>
    </row>
    <row r="711" spans="3:19" hidden="1" x14ac:dyDescent="0.25">
      <c r="C711" s="579" t="s">
        <v>198</v>
      </c>
      <c r="D711" s="579" t="s">
        <v>199</v>
      </c>
      <c r="E711" s="583"/>
      <c r="F711" s="583"/>
      <c r="G711" s="583"/>
      <c r="H711" s="583"/>
      <c r="I711" s="583"/>
      <c r="J711" s="583"/>
      <c r="K711" s="583"/>
      <c r="L711" s="583"/>
      <c r="M711" s="583"/>
      <c r="N711" s="583"/>
      <c r="O711" s="583"/>
      <c r="P711" s="583"/>
      <c r="Q711" s="588">
        <f t="shared" si="133"/>
        <v>0</v>
      </c>
      <c r="R711" s="585"/>
      <c r="S711" s="585"/>
    </row>
    <row r="712" spans="3:19" hidden="1" x14ac:dyDescent="0.25">
      <c r="C712" s="579" t="s">
        <v>200</v>
      </c>
      <c r="D712" s="579" t="s">
        <v>201</v>
      </c>
      <c r="E712" s="583"/>
      <c r="F712" s="583"/>
      <c r="G712" s="583"/>
      <c r="H712" s="583"/>
      <c r="I712" s="583"/>
      <c r="J712" s="583"/>
      <c r="K712" s="583"/>
      <c r="L712" s="583"/>
      <c r="M712" s="583"/>
      <c r="N712" s="583"/>
      <c r="O712" s="583"/>
      <c r="P712" s="583"/>
      <c r="Q712" s="588">
        <f t="shared" si="133"/>
        <v>0</v>
      </c>
      <c r="R712" s="585"/>
      <c r="S712" s="585"/>
    </row>
    <row r="713" spans="3:19" hidden="1" x14ac:dyDescent="0.25">
      <c r="C713" s="579" t="s">
        <v>202</v>
      </c>
      <c r="D713" s="579" t="s">
        <v>203</v>
      </c>
      <c r="E713" s="583"/>
      <c r="F713" s="583"/>
      <c r="G713" s="583"/>
      <c r="H713" s="583"/>
      <c r="I713" s="583"/>
      <c r="J713" s="583"/>
      <c r="K713" s="583"/>
      <c r="L713" s="583"/>
      <c r="M713" s="583"/>
      <c r="N713" s="583"/>
      <c r="O713" s="583"/>
      <c r="P713" s="583"/>
      <c r="Q713" s="588">
        <f t="shared" si="133"/>
        <v>0</v>
      </c>
      <c r="R713" s="585"/>
      <c r="S713" s="585"/>
    </row>
    <row r="714" spans="3:19" hidden="1" x14ac:dyDescent="0.25">
      <c r="C714" s="579" t="s">
        <v>204</v>
      </c>
      <c r="D714" s="579" t="s">
        <v>205</v>
      </c>
      <c r="E714" s="583"/>
      <c r="F714" s="583"/>
      <c r="G714" s="583"/>
      <c r="H714" s="583"/>
      <c r="I714" s="583"/>
      <c r="J714" s="583"/>
      <c r="K714" s="583"/>
      <c r="L714" s="583"/>
      <c r="M714" s="583"/>
      <c r="N714" s="583"/>
      <c r="O714" s="583"/>
      <c r="P714" s="583"/>
      <c r="Q714" s="588">
        <f t="shared" si="133"/>
        <v>0</v>
      </c>
      <c r="R714" s="585"/>
      <c r="S714" s="585"/>
    </row>
    <row r="715" spans="3:19" hidden="1" x14ac:dyDescent="0.25">
      <c r="C715" s="579" t="s">
        <v>206</v>
      </c>
      <c r="D715" s="579" t="s">
        <v>207</v>
      </c>
      <c r="E715" s="583"/>
      <c r="F715" s="583"/>
      <c r="G715" s="583"/>
      <c r="H715" s="583"/>
      <c r="I715" s="583"/>
      <c r="J715" s="583"/>
      <c r="K715" s="583"/>
      <c r="L715" s="583"/>
      <c r="M715" s="583"/>
      <c r="N715" s="583"/>
      <c r="O715" s="583"/>
      <c r="P715" s="583"/>
      <c r="Q715" s="588">
        <f t="shared" si="133"/>
        <v>0</v>
      </c>
      <c r="R715" s="585"/>
      <c r="S715" s="585"/>
    </row>
    <row r="716" spans="3:19" hidden="1" x14ac:dyDescent="0.25">
      <c r="C716" s="579" t="s">
        <v>214</v>
      </c>
      <c r="D716" s="579" t="s">
        <v>187</v>
      </c>
      <c r="E716" s="583"/>
      <c r="F716" s="583"/>
      <c r="G716" s="583"/>
      <c r="H716" s="583"/>
      <c r="I716" s="583"/>
      <c r="J716" s="583"/>
      <c r="K716" s="583"/>
      <c r="L716" s="583"/>
      <c r="M716" s="583"/>
      <c r="N716" s="583"/>
      <c r="O716" s="583"/>
      <c r="P716" s="583"/>
      <c r="Q716" s="588">
        <f t="shared" si="133"/>
        <v>0</v>
      </c>
      <c r="R716" s="585"/>
      <c r="S716" s="585"/>
    </row>
    <row r="717" spans="3:19" hidden="1" x14ac:dyDescent="0.25">
      <c r="C717" s="579" t="s">
        <v>209</v>
      </c>
      <c r="D717" s="579" t="s">
        <v>210</v>
      </c>
      <c r="E717" s="583"/>
      <c r="F717" s="583"/>
      <c r="G717" s="583"/>
      <c r="H717" s="583"/>
      <c r="I717" s="583"/>
      <c r="J717" s="583"/>
      <c r="K717" s="583"/>
      <c r="L717" s="583"/>
      <c r="M717" s="583"/>
      <c r="N717" s="583"/>
      <c r="O717" s="583"/>
      <c r="P717" s="583"/>
      <c r="Q717" s="588">
        <f t="shared" si="133"/>
        <v>0</v>
      </c>
      <c r="R717" s="585"/>
      <c r="S717" s="585"/>
    </row>
    <row r="718" spans="3:19" hidden="1" x14ac:dyDescent="0.25">
      <c r="C718" s="579" t="s">
        <v>211</v>
      </c>
      <c r="D718" s="579" t="s">
        <v>189</v>
      </c>
      <c r="E718" s="583"/>
      <c r="F718" s="583"/>
      <c r="G718" s="583"/>
      <c r="H718" s="583"/>
      <c r="I718" s="583"/>
      <c r="J718" s="583"/>
      <c r="K718" s="583"/>
      <c r="L718" s="583"/>
      <c r="M718" s="583"/>
      <c r="N718" s="583"/>
      <c r="O718" s="583"/>
      <c r="P718" s="583"/>
      <c r="Q718" s="588">
        <f t="shared" si="133"/>
        <v>0</v>
      </c>
      <c r="R718" s="585"/>
      <c r="S718" s="585"/>
    </row>
    <row r="719" spans="3:19" hidden="1" x14ac:dyDescent="0.25">
      <c r="C719" s="579"/>
      <c r="D719" s="579"/>
      <c r="E719" s="583"/>
      <c r="F719" s="583"/>
      <c r="G719" s="583"/>
      <c r="H719" s="583"/>
      <c r="I719" s="583"/>
      <c r="J719" s="583"/>
      <c r="K719" s="583"/>
      <c r="L719" s="583"/>
      <c r="M719" s="583"/>
      <c r="N719" s="583"/>
      <c r="O719" s="583"/>
      <c r="P719" s="583"/>
      <c r="Q719" s="588">
        <f t="shared" si="133"/>
        <v>0</v>
      </c>
      <c r="R719" s="585"/>
      <c r="S719" s="585"/>
    </row>
    <row r="720" spans="3:19" hidden="1" x14ac:dyDescent="0.25">
      <c r="C720" s="579"/>
      <c r="D720" s="579"/>
      <c r="E720" s="583"/>
      <c r="F720" s="583"/>
      <c r="G720" s="583"/>
      <c r="H720" s="583"/>
      <c r="I720" s="583"/>
      <c r="J720" s="583"/>
      <c r="K720" s="583"/>
      <c r="L720" s="583"/>
      <c r="M720" s="583"/>
      <c r="N720" s="583"/>
      <c r="O720" s="583"/>
      <c r="P720" s="583"/>
      <c r="Q720" s="588">
        <f t="shared" si="133"/>
        <v>0</v>
      </c>
      <c r="R720" s="585"/>
      <c r="S720" s="585"/>
    </row>
    <row r="721" spans="3:19" hidden="1" x14ac:dyDescent="0.25">
      <c r="C721" s="579"/>
      <c r="D721" s="579"/>
      <c r="E721" s="583"/>
      <c r="F721" s="583"/>
      <c r="G721" s="583"/>
      <c r="H721" s="583"/>
      <c r="I721" s="583"/>
      <c r="J721" s="583"/>
      <c r="K721" s="583"/>
      <c r="L721" s="583"/>
      <c r="M721" s="583"/>
      <c r="N721" s="583"/>
      <c r="O721" s="583"/>
      <c r="P721" s="583"/>
      <c r="Q721" s="588">
        <f t="shared" si="133"/>
        <v>0</v>
      </c>
      <c r="R721" s="585"/>
      <c r="S721" s="585"/>
    </row>
    <row r="722" spans="3:19" hidden="1" x14ac:dyDescent="0.25">
      <c r="C722" s="579" t="s">
        <v>226</v>
      </c>
      <c r="D722" s="579" t="s">
        <v>226</v>
      </c>
      <c r="E722" s="583"/>
      <c r="F722" s="583"/>
      <c r="G722" s="583"/>
      <c r="H722" s="583"/>
      <c r="I722" s="583"/>
      <c r="J722" s="583"/>
      <c r="K722" s="583"/>
      <c r="L722" s="583"/>
      <c r="M722" s="583"/>
      <c r="N722" s="583"/>
      <c r="O722" s="583"/>
      <c r="P722" s="583"/>
      <c r="Q722" s="588">
        <f t="shared" si="133"/>
        <v>0</v>
      </c>
      <c r="R722" s="585"/>
      <c r="S722" s="585"/>
    </row>
    <row r="723" spans="3:19" hidden="1" x14ac:dyDescent="0.25">
      <c r="C723" s="773" t="s">
        <v>212</v>
      </c>
      <c r="D723" s="774"/>
      <c r="E723" s="588">
        <f t="shared" ref="E723:P723" si="134">SUM(E708:E722)</f>
        <v>0</v>
      </c>
      <c r="F723" s="588">
        <f t="shared" si="134"/>
        <v>0</v>
      </c>
      <c r="G723" s="588">
        <f t="shared" si="134"/>
        <v>0</v>
      </c>
      <c r="H723" s="588">
        <f t="shared" si="134"/>
        <v>0</v>
      </c>
      <c r="I723" s="588">
        <f t="shared" si="134"/>
        <v>0</v>
      </c>
      <c r="J723" s="588">
        <f t="shared" si="134"/>
        <v>0</v>
      </c>
      <c r="K723" s="588">
        <f t="shared" si="134"/>
        <v>0</v>
      </c>
      <c r="L723" s="588">
        <f t="shared" si="134"/>
        <v>0</v>
      </c>
      <c r="M723" s="588">
        <f t="shared" si="134"/>
        <v>0</v>
      </c>
      <c r="N723" s="588">
        <f t="shared" si="134"/>
        <v>0</v>
      </c>
      <c r="O723" s="588">
        <f t="shared" si="134"/>
        <v>0</v>
      </c>
      <c r="P723" s="588">
        <f t="shared" si="134"/>
        <v>0</v>
      </c>
      <c r="Q723" s="588">
        <f t="shared" si="133"/>
        <v>0</v>
      </c>
      <c r="R723" s="585"/>
      <c r="S723" s="585"/>
    </row>
    <row r="724" spans="3:19" hidden="1" x14ac:dyDescent="0.25">
      <c r="C724" s="773" t="s">
        <v>215</v>
      </c>
      <c r="D724" s="774"/>
      <c r="E724" s="583"/>
      <c r="F724" s="583"/>
      <c r="G724" s="583"/>
      <c r="H724" s="583"/>
      <c r="I724" s="583"/>
      <c r="J724" s="583"/>
      <c r="K724" s="583"/>
      <c r="L724" s="583"/>
      <c r="M724" s="583"/>
      <c r="N724" s="583"/>
      <c r="O724" s="583"/>
      <c r="P724" s="583"/>
      <c r="Q724" s="588"/>
      <c r="R724" s="585"/>
      <c r="S724" s="585"/>
    </row>
    <row r="725" spans="3:19" hidden="1" x14ac:dyDescent="0.25">
      <c r="C725" s="579" t="s">
        <v>192</v>
      </c>
      <c r="D725" s="579" t="s">
        <v>193</v>
      </c>
      <c r="E725" s="583"/>
      <c r="F725" s="583"/>
      <c r="G725" s="583"/>
      <c r="H725" s="583"/>
      <c r="I725" s="583"/>
      <c r="J725" s="583"/>
      <c r="K725" s="583"/>
      <c r="L725" s="583"/>
      <c r="M725" s="583"/>
      <c r="N725" s="583"/>
      <c r="O725" s="583"/>
      <c r="P725" s="583"/>
      <c r="Q725" s="588">
        <f t="shared" ref="Q725:Q744" si="135">SUM(E725:P725)</f>
        <v>0</v>
      </c>
      <c r="R725" s="585"/>
      <c r="S725" s="585"/>
    </row>
    <row r="726" spans="3:19" hidden="1" x14ac:dyDescent="0.25">
      <c r="C726" s="579" t="s">
        <v>194</v>
      </c>
      <c r="D726" s="579" t="s">
        <v>195</v>
      </c>
      <c r="E726" s="583"/>
      <c r="F726" s="583"/>
      <c r="G726" s="583"/>
      <c r="H726" s="583"/>
      <c r="I726" s="583"/>
      <c r="J726" s="583"/>
      <c r="K726" s="583"/>
      <c r="L726" s="583"/>
      <c r="M726" s="583"/>
      <c r="N726" s="583"/>
      <c r="O726" s="583"/>
      <c r="P726" s="583"/>
      <c r="Q726" s="588">
        <f t="shared" si="135"/>
        <v>0</v>
      </c>
      <c r="R726" s="585"/>
      <c r="S726" s="585"/>
    </row>
    <row r="727" spans="3:19" hidden="1" x14ac:dyDescent="0.25">
      <c r="C727" s="579" t="s">
        <v>233</v>
      </c>
      <c r="D727" s="579" t="s">
        <v>197</v>
      </c>
      <c r="E727" s="583"/>
      <c r="F727" s="583"/>
      <c r="G727" s="583"/>
      <c r="H727" s="583"/>
      <c r="I727" s="583"/>
      <c r="J727" s="583"/>
      <c r="K727" s="583"/>
      <c r="L727" s="583"/>
      <c r="M727" s="583"/>
      <c r="N727" s="583"/>
      <c r="O727" s="583"/>
      <c r="P727" s="583"/>
      <c r="Q727" s="588">
        <f t="shared" si="135"/>
        <v>0</v>
      </c>
      <c r="R727" s="585"/>
      <c r="S727" s="585"/>
    </row>
    <row r="728" spans="3:19" hidden="1" x14ac:dyDescent="0.25">
      <c r="C728" s="579" t="s">
        <v>198</v>
      </c>
      <c r="D728" s="579" t="s">
        <v>199</v>
      </c>
      <c r="E728" s="583"/>
      <c r="F728" s="583"/>
      <c r="G728" s="583"/>
      <c r="H728" s="583"/>
      <c r="I728" s="583"/>
      <c r="J728" s="583"/>
      <c r="K728" s="583"/>
      <c r="L728" s="583"/>
      <c r="M728" s="583"/>
      <c r="N728" s="583"/>
      <c r="O728" s="583"/>
      <c r="P728" s="583"/>
      <c r="Q728" s="588">
        <f t="shared" si="135"/>
        <v>0</v>
      </c>
      <c r="R728" s="585"/>
      <c r="S728" s="585"/>
    </row>
    <row r="729" spans="3:19" hidden="1" x14ac:dyDescent="0.25">
      <c r="C729" s="579" t="s">
        <v>200</v>
      </c>
      <c r="D729" s="579" t="s">
        <v>201</v>
      </c>
      <c r="E729" s="583"/>
      <c r="F729" s="583"/>
      <c r="G729" s="583"/>
      <c r="H729" s="583"/>
      <c r="I729" s="583"/>
      <c r="J729" s="583"/>
      <c r="K729" s="583"/>
      <c r="L729" s="583"/>
      <c r="M729" s="583"/>
      <c r="N729" s="583"/>
      <c r="O729" s="583"/>
      <c r="P729" s="583"/>
      <c r="Q729" s="588">
        <f t="shared" si="135"/>
        <v>0</v>
      </c>
      <c r="R729" s="585"/>
      <c r="S729" s="585"/>
    </row>
    <row r="730" spans="3:19" hidden="1" x14ac:dyDescent="0.25">
      <c r="C730" s="579" t="s">
        <v>202</v>
      </c>
      <c r="D730" s="579" t="s">
        <v>234</v>
      </c>
      <c r="E730" s="583"/>
      <c r="F730" s="583"/>
      <c r="G730" s="583"/>
      <c r="H730" s="583"/>
      <c r="I730" s="583"/>
      <c r="J730" s="583"/>
      <c r="K730" s="583"/>
      <c r="L730" s="583"/>
      <c r="M730" s="583"/>
      <c r="N730" s="583"/>
      <c r="O730" s="583"/>
      <c r="P730" s="583"/>
      <c r="Q730" s="588">
        <f t="shared" si="135"/>
        <v>0</v>
      </c>
      <c r="R730" s="585"/>
      <c r="S730" s="585"/>
    </row>
    <row r="731" spans="3:19" hidden="1" x14ac:dyDescent="0.25">
      <c r="C731" s="579" t="s">
        <v>204</v>
      </c>
      <c r="D731" s="579" t="s">
        <v>216</v>
      </c>
      <c r="E731" s="583"/>
      <c r="F731" s="583"/>
      <c r="G731" s="583"/>
      <c r="H731" s="583"/>
      <c r="I731" s="583"/>
      <c r="J731" s="583"/>
      <c r="K731" s="583"/>
      <c r="L731" s="583"/>
      <c r="M731" s="583"/>
      <c r="N731" s="583"/>
      <c r="O731" s="583"/>
      <c r="P731" s="583"/>
      <c r="Q731" s="588">
        <f t="shared" si="135"/>
        <v>0</v>
      </c>
      <c r="R731" s="585"/>
      <c r="S731" s="585"/>
    </row>
    <row r="732" spans="3:19" hidden="1" x14ac:dyDescent="0.25">
      <c r="C732" s="579" t="s">
        <v>217</v>
      </c>
      <c r="D732" s="579" t="s">
        <v>218</v>
      </c>
      <c r="E732" s="583"/>
      <c r="F732" s="583"/>
      <c r="G732" s="583"/>
      <c r="H732" s="583"/>
      <c r="I732" s="583"/>
      <c r="J732" s="583"/>
      <c r="K732" s="583"/>
      <c r="L732" s="583"/>
      <c r="M732" s="583"/>
      <c r="N732" s="583"/>
      <c r="O732" s="583"/>
      <c r="P732" s="583"/>
      <c r="Q732" s="588">
        <f t="shared" si="135"/>
        <v>0</v>
      </c>
      <c r="R732" s="585"/>
      <c r="S732" s="585"/>
    </row>
    <row r="733" spans="3:19" hidden="1" x14ac:dyDescent="0.25">
      <c r="C733" s="579" t="s">
        <v>252</v>
      </c>
      <c r="D733" s="579" t="s">
        <v>236</v>
      </c>
      <c r="E733" s="583"/>
      <c r="F733" s="583"/>
      <c r="G733" s="583"/>
      <c r="H733" s="583"/>
      <c r="I733" s="583"/>
      <c r="J733" s="583"/>
      <c r="K733" s="583"/>
      <c r="L733" s="583"/>
      <c r="M733" s="583"/>
      <c r="N733" s="583"/>
      <c r="O733" s="583"/>
      <c r="P733" s="583"/>
      <c r="Q733" s="588">
        <f t="shared" si="135"/>
        <v>0</v>
      </c>
      <c r="R733" s="585"/>
      <c r="S733" s="585"/>
    </row>
    <row r="734" spans="3:19" hidden="1" x14ac:dyDescent="0.25">
      <c r="C734" s="579" t="s">
        <v>206</v>
      </c>
      <c r="D734" s="579" t="s">
        <v>207</v>
      </c>
      <c r="E734" s="583"/>
      <c r="F734" s="583"/>
      <c r="G734" s="583"/>
      <c r="H734" s="583"/>
      <c r="I734" s="583"/>
      <c r="J734" s="583"/>
      <c r="K734" s="583"/>
      <c r="L734" s="583"/>
      <c r="M734" s="583"/>
      <c r="N734" s="583"/>
      <c r="O734" s="583"/>
      <c r="P734" s="583"/>
      <c r="Q734" s="588">
        <f t="shared" si="135"/>
        <v>0</v>
      </c>
      <c r="R734" s="585"/>
      <c r="S734" s="585"/>
    </row>
    <row r="735" spans="3:19" hidden="1" x14ac:dyDescent="0.25">
      <c r="C735" s="579" t="s">
        <v>208</v>
      </c>
      <c r="D735" s="579" t="s">
        <v>187</v>
      </c>
      <c r="E735" s="583"/>
      <c r="F735" s="583"/>
      <c r="G735" s="583"/>
      <c r="H735" s="583"/>
      <c r="I735" s="583"/>
      <c r="J735" s="583"/>
      <c r="K735" s="583"/>
      <c r="L735" s="583"/>
      <c r="M735" s="583"/>
      <c r="N735" s="583"/>
      <c r="O735" s="583"/>
      <c r="P735" s="583"/>
      <c r="Q735" s="588">
        <f t="shared" si="135"/>
        <v>0</v>
      </c>
      <c r="R735" s="585"/>
      <c r="S735" s="585"/>
    </row>
    <row r="736" spans="3:19" hidden="1" x14ac:dyDescent="0.25">
      <c r="C736" s="579" t="s">
        <v>209</v>
      </c>
      <c r="D736" s="579" t="s">
        <v>210</v>
      </c>
      <c r="E736" s="583"/>
      <c r="F736" s="583"/>
      <c r="G736" s="583"/>
      <c r="H736" s="583"/>
      <c r="I736" s="583"/>
      <c r="J736" s="583"/>
      <c r="K736" s="583"/>
      <c r="L736" s="583"/>
      <c r="M736" s="583"/>
      <c r="N736" s="583"/>
      <c r="O736" s="583"/>
      <c r="P736" s="583"/>
      <c r="Q736" s="588">
        <f t="shared" si="135"/>
        <v>0</v>
      </c>
      <c r="R736" s="585"/>
      <c r="S736" s="585"/>
    </row>
    <row r="737" spans="3:19" hidden="1" x14ac:dyDescent="0.25">
      <c r="C737" s="579" t="s">
        <v>211</v>
      </c>
      <c r="D737" s="579" t="s">
        <v>189</v>
      </c>
      <c r="E737" s="583"/>
      <c r="F737" s="583"/>
      <c r="G737" s="583"/>
      <c r="H737" s="583"/>
      <c r="I737" s="583"/>
      <c r="J737" s="583"/>
      <c r="K737" s="583"/>
      <c r="L737" s="583"/>
      <c r="M737" s="583"/>
      <c r="N737" s="583"/>
      <c r="O737" s="583"/>
      <c r="P737" s="583"/>
      <c r="Q737" s="588">
        <f t="shared" si="135"/>
        <v>0</v>
      </c>
      <c r="R737" s="585"/>
      <c r="S737" s="585"/>
    </row>
    <row r="738" spans="3:19" hidden="1" x14ac:dyDescent="0.25">
      <c r="C738" s="579"/>
      <c r="D738" s="579"/>
      <c r="E738" s="583"/>
      <c r="F738" s="583"/>
      <c r="G738" s="583"/>
      <c r="H738" s="583"/>
      <c r="I738" s="583"/>
      <c r="J738" s="583"/>
      <c r="K738" s="583"/>
      <c r="L738" s="583"/>
      <c r="M738" s="583"/>
      <c r="N738" s="583"/>
      <c r="O738" s="583"/>
      <c r="P738" s="583"/>
      <c r="Q738" s="588">
        <f t="shared" si="135"/>
        <v>0</v>
      </c>
      <c r="R738" s="585"/>
      <c r="S738" s="585"/>
    </row>
    <row r="739" spans="3:19" hidden="1" x14ac:dyDescent="0.25">
      <c r="C739" s="579"/>
      <c r="D739" s="579"/>
      <c r="E739" s="583"/>
      <c r="F739" s="583"/>
      <c r="G739" s="583"/>
      <c r="H739" s="583"/>
      <c r="I739" s="583"/>
      <c r="J739" s="583"/>
      <c r="K739" s="583"/>
      <c r="L739" s="583"/>
      <c r="M739" s="583"/>
      <c r="N739" s="583"/>
      <c r="O739" s="583"/>
      <c r="P739" s="583"/>
      <c r="Q739" s="588">
        <f t="shared" si="135"/>
        <v>0</v>
      </c>
      <c r="R739" s="585"/>
      <c r="S739" s="585"/>
    </row>
    <row r="740" spans="3:19" hidden="1" x14ac:dyDescent="0.25">
      <c r="C740" s="579"/>
      <c r="D740" s="579"/>
      <c r="E740" s="583"/>
      <c r="F740" s="583"/>
      <c r="G740" s="583"/>
      <c r="H740" s="583"/>
      <c r="I740" s="583"/>
      <c r="J740" s="583"/>
      <c r="K740" s="583"/>
      <c r="L740" s="583"/>
      <c r="M740" s="583"/>
      <c r="N740" s="583"/>
      <c r="O740" s="583"/>
      <c r="P740" s="583"/>
      <c r="Q740" s="588">
        <f t="shared" si="135"/>
        <v>0</v>
      </c>
      <c r="R740" s="585"/>
      <c r="S740" s="585"/>
    </row>
    <row r="741" spans="3:19" hidden="1" x14ac:dyDescent="0.25">
      <c r="C741" s="579" t="s">
        <v>226</v>
      </c>
      <c r="D741" s="579" t="s">
        <v>226</v>
      </c>
      <c r="E741" s="583"/>
      <c r="F741" s="583"/>
      <c r="G741" s="583"/>
      <c r="H741" s="583"/>
      <c r="I741" s="583"/>
      <c r="J741" s="583"/>
      <c r="K741" s="583"/>
      <c r="L741" s="583"/>
      <c r="M741" s="583"/>
      <c r="N741" s="583"/>
      <c r="O741" s="583"/>
      <c r="P741" s="583"/>
      <c r="Q741" s="588">
        <f t="shared" si="135"/>
        <v>0</v>
      </c>
      <c r="R741" s="585"/>
      <c r="S741" s="585"/>
    </row>
    <row r="742" spans="3:19" hidden="1" x14ac:dyDescent="0.25">
      <c r="C742" s="773" t="s">
        <v>212</v>
      </c>
      <c r="D742" s="774"/>
      <c r="E742" s="588">
        <f t="shared" ref="E742:P742" si="136">SUM(E725:E741)</f>
        <v>0</v>
      </c>
      <c r="F742" s="588">
        <f t="shared" si="136"/>
        <v>0</v>
      </c>
      <c r="G742" s="588">
        <f t="shared" si="136"/>
        <v>0</v>
      </c>
      <c r="H742" s="588">
        <f t="shared" si="136"/>
        <v>0</v>
      </c>
      <c r="I742" s="588">
        <f t="shared" si="136"/>
        <v>0</v>
      </c>
      <c r="J742" s="588">
        <f t="shared" si="136"/>
        <v>0</v>
      </c>
      <c r="K742" s="588">
        <f t="shared" si="136"/>
        <v>0</v>
      </c>
      <c r="L742" s="588">
        <f t="shared" si="136"/>
        <v>0</v>
      </c>
      <c r="M742" s="588">
        <f t="shared" si="136"/>
        <v>0</v>
      </c>
      <c r="N742" s="588">
        <f t="shared" si="136"/>
        <v>0</v>
      </c>
      <c r="O742" s="588">
        <f t="shared" si="136"/>
        <v>0</v>
      </c>
      <c r="P742" s="588">
        <f t="shared" si="136"/>
        <v>0</v>
      </c>
      <c r="Q742" s="588">
        <f t="shared" si="135"/>
        <v>0</v>
      </c>
      <c r="R742" s="585"/>
      <c r="S742" s="585"/>
    </row>
    <row r="743" spans="3:19" hidden="1" x14ac:dyDescent="0.25">
      <c r="C743" s="773" t="s">
        <v>219</v>
      </c>
      <c r="D743" s="774"/>
      <c r="E743" s="588">
        <f t="shared" ref="E743:P743" si="137">E742+E723+E706</f>
        <v>0</v>
      </c>
      <c r="F743" s="588">
        <f t="shared" si="137"/>
        <v>0</v>
      </c>
      <c r="G743" s="588">
        <f t="shared" si="137"/>
        <v>0</v>
      </c>
      <c r="H743" s="588">
        <f t="shared" si="137"/>
        <v>0</v>
      </c>
      <c r="I743" s="588">
        <f t="shared" si="137"/>
        <v>0</v>
      </c>
      <c r="J743" s="588">
        <f t="shared" si="137"/>
        <v>0</v>
      </c>
      <c r="K743" s="588">
        <f t="shared" si="137"/>
        <v>0</v>
      </c>
      <c r="L743" s="588">
        <f t="shared" si="137"/>
        <v>0</v>
      </c>
      <c r="M743" s="588">
        <f t="shared" si="137"/>
        <v>0</v>
      </c>
      <c r="N743" s="588">
        <f t="shared" si="137"/>
        <v>0</v>
      </c>
      <c r="O743" s="588">
        <f t="shared" si="137"/>
        <v>0</v>
      </c>
      <c r="P743" s="588">
        <f t="shared" si="137"/>
        <v>0</v>
      </c>
      <c r="Q743" s="588">
        <f t="shared" si="135"/>
        <v>0</v>
      </c>
      <c r="R743" s="585"/>
      <c r="S743" s="585"/>
    </row>
    <row r="744" spans="3:19" hidden="1" x14ac:dyDescent="0.25">
      <c r="C744" s="773" t="s">
        <v>220</v>
      </c>
      <c r="D744" s="774"/>
      <c r="E744" s="588">
        <f t="shared" ref="E744:P744" si="138">E743+E689</f>
        <v>940.81815084479297</v>
      </c>
      <c r="F744" s="588">
        <f t="shared" si="138"/>
        <v>296.55434394030897</v>
      </c>
      <c r="G744" s="588">
        <f t="shared" si="138"/>
        <v>187.91131790598183</v>
      </c>
      <c r="H744" s="588">
        <f t="shared" si="138"/>
        <v>282.29904173774264</v>
      </c>
      <c r="I744" s="588">
        <f t="shared" si="138"/>
        <v>804.69784245442793</v>
      </c>
      <c r="J744" s="588">
        <f t="shared" si="138"/>
        <v>677.06780764766847</v>
      </c>
      <c r="K744" s="588">
        <f t="shared" si="138"/>
        <v>537.61134521308327</v>
      </c>
      <c r="L744" s="588">
        <f t="shared" si="138"/>
        <v>411.15316574112165</v>
      </c>
      <c r="M744" s="588">
        <f t="shared" si="138"/>
        <v>907.24540391783125</v>
      </c>
      <c r="N744" s="588">
        <f t="shared" si="138"/>
        <v>1104.0928000628858</v>
      </c>
      <c r="O744" s="588">
        <f t="shared" si="138"/>
        <v>1275.7371307748983</v>
      </c>
      <c r="P744" s="588">
        <f t="shared" si="138"/>
        <v>1509.0941795038143</v>
      </c>
      <c r="Q744" s="588">
        <f t="shared" si="135"/>
        <v>8934.2825297445561</v>
      </c>
      <c r="R744" s="585"/>
      <c r="S744" s="585"/>
    </row>
    <row r="745" spans="3:19" hidden="1" x14ac:dyDescent="0.25">
      <c r="E745" s="585"/>
      <c r="F745" s="585"/>
      <c r="G745" s="585"/>
      <c r="H745" s="585"/>
      <c r="I745" s="585"/>
      <c r="J745" s="585"/>
      <c r="K745" s="585"/>
      <c r="L745" s="585"/>
      <c r="M745" s="585"/>
      <c r="N745" s="585"/>
      <c r="O745" s="585"/>
      <c r="P745" s="585"/>
      <c r="Q745" s="585"/>
      <c r="R745" s="585"/>
      <c r="S745" s="585"/>
    </row>
    <row r="746" spans="3:19" hidden="1" x14ac:dyDescent="0.25">
      <c r="C746" s="574"/>
      <c r="E746" s="585"/>
      <c r="F746" s="585"/>
      <c r="G746" s="585"/>
      <c r="H746" s="585"/>
      <c r="I746" s="585"/>
      <c r="J746" s="585"/>
      <c r="K746" s="585"/>
      <c r="L746" s="585"/>
      <c r="M746" s="585"/>
      <c r="N746" s="585"/>
      <c r="O746" s="585"/>
      <c r="P746" s="585"/>
      <c r="Q746" s="586" t="s">
        <v>229</v>
      </c>
      <c r="R746" s="585"/>
      <c r="S746" s="585"/>
    </row>
    <row r="747" spans="3:19" hidden="1" x14ac:dyDescent="0.25">
      <c r="C747" s="776" t="s">
        <v>163</v>
      </c>
      <c r="D747" s="776"/>
      <c r="E747" s="775" t="s">
        <v>268</v>
      </c>
      <c r="F747" s="775"/>
      <c r="G747" s="775"/>
      <c r="H747" s="775"/>
      <c r="I747" s="775"/>
      <c r="J747" s="775"/>
      <c r="K747" s="775"/>
      <c r="L747" s="775"/>
      <c r="M747" s="775"/>
      <c r="N747" s="775"/>
      <c r="O747" s="775"/>
      <c r="P747" s="775"/>
      <c r="Q747" s="775"/>
      <c r="R747" s="585"/>
      <c r="S747" s="585"/>
    </row>
    <row r="748" spans="3:19" hidden="1" x14ac:dyDescent="0.25">
      <c r="C748" s="776"/>
      <c r="D748" s="776"/>
      <c r="E748" s="587" t="s">
        <v>239</v>
      </c>
      <c r="F748" s="587" t="s">
        <v>240</v>
      </c>
      <c r="G748" s="587" t="s">
        <v>241</v>
      </c>
      <c r="H748" s="587" t="s">
        <v>242</v>
      </c>
      <c r="I748" s="587" t="s">
        <v>243</v>
      </c>
      <c r="J748" s="587" t="s">
        <v>244</v>
      </c>
      <c r="K748" s="587" t="s">
        <v>245</v>
      </c>
      <c r="L748" s="587" t="s">
        <v>246</v>
      </c>
      <c r="M748" s="587" t="s">
        <v>247</v>
      </c>
      <c r="N748" s="587" t="s">
        <v>248</v>
      </c>
      <c r="O748" s="587" t="s">
        <v>249</v>
      </c>
      <c r="P748" s="587" t="s">
        <v>250</v>
      </c>
      <c r="Q748" s="587" t="s">
        <v>251</v>
      </c>
      <c r="R748" s="585"/>
      <c r="S748" s="585"/>
    </row>
    <row r="749" spans="3:19" hidden="1" x14ac:dyDescent="0.25">
      <c r="C749" s="773" t="s">
        <v>171</v>
      </c>
      <c r="D749" s="774"/>
      <c r="E749" s="583"/>
      <c r="F749" s="583"/>
      <c r="G749" s="583"/>
      <c r="H749" s="583"/>
      <c r="I749" s="583"/>
      <c r="J749" s="583"/>
      <c r="K749" s="583"/>
      <c r="L749" s="583"/>
      <c r="M749" s="583"/>
      <c r="N749" s="583"/>
      <c r="O749" s="583"/>
      <c r="P749" s="583"/>
      <c r="Q749" s="588"/>
      <c r="R749" s="585"/>
      <c r="S749" s="585"/>
    </row>
    <row r="750" spans="3:19" hidden="1" x14ac:dyDescent="0.25">
      <c r="C750" s="579" t="s">
        <v>172</v>
      </c>
      <c r="D750" s="579" t="s">
        <v>173</v>
      </c>
      <c r="E750" s="583"/>
      <c r="F750" s="583"/>
      <c r="G750" s="583"/>
      <c r="H750" s="583"/>
      <c r="I750" s="583"/>
      <c r="J750" s="583"/>
      <c r="K750" s="583"/>
      <c r="L750" s="583"/>
      <c r="M750" s="583"/>
      <c r="N750" s="583"/>
      <c r="O750" s="583"/>
      <c r="P750" s="583"/>
      <c r="Q750" s="588">
        <f t="shared" ref="Q750:Q763" si="139">SUM(E750:P750)</f>
        <v>0</v>
      </c>
      <c r="R750" s="585"/>
      <c r="S750" s="585"/>
    </row>
    <row r="751" spans="3:19" hidden="1" x14ac:dyDescent="0.25">
      <c r="C751" s="579" t="s">
        <v>174</v>
      </c>
      <c r="D751" s="579" t="s">
        <v>175</v>
      </c>
      <c r="E751" s="583"/>
      <c r="F751" s="583"/>
      <c r="G751" s="583"/>
      <c r="H751" s="583"/>
      <c r="I751" s="583"/>
      <c r="J751" s="583"/>
      <c r="K751" s="583"/>
      <c r="L751" s="583"/>
      <c r="M751" s="583"/>
      <c r="N751" s="583"/>
      <c r="O751" s="583"/>
      <c r="P751" s="583"/>
      <c r="Q751" s="588">
        <f t="shared" si="139"/>
        <v>0</v>
      </c>
      <c r="R751" s="585"/>
      <c r="S751" s="585"/>
    </row>
    <row r="752" spans="3:19" hidden="1" x14ac:dyDescent="0.25">
      <c r="C752" s="579" t="s">
        <v>176</v>
      </c>
      <c r="D752" s="579" t="s">
        <v>177</v>
      </c>
      <c r="E752" s="583"/>
      <c r="F752" s="583"/>
      <c r="G752" s="583"/>
      <c r="H752" s="583"/>
      <c r="I752" s="583"/>
      <c r="J752" s="583"/>
      <c r="K752" s="583"/>
      <c r="L752" s="583"/>
      <c r="M752" s="583"/>
      <c r="N752" s="583"/>
      <c r="O752" s="583"/>
      <c r="P752" s="583"/>
      <c r="Q752" s="588">
        <f t="shared" si="139"/>
        <v>0</v>
      </c>
      <c r="R752" s="585"/>
      <c r="S752" s="585"/>
    </row>
    <row r="753" spans="3:19" hidden="1" x14ac:dyDescent="0.25">
      <c r="C753" s="579" t="s">
        <v>178</v>
      </c>
      <c r="D753" s="579" t="s">
        <v>179</v>
      </c>
      <c r="E753" s="583"/>
      <c r="F753" s="583"/>
      <c r="G753" s="583"/>
      <c r="H753" s="583"/>
      <c r="I753" s="583"/>
      <c r="J753" s="583"/>
      <c r="K753" s="583"/>
      <c r="L753" s="583"/>
      <c r="M753" s="583"/>
      <c r="N753" s="583"/>
      <c r="O753" s="583"/>
      <c r="P753" s="583"/>
      <c r="Q753" s="588">
        <f t="shared" si="139"/>
        <v>0</v>
      </c>
      <c r="R753" s="585"/>
      <c r="S753" s="585"/>
    </row>
    <row r="754" spans="3:19" hidden="1" x14ac:dyDescent="0.25">
      <c r="C754" s="579" t="s">
        <v>180</v>
      </c>
      <c r="D754" s="579" t="s">
        <v>181</v>
      </c>
      <c r="E754" s="584">
        <f>[8]Sales_NP!JF46</f>
        <v>965.03829679435614</v>
      </c>
      <c r="F754" s="584">
        <f>[8]Sales_NP!JG46</f>
        <v>304.18875180729339</v>
      </c>
      <c r="G754" s="584">
        <f>[8]Sales_NP!JH46</f>
        <v>192.74885164315614</v>
      </c>
      <c r="H754" s="584">
        <f>[8]Sales_NP!JI46</f>
        <v>289.5664652947504</v>
      </c>
      <c r="I754" s="584">
        <f>[8]Sales_NP!JJ46</f>
        <v>825.41374719334499</v>
      </c>
      <c r="J754" s="584">
        <f>[8]Sales_NP!JK46</f>
        <v>694.49804228360983</v>
      </c>
      <c r="K754" s="584">
        <f>[8]Sales_NP!JL46</f>
        <v>551.45145366922839</v>
      </c>
      <c r="L754" s="584">
        <f>[8]Sales_NP!JM46</f>
        <v>421.7377719935979</v>
      </c>
      <c r="M754" s="584">
        <f>[8]Sales_NP!JN46</f>
        <v>930.60126293822691</v>
      </c>
      <c r="N754" s="584">
        <f>[8]Sales_NP!JO46</f>
        <v>1132.5162405921456</v>
      </c>
      <c r="O754" s="584">
        <f>[8]Sales_NP!JP46</f>
        <v>1308.5793325042127</v>
      </c>
      <c r="P754" s="584">
        <f>[8]Sales_NP!JQ46</f>
        <v>1547.9438565071746</v>
      </c>
      <c r="Q754" s="588">
        <f t="shared" si="139"/>
        <v>9164.2840732210952</v>
      </c>
      <c r="R754" s="585"/>
      <c r="S754" s="585"/>
    </row>
    <row r="755" spans="3:19" hidden="1" x14ac:dyDescent="0.25">
      <c r="C755" s="579" t="s">
        <v>182</v>
      </c>
      <c r="D755" s="579" t="s">
        <v>183</v>
      </c>
      <c r="E755" s="583"/>
      <c r="F755" s="583"/>
      <c r="G755" s="583"/>
      <c r="H755" s="583"/>
      <c r="I755" s="583"/>
      <c r="J755" s="583"/>
      <c r="K755" s="583"/>
      <c r="L755" s="583"/>
      <c r="M755" s="583"/>
      <c r="N755" s="583"/>
      <c r="O755" s="583"/>
      <c r="P755" s="583"/>
      <c r="Q755" s="588">
        <f t="shared" si="139"/>
        <v>0</v>
      </c>
      <c r="R755" s="585"/>
      <c r="S755" s="585"/>
    </row>
    <row r="756" spans="3:19" hidden="1" x14ac:dyDescent="0.25">
      <c r="C756" s="579" t="s">
        <v>184</v>
      </c>
      <c r="D756" s="579" t="s">
        <v>185</v>
      </c>
      <c r="E756" s="583"/>
      <c r="F756" s="583"/>
      <c r="G756" s="583"/>
      <c r="H756" s="583"/>
      <c r="I756" s="583"/>
      <c r="J756" s="583"/>
      <c r="K756" s="583"/>
      <c r="L756" s="583"/>
      <c r="M756" s="583"/>
      <c r="N756" s="583"/>
      <c r="O756" s="583"/>
      <c r="P756" s="583"/>
      <c r="Q756" s="588">
        <f t="shared" si="139"/>
        <v>0</v>
      </c>
      <c r="R756" s="585"/>
      <c r="S756" s="585"/>
    </row>
    <row r="757" spans="3:19" hidden="1" x14ac:dyDescent="0.25">
      <c r="C757" s="579" t="s">
        <v>186</v>
      </c>
      <c r="D757" s="579" t="s">
        <v>187</v>
      </c>
      <c r="E757" s="583"/>
      <c r="F757" s="583"/>
      <c r="G757" s="583"/>
      <c r="H757" s="583"/>
      <c r="I757" s="583"/>
      <c r="J757" s="583"/>
      <c r="K757" s="583"/>
      <c r="L757" s="583"/>
      <c r="M757" s="583"/>
      <c r="N757" s="583"/>
      <c r="O757" s="583"/>
      <c r="P757" s="583"/>
      <c r="Q757" s="588">
        <f t="shared" si="139"/>
        <v>0</v>
      </c>
      <c r="R757" s="585"/>
      <c r="S757" s="585"/>
    </row>
    <row r="758" spans="3:19" hidden="1" x14ac:dyDescent="0.25">
      <c r="C758" s="579" t="s">
        <v>188</v>
      </c>
      <c r="D758" s="579" t="s">
        <v>189</v>
      </c>
      <c r="E758" s="583"/>
      <c r="F758" s="583"/>
      <c r="G758" s="583"/>
      <c r="H758" s="583"/>
      <c r="I758" s="583"/>
      <c r="J758" s="583"/>
      <c r="K758" s="583"/>
      <c r="L758" s="583"/>
      <c r="M758" s="583"/>
      <c r="N758" s="583"/>
      <c r="O758" s="583"/>
      <c r="P758" s="583"/>
      <c r="Q758" s="588">
        <f t="shared" si="139"/>
        <v>0</v>
      </c>
      <c r="R758" s="585"/>
      <c r="S758" s="585"/>
    </row>
    <row r="759" spans="3:19" hidden="1" x14ac:dyDescent="0.25">
      <c r="C759" s="579"/>
      <c r="D759" s="579"/>
      <c r="E759" s="583"/>
      <c r="F759" s="583"/>
      <c r="G759" s="583"/>
      <c r="H759" s="583"/>
      <c r="I759" s="583"/>
      <c r="J759" s="583"/>
      <c r="K759" s="583"/>
      <c r="L759" s="583"/>
      <c r="M759" s="583"/>
      <c r="N759" s="583"/>
      <c r="O759" s="583"/>
      <c r="P759" s="583"/>
      <c r="Q759" s="588">
        <f t="shared" si="139"/>
        <v>0</v>
      </c>
      <c r="R759" s="585"/>
      <c r="S759" s="585"/>
    </row>
    <row r="760" spans="3:19" hidden="1" x14ac:dyDescent="0.25">
      <c r="C760" s="579"/>
      <c r="D760" s="579"/>
      <c r="E760" s="583"/>
      <c r="F760" s="583"/>
      <c r="G760" s="583"/>
      <c r="H760" s="583"/>
      <c r="I760" s="583"/>
      <c r="J760" s="583"/>
      <c r="K760" s="583"/>
      <c r="L760" s="583"/>
      <c r="M760" s="583"/>
      <c r="N760" s="583"/>
      <c r="O760" s="583"/>
      <c r="P760" s="583"/>
      <c r="Q760" s="588">
        <f t="shared" si="139"/>
        <v>0</v>
      </c>
      <c r="R760" s="585"/>
      <c r="S760" s="585"/>
    </row>
    <row r="761" spans="3:19" hidden="1" x14ac:dyDescent="0.25">
      <c r="C761" s="579"/>
      <c r="D761" s="579"/>
      <c r="E761" s="583"/>
      <c r="F761" s="583"/>
      <c r="G761" s="583"/>
      <c r="H761" s="583"/>
      <c r="I761" s="583"/>
      <c r="J761" s="583"/>
      <c r="K761" s="583"/>
      <c r="L761" s="583"/>
      <c r="M761" s="583"/>
      <c r="N761" s="583"/>
      <c r="O761" s="583"/>
      <c r="P761" s="583"/>
      <c r="Q761" s="588">
        <f t="shared" si="139"/>
        <v>0</v>
      </c>
      <c r="R761" s="585"/>
      <c r="S761" s="585"/>
    </row>
    <row r="762" spans="3:19" hidden="1" x14ac:dyDescent="0.25">
      <c r="C762" s="579" t="s">
        <v>226</v>
      </c>
      <c r="D762" s="579" t="s">
        <v>226</v>
      </c>
      <c r="E762" s="583"/>
      <c r="F762" s="583"/>
      <c r="G762" s="583"/>
      <c r="H762" s="583"/>
      <c r="I762" s="583"/>
      <c r="J762" s="583"/>
      <c r="K762" s="583"/>
      <c r="L762" s="583"/>
      <c r="M762" s="583"/>
      <c r="N762" s="583"/>
      <c r="O762" s="583"/>
      <c r="P762" s="583"/>
      <c r="Q762" s="588">
        <f t="shared" si="139"/>
        <v>0</v>
      </c>
      <c r="R762" s="585"/>
      <c r="S762" s="585"/>
    </row>
    <row r="763" spans="3:19" hidden="1" x14ac:dyDescent="0.25">
      <c r="C763" s="773" t="s">
        <v>190</v>
      </c>
      <c r="D763" s="774"/>
      <c r="E763" s="588">
        <f t="shared" ref="E763:P763" si="140">SUM(E750:E762)</f>
        <v>965.03829679435614</v>
      </c>
      <c r="F763" s="588">
        <f t="shared" si="140"/>
        <v>304.18875180729339</v>
      </c>
      <c r="G763" s="588">
        <f t="shared" si="140"/>
        <v>192.74885164315614</v>
      </c>
      <c r="H763" s="588">
        <f t="shared" si="140"/>
        <v>289.5664652947504</v>
      </c>
      <c r="I763" s="588">
        <f t="shared" si="140"/>
        <v>825.41374719334499</v>
      </c>
      <c r="J763" s="588">
        <f t="shared" si="140"/>
        <v>694.49804228360983</v>
      </c>
      <c r="K763" s="588">
        <f t="shared" si="140"/>
        <v>551.45145366922839</v>
      </c>
      <c r="L763" s="588">
        <f t="shared" si="140"/>
        <v>421.7377719935979</v>
      </c>
      <c r="M763" s="588">
        <f t="shared" si="140"/>
        <v>930.60126293822691</v>
      </c>
      <c r="N763" s="588">
        <f t="shared" si="140"/>
        <v>1132.5162405921456</v>
      </c>
      <c r="O763" s="588">
        <f t="shared" si="140"/>
        <v>1308.5793325042127</v>
      </c>
      <c r="P763" s="588">
        <f t="shared" si="140"/>
        <v>1547.9438565071746</v>
      </c>
      <c r="Q763" s="588">
        <f t="shared" si="139"/>
        <v>9164.2840732210952</v>
      </c>
      <c r="R763" s="585"/>
      <c r="S763" s="585"/>
    </row>
    <row r="764" spans="3:19" hidden="1" x14ac:dyDescent="0.25">
      <c r="C764" s="773" t="s">
        <v>191</v>
      </c>
      <c r="D764" s="774"/>
      <c r="E764" s="583"/>
      <c r="F764" s="583"/>
      <c r="G764" s="583"/>
      <c r="H764" s="583"/>
      <c r="I764" s="583"/>
      <c r="J764" s="583"/>
      <c r="K764" s="583"/>
      <c r="L764" s="583"/>
      <c r="M764" s="583"/>
      <c r="N764" s="583"/>
      <c r="O764" s="583"/>
      <c r="P764" s="583"/>
      <c r="Q764" s="588"/>
      <c r="R764" s="585"/>
      <c r="S764" s="585"/>
    </row>
    <row r="765" spans="3:19" hidden="1" x14ac:dyDescent="0.25">
      <c r="C765" s="579" t="s">
        <v>192</v>
      </c>
      <c r="D765" s="579" t="s">
        <v>193</v>
      </c>
      <c r="E765" s="583"/>
      <c r="F765" s="583"/>
      <c r="G765" s="583"/>
      <c r="H765" s="583"/>
      <c r="I765" s="583"/>
      <c r="J765" s="583"/>
      <c r="K765" s="583"/>
      <c r="L765" s="583"/>
      <c r="M765" s="583"/>
      <c r="N765" s="583"/>
      <c r="O765" s="583"/>
      <c r="P765" s="583"/>
      <c r="Q765" s="588">
        <f t="shared" ref="Q765:Q780" si="141">SUM(E765:P765)</f>
        <v>0</v>
      </c>
      <c r="R765" s="585"/>
      <c r="S765" s="585"/>
    </row>
    <row r="766" spans="3:19" hidden="1" x14ac:dyDescent="0.25">
      <c r="C766" s="579" t="s">
        <v>194</v>
      </c>
      <c r="D766" s="579" t="s">
        <v>195</v>
      </c>
      <c r="E766" s="583"/>
      <c r="F766" s="583"/>
      <c r="G766" s="583"/>
      <c r="H766" s="583"/>
      <c r="I766" s="583"/>
      <c r="J766" s="583"/>
      <c r="K766" s="583"/>
      <c r="L766" s="583"/>
      <c r="M766" s="583"/>
      <c r="N766" s="583"/>
      <c r="O766" s="583"/>
      <c r="P766" s="583"/>
      <c r="Q766" s="588">
        <f t="shared" si="141"/>
        <v>0</v>
      </c>
      <c r="R766" s="585"/>
      <c r="S766" s="585"/>
    </row>
    <row r="767" spans="3:19" hidden="1" x14ac:dyDescent="0.25">
      <c r="C767" s="579" t="s">
        <v>233</v>
      </c>
      <c r="D767" s="579" t="s">
        <v>197</v>
      </c>
      <c r="E767" s="583"/>
      <c r="F767" s="583"/>
      <c r="G767" s="583"/>
      <c r="H767" s="583"/>
      <c r="I767" s="583"/>
      <c r="J767" s="583"/>
      <c r="K767" s="583"/>
      <c r="L767" s="583"/>
      <c r="M767" s="583"/>
      <c r="N767" s="583"/>
      <c r="O767" s="583"/>
      <c r="P767" s="583"/>
      <c r="Q767" s="588">
        <f t="shared" si="141"/>
        <v>0</v>
      </c>
      <c r="R767" s="585"/>
      <c r="S767" s="585"/>
    </row>
    <row r="768" spans="3:19" hidden="1" x14ac:dyDescent="0.25">
      <c r="C768" s="579" t="s">
        <v>198</v>
      </c>
      <c r="D768" s="579" t="s">
        <v>199</v>
      </c>
      <c r="E768" s="583"/>
      <c r="F768" s="583"/>
      <c r="G768" s="583"/>
      <c r="H768" s="583"/>
      <c r="I768" s="583"/>
      <c r="J768" s="583"/>
      <c r="K768" s="583"/>
      <c r="L768" s="583"/>
      <c r="M768" s="583"/>
      <c r="N768" s="583"/>
      <c r="O768" s="583"/>
      <c r="P768" s="583"/>
      <c r="Q768" s="588">
        <f t="shared" si="141"/>
        <v>0</v>
      </c>
      <c r="R768" s="585"/>
      <c r="S768" s="585"/>
    </row>
    <row r="769" spans="3:19" hidden="1" x14ac:dyDescent="0.25">
      <c r="C769" s="579" t="s">
        <v>200</v>
      </c>
      <c r="D769" s="579" t="s">
        <v>201</v>
      </c>
      <c r="E769" s="583"/>
      <c r="F769" s="583"/>
      <c r="G769" s="583"/>
      <c r="H769" s="583"/>
      <c r="I769" s="583"/>
      <c r="J769" s="583"/>
      <c r="K769" s="583"/>
      <c r="L769" s="583"/>
      <c r="M769" s="583"/>
      <c r="N769" s="583"/>
      <c r="O769" s="583"/>
      <c r="P769" s="583"/>
      <c r="Q769" s="588">
        <f t="shared" si="141"/>
        <v>0</v>
      </c>
      <c r="R769" s="585"/>
      <c r="S769" s="585"/>
    </row>
    <row r="770" spans="3:19" hidden="1" x14ac:dyDescent="0.25">
      <c r="C770" s="579" t="s">
        <v>202</v>
      </c>
      <c r="D770" s="579" t="s">
        <v>203</v>
      </c>
      <c r="E770" s="583"/>
      <c r="F770" s="583"/>
      <c r="G770" s="583"/>
      <c r="H770" s="583"/>
      <c r="I770" s="583"/>
      <c r="J770" s="583"/>
      <c r="K770" s="583"/>
      <c r="L770" s="583"/>
      <c r="M770" s="583"/>
      <c r="N770" s="583"/>
      <c r="O770" s="583"/>
      <c r="P770" s="583"/>
      <c r="Q770" s="588">
        <f t="shared" si="141"/>
        <v>0</v>
      </c>
      <c r="R770" s="585"/>
      <c r="S770" s="585"/>
    </row>
    <row r="771" spans="3:19" hidden="1" x14ac:dyDescent="0.25">
      <c r="C771" s="579" t="s">
        <v>204</v>
      </c>
      <c r="D771" s="579" t="s">
        <v>205</v>
      </c>
      <c r="E771" s="583"/>
      <c r="F771" s="583"/>
      <c r="G771" s="583"/>
      <c r="H771" s="583"/>
      <c r="I771" s="583"/>
      <c r="J771" s="583"/>
      <c r="K771" s="583"/>
      <c r="L771" s="583"/>
      <c r="M771" s="583"/>
      <c r="N771" s="583"/>
      <c r="O771" s="583"/>
      <c r="P771" s="583"/>
      <c r="Q771" s="588">
        <f t="shared" si="141"/>
        <v>0</v>
      </c>
      <c r="R771" s="585"/>
      <c r="S771" s="585"/>
    </row>
    <row r="772" spans="3:19" hidden="1" x14ac:dyDescent="0.25">
      <c r="C772" s="579" t="s">
        <v>206</v>
      </c>
      <c r="D772" s="579" t="s">
        <v>207</v>
      </c>
      <c r="E772" s="583"/>
      <c r="F772" s="583"/>
      <c r="G772" s="583"/>
      <c r="H772" s="583"/>
      <c r="I772" s="583"/>
      <c r="J772" s="583"/>
      <c r="K772" s="583"/>
      <c r="L772" s="583"/>
      <c r="M772" s="583"/>
      <c r="N772" s="583"/>
      <c r="O772" s="583"/>
      <c r="P772" s="583"/>
      <c r="Q772" s="588">
        <f t="shared" si="141"/>
        <v>0</v>
      </c>
      <c r="R772" s="585"/>
      <c r="S772" s="585"/>
    </row>
    <row r="773" spans="3:19" hidden="1" x14ac:dyDescent="0.25">
      <c r="C773" s="579" t="s">
        <v>208</v>
      </c>
      <c r="D773" s="579" t="s">
        <v>187</v>
      </c>
      <c r="E773" s="583"/>
      <c r="F773" s="583"/>
      <c r="G773" s="583"/>
      <c r="H773" s="583"/>
      <c r="I773" s="583"/>
      <c r="J773" s="583"/>
      <c r="K773" s="583"/>
      <c r="L773" s="583"/>
      <c r="M773" s="583"/>
      <c r="N773" s="583"/>
      <c r="O773" s="583"/>
      <c r="P773" s="583"/>
      <c r="Q773" s="588">
        <f t="shared" si="141"/>
        <v>0</v>
      </c>
      <c r="R773" s="585"/>
      <c r="S773" s="585"/>
    </row>
    <row r="774" spans="3:19" hidden="1" x14ac:dyDescent="0.25">
      <c r="C774" s="579" t="s">
        <v>209</v>
      </c>
      <c r="D774" s="579" t="s">
        <v>210</v>
      </c>
      <c r="E774" s="583"/>
      <c r="F774" s="583"/>
      <c r="G774" s="583"/>
      <c r="H774" s="583"/>
      <c r="I774" s="583"/>
      <c r="J774" s="583"/>
      <c r="K774" s="583"/>
      <c r="L774" s="583"/>
      <c r="M774" s="583"/>
      <c r="N774" s="583"/>
      <c r="O774" s="583"/>
      <c r="P774" s="583"/>
      <c r="Q774" s="588">
        <f t="shared" si="141"/>
        <v>0</v>
      </c>
      <c r="R774" s="585"/>
      <c r="S774" s="585"/>
    </row>
    <row r="775" spans="3:19" hidden="1" x14ac:dyDescent="0.25">
      <c r="C775" s="579" t="s">
        <v>211</v>
      </c>
      <c r="D775" s="579" t="s">
        <v>189</v>
      </c>
      <c r="E775" s="583"/>
      <c r="F775" s="583"/>
      <c r="G775" s="583"/>
      <c r="H775" s="583"/>
      <c r="I775" s="583"/>
      <c r="J775" s="583"/>
      <c r="K775" s="583"/>
      <c r="L775" s="583"/>
      <c r="M775" s="583"/>
      <c r="N775" s="583"/>
      <c r="O775" s="583"/>
      <c r="P775" s="583"/>
      <c r="Q775" s="588">
        <f t="shared" si="141"/>
        <v>0</v>
      </c>
      <c r="R775" s="585"/>
      <c r="S775" s="585"/>
    </row>
    <row r="776" spans="3:19" hidden="1" x14ac:dyDescent="0.25">
      <c r="C776" s="579"/>
      <c r="D776" s="579"/>
      <c r="E776" s="583"/>
      <c r="F776" s="583"/>
      <c r="G776" s="583"/>
      <c r="H776" s="583"/>
      <c r="I776" s="583"/>
      <c r="J776" s="583"/>
      <c r="K776" s="583"/>
      <c r="L776" s="583"/>
      <c r="M776" s="583"/>
      <c r="N776" s="583"/>
      <c r="O776" s="583"/>
      <c r="P776" s="583"/>
      <c r="Q776" s="588">
        <f t="shared" si="141"/>
        <v>0</v>
      </c>
      <c r="R776" s="585"/>
      <c r="S776" s="585"/>
    </row>
    <row r="777" spans="3:19" hidden="1" x14ac:dyDescent="0.25">
      <c r="C777" s="579"/>
      <c r="D777" s="579"/>
      <c r="E777" s="583"/>
      <c r="F777" s="583"/>
      <c r="G777" s="583"/>
      <c r="H777" s="583"/>
      <c r="I777" s="583"/>
      <c r="J777" s="583"/>
      <c r="K777" s="583"/>
      <c r="L777" s="583"/>
      <c r="M777" s="583"/>
      <c r="N777" s="583"/>
      <c r="O777" s="583"/>
      <c r="P777" s="583"/>
      <c r="Q777" s="588">
        <f t="shared" si="141"/>
        <v>0</v>
      </c>
      <c r="R777" s="585"/>
      <c r="S777" s="585"/>
    </row>
    <row r="778" spans="3:19" hidden="1" x14ac:dyDescent="0.25">
      <c r="C778" s="579"/>
      <c r="D778" s="579"/>
      <c r="E778" s="583"/>
      <c r="F778" s="583"/>
      <c r="G778" s="583"/>
      <c r="H778" s="583"/>
      <c r="I778" s="583"/>
      <c r="J778" s="583"/>
      <c r="K778" s="583"/>
      <c r="L778" s="583"/>
      <c r="M778" s="583"/>
      <c r="N778" s="583"/>
      <c r="O778" s="583"/>
      <c r="P778" s="583"/>
      <c r="Q778" s="588">
        <f t="shared" si="141"/>
        <v>0</v>
      </c>
      <c r="R778" s="585"/>
      <c r="S778" s="585"/>
    </row>
    <row r="779" spans="3:19" hidden="1" x14ac:dyDescent="0.25">
      <c r="C779" s="579" t="s">
        <v>226</v>
      </c>
      <c r="D779" s="579" t="s">
        <v>226</v>
      </c>
      <c r="E779" s="583"/>
      <c r="F779" s="583"/>
      <c r="G779" s="583"/>
      <c r="H779" s="583"/>
      <c r="I779" s="583"/>
      <c r="J779" s="583"/>
      <c r="K779" s="583"/>
      <c r="L779" s="583"/>
      <c r="M779" s="583"/>
      <c r="N779" s="583"/>
      <c r="O779" s="583"/>
      <c r="P779" s="583"/>
      <c r="Q779" s="588">
        <f t="shared" si="141"/>
        <v>0</v>
      </c>
      <c r="R779" s="585"/>
      <c r="S779" s="585"/>
    </row>
    <row r="780" spans="3:19" hidden="1" x14ac:dyDescent="0.25">
      <c r="C780" s="773" t="s">
        <v>212</v>
      </c>
      <c r="D780" s="774"/>
      <c r="E780" s="588">
        <f t="shared" ref="E780:P780" si="142">SUM(E765:E779)</f>
        <v>0</v>
      </c>
      <c r="F780" s="588">
        <f t="shared" si="142"/>
        <v>0</v>
      </c>
      <c r="G780" s="588">
        <f t="shared" si="142"/>
        <v>0</v>
      </c>
      <c r="H780" s="588">
        <f t="shared" si="142"/>
        <v>0</v>
      </c>
      <c r="I780" s="588">
        <f t="shared" si="142"/>
        <v>0</v>
      </c>
      <c r="J780" s="588">
        <f t="shared" si="142"/>
        <v>0</v>
      </c>
      <c r="K780" s="588">
        <f t="shared" si="142"/>
        <v>0</v>
      </c>
      <c r="L780" s="588">
        <f t="shared" si="142"/>
        <v>0</v>
      </c>
      <c r="M780" s="588">
        <f t="shared" si="142"/>
        <v>0</v>
      </c>
      <c r="N780" s="588">
        <f t="shared" si="142"/>
        <v>0</v>
      </c>
      <c r="O780" s="588">
        <f t="shared" si="142"/>
        <v>0</v>
      </c>
      <c r="P780" s="588">
        <f t="shared" si="142"/>
        <v>0</v>
      </c>
      <c r="Q780" s="588">
        <f t="shared" si="141"/>
        <v>0</v>
      </c>
      <c r="R780" s="585"/>
      <c r="S780" s="585"/>
    </row>
    <row r="781" spans="3:19" hidden="1" x14ac:dyDescent="0.25">
      <c r="C781" s="773" t="s">
        <v>213</v>
      </c>
      <c r="D781" s="774"/>
      <c r="E781" s="583"/>
      <c r="F781" s="583"/>
      <c r="G781" s="583"/>
      <c r="H781" s="583"/>
      <c r="I781" s="583"/>
      <c r="J781" s="583"/>
      <c r="K781" s="583"/>
      <c r="L781" s="583"/>
      <c r="M781" s="583"/>
      <c r="N781" s="583"/>
      <c r="O781" s="583"/>
      <c r="P781" s="583"/>
      <c r="Q781" s="588"/>
      <c r="R781" s="585"/>
      <c r="S781" s="585"/>
    </row>
    <row r="782" spans="3:19" hidden="1" x14ac:dyDescent="0.25">
      <c r="C782" s="579" t="s">
        <v>192</v>
      </c>
      <c r="D782" s="579" t="s">
        <v>193</v>
      </c>
      <c r="E782" s="583"/>
      <c r="F782" s="583"/>
      <c r="G782" s="583"/>
      <c r="H782" s="583"/>
      <c r="I782" s="583"/>
      <c r="J782" s="583"/>
      <c r="K782" s="583"/>
      <c r="L782" s="583"/>
      <c r="M782" s="583"/>
      <c r="N782" s="583"/>
      <c r="O782" s="583"/>
      <c r="P782" s="583"/>
      <c r="Q782" s="588">
        <f t="shared" ref="Q782:Q797" si="143">SUM(E782:P782)</f>
        <v>0</v>
      </c>
      <c r="R782" s="585"/>
      <c r="S782" s="585"/>
    </row>
    <row r="783" spans="3:19" hidden="1" x14ac:dyDescent="0.25">
      <c r="C783" s="579" t="s">
        <v>194</v>
      </c>
      <c r="D783" s="579" t="s">
        <v>195</v>
      </c>
      <c r="E783" s="583"/>
      <c r="F783" s="583"/>
      <c r="G783" s="583"/>
      <c r="H783" s="583"/>
      <c r="I783" s="583"/>
      <c r="J783" s="583"/>
      <c r="K783" s="583"/>
      <c r="L783" s="583"/>
      <c r="M783" s="583"/>
      <c r="N783" s="583"/>
      <c r="O783" s="583"/>
      <c r="P783" s="583"/>
      <c r="Q783" s="588">
        <f t="shared" si="143"/>
        <v>0</v>
      </c>
      <c r="R783" s="585"/>
      <c r="S783" s="585"/>
    </row>
    <row r="784" spans="3:19" hidden="1" x14ac:dyDescent="0.25">
      <c r="C784" s="579" t="s">
        <v>233</v>
      </c>
      <c r="D784" s="579" t="s">
        <v>197</v>
      </c>
      <c r="E784" s="583"/>
      <c r="F784" s="583"/>
      <c r="G784" s="583"/>
      <c r="H784" s="583"/>
      <c r="I784" s="583"/>
      <c r="J784" s="583"/>
      <c r="K784" s="583"/>
      <c r="L784" s="583"/>
      <c r="M784" s="583"/>
      <c r="N784" s="583"/>
      <c r="O784" s="583"/>
      <c r="P784" s="583"/>
      <c r="Q784" s="588">
        <f t="shared" si="143"/>
        <v>0</v>
      </c>
      <c r="R784" s="585"/>
      <c r="S784" s="585"/>
    </row>
    <row r="785" spans="3:19" hidden="1" x14ac:dyDescent="0.25">
      <c r="C785" s="579" t="s">
        <v>198</v>
      </c>
      <c r="D785" s="579" t="s">
        <v>199</v>
      </c>
      <c r="E785" s="583"/>
      <c r="F785" s="583"/>
      <c r="G785" s="583"/>
      <c r="H785" s="583"/>
      <c r="I785" s="583"/>
      <c r="J785" s="583"/>
      <c r="K785" s="583"/>
      <c r="L785" s="583"/>
      <c r="M785" s="583"/>
      <c r="N785" s="583"/>
      <c r="O785" s="583"/>
      <c r="P785" s="583"/>
      <c r="Q785" s="588">
        <f t="shared" si="143"/>
        <v>0</v>
      </c>
      <c r="R785" s="585"/>
      <c r="S785" s="585"/>
    </row>
    <row r="786" spans="3:19" hidden="1" x14ac:dyDescent="0.25">
      <c r="C786" s="579" t="s">
        <v>200</v>
      </c>
      <c r="D786" s="579" t="s">
        <v>201</v>
      </c>
      <c r="E786" s="583"/>
      <c r="F786" s="583"/>
      <c r="G786" s="583"/>
      <c r="H786" s="583"/>
      <c r="I786" s="583"/>
      <c r="J786" s="583"/>
      <c r="K786" s="583"/>
      <c r="L786" s="583"/>
      <c r="M786" s="583"/>
      <c r="N786" s="583"/>
      <c r="O786" s="583"/>
      <c r="P786" s="583"/>
      <c r="Q786" s="588">
        <f t="shared" si="143"/>
        <v>0</v>
      </c>
      <c r="R786" s="585"/>
      <c r="S786" s="585"/>
    </row>
    <row r="787" spans="3:19" hidden="1" x14ac:dyDescent="0.25">
      <c r="C787" s="579" t="s">
        <v>202</v>
      </c>
      <c r="D787" s="579" t="s">
        <v>203</v>
      </c>
      <c r="E787" s="583"/>
      <c r="F787" s="583"/>
      <c r="G787" s="583"/>
      <c r="H787" s="583"/>
      <c r="I787" s="583"/>
      <c r="J787" s="583"/>
      <c r="K787" s="583"/>
      <c r="L787" s="583"/>
      <c r="M787" s="583"/>
      <c r="N787" s="583"/>
      <c r="O787" s="583"/>
      <c r="P787" s="583"/>
      <c r="Q787" s="588">
        <f t="shared" si="143"/>
        <v>0</v>
      </c>
      <c r="R787" s="585"/>
      <c r="S787" s="585"/>
    </row>
    <row r="788" spans="3:19" hidden="1" x14ac:dyDescent="0.25">
      <c r="C788" s="579" t="s">
        <v>204</v>
      </c>
      <c r="D788" s="579" t="s">
        <v>205</v>
      </c>
      <c r="E788" s="583"/>
      <c r="F788" s="583"/>
      <c r="G788" s="583"/>
      <c r="H788" s="583"/>
      <c r="I788" s="583"/>
      <c r="J788" s="583"/>
      <c r="K788" s="583"/>
      <c r="L788" s="583"/>
      <c r="M788" s="583"/>
      <c r="N788" s="583"/>
      <c r="O788" s="583"/>
      <c r="P788" s="583"/>
      <c r="Q788" s="588">
        <f t="shared" si="143"/>
        <v>0</v>
      </c>
      <c r="R788" s="585"/>
      <c r="S788" s="585"/>
    </row>
    <row r="789" spans="3:19" hidden="1" x14ac:dyDescent="0.25">
      <c r="C789" s="579" t="s">
        <v>206</v>
      </c>
      <c r="D789" s="579" t="s">
        <v>207</v>
      </c>
      <c r="E789" s="583"/>
      <c r="F789" s="583"/>
      <c r="G789" s="583"/>
      <c r="H789" s="583"/>
      <c r="I789" s="583"/>
      <c r="J789" s="583"/>
      <c r="K789" s="583"/>
      <c r="L789" s="583"/>
      <c r="M789" s="583"/>
      <c r="N789" s="583"/>
      <c r="O789" s="583"/>
      <c r="P789" s="583"/>
      <c r="Q789" s="588">
        <f t="shared" si="143"/>
        <v>0</v>
      </c>
      <c r="R789" s="585"/>
      <c r="S789" s="585"/>
    </row>
    <row r="790" spans="3:19" hidden="1" x14ac:dyDescent="0.25">
      <c r="C790" s="579" t="s">
        <v>214</v>
      </c>
      <c r="D790" s="579" t="s">
        <v>187</v>
      </c>
      <c r="E790" s="583"/>
      <c r="F790" s="583"/>
      <c r="G790" s="583"/>
      <c r="H790" s="583"/>
      <c r="I790" s="583"/>
      <c r="J790" s="583"/>
      <c r="K790" s="583"/>
      <c r="L790" s="583"/>
      <c r="M790" s="583"/>
      <c r="N790" s="583"/>
      <c r="O790" s="583"/>
      <c r="P790" s="583"/>
      <c r="Q790" s="588">
        <f t="shared" si="143"/>
        <v>0</v>
      </c>
      <c r="R790" s="585"/>
      <c r="S790" s="585"/>
    </row>
    <row r="791" spans="3:19" hidden="1" x14ac:dyDescent="0.25">
      <c r="C791" s="579" t="s">
        <v>209</v>
      </c>
      <c r="D791" s="579" t="s">
        <v>210</v>
      </c>
      <c r="E791" s="583"/>
      <c r="F791" s="583"/>
      <c r="G791" s="583"/>
      <c r="H791" s="583"/>
      <c r="I791" s="583"/>
      <c r="J791" s="583"/>
      <c r="K791" s="583"/>
      <c r="L791" s="583"/>
      <c r="M791" s="583"/>
      <c r="N791" s="583"/>
      <c r="O791" s="583"/>
      <c r="P791" s="583"/>
      <c r="Q791" s="588">
        <f t="shared" si="143"/>
        <v>0</v>
      </c>
      <c r="R791" s="585"/>
      <c r="S791" s="585"/>
    </row>
    <row r="792" spans="3:19" hidden="1" x14ac:dyDescent="0.25">
      <c r="C792" s="579" t="s">
        <v>211</v>
      </c>
      <c r="D792" s="579" t="s">
        <v>189</v>
      </c>
      <c r="E792" s="583"/>
      <c r="F792" s="583"/>
      <c r="G792" s="583"/>
      <c r="H792" s="583"/>
      <c r="I792" s="583"/>
      <c r="J792" s="583"/>
      <c r="K792" s="583"/>
      <c r="L792" s="583"/>
      <c r="M792" s="583"/>
      <c r="N792" s="583"/>
      <c r="O792" s="583"/>
      <c r="P792" s="583"/>
      <c r="Q792" s="588">
        <f t="shared" si="143"/>
        <v>0</v>
      </c>
      <c r="R792" s="585"/>
      <c r="S792" s="585"/>
    </row>
    <row r="793" spans="3:19" hidden="1" x14ac:dyDescent="0.25">
      <c r="C793" s="579"/>
      <c r="D793" s="579"/>
      <c r="E793" s="583"/>
      <c r="F793" s="583"/>
      <c r="G793" s="583"/>
      <c r="H793" s="583"/>
      <c r="I793" s="583"/>
      <c r="J793" s="583"/>
      <c r="K793" s="583"/>
      <c r="L793" s="583"/>
      <c r="M793" s="583"/>
      <c r="N793" s="583"/>
      <c r="O793" s="583"/>
      <c r="P793" s="583"/>
      <c r="Q793" s="588">
        <f t="shared" si="143"/>
        <v>0</v>
      </c>
      <c r="R793" s="585"/>
      <c r="S793" s="585"/>
    </row>
    <row r="794" spans="3:19" hidden="1" x14ac:dyDescent="0.25">
      <c r="C794" s="579"/>
      <c r="D794" s="579"/>
      <c r="E794" s="583"/>
      <c r="F794" s="583"/>
      <c r="G794" s="583"/>
      <c r="H794" s="583"/>
      <c r="I794" s="583"/>
      <c r="J794" s="583"/>
      <c r="K794" s="583"/>
      <c r="L794" s="583"/>
      <c r="M794" s="583"/>
      <c r="N794" s="583"/>
      <c r="O794" s="583"/>
      <c r="P794" s="583"/>
      <c r="Q794" s="588">
        <f t="shared" si="143"/>
        <v>0</v>
      </c>
      <c r="R794" s="585"/>
      <c r="S794" s="585"/>
    </row>
    <row r="795" spans="3:19" hidden="1" x14ac:dyDescent="0.25">
      <c r="C795" s="579"/>
      <c r="D795" s="579"/>
      <c r="E795" s="583"/>
      <c r="F795" s="583"/>
      <c r="G795" s="583"/>
      <c r="H795" s="583"/>
      <c r="I795" s="583"/>
      <c r="J795" s="583"/>
      <c r="K795" s="583"/>
      <c r="L795" s="583"/>
      <c r="M795" s="583"/>
      <c r="N795" s="583"/>
      <c r="O795" s="583"/>
      <c r="P795" s="583"/>
      <c r="Q795" s="588">
        <f t="shared" si="143"/>
        <v>0</v>
      </c>
      <c r="R795" s="585"/>
      <c r="S795" s="585"/>
    </row>
    <row r="796" spans="3:19" hidden="1" x14ac:dyDescent="0.25">
      <c r="C796" s="579" t="s">
        <v>226</v>
      </c>
      <c r="D796" s="579" t="s">
        <v>226</v>
      </c>
      <c r="E796" s="583"/>
      <c r="F796" s="583"/>
      <c r="G796" s="583"/>
      <c r="H796" s="583"/>
      <c r="I796" s="583"/>
      <c r="J796" s="583"/>
      <c r="K796" s="583"/>
      <c r="L796" s="583"/>
      <c r="M796" s="583"/>
      <c r="N796" s="583"/>
      <c r="O796" s="583"/>
      <c r="P796" s="583"/>
      <c r="Q796" s="588">
        <f t="shared" si="143"/>
        <v>0</v>
      </c>
      <c r="R796" s="585"/>
      <c r="S796" s="585"/>
    </row>
    <row r="797" spans="3:19" hidden="1" x14ac:dyDescent="0.25">
      <c r="C797" s="773" t="s">
        <v>212</v>
      </c>
      <c r="D797" s="774"/>
      <c r="E797" s="588">
        <f t="shared" ref="E797:P797" si="144">SUM(E782:E796)</f>
        <v>0</v>
      </c>
      <c r="F797" s="588">
        <f t="shared" si="144"/>
        <v>0</v>
      </c>
      <c r="G797" s="588">
        <f t="shared" si="144"/>
        <v>0</v>
      </c>
      <c r="H797" s="588">
        <f t="shared" si="144"/>
        <v>0</v>
      </c>
      <c r="I797" s="588">
        <f t="shared" si="144"/>
        <v>0</v>
      </c>
      <c r="J797" s="588">
        <f t="shared" si="144"/>
        <v>0</v>
      </c>
      <c r="K797" s="588">
        <f t="shared" si="144"/>
        <v>0</v>
      </c>
      <c r="L797" s="588">
        <f t="shared" si="144"/>
        <v>0</v>
      </c>
      <c r="M797" s="588">
        <f t="shared" si="144"/>
        <v>0</v>
      </c>
      <c r="N797" s="588">
        <f t="shared" si="144"/>
        <v>0</v>
      </c>
      <c r="O797" s="588">
        <f t="shared" si="144"/>
        <v>0</v>
      </c>
      <c r="P797" s="588">
        <f t="shared" si="144"/>
        <v>0</v>
      </c>
      <c r="Q797" s="588">
        <f t="shared" si="143"/>
        <v>0</v>
      </c>
      <c r="R797" s="585"/>
      <c r="S797" s="585"/>
    </row>
    <row r="798" spans="3:19" hidden="1" x14ac:dyDescent="0.25">
      <c r="C798" s="773" t="s">
        <v>215</v>
      </c>
      <c r="D798" s="774"/>
      <c r="E798" s="583"/>
      <c r="F798" s="583"/>
      <c r="G798" s="583"/>
      <c r="H798" s="583"/>
      <c r="I798" s="583"/>
      <c r="J798" s="583"/>
      <c r="K798" s="583"/>
      <c r="L798" s="583"/>
      <c r="M798" s="583"/>
      <c r="N798" s="583"/>
      <c r="O798" s="583"/>
      <c r="P798" s="583"/>
      <c r="Q798" s="588"/>
      <c r="R798" s="585"/>
      <c r="S798" s="585"/>
    </row>
    <row r="799" spans="3:19" hidden="1" x14ac:dyDescent="0.25">
      <c r="C799" s="579" t="s">
        <v>192</v>
      </c>
      <c r="D799" s="579" t="s">
        <v>193</v>
      </c>
      <c r="E799" s="583"/>
      <c r="F799" s="583"/>
      <c r="G799" s="583"/>
      <c r="H799" s="583"/>
      <c r="I799" s="583"/>
      <c r="J799" s="583"/>
      <c r="K799" s="583"/>
      <c r="L799" s="583"/>
      <c r="M799" s="583"/>
      <c r="N799" s="583"/>
      <c r="O799" s="583"/>
      <c r="P799" s="583"/>
      <c r="Q799" s="588">
        <f t="shared" ref="Q799:Q818" si="145">SUM(E799:P799)</f>
        <v>0</v>
      </c>
      <c r="R799" s="585"/>
      <c r="S799" s="585"/>
    </row>
    <row r="800" spans="3:19" hidden="1" x14ac:dyDescent="0.25">
      <c r="C800" s="579" t="s">
        <v>194</v>
      </c>
      <c r="D800" s="579" t="s">
        <v>195</v>
      </c>
      <c r="E800" s="583"/>
      <c r="F800" s="583"/>
      <c r="G800" s="583"/>
      <c r="H800" s="583"/>
      <c r="I800" s="583"/>
      <c r="J800" s="583"/>
      <c r="K800" s="583"/>
      <c r="L800" s="583"/>
      <c r="M800" s="583"/>
      <c r="N800" s="583"/>
      <c r="O800" s="583"/>
      <c r="P800" s="583"/>
      <c r="Q800" s="588">
        <f t="shared" si="145"/>
        <v>0</v>
      </c>
      <c r="R800" s="585"/>
      <c r="S800" s="585"/>
    </row>
    <row r="801" spans="3:19" hidden="1" x14ac:dyDescent="0.25">
      <c r="C801" s="579" t="s">
        <v>233</v>
      </c>
      <c r="D801" s="579" t="s">
        <v>197</v>
      </c>
      <c r="E801" s="583"/>
      <c r="F801" s="583"/>
      <c r="G801" s="583"/>
      <c r="H801" s="583"/>
      <c r="I801" s="583"/>
      <c r="J801" s="583"/>
      <c r="K801" s="583"/>
      <c r="L801" s="583"/>
      <c r="M801" s="583"/>
      <c r="N801" s="583"/>
      <c r="O801" s="583"/>
      <c r="P801" s="583"/>
      <c r="Q801" s="588">
        <f t="shared" si="145"/>
        <v>0</v>
      </c>
      <c r="R801" s="585"/>
      <c r="S801" s="585"/>
    </row>
    <row r="802" spans="3:19" hidden="1" x14ac:dyDescent="0.25">
      <c r="C802" s="579" t="s">
        <v>198</v>
      </c>
      <c r="D802" s="579" t="s">
        <v>199</v>
      </c>
      <c r="E802" s="583"/>
      <c r="F802" s="583"/>
      <c r="G802" s="583"/>
      <c r="H802" s="583"/>
      <c r="I802" s="583"/>
      <c r="J802" s="583"/>
      <c r="K802" s="583"/>
      <c r="L802" s="583"/>
      <c r="M802" s="583"/>
      <c r="N802" s="583"/>
      <c r="O802" s="583"/>
      <c r="P802" s="583"/>
      <c r="Q802" s="588">
        <f t="shared" si="145"/>
        <v>0</v>
      </c>
      <c r="R802" s="585"/>
      <c r="S802" s="585"/>
    </row>
    <row r="803" spans="3:19" hidden="1" x14ac:dyDescent="0.25">
      <c r="C803" s="579" t="s">
        <v>200</v>
      </c>
      <c r="D803" s="579" t="s">
        <v>201</v>
      </c>
      <c r="E803" s="583"/>
      <c r="F803" s="583"/>
      <c r="G803" s="583"/>
      <c r="H803" s="583"/>
      <c r="I803" s="583"/>
      <c r="J803" s="583"/>
      <c r="K803" s="583"/>
      <c r="L803" s="583"/>
      <c r="M803" s="583"/>
      <c r="N803" s="583"/>
      <c r="O803" s="583"/>
      <c r="P803" s="583"/>
      <c r="Q803" s="588">
        <f t="shared" si="145"/>
        <v>0</v>
      </c>
      <c r="R803" s="585"/>
      <c r="S803" s="585"/>
    </row>
    <row r="804" spans="3:19" hidden="1" x14ac:dyDescent="0.25">
      <c r="C804" s="579" t="s">
        <v>202</v>
      </c>
      <c r="D804" s="579" t="s">
        <v>234</v>
      </c>
      <c r="E804" s="583"/>
      <c r="F804" s="583"/>
      <c r="G804" s="583"/>
      <c r="H804" s="583"/>
      <c r="I804" s="583"/>
      <c r="J804" s="583"/>
      <c r="K804" s="583"/>
      <c r="L804" s="583"/>
      <c r="M804" s="583"/>
      <c r="N804" s="583"/>
      <c r="O804" s="583"/>
      <c r="P804" s="583"/>
      <c r="Q804" s="588">
        <f t="shared" si="145"/>
        <v>0</v>
      </c>
      <c r="R804" s="585"/>
      <c r="S804" s="585"/>
    </row>
    <row r="805" spans="3:19" hidden="1" x14ac:dyDescent="0.25">
      <c r="C805" s="579" t="s">
        <v>204</v>
      </c>
      <c r="D805" s="579" t="s">
        <v>216</v>
      </c>
      <c r="E805" s="583"/>
      <c r="F805" s="583"/>
      <c r="G805" s="583"/>
      <c r="H805" s="583"/>
      <c r="I805" s="583"/>
      <c r="J805" s="583"/>
      <c r="K805" s="583"/>
      <c r="L805" s="583"/>
      <c r="M805" s="583"/>
      <c r="N805" s="583"/>
      <c r="O805" s="583"/>
      <c r="P805" s="583"/>
      <c r="Q805" s="588">
        <f t="shared" si="145"/>
        <v>0</v>
      </c>
      <c r="R805" s="585"/>
      <c r="S805" s="585"/>
    </row>
    <row r="806" spans="3:19" hidden="1" x14ac:dyDescent="0.25">
      <c r="C806" s="579" t="s">
        <v>217</v>
      </c>
      <c r="D806" s="579" t="s">
        <v>218</v>
      </c>
      <c r="E806" s="583"/>
      <c r="F806" s="583"/>
      <c r="G806" s="583"/>
      <c r="H806" s="583"/>
      <c r="I806" s="583"/>
      <c r="J806" s="583"/>
      <c r="K806" s="583"/>
      <c r="L806" s="583"/>
      <c r="M806" s="583"/>
      <c r="N806" s="583"/>
      <c r="O806" s="583"/>
      <c r="P806" s="583"/>
      <c r="Q806" s="588">
        <f t="shared" si="145"/>
        <v>0</v>
      </c>
      <c r="R806" s="585"/>
      <c r="S806" s="585"/>
    </row>
    <row r="807" spans="3:19" hidden="1" x14ac:dyDescent="0.25">
      <c r="C807" s="579" t="s">
        <v>252</v>
      </c>
      <c r="D807" s="579" t="s">
        <v>236</v>
      </c>
      <c r="E807" s="583"/>
      <c r="F807" s="583"/>
      <c r="G807" s="583"/>
      <c r="H807" s="583"/>
      <c r="I807" s="583"/>
      <c r="J807" s="583"/>
      <c r="K807" s="583"/>
      <c r="L807" s="583"/>
      <c r="M807" s="583"/>
      <c r="N807" s="583"/>
      <c r="O807" s="583"/>
      <c r="P807" s="583"/>
      <c r="Q807" s="588">
        <f t="shared" si="145"/>
        <v>0</v>
      </c>
      <c r="R807" s="585"/>
      <c r="S807" s="585"/>
    </row>
    <row r="808" spans="3:19" hidden="1" x14ac:dyDescent="0.25">
      <c r="C808" s="579" t="s">
        <v>206</v>
      </c>
      <c r="D808" s="579" t="s">
        <v>207</v>
      </c>
      <c r="E808" s="583"/>
      <c r="F808" s="583"/>
      <c r="G808" s="583"/>
      <c r="H808" s="583"/>
      <c r="I808" s="583"/>
      <c r="J808" s="583"/>
      <c r="K808" s="583"/>
      <c r="L808" s="583"/>
      <c r="M808" s="583"/>
      <c r="N808" s="583"/>
      <c r="O808" s="583"/>
      <c r="P808" s="583"/>
      <c r="Q808" s="588">
        <f t="shared" si="145"/>
        <v>0</v>
      </c>
      <c r="R808" s="585"/>
      <c r="S808" s="585"/>
    </row>
    <row r="809" spans="3:19" hidden="1" x14ac:dyDescent="0.25">
      <c r="C809" s="579" t="s">
        <v>208</v>
      </c>
      <c r="D809" s="579" t="s">
        <v>187</v>
      </c>
      <c r="E809" s="583"/>
      <c r="F809" s="583"/>
      <c r="G809" s="583"/>
      <c r="H809" s="583"/>
      <c r="I809" s="583"/>
      <c r="J809" s="583"/>
      <c r="K809" s="583"/>
      <c r="L809" s="583"/>
      <c r="M809" s="583"/>
      <c r="N809" s="583"/>
      <c r="O809" s="583"/>
      <c r="P809" s="583"/>
      <c r="Q809" s="588">
        <f t="shared" si="145"/>
        <v>0</v>
      </c>
      <c r="R809" s="585"/>
      <c r="S809" s="585"/>
    </row>
    <row r="810" spans="3:19" hidden="1" x14ac:dyDescent="0.25">
      <c r="C810" s="579" t="s">
        <v>209</v>
      </c>
      <c r="D810" s="579" t="s">
        <v>210</v>
      </c>
      <c r="E810" s="583"/>
      <c r="F810" s="583"/>
      <c r="G810" s="583"/>
      <c r="H810" s="583"/>
      <c r="I810" s="583"/>
      <c r="J810" s="583"/>
      <c r="K810" s="583"/>
      <c r="L810" s="583"/>
      <c r="M810" s="583"/>
      <c r="N810" s="583"/>
      <c r="O810" s="583"/>
      <c r="P810" s="583"/>
      <c r="Q810" s="588">
        <f t="shared" si="145"/>
        <v>0</v>
      </c>
      <c r="R810" s="585"/>
      <c r="S810" s="585"/>
    </row>
    <row r="811" spans="3:19" hidden="1" x14ac:dyDescent="0.25">
      <c r="C811" s="579" t="s">
        <v>211</v>
      </c>
      <c r="D811" s="579" t="s">
        <v>189</v>
      </c>
      <c r="E811" s="583"/>
      <c r="F811" s="583"/>
      <c r="G811" s="583"/>
      <c r="H811" s="583"/>
      <c r="I811" s="583"/>
      <c r="J811" s="583"/>
      <c r="K811" s="583"/>
      <c r="L811" s="583"/>
      <c r="M811" s="583"/>
      <c r="N811" s="583"/>
      <c r="O811" s="583"/>
      <c r="P811" s="583"/>
      <c r="Q811" s="588">
        <f t="shared" si="145"/>
        <v>0</v>
      </c>
      <c r="R811" s="585"/>
      <c r="S811" s="585"/>
    </row>
    <row r="812" spans="3:19" hidden="1" x14ac:dyDescent="0.25">
      <c r="C812" s="579"/>
      <c r="D812" s="579"/>
      <c r="E812" s="583"/>
      <c r="F812" s="583"/>
      <c r="G812" s="583"/>
      <c r="H812" s="583"/>
      <c r="I812" s="583"/>
      <c r="J812" s="583"/>
      <c r="K812" s="583"/>
      <c r="L812" s="583"/>
      <c r="M812" s="583"/>
      <c r="N812" s="583"/>
      <c r="O812" s="583"/>
      <c r="P812" s="583"/>
      <c r="Q812" s="588">
        <f t="shared" si="145"/>
        <v>0</v>
      </c>
      <c r="R812" s="585"/>
      <c r="S812" s="585"/>
    </row>
    <row r="813" spans="3:19" hidden="1" x14ac:dyDescent="0.25">
      <c r="C813" s="579"/>
      <c r="D813" s="579"/>
      <c r="E813" s="583"/>
      <c r="F813" s="583"/>
      <c r="G813" s="583"/>
      <c r="H813" s="583"/>
      <c r="I813" s="583"/>
      <c r="J813" s="583"/>
      <c r="K813" s="583"/>
      <c r="L813" s="583"/>
      <c r="M813" s="583"/>
      <c r="N813" s="583"/>
      <c r="O813" s="583"/>
      <c r="P813" s="583"/>
      <c r="Q813" s="588">
        <f t="shared" si="145"/>
        <v>0</v>
      </c>
      <c r="R813" s="585"/>
      <c r="S813" s="585"/>
    </row>
    <row r="814" spans="3:19" hidden="1" x14ac:dyDescent="0.25">
      <c r="C814" s="579"/>
      <c r="D814" s="579"/>
      <c r="E814" s="583"/>
      <c r="F814" s="583"/>
      <c r="G814" s="583"/>
      <c r="H814" s="583"/>
      <c r="I814" s="583"/>
      <c r="J814" s="583"/>
      <c r="K814" s="583"/>
      <c r="L814" s="583"/>
      <c r="M814" s="583"/>
      <c r="N814" s="583"/>
      <c r="O814" s="583"/>
      <c r="P814" s="583"/>
      <c r="Q814" s="588">
        <f t="shared" si="145"/>
        <v>0</v>
      </c>
      <c r="R814" s="585"/>
      <c r="S814" s="585"/>
    </row>
    <row r="815" spans="3:19" hidden="1" x14ac:dyDescent="0.25">
      <c r="C815" s="579" t="s">
        <v>226</v>
      </c>
      <c r="D815" s="579" t="s">
        <v>226</v>
      </c>
      <c r="E815" s="583"/>
      <c r="F815" s="583"/>
      <c r="G815" s="583"/>
      <c r="H815" s="583"/>
      <c r="I815" s="583"/>
      <c r="J815" s="583"/>
      <c r="K815" s="583"/>
      <c r="L815" s="583"/>
      <c r="M815" s="583"/>
      <c r="N815" s="583"/>
      <c r="O815" s="583"/>
      <c r="P815" s="583"/>
      <c r="Q815" s="588">
        <f t="shared" si="145"/>
        <v>0</v>
      </c>
      <c r="R815" s="585"/>
      <c r="S815" s="585"/>
    </row>
    <row r="816" spans="3:19" hidden="1" x14ac:dyDescent="0.25">
      <c r="C816" s="773" t="s">
        <v>212</v>
      </c>
      <c r="D816" s="774"/>
      <c r="E816" s="588">
        <f t="shared" ref="E816:P816" si="146">SUM(E799:E815)</f>
        <v>0</v>
      </c>
      <c r="F816" s="588">
        <f t="shared" si="146"/>
        <v>0</v>
      </c>
      <c r="G816" s="588">
        <f t="shared" si="146"/>
        <v>0</v>
      </c>
      <c r="H816" s="588">
        <f t="shared" si="146"/>
        <v>0</v>
      </c>
      <c r="I816" s="588">
        <f t="shared" si="146"/>
        <v>0</v>
      </c>
      <c r="J816" s="588">
        <f t="shared" si="146"/>
        <v>0</v>
      </c>
      <c r="K816" s="588">
        <f t="shared" si="146"/>
        <v>0</v>
      </c>
      <c r="L816" s="588">
        <f t="shared" si="146"/>
        <v>0</v>
      </c>
      <c r="M816" s="588">
        <f t="shared" si="146"/>
        <v>0</v>
      </c>
      <c r="N816" s="588">
        <f t="shared" si="146"/>
        <v>0</v>
      </c>
      <c r="O816" s="588">
        <f t="shared" si="146"/>
        <v>0</v>
      </c>
      <c r="P816" s="588">
        <f t="shared" si="146"/>
        <v>0</v>
      </c>
      <c r="Q816" s="588">
        <f t="shared" si="145"/>
        <v>0</v>
      </c>
      <c r="R816" s="585"/>
      <c r="S816" s="585"/>
    </row>
    <row r="817" spans="3:19" hidden="1" x14ac:dyDescent="0.25">
      <c r="C817" s="773" t="s">
        <v>219</v>
      </c>
      <c r="D817" s="774"/>
      <c r="E817" s="588">
        <f t="shared" ref="E817:P817" si="147">E816+E797+E780</f>
        <v>0</v>
      </c>
      <c r="F817" s="588">
        <f t="shared" si="147"/>
        <v>0</v>
      </c>
      <c r="G817" s="588">
        <f t="shared" si="147"/>
        <v>0</v>
      </c>
      <c r="H817" s="588">
        <f t="shared" si="147"/>
        <v>0</v>
      </c>
      <c r="I817" s="588">
        <f t="shared" si="147"/>
        <v>0</v>
      </c>
      <c r="J817" s="588">
        <f t="shared" si="147"/>
        <v>0</v>
      </c>
      <c r="K817" s="588">
        <f t="shared" si="147"/>
        <v>0</v>
      </c>
      <c r="L817" s="588">
        <f t="shared" si="147"/>
        <v>0</v>
      </c>
      <c r="M817" s="588">
        <f t="shared" si="147"/>
        <v>0</v>
      </c>
      <c r="N817" s="588">
        <f t="shared" si="147"/>
        <v>0</v>
      </c>
      <c r="O817" s="588">
        <f t="shared" si="147"/>
        <v>0</v>
      </c>
      <c r="P817" s="588">
        <f t="shared" si="147"/>
        <v>0</v>
      </c>
      <c r="Q817" s="588">
        <f t="shared" si="145"/>
        <v>0</v>
      </c>
      <c r="R817" s="585"/>
      <c r="S817" s="585"/>
    </row>
    <row r="818" spans="3:19" hidden="1" x14ac:dyDescent="0.25">
      <c r="C818" s="773" t="s">
        <v>220</v>
      </c>
      <c r="D818" s="774"/>
      <c r="E818" s="588">
        <f t="shared" ref="E818:P818" si="148">E817+E763</f>
        <v>965.03829679435614</v>
      </c>
      <c r="F818" s="588">
        <f t="shared" si="148"/>
        <v>304.18875180729339</v>
      </c>
      <c r="G818" s="588">
        <f t="shared" si="148"/>
        <v>192.74885164315614</v>
      </c>
      <c r="H818" s="588">
        <f t="shared" si="148"/>
        <v>289.5664652947504</v>
      </c>
      <c r="I818" s="588">
        <f t="shared" si="148"/>
        <v>825.41374719334499</v>
      </c>
      <c r="J818" s="588">
        <f t="shared" si="148"/>
        <v>694.49804228360983</v>
      </c>
      <c r="K818" s="588">
        <f t="shared" si="148"/>
        <v>551.45145366922839</v>
      </c>
      <c r="L818" s="588">
        <f t="shared" si="148"/>
        <v>421.7377719935979</v>
      </c>
      <c r="M818" s="588">
        <f t="shared" si="148"/>
        <v>930.60126293822691</v>
      </c>
      <c r="N818" s="588">
        <f t="shared" si="148"/>
        <v>1132.5162405921456</v>
      </c>
      <c r="O818" s="588">
        <f t="shared" si="148"/>
        <v>1308.5793325042127</v>
      </c>
      <c r="P818" s="588">
        <f t="shared" si="148"/>
        <v>1547.9438565071746</v>
      </c>
      <c r="Q818" s="588">
        <f t="shared" si="145"/>
        <v>9164.2840732210952</v>
      </c>
      <c r="R818" s="585"/>
      <c r="S818" s="585"/>
    </row>
    <row r="819" spans="3:19" x14ac:dyDescent="0.25">
      <c r="E819" s="585"/>
      <c r="F819" s="585"/>
      <c r="G819" s="585"/>
      <c r="H819" s="585"/>
      <c r="I819" s="585"/>
      <c r="J819" s="585"/>
      <c r="K819" s="585"/>
      <c r="L819" s="585"/>
      <c r="M819" s="585"/>
      <c r="N819" s="585"/>
      <c r="O819" s="585"/>
      <c r="P819" s="585"/>
      <c r="Q819" s="585"/>
      <c r="R819" s="585"/>
      <c r="S819" s="585"/>
    </row>
    <row r="820" spans="3:19" x14ac:dyDescent="0.25">
      <c r="D820" s="589"/>
      <c r="E820" s="590"/>
      <c r="F820" s="585"/>
      <c r="G820" s="585"/>
      <c r="H820" s="585"/>
      <c r="I820" s="585"/>
      <c r="J820" s="585"/>
      <c r="K820" s="585"/>
      <c r="L820" s="585"/>
      <c r="M820" s="585"/>
      <c r="N820" s="585"/>
      <c r="O820" s="585"/>
      <c r="P820" s="585"/>
      <c r="Q820" s="585"/>
      <c r="R820" s="585"/>
      <c r="S820" s="585"/>
    </row>
    <row r="821" spans="3:19" x14ac:dyDescent="0.25">
      <c r="D821" s="591"/>
      <c r="E821" s="592"/>
      <c r="F821" s="585"/>
      <c r="G821" s="585"/>
      <c r="H821" s="585"/>
      <c r="I821" s="585"/>
      <c r="J821" s="585"/>
      <c r="K821" s="585"/>
      <c r="L821" s="585"/>
      <c r="M821" s="585"/>
      <c r="N821" s="585"/>
      <c r="O821" s="585"/>
      <c r="P821" s="585"/>
      <c r="Q821" s="585"/>
      <c r="R821" s="585"/>
      <c r="S821" s="585"/>
    </row>
    <row r="822" spans="3:19" x14ac:dyDescent="0.25">
      <c r="E822" s="592"/>
      <c r="F822" s="585"/>
      <c r="G822" s="585"/>
      <c r="H822" s="585"/>
      <c r="I822" s="585"/>
      <c r="J822" s="585"/>
      <c r="K822" s="585"/>
      <c r="L822" s="585"/>
      <c r="M822" s="585"/>
      <c r="N822" s="585"/>
      <c r="O822" s="585"/>
      <c r="P822" s="585"/>
      <c r="Q822" s="585"/>
      <c r="R822" s="585"/>
      <c r="S822" s="585"/>
    </row>
    <row r="823" spans="3:19" x14ac:dyDescent="0.25">
      <c r="E823" s="591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:D7"/>
    <mergeCell ref="E5:E6"/>
    <mergeCell ref="F5:F6"/>
    <mergeCell ref="G5:G6"/>
    <mergeCell ref="C56:D56"/>
    <mergeCell ref="C57:D57"/>
    <mergeCell ref="C75:D75"/>
    <mergeCell ref="C76:D76"/>
    <mergeCell ref="C77:D77"/>
    <mergeCell ref="C82:D83"/>
    <mergeCell ref="E82:Q82"/>
    <mergeCell ref="C84:D84"/>
    <mergeCell ref="C98:D98"/>
    <mergeCell ref="C99:D99"/>
    <mergeCell ref="C115:D115"/>
    <mergeCell ref="C116:D116"/>
    <mergeCell ref="C132:D132"/>
    <mergeCell ref="C133:D133"/>
    <mergeCell ref="C151:D151"/>
    <mergeCell ref="C152:D152"/>
    <mergeCell ref="C153:D153"/>
    <mergeCell ref="C156:D157"/>
    <mergeCell ref="E156:Q156"/>
    <mergeCell ref="C158:D158"/>
    <mergeCell ref="C172:D172"/>
    <mergeCell ref="C173:D173"/>
    <mergeCell ref="C189:D189"/>
    <mergeCell ref="C190:D190"/>
    <mergeCell ref="C206:D206"/>
    <mergeCell ref="C207:D207"/>
    <mergeCell ref="C224:D224"/>
    <mergeCell ref="C225:D225"/>
    <mergeCell ref="C226:D226"/>
    <mergeCell ref="C229:D230"/>
    <mergeCell ref="E229:Q229"/>
    <mergeCell ref="C231:D231"/>
    <mergeCell ref="C245:D245"/>
    <mergeCell ref="C246:D246"/>
    <mergeCell ref="C262:D262"/>
    <mergeCell ref="C263:D263"/>
    <mergeCell ref="C279:D279"/>
    <mergeCell ref="C280:D280"/>
    <mergeCell ref="C298:D298"/>
    <mergeCell ref="C299:D299"/>
    <mergeCell ref="C300:D300"/>
    <mergeCell ref="C302:D303"/>
    <mergeCell ref="E302:Q302"/>
    <mergeCell ref="C304:D304"/>
    <mergeCell ref="C318:D318"/>
    <mergeCell ref="C319:D319"/>
    <mergeCell ref="C335:D335"/>
    <mergeCell ref="C336:D336"/>
    <mergeCell ref="C352:D352"/>
    <mergeCell ref="C353:D353"/>
    <mergeCell ref="C371:D371"/>
    <mergeCell ref="C372:D372"/>
    <mergeCell ref="C373:D373"/>
    <mergeCell ref="C376:D378"/>
    <mergeCell ref="E376:Q376"/>
    <mergeCell ref="C379:D379"/>
    <mergeCell ref="C393:D393"/>
    <mergeCell ref="C394:D394"/>
    <mergeCell ref="C410:D410"/>
    <mergeCell ref="C411:D411"/>
    <mergeCell ref="C427:D427"/>
    <mergeCell ref="C428:D428"/>
    <mergeCell ref="C446:D446"/>
    <mergeCell ref="C447:D447"/>
    <mergeCell ref="C448:D448"/>
    <mergeCell ref="C451:D452"/>
    <mergeCell ref="E451:Q451"/>
    <mergeCell ref="C453:D453"/>
    <mergeCell ref="C467:D467"/>
    <mergeCell ref="C468:D468"/>
    <mergeCell ref="C484:D484"/>
    <mergeCell ref="C485:D485"/>
    <mergeCell ref="C501:D501"/>
    <mergeCell ref="C502:D502"/>
    <mergeCell ref="C520:D520"/>
    <mergeCell ref="C521:D521"/>
    <mergeCell ref="C522:D522"/>
    <mergeCell ref="C525:D526"/>
    <mergeCell ref="E525:Q525"/>
    <mergeCell ref="C527:D527"/>
    <mergeCell ref="C541:D541"/>
    <mergeCell ref="C542:D542"/>
    <mergeCell ref="C558:D558"/>
    <mergeCell ref="C559:D559"/>
    <mergeCell ref="C575:D575"/>
    <mergeCell ref="C576:D576"/>
    <mergeCell ref="C594:D594"/>
    <mergeCell ref="C595:D595"/>
    <mergeCell ref="C596:D596"/>
    <mergeCell ref="C599:D600"/>
    <mergeCell ref="E673:Q673"/>
    <mergeCell ref="C675:D675"/>
    <mergeCell ref="C689:D689"/>
    <mergeCell ref="C690:D690"/>
    <mergeCell ref="C706:D706"/>
    <mergeCell ref="C707:D707"/>
    <mergeCell ref="E599:Q599"/>
    <mergeCell ref="C601:D601"/>
    <mergeCell ref="C615:D615"/>
    <mergeCell ref="C616:D616"/>
    <mergeCell ref="C632:D632"/>
    <mergeCell ref="C633:D633"/>
    <mergeCell ref="C649:D649"/>
    <mergeCell ref="C650:D650"/>
    <mergeCell ref="C668:D668"/>
    <mergeCell ref="C723:D723"/>
    <mergeCell ref="C724:D724"/>
    <mergeCell ref="C742:D742"/>
    <mergeCell ref="C743:D743"/>
    <mergeCell ref="C744:D744"/>
    <mergeCell ref="C747:D748"/>
    <mergeCell ref="C797:D797"/>
    <mergeCell ref="C798:D798"/>
    <mergeCell ref="C669:D669"/>
    <mergeCell ref="C670:D670"/>
    <mergeCell ref="C673:D674"/>
    <mergeCell ref="C816:D816"/>
    <mergeCell ref="C817:D817"/>
    <mergeCell ref="C818:D818"/>
    <mergeCell ref="E747:Q747"/>
    <mergeCell ref="C749:D749"/>
    <mergeCell ref="C763:D763"/>
    <mergeCell ref="C764:D764"/>
    <mergeCell ref="C780:D780"/>
    <mergeCell ref="C781:D781"/>
  </mergeCells>
  <pageMargins left="0.75" right="0.75" top="1" bottom="1" header="0.5" footer="0.5"/>
  <pageSetup paperSize="9"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501C9"/>
  </sheetPr>
  <dimension ref="B1:I136"/>
  <sheetViews>
    <sheetView showGridLines="0" topLeftCell="C1" zoomScale="75" zoomScaleNormal="75" workbookViewId="0">
      <selection activeCell="K17" sqref="K17"/>
    </sheetView>
  </sheetViews>
  <sheetFormatPr defaultColWidth="9.33203125" defaultRowHeight="13.8" x14ac:dyDescent="0.25"/>
  <cols>
    <col min="1" max="1" width="4.33203125" style="4" customWidth="1"/>
    <col min="2" max="2" width="8.33203125" style="4" customWidth="1"/>
    <col min="3" max="3" width="23.6640625" style="4" customWidth="1"/>
    <col min="4" max="4" width="15.33203125" style="4" customWidth="1"/>
    <col min="5" max="5" width="23.6640625" style="4" customWidth="1"/>
    <col min="6" max="6" width="12.33203125" style="4" customWidth="1"/>
    <col min="7" max="7" width="13.6640625" style="4" customWidth="1"/>
    <col min="8" max="8" width="13.33203125" style="4" customWidth="1"/>
    <col min="9" max="9" width="22.44140625" style="4" customWidth="1"/>
    <col min="10" max="10" width="10.6640625" style="4" customWidth="1"/>
    <col min="11" max="16384" width="9.33203125" style="4"/>
  </cols>
  <sheetData>
    <row r="1" spans="2:9" x14ac:dyDescent="0.25">
      <c r="B1" s="67"/>
    </row>
    <row r="2" spans="2:9" x14ac:dyDescent="0.25">
      <c r="E2" s="23" t="s">
        <v>160</v>
      </c>
    </row>
    <row r="3" spans="2:9" x14ac:dyDescent="0.25">
      <c r="C3" s="68"/>
      <c r="D3" s="68"/>
      <c r="E3" s="25" t="s">
        <v>270</v>
      </c>
      <c r="F3" s="68"/>
      <c r="G3" s="68"/>
    </row>
    <row r="5" spans="2:9" hidden="1" x14ac:dyDescent="0.25">
      <c r="B5" s="22" t="s">
        <v>271</v>
      </c>
      <c r="I5" s="25" t="s">
        <v>229</v>
      </c>
    </row>
    <row r="6" spans="2:9" ht="27.6" hidden="1" x14ac:dyDescent="0.25">
      <c r="B6" s="7" t="s">
        <v>4</v>
      </c>
      <c r="C6" s="7" t="s">
        <v>272</v>
      </c>
      <c r="D6" s="7" t="s">
        <v>273</v>
      </c>
      <c r="E6" s="7" t="s">
        <v>274</v>
      </c>
      <c r="F6" s="7" t="s">
        <v>275</v>
      </c>
      <c r="G6" s="7" t="s">
        <v>276</v>
      </c>
      <c r="H6" s="7" t="s">
        <v>277</v>
      </c>
      <c r="I6" s="7" t="s">
        <v>278</v>
      </c>
    </row>
    <row r="7" spans="2:9" hidden="1" x14ac:dyDescent="0.25">
      <c r="B7" s="7" t="s">
        <v>279</v>
      </c>
      <c r="C7" s="7" t="s">
        <v>280</v>
      </c>
      <c r="D7" s="7"/>
      <c r="E7" s="7"/>
      <c r="F7" s="7"/>
      <c r="G7" s="87"/>
      <c r="H7" s="7"/>
      <c r="I7" s="7"/>
    </row>
    <row r="8" spans="2:9" hidden="1" x14ac:dyDescent="0.25">
      <c r="B8" s="11">
        <v>1</v>
      </c>
      <c r="C8" s="17" t="s">
        <v>281</v>
      </c>
      <c r="D8" s="17"/>
      <c r="E8" s="17"/>
      <c r="F8" s="17"/>
      <c r="G8" s="17"/>
      <c r="H8" s="86">
        <f>G8-E8</f>
        <v>0</v>
      </c>
      <c r="I8" s="88" t="e">
        <f>H8/E8</f>
        <v>#DIV/0!</v>
      </c>
    </row>
    <row r="9" spans="2:9" hidden="1" x14ac:dyDescent="0.25">
      <c r="B9" s="11">
        <f>B8+1</f>
        <v>2</v>
      </c>
      <c r="C9" s="17" t="s">
        <v>282</v>
      </c>
      <c r="D9" s="17"/>
      <c r="E9" s="17"/>
      <c r="F9" s="17"/>
      <c r="G9" s="17"/>
      <c r="H9" s="86">
        <f>G9-E9</f>
        <v>0</v>
      </c>
      <c r="I9" s="88" t="e">
        <f>H9/E9</f>
        <v>#DIV/0!</v>
      </c>
    </row>
    <row r="10" spans="2:9" hidden="1" x14ac:dyDescent="0.25">
      <c r="B10" s="11"/>
      <c r="C10" s="17" t="s">
        <v>283</v>
      </c>
      <c r="D10" s="17"/>
      <c r="E10" s="17"/>
      <c r="F10" s="17"/>
      <c r="G10" s="28"/>
      <c r="H10" s="17"/>
      <c r="I10" s="89"/>
    </row>
    <row r="11" spans="2:9" hidden="1" x14ac:dyDescent="0.25">
      <c r="B11" s="11"/>
      <c r="C11" s="13" t="s">
        <v>284</v>
      </c>
      <c r="D11" s="17"/>
      <c r="E11" s="17"/>
      <c r="F11" s="17"/>
      <c r="G11" s="87"/>
      <c r="H11" s="17"/>
      <c r="I11" s="89"/>
    </row>
    <row r="12" spans="2:9" hidden="1" x14ac:dyDescent="0.25">
      <c r="B12" s="7" t="s">
        <v>285</v>
      </c>
      <c r="C12" s="7" t="s">
        <v>286</v>
      </c>
      <c r="D12" s="17"/>
      <c r="E12" s="17"/>
      <c r="F12" s="17"/>
      <c r="G12" s="17"/>
      <c r="H12" s="17"/>
      <c r="I12" s="89"/>
    </row>
    <row r="13" spans="2:9" hidden="1" x14ac:dyDescent="0.25">
      <c r="B13" s="11">
        <v>1</v>
      </c>
      <c r="C13" s="17" t="s">
        <v>281</v>
      </c>
      <c r="D13" s="17"/>
      <c r="E13" s="17"/>
      <c r="F13" s="17"/>
      <c r="G13" s="17"/>
      <c r="H13" s="86">
        <f>G13-E13</f>
        <v>0</v>
      </c>
      <c r="I13" s="88" t="e">
        <f t="shared" ref="I13:I14" si="0">H13/E13</f>
        <v>#DIV/0!</v>
      </c>
    </row>
    <row r="14" spans="2:9" hidden="1" x14ac:dyDescent="0.25">
      <c r="B14" s="11">
        <f>B13+1</f>
        <v>2</v>
      </c>
      <c r="C14" s="17" t="s">
        <v>282</v>
      </c>
      <c r="D14" s="17"/>
      <c r="E14" s="17"/>
      <c r="F14" s="17"/>
      <c r="G14" s="17"/>
      <c r="H14" s="86">
        <f>G14-E14</f>
        <v>0</v>
      </c>
      <c r="I14" s="88" t="e">
        <f t="shared" si="0"/>
        <v>#DIV/0!</v>
      </c>
    </row>
    <row r="15" spans="2:9" hidden="1" x14ac:dyDescent="0.25">
      <c r="B15" s="11"/>
      <c r="C15" s="17" t="s">
        <v>283</v>
      </c>
      <c r="D15" s="17"/>
      <c r="E15" s="17"/>
      <c r="F15" s="17"/>
      <c r="G15" s="17"/>
      <c r="H15" s="17"/>
      <c r="I15" s="89"/>
    </row>
    <row r="16" spans="2:9" hidden="1" x14ac:dyDescent="0.25">
      <c r="B16" s="11"/>
      <c r="C16" s="13" t="s">
        <v>287</v>
      </c>
      <c r="D16" s="17"/>
      <c r="E16" s="17"/>
      <c r="F16" s="17"/>
      <c r="G16" s="87"/>
      <c r="H16" s="17"/>
      <c r="I16" s="89"/>
    </row>
    <row r="17" spans="2:9" hidden="1" x14ac:dyDescent="0.25">
      <c r="B17" s="7" t="s">
        <v>288</v>
      </c>
      <c r="C17" s="7" t="s">
        <v>289</v>
      </c>
      <c r="D17" s="17"/>
      <c r="E17" s="17"/>
      <c r="F17" s="17"/>
      <c r="G17" s="17"/>
      <c r="H17" s="17"/>
      <c r="I17" s="89"/>
    </row>
    <row r="18" spans="2:9" hidden="1" x14ac:dyDescent="0.25">
      <c r="B18" s="11">
        <v>1</v>
      </c>
      <c r="C18" s="17" t="s">
        <v>281</v>
      </c>
      <c r="D18" s="17"/>
      <c r="E18" s="17"/>
      <c r="F18" s="17"/>
      <c r="G18" s="17"/>
      <c r="H18" s="86">
        <f>G18-E18</f>
        <v>0</v>
      </c>
      <c r="I18" s="88" t="e">
        <f>H18/E18</f>
        <v>#DIV/0!</v>
      </c>
    </row>
    <row r="19" spans="2:9" hidden="1" x14ac:dyDescent="0.25">
      <c r="B19" s="11">
        <f>B18+1</f>
        <v>2</v>
      </c>
      <c r="C19" s="17" t="s">
        <v>282</v>
      </c>
      <c r="D19" s="17"/>
      <c r="E19" s="17"/>
      <c r="F19" s="17"/>
      <c r="G19" s="17"/>
      <c r="H19" s="86">
        <f>G19-E19</f>
        <v>0</v>
      </c>
      <c r="I19" s="88" t="e">
        <f>H19/E19</f>
        <v>#DIV/0!</v>
      </c>
    </row>
    <row r="20" spans="2:9" hidden="1" x14ac:dyDescent="0.25">
      <c r="B20" s="11"/>
      <c r="C20" s="17" t="s">
        <v>283</v>
      </c>
      <c r="D20" s="17"/>
      <c r="E20" s="17"/>
      <c r="F20" s="17"/>
      <c r="G20" s="17"/>
      <c r="H20" s="17"/>
      <c r="I20" s="17"/>
    </row>
    <row r="21" spans="2:9" hidden="1" x14ac:dyDescent="0.25">
      <c r="B21" s="11"/>
      <c r="C21" s="13" t="s">
        <v>287</v>
      </c>
      <c r="D21" s="17"/>
      <c r="E21" s="17"/>
      <c r="F21" s="17"/>
      <c r="G21" s="17"/>
      <c r="H21" s="17"/>
      <c r="I21" s="17"/>
    </row>
    <row r="22" spans="2:9" ht="14.25" hidden="1" customHeight="1" x14ac:dyDescent="0.25">
      <c r="B22" s="751" t="s">
        <v>290</v>
      </c>
      <c r="C22" s="752"/>
      <c r="D22" s="17"/>
      <c r="E22" s="17"/>
      <c r="F22" s="17"/>
      <c r="G22" s="17"/>
      <c r="H22" s="17"/>
      <c r="I22" s="17"/>
    </row>
    <row r="23" spans="2:9" hidden="1" x14ac:dyDescent="0.25"/>
    <row r="24" spans="2:9" hidden="1" x14ac:dyDescent="0.25">
      <c r="B24" s="22" t="s">
        <v>291</v>
      </c>
    </row>
    <row r="25" spans="2:9" ht="27.6" hidden="1" x14ac:dyDescent="0.25">
      <c r="B25" s="7" t="s">
        <v>4</v>
      </c>
      <c r="C25" s="7" t="s">
        <v>272</v>
      </c>
      <c r="D25" s="7" t="s">
        <v>273</v>
      </c>
      <c r="E25" s="7" t="s">
        <v>274</v>
      </c>
      <c r="F25" s="7" t="s">
        <v>275</v>
      </c>
      <c r="G25" s="7" t="s">
        <v>276</v>
      </c>
      <c r="H25" s="7" t="s">
        <v>277</v>
      </c>
      <c r="I25" s="7" t="s">
        <v>278</v>
      </c>
    </row>
    <row r="26" spans="2:9" hidden="1" x14ac:dyDescent="0.25">
      <c r="B26" s="7" t="s">
        <v>279</v>
      </c>
      <c r="C26" s="7" t="s">
        <v>280</v>
      </c>
      <c r="D26" s="7"/>
      <c r="E26" s="7"/>
      <c r="F26" s="7"/>
      <c r="G26" s="7"/>
      <c r="H26" s="7"/>
      <c r="I26" s="7"/>
    </row>
    <row r="27" spans="2:9" hidden="1" x14ac:dyDescent="0.25">
      <c r="B27" s="11">
        <v>1</v>
      </c>
      <c r="C27" s="17" t="s">
        <v>281</v>
      </c>
      <c r="D27" s="17"/>
      <c r="E27" s="17"/>
      <c r="F27" s="17"/>
      <c r="G27" s="17"/>
      <c r="H27" s="86">
        <f>G27-E27</f>
        <v>0</v>
      </c>
      <c r="I27" s="88" t="e">
        <f>H27/E27</f>
        <v>#DIV/0!</v>
      </c>
    </row>
    <row r="28" spans="2:9" hidden="1" x14ac:dyDescent="0.25">
      <c r="B28" s="11">
        <f>B27+1</f>
        <v>2</v>
      </c>
      <c r="C28" s="17" t="s">
        <v>282</v>
      </c>
      <c r="D28" s="17"/>
      <c r="E28" s="17"/>
      <c r="F28" s="17"/>
      <c r="G28" s="17"/>
      <c r="H28" s="86">
        <f>G28-E28</f>
        <v>0</v>
      </c>
      <c r="I28" s="88" t="e">
        <f>H28/E28</f>
        <v>#DIV/0!</v>
      </c>
    </row>
    <row r="29" spans="2:9" hidden="1" x14ac:dyDescent="0.25">
      <c r="B29" s="11"/>
      <c r="C29" s="17" t="s">
        <v>283</v>
      </c>
      <c r="D29" s="17"/>
      <c r="E29" s="17"/>
      <c r="F29" s="17"/>
      <c r="G29" s="17"/>
      <c r="H29" s="17"/>
      <c r="I29" s="89"/>
    </row>
    <row r="30" spans="2:9" hidden="1" x14ac:dyDescent="0.25">
      <c r="B30" s="11"/>
      <c r="C30" s="13" t="s">
        <v>284</v>
      </c>
      <c r="D30" s="17"/>
      <c r="E30" s="17"/>
      <c r="F30" s="17"/>
      <c r="G30" s="17"/>
      <c r="H30" s="17"/>
      <c r="I30" s="89"/>
    </row>
    <row r="31" spans="2:9" hidden="1" x14ac:dyDescent="0.25">
      <c r="B31" s="7" t="s">
        <v>285</v>
      </c>
      <c r="C31" s="7" t="s">
        <v>286</v>
      </c>
      <c r="D31" s="17"/>
      <c r="E31" s="17"/>
      <c r="F31" s="17"/>
      <c r="G31" s="17"/>
      <c r="H31" s="17"/>
      <c r="I31" s="89"/>
    </row>
    <row r="32" spans="2:9" hidden="1" x14ac:dyDescent="0.25">
      <c r="B32" s="11">
        <v>1</v>
      </c>
      <c r="C32" s="17" t="s">
        <v>281</v>
      </c>
      <c r="D32" s="17"/>
      <c r="E32" s="17"/>
      <c r="F32" s="17"/>
      <c r="G32" s="17"/>
      <c r="H32" s="86">
        <f>G32-E32</f>
        <v>0</v>
      </c>
      <c r="I32" s="88" t="e">
        <f t="shared" ref="I32:I33" si="1">H32/E32</f>
        <v>#DIV/0!</v>
      </c>
    </row>
    <row r="33" spans="2:9" hidden="1" x14ac:dyDescent="0.25">
      <c r="B33" s="11">
        <f>B32+1</f>
        <v>2</v>
      </c>
      <c r="C33" s="17" t="s">
        <v>282</v>
      </c>
      <c r="D33" s="17"/>
      <c r="E33" s="17"/>
      <c r="F33" s="17"/>
      <c r="G33" s="17"/>
      <c r="H33" s="86">
        <f>G33-E33</f>
        <v>0</v>
      </c>
      <c r="I33" s="88" t="e">
        <f t="shared" si="1"/>
        <v>#DIV/0!</v>
      </c>
    </row>
    <row r="34" spans="2:9" hidden="1" x14ac:dyDescent="0.25">
      <c r="B34" s="11"/>
      <c r="C34" s="17" t="s">
        <v>283</v>
      </c>
      <c r="D34" s="17"/>
      <c r="E34" s="17"/>
      <c r="F34" s="17"/>
      <c r="G34" s="17"/>
      <c r="H34" s="17"/>
      <c r="I34" s="89"/>
    </row>
    <row r="35" spans="2:9" hidden="1" x14ac:dyDescent="0.25">
      <c r="B35" s="11"/>
      <c r="C35" s="13" t="s">
        <v>287</v>
      </c>
      <c r="D35" s="17"/>
      <c r="E35" s="17"/>
      <c r="F35" s="17"/>
      <c r="G35" s="17"/>
      <c r="H35" s="17"/>
      <c r="I35" s="89"/>
    </row>
    <row r="36" spans="2:9" hidden="1" x14ac:dyDescent="0.25">
      <c r="B36" s="7" t="s">
        <v>288</v>
      </c>
      <c r="C36" s="7" t="s">
        <v>289</v>
      </c>
      <c r="D36" s="17"/>
      <c r="E36" s="17"/>
      <c r="F36" s="17"/>
      <c r="G36" s="17"/>
      <c r="H36" s="17"/>
      <c r="I36" s="89"/>
    </row>
    <row r="37" spans="2:9" hidden="1" x14ac:dyDescent="0.25">
      <c r="B37" s="11">
        <v>1</v>
      </c>
      <c r="C37" s="17" t="s">
        <v>281</v>
      </c>
      <c r="D37" s="17"/>
      <c r="E37" s="17"/>
      <c r="F37" s="17"/>
      <c r="G37" s="17"/>
      <c r="H37" s="86">
        <f>G37-E37</f>
        <v>0</v>
      </c>
      <c r="I37" s="88" t="e">
        <f>H37/E37</f>
        <v>#DIV/0!</v>
      </c>
    </row>
    <row r="38" spans="2:9" hidden="1" x14ac:dyDescent="0.25">
      <c r="B38" s="11">
        <f>B37+1</f>
        <v>2</v>
      </c>
      <c r="C38" s="17" t="s">
        <v>282</v>
      </c>
      <c r="D38" s="17"/>
      <c r="E38" s="17"/>
      <c r="F38" s="17"/>
      <c r="G38" s="17"/>
      <c r="H38" s="86">
        <f>G38-E38</f>
        <v>0</v>
      </c>
      <c r="I38" s="88" t="e">
        <f>H38/E38</f>
        <v>#DIV/0!</v>
      </c>
    </row>
    <row r="39" spans="2:9" hidden="1" x14ac:dyDescent="0.25">
      <c r="B39" s="11"/>
      <c r="C39" s="17" t="s">
        <v>283</v>
      </c>
      <c r="D39" s="17"/>
      <c r="E39" s="17"/>
      <c r="F39" s="17"/>
      <c r="G39" s="17"/>
      <c r="H39" s="17"/>
      <c r="I39" s="17"/>
    </row>
    <row r="40" spans="2:9" hidden="1" x14ac:dyDescent="0.25">
      <c r="B40" s="11"/>
      <c r="C40" s="13" t="s">
        <v>287</v>
      </c>
      <c r="D40" s="17"/>
      <c r="E40" s="17"/>
      <c r="F40" s="17"/>
      <c r="G40" s="17"/>
      <c r="H40" s="17"/>
      <c r="I40" s="17"/>
    </row>
    <row r="41" spans="2:9" hidden="1" x14ac:dyDescent="0.25">
      <c r="B41" s="751" t="s">
        <v>290</v>
      </c>
      <c r="C41" s="752"/>
      <c r="D41" s="17"/>
      <c r="E41" s="17"/>
      <c r="F41" s="17"/>
      <c r="G41" s="17"/>
      <c r="H41" s="17"/>
      <c r="I41" s="17"/>
    </row>
    <row r="42" spans="2:9" hidden="1" x14ac:dyDescent="0.25"/>
    <row r="43" spans="2:9" hidden="1" x14ac:dyDescent="0.25">
      <c r="B43" s="22" t="s">
        <v>292</v>
      </c>
    </row>
    <row r="44" spans="2:9" ht="27.6" hidden="1" x14ac:dyDescent="0.25">
      <c r="B44" s="7" t="s">
        <v>4</v>
      </c>
      <c r="C44" s="7" t="s">
        <v>272</v>
      </c>
      <c r="D44" s="7" t="s">
        <v>273</v>
      </c>
      <c r="E44" s="7" t="s">
        <v>274</v>
      </c>
      <c r="F44" s="7" t="s">
        <v>275</v>
      </c>
      <c r="G44" s="7" t="s">
        <v>276</v>
      </c>
      <c r="H44" s="7" t="s">
        <v>277</v>
      </c>
      <c r="I44" s="7" t="s">
        <v>278</v>
      </c>
    </row>
    <row r="45" spans="2:9" hidden="1" x14ac:dyDescent="0.25">
      <c r="B45" s="7" t="s">
        <v>279</v>
      </c>
      <c r="C45" s="7" t="s">
        <v>280</v>
      </c>
      <c r="D45" s="7"/>
      <c r="E45" s="7"/>
      <c r="F45" s="7"/>
      <c r="G45" s="7"/>
      <c r="H45" s="7"/>
      <c r="I45" s="7"/>
    </row>
    <row r="46" spans="2:9" hidden="1" x14ac:dyDescent="0.25">
      <c r="B46" s="11">
        <v>1</v>
      </c>
      <c r="C46" s="17" t="s">
        <v>281</v>
      </c>
      <c r="D46" s="17"/>
      <c r="E46" s="17"/>
      <c r="F46" s="17"/>
      <c r="G46" s="17"/>
      <c r="H46" s="86">
        <f>G46-E46</f>
        <v>0</v>
      </c>
      <c r="I46" s="88" t="e">
        <f>H46/E46</f>
        <v>#DIV/0!</v>
      </c>
    </row>
    <row r="47" spans="2:9" hidden="1" x14ac:dyDescent="0.25">
      <c r="B47" s="11">
        <f>B46+1</f>
        <v>2</v>
      </c>
      <c r="C47" s="17" t="s">
        <v>282</v>
      </c>
      <c r="D47" s="17"/>
      <c r="E47" s="17"/>
      <c r="F47" s="17"/>
      <c r="G47" s="17"/>
      <c r="H47" s="86">
        <f>G47-E47</f>
        <v>0</v>
      </c>
      <c r="I47" s="88" t="e">
        <f>H47/E47</f>
        <v>#DIV/0!</v>
      </c>
    </row>
    <row r="48" spans="2:9" hidden="1" x14ac:dyDescent="0.25">
      <c r="B48" s="11"/>
      <c r="C48" s="17" t="s">
        <v>283</v>
      </c>
      <c r="D48" s="17"/>
      <c r="E48" s="17"/>
      <c r="F48" s="17"/>
      <c r="G48" s="17"/>
      <c r="H48" s="17"/>
      <c r="I48" s="89"/>
    </row>
    <row r="49" spans="2:9" hidden="1" x14ac:dyDescent="0.25">
      <c r="B49" s="11"/>
      <c r="C49" s="13" t="s">
        <v>284</v>
      </c>
      <c r="D49" s="17"/>
      <c r="E49" s="17"/>
      <c r="F49" s="17"/>
      <c r="G49" s="17"/>
      <c r="H49" s="17"/>
      <c r="I49" s="89"/>
    </row>
    <row r="50" spans="2:9" hidden="1" x14ac:dyDescent="0.25">
      <c r="B50" s="7" t="s">
        <v>285</v>
      </c>
      <c r="C50" s="7" t="s">
        <v>286</v>
      </c>
      <c r="D50" s="17"/>
      <c r="E50" s="17"/>
      <c r="F50" s="17"/>
      <c r="G50" s="17"/>
      <c r="H50" s="17"/>
      <c r="I50" s="89"/>
    </row>
    <row r="51" spans="2:9" hidden="1" x14ac:dyDescent="0.25">
      <c r="B51" s="11">
        <v>1</v>
      </c>
      <c r="C51" s="17" t="s">
        <v>281</v>
      </c>
      <c r="D51" s="17"/>
      <c r="E51" s="17"/>
      <c r="F51" s="17"/>
      <c r="G51" s="17"/>
      <c r="H51" s="86">
        <f>G51-E51</f>
        <v>0</v>
      </c>
      <c r="I51" s="88" t="e">
        <f t="shared" ref="I51:I52" si="2">H51/E51</f>
        <v>#DIV/0!</v>
      </c>
    </row>
    <row r="52" spans="2:9" hidden="1" x14ac:dyDescent="0.25">
      <c r="B52" s="11">
        <f>B51+1</f>
        <v>2</v>
      </c>
      <c r="C52" s="17" t="s">
        <v>282</v>
      </c>
      <c r="D52" s="17"/>
      <c r="E52" s="17"/>
      <c r="F52" s="17"/>
      <c r="G52" s="17"/>
      <c r="H52" s="86">
        <f>G52-E52</f>
        <v>0</v>
      </c>
      <c r="I52" s="88" t="e">
        <f t="shared" si="2"/>
        <v>#DIV/0!</v>
      </c>
    </row>
    <row r="53" spans="2:9" hidden="1" x14ac:dyDescent="0.25">
      <c r="B53" s="11"/>
      <c r="C53" s="17" t="s">
        <v>283</v>
      </c>
      <c r="D53" s="17"/>
      <c r="E53" s="17"/>
      <c r="F53" s="17"/>
      <c r="G53" s="17"/>
      <c r="H53" s="17"/>
      <c r="I53" s="89"/>
    </row>
    <row r="54" spans="2:9" hidden="1" x14ac:dyDescent="0.25">
      <c r="B54" s="11"/>
      <c r="C54" s="13" t="s">
        <v>287</v>
      </c>
      <c r="D54" s="17"/>
      <c r="E54" s="17"/>
      <c r="F54" s="17"/>
      <c r="G54" s="17"/>
      <c r="H54" s="17"/>
      <c r="I54" s="89"/>
    </row>
    <row r="55" spans="2:9" hidden="1" x14ac:dyDescent="0.25">
      <c r="B55" s="7" t="s">
        <v>288</v>
      </c>
      <c r="C55" s="7" t="s">
        <v>289</v>
      </c>
      <c r="D55" s="17"/>
      <c r="E55" s="17"/>
      <c r="F55" s="17"/>
      <c r="G55" s="17"/>
      <c r="H55" s="17"/>
      <c r="I55" s="89"/>
    </row>
    <row r="56" spans="2:9" hidden="1" x14ac:dyDescent="0.25">
      <c r="B56" s="11">
        <v>1</v>
      </c>
      <c r="C56" s="17" t="s">
        <v>281</v>
      </c>
      <c r="D56" s="17"/>
      <c r="E56" s="17"/>
      <c r="F56" s="17"/>
      <c r="G56" s="17"/>
      <c r="H56" s="86">
        <f>G56-E56</f>
        <v>0</v>
      </c>
      <c r="I56" s="88" t="e">
        <f>H56/E56</f>
        <v>#DIV/0!</v>
      </c>
    </row>
    <row r="57" spans="2:9" hidden="1" x14ac:dyDescent="0.25">
      <c r="B57" s="11">
        <f>B56+1</f>
        <v>2</v>
      </c>
      <c r="C57" s="17" t="s">
        <v>282</v>
      </c>
      <c r="D57" s="17"/>
      <c r="E57" s="17"/>
      <c r="F57" s="17"/>
      <c r="G57" s="17"/>
      <c r="H57" s="86">
        <f>G57-E57</f>
        <v>0</v>
      </c>
      <c r="I57" s="88" t="e">
        <f>H57/E57</f>
        <v>#DIV/0!</v>
      </c>
    </row>
    <row r="58" spans="2:9" hidden="1" x14ac:dyDescent="0.25">
      <c r="B58" s="11"/>
      <c r="C58" s="17" t="s">
        <v>283</v>
      </c>
      <c r="D58" s="17"/>
      <c r="E58" s="17"/>
      <c r="F58" s="17"/>
      <c r="G58" s="17"/>
      <c r="H58" s="17"/>
      <c r="I58" s="17"/>
    </row>
    <row r="59" spans="2:9" hidden="1" x14ac:dyDescent="0.25">
      <c r="B59" s="11"/>
      <c r="C59" s="13" t="s">
        <v>287</v>
      </c>
      <c r="D59" s="17"/>
      <c r="E59" s="17"/>
      <c r="F59" s="17"/>
      <c r="G59" s="17"/>
      <c r="H59" s="17"/>
      <c r="I59" s="17"/>
    </row>
    <row r="60" spans="2:9" hidden="1" x14ac:dyDescent="0.25">
      <c r="B60" s="751" t="s">
        <v>290</v>
      </c>
      <c r="C60" s="752"/>
      <c r="D60" s="17"/>
      <c r="E60" s="17"/>
      <c r="F60" s="17"/>
      <c r="G60" s="17"/>
      <c r="H60" s="17"/>
      <c r="I60" s="17"/>
    </row>
    <row r="61" spans="2:9" hidden="1" x14ac:dyDescent="0.25"/>
    <row r="62" spans="2:9" x14ac:dyDescent="0.25">
      <c r="B62" s="22" t="s">
        <v>1226</v>
      </c>
    </row>
    <row r="63" spans="2:9" ht="27.6" x14ac:dyDescent="0.25">
      <c r="B63" s="7" t="s">
        <v>4</v>
      </c>
      <c r="C63" s="7" t="s">
        <v>272</v>
      </c>
      <c r="D63" s="7" t="s">
        <v>273</v>
      </c>
      <c r="E63" s="7" t="s">
        <v>274</v>
      </c>
      <c r="F63" s="7" t="s">
        <v>275</v>
      </c>
      <c r="G63" s="7" t="s">
        <v>276</v>
      </c>
      <c r="H63" s="7" t="s">
        <v>277</v>
      </c>
      <c r="I63" s="7" t="s">
        <v>278</v>
      </c>
    </row>
    <row r="64" spans="2:9" x14ac:dyDescent="0.25">
      <c r="B64" s="7" t="s">
        <v>279</v>
      </c>
      <c r="C64" s="7" t="s">
        <v>280</v>
      </c>
      <c r="D64" s="508">
        <f>'F6'!L18</f>
        <v>23344.211838020612</v>
      </c>
      <c r="E64" s="508">
        <f>'F6'!L22</f>
        <v>21873.878374255841</v>
      </c>
      <c r="F64" s="508">
        <f>'F6'!L19</f>
        <v>777.01037217555916</v>
      </c>
      <c r="G64" s="508">
        <f>D64-H64</f>
        <v>22650.888746431399</v>
      </c>
      <c r="H64" s="508">
        <f>'F6'!L21</f>
        <v>693.32309158921112</v>
      </c>
      <c r="I64" s="507">
        <f>H64/D64</f>
        <v>2.9699999999999956E-2</v>
      </c>
    </row>
    <row r="65" spans="2:9" ht="13.95" hidden="1" customHeight="1" x14ac:dyDescent="0.25">
      <c r="B65" s="11">
        <v>1</v>
      </c>
      <c r="C65" s="17" t="s">
        <v>281</v>
      </c>
      <c r="D65" s="510"/>
      <c r="E65" s="508">
        <f>'F6'!L23</f>
        <v>0</v>
      </c>
      <c r="F65" s="508">
        <f>'F6'!M23</f>
        <v>0</v>
      </c>
      <c r="G65" s="508">
        <f t="shared" ref="G65:G74" si="3">D65-H65</f>
        <v>-21873.878374255841</v>
      </c>
      <c r="H65" s="508">
        <f>'F6'!L22</f>
        <v>21873.878374255841</v>
      </c>
      <c r="I65" s="507" t="e">
        <f t="shared" ref="I65:I74" si="4">H65/D65</f>
        <v>#DIV/0!</v>
      </c>
    </row>
    <row r="66" spans="2:9" ht="13.95" hidden="1" customHeight="1" x14ac:dyDescent="0.25">
      <c r="B66" s="11">
        <f>B65+1</f>
        <v>2</v>
      </c>
      <c r="C66" s="17" t="s">
        <v>282</v>
      </c>
      <c r="D66" s="510"/>
      <c r="E66" s="508">
        <f>'F6'!L24</f>
        <v>21873.878374255841</v>
      </c>
      <c r="F66" s="508">
        <f>'F6'!M24</f>
        <v>19248.982671901038</v>
      </c>
      <c r="G66" s="508">
        <f t="shared" si="3"/>
        <v>0</v>
      </c>
      <c r="H66" s="508">
        <f>'F6'!L23</f>
        <v>0</v>
      </c>
      <c r="I66" s="507" t="e">
        <f t="shared" si="4"/>
        <v>#DIV/0!</v>
      </c>
    </row>
    <row r="67" spans="2:9" hidden="1" x14ac:dyDescent="0.25">
      <c r="B67" s="11"/>
      <c r="C67" s="17" t="s">
        <v>283</v>
      </c>
      <c r="D67" s="510"/>
      <c r="E67" s="508">
        <f>'F6'!L25</f>
        <v>0</v>
      </c>
      <c r="F67" s="508">
        <f>'F6'!M25</f>
        <v>0</v>
      </c>
      <c r="G67" s="508">
        <f t="shared" si="3"/>
        <v>-21873.878374255841</v>
      </c>
      <c r="H67" s="508">
        <f>'F6'!L24</f>
        <v>21873.878374255841</v>
      </c>
      <c r="I67" s="507" t="e">
        <f t="shared" si="4"/>
        <v>#DIV/0!</v>
      </c>
    </row>
    <row r="68" spans="2:9" hidden="1" x14ac:dyDescent="0.25">
      <c r="B68" s="11"/>
      <c r="C68" s="13" t="s">
        <v>284</v>
      </c>
      <c r="D68" s="510"/>
      <c r="E68" s="508">
        <f>'F6'!L26</f>
        <v>2922.5039022372134</v>
      </c>
      <c r="F68" s="508">
        <f>'F6'!M26</f>
        <v>3000.6283816824503</v>
      </c>
      <c r="G68" s="508">
        <f t="shared" si="3"/>
        <v>0</v>
      </c>
      <c r="H68" s="508">
        <f>'F6'!L25</f>
        <v>0</v>
      </c>
      <c r="I68" s="507" t="e">
        <f t="shared" si="4"/>
        <v>#DIV/0!</v>
      </c>
    </row>
    <row r="69" spans="2:9" x14ac:dyDescent="0.25">
      <c r="B69" s="7" t="s">
        <v>285</v>
      </c>
      <c r="C69" s="7" t="s">
        <v>286</v>
      </c>
      <c r="D69" s="510">
        <f>E64</f>
        <v>21873.878374255841</v>
      </c>
      <c r="E69" s="508">
        <f>'F6'!L29</f>
        <v>18139.853584333738</v>
      </c>
      <c r="F69" s="508">
        <f>'F6'!L26</f>
        <v>2922.5039022372134</v>
      </c>
      <c r="G69" s="508">
        <f t="shared" si="3"/>
        <v>21062.357486570949</v>
      </c>
      <c r="H69" s="508">
        <f>'F6'!L28</f>
        <v>811.52088768489193</v>
      </c>
      <c r="I69" s="507">
        <f t="shared" si="4"/>
        <v>3.7100000000000008E-2</v>
      </c>
    </row>
    <row r="70" spans="2:9" hidden="1" x14ac:dyDescent="0.25">
      <c r="B70" s="11">
        <v>1</v>
      </c>
      <c r="C70" s="17" t="s">
        <v>281</v>
      </c>
      <c r="D70" s="510"/>
      <c r="E70" s="510"/>
      <c r="F70" s="510"/>
      <c r="G70" s="508">
        <f t="shared" si="3"/>
        <v>-3.7100000000000008E-2</v>
      </c>
      <c r="H70" s="508">
        <f>'F6'!L27</f>
        <v>3.7100000000000008E-2</v>
      </c>
      <c r="I70" s="507" t="e">
        <f t="shared" si="4"/>
        <v>#DIV/0!</v>
      </c>
    </row>
    <row r="71" spans="2:9" hidden="1" x14ac:dyDescent="0.25">
      <c r="B71" s="11">
        <f>B70+1</f>
        <v>2</v>
      </c>
      <c r="C71" s="17" t="s">
        <v>282</v>
      </c>
      <c r="D71" s="510"/>
      <c r="E71" s="510"/>
      <c r="F71" s="510"/>
      <c r="G71" s="508">
        <f t="shared" si="3"/>
        <v>-811.52088768489193</v>
      </c>
      <c r="H71" s="508">
        <f>'F6'!L28</f>
        <v>811.52088768489193</v>
      </c>
      <c r="I71" s="507" t="e">
        <f t="shared" si="4"/>
        <v>#DIV/0!</v>
      </c>
    </row>
    <row r="72" spans="2:9" hidden="1" x14ac:dyDescent="0.25">
      <c r="B72" s="11"/>
      <c r="C72" s="17" t="s">
        <v>283</v>
      </c>
      <c r="D72" s="510"/>
      <c r="E72" s="510"/>
      <c r="F72" s="510"/>
      <c r="G72" s="508">
        <f t="shared" si="3"/>
        <v>-18139.853584333738</v>
      </c>
      <c r="H72" s="508">
        <f>'F6'!L29</f>
        <v>18139.853584333738</v>
      </c>
      <c r="I72" s="507" t="e">
        <f t="shared" si="4"/>
        <v>#DIV/0!</v>
      </c>
    </row>
    <row r="73" spans="2:9" hidden="1" x14ac:dyDescent="0.25">
      <c r="B73" s="11"/>
      <c r="C73" s="13" t="s">
        <v>287</v>
      </c>
      <c r="D73" s="510"/>
      <c r="E73" s="510"/>
      <c r="F73" s="510"/>
      <c r="G73" s="508">
        <f t="shared" si="3"/>
        <v>0</v>
      </c>
      <c r="H73" s="508">
        <f>'F6'!L30</f>
        <v>0</v>
      </c>
      <c r="I73" s="507" t="e">
        <f t="shared" si="4"/>
        <v>#DIV/0!</v>
      </c>
    </row>
    <row r="74" spans="2:9" x14ac:dyDescent="0.25">
      <c r="B74" s="7" t="s">
        <v>288</v>
      </c>
      <c r="C74" s="7" t="s">
        <v>289</v>
      </c>
      <c r="D74" s="510">
        <f>E69</f>
        <v>18139.853584333738</v>
      </c>
      <c r="E74" s="510">
        <v>0</v>
      </c>
      <c r="F74" s="510">
        <f>G74</f>
        <v>17296.350392662218</v>
      </c>
      <c r="G74" s="508">
        <f t="shared" si="3"/>
        <v>17296.350392662218</v>
      </c>
      <c r="H74" s="508">
        <f>'F6'!L35</f>
        <v>843.50319167151849</v>
      </c>
      <c r="I74" s="507">
        <f t="shared" si="4"/>
        <v>4.6499999999999986E-2</v>
      </c>
    </row>
    <row r="75" spans="2:9" hidden="1" x14ac:dyDescent="0.25">
      <c r="B75" s="11">
        <v>1</v>
      </c>
      <c r="C75" s="17" t="s">
        <v>281</v>
      </c>
      <c r="D75" s="17"/>
      <c r="E75" s="17"/>
      <c r="F75" s="17"/>
      <c r="G75" s="17"/>
      <c r="H75" s="87">
        <f>'F6'!L32</f>
        <v>0</v>
      </c>
      <c r="I75" s="88" t="e">
        <f>H75/E75</f>
        <v>#DIV/0!</v>
      </c>
    </row>
    <row r="76" spans="2:9" hidden="1" x14ac:dyDescent="0.25">
      <c r="B76" s="11">
        <f>B75+1</f>
        <v>2</v>
      </c>
      <c r="C76" s="17" t="s">
        <v>282</v>
      </c>
      <c r="D76" s="17"/>
      <c r="E76" s="17"/>
      <c r="F76" s="17"/>
      <c r="G76" s="17"/>
      <c r="H76" s="87">
        <f>'F6'!L33</f>
        <v>17296.350392662218</v>
      </c>
      <c r="I76" s="88" t="e">
        <f>H76/E76</f>
        <v>#DIV/0!</v>
      </c>
    </row>
    <row r="77" spans="2:9" hidden="1" x14ac:dyDescent="0.25">
      <c r="B77" s="11"/>
      <c r="C77" s="17" t="s">
        <v>283</v>
      </c>
      <c r="D77" s="17"/>
      <c r="E77" s="17"/>
      <c r="F77" s="17"/>
      <c r="G77" s="17"/>
      <c r="H77" s="87">
        <f>'F6'!L34</f>
        <v>4.6499999999999986E-2</v>
      </c>
      <c r="I77" s="17"/>
    </row>
    <row r="78" spans="2:9" hidden="1" x14ac:dyDescent="0.25">
      <c r="B78" s="11"/>
      <c r="C78" s="13" t="s">
        <v>287</v>
      </c>
      <c r="D78" s="17"/>
      <c r="E78" s="17"/>
      <c r="F78" s="17"/>
      <c r="G78" s="17"/>
      <c r="H78" s="87">
        <f>'F6'!L35</f>
        <v>843.50319167151849</v>
      </c>
      <c r="I78" s="17"/>
    </row>
    <row r="79" spans="2:9" x14ac:dyDescent="0.25">
      <c r="B79" s="751" t="s">
        <v>290</v>
      </c>
      <c r="C79" s="752"/>
      <c r="D79" s="17"/>
      <c r="E79" s="17"/>
      <c r="F79" s="17"/>
      <c r="G79" s="17"/>
      <c r="H79" s="17"/>
      <c r="I79" s="17"/>
    </row>
    <row r="81" spans="2:9" hidden="1" x14ac:dyDescent="0.25">
      <c r="B81" s="22" t="s">
        <v>293</v>
      </c>
    </row>
    <row r="82" spans="2:9" ht="27.6" hidden="1" x14ac:dyDescent="0.25">
      <c r="B82" s="7" t="s">
        <v>4</v>
      </c>
      <c r="C82" s="7" t="s">
        <v>272</v>
      </c>
      <c r="D82" s="7" t="s">
        <v>273</v>
      </c>
      <c r="E82" s="7" t="s">
        <v>274</v>
      </c>
      <c r="F82" s="7" t="s">
        <v>275</v>
      </c>
      <c r="G82" s="7" t="s">
        <v>276</v>
      </c>
      <c r="H82" s="7" t="s">
        <v>277</v>
      </c>
      <c r="I82" s="7" t="s">
        <v>278</v>
      </c>
    </row>
    <row r="83" spans="2:9" hidden="1" x14ac:dyDescent="0.25">
      <c r="B83" s="7" t="s">
        <v>279</v>
      </c>
      <c r="C83" s="7" t="s">
        <v>280</v>
      </c>
      <c r="D83" s="7"/>
      <c r="E83" s="7"/>
      <c r="F83" s="7"/>
      <c r="G83" s="7"/>
      <c r="H83" s="7"/>
      <c r="I83" s="7"/>
    </row>
    <row r="84" spans="2:9" hidden="1" x14ac:dyDescent="0.25">
      <c r="B84" s="11">
        <v>1</v>
      </c>
      <c r="C84" s="17" t="s">
        <v>281</v>
      </c>
      <c r="D84" s="17"/>
      <c r="E84" s="17"/>
      <c r="F84" s="17"/>
      <c r="G84" s="17"/>
      <c r="H84" s="86">
        <f>G84-E84</f>
        <v>0</v>
      </c>
      <c r="I84" s="88" t="e">
        <f>H84/E84</f>
        <v>#DIV/0!</v>
      </c>
    </row>
    <row r="85" spans="2:9" hidden="1" x14ac:dyDescent="0.25">
      <c r="B85" s="11">
        <f>B84+1</f>
        <v>2</v>
      </c>
      <c r="C85" s="17" t="s">
        <v>282</v>
      </c>
      <c r="D85" s="17"/>
      <c r="E85" s="17"/>
      <c r="F85" s="17"/>
      <c r="G85" s="17"/>
      <c r="H85" s="86">
        <f>G85-E85</f>
        <v>0</v>
      </c>
      <c r="I85" s="88" t="e">
        <f>H85/E85</f>
        <v>#DIV/0!</v>
      </c>
    </row>
    <row r="86" spans="2:9" hidden="1" x14ac:dyDescent="0.25">
      <c r="B86" s="11"/>
      <c r="C86" s="17" t="s">
        <v>283</v>
      </c>
      <c r="D86" s="17"/>
      <c r="E86" s="17"/>
      <c r="F86" s="17"/>
      <c r="G86" s="17"/>
      <c r="H86" s="17"/>
      <c r="I86" s="89"/>
    </row>
    <row r="87" spans="2:9" hidden="1" x14ac:dyDescent="0.25">
      <c r="B87" s="11"/>
      <c r="C87" s="13" t="s">
        <v>284</v>
      </c>
      <c r="D87" s="17"/>
      <c r="E87" s="17"/>
      <c r="F87" s="17"/>
      <c r="G87" s="17"/>
      <c r="H87" s="17"/>
      <c r="I87" s="89"/>
    </row>
    <row r="88" spans="2:9" hidden="1" x14ac:dyDescent="0.25">
      <c r="B88" s="7" t="s">
        <v>285</v>
      </c>
      <c r="C88" s="7" t="s">
        <v>286</v>
      </c>
      <c r="D88" s="17"/>
      <c r="E88" s="17"/>
      <c r="F88" s="17"/>
      <c r="G88" s="17"/>
      <c r="H88" s="17"/>
      <c r="I88" s="89"/>
    </row>
    <row r="89" spans="2:9" hidden="1" x14ac:dyDescent="0.25">
      <c r="B89" s="11">
        <v>1</v>
      </c>
      <c r="C89" s="17" t="s">
        <v>281</v>
      </c>
      <c r="D89" s="17"/>
      <c r="E89" s="17"/>
      <c r="F89" s="17"/>
      <c r="G89" s="17"/>
      <c r="H89" s="86">
        <f>G89-E89</f>
        <v>0</v>
      </c>
      <c r="I89" s="88" t="e">
        <f t="shared" ref="I89:I90" si="5">H89/E89</f>
        <v>#DIV/0!</v>
      </c>
    </row>
    <row r="90" spans="2:9" hidden="1" x14ac:dyDescent="0.25">
      <c r="B90" s="11">
        <f>B89+1</f>
        <v>2</v>
      </c>
      <c r="C90" s="17" t="s">
        <v>282</v>
      </c>
      <c r="D90" s="17"/>
      <c r="E90" s="17"/>
      <c r="F90" s="17"/>
      <c r="G90" s="17"/>
      <c r="H90" s="86">
        <f>G90-E90</f>
        <v>0</v>
      </c>
      <c r="I90" s="88" t="e">
        <f t="shared" si="5"/>
        <v>#DIV/0!</v>
      </c>
    </row>
    <row r="91" spans="2:9" hidden="1" x14ac:dyDescent="0.25">
      <c r="B91" s="11"/>
      <c r="C91" s="17" t="s">
        <v>283</v>
      </c>
      <c r="D91" s="17"/>
      <c r="E91" s="17"/>
      <c r="F91" s="17"/>
      <c r="G91" s="17"/>
      <c r="H91" s="17"/>
      <c r="I91" s="89"/>
    </row>
    <row r="92" spans="2:9" hidden="1" x14ac:dyDescent="0.25">
      <c r="B92" s="11"/>
      <c r="C92" s="13" t="s">
        <v>287</v>
      </c>
      <c r="D92" s="17"/>
      <c r="E92" s="17"/>
      <c r="F92" s="17"/>
      <c r="G92" s="17"/>
      <c r="H92" s="17"/>
      <c r="I92" s="89"/>
    </row>
    <row r="93" spans="2:9" hidden="1" x14ac:dyDescent="0.25">
      <c r="B93" s="7" t="s">
        <v>288</v>
      </c>
      <c r="C93" s="7" t="s">
        <v>289</v>
      </c>
      <c r="D93" s="17"/>
      <c r="E93" s="17"/>
      <c r="F93" s="17"/>
      <c r="G93" s="17"/>
      <c r="H93" s="17"/>
      <c r="I93" s="89"/>
    </row>
    <row r="94" spans="2:9" hidden="1" x14ac:dyDescent="0.25">
      <c r="B94" s="11">
        <v>1</v>
      </c>
      <c r="C94" s="17" t="s">
        <v>281</v>
      </c>
      <c r="D94" s="17"/>
      <c r="E94" s="17"/>
      <c r="F94" s="17"/>
      <c r="G94" s="17"/>
      <c r="H94" s="86">
        <f>G94-E94</f>
        <v>0</v>
      </c>
      <c r="I94" s="88" t="e">
        <f>H94/E94</f>
        <v>#DIV/0!</v>
      </c>
    </row>
    <row r="95" spans="2:9" hidden="1" x14ac:dyDescent="0.25">
      <c r="B95" s="11">
        <f>B94+1</f>
        <v>2</v>
      </c>
      <c r="C95" s="17" t="s">
        <v>282</v>
      </c>
      <c r="D95" s="17"/>
      <c r="E95" s="17"/>
      <c r="F95" s="17"/>
      <c r="G95" s="17"/>
      <c r="H95" s="86">
        <f>G95-E95</f>
        <v>0</v>
      </c>
      <c r="I95" s="88" t="e">
        <f>H95/E95</f>
        <v>#DIV/0!</v>
      </c>
    </row>
    <row r="96" spans="2:9" hidden="1" x14ac:dyDescent="0.25">
      <c r="B96" s="11"/>
      <c r="C96" s="17" t="s">
        <v>283</v>
      </c>
      <c r="D96" s="17"/>
      <c r="E96" s="17"/>
      <c r="F96" s="17"/>
      <c r="G96" s="17"/>
      <c r="H96" s="17"/>
      <c r="I96" s="17"/>
    </row>
    <row r="97" spans="2:9" hidden="1" x14ac:dyDescent="0.25">
      <c r="B97" s="11"/>
      <c r="C97" s="13" t="s">
        <v>287</v>
      </c>
      <c r="D97" s="17"/>
      <c r="E97" s="17"/>
      <c r="F97" s="17"/>
      <c r="G97" s="17"/>
      <c r="H97" s="17"/>
      <c r="I97" s="17"/>
    </row>
    <row r="98" spans="2:9" hidden="1" x14ac:dyDescent="0.25">
      <c r="B98" s="751" t="s">
        <v>290</v>
      </c>
      <c r="C98" s="752"/>
      <c r="D98" s="17"/>
      <c r="E98" s="17"/>
      <c r="F98" s="17"/>
      <c r="G98" s="17"/>
      <c r="H98" s="17"/>
      <c r="I98" s="17"/>
    </row>
    <row r="99" spans="2:9" hidden="1" x14ac:dyDescent="0.25"/>
    <row r="100" spans="2:9" hidden="1" x14ac:dyDescent="0.25">
      <c r="B100" s="22" t="s">
        <v>294</v>
      </c>
    </row>
    <row r="101" spans="2:9" ht="27.6" hidden="1" x14ac:dyDescent="0.25">
      <c r="B101" s="7" t="s">
        <v>4</v>
      </c>
      <c r="C101" s="7" t="s">
        <v>272</v>
      </c>
      <c r="D101" s="7" t="s">
        <v>273</v>
      </c>
      <c r="E101" s="7" t="s">
        <v>274</v>
      </c>
      <c r="F101" s="7" t="s">
        <v>275</v>
      </c>
      <c r="G101" s="7" t="s">
        <v>276</v>
      </c>
      <c r="H101" s="7" t="s">
        <v>277</v>
      </c>
      <c r="I101" s="7" t="s">
        <v>278</v>
      </c>
    </row>
    <row r="102" spans="2:9" hidden="1" x14ac:dyDescent="0.25">
      <c r="B102" s="7" t="s">
        <v>279</v>
      </c>
      <c r="C102" s="7" t="s">
        <v>280</v>
      </c>
      <c r="D102" s="7"/>
      <c r="E102" s="7"/>
      <c r="F102" s="7"/>
      <c r="G102" s="7"/>
      <c r="H102" s="7"/>
      <c r="I102" s="7"/>
    </row>
    <row r="103" spans="2:9" hidden="1" x14ac:dyDescent="0.25">
      <c r="B103" s="11">
        <v>1</v>
      </c>
      <c r="C103" s="17" t="s">
        <v>281</v>
      </c>
      <c r="D103" s="17"/>
      <c r="E103" s="17"/>
      <c r="F103" s="17"/>
      <c r="G103" s="17"/>
      <c r="H103" s="86">
        <f>G103-E103</f>
        <v>0</v>
      </c>
      <c r="I103" s="88" t="e">
        <f>H103/E103</f>
        <v>#DIV/0!</v>
      </c>
    </row>
    <row r="104" spans="2:9" hidden="1" x14ac:dyDescent="0.25">
      <c r="B104" s="11">
        <f>B103+1</f>
        <v>2</v>
      </c>
      <c r="C104" s="17" t="s">
        <v>282</v>
      </c>
      <c r="D104" s="17"/>
      <c r="E104" s="17"/>
      <c r="F104" s="17"/>
      <c r="G104" s="17"/>
      <c r="H104" s="86">
        <f>G104-E104</f>
        <v>0</v>
      </c>
      <c r="I104" s="88" t="e">
        <f>H104/E104</f>
        <v>#DIV/0!</v>
      </c>
    </row>
    <row r="105" spans="2:9" hidden="1" x14ac:dyDescent="0.25">
      <c r="B105" s="11"/>
      <c r="C105" s="17" t="s">
        <v>283</v>
      </c>
      <c r="D105" s="17"/>
      <c r="E105" s="17"/>
      <c r="F105" s="17"/>
      <c r="G105" s="17"/>
      <c r="H105" s="17"/>
      <c r="I105" s="89"/>
    </row>
    <row r="106" spans="2:9" hidden="1" x14ac:dyDescent="0.25">
      <c r="B106" s="11"/>
      <c r="C106" s="13" t="s">
        <v>284</v>
      </c>
      <c r="D106" s="17"/>
      <c r="E106" s="17"/>
      <c r="F106" s="17"/>
      <c r="G106" s="17"/>
      <c r="H106" s="17"/>
      <c r="I106" s="89"/>
    </row>
    <row r="107" spans="2:9" hidden="1" x14ac:dyDescent="0.25">
      <c r="B107" s="7" t="s">
        <v>285</v>
      </c>
      <c r="C107" s="7" t="s">
        <v>286</v>
      </c>
      <c r="D107" s="17"/>
      <c r="E107" s="17"/>
      <c r="F107" s="17"/>
      <c r="G107" s="17"/>
      <c r="H107" s="17"/>
      <c r="I107" s="89"/>
    </row>
    <row r="108" spans="2:9" hidden="1" x14ac:dyDescent="0.25">
      <c r="B108" s="11">
        <v>1</v>
      </c>
      <c r="C108" s="17" t="s">
        <v>281</v>
      </c>
      <c r="D108" s="17"/>
      <c r="E108" s="17"/>
      <c r="F108" s="17"/>
      <c r="G108" s="17"/>
      <c r="H108" s="86">
        <f>G108-E108</f>
        <v>0</v>
      </c>
      <c r="I108" s="88" t="e">
        <f t="shared" ref="I108:I109" si="6">H108/E108</f>
        <v>#DIV/0!</v>
      </c>
    </row>
    <row r="109" spans="2:9" hidden="1" x14ac:dyDescent="0.25">
      <c r="B109" s="11">
        <f>B108+1</f>
        <v>2</v>
      </c>
      <c r="C109" s="17" t="s">
        <v>282</v>
      </c>
      <c r="D109" s="17"/>
      <c r="E109" s="17"/>
      <c r="F109" s="17"/>
      <c r="G109" s="17"/>
      <c r="H109" s="86">
        <f>G109-E109</f>
        <v>0</v>
      </c>
      <c r="I109" s="88" t="e">
        <f t="shared" si="6"/>
        <v>#DIV/0!</v>
      </c>
    </row>
    <row r="110" spans="2:9" hidden="1" x14ac:dyDescent="0.25">
      <c r="B110" s="11"/>
      <c r="C110" s="17" t="s">
        <v>283</v>
      </c>
      <c r="D110" s="17"/>
      <c r="E110" s="17"/>
      <c r="F110" s="17"/>
      <c r="G110" s="17"/>
      <c r="H110" s="17"/>
      <c r="I110" s="89"/>
    </row>
    <row r="111" spans="2:9" hidden="1" x14ac:dyDescent="0.25">
      <c r="B111" s="11"/>
      <c r="C111" s="13" t="s">
        <v>287</v>
      </c>
      <c r="D111" s="17"/>
      <c r="E111" s="17"/>
      <c r="F111" s="17"/>
      <c r="G111" s="17"/>
      <c r="H111" s="17"/>
      <c r="I111" s="89"/>
    </row>
    <row r="112" spans="2:9" hidden="1" x14ac:dyDescent="0.25">
      <c r="B112" s="7" t="s">
        <v>288</v>
      </c>
      <c r="C112" s="7" t="s">
        <v>289</v>
      </c>
      <c r="D112" s="17"/>
      <c r="E112" s="17"/>
      <c r="F112" s="17"/>
      <c r="G112" s="17"/>
      <c r="H112" s="17"/>
      <c r="I112" s="89"/>
    </row>
    <row r="113" spans="2:9" hidden="1" x14ac:dyDescent="0.25">
      <c r="B113" s="11">
        <v>1</v>
      </c>
      <c r="C113" s="17" t="s">
        <v>281</v>
      </c>
      <c r="D113" s="17"/>
      <c r="E113" s="17"/>
      <c r="F113" s="17"/>
      <c r="G113" s="17"/>
      <c r="H113" s="86">
        <f>G113-E113</f>
        <v>0</v>
      </c>
      <c r="I113" s="88" t="e">
        <f>H113/E113</f>
        <v>#DIV/0!</v>
      </c>
    </row>
    <row r="114" spans="2:9" hidden="1" x14ac:dyDescent="0.25">
      <c r="B114" s="11">
        <f>B113+1</f>
        <v>2</v>
      </c>
      <c r="C114" s="17" t="s">
        <v>282</v>
      </c>
      <c r="D114" s="17"/>
      <c r="E114" s="17"/>
      <c r="F114" s="17"/>
      <c r="G114" s="17"/>
      <c r="H114" s="86">
        <f>G114-E114</f>
        <v>0</v>
      </c>
      <c r="I114" s="88" t="e">
        <f>H114/E114</f>
        <v>#DIV/0!</v>
      </c>
    </row>
    <row r="115" spans="2:9" hidden="1" x14ac:dyDescent="0.25">
      <c r="B115" s="11"/>
      <c r="C115" s="17" t="s">
        <v>283</v>
      </c>
      <c r="D115" s="17"/>
      <c r="E115" s="17"/>
      <c r="F115" s="17"/>
      <c r="G115" s="17"/>
      <c r="H115" s="17"/>
      <c r="I115" s="17"/>
    </row>
    <row r="116" spans="2:9" hidden="1" x14ac:dyDescent="0.25">
      <c r="B116" s="11"/>
      <c r="C116" s="13" t="s">
        <v>287</v>
      </c>
      <c r="D116" s="17"/>
      <c r="E116" s="17"/>
      <c r="F116" s="17"/>
      <c r="G116" s="17"/>
      <c r="H116" s="17"/>
      <c r="I116" s="17"/>
    </row>
    <row r="117" spans="2:9" hidden="1" x14ac:dyDescent="0.25">
      <c r="B117" s="751" t="s">
        <v>290</v>
      </c>
      <c r="C117" s="752"/>
      <c r="D117" s="17"/>
      <c r="E117" s="17"/>
      <c r="F117" s="17"/>
      <c r="G117" s="17"/>
      <c r="H117" s="17"/>
      <c r="I117" s="17"/>
    </row>
    <row r="118" spans="2:9" hidden="1" x14ac:dyDescent="0.25"/>
    <row r="119" spans="2:9" hidden="1" x14ac:dyDescent="0.25">
      <c r="B119" s="22" t="s">
        <v>295</v>
      </c>
    </row>
    <row r="120" spans="2:9" ht="27.6" hidden="1" x14ac:dyDescent="0.25">
      <c r="B120" s="7" t="s">
        <v>4</v>
      </c>
      <c r="C120" s="7" t="s">
        <v>272</v>
      </c>
      <c r="D120" s="7" t="s">
        <v>273</v>
      </c>
      <c r="E120" s="7" t="s">
        <v>274</v>
      </c>
      <c r="F120" s="7" t="s">
        <v>275</v>
      </c>
      <c r="G120" s="7" t="s">
        <v>276</v>
      </c>
      <c r="H120" s="7" t="s">
        <v>277</v>
      </c>
      <c r="I120" s="7" t="s">
        <v>278</v>
      </c>
    </row>
    <row r="121" spans="2:9" hidden="1" x14ac:dyDescent="0.25">
      <c r="B121" s="7" t="s">
        <v>279</v>
      </c>
      <c r="C121" s="7" t="s">
        <v>280</v>
      </c>
      <c r="D121" s="7"/>
      <c r="E121" s="7"/>
      <c r="F121" s="7"/>
      <c r="G121" s="7"/>
      <c r="H121" s="7"/>
      <c r="I121" s="7"/>
    </row>
    <row r="122" spans="2:9" hidden="1" x14ac:dyDescent="0.25">
      <c r="B122" s="11">
        <v>1</v>
      </c>
      <c r="C122" s="17" t="s">
        <v>281</v>
      </c>
      <c r="D122" s="17"/>
      <c r="E122" s="17"/>
      <c r="F122" s="17"/>
      <c r="G122" s="17"/>
      <c r="H122" s="86">
        <f>G122-E122</f>
        <v>0</v>
      </c>
      <c r="I122" s="88" t="e">
        <f>H122/E122</f>
        <v>#DIV/0!</v>
      </c>
    </row>
    <row r="123" spans="2:9" hidden="1" x14ac:dyDescent="0.25">
      <c r="B123" s="11">
        <f>B122+1</f>
        <v>2</v>
      </c>
      <c r="C123" s="17" t="s">
        <v>282</v>
      </c>
      <c r="D123" s="17"/>
      <c r="E123" s="17"/>
      <c r="F123" s="17"/>
      <c r="G123" s="17"/>
      <c r="H123" s="86">
        <f>G123-E123</f>
        <v>0</v>
      </c>
      <c r="I123" s="88" t="e">
        <f>H123/E123</f>
        <v>#DIV/0!</v>
      </c>
    </row>
    <row r="124" spans="2:9" hidden="1" x14ac:dyDescent="0.25">
      <c r="B124" s="11"/>
      <c r="C124" s="17" t="s">
        <v>283</v>
      </c>
      <c r="D124" s="17"/>
      <c r="E124" s="17"/>
      <c r="F124" s="17"/>
      <c r="G124" s="17"/>
      <c r="H124" s="17"/>
      <c r="I124" s="89"/>
    </row>
    <row r="125" spans="2:9" hidden="1" x14ac:dyDescent="0.25">
      <c r="B125" s="11"/>
      <c r="C125" s="13" t="s">
        <v>284</v>
      </c>
      <c r="D125" s="17"/>
      <c r="E125" s="17"/>
      <c r="F125" s="17"/>
      <c r="G125" s="17"/>
      <c r="H125" s="17"/>
      <c r="I125" s="89"/>
    </row>
    <row r="126" spans="2:9" hidden="1" x14ac:dyDescent="0.25">
      <c r="B126" s="7" t="s">
        <v>285</v>
      </c>
      <c r="C126" s="7" t="s">
        <v>286</v>
      </c>
      <c r="D126" s="17"/>
      <c r="E126" s="17"/>
      <c r="F126" s="17"/>
      <c r="G126" s="17"/>
      <c r="H126" s="17"/>
      <c r="I126" s="89"/>
    </row>
    <row r="127" spans="2:9" hidden="1" x14ac:dyDescent="0.25">
      <c r="B127" s="11">
        <v>1</v>
      </c>
      <c r="C127" s="17" t="s">
        <v>281</v>
      </c>
      <c r="D127" s="17"/>
      <c r="E127" s="17"/>
      <c r="F127" s="17"/>
      <c r="G127" s="17"/>
      <c r="H127" s="86">
        <f>G127-E127</f>
        <v>0</v>
      </c>
      <c r="I127" s="88" t="e">
        <f t="shared" ref="I127:I128" si="7">H127/E127</f>
        <v>#DIV/0!</v>
      </c>
    </row>
    <row r="128" spans="2:9" hidden="1" x14ac:dyDescent="0.25">
      <c r="B128" s="11">
        <f>B127+1</f>
        <v>2</v>
      </c>
      <c r="C128" s="17" t="s">
        <v>282</v>
      </c>
      <c r="D128" s="17"/>
      <c r="E128" s="17"/>
      <c r="F128" s="17"/>
      <c r="G128" s="17"/>
      <c r="H128" s="86">
        <f>G128-E128</f>
        <v>0</v>
      </c>
      <c r="I128" s="88" t="e">
        <f t="shared" si="7"/>
        <v>#DIV/0!</v>
      </c>
    </row>
    <row r="129" spans="2:9" hidden="1" x14ac:dyDescent="0.25">
      <c r="B129" s="11"/>
      <c r="C129" s="17" t="s">
        <v>283</v>
      </c>
      <c r="D129" s="17"/>
      <c r="E129" s="17"/>
      <c r="F129" s="17"/>
      <c r="G129" s="17"/>
      <c r="H129" s="17"/>
      <c r="I129" s="89"/>
    </row>
    <row r="130" spans="2:9" hidden="1" x14ac:dyDescent="0.25">
      <c r="B130" s="11"/>
      <c r="C130" s="13" t="s">
        <v>287</v>
      </c>
      <c r="D130" s="17"/>
      <c r="E130" s="17"/>
      <c r="F130" s="17"/>
      <c r="G130" s="17"/>
      <c r="H130" s="17"/>
      <c r="I130" s="89"/>
    </row>
    <row r="131" spans="2:9" hidden="1" x14ac:dyDescent="0.25">
      <c r="B131" s="7" t="s">
        <v>288</v>
      </c>
      <c r="C131" s="7" t="s">
        <v>289</v>
      </c>
      <c r="D131" s="17"/>
      <c r="E131" s="17"/>
      <c r="F131" s="17"/>
      <c r="G131" s="17"/>
      <c r="H131" s="17"/>
      <c r="I131" s="89"/>
    </row>
    <row r="132" spans="2:9" hidden="1" x14ac:dyDescent="0.25">
      <c r="B132" s="11">
        <v>1</v>
      </c>
      <c r="C132" s="17" t="s">
        <v>281</v>
      </c>
      <c r="D132" s="17"/>
      <c r="E132" s="17"/>
      <c r="F132" s="17"/>
      <c r="G132" s="17"/>
      <c r="H132" s="86">
        <f>G132-E132</f>
        <v>0</v>
      </c>
      <c r="I132" s="88" t="e">
        <f>H132/E132</f>
        <v>#DIV/0!</v>
      </c>
    </row>
    <row r="133" spans="2:9" hidden="1" x14ac:dyDescent="0.25">
      <c r="B133" s="11">
        <f>B132+1</f>
        <v>2</v>
      </c>
      <c r="C133" s="17" t="s">
        <v>282</v>
      </c>
      <c r="D133" s="17"/>
      <c r="E133" s="17"/>
      <c r="F133" s="17"/>
      <c r="G133" s="17"/>
      <c r="H133" s="86">
        <f>G133-E133</f>
        <v>0</v>
      </c>
      <c r="I133" s="88" t="e">
        <f>H133/E133</f>
        <v>#DIV/0!</v>
      </c>
    </row>
    <row r="134" spans="2:9" hidden="1" x14ac:dyDescent="0.25">
      <c r="B134" s="11"/>
      <c r="C134" s="17" t="s">
        <v>283</v>
      </c>
      <c r="D134" s="17"/>
      <c r="E134" s="17"/>
      <c r="F134" s="17"/>
      <c r="G134" s="17"/>
      <c r="H134" s="17"/>
      <c r="I134" s="17"/>
    </row>
    <row r="135" spans="2:9" hidden="1" x14ac:dyDescent="0.25">
      <c r="B135" s="11"/>
      <c r="C135" s="13" t="s">
        <v>287</v>
      </c>
      <c r="D135" s="17"/>
      <c r="E135" s="17"/>
      <c r="F135" s="17"/>
      <c r="G135" s="17"/>
      <c r="H135" s="17"/>
      <c r="I135" s="17"/>
    </row>
    <row r="136" spans="2:9" hidden="1" x14ac:dyDescent="0.25">
      <c r="B136" s="751" t="s">
        <v>290</v>
      </c>
      <c r="C136" s="752"/>
      <c r="D136" s="17"/>
      <c r="E136" s="17"/>
      <c r="F136" s="17"/>
      <c r="G136" s="17"/>
      <c r="H136" s="17"/>
      <c r="I136" s="17"/>
    </row>
  </sheetData>
  <mergeCells count="7">
    <mergeCell ref="B136:C136"/>
    <mergeCell ref="B22:C22"/>
    <mergeCell ref="B41:C41"/>
    <mergeCell ref="B60:C60"/>
    <mergeCell ref="B79:C79"/>
    <mergeCell ref="B98:C98"/>
    <mergeCell ref="B117:C117"/>
  </mergeCells>
  <pageMargins left="0.88" right="1.33" top="1" bottom="0.37" header="0.5" footer="0.5"/>
  <pageSetup paperSize="9" scale="90" orientation="landscape" r:id="rId1"/>
  <headerFooter alignWithMargins="0"/>
</worksheet>
</file>

<file path=docMetadata/LabelInfo.xml><?xml version="1.0" encoding="utf-8"?>
<clbl:labelList xmlns:clbl="http://schemas.microsoft.com/office/2020/mipLabelMetadata">
  <clbl:label id="{deff24bb-2089-4400-8c8e-f71e680378b2}" enabled="0" method="" siteId="{deff24bb-2089-4400-8c8e-f71e680378b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14</vt:i4>
      </vt:variant>
    </vt:vector>
  </HeadingPairs>
  <TitlesOfParts>
    <vt:vector size="79" baseType="lpstr">
      <vt:lpstr>Title</vt:lpstr>
      <vt:lpstr>Checklist</vt:lpstr>
      <vt:lpstr>F1</vt:lpstr>
      <vt:lpstr>F2</vt:lpstr>
      <vt:lpstr>F3</vt:lpstr>
      <vt:lpstr>F4</vt:lpstr>
      <vt:lpstr>F4A</vt:lpstr>
      <vt:lpstr>F4B</vt:lpstr>
      <vt:lpstr>F5</vt:lpstr>
      <vt:lpstr>F6</vt:lpstr>
      <vt:lpstr>F7</vt:lpstr>
      <vt:lpstr>F8</vt:lpstr>
      <vt:lpstr>F9-Year(n-1)</vt:lpstr>
      <vt:lpstr>F9-Year(n)</vt:lpstr>
      <vt:lpstr>F9-Year(n+2)</vt:lpstr>
      <vt:lpstr>F9-Year(n+3)</vt:lpstr>
      <vt:lpstr>F9-Year(n+4)</vt:lpstr>
      <vt:lpstr>F9-Year(n+5)</vt:lpstr>
      <vt:lpstr>F10</vt:lpstr>
      <vt:lpstr>F11-Year(n-1)</vt:lpstr>
      <vt:lpstr>F11-Year(n)</vt:lpstr>
      <vt:lpstr>F11-Year(n+2)</vt:lpstr>
      <vt:lpstr>F11-Year(n+3) </vt:lpstr>
      <vt:lpstr>F11-Year(n+4)</vt:lpstr>
      <vt:lpstr>F11-Year(n+5)</vt:lpstr>
      <vt:lpstr>F12</vt:lpstr>
      <vt:lpstr>F13-Year(n-1)</vt:lpstr>
      <vt:lpstr>F13-Year(n)</vt:lpstr>
      <vt:lpstr>F13-Year(n+2)</vt:lpstr>
      <vt:lpstr>F13-Year(n+3)</vt:lpstr>
      <vt:lpstr>F13-Year(n+4)</vt:lpstr>
      <vt:lpstr>F13-Year(n+5)</vt:lpstr>
      <vt:lpstr>F14</vt:lpstr>
      <vt:lpstr>F15</vt:lpstr>
      <vt:lpstr>F15.1</vt:lpstr>
      <vt:lpstr>F15.2</vt:lpstr>
      <vt:lpstr>F15.3</vt:lpstr>
      <vt:lpstr>F16</vt:lpstr>
      <vt:lpstr>F17</vt:lpstr>
      <vt:lpstr>F18</vt:lpstr>
      <vt:lpstr>F19</vt:lpstr>
      <vt:lpstr>F20</vt:lpstr>
      <vt:lpstr>F21</vt:lpstr>
      <vt:lpstr>F22</vt:lpstr>
      <vt:lpstr>F23</vt:lpstr>
      <vt:lpstr>F24</vt:lpstr>
      <vt:lpstr>F24.1</vt:lpstr>
      <vt:lpstr>F24.2</vt:lpstr>
      <vt:lpstr>F24.3</vt:lpstr>
      <vt:lpstr>F24.4</vt:lpstr>
      <vt:lpstr>F24.5</vt:lpstr>
      <vt:lpstr>F24.6</vt:lpstr>
      <vt:lpstr>F24.7</vt:lpstr>
      <vt:lpstr>F24.8</vt:lpstr>
      <vt:lpstr>F25</vt:lpstr>
      <vt:lpstr>F26-Year(n-1)</vt:lpstr>
      <vt:lpstr>F26-Year(n+1)(Current Tariff)</vt:lpstr>
      <vt:lpstr>F26-Year(n+2)(Proposed Tariff)</vt:lpstr>
      <vt:lpstr>F26-Year(n+1)(Proposed Tariff)</vt:lpstr>
      <vt:lpstr>F26-Year(n+2)(Current Tariff)</vt:lpstr>
      <vt:lpstr>F26-Year(n+2)(Proposed Tarif)</vt:lpstr>
      <vt:lpstr>F27</vt:lpstr>
      <vt:lpstr>F27-n+2</vt:lpstr>
      <vt:lpstr>F28</vt:lpstr>
      <vt:lpstr>F29</vt:lpstr>
      <vt:lpstr>Checklist!Print_Area</vt:lpstr>
      <vt:lpstr>'F18'!Print_Area</vt:lpstr>
      <vt:lpstr>'F24'!Print_Area</vt:lpstr>
      <vt:lpstr>F24.1!Print_Area</vt:lpstr>
      <vt:lpstr>F24.2!Print_Area</vt:lpstr>
      <vt:lpstr>F24.5!Print_Area</vt:lpstr>
      <vt:lpstr>F24.6!Print_Area</vt:lpstr>
      <vt:lpstr>F24.7!Print_Area</vt:lpstr>
      <vt:lpstr>F24.8!Print_Area</vt:lpstr>
      <vt:lpstr>'F26-Year(n+1)(Current Tariff)'!Print_Area</vt:lpstr>
      <vt:lpstr>'F26-Year(n+2)(Current Tariff)'!Print_Area</vt:lpstr>
      <vt:lpstr>'F26-Year(n+2)(Proposed Tarif)'!Print_Area</vt:lpstr>
      <vt:lpstr>'F4'!Print_Area</vt:lpstr>
      <vt:lpstr>F4A!Print_Area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Palaniappan M</dc:creator>
  <cp:keywords/>
  <dc:description/>
  <cp:lastModifiedBy>admin</cp:lastModifiedBy>
  <cp:revision/>
  <cp:lastPrinted>2025-01-29T12:51:51Z</cp:lastPrinted>
  <dcterms:created xsi:type="dcterms:W3CDTF">2004-07-28T05:30:50Z</dcterms:created>
  <dcterms:modified xsi:type="dcterms:W3CDTF">2025-01-30T05:43:06Z</dcterms:modified>
  <cp:category/>
  <cp:contentStatus/>
</cp:coreProperties>
</file>